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EstaPastaDeTrabalho" defaultThemeVersion="166925"/>
  <mc:AlternateContent xmlns:mc="http://schemas.openxmlformats.org/markup-compatibility/2006">
    <mc:Choice Requires="x15">
      <x15ac:absPath xmlns:x15ac="http://schemas.microsoft.com/office/spreadsheetml/2010/11/ac" url="U:\SEORC\PESQUISAS DE PREÇOS\2022\00200.013801-2022-01 - ARP 2023\"/>
    </mc:Choice>
  </mc:AlternateContent>
  <xr:revisionPtr revIDLastSave="0" documentId="13_ncr:1_{1D8B1999-89E8-4379-87EF-1717867FC789}" xr6:coauthVersionLast="47" xr6:coauthVersionMax="47" xr10:uidLastSave="{00000000-0000-0000-0000-000000000000}"/>
  <bookViews>
    <workbookView xWindow="-28920" yWindow="-105" windowWidth="29040" windowHeight="15840" tabRatio="838" xr2:uid="{00000000-000D-0000-FFFF-FFFF00000000}"/>
  </bookViews>
  <sheets>
    <sheet name="Orçamentária" sheetId="8" r:id="rId1"/>
    <sheet name="Composições" sheetId="5" state="hidden" r:id="rId2"/>
    <sheet name="Comp.Aux1" sheetId="6" state="hidden" r:id="rId3"/>
    <sheet name="Comp.Aux2" sheetId="7" state="hidden" r:id="rId4"/>
    <sheet name="BDI" sheetId="9" r:id="rId5"/>
  </sheets>
  <externalReferences>
    <externalReference r:id="rId6"/>
    <externalReference r:id="rId7"/>
  </externalReferences>
  <definedNames>
    <definedName name="_xlnm._FilterDatabase" localSheetId="2" hidden="1">'Comp.Aux1'!$A$5:$I$643</definedName>
    <definedName name="_xlnm._FilterDatabase" localSheetId="3" hidden="1">'Comp.Aux2'!$A$5:$I$139</definedName>
    <definedName name="_xlnm._FilterDatabase" localSheetId="1" hidden="1">Composições!$A$5:$K$7498</definedName>
    <definedName name="_xlnm._FilterDatabase" localSheetId="0" hidden="1">Orçamentária!$A$5:$K$3278</definedName>
    <definedName name="_xlnm.Print_Area" localSheetId="2">'Comp.Aux1'!$A$1:$G$643</definedName>
    <definedName name="_xlnm.Print_Area" localSheetId="3">'Comp.Aux2'!$A$1:$G$139</definedName>
    <definedName name="_xlnm.Print_Area" localSheetId="1">Composições!$A$1:$H$7498</definedName>
    <definedName name="_xlnm.Print_Area" localSheetId="0">Orçamentária!$A$1:$I$3281</definedName>
    <definedName name="ÁREA_DE_IMPRESSÃO">#REF!</definedName>
    <definedName name="Arial">#REF!</definedName>
    <definedName name="bdi">#REF!</definedName>
    <definedName name="codigo2">#REF!</definedName>
    <definedName name="composicoes">#REF!</definedName>
    <definedName name="custodireto">#REF!</definedName>
    <definedName name="custototal">#REF!</definedName>
    <definedName name="discriminacao">#REF!</definedName>
    <definedName name="fa_RNG">#REF!</definedName>
    <definedName name="FatorRedux">[1]Fatores!$D$3</definedName>
    <definedName name="GAB">OFFSET([2]SETORES!$A$20,0,0,COUNTA([2]SETORES!$A:$A),1)</definedName>
    <definedName name="IMPRESSÃO">#REF!</definedName>
    <definedName name="IMPRESSÃO_00">#REF!</definedName>
    <definedName name="item">#REF!</definedName>
    <definedName name="precounitariobdi">#REF!</definedName>
    <definedName name="punitario">#REF!</definedName>
    <definedName name="setor">OFFSET([2]SETORES!$B$1,1,MATCH(#REF!,[2]SETORES!$B$1:$E$1,0)-1,10)</definedName>
    <definedName name="_xlnm.Print_Titles" localSheetId="2">'Comp.Aux1'!$1:$5</definedName>
    <definedName name="_xlnm.Print_Titles" localSheetId="3">'Comp.Aux2'!$1:$5</definedName>
    <definedName name="_xlnm.Print_Titles" localSheetId="1">Composições!$1:$5</definedName>
    <definedName name="_xlnm.Print_Titles" localSheetId="0">Orçamentária!$1:$5</definedName>
    <definedName name="txt_cod">#REF!</definedName>
    <definedName name="txt_cod_ac">#REF!</definedName>
    <definedName name="txt_composicoes">OFFSET([0]!txt_cod,0,4)</definedName>
    <definedName name="unidad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9" l="1"/>
  <c r="G3271" i="8"/>
  <c r="G3270" i="8"/>
  <c r="G3269" i="8"/>
  <c r="G3266" i="8"/>
  <c r="G2695" i="8"/>
  <c r="G2694" i="8"/>
  <c r="G2336" i="8"/>
  <c r="G1357" i="8"/>
  <c r="G1341" i="8"/>
  <c r="G1301" i="8"/>
  <c r="G1300" i="8"/>
  <c r="G1294" i="8"/>
  <c r="G1293" i="8"/>
  <c r="G1292" i="8"/>
  <c r="G1291" i="8"/>
  <c r="G1290" i="8"/>
  <c r="G1289" i="8"/>
  <c r="G1288" i="8"/>
  <c r="G1287" i="8"/>
  <c r="G1286" i="8"/>
  <c r="G1285" i="8"/>
  <c r="G1284" i="8"/>
  <c r="G1283" i="8"/>
  <c r="G1278" i="8"/>
  <c r="G1276" i="8"/>
  <c r="G1275" i="8"/>
  <c r="G1274" i="8"/>
  <c r="G1273" i="8"/>
  <c r="G1272" i="8"/>
  <c r="G1271" i="8"/>
  <c r="G1270" i="8"/>
  <c r="G1269" i="8"/>
  <c r="G1268" i="8"/>
  <c r="G1267" i="8"/>
  <c r="G1266" i="8"/>
  <c r="G1264" i="8"/>
  <c r="G1263" i="8"/>
  <c r="G1262" i="8"/>
  <c r="G1261" i="8"/>
  <c r="G1260" i="8"/>
  <c r="G1259" i="8"/>
  <c r="G1258" i="8"/>
  <c r="G1257" i="8"/>
  <c r="G1256" i="8"/>
  <c r="G1166" i="8"/>
  <c r="G1165" i="8"/>
  <c r="G1138" i="8"/>
  <c r="G1121" i="8"/>
  <c r="G1119" i="8"/>
  <c r="G1118" i="8"/>
  <c r="G1115" i="8"/>
  <c r="G1113" i="8"/>
  <c r="G1019" i="8"/>
  <c r="G983" i="8"/>
  <c r="G950" i="8"/>
  <c r="G945" i="8"/>
  <c r="G944" i="8"/>
  <c r="G943" i="8"/>
  <c r="G942" i="8"/>
  <c r="G932" i="8"/>
  <c r="G931" i="8"/>
  <c r="G930" i="8"/>
  <c r="G929" i="8"/>
  <c r="G928" i="8"/>
  <c r="G927" i="8"/>
  <c r="G926" i="8"/>
  <c r="G925" i="8"/>
  <c r="G924" i="8"/>
  <c r="G923" i="8"/>
  <c r="G922" i="8"/>
  <c r="G921" i="8"/>
  <c r="G920" i="8"/>
  <c r="G903" i="8"/>
  <c r="G852" i="8"/>
  <c r="G385" i="8"/>
  <c r="G384" i="8"/>
  <c r="G383" i="8"/>
  <c r="G382" i="8"/>
  <c r="G381" i="8"/>
  <c r="G380" i="8"/>
  <c r="G379" i="8"/>
  <c r="G378" i="8"/>
  <c r="G377" i="8"/>
  <c r="G376" i="8"/>
  <c r="G375" i="8"/>
  <c r="G374" i="8"/>
  <c r="G373" i="8"/>
  <c r="G372" i="8"/>
  <c r="G371" i="8"/>
  <c r="G370" i="8"/>
  <c r="G369" i="8"/>
  <c r="G368" i="8"/>
  <c r="G367" i="8"/>
  <c r="G366" i="8"/>
  <c r="G365" i="8"/>
  <c r="G364" i="8"/>
  <c r="G362" i="8"/>
  <c r="G361" i="8"/>
  <c r="G360" i="8"/>
  <c r="G359" i="8"/>
  <c r="G356" i="8"/>
  <c r="G355" i="8"/>
  <c r="G354" i="8"/>
  <c r="G353" i="8"/>
  <c r="G352" i="8"/>
  <c r="G351" i="8"/>
  <c r="G350" i="8"/>
  <c r="G349" i="8"/>
  <c r="G348" i="8"/>
  <c r="G347" i="8"/>
  <c r="G346" i="8"/>
  <c r="G345" i="8"/>
  <c r="G344" i="8"/>
  <c r="G343" i="8"/>
  <c r="G342" i="8"/>
  <c r="G341" i="8"/>
  <c r="G340" i="8"/>
  <c r="G339" i="8"/>
  <c r="G338" i="8"/>
  <c r="G337" i="8"/>
  <c r="G336" i="8"/>
  <c r="G335" i="8"/>
  <c r="G334" i="8"/>
  <c r="G333" i="8"/>
  <c r="G332" i="8"/>
  <c r="G331" i="8"/>
  <c r="G330" i="8"/>
  <c r="G329" i="8"/>
  <c r="G328" i="8"/>
  <c r="G327" i="8"/>
  <c r="G326" i="8"/>
  <c r="G325" i="8"/>
  <c r="G324" i="8"/>
  <c r="G323" i="8"/>
  <c r="G322" i="8"/>
  <c r="G321" i="8"/>
  <c r="G320" i="8"/>
  <c r="G319" i="8"/>
  <c r="G318" i="8"/>
  <c r="G317" i="8"/>
  <c r="G316" i="8"/>
  <c r="G315" i="8"/>
  <c r="G314" i="8"/>
  <c r="G313" i="8"/>
  <c r="G312" i="8"/>
  <c r="G311" i="8"/>
  <c r="G310" i="8"/>
  <c r="G309" i="8"/>
  <c r="G308" i="8"/>
  <c r="G307" i="8"/>
  <c r="G306" i="8"/>
  <c r="G305" i="8"/>
  <c r="G304" i="8"/>
  <c r="G303" i="8"/>
  <c r="G302" i="8"/>
  <c r="G301" i="8"/>
  <c r="G300" i="8"/>
  <c r="G299" i="8"/>
  <c r="G298" i="8"/>
  <c r="G289" i="8"/>
  <c r="G288" i="8"/>
  <c r="G287" i="8"/>
  <c r="G286" i="8"/>
  <c r="G285" i="8"/>
  <c r="G284" i="8"/>
  <c r="G283" i="8"/>
  <c r="G282" i="8"/>
  <c r="G281" i="8"/>
  <c r="G280" i="8"/>
  <c r="G279" i="8"/>
  <c r="G278" i="8"/>
  <c r="G277" i="8"/>
  <c r="G276" i="8"/>
  <c r="G275" i="8"/>
  <c r="G274" i="8"/>
  <c r="G273" i="8"/>
  <c r="G272" i="8"/>
  <c r="G271" i="8"/>
  <c r="G270" i="8"/>
  <c r="G269" i="8"/>
  <c r="G268" i="8"/>
  <c r="G267" i="8"/>
  <c r="G266" i="8"/>
  <c r="G265" i="8"/>
  <c r="G264" i="8"/>
  <c r="G263" i="8"/>
  <c r="G262" i="8"/>
  <c r="G261" i="8"/>
  <c r="G260" i="8"/>
  <c r="G259" i="8"/>
  <c r="G258" i="8"/>
  <c r="G257" i="8"/>
  <c r="G256" i="8"/>
  <c r="G255" i="8"/>
  <c r="G254" i="8"/>
  <c r="G253" i="8"/>
  <c r="G252" i="8"/>
  <c r="G251" i="8"/>
  <c r="G250" i="8"/>
  <c r="G249" i="8"/>
  <c r="G248" i="8"/>
  <c r="G247" i="8"/>
  <c r="G246" i="8"/>
  <c r="G245" i="8"/>
  <c r="G244" i="8"/>
  <c r="G243" i="8"/>
  <c r="G242" i="8"/>
  <c r="G241" i="8"/>
  <c r="G240" i="8"/>
  <c r="G239" i="8"/>
  <c r="G238" i="8"/>
  <c r="G237" i="8"/>
  <c r="G236" i="8"/>
  <c r="G235" i="8"/>
  <c r="G234" i="8"/>
  <c r="G233" i="8"/>
  <c r="G232" i="8"/>
  <c r="G231" i="8"/>
  <c r="G230" i="8"/>
  <c r="G229" i="8"/>
  <c r="G228" i="8"/>
  <c r="G227" i="8"/>
  <c r="G226" i="8"/>
  <c r="G225" i="8"/>
  <c r="G224" i="8"/>
  <c r="G223" i="8"/>
  <c r="G222" i="8"/>
  <c r="G221" i="8"/>
  <c r="G220" i="8"/>
  <c r="G219" i="8"/>
  <c r="G218" i="8"/>
  <c r="G217" i="8"/>
  <c r="G216" i="8"/>
  <c r="G215" i="8"/>
  <c r="G214" i="8"/>
  <c r="G213" i="8"/>
  <c r="G212" i="8"/>
  <c r="G211" i="8"/>
  <c r="G210" i="8"/>
  <c r="G209" i="8"/>
  <c r="G208" i="8"/>
  <c r="G207"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6" i="8"/>
  <c r="G165" i="8"/>
  <c r="G164" i="8"/>
  <c r="G163" i="8"/>
  <c r="G162" i="8"/>
  <c r="G160" i="8"/>
  <c r="G159" i="8"/>
  <c r="G156" i="8"/>
  <c r="G155" i="8"/>
  <c r="G154" i="8"/>
  <c r="G153" i="8"/>
  <c r="G152" i="8"/>
  <c r="G151" i="8"/>
  <c r="G150" i="8"/>
  <c r="G149" i="8"/>
  <c r="G148" i="8"/>
  <c r="G147" i="8"/>
  <c r="G146" i="8"/>
  <c r="G145" i="8"/>
  <c r="G144" i="8"/>
  <c r="G143"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8" i="8"/>
  <c r="G107" i="8"/>
  <c r="G106" i="8"/>
  <c r="G105" i="8"/>
  <c r="G104" i="8"/>
  <c r="G103" i="8"/>
  <c r="G102" i="8"/>
  <c r="G101" i="8"/>
  <c r="G100" i="8"/>
  <c r="G99" i="8"/>
  <c r="G98" i="8"/>
  <c r="G97" i="8"/>
  <c r="G96" i="8"/>
  <c r="G95" i="8"/>
  <c r="G94" i="8"/>
  <c r="G93" i="8"/>
  <c r="G92" i="8"/>
  <c r="G91" i="8"/>
  <c r="G90" i="8"/>
  <c r="G89" i="8"/>
  <c r="G88" i="8"/>
  <c r="G87" i="8"/>
  <c r="G86" i="8"/>
  <c r="G84" i="8"/>
  <c r="G83" i="8"/>
  <c r="G82" i="8"/>
  <c r="G81" i="8"/>
  <c r="G80" i="8"/>
  <c r="G79" i="8"/>
  <c r="G78" i="8"/>
  <c r="G76" i="8"/>
  <c r="G75" i="8"/>
  <c r="G74" i="8"/>
  <c r="G73" i="8"/>
  <c r="G71" i="8"/>
  <c r="G70" i="8"/>
  <c r="G67" i="8"/>
  <c r="G66" i="8"/>
  <c r="G65" i="8"/>
  <c r="G63" i="8"/>
  <c r="G62"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19" i="8"/>
  <c r="G18" i="8"/>
  <c r="G17" i="8"/>
  <c r="G16" i="8"/>
  <c r="G15" i="8"/>
  <c r="G14" i="8"/>
  <c r="G13" i="8"/>
  <c r="G12" i="8"/>
  <c r="G11" i="8"/>
  <c r="G10" i="8"/>
  <c r="G9" i="8"/>
  <c r="G7" i="8"/>
  <c r="G6" i="8"/>
  <c r="E17" i="9"/>
  <c r="G3268" i="8"/>
  <c r="G3265" i="8"/>
  <c r="G1335" i="8"/>
  <c r="G297" i="8"/>
  <c r="G296" i="8"/>
  <c r="G295" i="8"/>
  <c r="G294" i="8"/>
  <c r="G293" i="8"/>
  <c r="G292" i="8"/>
  <c r="G291" i="8"/>
  <c r="G290" i="8"/>
  <c r="G142" i="8"/>
  <c r="G141" i="8"/>
  <c r="G140" i="8"/>
  <c r="G139" i="8"/>
  <c r="G138" i="8"/>
  <c r="G137" i="8"/>
  <c r="G20" i="8"/>
  <c r="A1" i="5"/>
  <c r="A3" i="5"/>
  <c r="G7493" i="5"/>
  <c r="G7494" i="5"/>
  <c r="G7495" i="5"/>
  <c r="G7496" i="5"/>
  <c r="G7497" i="5"/>
  <c r="G7485" i="5"/>
  <c r="G7486" i="5"/>
  <c r="G7487" i="5"/>
  <c r="G7488" i="5"/>
  <c r="G7489" i="5"/>
  <c r="G7477" i="5"/>
  <c r="G7478" i="5"/>
  <c r="G7479" i="5"/>
  <c r="G7480" i="5"/>
  <c r="G7481" i="5"/>
  <c r="G7470" i="5"/>
  <c r="G7471" i="5"/>
  <c r="G7472" i="5"/>
  <c r="G7473" i="5"/>
  <c r="G7463" i="5"/>
  <c r="G7464" i="5"/>
  <c r="G7465" i="5"/>
  <c r="G7466" i="5"/>
  <c r="G7456" i="5"/>
  <c r="G7457" i="5"/>
  <c r="G7458" i="5"/>
  <c r="G7459" i="5"/>
  <c r="G7449" i="5"/>
  <c r="G7450" i="5"/>
  <c r="G7451" i="5"/>
  <c r="G7452" i="5"/>
  <c r="G7443" i="5"/>
  <c r="G7444" i="5"/>
  <c r="G7445" i="5"/>
  <c r="G7435" i="5"/>
  <c r="G7436" i="5"/>
  <c r="G7437" i="5"/>
  <c r="G7438" i="5"/>
  <c r="G7439" i="5"/>
  <c r="G7430" i="5"/>
  <c r="G7431" i="5"/>
  <c r="G7424" i="5"/>
  <c r="G7425" i="5"/>
  <c r="G7426" i="5"/>
  <c r="G7418" i="5"/>
  <c r="G7419" i="5"/>
  <c r="G7420" i="5"/>
  <c r="G7412" i="5"/>
  <c r="G7413" i="5"/>
  <c r="G7414" i="5"/>
  <c r="G7406" i="5"/>
  <c r="G7407" i="5"/>
  <c r="G7408" i="5"/>
  <c r="G7399" i="5"/>
  <c r="G7400" i="5"/>
  <c r="G7401" i="5"/>
  <c r="G7402" i="5"/>
  <c r="G7393" i="5"/>
  <c r="G7394" i="5"/>
  <c r="G7395" i="5"/>
  <c r="G7385" i="5"/>
  <c r="G7386" i="5"/>
  <c r="G7387" i="5"/>
  <c r="G7388" i="5"/>
  <c r="G7389" i="5"/>
  <c r="G7378" i="5"/>
  <c r="G7379" i="5"/>
  <c r="G7380" i="5"/>
  <c r="G7381" i="5"/>
  <c r="G7371" i="5"/>
  <c r="G7372" i="5"/>
  <c r="G7373" i="5"/>
  <c r="G7374" i="5"/>
  <c r="G7366" i="5"/>
  <c r="G7367" i="5"/>
  <c r="G7361" i="5"/>
  <c r="G7362" i="5"/>
  <c r="G7355" i="5"/>
  <c r="G7356" i="5"/>
  <c r="G7357" i="5"/>
  <c r="G7347" i="5"/>
  <c r="G7348" i="5"/>
  <c r="G7349" i="5"/>
  <c r="G7350" i="5"/>
  <c r="G7351" i="5"/>
  <c r="G7339" i="5"/>
  <c r="G7340" i="5"/>
  <c r="G7341" i="5"/>
  <c r="G7342" i="5"/>
  <c r="G7343" i="5"/>
  <c r="G7333" i="5"/>
  <c r="G7334" i="5"/>
  <c r="G7335" i="5"/>
  <c r="G7326" i="5"/>
  <c r="G7327" i="5"/>
  <c r="G7328" i="5"/>
  <c r="G7329" i="5"/>
  <c r="G7322" i="5"/>
  <c r="H7322" i="5" s="1"/>
  <c r="E3237" i="8" s="1"/>
  <c r="G7318" i="5"/>
  <c r="H7318" i="5" s="1"/>
  <c r="G7314" i="5"/>
  <c r="H7314" i="5" s="1"/>
  <c r="G7310" i="5"/>
  <c r="H7310" i="5" s="1"/>
  <c r="G7306" i="5"/>
  <c r="H7306" i="5" s="1"/>
  <c r="E3230" i="8" s="1"/>
  <c r="F3230" i="8" s="1"/>
  <c r="G7302" i="5"/>
  <c r="H7302" i="5" s="1"/>
  <c r="G7298" i="5"/>
  <c r="H7298" i="5" s="1"/>
  <c r="G7294" i="5"/>
  <c r="H7294" i="5" s="1"/>
  <c r="E3226" i="8" s="1"/>
  <c r="G7290" i="5"/>
  <c r="H7290" i="5" s="1"/>
  <c r="G7286" i="5"/>
  <c r="H7286" i="5" s="1"/>
  <c r="G7282" i="5"/>
  <c r="H7282" i="5" s="1"/>
  <c r="E3220" i="8" s="1"/>
  <c r="G7278" i="5"/>
  <c r="H7278" i="5" s="1"/>
  <c r="G7274" i="5"/>
  <c r="H7274" i="5" s="1"/>
  <c r="G7270" i="5"/>
  <c r="H7270" i="5" s="1"/>
  <c r="E3211" i="8" s="1"/>
  <c r="G7266" i="5"/>
  <c r="H7266" i="5" s="1"/>
  <c r="G7261" i="5"/>
  <c r="G7262" i="5"/>
  <c r="G7256" i="5"/>
  <c r="G7257" i="5"/>
  <c r="G7251" i="5"/>
  <c r="G7252" i="5"/>
  <c r="G7244" i="5"/>
  <c r="G7245" i="5"/>
  <c r="G7246" i="5"/>
  <c r="G7247" i="5"/>
  <c r="G7238" i="5"/>
  <c r="G7239" i="5"/>
  <c r="G7240" i="5"/>
  <c r="G7232" i="5"/>
  <c r="G7233" i="5"/>
  <c r="G7234" i="5"/>
  <c r="G7228" i="5"/>
  <c r="H7228" i="5" s="1"/>
  <c r="G7224" i="5"/>
  <c r="H7224" i="5" s="1"/>
  <c r="E3116" i="8" s="1"/>
  <c r="F3116" i="8" s="1"/>
  <c r="G7220" i="5"/>
  <c r="H7220" i="5" s="1"/>
  <c r="G7216" i="5"/>
  <c r="H7216" i="5" s="1"/>
  <c r="E7210" i="5"/>
  <c r="G7210" i="5" s="1"/>
  <c r="H7210" i="5" s="1"/>
  <c r="E3098" i="8" s="1"/>
  <c r="E7204" i="5"/>
  <c r="G7204" i="5" s="1"/>
  <c r="H7204" i="5" s="1"/>
  <c r="E7198" i="5"/>
  <c r="G7198" i="5" s="1"/>
  <c r="H7198" i="5" s="1"/>
  <c r="E3096" i="8" s="1"/>
  <c r="F3096" i="8" s="1"/>
  <c r="E7192" i="5"/>
  <c r="G7192" i="5" s="1"/>
  <c r="H7192" i="5" s="1"/>
  <c r="E7186" i="5"/>
  <c r="G7186" i="5" s="1"/>
  <c r="H7186" i="5" s="1"/>
  <c r="E3094" i="8" s="1"/>
  <c r="F3094" i="8" s="1"/>
  <c r="E7180" i="5"/>
  <c r="G7180" i="5" s="1"/>
  <c r="H7180" i="5" s="1"/>
  <c r="E7174" i="5"/>
  <c r="G7174" i="5" s="1"/>
  <c r="H7174" i="5" s="1"/>
  <c r="E3092" i="8" s="1"/>
  <c r="F3092" i="8" s="1"/>
  <c r="E7168" i="5"/>
  <c r="G7168" i="5" s="1"/>
  <c r="H7168" i="5" s="1"/>
  <c r="E7162" i="5"/>
  <c r="G7162" i="5" s="1"/>
  <c r="H7162" i="5" s="1"/>
  <c r="E3090" i="8" s="1"/>
  <c r="F3090" i="8" s="1"/>
  <c r="E7156" i="5"/>
  <c r="G7156" i="5" s="1"/>
  <c r="H7156" i="5" s="1"/>
  <c r="G7152" i="5"/>
  <c r="H7152" i="5" s="1"/>
  <c r="E3053" i="8" s="1"/>
  <c r="F3053" i="8" s="1"/>
  <c r="G7148" i="5"/>
  <c r="H7148" i="5" s="1"/>
  <c r="G7144" i="5"/>
  <c r="H7144" i="5" s="1"/>
  <c r="G7140" i="5"/>
  <c r="H7140" i="5" s="1"/>
  <c r="G7136" i="5"/>
  <c r="H7136" i="5" s="1"/>
  <c r="G7132" i="5"/>
  <c r="H7132" i="5" s="1"/>
  <c r="E3048" i="8" s="1"/>
  <c r="F3048" i="8" s="1"/>
  <c r="G7128" i="5"/>
  <c r="H7128" i="5" s="1"/>
  <c r="E3047" i="8" s="1"/>
  <c r="G7124" i="5"/>
  <c r="H7124" i="5" s="1"/>
  <c r="G7120" i="5"/>
  <c r="H7120" i="5" s="1"/>
  <c r="G7116" i="5"/>
  <c r="H7116" i="5" s="1"/>
  <c r="E3044" i="8" s="1"/>
  <c r="G7112" i="5"/>
  <c r="H7112" i="5" s="1"/>
  <c r="G7108" i="5"/>
  <c r="H7108" i="5" s="1"/>
  <c r="G7104" i="5"/>
  <c r="H7104" i="5" s="1"/>
  <c r="G7100" i="5"/>
  <c r="H7100" i="5" s="1"/>
  <c r="E3040" i="8" s="1"/>
  <c r="G7096" i="5"/>
  <c r="H7096" i="5" s="1"/>
  <c r="E3039" i="8" s="1"/>
  <c r="G7092" i="5"/>
  <c r="H7092" i="5" s="1"/>
  <c r="G7088" i="5"/>
  <c r="H7088" i="5" s="1"/>
  <c r="E3037" i="8" s="1"/>
  <c r="G7084" i="5"/>
  <c r="H7084" i="5" s="1"/>
  <c r="G7080" i="5"/>
  <c r="H7080" i="5" s="1"/>
  <c r="G7076" i="5"/>
  <c r="H7076" i="5" s="1"/>
  <c r="E3034" i="8" s="1"/>
  <c r="G7072" i="5"/>
  <c r="H7072" i="5" s="1"/>
  <c r="G7068" i="5"/>
  <c r="H7068" i="5" s="1"/>
  <c r="G7064" i="5"/>
  <c r="H7064" i="5" s="1"/>
  <c r="G7060" i="5"/>
  <c r="H7060" i="5" s="1"/>
  <c r="G7056" i="5"/>
  <c r="H7056" i="5" s="1"/>
  <c r="G7052" i="5"/>
  <c r="H7052" i="5" s="1"/>
  <c r="G7048" i="5"/>
  <c r="H7048" i="5" s="1"/>
  <c r="E3027" i="8" s="1"/>
  <c r="G7044" i="5"/>
  <c r="H7044" i="5" s="1"/>
  <c r="G7040" i="5"/>
  <c r="H7040" i="5" s="1"/>
  <c r="G7036" i="5"/>
  <c r="H7036" i="5" s="1"/>
  <c r="G7032" i="5"/>
  <c r="H7032" i="5" s="1"/>
  <c r="G7028" i="5"/>
  <c r="H7028" i="5" s="1"/>
  <c r="G7024" i="5"/>
  <c r="H7024" i="5" s="1"/>
  <c r="E3019" i="8" s="1"/>
  <c r="G7020" i="5"/>
  <c r="H7020" i="5" s="1"/>
  <c r="G7016" i="5"/>
  <c r="H7016" i="5" s="1"/>
  <c r="G7012" i="5"/>
  <c r="H7012" i="5" s="1"/>
  <c r="G7008" i="5"/>
  <c r="H7008" i="5" s="1"/>
  <c r="E3012" i="8" s="1"/>
  <c r="F3012" i="8" s="1"/>
  <c r="G7004" i="5"/>
  <c r="H7004" i="5" s="1"/>
  <c r="E3011" i="8" s="1"/>
  <c r="F3011" i="8" s="1"/>
  <c r="G7000" i="5"/>
  <c r="H7000" i="5" s="1"/>
  <c r="G6996" i="5"/>
  <c r="H6996" i="5" s="1"/>
  <c r="E3003" i="8" s="1"/>
  <c r="F3003" i="8" s="1"/>
  <c r="G6992" i="5"/>
  <c r="H6992" i="5" s="1"/>
  <c r="G6988" i="5"/>
  <c r="H6988" i="5" s="1"/>
  <c r="G6984" i="5"/>
  <c r="H6984" i="5" s="1"/>
  <c r="E2996" i="8" s="1"/>
  <c r="G6980" i="5"/>
  <c r="H6980" i="5" s="1"/>
  <c r="G6976" i="5"/>
  <c r="H6976" i="5" s="1"/>
  <c r="G6972" i="5"/>
  <c r="H6972" i="5" s="1"/>
  <c r="G6968" i="5"/>
  <c r="H6968" i="5" s="1"/>
  <c r="G6964" i="5"/>
  <c r="H6964" i="5" s="1"/>
  <c r="G6960" i="5"/>
  <c r="H6960" i="5" s="1"/>
  <c r="E2990" i="8" s="1"/>
  <c r="F2990" i="8" s="1"/>
  <c r="G6956" i="5"/>
  <c r="H6956" i="5" s="1"/>
  <c r="G6952" i="5"/>
  <c r="H6952" i="5" s="1"/>
  <c r="G6948" i="5"/>
  <c r="H6948" i="5" s="1"/>
  <c r="G6944" i="5"/>
  <c r="H6944" i="5" s="1"/>
  <c r="E2981" i="8" s="1"/>
  <c r="F2981" i="8" s="1"/>
  <c r="G6940" i="5"/>
  <c r="H6940" i="5" s="1"/>
  <c r="E2980" i="8" s="1"/>
  <c r="G6936" i="5"/>
  <c r="H6936" i="5" s="1"/>
  <c r="G6932" i="5"/>
  <c r="H6932" i="5" s="1"/>
  <c r="E2978" i="8" s="1"/>
  <c r="G6928" i="5"/>
  <c r="H6928" i="5" s="1"/>
  <c r="G6924" i="5"/>
  <c r="H6924" i="5" s="1"/>
  <c r="G6920" i="5"/>
  <c r="H6920" i="5" s="1"/>
  <c r="E2946" i="8" s="1"/>
  <c r="F2946" i="8" s="1"/>
  <c r="G6916" i="5"/>
  <c r="H6916" i="5" s="1"/>
  <c r="G6912" i="5"/>
  <c r="H6912" i="5" s="1"/>
  <c r="G6908" i="5"/>
  <c r="H6908" i="5" s="1"/>
  <c r="G6904" i="5"/>
  <c r="H6904" i="5" s="1"/>
  <c r="G6900" i="5"/>
  <c r="H6900" i="5" s="1"/>
  <c r="G6896" i="5"/>
  <c r="H6896" i="5" s="1"/>
  <c r="E2936" i="8" s="1"/>
  <c r="F2936" i="8" s="1"/>
  <c r="G6892" i="5"/>
  <c r="H6892" i="5" s="1"/>
  <c r="G6888" i="5"/>
  <c r="H6888" i="5" s="1"/>
  <c r="G6884" i="5"/>
  <c r="H6884" i="5" s="1"/>
  <c r="G6880" i="5"/>
  <c r="H6880" i="5" s="1"/>
  <c r="E2931" i="8" s="1"/>
  <c r="G6876" i="5"/>
  <c r="H6876" i="5" s="1"/>
  <c r="E2930" i="8" s="1"/>
  <c r="F2930" i="8" s="1"/>
  <c r="G6872" i="5"/>
  <c r="H6872" i="5" s="1"/>
  <c r="G6868" i="5"/>
  <c r="H6868" i="5" s="1"/>
  <c r="E2927" i="8" s="1"/>
  <c r="G6864" i="5"/>
  <c r="H6864" i="5" s="1"/>
  <c r="G6860" i="5"/>
  <c r="H6860" i="5" s="1"/>
  <c r="G6856" i="5"/>
  <c r="H6856" i="5" s="1"/>
  <c r="E2923" i="8" s="1"/>
  <c r="G6852" i="5"/>
  <c r="H6852" i="5" s="1"/>
  <c r="G6848" i="5"/>
  <c r="H6848" i="5" s="1"/>
  <c r="G6844" i="5"/>
  <c r="H6844" i="5" s="1"/>
  <c r="G6840" i="5"/>
  <c r="H6840" i="5" s="1"/>
  <c r="G6836" i="5"/>
  <c r="H6836" i="5" s="1"/>
  <c r="G6832" i="5"/>
  <c r="H6832" i="5" s="1"/>
  <c r="E2907" i="8" s="1"/>
  <c r="F2907" i="8" s="1"/>
  <c r="G6828" i="5"/>
  <c r="H6828" i="5" s="1"/>
  <c r="G6824" i="5"/>
  <c r="H6824" i="5" s="1"/>
  <c r="G6820" i="5"/>
  <c r="H6820" i="5" s="1"/>
  <c r="G6816" i="5"/>
  <c r="H6816" i="5" s="1"/>
  <c r="E2903" i="8" s="1"/>
  <c r="F2903" i="8" s="1"/>
  <c r="G6812" i="5"/>
  <c r="H6812" i="5" s="1"/>
  <c r="E2902" i="8" s="1"/>
  <c r="F2902" i="8" s="1"/>
  <c r="G6808" i="5"/>
  <c r="H6808" i="5" s="1"/>
  <c r="G6804" i="5"/>
  <c r="H6804" i="5" s="1"/>
  <c r="E2900" i="8" s="1"/>
  <c r="F2900" i="8" s="1"/>
  <c r="G6800" i="5"/>
  <c r="H6800" i="5" s="1"/>
  <c r="G6796" i="5"/>
  <c r="H6796" i="5" s="1"/>
  <c r="G6792" i="5"/>
  <c r="H6792" i="5" s="1"/>
  <c r="E2897" i="8" s="1"/>
  <c r="G6788" i="5"/>
  <c r="H6788" i="5" s="1"/>
  <c r="G6784" i="5"/>
  <c r="H6784" i="5" s="1"/>
  <c r="G6780" i="5"/>
  <c r="H6780" i="5" s="1"/>
  <c r="G6776" i="5"/>
  <c r="H6776" i="5" s="1"/>
  <c r="G6772" i="5"/>
  <c r="H6772" i="5" s="1"/>
  <c r="G6768" i="5"/>
  <c r="H6768" i="5" s="1"/>
  <c r="E2891" i="8" s="1"/>
  <c r="F2891" i="8" s="1"/>
  <c r="G6764" i="5"/>
  <c r="H6764" i="5" s="1"/>
  <c r="G6760" i="5"/>
  <c r="H6760" i="5" s="1"/>
  <c r="G6756" i="5"/>
  <c r="H6756" i="5" s="1"/>
  <c r="G6752" i="5"/>
  <c r="H6752" i="5" s="1"/>
  <c r="E2885" i="8" s="1"/>
  <c r="G6748" i="5"/>
  <c r="H6748" i="5" s="1"/>
  <c r="E2884" i="8" s="1"/>
  <c r="G6744" i="5"/>
  <c r="H6744" i="5" s="1"/>
  <c r="G6740" i="5"/>
  <c r="H6740" i="5" s="1"/>
  <c r="E2882" i="8" s="1"/>
  <c r="G6736" i="5"/>
  <c r="H6736" i="5" s="1"/>
  <c r="G6732" i="5"/>
  <c r="H6732" i="5" s="1"/>
  <c r="G6728" i="5"/>
  <c r="H6728" i="5" s="1"/>
  <c r="E2879" i="8" s="1"/>
  <c r="F2879" i="8" s="1"/>
  <c r="G6724" i="5"/>
  <c r="H6724" i="5" s="1"/>
  <c r="G6720" i="5"/>
  <c r="H6720" i="5" s="1"/>
  <c r="G6716" i="5"/>
  <c r="H6716" i="5" s="1"/>
  <c r="G6712" i="5"/>
  <c r="H6712" i="5" s="1"/>
  <c r="G6708" i="5"/>
  <c r="H6708" i="5" s="1"/>
  <c r="G6704" i="5"/>
  <c r="H6704" i="5" s="1"/>
  <c r="G6700" i="5"/>
  <c r="H6700" i="5" s="1"/>
  <c r="E2872" i="8" s="1"/>
  <c r="F2872" i="8" s="1"/>
  <c r="G6696" i="5"/>
  <c r="H6696" i="5" s="1"/>
  <c r="E2871" i="8" s="1"/>
  <c r="G6692" i="5"/>
  <c r="H6692" i="5" s="1"/>
  <c r="G6688" i="5"/>
  <c r="H6688" i="5" s="1"/>
  <c r="G6684" i="5"/>
  <c r="H6684" i="5" s="1"/>
  <c r="E2868" i="8" s="1"/>
  <c r="G6680" i="5"/>
  <c r="H6680" i="5" s="1"/>
  <c r="E2861" i="8" s="1"/>
  <c r="G6676" i="5"/>
  <c r="H6676" i="5" s="1"/>
  <c r="G6672" i="5"/>
  <c r="H6672" i="5" s="1"/>
  <c r="G6668" i="5"/>
  <c r="H6668" i="5" s="1"/>
  <c r="G6664" i="5"/>
  <c r="H6664" i="5" s="1"/>
  <c r="G6660" i="5"/>
  <c r="H6660" i="5" s="1"/>
  <c r="G6656" i="5"/>
  <c r="H6656" i="5" s="1"/>
  <c r="G6652" i="5"/>
  <c r="H6652" i="5" s="1"/>
  <c r="G6648" i="5"/>
  <c r="H6648" i="5" s="1"/>
  <c r="G6644" i="5"/>
  <c r="H6644" i="5" s="1"/>
  <c r="G6640" i="5"/>
  <c r="H6640" i="5" s="1"/>
  <c r="G6636" i="5"/>
  <c r="H6636" i="5" s="1"/>
  <c r="E2830" i="8" s="1"/>
  <c r="G6632" i="5"/>
  <c r="H6632" i="5" s="1"/>
  <c r="E2829" i="8" s="1"/>
  <c r="F2829" i="8" s="1"/>
  <c r="G6628" i="5"/>
  <c r="H6628" i="5" s="1"/>
  <c r="G6624" i="5"/>
  <c r="H6624" i="5" s="1"/>
  <c r="G6620" i="5"/>
  <c r="H6620" i="5" s="1"/>
  <c r="E2824" i="8" s="1"/>
  <c r="F2824" i="8" s="1"/>
  <c r="G6616" i="5"/>
  <c r="H6616" i="5" s="1"/>
  <c r="E2823" i="8" s="1"/>
  <c r="F2823" i="8" s="1"/>
  <c r="G6612" i="5"/>
  <c r="H6612" i="5" s="1"/>
  <c r="G6608" i="5"/>
  <c r="H6608" i="5" s="1"/>
  <c r="G6604" i="5"/>
  <c r="H6604" i="5" s="1"/>
  <c r="G6600" i="5"/>
  <c r="H6600" i="5" s="1"/>
  <c r="G6596" i="5"/>
  <c r="H6596" i="5" s="1"/>
  <c r="G6592" i="5"/>
  <c r="H6592" i="5" s="1"/>
  <c r="G6588" i="5"/>
  <c r="H6588" i="5" s="1"/>
  <c r="G6584" i="5"/>
  <c r="H6584" i="5" s="1"/>
  <c r="G6580" i="5"/>
  <c r="H6580" i="5" s="1"/>
  <c r="G6576" i="5"/>
  <c r="H6576" i="5" s="1"/>
  <c r="G6572" i="5"/>
  <c r="H6572" i="5" s="1"/>
  <c r="E2812" i="8" s="1"/>
  <c r="G6568" i="5"/>
  <c r="H6568" i="5" s="1"/>
  <c r="E2806" i="8" s="1"/>
  <c r="G6564" i="5"/>
  <c r="H6564" i="5" s="1"/>
  <c r="G6560" i="5"/>
  <c r="H6560" i="5"/>
  <c r="G6556" i="5"/>
  <c r="H6556" i="5" s="1"/>
  <c r="E2765" i="8" s="1"/>
  <c r="G6552" i="5"/>
  <c r="H6552" i="5" s="1"/>
  <c r="E2757" i="8" s="1"/>
  <c r="F2757" i="8" s="1"/>
  <c r="G6548" i="5"/>
  <c r="H6548" i="5" s="1"/>
  <c r="G6544" i="5"/>
  <c r="H6544" i="5" s="1"/>
  <c r="G6540" i="5"/>
  <c r="H6540" i="5" s="1"/>
  <c r="G6536" i="5"/>
  <c r="H6536" i="5" s="1"/>
  <c r="G6532" i="5"/>
  <c r="H6532" i="5" s="1"/>
  <c r="G6528" i="5"/>
  <c r="H6528" i="5" s="1"/>
  <c r="G6524" i="5"/>
  <c r="H6524" i="5" s="1"/>
  <c r="G6520" i="5"/>
  <c r="H6520" i="5" s="1"/>
  <c r="G6516" i="5"/>
  <c r="H6516" i="5" s="1"/>
  <c r="G6512" i="5"/>
  <c r="H6512" i="5" s="1"/>
  <c r="G6508" i="5"/>
  <c r="H6508" i="5" s="1"/>
  <c r="E2729" i="8" s="1"/>
  <c r="G6504" i="5"/>
  <c r="H6504" i="5" s="1"/>
  <c r="E2725" i="8" s="1"/>
  <c r="G6500" i="5"/>
  <c r="H6500" i="5" s="1"/>
  <c r="G6496" i="5"/>
  <c r="H6496" i="5" s="1"/>
  <c r="G6489" i="5"/>
  <c r="G6490" i="5"/>
  <c r="G6491" i="5"/>
  <c r="G6492" i="5"/>
  <c r="G6482" i="5"/>
  <c r="G6483" i="5"/>
  <c r="G6484" i="5"/>
  <c r="G6485" i="5"/>
  <c r="G6475" i="5"/>
  <c r="G6476" i="5"/>
  <c r="G6477" i="5"/>
  <c r="G6478" i="5"/>
  <c r="G6468" i="5"/>
  <c r="G6469" i="5"/>
  <c r="G6470" i="5"/>
  <c r="G6471" i="5"/>
  <c r="G6461" i="5"/>
  <c r="G6462" i="5"/>
  <c r="G6463" i="5"/>
  <c r="G6464" i="5"/>
  <c r="G6452" i="5"/>
  <c r="G6453" i="5"/>
  <c r="G6454" i="5"/>
  <c r="G6455" i="5"/>
  <c r="G6456" i="5"/>
  <c r="G6457" i="5"/>
  <c r="G6447" i="5"/>
  <c r="G6448" i="5"/>
  <c r="G6440" i="5"/>
  <c r="G6441" i="5"/>
  <c r="G6442" i="5"/>
  <c r="G6443" i="5"/>
  <c r="G6435" i="5"/>
  <c r="G6436" i="5"/>
  <c r="G6430" i="5"/>
  <c r="G6431" i="5"/>
  <c r="G6425" i="5"/>
  <c r="G6426" i="5"/>
  <c r="E6421" i="5"/>
  <c r="G6421" i="5"/>
  <c r="H6421" i="5" s="1"/>
  <c r="E2687" i="8" s="1"/>
  <c r="F2687" i="8" s="1"/>
  <c r="G6417" i="5"/>
  <c r="H6417" i="5" s="1"/>
  <c r="G6412" i="5"/>
  <c r="G6413" i="5"/>
  <c r="G6408" i="5"/>
  <c r="H6408" i="5" s="1"/>
  <c r="E2684" i="8" s="1"/>
  <c r="G6401" i="5"/>
  <c r="G6402" i="5"/>
  <c r="G6403" i="5"/>
  <c r="G6404" i="5"/>
  <c r="G6395" i="5"/>
  <c r="G6396" i="5"/>
  <c r="G6397" i="5"/>
  <c r="G6388" i="5"/>
  <c r="G6389" i="5"/>
  <c r="E6390" i="5"/>
  <c r="G6390" i="5" s="1"/>
  <c r="E6391" i="5"/>
  <c r="G6391" i="5" s="1"/>
  <c r="G6373" i="5"/>
  <c r="G6374" i="5"/>
  <c r="G6375" i="5"/>
  <c r="G6376" i="5"/>
  <c r="E6377" i="5"/>
  <c r="G6377" i="5" s="1"/>
  <c r="G6378" i="5"/>
  <c r="G6379" i="5"/>
  <c r="G6380" i="5"/>
  <c r="E6381" i="5"/>
  <c r="G6381" i="5" s="1"/>
  <c r="E6382" i="5"/>
  <c r="G6382" i="5" s="1"/>
  <c r="G6359" i="5"/>
  <c r="G6360" i="5"/>
  <c r="G6361" i="5"/>
  <c r="G6362" i="5"/>
  <c r="G6363" i="5"/>
  <c r="G6364" i="5"/>
  <c r="G6365" i="5"/>
  <c r="G6366" i="5"/>
  <c r="G6367" i="5"/>
  <c r="G6368" i="5"/>
  <c r="G6369" i="5"/>
  <c r="G6354" i="5"/>
  <c r="G6355" i="5"/>
  <c r="G6345" i="5"/>
  <c r="G6346" i="5"/>
  <c r="G6347" i="5"/>
  <c r="G6348" i="5"/>
  <c r="G6349" i="5"/>
  <c r="G6350" i="5"/>
  <c r="G6335" i="5"/>
  <c r="G6336" i="5"/>
  <c r="G6337" i="5"/>
  <c r="G6338" i="5"/>
  <c r="G6339" i="5"/>
  <c r="G6340" i="5"/>
  <c r="G6341" i="5"/>
  <c r="G6311" i="5"/>
  <c r="G6312" i="5"/>
  <c r="G6313" i="5"/>
  <c r="G6314" i="5"/>
  <c r="G6315" i="5"/>
  <c r="G6316" i="5"/>
  <c r="G6317" i="5"/>
  <c r="G6318" i="5"/>
  <c r="G6319" i="5"/>
  <c r="G6320" i="5"/>
  <c r="G6321" i="5"/>
  <c r="G6322" i="5"/>
  <c r="G6323" i="5"/>
  <c r="G6324" i="5"/>
  <c r="G6325" i="5"/>
  <c r="G6326" i="5"/>
  <c r="G6327" i="5"/>
  <c r="G6328" i="5"/>
  <c r="G6329" i="5"/>
  <c r="G6330" i="5"/>
  <c r="G6331" i="5"/>
  <c r="G6300" i="5"/>
  <c r="G6301" i="5"/>
  <c r="G6302" i="5"/>
  <c r="G6303" i="5"/>
  <c r="G6304" i="5"/>
  <c r="G6305" i="5"/>
  <c r="G6306" i="5"/>
  <c r="G6307" i="5"/>
  <c r="G6291" i="5"/>
  <c r="G6292" i="5"/>
  <c r="G6293" i="5"/>
  <c r="G6294" i="5"/>
  <c r="G6295" i="5"/>
  <c r="G6296" i="5"/>
  <c r="G6283" i="5"/>
  <c r="G6284" i="5"/>
  <c r="G6285" i="5"/>
  <c r="G6286" i="5"/>
  <c r="G6287" i="5"/>
  <c r="G6275" i="5"/>
  <c r="G6276" i="5"/>
  <c r="G6277" i="5"/>
  <c r="G6278" i="5"/>
  <c r="G6279" i="5"/>
  <c r="G6264" i="5"/>
  <c r="G6265" i="5"/>
  <c r="G6266" i="5"/>
  <c r="G6267" i="5"/>
  <c r="G6268" i="5"/>
  <c r="G6269" i="5"/>
  <c r="G6270" i="5"/>
  <c r="G6271" i="5"/>
  <c r="G6255" i="5"/>
  <c r="G6256" i="5"/>
  <c r="G6257" i="5"/>
  <c r="G6258" i="5"/>
  <c r="G6259" i="5"/>
  <c r="G6260" i="5"/>
  <c r="G6249" i="5"/>
  <c r="G6250" i="5"/>
  <c r="G6251" i="5"/>
  <c r="G6243" i="5"/>
  <c r="G6244" i="5"/>
  <c r="G6245" i="5"/>
  <c r="G6236" i="5"/>
  <c r="G6237" i="5"/>
  <c r="G6238" i="5"/>
  <c r="G6239" i="5"/>
  <c r="G6230" i="5"/>
  <c r="G6231" i="5"/>
  <c r="G6232" i="5"/>
  <c r="G6223" i="5"/>
  <c r="G6224" i="5"/>
  <c r="G6225" i="5"/>
  <c r="G6226" i="5"/>
  <c r="G6214" i="5"/>
  <c r="G6215" i="5"/>
  <c r="G6216" i="5"/>
  <c r="G6217" i="5"/>
  <c r="G6218" i="5"/>
  <c r="G6219" i="5"/>
  <c r="G6206" i="5"/>
  <c r="G6207" i="5"/>
  <c r="G6208" i="5"/>
  <c r="G6209" i="5"/>
  <c r="G6210" i="5"/>
  <c r="G6198" i="5"/>
  <c r="G6199" i="5"/>
  <c r="G6200" i="5"/>
  <c r="G6193" i="5"/>
  <c r="G6194" i="5"/>
  <c r="G6188" i="5"/>
  <c r="G6189" i="5"/>
  <c r="G6181" i="5"/>
  <c r="G6182" i="5"/>
  <c r="G6183" i="5"/>
  <c r="G6184" i="5"/>
  <c r="G6170" i="5"/>
  <c r="G6171" i="5"/>
  <c r="G6172" i="5"/>
  <c r="G6173" i="5"/>
  <c r="G6174" i="5"/>
  <c r="G6175" i="5"/>
  <c r="G6176" i="5"/>
  <c r="G6177" i="5"/>
  <c r="E6159" i="5"/>
  <c r="G6159" i="5" s="1"/>
  <c r="E6160" i="5"/>
  <c r="G6160" i="5" s="1"/>
  <c r="G6161" i="5"/>
  <c r="G6162" i="5"/>
  <c r="G6163" i="5"/>
  <c r="G6164" i="5"/>
  <c r="G6165" i="5"/>
  <c r="G6166" i="5"/>
  <c r="G6155" i="5"/>
  <c r="H6155" i="5" s="1"/>
  <c r="E2593" i="8" s="1"/>
  <c r="F2593" i="8" s="1"/>
  <c r="G6151" i="5"/>
  <c r="H6151" i="5" s="1"/>
  <c r="G6147" i="5"/>
  <c r="H6147" i="5" s="1"/>
  <c r="G6139" i="5"/>
  <c r="G6140" i="5"/>
  <c r="G6141" i="5"/>
  <c r="G6142" i="5"/>
  <c r="G6143" i="5"/>
  <c r="E6135" i="5"/>
  <c r="G6135" i="5" s="1"/>
  <c r="H6135" i="5" s="1"/>
  <c r="G6131" i="5"/>
  <c r="H6131" i="5" s="1"/>
  <c r="G6127" i="5"/>
  <c r="H6127" i="5" s="1"/>
  <c r="G6123" i="5"/>
  <c r="H6123" i="5" s="1"/>
  <c r="E2333" i="8" s="1"/>
  <c r="F2333" i="8" s="1"/>
  <c r="G6119" i="5"/>
  <c r="H6119" i="5" s="1"/>
  <c r="G6115" i="5"/>
  <c r="H6115" i="5" s="1"/>
  <c r="G6111" i="5"/>
  <c r="H6111" i="5" s="1"/>
  <c r="G6107" i="5"/>
  <c r="H6107" i="5" s="1"/>
  <c r="G6103" i="5"/>
  <c r="H6103" i="5" s="1"/>
  <c r="E2255" i="8" s="1"/>
  <c r="G6099" i="5"/>
  <c r="H6099" i="5" s="1"/>
  <c r="E2219" i="8" s="1"/>
  <c r="G6095" i="5"/>
  <c r="H6095" i="5" s="1"/>
  <c r="G6091" i="5"/>
  <c r="H6091" i="5" s="1"/>
  <c r="G6087" i="5"/>
  <c r="H6087" i="5" s="1"/>
  <c r="E2104" i="8" s="1"/>
  <c r="G6083" i="5"/>
  <c r="H6083" i="5" s="1"/>
  <c r="G6079" i="5"/>
  <c r="H6079" i="5" s="1"/>
  <c r="E2099" i="8" s="1"/>
  <c r="F2099" i="8" s="1"/>
  <c r="G6075" i="5"/>
  <c r="H6075" i="5" s="1"/>
  <c r="G6063" i="5"/>
  <c r="H6063" i="5" s="1"/>
  <c r="G6067" i="5"/>
  <c r="H6067" i="5" s="1"/>
  <c r="G6059" i="5"/>
  <c r="H6059" i="5" s="1"/>
  <c r="G6055" i="5"/>
  <c r="H6055" i="5" s="1"/>
  <c r="E1954" i="8" s="1"/>
  <c r="G6051" i="5"/>
  <c r="H6051" i="5" s="1"/>
  <c r="G6047" i="5"/>
  <c r="H6047" i="5" s="1"/>
  <c r="G6043" i="5"/>
  <c r="H6043" i="5" s="1"/>
  <c r="G6039" i="5"/>
  <c r="H6039" i="5" s="1"/>
  <c r="G6035" i="5"/>
  <c r="H6035" i="5" s="1"/>
  <c r="E1930" i="8" s="1"/>
  <c r="F1930" i="8" s="1"/>
  <c r="G6031" i="5"/>
  <c r="H6031" i="5" s="1"/>
  <c r="E1928" i="8" s="1"/>
  <c r="G6027" i="5"/>
  <c r="H6027" i="5" s="1"/>
  <c r="G6023" i="5"/>
  <c r="H6023" i="5" s="1"/>
  <c r="G6019" i="5"/>
  <c r="H6019" i="5" s="1"/>
  <c r="E1923" i="8" s="1"/>
  <c r="G6015" i="5"/>
  <c r="H6015" i="5" s="1"/>
  <c r="G6011" i="5"/>
  <c r="H6011" i="5" s="1"/>
  <c r="E1921" i="8" s="1"/>
  <c r="F1921" i="8" s="1"/>
  <c r="G6007" i="5"/>
  <c r="H6007" i="5" s="1"/>
  <c r="G6003" i="5"/>
  <c r="H6003" i="5" s="1"/>
  <c r="G5999" i="5"/>
  <c r="H5999" i="5" s="1"/>
  <c r="G5995" i="5"/>
  <c r="H5995" i="5" s="1"/>
  <c r="G5991" i="5"/>
  <c r="H5991" i="5" s="1"/>
  <c r="E1904" i="8" s="1"/>
  <c r="G5987" i="5"/>
  <c r="H5987" i="5" s="1"/>
  <c r="G5983" i="5"/>
  <c r="H5983" i="5" s="1"/>
  <c r="G5979" i="5"/>
  <c r="H5979" i="5" s="1"/>
  <c r="G5975" i="5"/>
  <c r="H5975" i="5" s="1"/>
  <c r="G5971" i="5"/>
  <c r="H5971" i="5" s="1"/>
  <c r="E1899" i="8" s="1"/>
  <c r="G5967" i="5"/>
  <c r="H5967" i="5" s="1"/>
  <c r="E1898" i="8" s="1"/>
  <c r="F1898" i="8" s="1"/>
  <c r="G5963" i="5"/>
  <c r="H5963" i="5" s="1"/>
  <c r="G5959" i="5"/>
  <c r="H5959" i="5" s="1"/>
  <c r="G5955" i="5"/>
  <c r="H5955" i="5" s="1"/>
  <c r="E1895" i="8" s="1"/>
  <c r="G5951" i="5"/>
  <c r="H5951" i="5" s="1"/>
  <c r="G5947" i="5"/>
  <c r="H5947" i="5" s="1"/>
  <c r="E1893" i="8" s="1"/>
  <c r="G5943" i="5"/>
  <c r="H5943" i="5" s="1"/>
  <c r="G5939" i="5"/>
  <c r="H5939" i="5" s="1"/>
  <c r="G5935" i="5"/>
  <c r="H5935" i="5" s="1"/>
  <c r="G5931" i="5"/>
  <c r="H5931" i="5" s="1"/>
  <c r="G5927" i="5"/>
  <c r="H5927" i="5" s="1"/>
  <c r="E1888" i="8" s="1"/>
  <c r="G5923" i="5"/>
  <c r="H5923" i="5" s="1"/>
  <c r="G5919" i="5"/>
  <c r="H5919" i="5"/>
  <c r="G5915" i="5"/>
  <c r="H5915" i="5" s="1"/>
  <c r="G5911" i="5"/>
  <c r="H5911" i="5" s="1"/>
  <c r="G5907" i="5"/>
  <c r="H5907" i="5" s="1"/>
  <c r="E1882" i="8" s="1"/>
  <c r="G5903" i="5"/>
  <c r="H5903" i="5" s="1"/>
  <c r="G5899" i="5"/>
  <c r="H5899" i="5" s="1"/>
  <c r="G5895" i="5"/>
  <c r="H5895" i="5" s="1"/>
  <c r="E1876" i="8" s="1"/>
  <c r="G5891" i="5"/>
  <c r="H5891" i="5"/>
  <c r="G5887" i="5"/>
  <c r="H5887" i="5" s="1"/>
  <c r="E1873" i="8" s="1"/>
  <c r="F1873" i="8" s="1"/>
  <c r="G5883" i="5"/>
  <c r="H5883" i="5" s="1"/>
  <c r="G5879" i="5"/>
  <c r="H5879" i="5" s="1"/>
  <c r="G5875" i="5"/>
  <c r="H5875" i="5" s="1"/>
  <c r="E1869" i="8" s="1"/>
  <c r="F1869" i="8" s="1"/>
  <c r="G5871" i="5"/>
  <c r="H5871" i="5" s="1"/>
  <c r="G5867" i="5"/>
  <c r="H5867" i="5" s="1"/>
  <c r="E1867" i="8" s="1"/>
  <c r="F1867" i="8" s="1"/>
  <c r="G5863" i="5"/>
  <c r="H5863" i="5" s="1"/>
  <c r="G5859" i="5"/>
  <c r="H5859" i="5" s="1"/>
  <c r="G5855" i="5"/>
  <c r="H5855" i="5" s="1"/>
  <c r="G5851" i="5"/>
  <c r="H5851" i="5" s="1"/>
  <c r="G5847" i="5"/>
  <c r="H5847" i="5" s="1"/>
  <c r="E1861" i="8" s="1"/>
  <c r="G5843" i="5"/>
  <c r="H5843" i="5" s="1"/>
  <c r="G5839" i="5"/>
  <c r="H5839" i="5" s="1"/>
  <c r="G5835" i="5"/>
  <c r="H5835" i="5" s="1"/>
  <c r="G5831" i="5"/>
  <c r="H5831" i="5" s="1"/>
  <c r="G5827" i="5"/>
  <c r="H5827" i="5" s="1"/>
  <c r="E1853" i="8" s="1"/>
  <c r="G5823" i="5"/>
  <c r="H5823" i="5" s="1"/>
  <c r="E1852" i="8" s="1"/>
  <c r="G5819" i="5"/>
  <c r="H5819" i="5" s="1"/>
  <c r="G5815" i="5"/>
  <c r="H5815" i="5" s="1"/>
  <c r="G5811" i="5"/>
  <c r="H5811" i="5" s="1"/>
  <c r="E1848" i="8" s="1"/>
  <c r="F1848" i="8" s="1"/>
  <c r="G5807" i="5"/>
  <c r="H5807" i="5" s="1"/>
  <c r="G5803" i="5"/>
  <c r="H5803" i="5" s="1"/>
  <c r="G5799" i="5"/>
  <c r="H5799" i="5" s="1"/>
  <c r="E1844" i="8" s="1"/>
  <c r="F1844" i="8" s="1"/>
  <c r="G5795" i="5"/>
  <c r="H5795" i="5" s="1"/>
  <c r="G5791" i="5"/>
  <c r="H5791" i="5" s="1"/>
  <c r="E1842" i="8" s="1"/>
  <c r="G5787" i="5"/>
  <c r="H5787" i="5" s="1"/>
  <c r="G5783" i="5"/>
  <c r="H5783" i="5" s="1"/>
  <c r="G5779" i="5"/>
  <c r="H5779" i="5" s="1"/>
  <c r="E1838" i="8" s="1"/>
  <c r="G5775" i="5"/>
  <c r="H5775" i="5" s="1"/>
  <c r="G5771" i="5"/>
  <c r="H5771" i="5" s="1"/>
  <c r="G5767" i="5"/>
  <c r="H5767" i="5" s="1"/>
  <c r="E1834" i="8" s="1"/>
  <c r="F1834" i="8" s="1"/>
  <c r="G5763" i="5"/>
  <c r="H5763" i="5" s="1"/>
  <c r="G5759" i="5"/>
  <c r="H5759" i="5" s="1"/>
  <c r="E1832" i="8" s="1"/>
  <c r="F1832" i="8" s="1"/>
  <c r="G5755" i="5"/>
  <c r="H5755" i="5" s="1"/>
  <c r="G5751" i="5"/>
  <c r="H5751" i="5" s="1"/>
  <c r="G5747" i="5"/>
  <c r="H5747" i="5" s="1"/>
  <c r="E1819" i="8" s="1"/>
  <c r="G5743" i="5"/>
  <c r="H5743" i="5" s="1"/>
  <c r="G5739" i="5"/>
  <c r="H5739" i="5" s="1"/>
  <c r="G5735" i="5"/>
  <c r="H5735" i="5" s="1"/>
  <c r="E1816" i="8" s="1"/>
  <c r="G5731" i="5"/>
  <c r="H5731" i="5" s="1"/>
  <c r="G5727" i="5"/>
  <c r="H5727" i="5" s="1"/>
  <c r="G5723" i="5"/>
  <c r="H5723" i="5" s="1"/>
  <c r="G5719" i="5"/>
  <c r="H5719" i="5" s="1"/>
  <c r="E1812" i="8" s="1"/>
  <c r="G5715" i="5"/>
  <c r="H5715" i="5" s="1"/>
  <c r="G5711" i="5"/>
  <c r="H5711" i="5" s="1"/>
  <c r="G5707" i="5"/>
  <c r="H5707" i="5" s="1"/>
  <c r="G5703" i="5"/>
  <c r="H5703" i="5" s="1"/>
  <c r="G5699" i="5"/>
  <c r="H5699" i="5" s="1"/>
  <c r="G5695" i="5"/>
  <c r="H5695" i="5" s="1"/>
  <c r="G5691" i="5"/>
  <c r="H5691" i="5" s="1"/>
  <c r="G5687" i="5"/>
  <c r="H5687" i="5" s="1"/>
  <c r="E1575" i="8" s="1"/>
  <c r="G5683" i="5"/>
  <c r="H5683" i="5" s="1"/>
  <c r="G5679" i="5"/>
  <c r="H5679" i="5" s="1"/>
  <c r="G5675" i="5"/>
  <c r="H5675" i="5" s="1"/>
  <c r="E1572" i="8" s="1"/>
  <c r="F1572" i="8" s="1"/>
  <c r="G5671" i="5"/>
  <c r="H5671" i="5" s="1"/>
  <c r="G5667" i="5"/>
  <c r="H5667" i="5" s="1"/>
  <c r="E1570" i="8" s="1"/>
  <c r="G5663" i="5"/>
  <c r="H5663" i="5" s="1"/>
  <c r="G5659" i="5"/>
  <c r="H5659" i="5" s="1"/>
  <c r="G5655" i="5"/>
  <c r="H5655" i="5" s="1"/>
  <c r="E1566" i="8" s="1"/>
  <c r="F1566" i="8" s="1"/>
  <c r="G5651" i="5"/>
  <c r="H5651" i="5" s="1"/>
  <c r="G5647" i="5"/>
  <c r="H5647" i="5" s="1"/>
  <c r="G5643" i="5"/>
  <c r="H5643" i="5" s="1"/>
  <c r="E1549" i="8" s="1"/>
  <c r="G5639" i="5"/>
  <c r="H5639" i="5" s="1"/>
  <c r="G5635" i="5"/>
  <c r="H5635" i="5" s="1"/>
  <c r="G5631" i="5"/>
  <c r="H5631" i="5" s="1"/>
  <c r="E1546" i="8" s="1"/>
  <c r="F1546" i="8" s="1"/>
  <c r="G5627" i="5"/>
  <c r="H5627" i="5" s="1"/>
  <c r="G5623" i="5"/>
  <c r="H5623" i="5" s="1"/>
  <c r="E1499" i="8" s="1"/>
  <c r="F1499" i="8" s="1"/>
  <c r="G5619" i="5"/>
  <c r="H5619" i="5" s="1"/>
  <c r="E5613" i="5"/>
  <c r="G5613" i="5" s="1"/>
  <c r="H5613" i="5" s="1"/>
  <c r="E5607" i="5"/>
  <c r="G5607" i="5" s="1"/>
  <c r="H5607" i="5" s="1"/>
  <c r="E1426" i="8" s="1"/>
  <c r="E5601" i="5"/>
  <c r="G5601" i="5" s="1"/>
  <c r="H5601" i="5" s="1"/>
  <c r="E5595" i="5"/>
  <c r="G5595" i="5" s="1"/>
  <c r="H5595" i="5" s="1"/>
  <c r="E1424" i="8" s="1"/>
  <c r="F1424" i="8" s="1"/>
  <c r="E5589" i="5"/>
  <c r="G5589" i="5" s="1"/>
  <c r="H5589" i="5" s="1"/>
  <c r="E5583" i="5"/>
  <c r="G5583" i="5" s="1"/>
  <c r="H5583" i="5" s="1"/>
  <c r="E1422" i="8" s="1"/>
  <c r="F1422" i="8" s="1"/>
  <c r="E5577" i="5"/>
  <c r="G5577" i="5" s="1"/>
  <c r="H5577" i="5" s="1"/>
  <c r="E5571" i="5"/>
  <c r="G5571" i="5" s="1"/>
  <c r="H5571" i="5" s="1"/>
  <c r="E1420" i="8" s="1"/>
  <c r="E5565" i="5"/>
  <c r="G5565" i="5"/>
  <c r="H5565" i="5" s="1"/>
  <c r="E5559" i="5"/>
  <c r="G5559" i="5" s="1"/>
  <c r="H5559" i="5" s="1"/>
  <c r="E1418" i="8" s="1"/>
  <c r="E5553" i="5"/>
  <c r="G5553" i="5" s="1"/>
  <c r="H5553" i="5" s="1"/>
  <c r="E5547" i="5"/>
  <c r="G5547" i="5" s="1"/>
  <c r="H5547" i="5" s="1"/>
  <c r="E1416" i="8" s="1"/>
  <c r="E5541" i="5"/>
  <c r="G5541" i="5" s="1"/>
  <c r="H5541" i="5" s="1"/>
  <c r="E5535" i="5"/>
  <c r="G5535" i="5" s="1"/>
  <c r="H5535" i="5" s="1"/>
  <c r="E1414" i="8" s="1"/>
  <c r="E5529" i="5"/>
  <c r="G5529" i="5" s="1"/>
  <c r="H5529" i="5" s="1"/>
  <c r="E5523" i="5"/>
  <c r="G5523" i="5" s="1"/>
  <c r="H5523" i="5" s="1"/>
  <c r="E1412" i="8" s="1"/>
  <c r="E5517" i="5"/>
  <c r="G5517" i="5"/>
  <c r="H5517" i="5" s="1"/>
  <c r="E5511" i="5"/>
  <c r="G5511" i="5" s="1"/>
  <c r="H5511" i="5" s="1"/>
  <c r="E1410" i="8" s="1"/>
  <c r="E5505" i="5"/>
  <c r="G5505" i="5" s="1"/>
  <c r="H5505" i="5" s="1"/>
  <c r="E5499" i="5"/>
  <c r="G5499" i="5" s="1"/>
  <c r="H5499" i="5" s="1"/>
  <c r="E1408" i="8" s="1"/>
  <c r="G5495" i="5"/>
  <c r="H5495" i="5" s="1"/>
  <c r="G5488" i="5"/>
  <c r="G5489" i="5"/>
  <c r="G5490" i="5"/>
  <c r="G5491" i="5"/>
  <c r="G5484" i="5"/>
  <c r="H5484" i="5" s="1"/>
  <c r="G5478" i="5"/>
  <c r="G5479" i="5"/>
  <c r="G5480" i="5"/>
  <c r="G5472" i="5"/>
  <c r="G5473" i="5"/>
  <c r="G5474" i="5"/>
  <c r="G5466" i="5"/>
  <c r="G5467" i="5"/>
  <c r="G5468" i="5"/>
  <c r="G5459" i="5"/>
  <c r="G5460" i="5"/>
  <c r="G5461" i="5"/>
  <c r="G5462" i="5"/>
  <c r="G5453" i="5"/>
  <c r="G5454" i="5"/>
  <c r="G5455" i="5"/>
  <c r="G5447" i="5"/>
  <c r="G5448" i="5"/>
  <c r="G5449" i="5"/>
  <c r="E5435" i="5"/>
  <c r="G5435" i="5" s="1"/>
  <c r="E5436" i="5"/>
  <c r="G5436" i="5" s="1"/>
  <c r="E5437" i="5"/>
  <c r="G5437" i="5" s="1"/>
  <c r="E5438" i="5"/>
  <c r="G5438" i="5"/>
  <c r="E5439" i="5"/>
  <c r="G5439" i="5" s="1"/>
  <c r="E5440" i="5"/>
  <c r="G5440" i="5" s="1"/>
  <c r="E5441" i="5"/>
  <c r="G5441" i="5" s="1"/>
  <c r="G5442" i="5"/>
  <c r="G5443" i="5"/>
  <c r="E5425" i="5"/>
  <c r="G5425" i="5" s="1"/>
  <c r="E5426" i="5"/>
  <c r="G5426" i="5" s="1"/>
  <c r="E5427" i="5"/>
  <c r="G5427" i="5" s="1"/>
  <c r="E5428" i="5"/>
  <c r="G5428" i="5" s="1"/>
  <c r="E5429" i="5"/>
  <c r="G5429" i="5" s="1"/>
  <c r="E5430" i="5"/>
  <c r="G5430" i="5" s="1"/>
  <c r="E5431" i="5"/>
  <c r="G5431" i="5" s="1"/>
  <c r="G5418" i="5"/>
  <c r="G5419" i="5"/>
  <c r="E5420" i="5"/>
  <c r="G5420" i="5" s="1"/>
  <c r="E5421" i="5"/>
  <c r="G5421" i="5" s="1"/>
  <c r="G5410" i="5"/>
  <c r="G5411" i="5"/>
  <c r="G5412" i="5"/>
  <c r="G5413" i="5"/>
  <c r="G5414" i="5"/>
  <c r="G5402" i="5"/>
  <c r="G5403" i="5"/>
  <c r="G5404" i="5"/>
  <c r="G5405" i="5"/>
  <c r="G5406" i="5"/>
  <c r="G5394" i="5"/>
  <c r="G5395" i="5"/>
  <c r="G5396" i="5"/>
  <c r="G5397" i="5"/>
  <c r="G5398" i="5"/>
  <c r="G5388" i="5"/>
  <c r="G5389" i="5"/>
  <c r="G5390" i="5"/>
  <c r="G5382" i="5"/>
  <c r="G5383" i="5"/>
  <c r="G5384" i="5"/>
  <c r="E5375" i="5"/>
  <c r="G5375" i="5" s="1"/>
  <c r="E5376" i="5"/>
  <c r="G5376" i="5" s="1"/>
  <c r="G5377" i="5"/>
  <c r="G5378" i="5"/>
  <c r="G5369" i="5"/>
  <c r="G5370" i="5"/>
  <c r="G5371" i="5"/>
  <c r="G5363" i="5"/>
  <c r="G5364" i="5"/>
  <c r="G5365" i="5"/>
  <c r="G5356" i="5"/>
  <c r="G5357" i="5"/>
  <c r="G5358" i="5"/>
  <c r="G5359" i="5"/>
  <c r="G5349" i="5"/>
  <c r="G5350" i="5"/>
  <c r="G5351" i="5"/>
  <c r="G5352" i="5"/>
  <c r="G5342" i="5"/>
  <c r="G5343" i="5"/>
  <c r="G5344" i="5"/>
  <c r="G5345" i="5"/>
  <c r="G5336" i="5"/>
  <c r="G5337" i="5"/>
  <c r="G5338" i="5"/>
  <c r="G5330" i="5"/>
  <c r="G5331" i="5"/>
  <c r="G5332" i="5"/>
  <c r="G5324" i="5"/>
  <c r="G5325" i="5"/>
  <c r="G5326" i="5"/>
  <c r="G5318" i="5"/>
  <c r="G5319" i="5"/>
  <c r="G5320" i="5"/>
  <c r="G5312" i="5"/>
  <c r="G5313" i="5"/>
  <c r="G5314" i="5"/>
  <c r="G5306" i="5"/>
  <c r="G5307" i="5"/>
  <c r="G5308" i="5"/>
  <c r="G5300" i="5"/>
  <c r="G5301" i="5"/>
  <c r="G5302" i="5"/>
  <c r="G5293" i="5"/>
  <c r="G5294" i="5"/>
  <c r="G5295" i="5"/>
  <c r="G5296" i="5"/>
  <c r="G5287" i="5"/>
  <c r="G5288" i="5"/>
  <c r="G5289" i="5"/>
  <c r="G5279" i="5"/>
  <c r="G5280" i="5"/>
  <c r="G5281" i="5"/>
  <c r="G5282" i="5"/>
  <c r="G5283" i="5"/>
  <c r="E5267" i="5"/>
  <c r="G5267" i="5" s="1"/>
  <c r="E5268" i="5"/>
  <c r="G5268" i="5"/>
  <c r="E5269" i="5"/>
  <c r="G5269" i="5" s="1"/>
  <c r="E5270" i="5"/>
  <c r="G5270" i="5" s="1"/>
  <c r="E5271" i="5"/>
  <c r="G5271" i="5" s="1"/>
  <c r="E5272" i="5"/>
  <c r="G5272" i="5"/>
  <c r="E5273" i="5"/>
  <c r="G5273" i="5" s="1"/>
  <c r="E5274" i="5"/>
  <c r="G5274" i="5" s="1"/>
  <c r="E5275" i="5"/>
  <c r="G5275" i="5" s="1"/>
  <c r="G5260" i="5"/>
  <c r="G5261" i="5"/>
  <c r="G5262" i="5"/>
  <c r="G5263" i="5"/>
  <c r="G5254" i="5"/>
  <c r="G5255" i="5"/>
  <c r="G5256" i="5"/>
  <c r="G5248" i="5"/>
  <c r="G5249" i="5"/>
  <c r="G5250" i="5"/>
  <c r="G5241" i="5"/>
  <c r="G5242" i="5"/>
  <c r="G5243" i="5"/>
  <c r="G5244" i="5"/>
  <c r="G5234" i="5"/>
  <c r="G5235" i="5"/>
  <c r="G5236" i="5"/>
  <c r="G5237" i="5"/>
  <c r="G5219" i="5"/>
  <c r="G5220" i="5"/>
  <c r="G5221" i="5"/>
  <c r="G5222" i="5"/>
  <c r="G5223" i="5"/>
  <c r="G5224" i="5"/>
  <c r="G5225" i="5"/>
  <c r="G5226" i="5"/>
  <c r="G5227" i="5"/>
  <c r="G5228" i="5"/>
  <c r="G5230" i="5"/>
  <c r="G5204" i="5"/>
  <c r="G5205" i="5"/>
  <c r="G5206" i="5"/>
  <c r="G5207" i="5"/>
  <c r="G5208" i="5"/>
  <c r="G5209" i="5"/>
  <c r="G5210" i="5"/>
  <c r="G5211" i="5"/>
  <c r="G5212" i="5"/>
  <c r="G5213" i="5"/>
  <c r="E5196" i="5"/>
  <c r="G5196" i="5" s="1"/>
  <c r="G5197" i="5"/>
  <c r="E5198" i="5"/>
  <c r="G5198" i="5" s="1"/>
  <c r="E5199" i="5"/>
  <c r="G5199" i="5" s="1"/>
  <c r="E5200" i="5"/>
  <c r="G5200" i="5" s="1"/>
  <c r="E5188" i="5"/>
  <c r="G5188" i="5" s="1"/>
  <c r="G5189" i="5"/>
  <c r="E5190" i="5"/>
  <c r="G5190" i="5" s="1"/>
  <c r="E5191" i="5"/>
  <c r="G5191" i="5" s="1"/>
  <c r="E5192" i="5"/>
  <c r="G5192" i="5"/>
  <c r="G5180" i="5"/>
  <c r="G5181" i="5"/>
  <c r="G5182" i="5"/>
  <c r="G5183" i="5"/>
  <c r="G5184" i="5"/>
  <c r="G5174" i="5"/>
  <c r="E5175" i="5"/>
  <c r="G5175" i="5"/>
  <c r="E5176" i="5"/>
  <c r="G5176" i="5" s="1"/>
  <c r="E5166" i="5"/>
  <c r="G5166" i="5" s="1"/>
  <c r="G5167" i="5"/>
  <c r="E5168" i="5"/>
  <c r="G5168" i="5" s="1"/>
  <c r="E5169" i="5"/>
  <c r="G5169" i="5" s="1"/>
  <c r="E5170" i="5"/>
  <c r="G5170" i="5" s="1"/>
  <c r="G5160" i="5"/>
  <c r="G5161" i="5"/>
  <c r="G5162" i="5"/>
  <c r="E5152" i="5"/>
  <c r="G5152" i="5" s="1"/>
  <c r="G5153" i="5"/>
  <c r="E5154" i="5"/>
  <c r="G5154" i="5" s="1"/>
  <c r="E5155" i="5"/>
  <c r="G5155" i="5" s="1"/>
  <c r="E5156" i="5"/>
  <c r="G5156" i="5" s="1"/>
  <c r="E5144" i="5"/>
  <c r="G5144" i="5" s="1"/>
  <c r="G5145" i="5"/>
  <c r="E5146" i="5"/>
  <c r="G5146" i="5" s="1"/>
  <c r="E5147" i="5"/>
  <c r="G5147" i="5" s="1"/>
  <c r="E5148" i="5"/>
  <c r="G5148" i="5" s="1"/>
  <c r="E5136" i="5"/>
  <c r="G5136" i="5" s="1"/>
  <c r="G5137" i="5"/>
  <c r="E5138" i="5"/>
  <c r="G5138" i="5" s="1"/>
  <c r="E5139" i="5"/>
  <c r="G5139" i="5" s="1"/>
  <c r="E5140" i="5"/>
  <c r="G5140" i="5" s="1"/>
  <c r="E5128" i="5"/>
  <c r="G5128" i="5" s="1"/>
  <c r="G5129" i="5"/>
  <c r="E5130" i="5"/>
  <c r="G5130" i="5" s="1"/>
  <c r="E5131" i="5"/>
  <c r="G5131" i="5" s="1"/>
  <c r="E5132" i="5"/>
  <c r="G5132" i="5" s="1"/>
  <c r="G5122" i="5"/>
  <c r="G5123" i="5"/>
  <c r="G5124" i="5"/>
  <c r="E5111" i="5"/>
  <c r="G5111" i="5" s="1"/>
  <c r="E5112" i="5"/>
  <c r="G5112" i="5"/>
  <c r="E5113" i="5"/>
  <c r="G5113" i="5" s="1"/>
  <c r="E5114" i="5"/>
  <c r="G5114" i="5" s="1"/>
  <c r="G5115" i="5"/>
  <c r="G5116" i="5"/>
  <c r="E5104" i="5"/>
  <c r="G5104" i="5" s="1"/>
  <c r="E5105" i="5"/>
  <c r="G5105" i="5" s="1"/>
  <c r="E5106" i="5"/>
  <c r="G5106" i="5" s="1"/>
  <c r="E5107" i="5"/>
  <c r="G5107" i="5" s="1"/>
  <c r="G5097" i="5"/>
  <c r="G5098" i="5"/>
  <c r="G5099" i="5"/>
  <c r="G5100" i="5"/>
  <c r="G5091" i="5"/>
  <c r="G5092" i="5"/>
  <c r="G5093" i="5"/>
  <c r="G5085" i="5"/>
  <c r="G5086" i="5"/>
  <c r="G5087" i="5"/>
  <c r="G5079" i="5"/>
  <c r="G5080" i="5"/>
  <c r="G5081" i="5"/>
  <c r="G5073" i="5"/>
  <c r="G5074" i="5"/>
  <c r="G5075" i="5"/>
  <c r="G5065" i="5"/>
  <c r="G5066" i="5"/>
  <c r="G5067" i="5"/>
  <c r="G5068" i="5"/>
  <c r="E5069" i="5"/>
  <c r="G5069" i="5" s="1"/>
  <c r="G5058" i="5"/>
  <c r="G5059" i="5"/>
  <c r="G5060" i="5"/>
  <c r="G5061" i="5"/>
  <c r="G5051" i="5"/>
  <c r="G5052" i="5"/>
  <c r="E5053" i="5"/>
  <c r="G5053" i="5" s="1"/>
  <c r="G5054" i="5"/>
  <c r="G5043" i="5"/>
  <c r="G5044" i="5"/>
  <c r="G5045" i="5"/>
  <c r="G5046" i="5"/>
  <c r="G5047" i="5"/>
  <c r="G5037" i="5"/>
  <c r="G5038" i="5"/>
  <c r="G5039" i="5"/>
  <c r="G5031" i="5"/>
  <c r="G5032" i="5"/>
  <c r="G5033" i="5"/>
  <c r="G5027" i="5"/>
  <c r="H5027" i="5" s="1"/>
  <c r="E1283" i="8" s="1"/>
  <c r="F1283" i="8" s="1"/>
  <c r="G5021" i="5"/>
  <c r="G5022" i="5"/>
  <c r="G5023" i="5"/>
  <c r="G5013" i="5"/>
  <c r="G5014" i="5"/>
  <c r="G5015" i="5"/>
  <c r="G5016" i="5"/>
  <c r="G5017" i="5"/>
  <c r="G5008" i="5"/>
  <c r="G5009" i="5"/>
  <c r="E5001" i="5"/>
  <c r="G5001" i="5" s="1"/>
  <c r="E5002" i="5"/>
  <c r="G5002" i="5" s="1"/>
  <c r="E5003" i="5"/>
  <c r="G5003" i="5"/>
  <c r="E5004" i="5"/>
  <c r="G5004" i="5" s="1"/>
  <c r="G4995" i="5"/>
  <c r="E4996" i="5"/>
  <c r="G4996" i="5"/>
  <c r="E4997" i="5"/>
  <c r="G4997" i="5" s="1"/>
  <c r="G4989" i="5"/>
  <c r="E4990" i="5"/>
  <c r="G4990" i="5" s="1"/>
  <c r="E4991" i="5"/>
  <c r="G4991" i="5" s="1"/>
  <c r="G4983" i="5"/>
  <c r="E4984" i="5"/>
  <c r="G4984" i="5" s="1"/>
  <c r="E4985" i="5"/>
  <c r="G4985" i="5" s="1"/>
  <c r="G4977" i="5"/>
  <c r="E4978" i="5"/>
  <c r="G4978" i="5" s="1"/>
  <c r="E4979" i="5"/>
  <c r="G4979" i="5"/>
  <c r="G4972" i="5"/>
  <c r="G4973" i="5"/>
  <c r="G4965" i="5"/>
  <c r="G4966" i="5"/>
  <c r="E4967" i="5"/>
  <c r="G4967" i="5" s="1"/>
  <c r="E4968" i="5"/>
  <c r="G4968" i="5" s="1"/>
  <c r="G4958" i="5"/>
  <c r="G4959" i="5"/>
  <c r="E4960" i="5"/>
  <c r="G4960" i="5" s="1"/>
  <c r="E4961" i="5"/>
  <c r="G4961" i="5" s="1"/>
  <c r="G4951" i="5"/>
  <c r="G4952" i="5"/>
  <c r="G4953" i="5"/>
  <c r="G4954" i="5"/>
  <c r="G4944" i="5"/>
  <c r="G4945" i="5"/>
  <c r="G4946" i="5"/>
  <c r="G4947" i="5"/>
  <c r="G4939" i="5"/>
  <c r="G4940" i="5"/>
  <c r="G4932" i="5"/>
  <c r="G4933" i="5"/>
  <c r="G4934" i="5"/>
  <c r="G4935" i="5"/>
  <c r="G4925" i="5"/>
  <c r="G4926" i="5"/>
  <c r="G4927" i="5"/>
  <c r="G4928" i="5"/>
  <c r="G4918" i="5"/>
  <c r="G4919" i="5"/>
  <c r="G4920" i="5"/>
  <c r="G4921" i="5"/>
  <c r="G4911" i="5"/>
  <c r="G4912" i="5"/>
  <c r="G4913" i="5"/>
  <c r="G4914" i="5"/>
  <c r="G4904" i="5"/>
  <c r="G4905" i="5"/>
  <c r="G4906" i="5"/>
  <c r="G4907" i="5"/>
  <c r="G4895" i="5"/>
  <c r="G4896" i="5"/>
  <c r="G4897" i="5"/>
  <c r="G4898" i="5"/>
  <c r="G4899" i="5"/>
  <c r="G4900" i="5"/>
  <c r="G4885" i="5"/>
  <c r="G4886" i="5"/>
  <c r="G4887" i="5"/>
  <c r="G4888" i="5"/>
  <c r="G4889" i="5"/>
  <c r="G4890" i="5"/>
  <c r="G4891" i="5"/>
  <c r="G4877" i="5"/>
  <c r="G4878" i="5"/>
  <c r="G4869" i="5"/>
  <c r="G4870" i="5"/>
  <c r="G4861" i="5"/>
  <c r="G4862" i="5"/>
  <c r="G4853" i="5"/>
  <c r="G4854" i="5"/>
  <c r="G4845" i="5"/>
  <c r="G4846" i="5"/>
  <c r="G4837" i="5"/>
  <c r="G4838" i="5"/>
  <c r="G4829" i="5"/>
  <c r="G4830" i="5"/>
  <c r="G4821" i="5"/>
  <c r="G4822" i="5"/>
  <c r="G4816" i="5"/>
  <c r="G4817" i="5"/>
  <c r="G4811" i="5"/>
  <c r="G4812" i="5"/>
  <c r="G4806" i="5"/>
  <c r="G4807" i="5"/>
  <c r="E4796" i="5"/>
  <c r="G4796" i="5" s="1"/>
  <c r="G4797" i="5"/>
  <c r="E4798" i="5"/>
  <c r="G4798" i="5" s="1"/>
  <c r="E4799" i="5"/>
  <c r="G4799" i="5" s="1"/>
  <c r="G4800" i="5"/>
  <c r="G4801" i="5"/>
  <c r="G4802" i="5"/>
  <c r="E4786" i="5"/>
  <c r="G4786" i="5" s="1"/>
  <c r="G4787" i="5"/>
  <c r="E4788" i="5"/>
  <c r="G4788" i="5" s="1"/>
  <c r="E4789" i="5"/>
  <c r="G4789" i="5" s="1"/>
  <c r="G4790" i="5"/>
  <c r="G4791" i="5"/>
  <c r="G4792" i="5"/>
  <c r="G4781" i="5"/>
  <c r="G4782" i="5"/>
  <c r="G4770" i="5"/>
  <c r="G4771" i="5"/>
  <c r="G4772" i="5"/>
  <c r="G4773" i="5"/>
  <c r="G4774" i="5"/>
  <c r="G4775" i="5"/>
  <c r="G4776" i="5"/>
  <c r="G4777" i="5"/>
  <c r="G4766" i="5"/>
  <c r="H4766" i="5" s="1"/>
  <c r="G4762" i="5"/>
  <c r="H4762" i="5" s="1"/>
  <c r="E1230" i="8" s="1"/>
  <c r="G4758" i="5"/>
  <c r="H4758" i="5" s="1"/>
  <c r="E1224" i="8" s="1"/>
  <c r="G4754" i="5"/>
  <c r="H4754" i="5" s="1"/>
  <c r="G4750" i="5"/>
  <c r="H4750" i="5" s="1"/>
  <c r="E1211" i="8" s="1"/>
  <c r="G4746" i="5"/>
  <c r="H4746" i="5" s="1"/>
  <c r="E1210" i="8" s="1"/>
  <c r="F1210" i="8" s="1"/>
  <c r="G4742" i="5"/>
  <c r="H4742" i="5" s="1"/>
  <c r="G4738" i="5"/>
  <c r="H4738" i="5" s="1"/>
  <c r="E1190" i="8" s="1"/>
  <c r="E4734" i="5"/>
  <c r="G4734" i="5" s="1"/>
  <c r="H4734" i="5" s="1"/>
  <c r="E1189" i="8" s="1"/>
  <c r="F1189" i="8" s="1"/>
  <c r="G4726" i="5"/>
  <c r="E4727" i="5"/>
  <c r="G4727" i="5" s="1"/>
  <c r="E4728" i="5"/>
  <c r="G4728" i="5" s="1"/>
  <c r="G4720" i="5"/>
  <c r="H4720" i="5" s="1"/>
  <c r="E1184" i="8" s="1"/>
  <c r="G4716" i="5"/>
  <c r="H4716" i="5" s="1"/>
  <c r="E1183" i="8" s="1"/>
  <c r="G4704" i="5"/>
  <c r="G4705" i="5"/>
  <c r="G4706" i="5"/>
  <c r="G4707" i="5"/>
  <c r="E4708" i="5"/>
  <c r="G4708" i="5" s="1"/>
  <c r="G4709" i="5"/>
  <c r="G4695" i="5"/>
  <c r="G4696" i="5"/>
  <c r="G4697" i="5"/>
  <c r="G4698" i="5"/>
  <c r="G4699" i="5"/>
  <c r="G4700" i="5"/>
  <c r="G4687" i="5"/>
  <c r="G4688" i="5"/>
  <c r="G4681" i="5"/>
  <c r="G4682" i="5"/>
  <c r="G4683" i="5"/>
  <c r="G4671" i="5"/>
  <c r="G4672" i="5"/>
  <c r="G4673" i="5"/>
  <c r="G4674" i="5"/>
  <c r="G4675" i="5"/>
  <c r="G4676" i="5"/>
  <c r="G4677" i="5"/>
  <c r="G4663" i="5"/>
  <c r="G4664" i="5"/>
  <c r="G4665" i="5"/>
  <c r="G4666" i="5"/>
  <c r="G4667" i="5"/>
  <c r="G4655" i="5"/>
  <c r="G4656" i="5"/>
  <c r="G4657" i="5"/>
  <c r="G4658" i="5"/>
  <c r="G4659" i="5"/>
  <c r="G4649" i="5"/>
  <c r="G4650" i="5"/>
  <c r="G4651" i="5"/>
  <c r="G4641" i="5"/>
  <c r="G4642" i="5"/>
  <c r="G4629" i="5"/>
  <c r="G4630" i="5"/>
  <c r="G4631" i="5"/>
  <c r="G4632" i="5"/>
  <c r="G4633" i="5"/>
  <c r="E4634" i="5"/>
  <c r="G4634" i="5" s="1"/>
  <c r="E4635" i="5"/>
  <c r="G4635" i="5" s="1"/>
  <c r="G4623" i="5"/>
  <c r="G4624" i="5"/>
  <c r="G4625" i="5"/>
  <c r="G4615" i="5"/>
  <c r="G4616" i="5"/>
  <c r="G4617" i="5"/>
  <c r="G4606" i="5"/>
  <c r="G4607" i="5"/>
  <c r="G4608" i="5"/>
  <c r="G4609" i="5"/>
  <c r="G4610" i="5"/>
  <c r="G4611" i="5"/>
  <c r="E4598" i="5"/>
  <c r="G4598" i="5" s="1"/>
  <c r="E4599" i="5"/>
  <c r="G4599" i="5" s="1"/>
  <c r="E4600" i="5"/>
  <c r="G4600" i="5" s="1"/>
  <c r="E4601" i="5"/>
  <c r="G4601" i="5"/>
  <c r="E4602" i="5"/>
  <c r="G4602" i="5" s="1"/>
  <c r="G4579" i="5"/>
  <c r="G4580" i="5"/>
  <c r="G4581" i="5"/>
  <c r="G4582" i="5"/>
  <c r="G4583" i="5"/>
  <c r="G4584" i="5"/>
  <c r="G4585" i="5"/>
  <c r="G4586" i="5"/>
  <c r="G4587" i="5"/>
  <c r="G4588" i="5"/>
  <c r="G4589" i="5"/>
  <c r="G4590" i="5"/>
  <c r="E4591" i="5"/>
  <c r="G4591" i="5" s="1"/>
  <c r="E4592" i="5"/>
  <c r="G4592" i="5" s="1"/>
  <c r="E4567" i="5"/>
  <c r="G4567" i="5" s="1"/>
  <c r="E4568" i="5"/>
  <c r="G4568" i="5" s="1"/>
  <c r="E4569" i="5"/>
  <c r="G4569" i="5" s="1"/>
  <c r="E4570" i="5"/>
  <c r="G4570" i="5" s="1"/>
  <c r="E4571" i="5"/>
  <c r="G4571" i="5" s="1"/>
  <c r="E4572" i="5"/>
  <c r="G4572" i="5"/>
  <c r="E4573" i="5"/>
  <c r="G4573" i="5" s="1"/>
  <c r="E4574" i="5"/>
  <c r="G4574" i="5" s="1"/>
  <c r="E4575" i="5"/>
  <c r="G4575" i="5" s="1"/>
  <c r="G4555" i="5"/>
  <c r="G4556" i="5"/>
  <c r="G4557" i="5"/>
  <c r="G4558" i="5"/>
  <c r="G4559" i="5"/>
  <c r="G4560" i="5"/>
  <c r="G4561" i="5"/>
  <c r="G4562" i="5"/>
  <c r="G4563" i="5"/>
  <c r="G4549" i="5"/>
  <c r="G4550" i="5"/>
  <c r="G4551" i="5"/>
  <c r="G4544" i="5"/>
  <c r="G4545" i="5"/>
  <c r="G4536" i="5"/>
  <c r="G4537" i="5"/>
  <c r="G4538" i="5"/>
  <c r="G4539" i="5"/>
  <c r="E4540" i="5"/>
  <c r="G4540" i="5" s="1"/>
  <c r="G4528" i="5"/>
  <c r="G4529" i="5"/>
  <c r="G4530" i="5"/>
  <c r="G4531" i="5"/>
  <c r="G4532" i="5"/>
  <c r="G4523" i="5"/>
  <c r="G4524" i="5"/>
  <c r="G4518" i="5"/>
  <c r="G4519" i="5"/>
  <c r="G4512" i="5"/>
  <c r="G4513" i="5"/>
  <c r="G4514" i="5"/>
  <c r="G4504" i="5"/>
  <c r="G4505" i="5"/>
  <c r="G4506" i="5"/>
  <c r="G4507" i="5"/>
  <c r="G4508" i="5"/>
  <c r="G4496" i="5"/>
  <c r="E4497" i="5"/>
  <c r="G4497" i="5" s="1"/>
  <c r="G4498" i="5"/>
  <c r="G4476" i="5"/>
  <c r="G4477" i="5"/>
  <c r="G4478" i="5"/>
  <c r="G4479" i="5"/>
  <c r="G4480" i="5"/>
  <c r="G4481" i="5"/>
  <c r="E4482" i="5"/>
  <c r="G4482" i="5" s="1"/>
  <c r="G4483" i="5"/>
  <c r="G4484" i="5"/>
  <c r="G4485" i="5"/>
  <c r="G4486" i="5"/>
  <c r="G4487" i="5"/>
  <c r="E4488" i="5"/>
  <c r="G4488" i="5" s="1"/>
  <c r="G4489" i="5"/>
  <c r="G4490" i="5"/>
  <c r="G4470" i="5"/>
  <c r="G4471" i="5"/>
  <c r="G4472" i="5"/>
  <c r="G4458" i="5"/>
  <c r="G4459" i="5"/>
  <c r="G4460" i="5"/>
  <c r="G4461" i="5"/>
  <c r="G4462" i="5"/>
  <c r="G4463" i="5"/>
  <c r="G4464" i="5"/>
  <c r="G4465" i="5"/>
  <c r="G4466" i="5"/>
  <c r="G4446" i="5"/>
  <c r="G4447" i="5"/>
  <c r="G4448" i="5"/>
  <c r="G4449" i="5"/>
  <c r="G4450" i="5"/>
  <c r="G4451" i="5"/>
  <c r="G4452" i="5"/>
  <c r="G4453" i="5"/>
  <c r="G4454" i="5"/>
  <c r="G4438" i="5"/>
  <c r="G4439" i="5"/>
  <c r="G4440" i="5"/>
  <c r="G4441" i="5"/>
  <c r="G4442" i="5"/>
  <c r="G4428" i="5"/>
  <c r="G4429" i="5"/>
  <c r="G4430" i="5"/>
  <c r="G4431" i="5"/>
  <c r="G4432" i="5"/>
  <c r="G4433" i="5"/>
  <c r="G4434" i="5"/>
  <c r="G4418" i="5"/>
  <c r="G4419" i="5"/>
  <c r="G4420" i="5"/>
  <c r="G4421" i="5"/>
  <c r="G4422" i="5"/>
  <c r="G4423" i="5"/>
  <c r="G4424" i="5"/>
  <c r="G4408" i="5"/>
  <c r="G4409" i="5"/>
  <c r="G4410" i="5"/>
  <c r="G4411" i="5"/>
  <c r="G4412" i="5"/>
  <c r="G4413" i="5"/>
  <c r="G4414" i="5"/>
  <c r="E4400" i="5"/>
  <c r="G4400" i="5" s="1"/>
  <c r="E4401" i="5"/>
  <c r="G4401" i="5"/>
  <c r="E4402" i="5"/>
  <c r="G4402" i="5" s="1"/>
  <c r="G4403" i="5"/>
  <c r="E4404" i="5"/>
  <c r="G4404" i="5"/>
  <c r="E4392" i="5"/>
  <c r="G4392" i="5" s="1"/>
  <c r="E4393" i="5"/>
  <c r="G4393" i="5" s="1"/>
  <c r="E4394" i="5"/>
  <c r="G4394" i="5" s="1"/>
  <c r="G4395" i="5"/>
  <c r="E4396" i="5"/>
  <c r="G4396" i="5" s="1"/>
  <c r="G4382" i="5"/>
  <c r="G4383" i="5"/>
  <c r="G4384" i="5"/>
  <c r="G4385" i="5"/>
  <c r="G4386" i="5"/>
  <c r="G4387" i="5"/>
  <c r="G4388" i="5"/>
  <c r="G4373" i="5"/>
  <c r="G4374" i="5"/>
  <c r="G4375" i="5"/>
  <c r="G4376" i="5"/>
  <c r="G4377" i="5"/>
  <c r="G4378" i="5"/>
  <c r="G4364" i="5"/>
  <c r="G4365" i="5"/>
  <c r="G4366" i="5"/>
  <c r="G4367" i="5"/>
  <c r="G4368" i="5"/>
  <c r="G4369" i="5"/>
  <c r="G4355" i="5"/>
  <c r="G4356" i="5"/>
  <c r="G4357" i="5"/>
  <c r="G4358" i="5"/>
  <c r="G4359" i="5"/>
  <c r="G4360" i="5"/>
  <c r="G4346" i="5"/>
  <c r="G4347" i="5"/>
  <c r="G4348" i="5"/>
  <c r="G4349" i="5"/>
  <c r="G4350" i="5"/>
  <c r="G4351" i="5"/>
  <c r="G4335" i="5"/>
  <c r="G4336" i="5"/>
  <c r="G4337" i="5"/>
  <c r="G4338" i="5"/>
  <c r="G4339" i="5"/>
  <c r="G4340" i="5"/>
  <c r="G4341" i="5"/>
  <c r="G4342" i="5"/>
  <c r="E4328" i="5"/>
  <c r="G4328" i="5" s="1"/>
  <c r="E4329" i="5"/>
  <c r="G4329" i="5" s="1"/>
  <c r="E4330" i="5"/>
  <c r="G4330" i="5"/>
  <c r="G4331" i="5"/>
  <c r="G4301" i="5"/>
  <c r="G4302" i="5"/>
  <c r="G4303" i="5"/>
  <c r="G4304" i="5"/>
  <c r="G4305" i="5"/>
  <c r="G4306" i="5"/>
  <c r="G4307" i="5"/>
  <c r="G4308" i="5"/>
  <c r="G4309" i="5"/>
  <c r="G4310" i="5"/>
  <c r="G4311" i="5"/>
  <c r="G4312" i="5"/>
  <c r="G4313" i="5"/>
  <c r="G4314" i="5"/>
  <c r="G4315" i="5"/>
  <c r="G4316" i="5"/>
  <c r="G4317" i="5"/>
  <c r="G4318" i="5"/>
  <c r="G4319" i="5"/>
  <c r="G4320" i="5"/>
  <c r="E4321" i="5"/>
  <c r="G4321" i="5" s="1"/>
  <c r="E4322" i="5"/>
  <c r="G4322" i="5" s="1"/>
  <c r="G4285" i="5"/>
  <c r="G4286" i="5"/>
  <c r="G4287" i="5"/>
  <c r="G4288" i="5"/>
  <c r="G4289" i="5"/>
  <c r="G4290" i="5"/>
  <c r="G4291" i="5"/>
  <c r="G4292" i="5"/>
  <c r="G4293" i="5"/>
  <c r="E4294" i="5"/>
  <c r="G4294" i="5" s="1"/>
  <c r="E4295" i="5"/>
  <c r="G4295" i="5" s="1"/>
  <c r="E4276" i="5"/>
  <c r="G4276" i="5" s="1"/>
  <c r="E4277" i="5"/>
  <c r="G4277" i="5" s="1"/>
  <c r="E4278" i="5"/>
  <c r="G4278" i="5" s="1"/>
  <c r="G4279" i="5"/>
  <c r="G4280" i="5"/>
  <c r="G4281" i="5"/>
  <c r="G4268" i="5"/>
  <c r="G4269" i="5"/>
  <c r="G4270" i="5"/>
  <c r="G4271" i="5"/>
  <c r="G4272" i="5"/>
  <c r="G4263" i="5"/>
  <c r="G4264" i="5"/>
  <c r="G4256" i="5"/>
  <c r="G4257" i="5"/>
  <c r="G4258" i="5"/>
  <c r="G4259" i="5"/>
  <c r="G4247" i="5"/>
  <c r="G4248" i="5"/>
  <c r="G4249" i="5"/>
  <c r="G4250" i="5"/>
  <c r="G4251" i="5"/>
  <c r="G4252" i="5"/>
  <c r="G4239" i="5"/>
  <c r="G4240" i="5"/>
  <c r="G4241" i="5"/>
  <c r="G4242" i="5"/>
  <c r="G4243" i="5"/>
  <c r="E4231" i="5"/>
  <c r="G4231" i="5" s="1"/>
  <c r="G4232" i="5"/>
  <c r="G4233" i="5"/>
  <c r="G4225" i="5"/>
  <c r="G4226" i="5"/>
  <c r="G4227" i="5"/>
  <c r="G4215" i="5"/>
  <c r="G4216" i="5"/>
  <c r="G4217" i="5"/>
  <c r="G4218" i="5"/>
  <c r="G4219" i="5"/>
  <c r="G4220" i="5"/>
  <c r="G4221" i="5"/>
  <c r="G4209" i="5"/>
  <c r="G4210" i="5"/>
  <c r="G4211" i="5"/>
  <c r="G4203" i="5"/>
  <c r="G4204" i="5"/>
  <c r="G4205" i="5"/>
  <c r="G4197" i="5"/>
  <c r="G4198" i="5"/>
  <c r="E4199" i="5"/>
  <c r="G4199" i="5" s="1"/>
  <c r="G4190" i="5"/>
  <c r="G4191" i="5"/>
  <c r="G4192" i="5"/>
  <c r="G4193" i="5"/>
  <c r="G4183" i="5"/>
  <c r="G4184" i="5"/>
  <c r="G4185" i="5"/>
  <c r="G4186" i="5"/>
  <c r="G4179" i="5"/>
  <c r="H4179" i="5" s="1"/>
  <c r="E1118" i="8" s="1"/>
  <c r="F1118" i="8" s="1"/>
  <c r="G4168" i="5"/>
  <c r="E4169" i="5"/>
  <c r="G4169" i="5" s="1"/>
  <c r="G4170" i="5"/>
  <c r="G4171" i="5"/>
  <c r="G4172" i="5"/>
  <c r="G4173" i="5"/>
  <c r="G4157" i="5"/>
  <c r="G4158" i="5"/>
  <c r="G4159" i="5"/>
  <c r="G4160" i="5"/>
  <c r="E4161" i="5"/>
  <c r="G4161" i="5" s="1"/>
  <c r="G4149" i="5"/>
  <c r="G4150" i="5"/>
  <c r="G4151" i="5"/>
  <c r="E4152" i="5"/>
  <c r="G4152" i="5" s="1"/>
  <c r="G4153" i="5"/>
  <c r="G4145" i="5"/>
  <c r="H4145" i="5" s="1"/>
  <c r="E1114" i="8" s="1"/>
  <c r="F1114" i="8" s="1"/>
  <c r="G4137" i="5"/>
  <c r="G4138" i="5"/>
  <c r="G4139" i="5"/>
  <c r="G4140" i="5"/>
  <c r="G4141" i="5"/>
  <c r="G4129" i="5"/>
  <c r="G4130" i="5"/>
  <c r="G4131" i="5"/>
  <c r="G4132" i="5"/>
  <c r="G4133" i="5"/>
  <c r="G4121" i="5"/>
  <c r="G4122" i="5"/>
  <c r="G4123" i="5"/>
  <c r="G4124" i="5"/>
  <c r="G4125" i="5"/>
  <c r="G4114" i="5"/>
  <c r="G4115" i="5"/>
  <c r="G4116" i="5"/>
  <c r="G4117" i="5"/>
  <c r="E4110" i="5"/>
  <c r="G4110" i="5" s="1"/>
  <c r="H4110" i="5" s="1"/>
  <c r="E1109" i="8" s="1"/>
  <c r="E4104" i="5"/>
  <c r="G4104" i="5" s="1"/>
  <c r="H4104" i="5" s="1"/>
  <c r="E1107" i="8" s="1"/>
  <c r="G4097" i="5"/>
  <c r="G4098" i="5"/>
  <c r="G4099" i="5"/>
  <c r="G4100" i="5"/>
  <c r="G4091" i="5"/>
  <c r="G4092" i="5"/>
  <c r="G4093" i="5"/>
  <c r="G4085" i="5"/>
  <c r="G4086" i="5"/>
  <c r="G4087" i="5"/>
  <c r="G4076" i="5"/>
  <c r="G4077" i="5"/>
  <c r="G4078" i="5"/>
  <c r="G4079" i="5"/>
  <c r="G4080" i="5"/>
  <c r="G4081" i="5"/>
  <c r="G4067" i="5"/>
  <c r="G4068" i="5"/>
  <c r="G4069" i="5"/>
  <c r="G4070" i="5"/>
  <c r="G4071" i="5"/>
  <c r="G4072" i="5"/>
  <c r="G4058" i="5"/>
  <c r="G4059" i="5"/>
  <c r="G4060" i="5"/>
  <c r="G4061" i="5"/>
  <c r="G4062" i="5"/>
  <c r="G4063" i="5"/>
  <c r="G4049" i="5"/>
  <c r="G4050" i="5"/>
  <c r="G4051" i="5"/>
  <c r="G4052" i="5"/>
  <c r="G4053" i="5"/>
  <c r="G4054" i="5"/>
  <c r="G4040" i="5"/>
  <c r="G4041" i="5"/>
  <c r="G4042" i="5"/>
  <c r="G4043" i="5"/>
  <c r="G4044" i="5"/>
  <c r="G4045" i="5"/>
  <c r="G4031" i="5"/>
  <c r="G4032" i="5"/>
  <c r="G4033" i="5"/>
  <c r="G4034" i="5"/>
  <c r="G4035" i="5"/>
  <c r="G4036" i="5"/>
  <c r="G4027" i="5"/>
  <c r="H4027" i="5" s="1"/>
  <c r="G4023" i="5"/>
  <c r="H4023" i="5" s="1"/>
  <c r="E1087" i="8" s="1"/>
  <c r="E4018" i="5"/>
  <c r="G4018" i="5" s="1"/>
  <c r="G4019" i="5"/>
  <c r="G4005" i="5"/>
  <c r="G4006" i="5"/>
  <c r="G4007" i="5"/>
  <c r="G4008" i="5"/>
  <c r="G4009" i="5"/>
  <c r="G4010" i="5"/>
  <c r="G4011" i="5"/>
  <c r="G4012" i="5"/>
  <c r="G4013" i="5"/>
  <c r="G4014" i="5"/>
  <c r="G3992" i="5"/>
  <c r="G3993" i="5"/>
  <c r="G3994" i="5"/>
  <c r="G3995" i="5"/>
  <c r="G3996" i="5"/>
  <c r="G3997" i="5"/>
  <c r="E3998" i="5"/>
  <c r="G3998" i="5" s="1"/>
  <c r="E3999" i="5"/>
  <c r="G3999" i="5" s="1"/>
  <c r="G3984" i="5"/>
  <c r="G3985" i="5"/>
  <c r="G3986" i="5"/>
  <c r="G3987" i="5"/>
  <c r="G3988" i="5"/>
  <c r="G3977" i="5"/>
  <c r="G3978" i="5"/>
  <c r="G3979" i="5"/>
  <c r="G3980" i="5"/>
  <c r="G3967" i="5"/>
  <c r="G3968" i="5"/>
  <c r="G3969" i="5"/>
  <c r="G3970" i="5"/>
  <c r="G3971" i="5"/>
  <c r="G3972" i="5"/>
  <c r="G3973" i="5"/>
  <c r="G3959" i="5"/>
  <c r="G3960" i="5"/>
  <c r="G3961" i="5"/>
  <c r="G3962" i="5"/>
  <c r="G3963" i="5"/>
  <c r="G3950" i="5"/>
  <c r="G3951" i="5"/>
  <c r="G3952" i="5"/>
  <c r="G3953" i="5"/>
  <c r="G3954" i="5"/>
  <c r="G3955" i="5"/>
  <c r="G3943" i="5"/>
  <c r="E3944" i="5"/>
  <c r="G3944" i="5" s="1"/>
  <c r="E3945" i="5"/>
  <c r="G3945" i="5" s="1"/>
  <c r="E3946" i="5"/>
  <c r="G3946" i="5"/>
  <c r="G3937" i="5"/>
  <c r="G3938" i="5"/>
  <c r="G3939" i="5"/>
  <c r="G3931" i="5"/>
  <c r="G3932" i="5"/>
  <c r="G3933" i="5"/>
  <c r="G3925" i="5"/>
  <c r="G3926" i="5"/>
  <c r="G3927" i="5"/>
  <c r="G3907" i="5"/>
  <c r="G3908" i="5"/>
  <c r="G3909" i="5"/>
  <c r="G3910" i="5"/>
  <c r="G3911" i="5"/>
  <c r="G3912" i="5"/>
  <c r="G3913" i="5"/>
  <c r="G3914" i="5"/>
  <c r="G3915" i="5"/>
  <c r="G3916" i="5"/>
  <c r="G3917" i="5"/>
  <c r="G3918" i="5"/>
  <c r="G3919" i="5"/>
  <c r="G3920" i="5"/>
  <c r="G3921" i="5"/>
  <c r="G3900" i="5"/>
  <c r="G3901" i="5"/>
  <c r="G3902" i="5"/>
  <c r="G3903" i="5"/>
  <c r="G3885" i="5"/>
  <c r="G3886" i="5"/>
  <c r="G3887" i="5"/>
  <c r="G3888" i="5"/>
  <c r="G3889" i="5"/>
  <c r="G3890" i="5"/>
  <c r="G3891" i="5"/>
  <c r="G3892" i="5"/>
  <c r="G3893" i="5"/>
  <c r="G3894" i="5"/>
  <c r="G3895" i="5"/>
  <c r="G3896" i="5"/>
  <c r="G3873" i="5"/>
  <c r="G3874" i="5"/>
  <c r="G3875" i="5"/>
  <c r="G3876" i="5"/>
  <c r="G3877" i="5"/>
  <c r="E3878" i="5"/>
  <c r="G3878" i="5" s="1"/>
  <c r="E3879" i="5"/>
  <c r="G3879" i="5" s="1"/>
  <c r="G3865" i="5"/>
  <c r="G3866" i="5"/>
  <c r="G3867" i="5"/>
  <c r="G3868" i="5"/>
  <c r="G3869" i="5"/>
  <c r="G3856" i="5"/>
  <c r="G3857" i="5"/>
  <c r="G3858" i="5"/>
  <c r="G3859" i="5"/>
  <c r="G3860" i="5"/>
  <c r="G3861" i="5"/>
  <c r="E3846" i="5"/>
  <c r="G3846" i="5" s="1"/>
  <c r="E3847" i="5"/>
  <c r="G3847" i="5"/>
  <c r="G3848" i="5"/>
  <c r="E3849" i="5"/>
  <c r="G3849" i="5" s="1"/>
  <c r="E3850" i="5"/>
  <c r="G3850" i="5" s="1"/>
  <c r="E3851" i="5"/>
  <c r="G3851" i="5" s="1"/>
  <c r="E3852" i="5"/>
  <c r="G3852" i="5" s="1"/>
  <c r="G3835" i="5"/>
  <c r="G3836" i="5"/>
  <c r="G3837" i="5"/>
  <c r="G3838" i="5"/>
  <c r="G3839" i="5"/>
  <c r="E3840" i="5"/>
  <c r="G3840" i="5" s="1"/>
  <c r="E3830" i="5"/>
  <c r="G3830" i="5" s="1"/>
  <c r="G3831" i="5"/>
  <c r="E3824" i="5"/>
  <c r="G3824" i="5" s="1"/>
  <c r="G3825" i="5"/>
  <c r="G3826" i="5"/>
  <c r="G3827" i="5"/>
  <c r="E3818" i="5"/>
  <c r="G3818" i="5" s="1"/>
  <c r="G3819" i="5"/>
  <c r="G3820" i="5"/>
  <c r="G3821" i="5"/>
  <c r="E3812" i="5"/>
  <c r="G3812" i="5" s="1"/>
  <c r="G3813" i="5"/>
  <c r="G3814" i="5"/>
  <c r="G3815" i="5"/>
  <c r="E3806" i="5"/>
  <c r="G3806" i="5" s="1"/>
  <c r="G3807" i="5"/>
  <c r="G3808" i="5"/>
  <c r="G3809" i="5"/>
  <c r="E3800" i="5"/>
  <c r="G3800" i="5" s="1"/>
  <c r="G3801" i="5"/>
  <c r="G3802" i="5"/>
  <c r="G3803" i="5"/>
  <c r="E3794" i="5"/>
  <c r="G3794" i="5" s="1"/>
  <c r="G3795" i="5"/>
  <c r="G3796" i="5"/>
  <c r="G3797" i="5"/>
  <c r="E3788" i="5"/>
  <c r="G3788" i="5" s="1"/>
  <c r="G3789" i="5"/>
  <c r="G3790" i="5"/>
  <c r="G3791" i="5"/>
  <c r="E3782" i="5"/>
  <c r="G3782" i="5"/>
  <c r="G3783" i="5"/>
  <c r="G3784" i="5"/>
  <c r="G3785" i="5"/>
  <c r="E3776" i="5"/>
  <c r="G3776" i="5" s="1"/>
  <c r="G3777" i="5"/>
  <c r="G3778" i="5"/>
  <c r="G3779" i="5"/>
  <c r="E3770" i="5"/>
  <c r="G3770" i="5" s="1"/>
  <c r="G3771" i="5"/>
  <c r="G3772" i="5"/>
  <c r="G3773" i="5"/>
  <c r="G3766" i="5"/>
  <c r="G3767" i="5"/>
  <c r="G3762" i="5"/>
  <c r="H3762" i="5" s="1"/>
  <c r="E1035" i="8" s="1"/>
  <c r="F1035" i="8" s="1"/>
  <c r="G3758" i="5"/>
  <c r="H3758" i="5" s="1"/>
  <c r="E1034" i="8" s="1"/>
  <c r="F1034" i="8" s="1"/>
  <c r="G3751" i="5"/>
  <c r="G3752" i="5"/>
  <c r="G3753" i="5"/>
  <c r="G3754" i="5"/>
  <c r="G3742" i="5"/>
  <c r="E3743" i="5"/>
  <c r="G3743" i="5" s="1"/>
  <c r="E3744" i="5"/>
  <c r="G3744" i="5"/>
  <c r="G3737" i="5"/>
  <c r="E3738" i="5"/>
  <c r="G3738" i="5" s="1"/>
  <c r="G3727" i="5"/>
  <c r="G3728" i="5"/>
  <c r="G3729" i="5"/>
  <c r="G3730" i="5"/>
  <c r="G3731" i="5"/>
  <c r="G3732" i="5"/>
  <c r="G3733" i="5"/>
  <c r="G3723" i="5"/>
  <c r="H3723" i="5" s="1"/>
  <c r="E1006" i="8" s="1"/>
  <c r="F1006" i="8" s="1"/>
  <c r="E3712" i="5"/>
  <c r="G3712" i="5" s="1"/>
  <c r="E3713" i="5"/>
  <c r="G3713" i="5" s="1"/>
  <c r="E3714" i="5"/>
  <c r="G3714" i="5" s="1"/>
  <c r="E3715" i="5"/>
  <c r="G3715" i="5" s="1"/>
  <c r="G3716" i="5"/>
  <c r="E3717" i="5"/>
  <c r="G3717" i="5" s="1"/>
  <c r="G3699" i="5"/>
  <c r="G3700" i="5"/>
  <c r="G3701" i="5"/>
  <c r="G3702" i="5"/>
  <c r="G3703" i="5"/>
  <c r="G3704" i="5"/>
  <c r="E3705" i="5"/>
  <c r="G3705" i="5" s="1"/>
  <c r="E3706" i="5"/>
  <c r="G3706" i="5" s="1"/>
  <c r="G3707" i="5"/>
  <c r="G3708" i="5"/>
  <c r="G3709" i="5"/>
  <c r="G3687" i="5"/>
  <c r="G3688" i="5"/>
  <c r="G3689" i="5"/>
  <c r="G3690" i="5"/>
  <c r="G3691" i="5"/>
  <c r="E3692" i="5"/>
  <c r="G3692" i="5" s="1"/>
  <c r="E3693" i="5"/>
  <c r="G3693" i="5"/>
  <c r="G3694" i="5"/>
  <c r="G3695" i="5"/>
  <c r="E3679" i="5"/>
  <c r="G3679" i="5"/>
  <c r="E3680" i="5"/>
  <c r="G3680" i="5" s="1"/>
  <c r="E3681" i="5"/>
  <c r="G3681" i="5" s="1"/>
  <c r="G3664" i="5"/>
  <c r="G3665" i="5"/>
  <c r="G3666" i="5"/>
  <c r="E3667" i="5"/>
  <c r="G3667" i="5" s="1"/>
  <c r="E3668" i="5"/>
  <c r="E3673" i="5" s="1"/>
  <c r="G3673" i="5" s="1"/>
  <c r="E3669" i="5"/>
  <c r="G3669" i="5" s="1"/>
  <c r="E3670" i="5"/>
  <c r="G3670" i="5"/>
  <c r="E3671" i="5"/>
  <c r="G3671" i="5" s="1"/>
  <c r="E3672" i="5"/>
  <c r="G3672" i="5" s="1"/>
  <c r="G3674" i="5"/>
  <c r="G3658" i="5"/>
  <c r="G3659" i="5"/>
  <c r="G3660" i="5"/>
  <c r="G3654" i="5"/>
  <c r="H3654" i="5" s="1"/>
  <c r="E992" i="8" s="1"/>
  <c r="G3646" i="5"/>
  <c r="G3647" i="5"/>
  <c r="E3648" i="5"/>
  <c r="G3648" i="5" s="1"/>
  <c r="G3649" i="5"/>
  <c r="G3650" i="5"/>
  <c r="G3641" i="5"/>
  <c r="G3642" i="5"/>
  <c r="G3636" i="5"/>
  <c r="H3636" i="5" s="1"/>
  <c r="E988" i="8" s="1"/>
  <c r="G3637" i="5"/>
  <c r="G3626" i="5"/>
  <c r="G3627" i="5"/>
  <c r="G3628" i="5"/>
  <c r="G3629" i="5"/>
  <c r="G3630" i="5"/>
  <c r="G3631" i="5"/>
  <c r="G3632" i="5"/>
  <c r="G3620" i="5"/>
  <c r="G3621" i="5"/>
  <c r="G3622" i="5"/>
  <c r="G3613" i="5"/>
  <c r="G3614" i="5"/>
  <c r="G3615" i="5"/>
  <c r="G3616" i="5"/>
  <c r="G3607" i="5"/>
  <c r="G3608" i="5"/>
  <c r="E3609" i="5"/>
  <c r="G3609" i="5" s="1"/>
  <c r="G3599" i="5"/>
  <c r="G3600" i="5"/>
  <c r="G3601" i="5"/>
  <c r="G3602" i="5"/>
  <c r="E3603" i="5"/>
  <c r="G3603" i="5"/>
  <c r="G3594" i="5"/>
  <c r="G3595" i="5"/>
  <c r="G3587" i="5"/>
  <c r="E3588" i="5"/>
  <c r="G3588" i="5" s="1"/>
  <c r="G3589" i="5"/>
  <c r="G3590" i="5"/>
  <c r="G3579" i="5"/>
  <c r="E3580" i="5"/>
  <c r="G3580" i="5" s="1"/>
  <c r="E3581" i="5"/>
  <c r="G3581" i="5"/>
  <c r="E3582" i="5"/>
  <c r="G3582" i="5" s="1"/>
  <c r="E3583" i="5"/>
  <c r="G3583" i="5" s="1"/>
  <c r="G3573" i="5"/>
  <c r="G3574" i="5"/>
  <c r="G3575" i="5"/>
  <c r="G3567" i="5"/>
  <c r="G3568" i="5"/>
  <c r="G3569" i="5"/>
  <c r="E3551" i="5"/>
  <c r="G3551" i="5" s="1"/>
  <c r="G3552" i="5"/>
  <c r="E3553" i="5"/>
  <c r="G3553" i="5" s="1"/>
  <c r="G3554" i="5"/>
  <c r="G3555" i="5"/>
  <c r="E3556" i="5"/>
  <c r="G3556" i="5" s="1"/>
  <c r="E3557" i="5"/>
  <c r="G3557" i="5" s="1"/>
  <c r="E3558" i="5"/>
  <c r="G3558" i="5" s="1"/>
  <c r="G3559" i="5"/>
  <c r="G3560" i="5"/>
  <c r="G3544" i="5"/>
  <c r="G3545" i="5"/>
  <c r="G3546" i="5"/>
  <c r="G3547" i="5"/>
  <c r="G3535" i="5"/>
  <c r="G3536" i="5"/>
  <c r="E3537" i="5"/>
  <c r="G3537" i="5"/>
  <c r="E3538" i="5"/>
  <c r="G3538" i="5" s="1"/>
  <c r="G3525" i="5"/>
  <c r="G3526" i="5"/>
  <c r="G3527" i="5"/>
  <c r="E3528" i="5"/>
  <c r="G3528" i="5" s="1"/>
  <c r="E3529" i="5"/>
  <c r="G3529" i="5" s="1"/>
  <c r="G3508" i="5"/>
  <c r="E3509" i="5"/>
  <c r="G3509" i="5" s="1"/>
  <c r="G3510" i="5"/>
  <c r="E3511" i="5"/>
  <c r="G3511" i="5" s="1"/>
  <c r="G3512" i="5"/>
  <c r="G3513" i="5"/>
  <c r="E3514" i="5"/>
  <c r="G3514" i="5" s="1"/>
  <c r="E3515" i="5"/>
  <c r="G3515" i="5" s="1"/>
  <c r="E3516" i="5"/>
  <c r="G3516" i="5" s="1"/>
  <c r="G3517" i="5"/>
  <c r="G3518" i="5"/>
  <c r="G3500" i="5"/>
  <c r="G3501" i="5"/>
  <c r="G3502" i="5"/>
  <c r="G3503" i="5"/>
  <c r="G3504" i="5"/>
  <c r="G3483" i="5"/>
  <c r="E3484" i="5"/>
  <c r="G3484" i="5" s="1"/>
  <c r="G3485" i="5"/>
  <c r="E3486" i="5"/>
  <c r="G3486" i="5" s="1"/>
  <c r="G3487" i="5"/>
  <c r="G3488" i="5"/>
  <c r="E3489" i="5"/>
  <c r="G3489" i="5" s="1"/>
  <c r="E3490" i="5"/>
  <c r="G3490" i="5" s="1"/>
  <c r="E3491" i="5"/>
  <c r="G3491" i="5" s="1"/>
  <c r="G3492" i="5"/>
  <c r="G3493" i="5"/>
  <c r="G3475" i="5"/>
  <c r="G3476" i="5"/>
  <c r="G3477" i="5"/>
  <c r="G3478" i="5"/>
  <c r="G3479" i="5"/>
  <c r="E3464" i="5"/>
  <c r="G3464" i="5" s="1"/>
  <c r="E3465" i="5"/>
  <c r="G3465" i="5" s="1"/>
  <c r="E3466" i="5"/>
  <c r="G3466" i="5" s="1"/>
  <c r="E3467" i="5"/>
  <c r="G3467" i="5" s="1"/>
  <c r="G3468" i="5"/>
  <c r="E3469" i="5"/>
  <c r="G3469" i="5" s="1"/>
  <c r="E3453" i="5"/>
  <c r="G3453" i="5" s="1"/>
  <c r="E3454" i="5"/>
  <c r="G3454" i="5" s="1"/>
  <c r="E3455" i="5"/>
  <c r="G3455" i="5" s="1"/>
  <c r="E3456" i="5"/>
  <c r="G3456" i="5" s="1"/>
  <c r="G3457" i="5"/>
  <c r="E3458" i="5"/>
  <c r="G3458" i="5" s="1"/>
  <c r="E3443" i="5"/>
  <c r="G3443" i="5" s="1"/>
  <c r="E3444" i="5"/>
  <c r="G3444" i="5" s="1"/>
  <c r="E3445" i="5"/>
  <c r="G3445" i="5" s="1"/>
  <c r="E3446" i="5"/>
  <c r="G3446" i="5" s="1"/>
  <c r="E3447" i="5"/>
  <c r="G3447" i="5" s="1"/>
  <c r="G3439" i="5"/>
  <c r="H3439" i="5" s="1"/>
  <c r="E965" i="8" s="1"/>
  <c r="G3435" i="5"/>
  <c r="H3435" i="5" s="1"/>
  <c r="E964" i="8" s="1"/>
  <c r="G3430" i="5"/>
  <c r="G3431" i="5"/>
  <c r="G3425" i="5"/>
  <c r="G3426" i="5"/>
  <c r="G3420" i="5"/>
  <c r="G3421" i="5"/>
  <c r="G3413" i="5"/>
  <c r="G3414" i="5"/>
  <c r="G3415" i="5"/>
  <c r="G3416" i="5"/>
  <c r="G3406" i="5"/>
  <c r="G3407" i="5"/>
  <c r="G3408" i="5"/>
  <c r="G3409" i="5"/>
  <c r="G3399" i="5"/>
  <c r="G3400" i="5"/>
  <c r="G3401" i="5"/>
  <c r="G3402" i="5"/>
  <c r="G3395" i="5"/>
  <c r="H3395" i="5" s="1"/>
  <c r="E957" i="8" s="1"/>
  <c r="F957" i="8" s="1"/>
  <c r="G3391" i="5"/>
  <c r="G3392" i="5"/>
  <c r="G3386" i="5"/>
  <c r="G3387" i="5"/>
  <c r="G3382" i="5"/>
  <c r="H3382" i="5" s="1"/>
  <c r="E953" i="8" s="1"/>
  <c r="F953" i="8" s="1"/>
  <c r="G3378" i="5"/>
  <c r="H3378" i="5" s="1"/>
  <c r="E952" i="8" s="1"/>
  <c r="F952" i="8" s="1"/>
  <c r="G3371" i="5"/>
  <c r="G3372" i="5"/>
  <c r="G3373" i="5"/>
  <c r="G3374" i="5"/>
  <c r="G3364" i="5"/>
  <c r="G3365" i="5"/>
  <c r="G3366" i="5"/>
  <c r="G3367" i="5"/>
  <c r="G3357" i="5"/>
  <c r="G3358" i="5"/>
  <c r="G3359" i="5"/>
  <c r="G3360" i="5"/>
  <c r="G3352" i="5"/>
  <c r="G3353" i="5"/>
  <c r="G3343" i="5"/>
  <c r="E3344" i="5"/>
  <c r="G3344" i="5"/>
  <c r="G3345" i="5"/>
  <c r="G3346" i="5"/>
  <c r="G3337" i="5"/>
  <c r="G3338" i="5"/>
  <c r="G3339" i="5"/>
  <c r="G3331" i="5"/>
  <c r="G3332" i="5"/>
  <c r="G3333" i="5"/>
  <c r="G3324" i="5"/>
  <c r="G3325" i="5"/>
  <c r="G3326" i="5"/>
  <c r="G3327" i="5"/>
  <c r="G3317" i="5"/>
  <c r="G3318" i="5"/>
  <c r="G3319" i="5"/>
  <c r="G3320" i="5"/>
  <c r="G3310" i="5"/>
  <c r="G3311" i="5"/>
  <c r="G3312" i="5"/>
  <c r="G3313" i="5"/>
  <c r="G3303" i="5"/>
  <c r="G3304" i="5"/>
  <c r="G3305" i="5"/>
  <c r="G3306" i="5"/>
  <c r="G3296" i="5"/>
  <c r="G3297" i="5"/>
  <c r="G3298" i="5"/>
  <c r="G3299" i="5"/>
  <c r="G3289" i="5"/>
  <c r="G3290" i="5"/>
  <c r="G3291" i="5"/>
  <c r="G3292" i="5"/>
  <c r="G3282" i="5"/>
  <c r="G3283" i="5"/>
  <c r="G3284" i="5"/>
  <c r="G3285" i="5"/>
  <c r="G3275" i="5"/>
  <c r="G3276" i="5"/>
  <c r="G3277" i="5"/>
  <c r="G3278" i="5"/>
  <c r="G3268" i="5"/>
  <c r="G3269" i="5"/>
  <c r="G3270" i="5"/>
  <c r="G3271" i="5"/>
  <c r="G3261" i="5"/>
  <c r="G3262" i="5"/>
  <c r="G3263" i="5"/>
  <c r="G3264" i="5"/>
  <c r="G3256" i="5"/>
  <c r="G3257" i="5"/>
  <c r="G3246" i="5"/>
  <c r="G3247" i="5"/>
  <c r="G3248" i="5"/>
  <c r="G3249" i="5"/>
  <c r="G3250" i="5"/>
  <c r="G3251" i="5"/>
  <c r="G3252" i="5"/>
  <c r="G3240" i="5"/>
  <c r="G3241" i="5"/>
  <c r="G3242" i="5"/>
  <c r="G3234" i="5"/>
  <c r="G3235" i="5"/>
  <c r="G3236" i="5"/>
  <c r="G3228" i="5"/>
  <c r="G3229" i="5"/>
  <c r="G3230" i="5"/>
  <c r="G3215" i="5"/>
  <c r="G3216" i="5"/>
  <c r="G3217" i="5"/>
  <c r="G3218" i="5"/>
  <c r="G3219" i="5"/>
  <c r="G3220" i="5"/>
  <c r="E3221" i="5"/>
  <c r="G3221" i="5" s="1"/>
  <c r="E3222" i="5"/>
  <c r="G3222" i="5" s="1"/>
  <c r="G3208" i="5"/>
  <c r="G3209" i="5"/>
  <c r="G3210" i="5"/>
  <c r="G3211" i="5"/>
  <c r="G3204" i="5"/>
  <c r="H3204" i="5" s="1"/>
  <c r="E924" i="8" s="1"/>
  <c r="F924" i="8" s="1"/>
  <c r="G3199" i="5"/>
  <c r="G3200" i="5"/>
  <c r="G3191" i="5"/>
  <c r="G3192" i="5"/>
  <c r="G3193" i="5"/>
  <c r="G3194" i="5"/>
  <c r="G3195" i="5"/>
  <c r="G3183" i="5"/>
  <c r="G3184" i="5"/>
  <c r="G3185" i="5"/>
  <c r="G3186" i="5"/>
  <c r="G3187" i="5"/>
  <c r="G3174" i="5"/>
  <c r="G3175" i="5"/>
  <c r="G3176" i="5"/>
  <c r="G3169" i="5"/>
  <c r="G3170" i="5"/>
  <c r="G3163" i="5"/>
  <c r="G3164" i="5"/>
  <c r="G3165" i="5"/>
  <c r="G3158" i="5"/>
  <c r="G3159" i="5"/>
  <c r="G3152" i="5"/>
  <c r="G3153" i="5"/>
  <c r="G3154" i="5"/>
  <c r="G3146" i="5"/>
  <c r="G3147" i="5"/>
  <c r="G3148" i="5"/>
  <c r="G3140" i="5"/>
  <c r="G3141" i="5"/>
  <c r="G3142" i="5"/>
  <c r="G3134" i="5"/>
  <c r="H3134" i="5" s="1"/>
  <c r="E913" i="8" s="1"/>
  <c r="F913" i="8" s="1"/>
  <c r="G3129" i="5"/>
  <c r="G3130" i="5"/>
  <c r="G3124" i="5"/>
  <c r="G3125" i="5"/>
  <c r="G3119" i="5"/>
  <c r="G3120" i="5"/>
  <c r="G3114" i="5"/>
  <c r="G3115" i="5"/>
  <c r="G3109" i="5"/>
  <c r="G3110" i="5"/>
  <c r="G3104" i="5"/>
  <c r="G3105" i="5"/>
  <c r="G3099" i="5"/>
  <c r="G3100" i="5"/>
  <c r="G3094" i="5"/>
  <c r="G3095" i="5"/>
  <c r="G3089" i="5"/>
  <c r="G3090" i="5"/>
  <c r="G3081" i="5"/>
  <c r="G3082" i="5"/>
  <c r="G3083" i="5"/>
  <c r="G3084" i="5"/>
  <c r="G3085" i="5"/>
  <c r="G3076" i="5"/>
  <c r="G3077" i="5"/>
  <c r="G3068" i="5"/>
  <c r="G3069" i="5"/>
  <c r="G3070" i="5"/>
  <c r="G3071" i="5"/>
  <c r="G3072" i="5"/>
  <c r="G3064" i="5"/>
  <c r="H3064" i="5" s="1"/>
  <c r="E900" i="8" s="1"/>
  <c r="G3056" i="5"/>
  <c r="G3057" i="5"/>
  <c r="G3051" i="5"/>
  <c r="G3052" i="5"/>
  <c r="G3043" i="5"/>
  <c r="G3044" i="5"/>
  <c r="G3038" i="5"/>
  <c r="G3039" i="5"/>
  <c r="G3033" i="5"/>
  <c r="G3034" i="5"/>
  <c r="G3028" i="5"/>
  <c r="G3029" i="5"/>
  <c r="G3023" i="5"/>
  <c r="G3024" i="5"/>
  <c r="G3018" i="5"/>
  <c r="G3019" i="5"/>
  <c r="G3013" i="5"/>
  <c r="G3014" i="5"/>
  <c r="G3008" i="5"/>
  <c r="G3009" i="5"/>
  <c r="G3003" i="5"/>
  <c r="G3004" i="5"/>
  <c r="G2998" i="5"/>
  <c r="G2999" i="5"/>
  <c r="G2988" i="5"/>
  <c r="G2989" i="5"/>
  <c r="G2990" i="5"/>
  <c r="G2991" i="5"/>
  <c r="G2992" i="5"/>
  <c r="G2993" i="5"/>
  <c r="G2994" i="5"/>
  <c r="G2983" i="5"/>
  <c r="G2984" i="5"/>
  <c r="G2978" i="5"/>
  <c r="G2979" i="5"/>
  <c r="G2973" i="5"/>
  <c r="G2974" i="5"/>
  <c r="G2968" i="5"/>
  <c r="G2969" i="5"/>
  <c r="G2963" i="5"/>
  <c r="G2964" i="5"/>
  <c r="G2958" i="5"/>
  <c r="G2959" i="5"/>
  <c r="G2953" i="5"/>
  <c r="G2954" i="5"/>
  <c r="G2948" i="5"/>
  <c r="G2949" i="5"/>
  <c r="G2943" i="5"/>
  <c r="G2944" i="5"/>
  <c r="G2938" i="5"/>
  <c r="G2939" i="5"/>
  <c r="G2930" i="5"/>
  <c r="G2931" i="5"/>
  <c r="G2922" i="5"/>
  <c r="G2923" i="5"/>
  <c r="G2914" i="5"/>
  <c r="G2915" i="5"/>
  <c r="G2906" i="5"/>
  <c r="G2907" i="5"/>
  <c r="G2898" i="5"/>
  <c r="G2899" i="5"/>
  <c r="G2893" i="5"/>
  <c r="G2894" i="5"/>
  <c r="G2888" i="5"/>
  <c r="G2889" i="5"/>
  <c r="G2883" i="5"/>
  <c r="G2884" i="5"/>
  <c r="G2876" i="5"/>
  <c r="G2877" i="5"/>
  <c r="G2878" i="5"/>
  <c r="G2879" i="5"/>
  <c r="G2871" i="5"/>
  <c r="G2872" i="5"/>
  <c r="G2866" i="5"/>
  <c r="G2867" i="5"/>
  <c r="G2861" i="5"/>
  <c r="G2862" i="5"/>
  <c r="G2856" i="5"/>
  <c r="G2857" i="5"/>
  <c r="G2851" i="5"/>
  <c r="G2852" i="5"/>
  <c r="G2846" i="5"/>
  <c r="G2847" i="5"/>
  <c r="G2841" i="5"/>
  <c r="G2842" i="5"/>
  <c r="G2836" i="5"/>
  <c r="G2837" i="5"/>
  <c r="G2829" i="5"/>
  <c r="G2830" i="5"/>
  <c r="G2824" i="5"/>
  <c r="G2825" i="5"/>
  <c r="G2819" i="5"/>
  <c r="G2820" i="5"/>
  <c r="G2814" i="5"/>
  <c r="G2815" i="5"/>
  <c r="G2804" i="5"/>
  <c r="G2805" i="5"/>
  <c r="G2806" i="5"/>
  <c r="G2807" i="5"/>
  <c r="G2808" i="5"/>
  <c r="G2809" i="5"/>
  <c r="G2810" i="5"/>
  <c r="G2799" i="5"/>
  <c r="G2800" i="5"/>
  <c r="G2794" i="5"/>
  <c r="G2795" i="5"/>
  <c r="G2788" i="5"/>
  <c r="G2789" i="5"/>
  <c r="G2790" i="5"/>
  <c r="G2778" i="5"/>
  <c r="G2779" i="5"/>
  <c r="G2780" i="5"/>
  <c r="G2781" i="5"/>
  <c r="G2782" i="5"/>
  <c r="G2783" i="5"/>
  <c r="G2784" i="5"/>
  <c r="G2773" i="5"/>
  <c r="G2774" i="5"/>
  <c r="G2769" i="5"/>
  <c r="H2769" i="5" s="1"/>
  <c r="E846" i="8" s="1"/>
  <c r="F846" i="8" s="1"/>
  <c r="G2765" i="5"/>
  <c r="H2765" i="5" s="1"/>
  <c r="E845" i="8" s="1"/>
  <c r="G2761" i="5"/>
  <c r="H2761" i="5" s="1"/>
  <c r="E834" i="8" s="1"/>
  <c r="G2757" i="5"/>
  <c r="H2757" i="5" s="1"/>
  <c r="E833" i="8" s="1"/>
  <c r="G2753" i="5"/>
  <c r="H2753" i="5" s="1"/>
  <c r="E820" i="8" s="1"/>
  <c r="G2749" i="5"/>
  <c r="H2749" i="5" s="1"/>
  <c r="E819" i="8" s="1"/>
  <c r="F819" i="8" s="1"/>
  <c r="G2745" i="5"/>
  <c r="H2745" i="5" s="1"/>
  <c r="E777" i="8" s="1"/>
  <c r="F777" i="8" s="1"/>
  <c r="G2741" i="5"/>
  <c r="H2741" i="5" s="1"/>
  <c r="E775" i="8" s="1"/>
  <c r="F775" i="8" s="1"/>
  <c r="G2737" i="5"/>
  <c r="H2737" i="5" s="1"/>
  <c r="E774" i="8" s="1"/>
  <c r="F774" i="8" s="1"/>
  <c r="G2733" i="5"/>
  <c r="H2733" i="5" s="1"/>
  <c r="E751" i="8" s="1"/>
  <c r="G2729" i="5"/>
  <c r="H2729" i="5" s="1"/>
  <c r="E750" i="8" s="1"/>
  <c r="G2725" i="5"/>
  <c r="H2725" i="5" s="1"/>
  <c r="E742" i="8" s="1"/>
  <c r="G2721" i="5"/>
  <c r="H2721" i="5" s="1"/>
  <c r="E733" i="8" s="1"/>
  <c r="G2717" i="5"/>
  <c r="H2717" i="5" s="1"/>
  <c r="E723" i="8" s="1"/>
  <c r="F723" i="8" s="1"/>
  <c r="E2711" i="5"/>
  <c r="G2711" i="5" s="1"/>
  <c r="H2711" i="5" s="1"/>
  <c r="E722" i="8" s="1"/>
  <c r="F722" i="8" s="1"/>
  <c r="E2705" i="5"/>
  <c r="G2705" i="5" s="1"/>
  <c r="H2705" i="5" s="1"/>
  <c r="E721" i="8" s="1"/>
  <c r="F721" i="8" s="1"/>
  <c r="E2699" i="5"/>
  <c r="G2699" i="5"/>
  <c r="H2699" i="5" s="1"/>
  <c r="E720" i="8" s="1"/>
  <c r="F720" i="8" s="1"/>
  <c r="E2693" i="5"/>
  <c r="G2693" i="5" s="1"/>
  <c r="H2693" i="5" s="1"/>
  <c r="E719" i="8" s="1"/>
  <c r="F719" i="8" s="1"/>
  <c r="E2687" i="5"/>
  <c r="G2687" i="5" s="1"/>
  <c r="H2687" i="5" s="1"/>
  <c r="E718" i="8" s="1"/>
  <c r="E2681" i="5"/>
  <c r="G2681" i="5" s="1"/>
  <c r="H2681" i="5" s="1"/>
  <c r="E717" i="8" s="1"/>
  <c r="E2675" i="5"/>
  <c r="G2675" i="5" s="1"/>
  <c r="H2675" i="5" s="1"/>
  <c r="E716" i="8" s="1"/>
  <c r="F716" i="8" s="1"/>
  <c r="E2669" i="5"/>
  <c r="G2669" i="5" s="1"/>
  <c r="H2669" i="5" s="1"/>
  <c r="E715" i="8" s="1"/>
  <c r="F715" i="8" s="1"/>
  <c r="E2663" i="5"/>
  <c r="G2663" i="5" s="1"/>
  <c r="H2663" i="5" s="1"/>
  <c r="E714" i="8" s="1"/>
  <c r="E2657" i="5"/>
  <c r="G2657" i="5" s="1"/>
  <c r="H2657" i="5" s="1"/>
  <c r="E713" i="8" s="1"/>
  <c r="G2653" i="5"/>
  <c r="H2653" i="5" s="1"/>
  <c r="E597" i="8" s="1"/>
  <c r="G2649" i="5"/>
  <c r="H2649" i="5" s="1"/>
  <c r="E593" i="8" s="1"/>
  <c r="G2645" i="5"/>
  <c r="H2645" i="5" s="1"/>
  <c r="E588" i="8" s="1"/>
  <c r="F588" i="8" s="1"/>
  <c r="G2641" i="5"/>
  <c r="H2641" i="5" s="1"/>
  <c r="E587" i="8" s="1"/>
  <c r="F587" i="8" s="1"/>
  <c r="G2637" i="5"/>
  <c r="H2637" i="5" s="1"/>
  <c r="E586" i="8" s="1"/>
  <c r="F586" i="8" s="1"/>
  <c r="G2633" i="5"/>
  <c r="H2633" i="5" s="1"/>
  <c r="E585" i="8" s="1"/>
  <c r="G2629" i="5"/>
  <c r="H2629" i="5" s="1"/>
  <c r="E584" i="8" s="1"/>
  <c r="G2625" i="5"/>
  <c r="H2625" i="5" s="1"/>
  <c r="E583" i="8" s="1"/>
  <c r="G2621" i="5"/>
  <c r="H2621" i="5" s="1"/>
  <c r="E582" i="8" s="1"/>
  <c r="G2617" i="5"/>
  <c r="H2617" i="5" s="1"/>
  <c r="E581" i="8" s="1"/>
  <c r="G2613" i="5"/>
  <c r="H2613" i="5" s="1"/>
  <c r="E580" i="8" s="1"/>
  <c r="F580" i="8" s="1"/>
  <c r="G2609" i="5"/>
  <c r="H2609" i="5" s="1"/>
  <c r="E579" i="8" s="1"/>
  <c r="F579" i="8" s="1"/>
  <c r="G2605" i="5"/>
  <c r="H2605" i="5" s="1"/>
  <c r="E578" i="8" s="1"/>
  <c r="F578" i="8" s="1"/>
  <c r="G2601" i="5"/>
  <c r="H2601" i="5" s="1"/>
  <c r="E577" i="8" s="1"/>
  <c r="F577" i="8" s="1"/>
  <c r="G2597" i="5"/>
  <c r="H2597" i="5" s="1"/>
  <c r="E576" i="8" s="1"/>
  <c r="G2589" i="5"/>
  <c r="E2590" i="5"/>
  <c r="G2590" i="5" s="1"/>
  <c r="E2591" i="5"/>
  <c r="G2591" i="5" s="1"/>
  <c r="G2581" i="5"/>
  <c r="E2582" i="5"/>
  <c r="G2582" i="5" s="1"/>
  <c r="E2583" i="5"/>
  <c r="G2583" i="5" s="1"/>
  <c r="G2573" i="5"/>
  <c r="E2574" i="5"/>
  <c r="G2574" i="5" s="1"/>
  <c r="E2575" i="5"/>
  <c r="G2575" i="5" s="1"/>
  <c r="G2569" i="5"/>
  <c r="H2569" i="5" s="1"/>
  <c r="E572" i="8" s="1"/>
  <c r="G2565" i="5"/>
  <c r="H2565" i="5" s="1"/>
  <c r="E571" i="8" s="1"/>
  <c r="G2561" i="5"/>
  <c r="H2561" i="5" s="1"/>
  <c r="E570" i="8" s="1"/>
  <c r="F570" i="8" s="1"/>
  <c r="G2557" i="5"/>
  <c r="H2557" i="5" s="1"/>
  <c r="E569" i="8" s="1"/>
  <c r="G2553" i="5"/>
  <c r="H2553" i="5" s="1"/>
  <c r="E568" i="8" s="1"/>
  <c r="G2549" i="5"/>
  <c r="H2549" i="5" s="1"/>
  <c r="E567" i="8" s="1"/>
  <c r="F567" i="8" s="1"/>
  <c r="G2545" i="5"/>
  <c r="H2545" i="5" s="1"/>
  <c r="E566" i="8" s="1"/>
  <c r="G2541" i="5"/>
  <c r="H2541" i="5" s="1"/>
  <c r="E564" i="8" s="1"/>
  <c r="F564" i="8" s="1"/>
  <c r="G2537" i="5"/>
  <c r="H2537" i="5" s="1"/>
  <c r="E562" i="8" s="1"/>
  <c r="G2533" i="5"/>
  <c r="H2533" i="5" s="1"/>
  <c r="E519" i="8" s="1"/>
  <c r="F519" i="8" s="1"/>
  <c r="G2529" i="5"/>
  <c r="H2529" i="5" s="1"/>
  <c r="E518" i="8" s="1"/>
  <c r="G2525" i="5"/>
  <c r="H2525" i="5" s="1"/>
  <c r="E517" i="8" s="1"/>
  <c r="G2521" i="5"/>
  <c r="H2521" i="5" s="1"/>
  <c r="E516" i="8" s="1"/>
  <c r="G2517" i="5"/>
  <c r="H2517" i="5" s="1"/>
  <c r="E515" i="8" s="1"/>
  <c r="F515" i="8" s="1"/>
  <c r="G2513" i="5"/>
  <c r="H2513" i="5" s="1"/>
  <c r="E514" i="8" s="1"/>
  <c r="G2509" i="5"/>
  <c r="H2509" i="5" s="1"/>
  <c r="E513" i="8" s="1"/>
  <c r="G2505" i="5"/>
  <c r="H2505" i="5" s="1"/>
  <c r="E512" i="8" s="1"/>
  <c r="F512" i="8" s="1"/>
  <c r="G2501" i="5"/>
  <c r="H2501" i="5" s="1"/>
  <c r="E511" i="8" s="1"/>
  <c r="F511" i="8" s="1"/>
  <c r="G2497" i="5"/>
  <c r="H2497" i="5" s="1"/>
  <c r="E510" i="8" s="1"/>
  <c r="F510" i="8" s="1"/>
  <c r="G2493" i="5"/>
  <c r="H2493" i="5" s="1"/>
  <c r="E509" i="8" s="1"/>
  <c r="F509" i="8" s="1"/>
  <c r="G2489" i="5"/>
  <c r="H2489" i="5" s="1"/>
  <c r="E508" i="8" s="1"/>
  <c r="G2485" i="5"/>
  <c r="H2485" i="5" s="1"/>
  <c r="E507" i="8" s="1"/>
  <c r="G2481" i="5"/>
  <c r="H2481" i="5" s="1"/>
  <c r="E506" i="8" s="1"/>
  <c r="F506" i="8" s="1"/>
  <c r="G2477" i="5"/>
  <c r="H2477" i="5" s="1"/>
  <c r="E505" i="8" s="1"/>
  <c r="G2473" i="5"/>
  <c r="H2473" i="5" s="1"/>
  <c r="E503" i="8" s="1"/>
  <c r="G2469" i="5"/>
  <c r="H2469" i="5" s="1"/>
  <c r="E501" i="8" s="1"/>
  <c r="F501" i="8" s="1"/>
  <c r="G2465" i="5"/>
  <c r="H2465" i="5" s="1"/>
  <c r="E499" i="8" s="1"/>
  <c r="G2461" i="5"/>
  <c r="H2461" i="5" s="1"/>
  <c r="E496" i="8" s="1"/>
  <c r="F496" i="8" s="1"/>
  <c r="G2457" i="5"/>
  <c r="H2457" i="5" s="1"/>
  <c r="E495" i="8" s="1"/>
  <c r="E2453" i="5"/>
  <c r="G2453" i="5"/>
  <c r="H2453" i="5" s="1"/>
  <c r="E494" i="8" s="1"/>
  <c r="G2449" i="5"/>
  <c r="H2449" i="5" s="1"/>
  <c r="E477" i="8" s="1"/>
  <c r="G2445" i="5"/>
  <c r="H2445" i="5" s="1"/>
  <c r="E476" i="8" s="1"/>
  <c r="F476" i="8" s="1"/>
  <c r="G2441" i="5"/>
  <c r="H2441" i="5" s="1"/>
  <c r="E475" i="8" s="1"/>
  <c r="F475" i="8" s="1"/>
  <c r="G2437" i="5"/>
  <c r="H2437" i="5" s="1"/>
  <c r="E473" i="8" s="1"/>
  <c r="G2433" i="5"/>
  <c r="H2433" i="5" s="1"/>
  <c r="E472" i="8" s="1"/>
  <c r="F472" i="8" s="1"/>
  <c r="G2429" i="5"/>
  <c r="H2429" i="5" s="1"/>
  <c r="E448" i="8" s="1"/>
  <c r="G2425" i="5"/>
  <c r="H2425" i="5" s="1"/>
  <c r="E421" i="8" s="1"/>
  <c r="G2421" i="5"/>
  <c r="H2421" i="5" s="1"/>
  <c r="E420" i="8" s="1"/>
  <c r="G2417" i="5"/>
  <c r="H2417" i="5" s="1"/>
  <c r="E419" i="8" s="1"/>
  <c r="F419" i="8" s="1"/>
  <c r="G2413" i="5"/>
  <c r="H2413" i="5" s="1"/>
  <c r="E416" i="8" s="1"/>
  <c r="F416" i="8" s="1"/>
  <c r="G2409" i="5"/>
  <c r="H2409" i="5" s="1"/>
  <c r="E414" i="8" s="1"/>
  <c r="F414" i="8" s="1"/>
  <c r="G2405" i="5"/>
  <c r="H2405" i="5" s="1"/>
  <c r="E413" i="8" s="1"/>
  <c r="G2401" i="5"/>
  <c r="H2401" i="5" s="1"/>
  <c r="E412" i="8" s="1"/>
  <c r="F412" i="8" s="1"/>
  <c r="G2397" i="5"/>
  <c r="H2397" i="5" s="1"/>
  <c r="E410" i="8" s="1"/>
  <c r="G2391" i="5"/>
  <c r="G2392" i="5"/>
  <c r="G2393" i="5"/>
  <c r="G2384" i="5"/>
  <c r="G2385" i="5"/>
  <c r="G2386" i="5"/>
  <c r="G2387" i="5"/>
  <c r="G2378" i="5"/>
  <c r="G2379" i="5"/>
  <c r="G2380" i="5"/>
  <c r="E2371" i="5"/>
  <c r="G2371" i="5" s="1"/>
  <c r="E2372" i="5"/>
  <c r="G2372" i="5" s="1"/>
  <c r="G2373" i="5"/>
  <c r="G2374" i="5"/>
  <c r="G2363" i="5"/>
  <c r="G2364" i="5"/>
  <c r="G2365" i="5"/>
  <c r="E2366" i="5"/>
  <c r="G2366" i="5" s="1"/>
  <c r="E2367" i="5"/>
  <c r="G2367" i="5" s="1"/>
  <c r="G2357" i="5"/>
  <c r="G2358" i="5"/>
  <c r="G2359" i="5"/>
  <c r="E2352" i="5"/>
  <c r="G2352" i="5" s="1"/>
  <c r="G2353" i="5"/>
  <c r="G2347" i="5"/>
  <c r="G2348" i="5"/>
  <c r="G2342" i="5"/>
  <c r="G2343" i="5"/>
  <c r="G2336" i="5"/>
  <c r="G2337" i="5"/>
  <c r="G2338" i="5"/>
  <c r="G2330" i="5"/>
  <c r="G2331" i="5"/>
  <c r="G2332" i="5"/>
  <c r="G2324" i="5"/>
  <c r="G2325" i="5"/>
  <c r="G2326" i="5"/>
  <c r="G2318" i="5"/>
  <c r="G2319" i="5"/>
  <c r="G2320" i="5"/>
  <c r="G2311" i="5"/>
  <c r="G2312" i="5"/>
  <c r="G2313" i="5"/>
  <c r="G2314" i="5"/>
  <c r="G2304" i="5"/>
  <c r="G2305" i="5"/>
  <c r="G2306" i="5"/>
  <c r="G2307" i="5"/>
  <c r="G2294" i="5"/>
  <c r="E2295" i="5"/>
  <c r="G2295" i="5" s="1"/>
  <c r="E2296" i="5"/>
  <c r="G2296" i="5"/>
  <c r="E2297" i="5"/>
  <c r="G2297" i="5" s="1"/>
  <c r="E2298" i="5"/>
  <c r="G2298" i="5" s="1"/>
  <c r="G2284" i="5"/>
  <c r="E2285" i="5"/>
  <c r="G2285" i="5" s="1"/>
  <c r="E2286" i="5"/>
  <c r="G2286" i="5" s="1"/>
  <c r="E2287" i="5"/>
  <c r="G2287" i="5" s="1"/>
  <c r="E2288" i="5"/>
  <c r="G2288" i="5" s="1"/>
  <c r="G2274" i="5"/>
  <c r="E2275" i="5"/>
  <c r="G2275" i="5" s="1"/>
  <c r="E2276" i="5"/>
  <c r="G2276" i="5" s="1"/>
  <c r="E2277" i="5"/>
  <c r="G2277" i="5" s="1"/>
  <c r="E2278" i="5"/>
  <c r="G2278" i="5" s="1"/>
  <c r="G2264" i="5"/>
  <c r="E2265" i="5"/>
  <c r="G2265" i="5"/>
  <c r="E2266" i="5"/>
  <c r="G2266" i="5" s="1"/>
  <c r="E2267" i="5"/>
  <c r="G2267" i="5" s="1"/>
  <c r="E2268" i="5"/>
  <c r="G2268" i="5" s="1"/>
  <c r="G2254" i="5"/>
  <c r="E2255" i="5"/>
  <c r="G2255" i="5" s="1"/>
  <c r="E2256" i="5"/>
  <c r="G2256" i="5" s="1"/>
  <c r="E2257" i="5"/>
  <c r="G2257" i="5" s="1"/>
  <c r="E2258" i="5"/>
  <c r="G2258" i="5" s="1"/>
  <c r="G2248" i="5"/>
  <c r="G2249" i="5"/>
  <c r="G2250" i="5"/>
  <c r="G2234" i="5"/>
  <c r="G2235" i="5"/>
  <c r="G2236" i="5"/>
  <c r="E2237" i="5"/>
  <c r="G2237" i="5" s="1"/>
  <c r="E2238" i="5"/>
  <c r="G2238" i="5" s="1"/>
  <c r="G2239" i="5"/>
  <c r="E2240" i="5"/>
  <c r="G2240" i="5" s="1"/>
  <c r="E2241" i="5"/>
  <c r="G2241" i="5" s="1"/>
  <c r="E2242" i="5"/>
  <c r="G2242" i="5" s="1"/>
  <c r="G2228" i="5"/>
  <c r="G2229" i="5"/>
  <c r="G2230" i="5"/>
  <c r="G2222" i="5"/>
  <c r="G2223" i="5"/>
  <c r="G2224" i="5"/>
  <c r="G2215" i="5"/>
  <c r="G2216" i="5"/>
  <c r="G2217" i="5"/>
  <c r="G2218" i="5"/>
  <c r="G2208" i="5"/>
  <c r="E2209" i="5"/>
  <c r="G2209" i="5" s="1"/>
  <c r="G2210" i="5"/>
  <c r="G2211" i="5"/>
  <c r="G2203" i="5"/>
  <c r="G2204" i="5"/>
  <c r="G2195" i="5"/>
  <c r="E2196" i="5"/>
  <c r="G2196" i="5" s="1"/>
  <c r="E2197" i="5"/>
  <c r="G2197" i="5" s="1"/>
  <c r="G2187" i="5"/>
  <c r="E2188" i="5"/>
  <c r="G2188" i="5" s="1"/>
  <c r="E2189" i="5"/>
  <c r="G2189" i="5" s="1"/>
  <c r="G2179" i="5"/>
  <c r="E2180" i="5"/>
  <c r="G2180" i="5" s="1"/>
  <c r="E2181" i="5"/>
  <c r="G2181" i="5" s="1"/>
  <c r="G2171" i="5"/>
  <c r="E2172" i="5"/>
  <c r="G2172" i="5" s="1"/>
  <c r="E2173" i="5"/>
  <c r="G2173" i="5" s="1"/>
  <c r="G2163" i="5"/>
  <c r="E2164" i="5"/>
  <c r="G2164" i="5" s="1"/>
  <c r="E2165" i="5"/>
  <c r="G2165" i="5" s="1"/>
  <c r="G2155" i="5"/>
  <c r="E2156" i="5"/>
  <c r="G2156" i="5" s="1"/>
  <c r="E2157" i="5"/>
  <c r="G2157" i="5" s="1"/>
  <c r="G2147" i="5"/>
  <c r="E2148" i="5"/>
  <c r="G2148" i="5" s="1"/>
  <c r="E2149" i="5"/>
  <c r="G2149" i="5" s="1"/>
  <c r="G2139" i="5"/>
  <c r="E2140" i="5"/>
  <c r="G2140" i="5" s="1"/>
  <c r="E2141" i="5"/>
  <c r="G2141" i="5" s="1"/>
  <c r="G2133" i="5"/>
  <c r="G2134" i="5"/>
  <c r="G2135" i="5"/>
  <c r="G2127" i="5"/>
  <c r="G2128" i="5"/>
  <c r="G2129" i="5"/>
  <c r="G2121" i="5"/>
  <c r="G2122" i="5"/>
  <c r="G2123" i="5"/>
  <c r="G2115" i="5"/>
  <c r="G2116" i="5"/>
  <c r="G2117" i="5"/>
  <c r="G2109" i="5"/>
  <c r="G2110" i="5"/>
  <c r="G2111" i="5"/>
  <c r="G2101" i="5"/>
  <c r="E2102" i="5"/>
  <c r="G2102" i="5" s="1"/>
  <c r="E2103" i="5"/>
  <c r="G2103" i="5" s="1"/>
  <c r="G2093" i="5"/>
  <c r="E2094" i="5"/>
  <c r="G2094" i="5" s="1"/>
  <c r="E2095" i="5"/>
  <c r="G2095" i="5" s="1"/>
  <c r="G2085" i="5"/>
  <c r="E2086" i="5"/>
  <c r="G2086" i="5" s="1"/>
  <c r="E2087" i="5"/>
  <c r="G2087" i="5" s="1"/>
  <c r="G2077" i="5"/>
  <c r="E2078" i="5"/>
  <c r="G2078" i="5" s="1"/>
  <c r="E2079" i="5"/>
  <c r="G2079" i="5" s="1"/>
  <c r="G2069" i="5"/>
  <c r="E2070" i="5"/>
  <c r="G2070" i="5" s="1"/>
  <c r="E2071" i="5"/>
  <c r="G2071" i="5" s="1"/>
  <c r="G2061" i="5"/>
  <c r="E2062" i="5"/>
  <c r="G2062" i="5"/>
  <c r="E2063" i="5"/>
  <c r="G2063" i="5" s="1"/>
  <c r="G2053" i="5"/>
  <c r="E2054" i="5"/>
  <c r="G2054" i="5" s="1"/>
  <c r="E2055" i="5"/>
  <c r="G2055" i="5" s="1"/>
  <c r="G2045" i="5"/>
  <c r="E2046" i="5"/>
  <c r="G2046" i="5" s="1"/>
  <c r="E2047" i="5"/>
  <c r="G2047" i="5" s="1"/>
  <c r="G2037" i="5"/>
  <c r="E2038" i="5"/>
  <c r="G2038" i="5" s="1"/>
  <c r="E2039" i="5"/>
  <c r="G2039" i="5" s="1"/>
  <c r="G2029" i="5"/>
  <c r="E2030" i="5"/>
  <c r="G2030" i="5"/>
  <c r="E2031" i="5"/>
  <c r="G2031" i="5" s="1"/>
  <c r="G2021" i="5"/>
  <c r="E2022" i="5"/>
  <c r="G2022" i="5" s="1"/>
  <c r="E2023" i="5"/>
  <c r="G2023" i="5" s="1"/>
  <c r="G2015" i="5"/>
  <c r="G2016" i="5"/>
  <c r="G2017" i="5"/>
  <c r="G2008" i="5"/>
  <c r="G2009" i="5"/>
  <c r="G2010" i="5"/>
  <c r="G2011" i="5"/>
  <c r="G2001" i="5"/>
  <c r="G2002" i="5"/>
  <c r="G2003" i="5"/>
  <c r="G2004" i="5"/>
  <c r="G1994" i="5"/>
  <c r="G1995" i="5"/>
  <c r="G1996" i="5"/>
  <c r="G1997" i="5"/>
  <c r="G1987" i="5"/>
  <c r="G1988" i="5"/>
  <c r="G1989" i="5"/>
  <c r="G1990" i="5"/>
  <c r="G1979" i="5"/>
  <c r="G1980" i="5"/>
  <c r="G1981" i="5"/>
  <c r="G1982" i="5"/>
  <c r="G1983" i="5"/>
  <c r="G1971" i="5"/>
  <c r="G1972" i="5"/>
  <c r="G1973" i="5"/>
  <c r="G1974" i="5"/>
  <c r="G1975" i="5"/>
  <c r="G1964" i="5"/>
  <c r="G1965" i="5"/>
  <c r="G1966" i="5"/>
  <c r="G1967" i="5"/>
  <c r="G1957" i="5"/>
  <c r="G1958" i="5"/>
  <c r="G1959" i="5"/>
  <c r="G1960" i="5"/>
  <c r="G1951" i="5"/>
  <c r="G1952" i="5"/>
  <c r="G1953" i="5"/>
  <c r="G1945" i="5"/>
  <c r="G1946" i="5"/>
  <c r="G1947" i="5"/>
  <c r="G1938" i="5"/>
  <c r="G1939" i="5"/>
  <c r="G1940" i="5"/>
  <c r="G1941" i="5"/>
  <c r="G1933" i="5"/>
  <c r="G1934" i="5"/>
  <c r="G1928" i="5"/>
  <c r="G1929" i="5"/>
  <c r="G1922" i="5"/>
  <c r="G1923" i="5"/>
  <c r="G1924" i="5"/>
  <c r="G1917" i="5"/>
  <c r="G1918" i="5"/>
  <c r="G1912" i="5"/>
  <c r="G1913" i="5"/>
  <c r="G1907" i="5"/>
  <c r="G1908" i="5"/>
  <c r="G1901" i="5"/>
  <c r="G1902" i="5"/>
  <c r="G1903" i="5"/>
  <c r="G1895" i="5"/>
  <c r="G1896" i="5"/>
  <c r="G1897" i="5"/>
  <c r="G1889" i="5"/>
  <c r="G1890" i="5"/>
  <c r="G1891" i="5"/>
  <c r="G1883" i="5"/>
  <c r="G1884" i="5"/>
  <c r="G1885" i="5"/>
  <c r="G1877" i="5"/>
  <c r="G1878" i="5"/>
  <c r="G1879" i="5"/>
  <c r="G1871" i="5"/>
  <c r="G1872" i="5"/>
  <c r="G1873" i="5"/>
  <c r="G1865" i="5"/>
  <c r="G1866" i="5"/>
  <c r="G1867" i="5"/>
  <c r="G1859" i="5"/>
  <c r="G1860" i="5"/>
  <c r="G1861" i="5"/>
  <c r="G1853" i="5"/>
  <c r="G1854" i="5"/>
  <c r="G1855" i="5"/>
  <c r="G1847" i="5"/>
  <c r="G1848" i="5"/>
  <c r="G1849" i="5"/>
  <c r="G1841" i="5"/>
  <c r="G1842" i="5"/>
  <c r="G1843" i="5"/>
  <c r="G1835" i="5"/>
  <c r="G1836" i="5"/>
  <c r="G1837" i="5"/>
  <c r="G1828" i="5"/>
  <c r="G1829" i="5"/>
  <c r="G1830" i="5"/>
  <c r="G1831" i="5"/>
  <c r="G1822" i="5"/>
  <c r="G1823" i="5"/>
  <c r="G1824" i="5"/>
  <c r="G1816" i="5"/>
  <c r="G1817" i="5"/>
  <c r="G1818" i="5"/>
  <c r="G1811" i="5"/>
  <c r="G1812" i="5"/>
  <c r="G1806" i="5"/>
  <c r="G1807" i="5"/>
  <c r="G1799" i="5"/>
  <c r="G1800" i="5"/>
  <c r="G1801" i="5"/>
  <c r="G1802" i="5"/>
  <c r="G1792" i="5"/>
  <c r="G1793" i="5"/>
  <c r="G1794" i="5"/>
  <c r="G1795" i="5"/>
  <c r="G1785" i="5"/>
  <c r="G1786" i="5"/>
  <c r="G1787" i="5"/>
  <c r="G1788" i="5"/>
  <c r="G1778" i="5"/>
  <c r="G1779" i="5"/>
  <c r="G1780" i="5"/>
  <c r="G1781" i="5"/>
  <c r="G1771" i="5"/>
  <c r="G1772" i="5"/>
  <c r="G1773" i="5"/>
  <c r="G1774" i="5"/>
  <c r="G1764" i="5"/>
  <c r="G1765" i="5"/>
  <c r="G1766" i="5"/>
  <c r="G1767" i="5"/>
  <c r="G1757" i="5"/>
  <c r="G1758" i="5"/>
  <c r="G1759" i="5"/>
  <c r="G1760" i="5"/>
  <c r="G1750" i="5"/>
  <c r="G1751" i="5"/>
  <c r="G1752" i="5"/>
  <c r="G1753" i="5"/>
  <c r="G1739" i="5"/>
  <c r="G1740" i="5"/>
  <c r="G1741" i="5"/>
  <c r="G1742" i="5"/>
  <c r="G1743" i="5"/>
  <c r="G1744" i="5"/>
  <c r="G1745" i="5"/>
  <c r="G1746" i="5"/>
  <c r="G1728" i="5"/>
  <c r="G1729" i="5"/>
  <c r="G1730" i="5"/>
  <c r="G1731" i="5"/>
  <c r="G1732" i="5"/>
  <c r="G1733" i="5"/>
  <c r="G1734" i="5"/>
  <c r="G1735" i="5"/>
  <c r="G1717" i="5"/>
  <c r="G1718" i="5"/>
  <c r="G1719" i="5"/>
  <c r="G1720" i="5"/>
  <c r="G1721" i="5"/>
  <c r="G1722" i="5"/>
  <c r="G1723" i="5"/>
  <c r="G1724" i="5"/>
  <c r="G1706" i="5"/>
  <c r="G1707" i="5"/>
  <c r="G1708" i="5"/>
  <c r="G1709" i="5"/>
  <c r="G1710" i="5"/>
  <c r="G1711" i="5"/>
  <c r="G1712" i="5"/>
  <c r="G1713" i="5"/>
  <c r="G1698" i="5"/>
  <c r="G1699" i="5"/>
  <c r="G1700" i="5"/>
  <c r="G1701" i="5"/>
  <c r="G1702" i="5"/>
  <c r="G1692" i="5"/>
  <c r="G1693" i="5"/>
  <c r="G1694" i="5"/>
  <c r="G1685" i="5"/>
  <c r="G1686" i="5"/>
  <c r="G1687" i="5"/>
  <c r="G1688" i="5"/>
  <c r="G1678" i="5"/>
  <c r="G1679" i="5"/>
  <c r="G1680" i="5"/>
  <c r="G1681" i="5"/>
  <c r="G1672" i="5"/>
  <c r="G1673" i="5"/>
  <c r="G1674" i="5"/>
  <c r="G1667" i="5"/>
  <c r="G1668" i="5"/>
  <c r="G1662" i="5"/>
  <c r="G1663" i="5"/>
  <c r="G1657" i="5"/>
  <c r="G1658" i="5"/>
  <c r="E1651" i="5"/>
  <c r="G1651" i="5" s="1"/>
  <c r="E1652" i="5"/>
  <c r="G1652" i="5"/>
  <c r="G1653" i="5"/>
  <c r="G1645" i="5"/>
  <c r="G1646" i="5"/>
  <c r="G1647" i="5"/>
  <c r="G1639" i="5"/>
  <c r="G1640" i="5"/>
  <c r="G1641" i="5"/>
  <c r="G1633" i="5"/>
  <c r="G1634" i="5"/>
  <c r="G1635" i="5"/>
  <c r="G1628" i="5"/>
  <c r="G1629" i="5"/>
  <c r="G1622" i="5"/>
  <c r="G1623" i="5"/>
  <c r="G1624" i="5"/>
  <c r="G1616" i="5"/>
  <c r="G1617" i="5"/>
  <c r="G1618" i="5"/>
  <c r="G1611" i="5"/>
  <c r="G1612" i="5"/>
  <c r="E1604" i="5"/>
  <c r="G1604" i="5" s="1"/>
  <c r="E1605" i="5"/>
  <c r="G1605" i="5" s="1"/>
  <c r="G1606" i="5"/>
  <c r="G1607" i="5"/>
  <c r="G1598" i="5"/>
  <c r="G1599" i="5"/>
  <c r="G1600" i="5"/>
  <c r="G1592" i="5"/>
  <c r="G1593" i="5"/>
  <c r="G1594" i="5"/>
  <c r="G1586" i="5"/>
  <c r="G1587" i="5"/>
  <c r="G1588" i="5"/>
  <c r="G1571" i="5"/>
  <c r="G1572" i="5"/>
  <c r="G1573" i="5"/>
  <c r="G1574" i="5"/>
  <c r="G1575" i="5"/>
  <c r="G1576" i="5"/>
  <c r="G1577" i="5"/>
  <c r="G1578" i="5"/>
  <c r="G1579" i="5"/>
  <c r="G1580" i="5"/>
  <c r="G1581" i="5"/>
  <c r="G1582" i="5"/>
  <c r="G1564" i="5"/>
  <c r="G1565" i="5"/>
  <c r="G1566" i="5"/>
  <c r="G1567" i="5"/>
  <c r="G1557" i="5"/>
  <c r="G1558" i="5"/>
  <c r="G1559" i="5"/>
  <c r="G1560" i="5"/>
  <c r="G1550" i="5"/>
  <c r="G1551" i="5"/>
  <c r="G1552" i="5"/>
  <c r="G1553" i="5"/>
  <c r="G1543" i="5"/>
  <c r="G1544" i="5"/>
  <c r="G1545" i="5"/>
  <c r="G1546" i="5"/>
  <c r="G1537" i="5"/>
  <c r="G1538" i="5"/>
  <c r="G1539" i="5"/>
  <c r="G1531" i="5"/>
  <c r="G1532" i="5"/>
  <c r="G1533" i="5"/>
  <c r="G1525" i="5"/>
  <c r="G1526" i="5"/>
  <c r="G1527" i="5"/>
  <c r="G1519" i="5"/>
  <c r="G1520" i="5"/>
  <c r="G1521" i="5"/>
  <c r="G1513" i="5"/>
  <c r="G1514" i="5"/>
  <c r="G1515" i="5"/>
  <c r="G1498" i="5"/>
  <c r="G1499" i="5"/>
  <c r="G1500" i="5"/>
  <c r="G1501" i="5"/>
  <c r="G1502" i="5"/>
  <c r="G1503" i="5"/>
  <c r="G1504" i="5"/>
  <c r="G1505" i="5"/>
  <c r="G1506" i="5"/>
  <c r="G1507" i="5"/>
  <c r="G1508" i="5"/>
  <c r="G1509" i="5"/>
  <c r="G1483" i="5"/>
  <c r="G1484" i="5"/>
  <c r="G1485" i="5"/>
  <c r="G1486" i="5"/>
  <c r="G1487" i="5"/>
  <c r="G1488" i="5"/>
  <c r="G1489" i="5"/>
  <c r="G1490" i="5"/>
  <c r="G1491" i="5"/>
  <c r="G1492" i="5"/>
  <c r="G1493" i="5"/>
  <c r="G1494" i="5"/>
  <c r="G1468" i="5"/>
  <c r="G1469" i="5"/>
  <c r="G1470" i="5"/>
  <c r="G1471" i="5"/>
  <c r="G1472" i="5"/>
  <c r="G1473" i="5"/>
  <c r="G1474" i="5"/>
  <c r="G1475" i="5"/>
  <c r="G1476" i="5"/>
  <c r="G1477" i="5"/>
  <c r="G1478" i="5"/>
  <c r="G1479" i="5"/>
  <c r="G1453" i="5"/>
  <c r="G1454" i="5"/>
  <c r="G1455" i="5"/>
  <c r="G1456" i="5"/>
  <c r="G1457" i="5"/>
  <c r="G1458" i="5"/>
  <c r="G1459" i="5"/>
  <c r="G1460" i="5"/>
  <c r="G1461" i="5"/>
  <c r="G1462" i="5"/>
  <c r="G1463" i="5"/>
  <c r="G1464" i="5"/>
  <c r="G1438" i="5"/>
  <c r="G1439" i="5"/>
  <c r="G1440" i="5"/>
  <c r="G1441" i="5"/>
  <c r="G1442" i="5"/>
  <c r="G1443" i="5"/>
  <c r="G1444" i="5"/>
  <c r="G1445" i="5"/>
  <c r="G1446" i="5"/>
  <c r="G1447" i="5"/>
  <c r="G1448" i="5"/>
  <c r="G1449" i="5"/>
  <c r="G1423" i="5"/>
  <c r="G1424" i="5"/>
  <c r="G1425" i="5"/>
  <c r="G1426" i="5"/>
  <c r="G1427" i="5"/>
  <c r="G1428" i="5"/>
  <c r="G1429" i="5"/>
  <c r="G1430" i="5"/>
  <c r="G1431" i="5"/>
  <c r="G1432" i="5"/>
  <c r="G1433" i="5"/>
  <c r="G1434" i="5"/>
  <c r="G1408" i="5"/>
  <c r="G1409" i="5"/>
  <c r="G1410" i="5"/>
  <c r="G1411" i="5"/>
  <c r="G1412" i="5"/>
  <c r="G1413" i="5"/>
  <c r="G1414" i="5"/>
  <c r="G1415" i="5"/>
  <c r="G1416" i="5"/>
  <c r="G1417" i="5"/>
  <c r="G1418" i="5"/>
  <c r="G1419" i="5"/>
  <c r="G1401" i="5"/>
  <c r="G1402" i="5"/>
  <c r="G1403" i="5"/>
  <c r="G1404" i="5"/>
  <c r="G1395" i="5"/>
  <c r="G1396" i="5"/>
  <c r="G1397" i="5"/>
  <c r="G1389" i="5"/>
  <c r="G1390" i="5"/>
  <c r="G1391" i="5"/>
  <c r="G1383" i="5"/>
  <c r="G1384" i="5"/>
  <c r="G1385" i="5"/>
  <c r="G1376" i="5"/>
  <c r="G1377" i="5"/>
  <c r="G1378" i="5"/>
  <c r="G1379" i="5"/>
  <c r="G1370" i="5"/>
  <c r="G1371" i="5"/>
  <c r="G1372" i="5"/>
  <c r="G1364" i="5"/>
  <c r="G1365" i="5"/>
  <c r="G1366" i="5"/>
  <c r="G1357" i="5"/>
  <c r="G1358" i="5"/>
  <c r="G1359" i="5"/>
  <c r="G1360" i="5"/>
  <c r="G1351" i="5"/>
  <c r="G1352" i="5"/>
  <c r="G1353" i="5"/>
  <c r="G1344" i="5"/>
  <c r="G1345" i="5"/>
  <c r="G1346" i="5"/>
  <c r="G1347" i="5"/>
  <c r="G1338" i="5"/>
  <c r="G1339" i="5"/>
  <c r="G1340" i="5"/>
  <c r="G1332" i="5"/>
  <c r="G1333" i="5"/>
  <c r="G1334" i="5"/>
  <c r="G1326" i="5"/>
  <c r="G1327" i="5"/>
  <c r="G1328" i="5"/>
  <c r="G1320" i="5"/>
  <c r="G1321" i="5"/>
  <c r="G1322" i="5"/>
  <c r="G1311" i="5"/>
  <c r="G1312" i="5"/>
  <c r="G1313" i="5"/>
  <c r="G1314" i="5"/>
  <c r="G1315" i="5"/>
  <c r="G1316" i="5"/>
  <c r="G1303" i="5"/>
  <c r="G1304" i="5"/>
  <c r="G1305" i="5"/>
  <c r="G1306" i="5"/>
  <c r="G1307" i="5"/>
  <c r="G1296" i="5"/>
  <c r="G1297" i="5"/>
  <c r="G1298" i="5"/>
  <c r="G1299" i="5"/>
  <c r="G1289" i="5"/>
  <c r="G1290" i="5"/>
  <c r="G1291" i="5"/>
  <c r="G1292" i="5"/>
  <c r="G1282" i="5"/>
  <c r="G1283" i="5"/>
  <c r="G1284" i="5"/>
  <c r="G1285" i="5"/>
  <c r="G1275" i="5"/>
  <c r="G1276" i="5"/>
  <c r="G1277" i="5"/>
  <c r="G1278" i="5"/>
  <c r="G1269" i="5"/>
  <c r="G1270" i="5"/>
  <c r="G1271" i="5"/>
  <c r="G1262" i="5"/>
  <c r="G1263" i="5"/>
  <c r="G1264" i="5"/>
  <c r="G1265" i="5"/>
  <c r="G1255" i="5"/>
  <c r="G1256" i="5"/>
  <c r="G1257" i="5"/>
  <c r="G1258" i="5"/>
  <c r="G1248" i="5"/>
  <c r="G1249" i="5"/>
  <c r="G1250" i="5"/>
  <c r="G1251" i="5"/>
  <c r="G1242" i="5"/>
  <c r="G1243" i="5"/>
  <c r="G1244" i="5"/>
  <c r="G1236" i="5"/>
  <c r="G1237" i="5"/>
  <c r="G1238" i="5"/>
  <c r="G1230" i="5"/>
  <c r="G1231" i="5"/>
  <c r="G1232" i="5"/>
  <c r="G1224" i="5"/>
  <c r="G1225" i="5"/>
  <c r="G1226" i="5"/>
  <c r="G1217" i="5"/>
  <c r="G1218" i="5"/>
  <c r="G1219" i="5"/>
  <c r="G1220" i="5"/>
  <c r="G1210" i="5"/>
  <c r="G1211" i="5"/>
  <c r="G1212" i="5"/>
  <c r="G1213" i="5"/>
  <c r="G1203" i="5"/>
  <c r="G1204" i="5"/>
  <c r="G1205" i="5"/>
  <c r="G1206" i="5"/>
  <c r="G1196" i="5"/>
  <c r="G1197" i="5"/>
  <c r="G1198" i="5"/>
  <c r="G1199" i="5"/>
  <c r="G1189" i="5"/>
  <c r="G1190" i="5"/>
  <c r="G1191" i="5"/>
  <c r="G1192" i="5"/>
  <c r="G1182" i="5"/>
  <c r="G1183" i="5"/>
  <c r="G1184" i="5"/>
  <c r="G1185" i="5"/>
  <c r="G1175" i="5"/>
  <c r="G1176" i="5"/>
  <c r="G1177" i="5"/>
  <c r="G1178" i="5"/>
  <c r="G1168" i="5"/>
  <c r="G1169" i="5"/>
  <c r="G1170" i="5"/>
  <c r="G1171" i="5"/>
  <c r="G1161" i="5"/>
  <c r="G1162" i="5"/>
  <c r="G1163" i="5"/>
  <c r="G1164" i="5"/>
  <c r="G1154" i="5"/>
  <c r="G1155" i="5"/>
  <c r="G1156" i="5"/>
  <c r="G1157" i="5"/>
  <c r="G1147" i="5"/>
  <c r="G1148" i="5"/>
  <c r="G1149" i="5"/>
  <c r="G1150" i="5"/>
  <c r="G1140" i="5"/>
  <c r="G1141" i="5"/>
  <c r="G1142" i="5"/>
  <c r="G1143" i="5"/>
  <c r="G1135" i="5"/>
  <c r="G1136" i="5"/>
  <c r="G1129" i="5"/>
  <c r="G1130" i="5"/>
  <c r="G1131" i="5"/>
  <c r="G1124" i="5"/>
  <c r="G1125" i="5"/>
  <c r="G1119" i="5"/>
  <c r="G1120" i="5"/>
  <c r="G1111" i="5"/>
  <c r="G1112" i="5"/>
  <c r="G1113" i="5"/>
  <c r="G1114" i="5"/>
  <c r="G1115" i="5"/>
  <c r="G1101" i="5"/>
  <c r="G1102" i="5"/>
  <c r="G1103" i="5"/>
  <c r="E1104" i="5"/>
  <c r="G1104" i="5" s="1"/>
  <c r="E1105" i="5"/>
  <c r="G1105" i="5" s="1"/>
  <c r="G1093" i="5"/>
  <c r="G1094" i="5"/>
  <c r="G1095" i="5"/>
  <c r="G1096" i="5"/>
  <c r="G1097" i="5"/>
  <c r="G1085" i="5"/>
  <c r="G1086" i="5"/>
  <c r="G1087" i="5"/>
  <c r="G1088" i="5"/>
  <c r="G1089" i="5"/>
  <c r="G1076" i="5"/>
  <c r="G1077" i="5"/>
  <c r="E1078" i="5"/>
  <c r="G1078" i="5" s="1"/>
  <c r="E1079" i="5"/>
  <c r="G1079" i="5" s="1"/>
  <c r="G1069" i="5"/>
  <c r="G1070" i="5"/>
  <c r="G1071" i="5"/>
  <c r="G1072" i="5"/>
  <c r="G1062" i="5"/>
  <c r="G1063" i="5"/>
  <c r="G1064" i="5"/>
  <c r="G1065" i="5"/>
  <c r="G1055" i="5"/>
  <c r="G1056" i="5"/>
  <c r="G1057" i="5"/>
  <c r="G1058" i="5"/>
  <c r="G1048" i="5"/>
  <c r="G1049" i="5"/>
  <c r="G1050" i="5"/>
  <c r="G1051" i="5"/>
  <c r="G1039" i="5"/>
  <c r="G1040" i="5"/>
  <c r="G1041" i="5"/>
  <c r="G1042" i="5"/>
  <c r="G1043" i="5"/>
  <c r="G1044" i="5"/>
  <c r="G1029" i="5"/>
  <c r="G1030" i="5"/>
  <c r="G1031" i="5"/>
  <c r="G1032" i="5"/>
  <c r="G1033" i="5"/>
  <c r="G1034" i="5"/>
  <c r="G1035" i="5"/>
  <c r="G1024" i="5"/>
  <c r="G1025" i="5"/>
  <c r="G1015" i="5"/>
  <c r="G1016" i="5"/>
  <c r="G1017" i="5"/>
  <c r="G1018" i="5"/>
  <c r="G1019" i="5"/>
  <c r="G1020" i="5"/>
  <c r="G1010" i="5"/>
  <c r="G1011" i="5"/>
  <c r="G1005" i="5"/>
  <c r="G1006" i="5"/>
  <c r="G994" i="5"/>
  <c r="G995" i="5"/>
  <c r="G996" i="5"/>
  <c r="G997" i="5"/>
  <c r="G998" i="5"/>
  <c r="G999" i="5"/>
  <c r="G1000" i="5"/>
  <c r="G1001" i="5"/>
  <c r="G983" i="5"/>
  <c r="G984" i="5"/>
  <c r="G985" i="5"/>
  <c r="G986" i="5"/>
  <c r="G987" i="5"/>
  <c r="G988" i="5"/>
  <c r="G989" i="5"/>
  <c r="G990" i="5"/>
  <c r="G976" i="5"/>
  <c r="G977" i="5"/>
  <c r="G978" i="5"/>
  <c r="G979" i="5"/>
  <c r="G969" i="5"/>
  <c r="G970" i="5"/>
  <c r="G971" i="5"/>
  <c r="G972" i="5"/>
  <c r="G962" i="5"/>
  <c r="G963" i="5"/>
  <c r="G964" i="5"/>
  <c r="G965" i="5"/>
  <c r="G956" i="5"/>
  <c r="G957" i="5"/>
  <c r="G958" i="5"/>
  <c r="G950" i="5"/>
  <c r="G951" i="5"/>
  <c r="G952" i="5"/>
  <c r="G941" i="5"/>
  <c r="G942" i="5"/>
  <c r="G943" i="5"/>
  <c r="G944" i="5"/>
  <c r="G945" i="5"/>
  <c r="G946" i="5"/>
  <c r="G932" i="5"/>
  <c r="G933" i="5"/>
  <c r="G934" i="5"/>
  <c r="G935" i="5"/>
  <c r="G936" i="5"/>
  <c r="G937" i="5"/>
  <c r="G925" i="5"/>
  <c r="G926" i="5"/>
  <c r="G927" i="5"/>
  <c r="G928" i="5"/>
  <c r="G916" i="5"/>
  <c r="G917" i="5"/>
  <c r="G918" i="5"/>
  <c r="G919" i="5"/>
  <c r="G920" i="5"/>
  <c r="G921" i="5"/>
  <c r="G910" i="5"/>
  <c r="G911" i="5"/>
  <c r="G912" i="5"/>
  <c r="E906" i="5"/>
  <c r="G906" i="5" s="1"/>
  <c r="H906" i="5" s="1"/>
  <c r="E166" i="8" s="1"/>
  <c r="G899" i="5"/>
  <c r="G900" i="5"/>
  <c r="G901" i="5"/>
  <c r="G902" i="5"/>
  <c r="E894" i="5"/>
  <c r="G894" i="5" s="1"/>
  <c r="E895" i="5"/>
  <c r="G895" i="5"/>
  <c r="G886" i="5"/>
  <c r="G887" i="5"/>
  <c r="G888" i="5"/>
  <c r="G889" i="5"/>
  <c r="G890" i="5"/>
  <c r="G878" i="5"/>
  <c r="G879" i="5"/>
  <c r="G880" i="5"/>
  <c r="G881" i="5"/>
  <c r="G882" i="5"/>
  <c r="G870" i="5"/>
  <c r="G871" i="5"/>
  <c r="E872" i="5"/>
  <c r="G872" i="5" s="1"/>
  <c r="G865" i="5"/>
  <c r="G866" i="5"/>
  <c r="G859" i="5"/>
  <c r="G860" i="5"/>
  <c r="G861" i="5"/>
  <c r="G853" i="5"/>
  <c r="E854" i="5"/>
  <c r="G854" i="5" s="1"/>
  <c r="G855" i="5"/>
  <c r="G848" i="5"/>
  <c r="G849" i="5"/>
  <c r="G842" i="5"/>
  <c r="G843" i="5"/>
  <c r="G844" i="5"/>
  <c r="G835" i="5"/>
  <c r="G836" i="5"/>
  <c r="G837" i="5"/>
  <c r="G838" i="5"/>
  <c r="G830" i="5"/>
  <c r="G831" i="5"/>
  <c r="E826" i="5"/>
  <c r="G826" i="5"/>
  <c r="H826" i="5" s="1"/>
  <c r="E153" i="8" s="1"/>
  <c r="F153" i="8" s="1"/>
  <c r="E821" i="5"/>
  <c r="G821" i="5" s="1"/>
  <c r="G822" i="5"/>
  <c r="G817" i="5"/>
  <c r="H817" i="5" s="1"/>
  <c r="E151" i="8" s="1"/>
  <c r="F151" i="8" s="1"/>
  <c r="G807" i="5"/>
  <c r="G808" i="5"/>
  <c r="G809" i="5"/>
  <c r="G810" i="5"/>
  <c r="G811" i="5"/>
  <c r="G812" i="5"/>
  <c r="G813" i="5"/>
  <c r="G793" i="5"/>
  <c r="G794" i="5"/>
  <c r="G795" i="5"/>
  <c r="G796" i="5"/>
  <c r="G797" i="5"/>
  <c r="G798" i="5"/>
  <c r="G799" i="5"/>
  <c r="G800" i="5"/>
  <c r="G801" i="5"/>
  <c r="G802" i="5"/>
  <c r="G803" i="5"/>
  <c r="G786" i="5"/>
  <c r="G787" i="5"/>
  <c r="G788" i="5"/>
  <c r="G789" i="5"/>
  <c r="G775" i="5"/>
  <c r="G776" i="5"/>
  <c r="G777" i="5"/>
  <c r="G778" i="5"/>
  <c r="G779" i="5"/>
  <c r="G780" i="5"/>
  <c r="G781" i="5"/>
  <c r="G782" i="5"/>
  <c r="G769" i="5"/>
  <c r="G770" i="5"/>
  <c r="E771" i="5"/>
  <c r="G771" i="5" s="1"/>
  <c r="G758" i="5"/>
  <c r="G759" i="5"/>
  <c r="G760" i="5"/>
  <c r="G761" i="5"/>
  <c r="G762" i="5"/>
  <c r="G763" i="5"/>
  <c r="G764" i="5"/>
  <c r="G765" i="5"/>
  <c r="E751" i="5"/>
  <c r="G751" i="5" s="1"/>
  <c r="E752" i="5"/>
  <c r="G752" i="5"/>
  <c r="G753" i="5"/>
  <c r="G754" i="5"/>
  <c r="G747" i="5"/>
  <c r="H747" i="5" s="1"/>
  <c r="E143" i="8" s="1"/>
  <c r="E739" i="5"/>
  <c r="G739" i="5" s="1"/>
  <c r="G740" i="5"/>
  <c r="G741" i="5"/>
  <c r="G742" i="5"/>
  <c r="G743" i="5"/>
  <c r="G733" i="5"/>
  <c r="G734" i="5"/>
  <c r="G735" i="5"/>
  <c r="E726" i="5"/>
  <c r="G726" i="5" s="1"/>
  <c r="E727" i="5"/>
  <c r="G727" i="5"/>
  <c r="E728" i="5"/>
  <c r="G728" i="5" s="1"/>
  <c r="E729" i="5"/>
  <c r="G729" i="5" s="1"/>
  <c r="E717" i="5"/>
  <c r="G717" i="5" s="1"/>
  <c r="E718" i="5"/>
  <c r="G718" i="5" s="1"/>
  <c r="E719" i="5"/>
  <c r="G719" i="5" s="1"/>
  <c r="E720" i="5"/>
  <c r="G720" i="5" s="1"/>
  <c r="E721" i="5"/>
  <c r="G721" i="5" s="1"/>
  <c r="E722" i="5"/>
  <c r="G722" i="5" s="1"/>
  <c r="E707" i="5"/>
  <c r="G707" i="5" s="1"/>
  <c r="E708" i="5"/>
  <c r="G708" i="5" s="1"/>
  <c r="E709" i="5"/>
  <c r="G709" i="5" s="1"/>
  <c r="E710" i="5"/>
  <c r="G710" i="5" s="1"/>
  <c r="E711" i="5"/>
  <c r="G711" i="5" s="1"/>
  <c r="E712" i="5"/>
  <c r="G712" i="5" s="1"/>
  <c r="E713" i="5"/>
  <c r="G713" i="5" s="1"/>
  <c r="E699" i="5"/>
  <c r="G699" i="5" s="1"/>
  <c r="E700" i="5"/>
  <c r="G700" i="5" s="1"/>
  <c r="E701" i="5"/>
  <c r="G701" i="5" s="1"/>
  <c r="E702" i="5"/>
  <c r="G702" i="5" s="1"/>
  <c r="E703" i="5"/>
  <c r="G703" i="5" s="1"/>
  <c r="G689" i="5"/>
  <c r="G690" i="5"/>
  <c r="G691" i="5"/>
  <c r="G692" i="5"/>
  <c r="G693" i="5"/>
  <c r="G694" i="5"/>
  <c r="G695" i="5"/>
  <c r="E679" i="5"/>
  <c r="G679" i="5" s="1"/>
  <c r="E680" i="5"/>
  <c r="G680" i="5" s="1"/>
  <c r="E681" i="5"/>
  <c r="G681" i="5" s="1"/>
  <c r="E682" i="5"/>
  <c r="G682" i="5"/>
  <c r="E683" i="5"/>
  <c r="G683" i="5" s="1"/>
  <c r="E684" i="5"/>
  <c r="G684" i="5"/>
  <c r="E685" i="5"/>
  <c r="G685" i="5" s="1"/>
  <c r="E671" i="5"/>
  <c r="G671" i="5"/>
  <c r="E672" i="5"/>
  <c r="G672" i="5" s="1"/>
  <c r="E673" i="5"/>
  <c r="G673" i="5" s="1"/>
  <c r="E674" i="5"/>
  <c r="G674" i="5" s="1"/>
  <c r="E675" i="5"/>
  <c r="G675" i="5"/>
  <c r="G667" i="5"/>
  <c r="H667" i="5" s="1"/>
  <c r="E127" i="8" s="1"/>
  <c r="G663" i="5"/>
  <c r="H663" i="5" s="1"/>
  <c r="E126" i="8" s="1"/>
  <c r="G659" i="5"/>
  <c r="H659" i="5" s="1"/>
  <c r="E125" i="8" s="1"/>
  <c r="G655" i="5"/>
  <c r="H655" i="5" s="1"/>
  <c r="E124" i="8" s="1"/>
  <c r="F124" i="8" s="1"/>
  <c r="G651" i="5"/>
  <c r="H651" i="5" s="1"/>
  <c r="E123" i="8" s="1"/>
  <c r="F123" i="8" s="1"/>
  <c r="G647" i="5"/>
  <c r="H647" i="5" s="1"/>
  <c r="E122" i="8" s="1"/>
  <c r="G640" i="5"/>
  <c r="G641" i="5"/>
  <c r="G642" i="5"/>
  <c r="G643" i="5"/>
  <c r="G632" i="5"/>
  <c r="G633" i="5"/>
  <c r="G634" i="5"/>
  <c r="G635" i="5"/>
  <c r="G636" i="5"/>
  <c r="G624" i="5"/>
  <c r="G625" i="5"/>
  <c r="G626" i="5"/>
  <c r="G627" i="5"/>
  <c r="G628" i="5"/>
  <c r="G618" i="5"/>
  <c r="G619" i="5"/>
  <c r="G620" i="5"/>
  <c r="E609" i="5"/>
  <c r="G609" i="5"/>
  <c r="E610" i="5"/>
  <c r="G610" i="5" s="1"/>
  <c r="E611" i="5"/>
  <c r="G611" i="5" s="1"/>
  <c r="E612" i="5"/>
  <c r="G612" i="5" s="1"/>
  <c r="E599" i="5"/>
  <c r="G599" i="5" s="1"/>
  <c r="E600" i="5"/>
  <c r="G600" i="5" s="1"/>
  <c r="E601" i="5"/>
  <c r="G601" i="5" s="1"/>
  <c r="E602" i="5"/>
  <c r="G602" i="5" s="1"/>
  <c r="E603" i="5"/>
  <c r="G603" i="5" s="1"/>
  <c r="G591" i="5"/>
  <c r="G592" i="5"/>
  <c r="G593" i="5"/>
  <c r="G594" i="5"/>
  <c r="G595" i="5"/>
  <c r="E582" i="5"/>
  <c r="G582" i="5" s="1"/>
  <c r="E583" i="5"/>
  <c r="G583" i="5" s="1"/>
  <c r="E584" i="5"/>
  <c r="G584" i="5" s="1"/>
  <c r="E585" i="5"/>
  <c r="G585" i="5" s="1"/>
  <c r="E572" i="5"/>
  <c r="G572" i="5" s="1"/>
  <c r="E573" i="5"/>
  <c r="G573" i="5" s="1"/>
  <c r="E574" i="5"/>
  <c r="G574" i="5" s="1"/>
  <c r="E575" i="5"/>
  <c r="G575" i="5" s="1"/>
  <c r="E576" i="5"/>
  <c r="G576" i="5" s="1"/>
  <c r="G564" i="5"/>
  <c r="G565" i="5"/>
  <c r="G566" i="5"/>
  <c r="G567" i="5"/>
  <c r="G568" i="5"/>
  <c r="G556" i="5"/>
  <c r="G557" i="5"/>
  <c r="G558" i="5"/>
  <c r="G559" i="5"/>
  <c r="G560" i="5"/>
  <c r="G548" i="5"/>
  <c r="G549" i="5"/>
  <c r="G550" i="5"/>
  <c r="G551" i="5"/>
  <c r="G552" i="5"/>
  <c r="G540" i="5"/>
  <c r="G541" i="5"/>
  <c r="G542" i="5"/>
  <c r="G543" i="5"/>
  <c r="G544" i="5"/>
  <c r="G534" i="5"/>
  <c r="G535" i="5"/>
  <c r="G536" i="5"/>
  <c r="G527" i="5"/>
  <c r="E528" i="5"/>
  <c r="G528" i="5"/>
  <c r="E520" i="5"/>
  <c r="G520" i="5" s="1"/>
  <c r="G521" i="5"/>
  <c r="G514" i="5"/>
  <c r="G515" i="5"/>
  <c r="G516" i="5"/>
  <c r="G507" i="5"/>
  <c r="G508" i="5"/>
  <c r="G509" i="5"/>
  <c r="G510" i="5"/>
  <c r="G500" i="5"/>
  <c r="G501" i="5"/>
  <c r="G502" i="5"/>
  <c r="G503" i="5"/>
  <c r="E492" i="5"/>
  <c r="G492" i="5" s="1"/>
  <c r="E493" i="5"/>
  <c r="G493" i="5" s="1"/>
  <c r="G486" i="5"/>
  <c r="G487" i="5"/>
  <c r="G488" i="5"/>
  <c r="G474" i="5"/>
  <c r="G475" i="5"/>
  <c r="G476" i="5"/>
  <c r="E477" i="5"/>
  <c r="G477" i="5"/>
  <c r="G478" i="5"/>
  <c r="E467" i="5"/>
  <c r="G467" i="5" s="1"/>
  <c r="E468" i="5"/>
  <c r="G468" i="5" s="1"/>
  <c r="E469" i="5"/>
  <c r="G469" i="5"/>
  <c r="E470" i="5"/>
  <c r="G470" i="5" s="1"/>
  <c r="E457" i="5"/>
  <c r="G457" i="5"/>
  <c r="E458" i="5"/>
  <c r="G458" i="5" s="1"/>
  <c r="G459" i="5"/>
  <c r="E460" i="5"/>
  <c r="G460" i="5" s="1"/>
  <c r="G449" i="5"/>
  <c r="G450" i="5"/>
  <c r="G451" i="5"/>
  <c r="G443" i="5"/>
  <c r="G444" i="5"/>
  <c r="G445" i="5"/>
  <c r="G437" i="5"/>
  <c r="G438" i="5"/>
  <c r="G439" i="5"/>
  <c r="G425" i="5"/>
  <c r="G426" i="5"/>
  <c r="G427" i="5"/>
  <c r="G428" i="5"/>
  <c r="G429" i="5"/>
  <c r="G430" i="5"/>
  <c r="G431" i="5"/>
  <c r="G432" i="5"/>
  <c r="G433" i="5"/>
  <c r="G418" i="5"/>
  <c r="G419" i="5"/>
  <c r="E420" i="5"/>
  <c r="G420" i="5" s="1"/>
  <c r="E421" i="5"/>
  <c r="G421" i="5" s="1"/>
  <c r="G404" i="5"/>
  <c r="G405" i="5"/>
  <c r="G406" i="5"/>
  <c r="G407" i="5"/>
  <c r="G408" i="5"/>
  <c r="G409" i="5"/>
  <c r="G410" i="5"/>
  <c r="G411" i="5"/>
  <c r="G412" i="5"/>
  <c r="G413" i="5"/>
  <c r="G414" i="5"/>
  <c r="G397" i="5"/>
  <c r="G398" i="5"/>
  <c r="G399" i="5"/>
  <c r="G400" i="5"/>
  <c r="G383" i="5"/>
  <c r="G384" i="5"/>
  <c r="G385" i="5"/>
  <c r="G386" i="5"/>
  <c r="G387" i="5"/>
  <c r="G388" i="5"/>
  <c r="G389" i="5"/>
  <c r="G390" i="5"/>
  <c r="G391" i="5"/>
  <c r="G392" i="5"/>
  <c r="G393" i="5"/>
  <c r="G374" i="5"/>
  <c r="G375" i="5"/>
  <c r="G376" i="5"/>
  <c r="G377" i="5"/>
  <c r="G378" i="5"/>
  <c r="G379" i="5"/>
  <c r="G368" i="5"/>
  <c r="G369" i="5"/>
  <c r="G370" i="5"/>
  <c r="G354" i="5"/>
  <c r="G355" i="5"/>
  <c r="G356" i="5"/>
  <c r="G357" i="5"/>
  <c r="G358" i="5"/>
  <c r="G359" i="5"/>
  <c r="G360" i="5"/>
  <c r="E361" i="5"/>
  <c r="G361" i="5" s="1"/>
  <c r="E362" i="5"/>
  <c r="G362" i="5" s="1"/>
  <c r="G344" i="5"/>
  <c r="G345" i="5"/>
  <c r="G346" i="5"/>
  <c r="G347" i="5"/>
  <c r="G348" i="5"/>
  <c r="G349" i="5"/>
  <c r="G350" i="5"/>
  <c r="G329" i="5"/>
  <c r="G330" i="5"/>
  <c r="G331" i="5"/>
  <c r="G332" i="5"/>
  <c r="G333" i="5"/>
  <c r="G334" i="5"/>
  <c r="E335" i="5"/>
  <c r="G335" i="5" s="1"/>
  <c r="G336" i="5"/>
  <c r="G337" i="5"/>
  <c r="G338" i="5"/>
  <c r="G339" i="5"/>
  <c r="G340" i="5"/>
  <c r="G323" i="5"/>
  <c r="G324" i="5"/>
  <c r="G325" i="5"/>
  <c r="G308" i="5"/>
  <c r="G309" i="5"/>
  <c r="G310" i="5"/>
  <c r="G311" i="5"/>
  <c r="G312" i="5"/>
  <c r="G313" i="5"/>
  <c r="G314" i="5"/>
  <c r="G315" i="5"/>
  <c r="E316" i="5"/>
  <c r="G316" i="5" s="1"/>
  <c r="E317" i="5"/>
  <c r="G317" i="5" s="1"/>
  <c r="G293" i="5"/>
  <c r="G294" i="5"/>
  <c r="G295" i="5"/>
  <c r="G296" i="5"/>
  <c r="G297" i="5"/>
  <c r="G298" i="5"/>
  <c r="G299" i="5"/>
  <c r="G300" i="5"/>
  <c r="E301" i="5"/>
  <c r="G301" i="5" s="1"/>
  <c r="E302" i="5"/>
  <c r="G302" i="5" s="1"/>
  <c r="G286" i="5"/>
  <c r="G287" i="5"/>
  <c r="G288" i="5"/>
  <c r="G289" i="5"/>
  <c r="G279" i="5"/>
  <c r="G280" i="5"/>
  <c r="G281" i="5"/>
  <c r="G282" i="5"/>
  <c r="G271" i="5"/>
  <c r="G272" i="5"/>
  <c r="G273" i="5"/>
  <c r="G274" i="5"/>
  <c r="G275" i="5"/>
  <c r="G266" i="5"/>
  <c r="G267" i="5"/>
  <c r="G251" i="5"/>
  <c r="G252" i="5"/>
  <c r="G253" i="5"/>
  <c r="G254" i="5"/>
  <c r="G255" i="5"/>
  <c r="G256" i="5"/>
  <c r="G257" i="5"/>
  <c r="G258" i="5"/>
  <c r="G259" i="5"/>
  <c r="G260" i="5"/>
  <c r="G261" i="5"/>
  <c r="G262" i="5"/>
  <c r="G243" i="5"/>
  <c r="G244" i="5"/>
  <c r="G245" i="5"/>
  <c r="G246" i="5"/>
  <c r="G247" i="5"/>
  <c r="G239" i="5"/>
  <c r="H239" i="5" s="1"/>
  <c r="E56" i="8" s="1"/>
  <c r="G235" i="5"/>
  <c r="H235" i="5" s="1"/>
  <c r="E54" i="8" s="1"/>
  <c r="G231" i="5"/>
  <c r="H231" i="5" s="1"/>
  <c r="E53" i="8" s="1"/>
  <c r="G227" i="5"/>
  <c r="H227" i="5" s="1"/>
  <c r="E51" i="8" s="1"/>
  <c r="G222" i="5"/>
  <c r="G223" i="5"/>
  <c r="G217" i="5"/>
  <c r="G218" i="5"/>
  <c r="G213" i="5"/>
  <c r="H213" i="5" s="1"/>
  <c r="E48" i="8" s="1"/>
  <c r="F48" i="8" s="1"/>
  <c r="G208" i="5"/>
  <c r="G209" i="5"/>
  <c r="E204" i="5"/>
  <c r="G204" i="5" s="1"/>
  <c r="H204" i="5" s="1"/>
  <c r="E46" i="8" s="1"/>
  <c r="G200" i="5"/>
  <c r="H200" i="5" s="1"/>
  <c r="E45" i="8" s="1"/>
  <c r="H45" i="8" s="1"/>
  <c r="I45" i="8" s="1"/>
  <c r="G193" i="5"/>
  <c r="G194" i="5"/>
  <c r="G195" i="5"/>
  <c r="G196" i="5"/>
  <c r="E186" i="5"/>
  <c r="G186" i="5" s="1"/>
  <c r="E187" i="5"/>
  <c r="G187" i="5" s="1"/>
  <c r="G182" i="5"/>
  <c r="H182" i="5" s="1"/>
  <c r="E42" i="8" s="1"/>
  <c r="E178" i="5"/>
  <c r="G178" i="5" s="1"/>
  <c r="H178" i="5" s="1"/>
  <c r="E41" i="8" s="1"/>
  <c r="G174" i="5"/>
  <c r="H174" i="5" s="1"/>
  <c r="E40" i="8" s="1"/>
  <c r="G169" i="5"/>
  <c r="G170" i="5"/>
  <c r="G164" i="5"/>
  <c r="G165" i="5"/>
  <c r="E157" i="5"/>
  <c r="G157" i="5" s="1"/>
  <c r="E158" i="5"/>
  <c r="G158" i="5" s="1"/>
  <c r="G152" i="5"/>
  <c r="G153" i="5"/>
  <c r="G147" i="5"/>
  <c r="G148" i="5"/>
  <c r="G142" i="5"/>
  <c r="G143" i="5"/>
  <c r="E138" i="5"/>
  <c r="G138" i="5" s="1"/>
  <c r="H138" i="5" s="1"/>
  <c r="E33" i="8" s="1"/>
  <c r="G134" i="5"/>
  <c r="H134" i="5" s="1"/>
  <c r="E32" i="8" s="1"/>
  <c r="G129" i="5"/>
  <c r="G130" i="5"/>
  <c r="G124" i="5"/>
  <c r="G125" i="5"/>
  <c r="G119" i="5"/>
  <c r="G120" i="5"/>
  <c r="G114" i="5"/>
  <c r="G115" i="5"/>
  <c r="G109" i="5"/>
  <c r="G110" i="5"/>
  <c r="E105" i="5"/>
  <c r="G105" i="5" s="1"/>
  <c r="H105" i="5" s="1"/>
  <c r="E26" i="8" s="1"/>
  <c r="G100" i="5"/>
  <c r="G101" i="5"/>
  <c r="E95" i="5"/>
  <c r="G95" i="5" s="1"/>
  <c r="E96" i="5"/>
  <c r="G96" i="5" s="1"/>
  <c r="E90" i="5"/>
  <c r="G90" i="5" s="1"/>
  <c r="E91" i="5"/>
  <c r="G91" i="5" s="1"/>
  <c r="G85" i="5"/>
  <c r="G86" i="5"/>
  <c r="G80" i="5"/>
  <c r="G81" i="5"/>
  <c r="G72" i="5"/>
  <c r="G73" i="5"/>
  <c r="G74" i="5"/>
  <c r="G75" i="5"/>
  <c r="G76" i="5"/>
  <c r="G67" i="5"/>
  <c r="G68" i="5"/>
  <c r="G62" i="5"/>
  <c r="G63" i="5"/>
  <c r="G55" i="5"/>
  <c r="G56" i="5"/>
  <c r="G57" i="5"/>
  <c r="G58" i="5"/>
  <c r="E50" i="5"/>
  <c r="G50" i="5" s="1"/>
  <c r="E51" i="5"/>
  <c r="G51" i="5" s="1"/>
  <c r="G45" i="5"/>
  <c r="G46" i="5"/>
  <c r="G40" i="5"/>
  <c r="G41" i="5"/>
  <c r="G35" i="5"/>
  <c r="G36" i="5"/>
  <c r="G30" i="5"/>
  <c r="G31" i="5"/>
  <c r="G25" i="5"/>
  <c r="G26" i="5"/>
  <c r="G20" i="5"/>
  <c r="G21" i="5"/>
  <c r="G16" i="5"/>
  <c r="H16" i="5" s="1"/>
  <c r="E8" i="8" s="1"/>
  <c r="F8" i="8" s="1"/>
  <c r="G12" i="5"/>
  <c r="H12" i="5" s="1"/>
  <c r="E7" i="8" s="1"/>
  <c r="F7" i="8" s="1"/>
  <c r="G8" i="5"/>
  <c r="H8" i="5" s="1"/>
  <c r="E6" i="8" s="1"/>
  <c r="F6" i="6"/>
  <c r="F7" i="6"/>
  <c r="F8" i="6"/>
  <c r="F9" i="6"/>
  <c r="F10" i="6"/>
  <c r="D11" i="6"/>
  <c r="F11" i="6"/>
  <c r="D12"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D56" i="6"/>
  <c r="F56" i="6"/>
  <c r="D57" i="6"/>
  <c r="F57" i="6"/>
  <c r="F58" i="6"/>
  <c r="F59" i="6"/>
  <c r="F60" i="6"/>
  <c r="F61" i="6"/>
  <c r="F62" i="6"/>
  <c r="F63" i="6"/>
  <c r="F64" i="6"/>
  <c r="F65" i="6"/>
  <c r="F66" i="6"/>
  <c r="F67" i="6"/>
  <c r="F68" i="6"/>
  <c r="F69" i="6"/>
  <c r="F70" i="6"/>
  <c r="F71" i="6"/>
  <c r="F72" i="6"/>
  <c r="F73" i="6"/>
  <c r="D74" i="6"/>
  <c r="F74" i="6"/>
  <c r="D75" i="6"/>
  <c r="F75" i="6"/>
  <c r="F76" i="6"/>
  <c r="F77" i="6"/>
  <c r="F78" i="6"/>
  <c r="F79" i="6"/>
  <c r="F80" i="6"/>
  <c r="F81" i="6"/>
  <c r="F82" i="6"/>
  <c r="F83" i="6"/>
  <c r="F84" i="6"/>
  <c r="F85" i="6"/>
  <c r="F86" i="6"/>
  <c r="F87" i="6"/>
  <c r="F88" i="6"/>
  <c r="F89" i="6"/>
  <c r="F90" i="6"/>
  <c r="D91" i="6"/>
  <c r="F91" i="6"/>
  <c r="D92" i="6"/>
  <c r="F92" i="6"/>
  <c r="F93" i="6"/>
  <c r="F94" i="6"/>
  <c r="F95" i="6"/>
  <c r="F96" i="6"/>
  <c r="F97" i="6"/>
  <c r="F98" i="6"/>
  <c r="F99" i="6"/>
  <c r="F100" i="6"/>
  <c r="D101" i="6"/>
  <c r="F101" i="6"/>
  <c r="D102"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D151" i="6"/>
  <c r="F151" i="6"/>
  <c r="D152" i="6"/>
  <c r="F152" i="6"/>
  <c r="F153" i="6"/>
  <c r="F154" i="6"/>
  <c r="F155" i="6"/>
  <c r="F156" i="6"/>
  <c r="F157" i="6"/>
  <c r="F158" i="6"/>
  <c r="F159" i="6"/>
  <c r="F160" i="6"/>
  <c r="F161" i="6"/>
  <c r="F162" i="6"/>
  <c r="D163" i="6"/>
  <c r="F163" i="6"/>
  <c r="D164"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D222" i="6"/>
  <c r="F222" i="6"/>
  <c r="D223" i="6"/>
  <c r="F223" i="6"/>
  <c r="F224" i="6"/>
  <c r="F225" i="6"/>
  <c r="F226" i="6"/>
  <c r="F227" i="6"/>
  <c r="F228" i="6"/>
  <c r="F229" i="6"/>
  <c r="F230" i="6"/>
  <c r="F231" i="6"/>
  <c r="F232" i="6"/>
  <c r="F233" i="6"/>
  <c r="F234" i="6"/>
  <c r="F235" i="6"/>
  <c r="D236" i="6"/>
  <c r="F236" i="6"/>
  <c r="D237" i="6"/>
  <c r="F237" i="6"/>
  <c r="F238" i="6"/>
  <c r="F239" i="6"/>
  <c r="F240" i="6"/>
  <c r="F241" i="6"/>
  <c r="F242" i="6"/>
  <c r="F243" i="6"/>
  <c r="F244" i="6"/>
  <c r="F245" i="6"/>
  <c r="F246" i="6"/>
  <c r="F247" i="6"/>
  <c r="F248" i="6"/>
  <c r="F249" i="6"/>
  <c r="F250" i="6"/>
  <c r="D251" i="6"/>
  <c r="F251" i="6"/>
  <c r="D252" i="6"/>
  <c r="F252" i="6"/>
  <c r="F253" i="6"/>
  <c r="F254" i="6"/>
  <c r="F255" i="6"/>
  <c r="F256" i="6"/>
  <c r="F257" i="6"/>
  <c r="F258" i="6"/>
  <c r="F259" i="6"/>
  <c r="F260" i="6"/>
  <c r="D261" i="6"/>
  <c r="F261" i="6"/>
  <c r="D262" i="6"/>
  <c r="F262" i="6"/>
  <c r="F263" i="6"/>
  <c r="F264" i="6"/>
  <c r="F265" i="6"/>
  <c r="F266" i="6"/>
  <c r="F267" i="6"/>
  <c r="F268" i="6"/>
  <c r="F269" i="6"/>
  <c r="F270" i="6"/>
  <c r="F271" i="6"/>
  <c r="F272" i="6"/>
  <c r="F273" i="6"/>
  <c r="F274" i="6"/>
  <c r="F275" i="6"/>
  <c r="F276" i="6"/>
  <c r="F277" i="6"/>
  <c r="F278" i="6"/>
  <c r="F279" i="6"/>
  <c r="D280" i="6"/>
  <c r="F280" i="6"/>
  <c r="D281"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D308" i="6"/>
  <c r="F308" i="6"/>
  <c r="D309" i="6"/>
  <c r="F309" i="6"/>
  <c r="F310" i="6"/>
  <c r="F311" i="6"/>
  <c r="F312" i="6"/>
  <c r="F313" i="6"/>
  <c r="F314" i="6"/>
  <c r="F315" i="6"/>
  <c r="F316" i="6"/>
  <c r="F317" i="6"/>
  <c r="F318" i="6"/>
  <c r="F319" i="6"/>
  <c r="F320" i="6"/>
  <c r="F321" i="6"/>
  <c r="D322" i="6"/>
  <c r="F322" i="6"/>
  <c r="D323" i="6"/>
  <c r="F323" i="6"/>
  <c r="F324" i="6"/>
  <c r="F325" i="6"/>
  <c r="F326" i="6"/>
  <c r="F327" i="6"/>
  <c r="F328" i="6"/>
  <c r="F329" i="6"/>
  <c r="F330" i="6"/>
  <c r="F331" i="6"/>
  <c r="F332" i="6"/>
  <c r="F333" i="6"/>
  <c r="D334" i="6"/>
  <c r="F334" i="6"/>
  <c r="D335"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7" i="6"/>
  <c r="F368" i="6"/>
  <c r="F369" i="6"/>
  <c r="F370" i="6"/>
  <c r="F371"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D399" i="6"/>
  <c r="F399" i="6"/>
  <c r="D400" i="6"/>
  <c r="F400" i="6"/>
  <c r="F401" i="6"/>
  <c r="F402" i="6"/>
  <c r="F403" i="6"/>
  <c r="F404" i="6"/>
  <c r="F405" i="6"/>
  <c r="F406" i="6"/>
  <c r="F407" i="6"/>
  <c r="F408" i="6"/>
  <c r="F409" i="6"/>
  <c r="F410" i="6"/>
  <c r="D411" i="6"/>
  <c r="F411" i="6"/>
  <c r="D412" i="6"/>
  <c r="F412" i="6"/>
  <c r="F413" i="6"/>
  <c r="F414" i="6"/>
  <c r="F415" i="6"/>
  <c r="F416" i="6"/>
  <c r="F417" i="6"/>
  <c r="F418" i="6"/>
  <c r="F419" i="6"/>
  <c r="F420" i="6"/>
  <c r="F421" i="6"/>
  <c r="D422" i="6"/>
  <c r="F422" i="6"/>
  <c r="D423" i="6"/>
  <c r="F423" i="6"/>
  <c r="F424" i="6"/>
  <c r="F425" i="6"/>
  <c r="F426" i="6"/>
  <c r="F427" i="6"/>
  <c r="F428" i="6"/>
  <c r="F429" i="6"/>
  <c r="F430" i="6"/>
  <c r="F431" i="6"/>
  <c r="F432" i="6"/>
  <c r="F433" i="6"/>
  <c r="D434" i="6"/>
  <c r="F434" i="6"/>
  <c r="D435" i="6"/>
  <c r="F435" i="6"/>
  <c r="F436" i="6"/>
  <c r="F437" i="6"/>
  <c r="F438" i="6"/>
  <c r="F439" i="6"/>
  <c r="F440" i="6"/>
  <c r="F441" i="6"/>
  <c r="F442" i="6"/>
  <c r="F443" i="6"/>
  <c r="F444" i="6"/>
  <c r="F445" i="6"/>
  <c r="F446" i="6"/>
  <c r="F447" i="6"/>
  <c r="F448" i="6"/>
  <c r="F449" i="6"/>
  <c r="F450" i="6"/>
  <c r="F451" i="6"/>
  <c r="F452" i="6"/>
  <c r="F453" i="6"/>
  <c r="F454" i="6"/>
  <c r="F455" i="6"/>
  <c r="F456" i="6"/>
  <c r="F457" i="6"/>
  <c r="F458" i="6"/>
  <c r="F459" i="6"/>
  <c r="F460" i="6"/>
  <c r="F461" i="6"/>
  <c r="F462" i="6"/>
  <c r="F463" i="6"/>
  <c r="F464" i="6"/>
  <c r="F465" i="6"/>
  <c r="F466" i="6"/>
  <c r="D467" i="6"/>
  <c r="F467" i="6"/>
  <c r="D468" i="6"/>
  <c r="F468" i="6"/>
  <c r="F469" i="6"/>
  <c r="F470" i="6"/>
  <c r="F471" i="6"/>
  <c r="F472" i="6"/>
  <c r="F473" i="6"/>
  <c r="F474" i="6"/>
  <c r="F475" i="6"/>
  <c r="F476" i="6"/>
  <c r="F477" i="6"/>
  <c r="F478" i="6"/>
  <c r="F479" i="6"/>
  <c r="F480" i="6"/>
  <c r="F481" i="6"/>
  <c r="F482" i="6"/>
  <c r="F483" i="6"/>
  <c r="F484" i="6"/>
  <c r="F485" i="6"/>
  <c r="F486" i="6"/>
  <c r="F487" i="6"/>
  <c r="F488" i="6"/>
  <c r="F489" i="6"/>
  <c r="F490" i="6"/>
  <c r="F491" i="6"/>
  <c r="F492" i="6"/>
  <c r="F493" i="6"/>
  <c r="F494" i="6"/>
  <c r="F495" i="6"/>
  <c r="F496" i="6"/>
  <c r="F497" i="6"/>
  <c r="D498" i="6"/>
  <c r="F498" i="6"/>
  <c r="D499" i="6"/>
  <c r="F499" i="6"/>
  <c r="F500" i="6"/>
  <c r="F501" i="6"/>
  <c r="F502" i="6"/>
  <c r="F503" i="6"/>
  <c r="F504" i="6"/>
  <c r="F505" i="6"/>
  <c r="F506" i="6"/>
  <c r="F507" i="6"/>
  <c r="F508" i="6"/>
  <c r="D509" i="6"/>
  <c r="F509" i="6"/>
  <c r="D510" i="6"/>
  <c r="F510" i="6"/>
  <c r="F511" i="6"/>
  <c r="F512" i="6"/>
  <c r="F513" i="6"/>
  <c r="F514" i="6"/>
  <c r="F515" i="6"/>
  <c r="F516" i="6"/>
  <c r="F517" i="6"/>
  <c r="F518" i="6"/>
  <c r="F519" i="6"/>
  <c r="F520" i="6"/>
  <c r="F521" i="6"/>
  <c r="F522" i="6"/>
  <c r="F523" i="6"/>
  <c r="F524" i="6"/>
  <c r="F525" i="6"/>
  <c r="F526" i="6"/>
  <c r="F527" i="6"/>
  <c r="F528" i="6"/>
  <c r="F529" i="6"/>
  <c r="F530" i="6"/>
  <c r="F531" i="6"/>
  <c r="F532" i="6"/>
  <c r="F533" i="6"/>
  <c r="F534" i="6"/>
  <c r="F535" i="6"/>
  <c r="F536" i="6"/>
  <c r="F537" i="6"/>
  <c r="F538" i="6"/>
  <c r="F539" i="6"/>
  <c r="F540" i="6"/>
  <c r="F541" i="6"/>
  <c r="F542" i="6"/>
  <c r="F543" i="6"/>
  <c r="F544" i="6"/>
  <c r="F545" i="6"/>
  <c r="F546" i="6"/>
  <c r="F547" i="6"/>
  <c r="F548" i="6"/>
  <c r="F549" i="6"/>
  <c r="F550" i="6"/>
  <c r="F551" i="6"/>
  <c r="F552" i="6"/>
  <c r="F553" i="6"/>
  <c r="F554" i="6"/>
  <c r="F555" i="6"/>
  <c r="F556" i="6"/>
  <c r="F557" i="6"/>
  <c r="F558" i="6"/>
  <c r="D559" i="6"/>
  <c r="F559" i="6"/>
  <c r="D560" i="6"/>
  <c r="F560" i="6"/>
  <c r="F561" i="6"/>
  <c r="F562" i="6"/>
  <c r="F563" i="6"/>
  <c r="F564" i="6"/>
  <c r="F565" i="6"/>
  <c r="F566" i="6"/>
  <c r="F567" i="6"/>
  <c r="F568" i="6"/>
  <c r="F569" i="6"/>
  <c r="F570" i="6"/>
  <c r="F571" i="6"/>
  <c r="F572" i="6"/>
  <c r="F573" i="6"/>
  <c r="F574" i="6"/>
  <c r="F575" i="6"/>
  <c r="F576" i="6"/>
  <c r="F577" i="6"/>
  <c r="F578" i="6"/>
  <c r="F579" i="6"/>
  <c r="F580" i="6"/>
  <c r="F581" i="6"/>
  <c r="F582" i="6"/>
  <c r="F583" i="6"/>
  <c r="F584" i="6"/>
  <c r="F585" i="6"/>
  <c r="F586" i="6"/>
  <c r="F587" i="6"/>
  <c r="F588" i="6"/>
  <c r="F589" i="6"/>
  <c r="D590" i="6"/>
  <c r="F590" i="6"/>
  <c r="D591" i="6"/>
  <c r="F591" i="6"/>
  <c r="F592" i="6"/>
  <c r="F593" i="6"/>
  <c r="F594" i="6"/>
  <c r="F595" i="6"/>
  <c r="F596" i="6"/>
  <c r="F597" i="6"/>
  <c r="F598" i="6"/>
  <c r="F599" i="6"/>
  <c r="F600" i="6"/>
  <c r="F601" i="6"/>
  <c r="F602" i="6"/>
  <c r="F603" i="6"/>
  <c r="F604" i="6"/>
  <c r="F605" i="6"/>
  <c r="F606" i="6"/>
  <c r="F607" i="6"/>
  <c r="F608" i="6"/>
  <c r="F609" i="6"/>
  <c r="F610" i="6"/>
  <c r="F611" i="6"/>
  <c r="F612" i="6"/>
  <c r="F613" i="6"/>
  <c r="F614" i="6"/>
  <c r="F615" i="6"/>
  <c r="F616" i="6"/>
  <c r="F617" i="6"/>
  <c r="F618" i="6"/>
  <c r="F619" i="6"/>
  <c r="F620" i="6"/>
  <c r="F621" i="6"/>
  <c r="F622" i="6"/>
  <c r="F623" i="6"/>
  <c r="F624" i="6"/>
  <c r="F625" i="6"/>
  <c r="F626" i="6"/>
  <c r="F627" i="6"/>
  <c r="F628" i="6"/>
  <c r="F629" i="6"/>
  <c r="F630" i="6"/>
  <c r="F631" i="6"/>
  <c r="F632" i="6"/>
  <c r="F633" i="6"/>
  <c r="F634" i="6"/>
  <c r="F635" i="6"/>
  <c r="F636" i="6"/>
  <c r="F637" i="6"/>
  <c r="F638" i="6"/>
  <c r="D639" i="6"/>
  <c r="F639" i="6"/>
  <c r="D640" i="6"/>
  <c r="F640" i="6"/>
  <c r="F641" i="6"/>
  <c r="F642" i="6"/>
  <c r="F643" i="6"/>
  <c r="G8" i="6"/>
  <c r="G18" i="6"/>
  <c r="G23" i="6"/>
  <c r="G29" i="6"/>
  <c r="G40" i="6"/>
  <c r="G50" i="6"/>
  <c r="G63" i="6"/>
  <c r="G71" i="6"/>
  <c r="G81" i="6"/>
  <c r="G88" i="6"/>
  <c r="G98" i="6"/>
  <c r="G108" i="6"/>
  <c r="G114" i="6"/>
  <c r="G120" i="6"/>
  <c r="G126" i="6"/>
  <c r="G132" i="6"/>
  <c r="G138" i="6"/>
  <c r="G144" i="6"/>
  <c r="G158" i="6"/>
  <c r="G170" i="6"/>
  <c r="G176" i="6"/>
  <c r="G182" i="6"/>
  <c r="G188" i="6"/>
  <c r="G193" i="6"/>
  <c r="G197" i="6"/>
  <c r="G205" i="6"/>
  <c r="G210" i="6"/>
  <c r="G215" i="6"/>
  <c r="G229" i="6"/>
  <c r="G243" i="6"/>
  <c r="G258" i="6"/>
  <c r="G268" i="6"/>
  <c r="G276" i="6"/>
  <c r="G287" i="6"/>
  <c r="G295" i="6"/>
  <c r="G301" i="6"/>
  <c r="G315" i="6"/>
  <c r="G329" i="6"/>
  <c r="G341" i="6"/>
  <c r="G348" i="6"/>
  <c r="G355" i="6"/>
  <c r="G363" i="6"/>
  <c r="G369" i="6"/>
  <c r="G375" i="6"/>
  <c r="G384" i="6"/>
  <c r="G394" i="6"/>
  <c r="G406" i="6"/>
  <c r="G418" i="6"/>
  <c r="G429" i="6"/>
  <c r="G441" i="6"/>
  <c r="G460" i="6"/>
  <c r="G474" i="6"/>
  <c r="G493" i="6"/>
  <c r="G505" i="6"/>
  <c r="G516" i="6"/>
  <c r="G522" i="6"/>
  <c r="G528" i="6"/>
  <c r="G534" i="6"/>
  <c r="G540" i="6"/>
  <c r="G546" i="6"/>
  <c r="G553" i="6"/>
  <c r="G566" i="6"/>
  <c r="G572" i="6"/>
  <c r="G579" i="6"/>
  <c r="G584" i="6"/>
  <c r="G597" i="6"/>
  <c r="G602" i="6"/>
  <c r="G610" i="6"/>
  <c r="G616" i="6"/>
  <c r="G621" i="6"/>
  <c r="G626" i="6"/>
  <c r="G632" i="6"/>
  <c r="F19" i="7"/>
  <c r="G7498" i="5"/>
  <c r="G7492" i="5"/>
  <c r="B7491" i="5"/>
  <c r="G7490" i="5"/>
  <c r="G7484" i="5"/>
  <c r="B7483" i="5"/>
  <c r="G7482" i="5"/>
  <c r="G7476" i="5"/>
  <c r="B7475" i="5"/>
  <c r="G7460" i="5"/>
  <c r="G7455" i="5"/>
  <c r="D7454" i="5"/>
  <c r="B7454" i="5"/>
  <c r="B7468" i="5"/>
  <c r="D7468" i="5"/>
  <c r="G7469" i="5"/>
  <c r="G7474" i="5"/>
  <c r="G7467" i="5"/>
  <c r="G7462" i="5"/>
  <c r="D7461" i="5"/>
  <c r="B7461" i="5"/>
  <c r="G7454" i="5"/>
  <c r="G7475" i="5"/>
  <c r="G7491" i="5"/>
  <c r="G7468" i="5"/>
  <c r="G7461" i="5"/>
  <c r="G7483" i="5"/>
  <c r="G7427" i="5"/>
  <c r="G7423" i="5"/>
  <c r="G7422" i="5"/>
  <c r="D7422" i="5"/>
  <c r="B7422" i="5"/>
  <c r="G7421" i="5"/>
  <c r="G7417" i="5"/>
  <c r="G7416" i="5"/>
  <c r="D7416" i="5"/>
  <c r="B7416" i="5"/>
  <c r="G7415" i="5"/>
  <c r="G7411" i="5"/>
  <c r="G7410" i="5"/>
  <c r="D7410" i="5"/>
  <c r="B7410" i="5"/>
  <c r="G7409" i="5"/>
  <c r="G7405" i="5"/>
  <c r="G7404" i="5"/>
  <c r="D7404" i="5"/>
  <c r="B7404" i="5"/>
  <c r="G7442" i="5"/>
  <c r="G7441" i="5"/>
  <c r="D7441" i="5"/>
  <c r="G7433" i="5"/>
  <c r="D7433" i="5"/>
  <c r="D7447" i="5"/>
  <c r="D7428" i="5"/>
  <c r="G7428" i="5"/>
  <c r="G7432" i="5"/>
  <c r="G7429" i="5"/>
  <c r="B7428" i="5"/>
  <c r="G6" i="5"/>
  <c r="D6" i="5"/>
  <c r="G10" i="5"/>
  <c r="D10" i="5"/>
  <c r="D14" i="5"/>
  <c r="D18" i="5"/>
  <c r="G23" i="5"/>
  <c r="D23" i="5"/>
  <c r="D28" i="5"/>
  <c r="D33" i="5"/>
  <c r="G38" i="5"/>
  <c r="D38" i="5"/>
  <c r="G43" i="5"/>
  <c r="D43" i="5"/>
  <c r="G48" i="5"/>
  <c r="D48" i="5"/>
  <c r="G53" i="5"/>
  <c r="D53" i="5"/>
  <c r="G60" i="5"/>
  <c r="D60" i="5"/>
  <c r="G65" i="5"/>
  <c r="D65" i="5"/>
  <c r="G70" i="5"/>
  <c r="D70" i="5"/>
  <c r="D78" i="5"/>
  <c r="D83" i="5"/>
  <c r="D88" i="5"/>
  <c r="D93" i="5"/>
  <c r="D98" i="5"/>
  <c r="D103" i="5"/>
  <c r="D107" i="5"/>
  <c r="D112" i="5"/>
  <c r="G117" i="5"/>
  <c r="D117" i="5"/>
  <c r="D122" i="5"/>
  <c r="D127" i="5"/>
  <c r="D132" i="5"/>
  <c r="D136" i="5"/>
  <c r="G140" i="5"/>
  <c r="D140" i="5"/>
  <c r="D145" i="5"/>
  <c r="G150" i="5"/>
  <c r="D150" i="5"/>
  <c r="G155" i="5"/>
  <c r="D155" i="5"/>
  <c r="G162" i="5"/>
  <c r="D162" i="5"/>
  <c r="G167" i="5"/>
  <c r="D167" i="5"/>
  <c r="D172" i="5"/>
  <c r="D176" i="5"/>
  <c r="D180" i="5"/>
  <c r="G184" i="5"/>
  <c r="D184" i="5"/>
  <c r="D191" i="5"/>
  <c r="D198" i="5"/>
  <c r="D202" i="5"/>
  <c r="D206" i="5"/>
  <c r="D211" i="5"/>
  <c r="D215" i="5"/>
  <c r="G220" i="5"/>
  <c r="D220" i="5"/>
  <c r="D225" i="5"/>
  <c r="G229" i="5"/>
  <c r="D229" i="5"/>
  <c r="G233" i="5"/>
  <c r="D233" i="5"/>
  <c r="G237" i="5"/>
  <c r="D237" i="5"/>
  <c r="D241" i="5"/>
  <c r="D249" i="5"/>
  <c r="G264" i="5"/>
  <c r="D264" i="5"/>
  <c r="G269" i="5"/>
  <c r="D269" i="5"/>
  <c r="G277" i="5"/>
  <c r="D277" i="5"/>
  <c r="G284" i="5"/>
  <c r="D284" i="5"/>
  <c r="D291" i="5"/>
  <c r="G306" i="5"/>
  <c r="D306" i="5"/>
  <c r="D321" i="5"/>
  <c r="D327" i="5"/>
  <c r="G342" i="5"/>
  <c r="D342" i="5"/>
  <c r="D352" i="5"/>
  <c r="G366" i="5"/>
  <c r="D366" i="5"/>
  <c r="G372" i="5"/>
  <c r="D372" i="5"/>
  <c r="G381" i="5"/>
  <c r="D381" i="5"/>
  <c r="G395" i="5"/>
  <c r="D395" i="5"/>
  <c r="G402" i="5"/>
  <c r="D402" i="5"/>
  <c r="G416" i="5"/>
  <c r="D416" i="5"/>
  <c r="G423" i="5"/>
  <c r="D423" i="5"/>
  <c r="G435" i="5"/>
  <c r="D435" i="5"/>
  <c r="G441" i="5"/>
  <c r="D441" i="5"/>
  <c r="G447" i="5"/>
  <c r="D447" i="5"/>
  <c r="G455" i="5"/>
  <c r="D455" i="5"/>
  <c r="G465" i="5"/>
  <c r="D465" i="5"/>
  <c r="D472" i="5"/>
  <c r="G484" i="5"/>
  <c r="D484" i="5"/>
  <c r="G490" i="5"/>
  <c r="D490" i="5"/>
  <c r="G498" i="5"/>
  <c r="D498" i="5"/>
  <c r="G505" i="5"/>
  <c r="D505" i="5"/>
  <c r="G512" i="5"/>
  <c r="D512" i="5"/>
  <c r="G518" i="5"/>
  <c r="D518" i="5"/>
  <c r="G525" i="5"/>
  <c r="D525" i="5"/>
  <c r="G532" i="5"/>
  <c r="D532" i="5"/>
  <c r="G538" i="5"/>
  <c r="D538" i="5"/>
  <c r="G546" i="5"/>
  <c r="D546" i="5"/>
  <c r="G554" i="5"/>
  <c r="D554" i="5"/>
  <c r="G562" i="5"/>
  <c r="D562" i="5"/>
  <c r="G570" i="5"/>
  <c r="D570" i="5"/>
  <c r="G580" i="5"/>
  <c r="D580" i="5"/>
  <c r="G589" i="5"/>
  <c r="D589" i="5"/>
  <c r="G597" i="5"/>
  <c r="D597" i="5"/>
  <c r="G607" i="5"/>
  <c r="D607" i="5"/>
  <c r="G616" i="5"/>
  <c r="D616" i="5"/>
  <c r="G622" i="5"/>
  <c r="D622" i="5"/>
  <c r="G630" i="5"/>
  <c r="D630" i="5"/>
  <c r="G638" i="5"/>
  <c r="D638" i="5"/>
  <c r="D645" i="5"/>
  <c r="D649" i="5"/>
  <c r="D653" i="5"/>
  <c r="D657" i="5"/>
  <c r="G661" i="5"/>
  <c r="D661" i="5"/>
  <c r="G665" i="5"/>
  <c r="D665" i="5"/>
  <c r="G669" i="5"/>
  <c r="D669" i="5"/>
  <c r="G677" i="5"/>
  <c r="D677" i="5"/>
  <c r="G687" i="5"/>
  <c r="D687" i="5"/>
  <c r="G697" i="5"/>
  <c r="D697" i="5"/>
  <c r="G705" i="5"/>
  <c r="D705" i="5"/>
  <c r="G715" i="5"/>
  <c r="D715" i="5"/>
  <c r="G724" i="5"/>
  <c r="D724" i="5"/>
  <c r="G731" i="5"/>
  <c r="D731" i="5"/>
  <c r="G737" i="5"/>
  <c r="D737" i="5"/>
  <c r="D745" i="5"/>
  <c r="D749" i="5"/>
  <c r="G756" i="5"/>
  <c r="D756" i="5"/>
  <c r="G767" i="5"/>
  <c r="D767" i="5"/>
  <c r="G773" i="5"/>
  <c r="D773" i="5"/>
  <c r="D784" i="5"/>
  <c r="G791" i="5"/>
  <c r="D791" i="5"/>
  <c r="G805" i="5"/>
  <c r="D805" i="5"/>
  <c r="G815" i="5"/>
  <c r="D815" i="5"/>
  <c r="D819" i="5"/>
  <c r="G824" i="5"/>
  <c r="D824" i="5"/>
  <c r="D828" i="5"/>
  <c r="G833" i="5"/>
  <c r="D833" i="5"/>
  <c r="D840" i="5"/>
  <c r="D846" i="5"/>
  <c r="D851" i="5"/>
  <c r="D857" i="5"/>
  <c r="D863" i="5"/>
  <c r="D868" i="5"/>
  <c r="G876" i="5"/>
  <c r="D876" i="5"/>
  <c r="G884" i="5"/>
  <c r="D884" i="5"/>
  <c r="D892" i="5"/>
  <c r="G897" i="5"/>
  <c r="D897" i="5"/>
  <c r="D904" i="5"/>
  <c r="D908" i="5"/>
  <c r="G914" i="5"/>
  <c r="D914" i="5"/>
  <c r="G923" i="5"/>
  <c r="D923" i="5"/>
  <c r="G930" i="5"/>
  <c r="D930" i="5"/>
  <c r="G939" i="5"/>
  <c r="D939" i="5"/>
  <c r="G948" i="5"/>
  <c r="D948" i="5"/>
  <c r="G954" i="5"/>
  <c r="D954" i="5"/>
  <c r="G960" i="5"/>
  <c r="D960" i="5"/>
  <c r="G967" i="5"/>
  <c r="D967" i="5"/>
  <c r="G974" i="5"/>
  <c r="D974" i="5"/>
  <c r="G981" i="5"/>
  <c r="D981" i="5"/>
  <c r="G992" i="5"/>
  <c r="D992" i="5"/>
  <c r="D1003" i="5"/>
  <c r="D1008" i="5"/>
  <c r="G1013" i="5"/>
  <c r="D1013" i="5"/>
  <c r="D1022" i="5"/>
  <c r="G1027" i="5"/>
  <c r="D1027" i="5"/>
  <c r="G1037" i="5"/>
  <c r="D1037" i="5"/>
  <c r="G1046" i="5"/>
  <c r="D1046" i="5"/>
  <c r="G1053" i="5"/>
  <c r="D1053" i="5"/>
  <c r="G1060" i="5"/>
  <c r="D1060" i="5"/>
  <c r="G1067" i="5"/>
  <c r="D1067" i="5"/>
  <c r="G1074" i="5"/>
  <c r="D1074" i="5"/>
  <c r="G1083" i="5"/>
  <c r="D1083" i="5"/>
  <c r="G1091" i="5"/>
  <c r="D1091" i="5"/>
  <c r="G1099" i="5"/>
  <c r="D1099" i="5"/>
  <c r="G1109" i="5"/>
  <c r="D1109" i="5"/>
  <c r="D1117" i="5"/>
  <c r="D1122" i="5"/>
  <c r="D1127" i="5"/>
  <c r="G1133" i="5"/>
  <c r="D1133" i="5"/>
  <c r="G1138" i="5"/>
  <c r="D1138" i="5"/>
  <c r="G1145" i="5"/>
  <c r="D1145" i="5"/>
  <c r="G1152" i="5"/>
  <c r="D1152" i="5"/>
  <c r="G1159" i="5"/>
  <c r="D1159" i="5"/>
  <c r="G1166" i="5"/>
  <c r="D1166" i="5"/>
  <c r="G1173" i="5"/>
  <c r="D1173" i="5"/>
  <c r="G1180" i="5"/>
  <c r="D1180" i="5"/>
  <c r="G1187" i="5"/>
  <c r="D1187" i="5"/>
  <c r="G1194" i="5"/>
  <c r="D1194" i="5"/>
  <c r="G1201" i="5"/>
  <c r="D1201" i="5"/>
  <c r="G1208" i="5"/>
  <c r="D1208" i="5"/>
  <c r="G1215" i="5"/>
  <c r="D1215" i="5"/>
  <c r="D1222" i="5"/>
  <c r="D1228" i="5"/>
  <c r="D1234" i="5"/>
  <c r="D1240" i="5"/>
  <c r="G1246" i="5"/>
  <c r="D1246" i="5"/>
  <c r="G1253" i="5"/>
  <c r="D1253" i="5"/>
  <c r="G1260" i="5"/>
  <c r="D1260" i="5"/>
  <c r="D1267" i="5"/>
  <c r="D1273" i="5"/>
  <c r="D1280" i="5"/>
  <c r="D1287" i="5"/>
  <c r="D1294" i="5"/>
  <c r="G1301" i="5"/>
  <c r="D1301" i="5"/>
  <c r="G1309" i="5"/>
  <c r="D1309" i="5"/>
  <c r="G1318" i="5"/>
  <c r="D1318" i="5"/>
  <c r="G1324" i="5"/>
  <c r="D1324" i="5"/>
  <c r="G1330" i="5"/>
  <c r="D1330" i="5"/>
  <c r="G1336" i="5"/>
  <c r="D1336" i="5"/>
  <c r="G1342" i="5"/>
  <c r="D1342" i="5"/>
  <c r="G1349" i="5"/>
  <c r="D1349" i="5"/>
  <c r="G1355" i="5"/>
  <c r="D1355" i="5"/>
  <c r="G1362" i="5"/>
  <c r="D1362" i="5"/>
  <c r="G1368" i="5"/>
  <c r="D1368" i="5"/>
  <c r="G1374" i="5"/>
  <c r="D1374" i="5"/>
  <c r="G1381" i="5"/>
  <c r="D1381" i="5"/>
  <c r="G1387" i="5"/>
  <c r="D1387" i="5"/>
  <c r="D1393" i="5"/>
  <c r="G1399" i="5"/>
  <c r="D1399" i="5"/>
  <c r="D1406" i="5"/>
  <c r="D1421" i="5"/>
  <c r="D1436" i="5"/>
  <c r="D1451" i="5"/>
  <c r="D1466" i="5"/>
  <c r="D1481" i="5"/>
  <c r="D1496" i="5"/>
  <c r="G1511" i="5"/>
  <c r="D1511" i="5"/>
  <c r="G1517" i="5"/>
  <c r="D1517" i="5"/>
  <c r="G1523" i="5"/>
  <c r="D1523" i="5"/>
  <c r="G1529" i="5"/>
  <c r="D1529" i="5"/>
  <c r="G1535" i="5"/>
  <c r="D1535" i="5"/>
  <c r="G1541" i="5"/>
  <c r="D1541" i="5"/>
  <c r="G1548" i="5"/>
  <c r="D1548" i="5"/>
  <c r="G1555" i="5"/>
  <c r="D1555" i="5"/>
  <c r="G1562" i="5"/>
  <c r="D1562" i="5"/>
  <c r="D1569" i="5"/>
  <c r="G1584" i="5"/>
  <c r="D1584" i="5"/>
  <c r="G1590" i="5"/>
  <c r="D1590" i="5"/>
  <c r="D1596" i="5"/>
  <c r="D1602" i="5"/>
  <c r="D1609" i="5"/>
  <c r="G1614" i="5"/>
  <c r="D1614" i="5"/>
  <c r="G1620" i="5"/>
  <c r="D1620" i="5"/>
  <c r="D1626" i="5"/>
  <c r="G1631" i="5"/>
  <c r="D1631" i="5"/>
  <c r="G1637" i="5"/>
  <c r="D1637" i="5"/>
  <c r="G1643" i="5"/>
  <c r="D1643" i="5"/>
  <c r="D1649" i="5"/>
  <c r="D1655" i="5"/>
  <c r="D1660" i="5"/>
  <c r="D1665" i="5"/>
  <c r="D1670" i="5"/>
  <c r="G1676" i="5"/>
  <c r="D1676" i="5"/>
  <c r="D1683" i="5"/>
  <c r="G1690" i="5"/>
  <c r="D1690" i="5"/>
  <c r="G1696" i="5"/>
  <c r="D1696" i="5"/>
  <c r="G1704" i="5"/>
  <c r="D1704" i="5"/>
  <c r="G1715" i="5"/>
  <c r="D1715" i="5"/>
  <c r="G1726" i="5"/>
  <c r="D1726" i="5"/>
  <c r="G1737" i="5"/>
  <c r="D1737" i="5"/>
  <c r="G1748" i="5"/>
  <c r="D1748" i="5"/>
  <c r="G1755" i="5"/>
  <c r="D1755" i="5"/>
  <c r="G1762" i="5"/>
  <c r="D1762" i="5"/>
  <c r="G1769" i="5"/>
  <c r="D1769" i="5"/>
  <c r="G1776" i="5"/>
  <c r="D1776" i="5"/>
  <c r="G1783" i="5"/>
  <c r="D1783" i="5"/>
  <c r="G1790" i="5"/>
  <c r="D1790" i="5"/>
  <c r="G1797" i="5"/>
  <c r="D1797" i="5"/>
  <c r="D1804" i="5"/>
  <c r="D1809" i="5"/>
  <c r="D1814" i="5"/>
  <c r="D1820" i="5"/>
  <c r="D1826" i="5"/>
  <c r="D1833" i="5"/>
  <c r="D1839" i="5"/>
  <c r="D1845" i="5"/>
  <c r="D1851" i="5"/>
  <c r="D1857" i="5"/>
  <c r="D1863" i="5"/>
  <c r="D1869" i="5"/>
  <c r="D1875" i="5"/>
  <c r="D1881" i="5"/>
  <c r="D1887" i="5"/>
  <c r="D1893" i="5"/>
  <c r="D1899" i="5"/>
  <c r="D1905" i="5"/>
  <c r="D1910" i="5"/>
  <c r="D1915" i="5"/>
  <c r="D1920" i="5"/>
  <c r="D1926" i="5"/>
  <c r="D1931" i="5"/>
  <c r="D1936" i="5"/>
  <c r="D1943" i="5"/>
  <c r="D1949" i="5"/>
  <c r="G1955" i="5"/>
  <c r="D1955" i="5"/>
  <c r="G1962" i="5"/>
  <c r="D1962" i="5"/>
  <c r="G1969" i="5"/>
  <c r="D1969" i="5"/>
  <c r="G1977" i="5"/>
  <c r="D1977" i="5"/>
  <c r="G1985" i="5"/>
  <c r="D1985" i="5"/>
  <c r="G1992" i="5"/>
  <c r="D1992" i="5"/>
  <c r="G1999" i="5"/>
  <c r="D1999" i="5"/>
  <c r="G2006" i="5"/>
  <c r="D2006" i="5"/>
  <c r="D2013" i="5"/>
  <c r="G2019" i="5"/>
  <c r="D2019" i="5"/>
  <c r="G2027" i="5"/>
  <c r="D2027" i="5"/>
  <c r="G2035" i="5"/>
  <c r="D2035" i="5"/>
  <c r="G2043" i="5"/>
  <c r="D2043" i="5"/>
  <c r="G2051" i="5"/>
  <c r="D2051" i="5"/>
  <c r="G2059" i="5"/>
  <c r="D2059" i="5"/>
  <c r="G2067" i="5"/>
  <c r="D2067" i="5"/>
  <c r="G2075" i="5"/>
  <c r="D2075" i="5"/>
  <c r="G2083" i="5"/>
  <c r="D2083" i="5"/>
  <c r="G2091" i="5"/>
  <c r="D2091" i="5"/>
  <c r="G2099" i="5"/>
  <c r="D2099" i="5"/>
  <c r="D2107" i="5"/>
  <c r="G2113" i="5"/>
  <c r="D2113" i="5"/>
  <c r="G2119" i="5"/>
  <c r="D2119" i="5"/>
  <c r="G2125" i="5"/>
  <c r="D2125" i="5"/>
  <c r="G2131" i="5"/>
  <c r="D2131" i="5"/>
  <c r="G2137" i="5"/>
  <c r="D2137" i="5"/>
  <c r="G2145" i="5"/>
  <c r="D2145" i="5"/>
  <c r="G2153" i="5"/>
  <c r="D2153" i="5"/>
  <c r="G2161" i="5"/>
  <c r="D2161" i="5"/>
  <c r="G2169" i="5"/>
  <c r="D2169" i="5"/>
  <c r="G2177" i="5"/>
  <c r="D2177" i="5"/>
  <c r="G2185" i="5"/>
  <c r="D2185" i="5"/>
  <c r="G2193" i="5"/>
  <c r="D2193" i="5"/>
  <c r="D2201" i="5"/>
  <c r="D2206" i="5"/>
  <c r="D2213" i="5"/>
  <c r="D2220" i="5"/>
  <c r="D2226" i="5"/>
  <c r="G2232" i="5"/>
  <c r="D2232" i="5"/>
  <c r="D2246" i="5"/>
  <c r="G2252" i="5"/>
  <c r="D2252" i="5"/>
  <c r="G2262" i="5"/>
  <c r="D2262" i="5"/>
  <c r="G2272" i="5"/>
  <c r="D2272" i="5"/>
  <c r="G2282" i="5"/>
  <c r="D2282" i="5"/>
  <c r="G2292" i="5"/>
  <c r="D2292" i="5"/>
  <c r="G2302" i="5"/>
  <c r="D2302" i="5"/>
  <c r="G2309" i="5"/>
  <c r="D2309" i="5"/>
  <c r="G2316" i="5"/>
  <c r="D2316" i="5"/>
  <c r="G2322" i="5"/>
  <c r="D2322" i="5"/>
  <c r="G2328" i="5"/>
  <c r="D2328" i="5"/>
  <c r="G2334" i="5"/>
  <c r="D2334" i="5"/>
  <c r="G2340" i="5"/>
  <c r="D2340" i="5"/>
  <c r="D2345" i="5"/>
  <c r="D2350" i="5"/>
  <c r="G2355" i="5"/>
  <c r="D2355" i="5"/>
  <c r="G2361" i="5"/>
  <c r="D2361" i="5"/>
  <c r="G2369" i="5"/>
  <c r="D2369" i="5"/>
  <c r="G2376" i="5"/>
  <c r="D2376" i="5"/>
  <c r="G2382" i="5"/>
  <c r="D2382" i="5"/>
  <c r="D2389" i="5"/>
  <c r="G2395" i="5"/>
  <c r="D2395" i="5"/>
  <c r="G2399" i="5"/>
  <c r="D2399" i="5"/>
  <c r="G2403" i="5"/>
  <c r="D2403" i="5"/>
  <c r="G2407" i="5"/>
  <c r="D2407" i="5"/>
  <c r="G2411" i="5"/>
  <c r="D2411" i="5"/>
  <c r="G2415" i="5"/>
  <c r="D2415" i="5"/>
  <c r="G2419" i="5"/>
  <c r="D2419" i="5"/>
  <c r="G2423" i="5"/>
  <c r="D2423" i="5"/>
  <c r="G2427" i="5"/>
  <c r="D2427" i="5"/>
  <c r="G2431" i="5"/>
  <c r="D2431" i="5"/>
  <c r="G2435" i="5"/>
  <c r="D2435" i="5"/>
  <c r="G2439" i="5"/>
  <c r="D2439" i="5"/>
  <c r="G2443" i="5"/>
  <c r="D2443" i="5"/>
  <c r="G2447" i="5"/>
  <c r="D2447" i="5"/>
  <c r="D2451" i="5"/>
  <c r="G2455" i="5"/>
  <c r="D2455" i="5"/>
  <c r="G2459" i="5"/>
  <c r="D2459" i="5"/>
  <c r="G2463" i="5"/>
  <c r="D2463" i="5"/>
  <c r="G2467" i="5"/>
  <c r="D2467" i="5"/>
  <c r="G2471" i="5"/>
  <c r="D2471" i="5"/>
  <c r="D2475" i="5"/>
  <c r="D2479" i="5"/>
  <c r="D2483" i="5"/>
  <c r="D2487" i="5"/>
  <c r="D2491" i="5"/>
  <c r="G2495" i="5"/>
  <c r="D2495" i="5"/>
  <c r="D2499" i="5"/>
  <c r="D2503" i="5"/>
  <c r="D2507" i="5"/>
  <c r="D2511" i="5"/>
  <c r="D2515" i="5"/>
  <c r="D2519" i="5"/>
  <c r="D2523" i="5"/>
  <c r="D2527" i="5"/>
  <c r="D2531" i="5"/>
  <c r="G2535" i="5"/>
  <c r="D2535" i="5"/>
  <c r="G2539" i="5"/>
  <c r="D2539" i="5"/>
  <c r="G2543" i="5"/>
  <c r="D2543" i="5"/>
  <c r="D2547" i="5"/>
  <c r="D2551" i="5"/>
  <c r="D2555" i="5"/>
  <c r="D2559" i="5"/>
  <c r="D2563" i="5"/>
  <c r="D2567" i="5"/>
  <c r="D2571" i="5"/>
  <c r="D2579" i="5"/>
  <c r="D2587" i="5"/>
  <c r="G2595" i="5"/>
  <c r="D2595" i="5"/>
  <c r="G2599" i="5"/>
  <c r="D2599" i="5"/>
  <c r="G2603" i="5"/>
  <c r="D2603" i="5"/>
  <c r="D2607" i="5"/>
  <c r="D2611" i="5"/>
  <c r="D2615" i="5"/>
  <c r="D2619" i="5"/>
  <c r="D2623" i="5"/>
  <c r="D2627" i="5"/>
  <c r="G2631" i="5"/>
  <c r="D2631" i="5"/>
  <c r="G2635" i="5"/>
  <c r="D2635" i="5"/>
  <c r="D2639" i="5"/>
  <c r="G2643" i="5"/>
  <c r="D2643" i="5"/>
  <c r="G2647" i="5"/>
  <c r="D2647" i="5"/>
  <c r="G2651" i="5"/>
  <c r="D2651" i="5"/>
  <c r="D2655" i="5"/>
  <c r="D2661" i="5"/>
  <c r="D2667" i="5"/>
  <c r="D2673" i="5"/>
  <c r="D2679" i="5"/>
  <c r="D2685" i="5"/>
  <c r="D2691" i="5"/>
  <c r="D2697" i="5"/>
  <c r="D2703" i="5"/>
  <c r="D2709" i="5"/>
  <c r="G2715" i="5"/>
  <c r="D2715" i="5"/>
  <c r="G2719" i="5"/>
  <c r="D2719" i="5"/>
  <c r="G2723" i="5"/>
  <c r="D2723" i="5"/>
  <c r="G2727" i="5"/>
  <c r="D2727" i="5"/>
  <c r="G2731" i="5"/>
  <c r="D2731" i="5"/>
  <c r="G2735" i="5"/>
  <c r="D2735" i="5"/>
  <c r="G2739" i="5"/>
  <c r="D2739" i="5"/>
  <c r="G2743" i="5"/>
  <c r="D2743" i="5"/>
  <c r="G2747" i="5"/>
  <c r="D2747" i="5"/>
  <c r="G2751" i="5"/>
  <c r="D2751" i="5"/>
  <c r="G2755" i="5"/>
  <c r="D2755" i="5"/>
  <c r="G2759" i="5"/>
  <c r="D2759" i="5"/>
  <c r="G2763" i="5"/>
  <c r="D2763" i="5"/>
  <c r="G2767" i="5"/>
  <c r="D2767" i="5"/>
  <c r="D2771" i="5"/>
  <c r="G2776" i="5"/>
  <c r="D2776" i="5"/>
  <c r="D2786" i="5"/>
  <c r="D2792" i="5"/>
  <c r="D2797" i="5"/>
  <c r="G2802" i="5"/>
  <c r="D2802" i="5"/>
  <c r="D2812" i="5"/>
  <c r="D2817" i="5"/>
  <c r="D2822" i="5"/>
  <c r="D2827" i="5"/>
  <c r="D2834" i="5"/>
  <c r="D2839" i="5"/>
  <c r="D2844" i="5"/>
  <c r="D2849" i="5"/>
  <c r="D2854" i="5"/>
  <c r="D2859" i="5"/>
  <c r="D2864" i="5"/>
  <c r="D2869" i="5"/>
  <c r="G2874" i="5"/>
  <c r="D2874" i="5"/>
  <c r="D2881" i="5"/>
  <c r="D2886" i="5"/>
  <c r="D2891" i="5"/>
  <c r="D2896" i="5"/>
  <c r="D2904" i="5"/>
  <c r="D2912" i="5"/>
  <c r="D2920" i="5"/>
  <c r="D2928" i="5"/>
  <c r="D2936" i="5"/>
  <c r="D2941" i="5"/>
  <c r="D2946" i="5"/>
  <c r="D2951" i="5"/>
  <c r="D2956" i="5"/>
  <c r="D2961" i="5"/>
  <c r="D2966" i="5"/>
  <c r="D2971" i="5"/>
  <c r="D2976" i="5"/>
  <c r="D2981" i="5"/>
  <c r="G2986" i="5"/>
  <c r="D2986" i="5"/>
  <c r="D2996" i="5"/>
  <c r="D3001" i="5"/>
  <c r="D3006" i="5"/>
  <c r="D3011" i="5"/>
  <c r="D3016" i="5"/>
  <c r="D3021" i="5"/>
  <c r="D3026" i="5"/>
  <c r="D3031" i="5"/>
  <c r="D3036" i="5"/>
  <c r="D3041" i="5"/>
  <c r="D3049" i="5"/>
  <c r="D3054" i="5"/>
  <c r="D3062" i="5"/>
  <c r="G3066" i="5"/>
  <c r="D3066" i="5"/>
  <c r="D3074" i="5"/>
  <c r="G3079" i="5"/>
  <c r="D3079" i="5"/>
  <c r="D3087" i="5"/>
  <c r="D3092" i="5"/>
  <c r="D3097" i="5"/>
  <c r="D3102" i="5"/>
  <c r="D3107" i="5"/>
  <c r="D3112" i="5"/>
  <c r="D3117" i="5"/>
  <c r="D3122" i="5"/>
  <c r="D3127" i="5"/>
  <c r="G3132" i="5"/>
  <c r="D3132" i="5"/>
  <c r="D3138" i="5"/>
  <c r="D3144" i="5"/>
  <c r="D3150" i="5"/>
  <c r="D3156" i="5"/>
  <c r="D3161" i="5"/>
  <c r="D3167" i="5"/>
  <c r="G3172" i="5"/>
  <c r="D3172" i="5"/>
  <c r="G3181" i="5"/>
  <c r="D3181" i="5"/>
  <c r="G3189" i="5"/>
  <c r="D3189" i="5"/>
  <c r="D3197" i="5"/>
  <c r="G3202" i="5"/>
  <c r="D3202" i="5"/>
  <c r="G3206" i="5"/>
  <c r="D3206" i="5"/>
  <c r="G3213" i="5"/>
  <c r="D3213" i="5"/>
  <c r="G3226" i="5"/>
  <c r="D3226" i="5"/>
  <c r="G3232" i="5"/>
  <c r="D3232" i="5"/>
  <c r="G3238" i="5"/>
  <c r="D3238" i="5"/>
  <c r="G3244" i="5"/>
  <c r="D3244" i="5"/>
  <c r="D3254" i="5"/>
  <c r="G3259" i="5"/>
  <c r="D3259" i="5"/>
  <c r="G3266" i="5"/>
  <c r="D3266" i="5"/>
  <c r="G3273" i="5"/>
  <c r="D3273" i="5"/>
  <c r="G3280" i="5"/>
  <c r="D3280" i="5"/>
  <c r="G3287" i="5"/>
  <c r="D3287" i="5"/>
  <c r="G3294" i="5"/>
  <c r="D3294" i="5"/>
  <c r="G3301" i="5"/>
  <c r="D3301" i="5"/>
  <c r="G3308" i="5"/>
  <c r="D3308" i="5"/>
  <c r="G3315" i="5"/>
  <c r="D3315" i="5"/>
  <c r="G3322" i="5"/>
  <c r="D3322" i="5"/>
  <c r="G3329" i="5"/>
  <c r="D3329" i="5"/>
  <c r="G3335" i="5"/>
  <c r="D3335" i="5"/>
  <c r="G3341" i="5"/>
  <c r="D3341" i="5"/>
  <c r="D3350" i="5"/>
  <c r="G3355" i="5"/>
  <c r="D3355" i="5"/>
  <c r="G3362" i="5"/>
  <c r="D3362" i="5"/>
  <c r="G3369" i="5"/>
  <c r="D3369" i="5"/>
  <c r="G3376" i="5"/>
  <c r="D3376" i="5"/>
  <c r="G3380" i="5"/>
  <c r="D3380" i="5"/>
  <c r="G3384" i="5"/>
  <c r="D3384" i="5"/>
  <c r="D3389" i="5"/>
  <c r="D3393" i="5"/>
  <c r="G3397" i="5"/>
  <c r="D3397" i="5"/>
  <c r="G3404" i="5"/>
  <c r="D3404" i="5"/>
  <c r="G3411" i="5"/>
  <c r="D3411" i="5"/>
  <c r="D3418" i="5"/>
  <c r="D3423" i="5"/>
  <c r="D3428" i="5"/>
  <c r="D3433" i="5"/>
  <c r="D3437" i="5"/>
  <c r="D3441" i="5"/>
  <c r="D3451" i="5"/>
  <c r="D3462" i="5"/>
  <c r="D3473" i="5"/>
  <c r="D3481" i="5"/>
  <c r="E3492" i="5"/>
  <c r="D3498" i="5"/>
  <c r="D3506" i="5"/>
  <c r="E3517" i="5"/>
  <c r="D3523" i="5"/>
  <c r="D3533" i="5"/>
  <c r="D3542" i="5"/>
  <c r="D3549" i="5"/>
  <c r="E3559" i="5"/>
  <c r="D3565" i="5"/>
  <c r="D3571" i="5"/>
  <c r="G3577" i="5"/>
  <c r="D3577" i="5"/>
  <c r="D3585" i="5"/>
  <c r="D3592" i="5"/>
  <c r="D3597" i="5"/>
  <c r="D3605" i="5"/>
  <c r="G3611" i="5"/>
  <c r="D3611" i="5"/>
  <c r="G3618" i="5"/>
  <c r="D3618" i="5"/>
  <c r="G3624" i="5"/>
  <c r="D3624" i="5"/>
  <c r="D3634" i="5"/>
  <c r="G3639" i="5"/>
  <c r="D3639" i="5"/>
  <c r="D3644" i="5"/>
  <c r="D3652" i="5"/>
  <c r="G3656" i="5"/>
  <c r="D3656" i="5"/>
  <c r="G3662" i="5"/>
  <c r="D3662" i="5"/>
  <c r="G3677" i="5"/>
  <c r="D3677" i="5"/>
  <c r="G3685" i="5"/>
  <c r="D3685" i="5"/>
  <c r="D3697" i="5"/>
  <c r="D3710" i="5"/>
  <c r="G3721" i="5"/>
  <c r="D3721" i="5"/>
  <c r="G3725" i="5"/>
  <c r="D3725" i="5"/>
  <c r="D3735" i="5"/>
  <c r="D3740" i="5"/>
  <c r="E3742" i="5"/>
  <c r="G3749" i="5"/>
  <c r="D3749" i="5"/>
  <c r="G3756" i="5"/>
  <c r="D3756" i="5"/>
  <c r="G3760" i="5"/>
  <c r="D3760" i="5"/>
  <c r="G3764" i="5"/>
  <c r="D3764" i="5"/>
  <c r="D3768" i="5"/>
  <c r="D3774" i="5"/>
  <c r="D3780" i="5"/>
  <c r="D3786" i="5"/>
  <c r="D3792" i="5"/>
  <c r="D3798" i="5"/>
  <c r="D3804" i="5"/>
  <c r="D3810" i="5"/>
  <c r="D3816" i="5"/>
  <c r="D3822" i="5"/>
  <c r="D3828" i="5"/>
  <c r="E3831" i="5"/>
  <c r="D3833" i="5"/>
  <c r="G3844" i="5"/>
  <c r="D3844" i="5"/>
  <c r="E3848" i="5"/>
  <c r="G3854" i="5"/>
  <c r="D3854" i="5"/>
  <c r="G3863" i="5"/>
  <c r="D3863" i="5"/>
  <c r="D3871" i="5"/>
  <c r="G3883" i="5"/>
  <c r="D3883" i="5"/>
  <c r="G3898" i="5"/>
  <c r="D3898" i="5"/>
  <c r="G3905" i="5"/>
  <c r="D3905" i="5"/>
  <c r="G3923" i="5"/>
  <c r="D3923" i="5"/>
  <c r="G3929" i="5"/>
  <c r="D3929" i="5"/>
  <c r="D3935" i="5"/>
  <c r="G3941" i="5"/>
  <c r="D3941" i="5"/>
  <c r="E3943" i="5"/>
  <c r="G3948" i="5"/>
  <c r="D3948" i="5"/>
  <c r="G3965" i="5"/>
  <c r="D3965" i="5"/>
  <c r="G3975" i="5"/>
  <c r="D3975" i="5"/>
  <c r="G3982" i="5"/>
  <c r="D3982" i="5"/>
  <c r="G3990" i="5"/>
  <c r="D3990" i="5"/>
  <c r="G4003" i="5"/>
  <c r="D4003" i="5"/>
  <c r="D4016" i="5"/>
  <c r="G4021" i="5"/>
  <c r="D4021" i="5"/>
  <c r="G4025" i="5"/>
  <c r="D4025" i="5"/>
  <c r="G4029" i="5"/>
  <c r="D4029" i="5"/>
  <c r="G4038" i="5"/>
  <c r="D4038" i="5"/>
  <c r="G4047" i="5"/>
  <c r="D4047" i="5"/>
  <c r="G4056" i="5"/>
  <c r="D4056" i="5"/>
  <c r="G4065" i="5"/>
  <c r="D4065" i="5"/>
  <c r="G4074" i="5"/>
  <c r="D4074" i="5"/>
  <c r="G4083" i="5"/>
  <c r="D4083" i="5"/>
  <c r="G4089" i="5"/>
  <c r="D4089" i="5"/>
  <c r="G4095" i="5"/>
  <c r="D4095" i="5"/>
  <c r="D4102" i="5"/>
  <c r="D4108" i="5"/>
  <c r="D4112" i="5"/>
  <c r="G4119" i="5"/>
  <c r="D4119" i="5"/>
  <c r="G4127" i="5"/>
  <c r="D4127" i="5"/>
  <c r="G4135" i="5"/>
  <c r="D4135" i="5"/>
  <c r="G4143" i="5"/>
  <c r="D4143" i="5"/>
  <c r="D4147" i="5"/>
  <c r="D4155" i="5"/>
  <c r="D4166" i="5"/>
  <c r="D4177" i="5"/>
  <c r="G4181" i="5"/>
  <c r="D4181" i="5"/>
  <c r="G4188" i="5"/>
  <c r="D4188" i="5"/>
  <c r="D4195" i="5"/>
  <c r="D4201" i="5"/>
  <c r="D4207" i="5"/>
  <c r="G4213" i="5"/>
  <c r="D4213" i="5"/>
  <c r="G4223" i="5"/>
  <c r="D4223" i="5"/>
  <c r="G4229" i="5"/>
  <c r="D4229" i="5"/>
  <c r="G4237" i="5"/>
  <c r="D4237" i="5"/>
  <c r="G4245" i="5"/>
  <c r="D4245" i="5"/>
  <c r="D4254" i="5"/>
  <c r="D4261" i="5"/>
  <c r="G4266" i="5"/>
  <c r="D4266" i="5"/>
  <c r="D4274" i="5"/>
  <c r="G4283" i="5"/>
  <c r="D4283" i="5"/>
  <c r="D4299" i="5"/>
  <c r="D4326" i="5"/>
  <c r="G4344" i="5"/>
  <c r="D4344" i="5"/>
  <c r="G4353" i="5"/>
  <c r="D4353" i="5"/>
  <c r="G4362" i="5"/>
  <c r="D4362" i="5"/>
  <c r="G4371" i="5"/>
  <c r="D4371" i="5"/>
  <c r="D4380" i="5"/>
  <c r="D4390" i="5"/>
  <c r="D4398" i="5"/>
  <c r="G4406" i="5"/>
  <c r="D4406" i="5"/>
  <c r="G4416" i="5"/>
  <c r="D4416" i="5"/>
  <c r="G4426" i="5"/>
  <c r="D4426" i="5"/>
  <c r="D4436" i="5"/>
  <c r="D4444" i="5"/>
  <c r="D4456" i="5"/>
  <c r="D4468" i="5"/>
  <c r="G4474" i="5"/>
  <c r="D4474" i="5"/>
  <c r="D4494" i="5"/>
  <c r="G4502" i="5"/>
  <c r="D4502" i="5"/>
  <c r="G4510" i="5"/>
  <c r="D4510" i="5"/>
  <c r="D4516" i="5"/>
  <c r="D4521" i="5"/>
  <c r="G4526" i="5"/>
  <c r="D4526" i="5"/>
  <c r="G4534" i="5"/>
  <c r="D4534" i="5"/>
  <c r="G4542" i="5"/>
  <c r="D4542" i="5"/>
  <c r="D4547" i="5"/>
  <c r="G4553" i="5"/>
  <c r="D4553" i="5"/>
  <c r="G4565" i="5"/>
  <c r="D4565" i="5"/>
  <c r="D4577" i="5"/>
  <c r="G4596" i="5"/>
  <c r="D4596" i="5"/>
  <c r="G4604" i="5"/>
  <c r="D4604" i="5"/>
  <c r="D4613" i="5"/>
  <c r="E4617" i="5"/>
  <c r="D4621" i="5"/>
  <c r="D4627" i="5"/>
  <c r="G4639" i="5"/>
  <c r="D4639" i="5"/>
  <c r="G4647" i="5"/>
  <c r="D4647" i="5"/>
  <c r="G4653" i="5"/>
  <c r="D4653" i="5"/>
  <c r="G4661" i="5"/>
  <c r="D4661" i="5"/>
  <c r="D4669" i="5"/>
  <c r="G4679" i="5"/>
  <c r="D4679" i="5"/>
  <c r="D4685" i="5"/>
  <c r="G4693" i="5"/>
  <c r="D4693" i="5"/>
  <c r="G4702" i="5"/>
  <c r="D4702" i="5"/>
  <c r="D4714" i="5"/>
  <c r="D4718" i="5"/>
  <c r="D4724" i="5"/>
  <c r="D4732" i="5"/>
  <c r="D4736" i="5"/>
  <c r="G4740" i="5"/>
  <c r="D4740" i="5"/>
  <c r="G4744" i="5"/>
  <c r="D4744" i="5"/>
  <c r="G4748" i="5"/>
  <c r="D4748" i="5"/>
  <c r="G4752" i="5"/>
  <c r="D4752" i="5"/>
  <c r="G4756" i="5"/>
  <c r="D4756" i="5"/>
  <c r="G4760" i="5"/>
  <c r="D4760" i="5"/>
  <c r="G4764" i="5"/>
  <c r="D4764" i="5"/>
  <c r="D4768" i="5"/>
  <c r="E4777" i="5"/>
  <c r="D4779" i="5"/>
  <c r="G4784" i="5"/>
  <c r="D4784" i="5"/>
  <c r="G4794" i="5"/>
  <c r="D4794" i="5"/>
  <c r="D4804" i="5"/>
  <c r="D4809" i="5"/>
  <c r="D4814" i="5"/>
  <c r="D4819" i="5"/>
  <c r="D4827" i="5"/>
  <c r="D4835" i="5"/>
  <c r="D4843" i="5"/>
  <c r="D4851" i="5"/>
  <c r="D4859" i="5"/>
  <c r="D4867" i="5"/>
  <c r="D4875" i="5"/>
  <c r="G4883" i="5"/>
  <c r="D4883" i="5"/>
  <c r="G4893" i="5"/>
  <c r="D4893" i="5"/>
  <c r="G4902" i="5"/>
  <c r="D4902" i="5"/>
  <c r="G4909" i="5"/>
  <c r="D4909" i="5"/>
  <c r="G4916" i="5"/>
  <c r="D4916" i="5"/>
  <c r="G4923" i="5"/>
  <c r="D4923" i="5"/>
  <c r="G4930" i="5"/>
  <c r="D4930" i="5"/>
  <c r="D4937" i="5"/>
  <c r="G4942" i="5"/>
  <c r="D4942" i="5"/>
  <c r="G4949" i="5"/>
  <c r="D4949" i="5"/>
  <c r="G4956" i="5"/>
  <c r="D4956" i="5"/>
  <c r="G4963" i="5"/>
  <c r="D4963" i="5"/>
  <c r="D4970" i="5"/>
  <c r="G4975" i="5"/>
  <c r="D4975" i="5"/>
  <c r="G4981" i="5"/>
  <c r="D4981" i="5"/>
  <c r="G4987" i="5"/>
  <c r="D4987" i="5"/>
  <c r="G4993" i="5"/>
  <c r="D4993" i="5"/>
  <c r="D4999" i="5"/>
  <c r="D5006" i="5"/>
  <c r="G5011" i="5"/>
  <c r="D5011" i="5"/>
  <c r="G5019" i="5"/>
  <c r="D5019" i="5"/>
  <c r="D5025" i="5"/>
  <c r="G5029" i="5"/>
  <c r="D5029" i="5"/>
  <c r="G5035" i="5"/>
  <c r="D5035" i="5"/>
  <c r="G5041" i="5"/>
  <c r="D5041" i="5"/>
  <c r="D5049" i="5"/>
  <c r="G5056" i="5"/>
  <c r="D5056" i="5"/>
  <c r="D5063" i="5"/>
  <c r="G5071" i="5"/>
  <c r="D5071" i="5"/>
  <c r="G5077" i="5"/>
  <c r="D5077" i="5"/>
  <c r="G5083" i="5"/>
  <c r="D5083" i="5"/>
  <c r="G5089" i="5"/>
  <c r="D5089" i="5"/>
  <c r="G5095" i="5"/>
  <c r="D5095" i="5"/>
  <c r="G5102" i="5"/>
  <c r="D5102" i="5"/>
  <c r="G5109" i="5"/>
  <c r="D5109" i="5"/>
  <c r="G5120" i="5"/>
  <c r="D5120" i="5"/>
  <c r="G5126" i="5"/>
  <c r="D5126" i="5"/>
  <c r="G5134" i="5"/>
  <c r="D5134" i="5"/>
  <c r="G5142" i="5"/>
  <c r="D5142" i="5"/>
  <c r="G5150" i="5"/>
  <c r="D5150" i="5"/>
  <c r="G5158" i="5"/>
  <c r="D5158" i="5"/>
  <c r="G5164" i="5"/>
  <c r="D5164" i="5"/>
  <c r="G5172" i="5"/>
  <c r="D5172" i="5"/>
  <c r="G5178" i="5"/>
  <c r="D5178" i="5"/>
  <c r="G5186" i="5"/>
  <c r="D5186" i="5"/>
  <c r="G5194" i="5"/>
  <c r="D5194" i="5"/>
  <c r="G5202" i="5"/>
  <c r="D5202" i="5"/>
  <c r="G5217" i="5"/>
  <c r="D5217" i="5"/>
  <c r="G5232" i="5"/>
  <c r="D5232" i="5"/>
  <c r="G5239" i="5"/>
  <c r="D5239" i="5"/>
  <c r="G5246" i="5"/>
  <c r="D5246" i="5"/>
  <c r="G5252" i="5"/>
  <c r="D5252" i="5"/>
  <c r="G5258" i="5"/>
  <c r="D5258" i="5"/>
  <c r="G5265" i="5"/>
  <c r="D5265" i="5"/>
  <c r="D5277" i="5"/>
  <c r="G5285" i="5"/>
  <c r="D5285" i="5"/>
  <c r="G5291" i="5"/>
  <c r="D5291" i="5"/>
  <c r="G5298" i="5"/>
  <c r="D5298" i="5"/>
  <c r="G5304" i="5"/>
  <c r="D5304" i="5"/>
  <c r="G5310" i="5"/>
  <c r="D5310" i="5"/>
  <c r="G5316" i="5"/>
  <c r="D5316" i="5"/>
  <c r="G5322" i="5"/>
  <c r="D5322" i="5"/>
  <c r="G5328" i="5"/>
  <c r="D5328" i="5"/>
  <c r="G5334" i="5"/>
  <c r="D5334" i="5"/>
  <c r="G5340" i="5"/>
  <c r="D5340" i="5"/>
  <c r="G5347" i="5"/>
  <c r="D5347" i="5"/>
  <c r="G5354" i="5"/>
  <c r="D5354" i="5"/>
  <c r="D5361" i="5"/>
  <c r="G5367" i="5"/>
  <c r="D5367" i="5"/>
  <c r="D5373" i="5"/>
  <c r="D5380" i="5"/>
  <c r="D5386" i="5"/>
  <c r="G5392" i="5"/>
  <c r="D5392" i="5"/>
  <c r="G5400" i="5"/>
  <c r="D5400" i="5"/>
  <c r="G5408" i="5"/>
  <c r="D5408" i="5"/>
  <c r="G5416" i="5"/>
  <c r="D5416" i="5"/>
  <c r="G5423" i="5"/>
  <c r="D5423" i="5"/>
  <c r="G5433" i="5"/>
  <c r="D5433" i="5"/>
  <c r="D5445" i="5"/>
  <c r="D5451" i="5"/>
  <c r="G5457" i="5"/>
  <c r="D5457" i="5"/>
  <c r="G5464" i="5"/>
  <c r="D5464" i="5"/>
  <c r="G5470" i="5"/>
  <c r="D5470" i="5"/>
  <c r="D5476" i="5"/>
  <c r="G5482" i="5"/>
  <c r="D5482" i="5"/>
  <c r="G5486" i="5"/>
  <c r="D5486" i="5"/>
  <c r="D5493" i="5"/>
  <c r="G5497" i="5"/>
  <c r="D5497" i="5"/>
  <c r="G5503" i="5"/>
  <c r="D5503" i="5"/>
  <c r="G5509" i="5"/>
  <c r="D5509" i="5"/>
  <c r="G5515" i="5"/>
  <c r="D5515" i="5"/>
  <c r="G5521" i="5"/>
  <c r="D5521" i="5"/>
  <c r="G5527" i="5"/>
  <c r="D5527" i="5"/>
  <c r="G5533" i="5"/>
  <c r="D5533" i="5"/>
  <c r="G5539" i="5"/>
  <c r="D5539" i="5"/>
  <c r="G5545" i="5"/>
  <c r="D5545" i="5"/>
  <c r="G5551" i="5"/>
  <c r="D5551" i="5"/>
  <c r="G5557" i="5"/>
  <c r="D5557" i="5"/>
  <c r="G5563" i="5"/>
  <c r="D5563" i="5"/>
  <c r="G5569" i="5"/>
  <c r="D5569" i="5"/>
  <c r="G5575" i="5"/>
  <c r="D5575" i="5"/>
  <c r="G5581" i="5"/>
  <c r="D5581" i="5"/>
  <c r="G5587" i="5"/>
  <c r="D5587" i="5"/>
  <c r="G5593" i="5"/>
  <c r="D5593" i="5"/>
  <c r="G5599" i="5"/>
  <c r="D5599" i="5"/>
  <c r="G5605" i="5"/>
  <c r="D5605" i="5"/>
  <c r="G5611" i="5"/>
  <c r="D5611" i="5"/>
  <c r="G5617" i="5"/>
  <c r="D5617" i="5"/>
  <c r="G5621" i="5"/>
  <c r="D5621" i="5"/>
  <c r="G5625" i="5"/>
  <c r="D5625" i="5"/>
  <c r="G5629" i="5"/>
  <c r="D5629" i="5"/>
  <c r="G5633" i="5"/>
  <c r="D5633" i="5"/>
  <c r="G5637" i="5"/>
  <c r="D5637" i="5"/>
  <c r="G5641" i="5"/>
  <c r="D5641" i="5"/>
  <c r="G5645" i="5"/>
  <c r="D5645" i="5"/>
  <c r="G5649" i="5"/>
  <c r="D5649" i="5"/>
  <c r="G5653" i="5"/>
  <c r="D5653" i="5"/>
  <c r="G5657" i="5"/>
  <c r="D5657" i="5"/>
  <c r="G5661" i="5"/>
  <c r="D5661" i="5"/>
  <c r="G5665" i="5"/>
  <c r="D5665" i="5"/>
  <c r="G5669" i="5"/>
  <c r="D5669" i="5"/>
  <c r="G5673" i="5"/>
  <c r="D5673" i="5"/>
  <c r="G5677" i="5"/>
  <c r="D5677" i="5"/>
  <c r="G5681" i="5"/>
  <c r="D5681" i="5"/>
  <c r="G5685" i="5"/>
  <c r="D5685" i="5"/>
  <c r="G5689" i="5"/>
  <c r="D5689" i="5"/>
  <c r="G5693" i="5"/>
  <c r="D5693" i="5"/>
  <c r="G5697" i="5"/>
  <c r="D5697" i="5"/>
  <c r="G5701" i="5"/>
  <c r="D5701" i="5"/>
  <c r="G5705" i="5"/>
  <c r="D5705" i="5"/>
  <c r="G5709" i="5"/>
  <c r="D5709" i="5"/>
  <c r="G5713" i="5"/>
  <c r="D5713" i="5"/>
  <c r="D5717" i="5"/>
  <c r="D5721" i="5"/>
  <c r="D5725" i="5"/>
  <c r="D5729" i="5"/>
  <c r="D5733" i="5"/>
  <c r="D5737" i="5"/>
  <c r="D5741" i="5"/>
  <c r="D5745" i="5"/>
  <c r="G5749" i="5"/>
  <c r="D5749" i="5"/>
  <c r="G5753" i="5"/>
  <c r="D5753" i="5"/>
  <c r="D5757" i="5"/>
  <c r="G5761" i="5"/>
  <c r="D5761" i="5"/>
  <c r="G5765" i="5"/>
  <c r="D5765" i="5"/>
  <c r="G5769" i="5"/>
  <c r="D5769" i="5"/>
  <c r="G5773" i="5"/>
  <c r="D5773" i="5"/>
  <c r="G5777" i="5"/>
  <c r="D5777" i="5"/>
  <c r="G5781" i="5"/>
  <c r="D5781" i="5"/>
  <c r="G5785" i="5"/>
  <c r="D5785" i="5"/>
  <c r="G5789" i="5"/>
  <c r="D5789" i="5"/>
  <c r="G5793" i="5"/>
  <c r="D5793" i="5"/>
  <c r="G5797" i="5"/>
  <c r="D5797" i="5"/>
  <c r="G5801" i="5"/>
  <c r="D5801" i="5"/>
  <c r="G5805" i="5"/>
  <c r="D5805" i="5"/>
  <c r="G5809" i="5"/>
  <c r="D5809" i="5"/>
  <c r="G5813" i="5"/>
  <c r="D5813" i="5"/>
  <c r="G5817" i="5"/>
  <c r="D5817" i="5"/>
  <c r="G5821" i="5"/>
  <c r="D5821" i="5"/>
  <c r="G5825" i="5"/>
  <c r="D5825" i="5"/>
  <c r="G5829" i="5"/>
  <c r="D5829" i="5"/>
  <c r="G5833" i="5"/>
  <c r="D5833" i="5"/>
  <c r="G5837" i="5"/>
  <c r="D5837" i="5"/>
  <c r="G5841" i="5"/>
  <c r="D5841" i="5"/>
  <c r="G5845" i="5"/>
  <c r="D5845" i="5"/>
  <c r="G5849" i="5"/>
  <c r="D5849" i="5"/>
  <c r="G5853" i="5"/>
  <c r="D5853" i="5"/>
  <c r="G5857" i="5"/>
  <c r="D5857" i="5"/>
  <c r="G5861" i="5"/>
  <c r="D5861" i="5"/>
  <c r="G5865" i="5"/>
  <c r="D5865" i="5"/>
  <c r="G5869" i="5"/>
  <c r="D5869" i="5"/>
  <c r="G5873" i="5"/>
  <c r="D5873" i="5"/>
  <c r="G5877" i="5"/>
  <c r="D5877" i="5"/>
  <c r="G5881" i="5"/>
  <c r="D5881" i="5"/>
  <c r="G5885" i="5"/>
  <c r="D5885" i="5"/>
  <c r="G5889" i="5"/>
  <c r="D5889" i="5"/>
  <c r="G5893" i="5"/>
  <c r="D5893" i="5"/>
  <c r="G5897" i="5"/>
  <c r="D5897" i="5"/>
  <c r="G5901" i="5"/>
  <c r="D5901" i="5"/>
  <c r="G5905" i="5"/>
  <c r="D5905" i="5"/>
  <c r="G5909" i="5"/>
  <c r="D5909" i="5"/>
  <c r="G5913" i="5"/>
  <c r="D5913" i="5"/>
  <c r="G5917" i="5"/>
  <c r="D5917" i="5"/>
  <c r="D5921" i="5"/>
  <c r="G5925" i="5"/>
  <c r="D5925" i="5"/>
  <c r="G5929" i="5"/>
  <c r="D5929" i="5"/>
  <c r="G5933" i="5"/>
  <c r="D5933" i="5"/>
  <c r="G5937" i="5"/>
  <c r="D5937" i="5"/>
  <c r="G5941" i="5"/>
  <c r="D5941" i="5"/>
  <c r="G5945" i="5"/>
  <c r="D5945" i="5"/>
  <c r="G5949" i="5"/>
  <c r="D5949" i="5"/>
  <c r="G5953" i="5"/>
  <c r="D5953" i="5"/>
  <c r="G5957" i="5"/>
  <c r="D5957" i="5"/>
  <c r="G5961" i="5"/>
  <c r="D5961" i="5"/>
  <c r="G5965" i="5"/>
  <c r="D5965" i="5"/>
  <c r="G5969" i="5"/>
  <c r="D5969" i="5"/>
  <c r="G5973" i="5"/>
  <c r="D5973" i="5"/>
  <c r="G5977" i="5"/>
  <c r="D5977" i="5"/>
  <c r="G5981" i="5"/>
  <c r="D5981" i="5"/>
  <c r="G5985" i="5"/>
  <c r="D5985" i="5"/>
  <c r="G5989" i="5"/>
  <c r="D5989" i="5"/>
  <c r="G5993" i="5"/>
  <c r="D5993" i="5"/>
  <c r="G5997" i="5"/>
  <c r="D5997" i="5"/>
  <c r="G6001" i="5"/>
  <c r="D6001" i="5"/>
  <c r="D6005" i="5"/>
  <c r="D6009" i="5"/>
  <c r="D6013" i="5"/>
  <c r="D6017" i="5"/>
  <c r="D6021" i="5"/>
  <c r="D6025" i="5"/>
  <c r="D6029" i="5"/>
  <c r="D6033" i="5"/>
  <c r="G6037" i="5"/>
  <c r="D6037" i="5"/>
  <c r="G6041" i="5"/>
  <c r="D6041" i="5"/>
  <c r="G6045" i="5"/>
  <c r="D6045" i="5"/>
  <c r="G6049" i="5"/>
  <c r="D6049" i="5"/>
  <c r="G6053" i="5"/>
  <c r="D6053" i="5"/>
  <c r="G6057" i="5"/>
  <c r="D6057" i="5"/>
  <c r="G6061" i="5"/>
  <c r="D6061" i="5"/>
  <c r="G6065" i="5"/>
  <c r="D6065" i="5"/>
  <c r="G6069" i="5"/>
  <c r="D6069" i="5"/>
  <c r="D6073" i="5"/>
  <c r="G6077" i="5"/>
  <c r="D6077" i="5"/>
  <c r="D6081" i="5"/>
  <c r="G6085" i="5"/>
  <c r="D6085" i="5"/>
  <c r="G6089" i="5"/>
  <c r="D6089" i="5"/>
  <c r="G6093" i="5"/>
  <c r="D6093" i="5"/>
  <c r="G6097" i="5"/>
  <c r="D6097" i="5"/>
  <c r="G6101" i="5"/>
  <c r="D6101" i="5"/>
  <c r="G6105" i="5"/>
  <c r="D6105" i="5"/>
  <c r="G6109" i="5"/>
  <c r="D6109" i="5"/>
  <c r="G6113" i="5"/>
  <c r="D6113" i="5"/>
  <c r="G6117" i="5"/>
  <c r="D6117" i="5"/>
  <c r="G6121" i="5"/>
  <c r="D6121" i="5"/>
  <c r="G6125" i="5"/>
  <c r="D6125" i="5"/>
  <c r="G6129" i="5"/>
  <c r="D6129" i="5"/>
  <c r="D6133" i="5"/>
  <c r="D6137" i="5"/>
  <c r="G6145" i="5"/>
  <c r="D6145" i="5"/>
  <c r="G6149" i="5"/>
  <c r="D6149" i="5"/>
  <c r="G6153" i="5"/>
  <c r="D6153" i="5"/>
  <c r="D6157" i="5"/>
  <c r="E6166" i="5"/>
  <c r="D6168" i="5"/>
  <c r="E6177" i="5"/>
  <c r="D6179" i="5"/>
  <c r="D6186" i="5"/>
  <c r="D6191" i="5"/>
  <c r="G6196" i="5"/>
  <c r="D6196" i="5"/>
  <c r="E6200" i="5"/>
  <c r="G6204" i="5"/>
  <c r="D6204" i="5"/>
  <c r="G6212" i="5"/>
  <c r="D6212" i="5"/>
  <c r="G6221" i="5"/>
  <c r="D6221" i="5"/>
  <c r="D6228" i="5"/>
  <c r="G6234" i="5"/>
  <c r="D6234" i="5"/>
  <c r="G6241" i="5"/>
  <c r="D6241" i="5"/>
  <c r="G6247" i="5"/>
  <c r="D6247" i="5"/>
  <c r="G6253" i="5"/>
  <c r="D6253" i="5"/>
  <c r="G6262" i="5"/>
  <c r="D6262" i="5"/>
  <c r="G6273" i="5"/>
  <c r="D6273" i="5"/>
  <c r="G6281" i="5"/>
  <c r="D6281" i="5"/>
  <c r="G6289" i="5"/>
  <c r="D6289" i="5"/>
  <c r="G6298" i="5"/>
  <c r="D6298" i="5"/>
  <c r="G6309" i="5"/>
  <c r="D6309" i="5"/>
  <c r="D6333" i="5"/>
  <c r="G6343" i="5"/>
  <c r="D6343" i="5"/>
  <c r="G6352" i="5"/>
  <c r="D6352" i="5"/>
  <c r="G6357" i="5"/>
  <c r="D6357" i="5"/>
  <c r="D6371" i="5"/>
  <c r="G6386" i="5"/>
  <c r="D6386" i="5"/>
  <c r="D6393" i="5"/>
  <c r="G6399" i="5"/>
  <c r="D6399" i="5"/>
  <c r="D6406" i="5"/>
  <c r="D6410" i="5"/>
  <c r="D6415" i="5"/>
  <c r="D6419" i="5"/>
  <c r="D6423" i="5"/>
  <c r="G6428" i="5"/>
  <c r="D6428" i="5"/>
  <c r="D6433" i="5"/>
  <c r="G6438" i="5"/>
  <c r="D6438" i="5"/>
  <c r="G6445" i="5"/>
  <c r="D6445" i="5"/>
  <c r="G6450" i="5"/>
  <c r="D6450" i="5"/>
  <c r="G6459" i="5"/>
  <c r="D6459" i="5"/>
  <c r="G6466" i="5"/>
  <c r="D6466" i="5"/>
  <c r="G6473" i="5"/>
  <c r="D6473" i="5"/>
  <c r="G6480" i="5"/>
  <c r="D6480" i="5"/>
  <c r="G6487" i="5"/>
  <c r="D6487" i="5"/>
  <c r="G6494" i="5"/>
  <c r="D6494" i="5"/>
  <c r="G6498" i="5"/>
  <c r="D6498" i="5"/>
  <c r="G6502" i="5"/>
  <c r="D6502" i="5"/>
  <c r="G6506" i="5"/>
  <c r="D6506" i="5"/>
  <c r="G6510" i="5"/>
  <c r="D6510" i="5"/>
  <c r="G6514" i="5"/>
  <c r="D6514" i="5"/>
  <c r="G6518" i="5"/>
  <c r="D6518" i="5"/>
  <c r="G6522" i="5"/>
  <c r="D6522" i="5"/>
  <c r="G6526" i="5"/>
  <c r="D6526" i="5"/>
  <c r="G6530" i="5"/>
  <c r="D6530" i="5"/>
  <c r="G6534" i="5"/>
  <c r="D6534" i="5"/>
  <c r="G6538" i="5"/>
  <c r="D6538" i="5"/>
  <c r="G6542" i="5"/>
  <c r="D6542" i="5"/>
  <c r="G6546" i="5"/>
  <c r="D6546" i="5"/>
  <c r="G6550" i="5"/>
  <c r="D6550" i="5"/>
  <c r="G6554" i="5"/>
  <c r="D6554" i="5"/>
  <c r="G6558" i="5"/>
  <c r="D6558" i="5"/>
  <c r="G6562" i="5"/>
  <c r="D6562" i="5"/>
  <c r="G6566" i="5"/>
  <c r="D6566" i="5"/>
  <c r="G6570" i="5"/>
  <c r="D6570" i="5"/>
  <c r="G6574" i="5"/>
  <c r="D6574" i="5"/>
  <c r="G6578" i="5"/>
  <c r="D6578" i="5"/>
  <c r="G6582" i="5"/>
  <c r="D6582" i="5"/>
  <c r="G6586" i="5"/>
  <c r="D6586" i="5"/>
  <c r="G6590" i="5"/>
  <c r="D6590" i="5"/>
  <c r="G6594" i="5"/>
  <c r="D6594" i="5"/>
  <c r="G6598" i="5"/>
  <c r="D6598" i="5"/>
  <c r="G6602" i="5"/>
  <c r="D6602" i="5"/>
  <c r="G6606" i="5"/>
  <c r="D6606" i="5"/>
  <c r="G6610" i="5"/>
  <c r="D6610" i="5"/>
  <c r="G6614" i="5"/>
  <c r="D6614" i="5"/>
  <c r="G6618" i="5"/>
  <c r="D6618" i="5"/>
  <c r="G6622" i="5"/>
  <c r="D6622" i="5"/>
  <c r="G6626" i="5"/>
  <c r="D6626" i="5"/>
  <c r="G6630" i="5"/>
  <c r="D6630" i="5"/>
  <c r="G6634" i="5"/>
  <c r="D6634" i="5"/>
  <c r="G6638" i="5"/>
  <c r="D6638" i="5"/>
  <c r="G6642" i="5"/>
  <c r="D6642" i="5"/>
  <c r="G6646" i="5"/>
  <c r="D6646" i="5"/>
  <c r="G6650" i="5"/>
  <c r="D6650" i="5"/>
  <c r="G6654" i="5"/>
  <c r="D6654" i="5"/>
  <c r="G6658" i="5"/>
  <c r="D6658" i="5"/>
  <c r="G6662" i="5"/>
  <c r="D6662" i="5"/>
  <c r="G6666" i="5"/>
  <c r="D6666" i="5"/>
  <c r="G6670" i="5"/>
  <c r="D6670" i="5"/>
  <c r="G6674" i="5"/>
  <c r="D6674" i="5"/>
  <c r="G6678" i="5"/>
  <c r="D6678" i="5"/>
  <c r="G6682" i="5"/>
  <c r="D6682" i="5"/>
  <c r="G6686" i="5"/>
  <c r="D6686" i="5"/>
  <c r="G6690" i="5"/>
  <c r="D6690" i="5"/>
  <c r="G6694" i="5"/>
  <c r="D6694" i="5"/>
  <c r="G6698" i="5"/>
  <c r="D6698" i="5"/>
  <c r="G6702" i="5"/>
  <c r="D6702" i="5"/>
  <c r="G6706" i="5"/>
  <c r="D6706" i="5"/>
  <c r="G6710" i="5"/>
  <c r="D6710" i="5"/>
  <c r="G6714" i="5"/>
  <c r="D6714" i="5"/>
  <c r="G6718" i="5"/>
  <c r="D6718" i="5"/>
  <c r="G6722" i="5"/>
  <c r="D6722" i="5"/>
  <c r="G6726" i="5"/>
  <c r="D6726" i="5"/>
  <c r="G6730" i="5"/>
  <c r="D6730" i="5"/>
  <c r="G6734" i="5"/>
  <c r="D6734" i="5"/>
  <c r="G6738" i="5"/>
  <c r="D6738" i="5"/>
  <c r="G6742" i="5"/>
  <c r="D6742" i="5"/>
  <c r="G6746" i="5"/>
  <c r="D6746" i="5"/>
  <c r="G6750" i="5"/>
  <c r="D6750" i="5"/>
  <c r="G6754" i="5"/>
  <c r="D6754" i="5"/>
  <c r="G6758" i="5"/>
  <c r="D6758" i="5"/>
  <c r="G6762" i="5"/>
  <c r="D6762" i="5"/>
  <c r="G6766" i="5"/>
  <c r="D6766" i="5"/>
  <c r="G6770" i="5"/>
  <c r="D6770" i="5"/>
  <c r="G6774" i="5"/>
  <c r="D6774" i="5"/>
  <c r="G6778" i="5"/>
  <c r="D6778" i="5"/>
  <c r="G6782" i="5"/>
  <c r="D6782" i="5"/>
  <c r="G6786" i="5"/>
  <c r="D6786" i="5"/>
  <c r="G6790" i="5"/>
  <c r="D6790" i="5"/>
  <c r="G6794" i="5"/>
  <c r="D6794" i="5"/>
  <c r="G6798" i="5"/>
  <c r="D6798" i="5"/>
  <c r="G6802" i="5"/>
  <c r="D6802" i="5"/>
  <c r="G6806" i="5"/>
  <c r="D6806" i="5"/>
  <c r="G6810" i="5"/>
  <c r="D6810" i="5"/>
  <c r="G6814" i="5"/>
  <c r="D6814" i="5"/>
  <c r="G6818" i="5"/>
  <c r="D6818" i="5"/>
  <c r="G6822" i="5"/>
  <c r="D6822" i="5"/>
  <c r="G6826" i="5"/>
  <c r="D6826" i="5"/>
  <c r="G6830" i="5"/>
  <c r="D6830" i="5"/>
  <c r="G6834" i="5"/>
  <c r="D6834" i="5"/>
  <c r="G6838" i="5"/>
  <c r="D6838" i="5"/>
  <c r="G6842" i="5"/>
  <c r="D6842" i="5"/>
  <c r="G6846" i="5"/>
  <c r="D6846" i="5"/>
  <c r="G6850" i="5"/>
  <c r="D6850" i="5"/>
  <c r="G6854" i="5"/>
  <c r="D6854" i="5"/>
  <c r="G6858" i="5"/>
  <c r="D6858" i="5"/>
  <c r="G6862" i="5"/>
  <c r="D6862" i="5"/>
  <c r="G6866" i="5"/>
  <c r="D6866" i="5"/>
  <c r="G6870" i="5"/>
  <c r="D6870" i="5"/>
  <c r="G6874" i="5"/>
  <c r="D6874" i="5"/>
  <c r="G6878" i="5"/>
  <c r="D6878" i="5"/>
  <c r="G6882" i="5"/>
  <c r="D6882" i="5"/>
  <c r="G6886" i="5"/>
  <c r="D6886" i="5"/>
  <c r="G6890" i="5"/>
  <c r="D6890" i="5"/>
  <c r="G6894" i="5"/>
  <c r="D6894" i="5"/>
  <c r="G6898" i="5"/>
  <c r="D6898" i="5"/>
  <c r="G6902" i="5"/>
  <c r="D6902" i="5"/>
  <c r="G6906" i="5"/>
  <c r="D6906" i="5"/>
  <c r="G6910" i="5"/>
  <c r="D6910" i="5"/>
  <c r="G6914" i="5"/>
  <c r="D6914" i="5"/>
  <c r="G6918" i="5"/>
  <c r="D6918" i="5"/>
  <c r="G6922" i="5"/>
  <c r="D6922" i="5"/>
  <c r="G6926" i="5"/>
  <c r="D6926" i="5"/>
  <c r="G6930" i="5"/>
  <c r="D6930" i="5"/>
  <c r="G6934" i="5"/>
  <c r="D6934" i="5"/>
  <c r="G6938" i="5"/>
  <c r="D6938" i="5"/>
  <c r="G6942" i="5"/>
  <c r="D6942" i="5"/>
  <c r="G6946" i="5"/>
  <c r="D6946" i="5"/>
  <c r="G6950" i="5"/>
  <c r="D6950" i="5"/>
  <c r="G6954" i="5"/>
  <c r="D6954" i="5"/>
  <c r="G6958" i="5"/>
  <c r="D6958" i="5"/>
  <c r="G6962" i="5"/>
  <c r="D6962" i="5"/>
  <c r="G6966" i="5"/>
  <c r="D6966" i="5"/>
  <c r="G6970" i="5"/>
  <c r="D6970" i="5"/>
  <c r="G6974" i="5"/>
  <c r="D6974" i="5"/>
  <c r="G6978" i="5"/>
  <c r="D6978" i="5"/>
  <c r="G6982" i="5"/>
  <c r="D6982" i="5"/>
  <c r="G6986" i="5"/>
  <c r="D6986" i="5"/>
  <c r="G6990" i="5"/>
  <c r="D6990" i="5"/>
  <c r="G6994" i="5"/>
  <c r="D6994" i="5"/>
  <c r="G6998" i="5"/>
  <c r="D6998" i="5"/>
  <c r="G7002" i="5"/>
  <c r="D7002" i="5"/>
  <c r="G7006" i="5"/>
  <c r="D7006" i="5"/>
  <c r="G7010" i="5"/>
  <c r="D7010" i="5"/>
  <c r="G7014" i="5"/>
  <c r="D7014" i="5"/>
  <c r="G7018" i="5"/>
  <c r="D7018" i="5"/>
  <c r="G7022" i="5"/>
  <c r="D7022" i="5"/>
  <c r="G7026" i="5"/>
  <c r="D7026" i="5"/>
  <c r="G7030" i="5"/>
  <c r="D7030" i="5"/>
  <c r="G7034" i="5"/>
  <c r="D7034" i="5"/>
  <c r="G7038" i="5"/>
  <c r="D7038" i="5"/>
  <c r="G7042" i="5"/>
  <c r="D7042" i="5"/>
  <c r="G7046" i="5"/>
  <c r="D7046" i="5"/>
  <c r="G7050" i="5"/>
  <c r="D7050" i="5"/>
  <c r="G7054" i="5"/>
  <c r="D7054" i="5"/>
  <c r="G7058" i="5"/>
  <c r="D7058" i="5"/>
  <c r="G7062" i="5"/>
  <c r="D7062" i="5"/>
  <c r="G7066" i="5"/>
  <c r="D7066" i="5"/>
  <c r="G7070" i="5"/>
  <c r="D7070" i="5"/>
  <c r="G7074" i="5"/>
  <c r="D7074" i="5"/>
  <c r="G7078" i="5"/>
  <c r="D7078" i="5"/>
  <c r="G7082" i="5"/>
  <c r="D7082" i="5"/>
  <c r="G7086" i="5"/>
  <c r="D7086" i="5"/>
  <c r="G7090" i="5"/>
  <c r="D7090" i="5"/>
  <c r="G7094" i="5"/>
  <c r="D7094" i="5"/>
  <c r="G7098" i="5"/>
  <c r="D7098" i="5"/>
  <c r="G7102" i="5"/>
  <c r="D7102" i="5"/>
  <c r="G7106" i="5"/>
  <c r="D7106" i="5"/>
  <c r="G7110" i="5"/>
  <c r="D7110" i="5"/>
  <c r="G7114" i="5"/>
  <c r="D7114" i="5"/>
  <c r="G7118" i="5"/>
  <c r="D7118" i="5"/>
  <c r="G7122" i="5"/>
  <c r="D7122" i="5"/>
  <c r="G7126" i="5"/>
  <c r="D7126" i="5"/>
  <c r="G7130" i="5"/>
  <c r="D7130" i="5"/>
  <c r="G7134" i="5"/>
  <c r="D7134" i="5"/>
  <c r="G7138" i="5"/>
  <c r="D7138" i="5"/>
  <c r="G7142" i="5"/>
  <c r="D7142" i="5"/>
  <c r="G7146" i="5"/>
  <c r="D7146" i="5"/>
  <c r="G7150" i="5"/>
  <c r="D7150" i="5"/>
  <c r="D7154" i="5"/>
  <c r="D7160" i="5"/>
  <c r="D7166" i="5"/>
  <c r="D7172" i="5"/>
  <c r="D7178" i="5"/>
  <c r="D7184" i="5"/>
  <c r="D7190" i="5"/>
  <c r="D7196" i="5"/>
  <c r="D7202" i="5"/>
  <c r="D7208" i="5"/>
  <c r="G7214" i="5"/>
  <c r="D7214" i="5"/>
  <c r="G7218" i="5"/>
  <c r="D7218" i="5"/>
  <c r="G7222" i="5"/>
  <c r="D7222" i="5"/>
  <c r="G7226" i="5"/>
  <c r="D7226" i="5"/>
  <c r="D7230" i="5"/>
  <c r="G7236" i="5"/>
  <c r="D7236" i="5"/>
  <c r="G7242" i="5"/>
  <c r="D7242" i="5"/>
  <c r="D7249" i="5"/>
  <c r="D7254" i="5"/>
  <c r="D7259" i="5"/>
  <c r="G7264" i="5"/>
  <c r="D7264" i="5"/>
  <c r="G7268" i="5"/>
  <c r="D7268" i="5"/>
  <c r="G7272" i="5"/>
  <c r="D7272" i="5"/>
  <c r="G7276" i="5"/>
  <c r="D7276" i="5"/>
  <c r="D7280" i="5"/>
  <c r="G7284" i="5"/>
  <c r="D7284" i="5"/>
  <c r="D7288" i="5"/>
  <c r="G7292" i="5"/>
  <c r="D7292" i="5"/>
  <c r="D7296" i="5"/>
  <c r="D7300" i="5"/>
  <c r="D7304" i="5"/>
  <c r="D7308" i="5"/>
  <c r="D7312" i="5"/>
  <c r="G7316" i="5"/>
  <c r="D7316" i="5"/>
  <c r="G7320" i="5"/>
  <c r="D7320" i="5"/>
  <c r="G7324" i="5"/>
  <c r="D7324" i="5"/>
  <c r="G7331" i="5"/>
  <c r="D7331" i="5"/>
  <c r="G7337" i="5"/>
  <c r="D7337" i="5"/>
  <c r="G7345" i="5"/>
  <c r="D7345" i="5"/>
  <c r="D7353" i="5"/>
  <c r="D7359" i="5"/>
  <c r="D7364" i="5"/>
  <c r="G7369" i="5"/>
  <c r="D7369" i="5"/>
  <c r="G7376" i="5"/>
  <c r="D7376" i="5"/>
  <c r="D7383" i="5"/>
  <c r="D7391" i="5"/>
  <c r="D7397" i="5"/>
  <c r="G7453" i="5"/>
  <c r="G7448" i="5"/>
  <c r="B7447" i="5"/>
  <c r="G7446" i="5"/>
  <c r="B7441" i="5"/>
  <c r="G7440" i="5"/>
  <c r="G7434" i="5"/>
  <c r="B7433" i="5"/>
  <c r="G7403" i="5"/>
  <c r="G7398" i="5"/>
  <c r="B7397" i="5"/>
  <c r="D90" i="7"/>
  <c r="D91" i="7"/>
  <c r="D104" i="7"/>
  <c r="D105" i="7"/>
  <c r="D119" i="7"/>
  <c r="D120" i="7"/>
  <c r="G7396" i="5"/>
  <c r="G7392" i="5"/>
  <c r="B7391" i="5"/>
  <c r="G7390" i="5"/>
  <c r="G7384" i="5"/>
  <c r="B7383" i="5"/>
  <c r="G7382" i="5"/>
  <c r="G7377" i="5"/>
  <c r="B7376" i="5"/>
  <c r="G6493" i="5"/>
  <c r="G6488" i="5"/>
  <c r="B6487" i="5"/>
  <c r="G6486" i="5"/>
  <c r="G6481" i="5"/>
  <c r="B6480" i="5"/>
  <c r="G7375" i="5"/>
  <c r="G7370" i="5"/>
  <c r="B7369" i="5"/>
  <c r="G7368" i="5"/>
  <c r="G7365" i="5"/>
  <c r="G7364" i="5"/>
  <c r="B7364" i="5"/>
  <c r="G7363" i="5"/>
  <c r="G7360" i="5"/>
  <c r="G7359" i="5"/>
  <c r="B7359" i="5"/>
  <c r="G7358" i="5"/>
  <c r="G7354" i="5"/>
  <c r="G7353" i="5"/>
  <c r="B7353" i="5"/>
  <c r="G7352" i="5"/>
  <c r="G7346" i="5"/>
  <c r="B7345" i="5"/>
  <c r="G7344" i="5"/>
  <c r="G7338" i="5"/>
  <c r="B7337" i="5"/>
  <c r="D31" i="7"/>
  <c r="D32" i="7"/>
  <c r="D53" i="7"/>
  <c r="D54" i="7"/>
  <c r="D67" i="7"/>
  <c r="D68" i="7"/>
  <c r="F136" i="7"/>
  <c r="G7330" i="5"/>
  <c r="G7325" i="5"/>
  <c r="B7324" i="5"/>
  <c r="G7336" i="5"/>
  <c r="G7332" i="5"/>
  <c r="B7331" i="5"/>
  <c r="G7263" i="5"/>
  <c r="G7260" i="5"/>
  <c r="G7259" i="5"/>
  <c r="B7259" i="5"/>
  <c r="G7258" i="5"/>
  <c r="G7255" i="5"/>
  <c r="G7254" i="5"/>
  <c r="B7254" i="5"/>
  <c r="G7253" i="5"/>
  <c r="G7250" i="5"/>
  <c r="G7249" i="5"/>
  <c r="B7249" i="5"/>
  <c r="G7275" i="5"/>
  <c r="G7273" i="5"/>
  <c r="B7272" i="5"/>
  <c r="G7271" i="5"/>
  <c r="G7269" i="5"/>
  <c r="B7268" i="5"/>
  <c r="G7267" i="5"/>
  <c r="G7265" i="5"/>
  <c r="B7264" i="5"/>
  <c r="G4733" i="5"/>
  <c r="G4732" i="5"/>
  <c r="G4739" i="5"/>
  <c r="G4737" i="5"/>
  <c r="G4736" i="5"/>
  <c r="B4736" i="5"/>
  <c r="G4735" i="5"/>
  <c r="B4732" i="5"/>
  <c r="G7315" i="5"/>
  <c r="G7313" i="5"/>
  <c r="G7312" i="5"/>
  <c r="G7311" i="5"/>
  <c r="G7309" i="5"/>
  <c r="G7308" i="5"/>
  <c r="G7307" i="5"/>
  <c r="G7305" i="5"/>
  <c r="G7304" i="5"/>
  <c r="B7312" i="5"/>
  <c r="B7308" i="5"/>
  <c r="B7304" i="5"/>
  <c r="G7323" i="5"/>
  <c r="G7321" i="5"/>
  <c r="G7319" i="5"/>
  <c r="G7317" i="5"/>
  <c r="B7320" i="5"/>
  <c r="B7316" i="5"/>
  <c r="G7287" i="5"/>
  <c r="G7285" i="5"/>
  <c r="B7284" i="5"/>
  <c r="G4717" i="5"/>
  <c r="G4715" i="5"/>
  <c r="G4714" i="5"/>
  <c r="B4714" i="5"/>
  <c r="G7303" i="5"/>
  <c r="G7301" i="5"/>
  <c r="G7300" i="5"/>
  <c r="B7300" i="5"/>
  <c r="G7295" i="5"/>
  <c r="G7293" i="5"/>
  <c r="B7292" i="5"/>
  <c r="G7291" i="5"/>
  <c r="G7289" i="5"/>
  <c r="G7288" i="5"/>
  <c r="B7288" i="5"/>
  <c r="G7299" i="5"/>
  <c r="G7297" i="5"/>
  <c r="G7296" i="5"/>
  <c r="B7296" i="5"/>
  <c r="G4767" i="5"/>
  <c r="G4765" i="5"/>
  <c r="B4764" i="5"/>
  <c r="G4763" i="5"/>
  <c r="G4761" i="5"/>
  <c r="B4760" i="5"/>
  <c r="G2642" i="5"/>
  <c r="G2640" i="5"/>
  <c r="G2639" i="5"/>
  <c r="B2639" i="5"/>
  <c r="G7283" i="5"/>
  <c r="G7281" i="5"/>
  <c r="G7280" i="5"/>
  <c r="B7280" i="5"/>
  <c r="G7279" i="5"/>
  <c r="G7277" i="5"/>
  <c r="B7276" i="5"/>
  <c r="G6444" i="5"/>
  <c r="G6439" i="5"/>
  <c r="B6438" i="5"/>
  <c r="G6437" i="5"/>
  <c r="G6434" i="5"/>
  <c r="G6433" i="5"/>
  <c r="B6433" i="5"/>
  <c r="G7248" i="5"/>
  <c r="G7243" i="5"/>
  <c r="B7242" i="5"/>
  <c r="G7237" i="5"/>
  <c r="B7236" i="5"/>
  <c r="G7235" i="5"/>
  <c r="G7231" i="5"/>
  <c r="G7230" i="5"/>
  <c r="B7230" i="5"/>
  <c r="G6977" i="5"/>
  <c r="G6975" i="5"/>
  <c r="B6974" i="5"/>
  <c r="G6136" i="5"/>
  <c r="G6134" i="5"/>
  <c r="G6133" i="5"/>
  <c r="B6133" i="5"/>
  <c r="G6132" i="5"/>
  <c r="G6130" i="5"/>
  <c r="B6129" i="5"/>
  <c r="G6128" i="5"/>
  <c r="G6126" i="5"/>
  <c r="B6125" i="5"/>
  <c r="B6057" i="5"/>
  <c r="G6058" i="5"/>
  <c r="G6060" i="5"/>
  <c r="G6064" i="5"/>
  <c r="G6062" i="5"/>
  <c r="B6061" i="5"/>
  <c r="G6044" i="5"/>
  <c r="G6042" i="5"/>
  <c r="B6041" i="5"/>
  <c r="G4755" i="5"/>
  <c r="G4753" i="5"/>
  <c r="B4752" i="5"/>
  <c r="G4743" i="5"/>
  <c r="G4741" i="5"/>
  <c r="B4740" i="5"/>
  <c r="G3541" i="5"/>
  <c r="G3540" i="5"/>
  <c r="G3539" i="5"/>
  <c r="G3534" i="5"/>
  <c r="G3533" i="5"/>
  <c r="B3533" i="5"/>
  <c r="G3472" i="5"/>
  <c r="G3471" i="5"/>
  <c r="G3470" i="5"/>
  <c r="G3463" i="5"/>
  <c r="G3462" i="5"/>
  <c r="B3462" i="5"/>
  <c r="G3473" i="5"/>
  <c r="G3474" i="5"/>
  <c r="G2758" i="5"/>
  <c r="G2756" i="5"/>
  <c r="B2755" i="5"/>
  <c r="G2746" i="5"/>
  <c r="G2744" i="5"/>
  <c r="B2743" i="5"/>
  <c r="G2726" i="5"/>
  <c r="G2724" i="5"/>
  <c r="B2723" i="5"/>
  <c r="G2722" i="5"/>
  <c r="G2720" i="5"/>
  <c r="B2719" i="5"/>
  <c r="G2718" i="5"/>
  <c r="G2716" i="5"/>
  <c r="B2715" i="5"/>
  <c r="G3817" i="5"/>
  <c r="G3816" i="5"/>
  <c r="B3816" i="5"/>
  <c r="G3811" i="5"/>
  <c r="G3810" i="5"/>
  <c r="B3810" i="5"/>
  <c r="G3805" i="5"/>
  <c r="G3804" i="5"/>
  <c r="B3804" i="5"/>
  <c r="G3799" i="5"/>
  <c r="G3798" i="5"/>
  <c r="B3798" i="5"/>
  <c r="G3793" i="5"/>
  <c r="G3792" i="5"/>
  <c r="B3792" i="5"/>
  <c r="G3787" i="5"/>
  <c r="G3786" i="5"/>
  <c r="B3786" i="5"/>
  <c r="G3781" i="5"/>
  <c r="G3780" i="5"/>
  <c r="B3780" i="5"/>
  <c r="G3775" i="5"/>
  <c r="G3774" i="5"/>
  <c r="B3774" i="5"/>
  <c r="G3769" i="5"/>
  <c r="G3768" i="5"/>
  <c r="B3768" i="5"/>
  <c r="G6921" i="5"/>
  <c r="G6919" i="5"/>
  <c r="B6918" i="5"/>
  <c r="G7213" i="5"/>
  <c r="G7212" i="5"/>
  <c r="G7211" i="5"/>
  <c r="G7209" i="5"/>
  <c r="G7208" i="5"/>
  <c r="B7208" i="5"/>
  <c r="G7207" i="5"/>
  <c r="G7206" i="5"/>
  <c r="G7205" i="5"/>
  <c r="G7203" i="5"/>
  <c r="G7202" i="5"/>
  <c r="B7202" i="5"/>
  <c r="G7201" i="5"/>
  <c r="G7200" i="5"/>
  <c r="G7199" i="5"/>
  <c r="G7197" i="5"/>
  <c r="G7196" i="5"/>
  <c r="B7196" i="5"/>
  <c r="G7195" i="5"/>
  <c r="G7194" i="5"/>
  <c r="G7193" i="5"/>
  <c r="G7191" i="5"/>
  <c r="G7190" i="5"/>
  <c r="B7190" i="5"/>
  <c r="G7189" i="5"/>
  <c r="G7188" i="5"/>
  <c r="G7187" i="5"/>
  <c r="G7185" i="5"/>
  <c r="G7184" i="5"/>
  <c r="B7184" i="5"/>
  <c r="G7183" i="5"/>
  <c r="G7182" i="5"/>
  <c r="G7181" i="5"/>
  <c r="G7179" i="5"/>
  <c r="G7178" i="5"/>
  <c r="B7178" i="5"/>
  <c r="G7177" i="5"/>
  <c r="G7176" i="5"/>
  <c r="G7175" i="5"/>
  <c r="G7173" i="5"/>
  <c r="G7172" i="5"/>
  <c r="B7172" i="5"/>
  <c r="G7171" i="5"/>
  <c r="G7170" i="5"/>
  <c r="G7169" i="5"/>
  <c r="G7167" i="5"/>
  <c r="G7166" i="5"/>
  <c r="B7166" i="5"/>
  <c r="G7165" i="5"/>
  <c r="G7164" i="5"/>
  <c r="G7163" i="5"/>
  <c r="G7161" i="5"/>
  <c r="G7160" i="5"/>
  <c r="B7160" i="5"/>
  <c r="G7159" i="5"/>
  <c r="G7158" i="5"/>
  <c r="G7157" i="5"/>
  <c r="G7155" i="5"/>
  <c r="G7154" i="5"/>
  <c r="B7154" i="5"/>
  <c r="G7221" i="5"/>
  <c r="G7219" i="5"/>
  <c r="B7218" i="5"/>
  <c r="G7217" i="5"/>
  <c r="G7215" i="5"/>
  <c r="B7214" i="5"/>
  <c r="G7229" i="5"/>
  <c r="G7227" i="5"/>
  <c r="B7226" i="5"/>
  <c r="G6861" i="5"/>
  <c r="G6859" i="5"/>
  <c r="B6858" i="5"/>
  <c r="G6857" i="5"/>
  <c r="G6855" i="5"/>
  <c r="B6854" i="5"/>
  <c r="G7021" i="5"/>
  <c r="G7019" i="5"/>
  <c r="B7018" i="5"/>
  <c r="G6897" i="5"/>
  <c r="G6895" i="5"/>
  <c r="B6894" i="5"/>
  <c r="G6561" i="5"/>
  <c r="G6559" i="5"/>
  <c r="B6558" i="5"/>
  <c r="G6725" i="5"/>
  <c r="G6723" i="5"/>
  <c r="B6722" i="5"/>
  <c r="G6853" i="5"/>
  <c r="G6851" i="5"/>
  <c r="B6850" i="5"/>
  <c r="G7057" i="5"/>
  <c r="G7055" i="5"/>
  <c r="B7054" i="5"/>
  <c r="G7053" i="5"/>
  <c r="G7051" i="5"/>
  <c r="B7050" i="5"/>
  <c r="G7049" i="5"/>
  <c r="G7047" i="5"/>
  <c r="B7046" i="5"/>
  <c r="G7225" i="5"/>
  <c r="G7223" i="5"/>
  <c r="B7222" i="5"/>
  <c r="G7153" i="5"/>
  <c r="G7151" i="5"/>
  <c r="B7150" i="5"/>
  <c r="G7149" i="5"/>
  <c r="G7147" i="5"/>
  <c r="B7146" i="5"/>
  <c r="G7145" i="5"/>
  <c r="G7143" i="5"/>
  <c r="B7142" i="5"/>
  <c r="G7141" i="5"/>
  <c r="G7139" i="5"/>
  <c r="B7138" i="5"/>
  <c r="G7137" i="5"/>
  <c r="G7135" i="5"/>
  <c r="B7134" i="5"/>
  <c r="G7133" i="5"/>
  <c r="G7131" i="5"/>
  <c r="B7130" i="5"/>
  <c r="G7129" i="5"/>
  <c r="G7127" i="5"/>
  <c r="B7126" i="5"/>
  <c r="G7125" i="5"/>
  <c r="G7123" i="5"/>
  <c r="B7122" i="5"/>
  <c r="G7121" i="5"/>
  <c r="G7119" i="5"/>
  <c r="B7118" i="5"/>
  <c r="G7117" i="5"/>
  <c r="G7115" i="5"/>
  <c r="B7114" i="5"/>
  <c r="G7113" i="5"/>
  <c r="G7111" i="5"/>
  <c r="B7110" i="5"/>
  <c r="G7109" i="5"/>
  <c r="G7107" i="5"/>
  <c r="B7106" i="5"/>
  <c r="G7105" i="5"/>
  <c r="G7103" i="5"/>
  <c r="B7102" i="5"/>
  <c r="G7101" i="5"/>
  <c r="G7099" i="5"/>
  <c r="B7098" i="5"/>
  <c r="G7097" i="5"/>
  <c r="G7095" i="5"/>
  <c r="B7094" i="5"/>
  <c r="G7093" i="5"/>
  <c r="G7091" i="5"/>
  <c r="B7090" i="5"/>
  <c r="G7089" i="5"/>
  <c r="G7087" i="5"/>
  <c r="B7086" i="5"/>
  <c r="G7085" i="5"/>
  <c r="G7083" i="5"/>
  <c r="B7082" i="5"/>
  <c r="G7081" i="5"/>
  <c r="G7079" i="5"/>
  <c r="B7078" i="5"/>
  <c r="G7077" i="5"/>
  <c r="G7075" i="5"/>
  <c r="B7074" i="5"/>
  <c r="G7073" i="5"/>
  <c r="G7071" i="5"/>
  <c r="B7070" i="5"/>
  <c r="G7069" i="5"/>
  <c r="G7067" i="5"/>
  <c r="B7066" i="5"/>
  <c r="G7065" i="5"/>
  <c r="G7063" i="5"/>
  <c r="B7062" i="5"/>
  <c r="G7061" i="5"/>
  <c r="G7059" i="5"/>
  <c r="B7058" i="5"/>
  <c r="G7045" i="5"/>
  <c r="G7043" i="5"/>
  <c r="B7042" i="5"/>
  <c r="G7041" i="5"/>
  <c r="G7039" i="5"/>
  <c r="B7038" i="5"/>
  <c r="G7037" i="5"/>
  <c r="G7035" i="5"/>
  <c r="B7034" i="5"/>
  <c r="G7033" i="5"/>
  <c r="G7031" i="5"/>
  <c r="B7030" i="5"/>
  <c r="G7029" i="5"/>
  <c r="G7027" i="5"/>
  <c r="B7026" i="5"/>
  <c r="G7025" i="5"/>
  <c r="G7023" i="5"/>
  <c r="B7022" i="5"/>
  <c r="G7017" i="5"/>
  <c r="G7015" i="5"/>
  <c r="B7014" i="5"/>
  <c r="G7013" i="5"/>
  <c r="G7011" i="5"/>
  <c r="B7010" i="5"/>
  <c r="G7009" i="5"/>
  <c r="G7007" i="5"/>
  <c r="B7006" i="5"/>
  <c r="G7005" i="5"/>
  <c r="G7003" i="5"/>
  <c r="B7002" i="5"/>
  <c r="G7001" i="5"/>
  <c r="G6999" i="5"/>
  <c r="B6998" i="5"/>
  <c r="G6997" i="5"/>
  <c r="G6995" i="5"/>
  <c r="B6994" i="5"/>
  <c r="G6993" i="5"/>
  <c r="G6991" i="5"/>
  <c r="B6990" i="5"/>
  <c r="G6989" i="5"/>
  <c r="G6987" i="5"/>
  <c r="B6986" i="5"/>
  <c r="G6985" i="5"/>
  <c r="G6983" i="5"/>
  <c r="B6982" i="5"/>
  <c r="G6981" i="5"/>
  <c r="G6979" i="5"/>
  <c r="B6978" i="5"/>
  <c r="G6973" i="5"/>
  <c r="G6971" i="5"/>
  <c r="B6970" i="5"/>
  <c r="G6969" i="5"/>
  <c r="G6967" i="5"/>
  <c r="B6966" i="5"/>
  <c r="G6933" i="5"/>
  <c r="G6931" i="5"/>
  <c r="B6930" i="5"/>
  <c r="G6929" i="5"/>
  <c r="G6927" i="5"/>
  <c r="B6926" i="5"/>
  <c r="G6917" i="5"/>
  <c r="G6915" i="5"/>
  <c r="B6914" i="5"/>
  <c r="G6913" i="5"/>
  <c r="G6911" i="5"/>
  <c r="B6910" i="5"/>
  <c r="G6909" i="5"/>
  <c r="G6907" i="5"/>
  <c r="B6906" i="5"/>
  <c r="G6869" i="5"/>
  <c r="G6867" i="5"/>
  <c r="B6866" i="5"/>
  <c r="G6865" i="5"/>
  <c r="G6863" i="5"/>
  <c r="B6862" i="5"/>
  <c r="G6849" i="5"/>
  <c r="G6847" i="5"/>
  <c r="B6846" i="5"/>
  <c r="G6845" i="5"/>
  <c r="G6843" i="5"/>
  <c r="B6842" i="5"/>
  <c r="G6841" i="5"/>
  <c r="G6839" i="5"/>
  <c r="B6838" i="5"/>
  <c r="G6837" i="5"/>
  <c r="G6835" i="5"/>
  <c r="B6834" i="5"/>
  <c r="G6833" i="5"/>
  <c r="G6831" i="5"/>
  <c r="B6830" i="5"/>
  <c r="G6829" i="5"/>
  <c r="G6827" i="5"/>
  <c r="B6826" i="5"/>
  <c r="G6825" i="5"/>
  <c r="G6823" i="5"/>
  <c r="B6822" i="5"/>
  <c r="G6821" i="5"/>
  <c r="G6819" i="5"/>
  <c r="B6818" i="5"/>
  <c r="G6817" i="5"/>
  <c r="G6815" i="5"/>
  <c r="B6814" i="5"/>
  <c r="G6813" i="5"/>
  <c r="G6811" i="5"/>
  <c r="B6810" i="5"/>
  <c r="G6809" i="5"/>
  <c r="G6807" i="5"/>
  <c r="B6806" i="5"/>
  <c r="G6805" i="5"/>
  <c r="G6803" i="5"/>
  <c r="B6802" i="5"/>
  <c r="G6801" i="5"/>
  <c r="G6799" i="5"/>
  <c r="B6798" i="5"/>
  <c r="G6797" i="5"/>
  <c r="G6795" i="5"/>
  <c r="B6794" i="5"/>
  <c r="G6793" i="5"/>
  <c r="G6791" i="5"/>
  <c r="B6790" i="5"/>
  <c r="G6789" i="5"/>
  <c r="G6787" i="5"/>
  <c r="B6786" i="5"/>
  <c r="G6785" i="5"/>
  <c r="G6783" i="5"/>
  <c r="B6782" i="5"/>
  <c r="G6781" i="5"/>
  <c r="G6779" i="5"/>
  <c r="B6778" i="5"/>
  <c r="G6777" i="5"/>
  <c r="G6775" i="5"/>
  <c r="B6774" i="5"/>
  <c r="G6773" i="5"/>
  <c r="G6771" i="5"/>
  <c r="B6770" i="5"/>
  <c r="G6769" i="5"/>
  <c r="G6767" i="5"/>
  <c r="B6766" i="5"/>
  <c r="G6765" i="5"/>
  <c r="G6763" i="5"/>
  <c r="B6762" i="5"/>
  <c r="G6761" i="5"/>
  <c r="G6759" i="5"/>
  <c r="B6758" i="5"/>
  <c r="G6757" i="5"/>
  <c r="G6755" i="5"/>
  <c r="B6754" i="5"/>
  <c r="G6753" i="5"/>
  <c r="G6751" i="5"/>
  <c r="B6750" i="5"/>
  <c r="G6749" i="5"/>
  <c r="G6747" i="5"/>
  <c r="B6746" i="5"/>
  <c r="G6745" i="5"/>
  <c r="G6743" i="5"/>
  <c r="B6742" i="5"/>
  <c r="G6741" i="5"/>
  <c r="G6739" i="5"/>
  <c r="B6738" i="5"/>
  <c r="G6737" i="5"/>
  <c r="G6735" i="5"/>
  <c r="B6734" i="5"/>
  <c r="G6733" i="5"/>
  <c r="G6731" i="5"/>
  <c r="B6730" i="5"/>
  <c r="G6729" i="5"/>
  <c r="G6727" i="5"/>
  <c r="B6726" i="5"/>
  <c r="G6721" i="5"/>
  <c r="G6719" i="5"/>
  <c r="B6718" i="5"/>
  <c r="G6717" i="5"/>
  <c r="G6715" i="5"/>
  <c r="B6714" i="5"/>
  <c r="G6713" i="5"/>
  <c r="G6711" i="5"/>
  <c r="B6710" i="5"/>
  <c r="G6709" i="5"/>
  <c r="G6707" i="5"/>
  <c r="B6706" i="5"/>
  <c r="G6705" i="5"/>
  <c r="G6703" i="5"/>
  <c r="B6702" i="5"/>
  <c r="G6701" i="5"/>
  <c r="G6699" i="5"/>
  <c r="B6698" i="5"/>
  <c r="G6697" i="5"/>
  <c r="G6695" i="5"/>
  <c r="B6694" i="5"/>
  <c r="G6693" i="5"/>
  <c r="G6691" i="5"/>
  <c r="B6690" i="5"/>
  <c r="G6689" i="5"/>
  <c r="G6687" i="5"/>
  <c r="B6686" i="5"/>
  <c r="G6685" i="5"/>
  <c r="G6683" i="5"/>
  <c r="B6682" i="5"/>
  <c r="G6633" i="5"/>
  <c r="G6631" i="5"/>
  <c r="B6630" i="5"/>
  <c r="G6629" i="5"/>
  <c r="G6627" i="5"/>
  <c r="B6626" i="5"/>
  <c r="G6661" i="5"/>
  <c r="G6659" i="5"/>
  <c r="B6658" i="5"/>
  <c r="G6657" i="5"/>
  <c r="G6655" i="5"/>
  <c r="B6654" i="5"/>
  <c r="G6653" i="5"/>
  <c r="G6651" i="5"/>
  <c r="B6650" i="5"/>
  <c r="G6589" i="5"/>
  <c r="G6587" i="5"/>
  <c r="B6586" i="5"/>
  <c r="G6541" i="5"/>
  <c r="G6539" i="5"/>
  <c r="B6538" i="5"/>
  <c r="G6497" i="5"/>
  <c r="G6495" i="5"/>
  <c r="B6494" i="5"/>
  <c r="G6637" i="5"/>
  <c r="G6635" i="5"/>
  <c r="B6634" i="5"/>
  <c r="G4759" i="5"/>
  <c r="G4757" i="5"/>
  <c r="B4756" i="5"/>
  <c r="G4751" i="5"/>
  <c r="G4749" i="5"/>
  <c r="B4748" i="5"/>
  <c r="G4747" i="5"/>
  <c r="G4745" i="5"/>
  <c r="B4744" i="5"/>
  <c r="G2754" i="5"/>
  <c r="G2752" i="5"/>
  <c r="B2751" i="5"/>
  <c r="G2750" i="5"/>
  <c r="G2748" i="5"/>
  <c r="B2747" i="5"/>
  <c r="G2742" i="5"/>
  <c r="G2740" i="5"/>
  <c r="B2739" i="5"/>
  <c r="G2738" i="5"/>
  <c r="G2736" i="5"/>
  <c r="B2735" i="5"/>
  <c r="G2732" i="5"/>
  <c r="G2734" i="5"/>
  <c r="B2731" i="5"/>
  <c r="G2730" i="5"/>
  <c r="G2728" i="5"/>
  <c r="B2727" i="5"/>
  <c r="G6965" i="5"/>
  <c r="G6963" i="5"/>
  <c r="G6961" i="5"/>
  <c r="G6959" i="5"/>
  <c r="G6957" i="5"/>
  <c r="G6955" i="5"/>
  <c r="G6953" i="5"/>
  <c r="G6951" i="5"/>
  <c r="G6949" i="5"/>
  <c r="G6947" i="5"/>
  <c r="G6945" i="5"/>
  <c r="G6943" i="5"/>
  <c r="G6941" i="5"/>
  <c r="G6939" i="5"/>
  <c r="G6937" i="5"/>
  <c r="G6935" i="5"/>
  <c r="G6925" i="5"/>
  <c r="G6923" i="5"/>
  <c r="G6905" i="5"/>
  <c r="G6903" i="5"/>
  <c r="G6901" i="5"/>
  <c r="G6899" i="5"/>
  <c r="G6893" i="5"/>
  <c r="G6891" i="5"/>
  <c r="G6889" i="5"/>
  <c r="G6887" i="5"/>
  <c r="G6885" i="5"/>
  <c r="G6883" i="5"/>
  <c r="G6881" i="5"/>
  <c r="G6879" i="5"/>
  <c r="G6877" i="5"/>
  <c r="G6875" i="5"/>
  <c r="G6873" i="5"/>
  <c r="G6871" i="5"/>
  <c r="G6681" i="5"/>
  <c r="G6679" i="5"/>
  <c r="G6677" i="5"/>
  <c r="G6675" i="5"/>
  <c r="G6673" i="5"/>
  <c r="G6671" i="5"/>
  <c r="G6669" i="5"/>
  <c r="G6667" i="5"/>
  <c r="G6665" i="5"/>
  <c r="G6663" i="5"/>
  <c r="G6649" i="5"/>
  <c r="G6647" i="5"/>
  <c r="G6645" i="5"/>
  <c r="G6643" i="5"/>
  <c r="G6641" i="5"/>
  <c r="G6639" i="5"/>
  <c r="G6625" i="5"/>
  <c r="G6623" i="5"/>
  <c r="G6621" i="5"/>
  <c r="G6619" i="5"/>
  <c r="G6617" i="5"/>
  <c r="G6615" i="5"/>
  <c r="G6613" i="5"/>
  <c r="G6611" i="5"/>
  <c r="G6609" i="5"/>
  <c r="G6607" i="5"/>
  <c r="G6605" i="5"/>
  <c r="G6603" i="5"/>
  <c r="G6601" i="5"/>
  <c r="G6599" i="5"/>
  <c r="G6597" i="5"/>
  <c r="G6595" i="5"/>
  <c r="G6593" i="5"/>
  <c r="G6591" i="5"/>
  <c r="G6585" i="5"/>
  <c r="G6583" i="5"/>
  <c r="G6581" i="5"/>
  <c r="G6579" i="5"/>
  <c r="G6577" i="5"/>
  <c r="G6575" i="5"/>
  <c r="G6573" i="5"/>
  <c r="G6571" i="5"/>
  <c r="G6569" i="5"/>
  <c r="G6567" i="5"/>
  <c r="G6565" i="5"/>
  <c r="G6563" i="5"/>
  <c r="G6557" i="5"/>
  <c r="G6555" i="5"/>
  <c r="G6553" i="5"/>
  <c r="G6551" i="5"/>
  <c r="G6549" i="5"/>
  <c r="G6547" i="5"/>
  <c r="G6545" i="5"/>
  <c r="G6543" i="5"/>
  <c r="G6537" i="5"/>
  <c r="G6535" i="5"/>
  <c r="G6533" i="5"/>
  <c r="G6531" i="5"/>
  <c r="G6529" i="5"/>
  <c r="G6527" i="5"/>
  <c r="G6525" i="5"/>
  <c r="G6523" i="5"/>
  <c r="G6521" i="5"/>
  <c r="G6519" i="5"/>
  <c r="G6517" i="5"/>
  <c r="G6515" i="5"/>
  <c r="G6513" i="5"/>
  <c r="G6511" i="5"/>
  <c r="G6509" i="5"/>
  <c r="G6507" i="5"/>
  <c r="G6505" i="5"/>
  <c r="G6503" i="5"/>
  <c r="B6962" i="5"/>
  <c r="B6958" i="5"/>
  <c r="B6954" i="5"/>
  <c r="B6950" i="5"/>
  <c r="B6946" i="5"/>
  <c r="B6942" i="5"/>
  <c r="B6938" i="5"/>
  <c r="B6934" i="5"/>
  <c r="B6922" i="5"/>
  <c r="B6902" i="5"/>
  <c r="B6898" i="5"/>
  <c r="B6890" i="5"/>
  <c r="B6886" i="5"/>
  <c r="B6882" i="5"/>
  <c r="B6878" i="5"/>
  <c r="B6874" i="5"/>
  <c r="B6870" i="5"/>
  <c r="B6678" i="5"/>
  <c r="B6674" i="5"/>
  <c r="B6670" i="5"/>
  <c r="B6666" i="5"/>
  <c r="B6662" i="5"/>
  <c r="B6646" i="5"/>
  <c r="B6642" i="5"/>
  <c r="B6638" i="5"/>
  <c r="B6622" i="5"/>
  <c r="B6618" i="5"/>
  <c r="B6614" i="5"/>
  <c r="B6610" i="5"/>
  <c r="B6606" i="5"/>
  <c r="B6602" i="5"/>
  <c r="B6598" i="5"/>
  <c r="B6594" i="5"/>
  <c r="B6590" i="5"/>
  <c r="B6582" i="5"/>
  <c r="B6578" i="5"/>
  <c r="B6574" i="5"/>
  <c r="B6570" i="5"/>
  <c r="B6566" i="5"/>
  <c r="B6562" i="5"/>
  <c r="B6554" i="5"/>
  <c r="B6550" i="5"/>
  <c r="B6546" i="5"/>
  <c r="B6542" i="5"/>
  <c r="B6534" i="5"/>
  <c r="B6530" i="5"/>
  <c r="B6526" i="5"/>
  <c r="B6522" i="5"/>
  <c r="B6518" i="5"/>
  <c r="B6514" i="5"/>
  <c r="B6510" i="5"/>
  <c r="B6506" i="5"/>
  <c r="B6502" i="5"/>
  <c r="G6501" i="5"/>
  <c r="G6499" i="5"/>
  <c r="B6498" i="5"/>
  <c r="F134" i="7"/>
  <c r="F130" i="7"/>
  <c r="G6479" i="5"/>
  <c r="G6474" i="5"/>
  <c r="B6473" i="5"/>
  <c r="G6472" i="5"/>
  <c r="G6467" i="5"/>
  <c r="B6466" i="5"/>
  <c r="G6465" i="5"/>
  <c r="G6460" i="5"/>
  <c r="G6458" i="5"/>
  <c r="G6451" i="5"/>
  <c r="B6450" i="5"/>
  <c r="G6449" i="5"/>
  <c r="G6446" i="5"/>
  <c r="B6445" i="5"/>
  <c r="G6422" i="5"/>
  <c r="G6420" i="5"/>
  <c r="G6419" i="5"/>
  <c r="B6419" i="5"/>
  <c r="G6418" i="5"/>
  <c r="G6416" i="5"/>
  <c r="G6415" i="5"/>
  <c r="B6415" i="5"/>
  <c r="G6423" i="5"/>
  <c r="G6414" i="5"/>
  <c r="G6411" i="5"/>
  <c r="G6410" i="5"/>
  <c r="B6410" i="5"/>
  <c r="G6409" i="5"/>
  <c r="G6407" i="5"/>
  <c r="G6406" i="5"/>
  <c r="B6406" i="5"/>
  <c r="G6405" i="5"/>
  <c r="G6400" i="5"/>
  <c r="B6399" i="5"/>
  <c r="G6432" i="5"/>
  <c r="G6429" i="5"/>
  <c r="B6428" i="5"/>
  <c r="G6427" i="5"/>
  <c r="G6424" i="5"/>
  <c r="B6423" i="5"/>
  <c r="F121" i="7"/>
  <c r="F107" i="7"/>
  <c r="F92" i="7"/>
  <c r="F80" i="7"/>
  <c r="F60" i="7"/>
  <c r="F47" i="7"/>
  <c r="F46" i="7"/>
  <c r="F33" i="7"/>
  <c r="F25" i="7"/>
  <c r="F24" i="7"/>
  <c r="F18" i="7"/>
  <c r="F16" i="7"/>
  <c r="F12" i="7"/>
  <c r="F11" i="7"/>
  <c r="F10" i="7"/>
  <c r="F7" i="7"/>
  <c r="G6398" i="5"/>
  <c r="G6394" i="5"/>
  <c r="G6393" i="5"/>
  <c r="G6392" i="5"/>
  <c r="G6387" i="5"/>
  <c r="G6372" i="5"/>
  <c r="G6371" i="5"/>
  <c r="G6358" i="5"/>
  <c r="G6353" i="5"/>
  <c r="G6344" i="5"/>
  <c r="G6334" i="5"/>
  <c r="G6333" i="5"/>
  <c r="G6310" i="5"/>
  <c r="G6299" i="5"/>
  <c r="G6290" i="5"/>
  <c r="G6282" i="5"/>
  <c r="G6274" i="5"/>
  <c r="G6263" i="5"/>
  <c r="G6254" i="5"/>
  <c r="G6248" i="5"/>
  <c r="G6242" i="5"/>
  <c r="G6235" i="5"/>
  <c r="G6229" i="5"/>
  <c r="G6228" i="5"/>
  <c r="G6222" i="5"/>
  <c r="G6213" i="5"/>
  <c r="G6205" i="5"/>
  <c r="G6197" i="5"/>
  <c r="G6192" i="5"/>
  <c r="G6191" i="5"/>
  <c r="G6187" i="5"/>
  <c r="G6186" i="5"/>
  <c r="G6180" i="5"/>
  <c r="G6179" i="5"/>
  <c r="G6178" i="5"/>
  <c r="G6169" i="5"/>
  <c r="G6168" i="5"/>
  <c r="G6167" i="5"/>
  <c r="G6158" i="5"/>
  <c r="G6157" i="5"/>
  <c r="G6156" i="5"/>
  <c r="G6154" i="5"/>
  <c r="G6152" i="5"/>
  <c r="G6150" i="5"/>
  <c r="G6148" i="5"/>
  <c r="G6146" i="5"/>
  <c r="G6138" i="5"/>
  <c r="G6137" i="5"/>
  <c r="G6124" i="5"/>
  <c r="G6122" i="5"/>
  <c r="G6120" i="5"/>
  <c r="G6118" i="5"/>
  <c r="G6116" i="5"/>
  <c r="G6114" i="5"/>
  <c r="G6112" i="5"/>
  <c r="G6110" i="5"/>
  <c r="G6108" i="5"/>
  <c r="G6106" i="5"/>
  <c r="G6104" i="5"/>
  <c r="G6102" i="5"/>
  <c r="G6100" i="5"/>
  <c r="G6098" i="5"/>
  <c r="G6096" i="5"/>
  <c r="G6094" i="5"/>
  <c r="G6092" i="5"/>
  <c r="G6090" i="5"/>
  <c r="G6088" i="5"/>
  <c r="G6086" i="5"/>
  <c r="G6084" i="5"/>
  <c r="G6082" i="5"/>
  <c r="G6081" i="5"/>
  <c r="G6080" i="5"/>
  <c r="G6078" i="5"/>
  <c r="G6076" i="5"/>
  <c r="G6074" i="5"/>
  <c r="G6073" i="5"/>
  <c r="G6072" i="5"/>
  <c r="G6070" i="5"/>
  <c r="G6068" i="5"/>
  <c r="G6066" i="5"/>
  <c r="G6056" i="5"/>
  <c r="G6054" i="5"/>
  <c r="G6052" i="5"/>
  <c r="G6050" i="5"/>
  <c r="G6048" i="5"/>
  <c r="G6046" i="5"/>
  <c r="G6040" i="5"/>
  <c r="G6038" i="5"/>
  <c r="G6036" i="5"/>
  <c r="G6034" i="5"/>
  <c r="G6033" i="5"/>
  <c r="G6032" i="5"/>
  <c r="G6030" i="5"/>
  <c r="G6029" i="5"/>
  <c r="G6028" i="5"/>
  <c r="G6026" i="5"/>
  <c r="G6025" i="5"/>
  <c r="G6024" i="5"/>
  <c r="G6022" i="5"/>
  <c r="G6021" i="5"/>
  <c r="G6020" i="5"/>
  <c r="G6018" i="5"/>
  <c r="G6017" i="5"/>
  <c r="G6016" i="5"/>
  <c r="G6014" i="5"/>
  <c r="G6013" i="5"/>
  <c r="G6012" i="5"/>
  <c r="G6010" i="5"/>
  <c r="G6009" i="5"/>
  <c r="G6008" i="5"/>
  <c r="G6006" i="5"/>
  <c r="G6005" i="5"/>
  <c r="G6004" i="5"/>
  <c r="G6002" i="5"/>
  <c r="G6000" i="5"/>
  <c r="G5998" i="5"/>
  <c r="G5996" i="5"/>
  <c r="G5994" i="5"/>
  <c r="G5992" i="5"/>
  <c r="G5990" i="5"/>
  <c r="G5988" i="5"/>
  <c r="G5986" i="5"/>
  <c r="G5984" i="5"/>
  <c r="G5982" i="5"/>
  <c r="G5980" i="5"/>
  <c r="G5978" i="5"/>
  <c r="G5976" i="5"/>
  <c r="G5974" i="5"/>
  <c r="G5972" i="5"/>
  <c r="G5970" i="5"/>
  <c r="G5968" i="5"/>
  <c r="G5966" i="5"/>
  <c r="G5964" i="5"/>
  <c r="G5962" i="5"/>
  <c r="G5960" i="5"/>
  <c r="G5958" i="5"/>
  <c r="G5956" i="5"/>
  <c r="G5954" i="5"/>
  <c r="G5952" i="5"/>
  <c r="G5950" i="5"/>
  <c r="G5948" i="5"/>
  <c r="G5946" i="5"/>
  <c r="G5944" i="5"/>
  <c r="G5942" i="5"/>
  <c r="G5940" i="5"/>
  <c r="G5938" i="5"/>
  <c r="G5936" i="5"/>
  <c r="G5934" i="5"/>
  <c r="G5932" i="5"/>
  <c r="G5930" i="5"/>
  <c r="G5928" i="5"/>
  <c r="G5926" i="5"/>
  <c r="G5924" i="5"/>
  <c r="G5922" i="5"/>
  <c r="G5920" i="5"/>
  <c r="G5918" i="5"/>
  <c r="G5916" i="5"/>
  <c r="G5914" i="5"/>
  <c r="G5912" i="5"/>
  <c r="G5910" i="5"/>
  <c r="G5908" i="5"/>
  <c r="G5906" i="5"/>
  <c r="G5904" i="5"/>
  <c r="G5902" i="5"/>
  <c r="G5900" i="5"/>
  <c r="G5898" i="5"/>
  <c r="G5896" i="5"/>
  <c r="G5894" i="5"/>
  <c r="G5892" i="5"/>
  <c r="G5890" i="5"/>
  <c r="G5888" i="5"/>
  <c r="G5886" i="5"/>
  <c r="G5884" i="5"/>
  <c r="G5882" i="5"/>
  <c r="G5880" i="5"/>
  <c r="G5878" i="5"/>
  <c r="G5876" i="5"/>
  <c r="G5874" i="5"/>
  <c r="G5872" i="5"/>
  <c r="G5870" i="5"/>
  <c r="G5868" i="5"/>
  <c r="G5866" i="5"/>
  <c r="G5864" i="5"/>
  <c r="G5862" i="5"/>
  <c r="G5860" i="5"/>
  <c r="G5858" i="5"/>
  <c r="G5856" i="5"/>
  <c r="G5854" i="5"/>
  <c r="G5852" i="5"/>
  <c r="G5850" i="5"/>
  <c r="G5848" i="5"/>
  <c r="G5846" i="5"/>
  <c r="G5844" i="5"/>
  <c r="G5842" i="5"/>
  <c r="G5840" i="5"/>
  <c r="G5838" i="5"/>
  <c r="G5836" i="5"/>
  <c r="G5834" i="5"/>
  <c r="G5832" i="5"/>
  <c r="G5830" i="5"/>
  <c r="G5828" i="5"/>
  <c r="G5826" i="5"/>
  <c r="G5824" i="5"/>
  <c r="G5822" i="5"/>
  <c r="G5820" i="5"/>
  <c r="G5818" i="5"/>
  <c r="G5816" i="5"/>
  <c r="G5814" i="5"/>
  <c r="G5812" i="5"/>
  <c r="G5810" i="5"/>
  <c r="G5808" i="5"/>
  <c r="G5806" i="5"/>
  <c r="G5804" i="5"/>
  <c r="G5802" i="5"/>
  <c r="G5800" i="5"/>
  <c r="G5798" i="5"/>
  <c r="G5796" i="5"/>
  <c r="G5794" i="5"/>
  <c r="G5792" i="5"/>
  <c r="G5790" i="5"/>
  <c r="G5788" i="5"/>
  <c r="G5786" i="5"/>
  <c r="G5784" i="5"/>
  <c r="G5782" i="5"/>
  <c r="G5780" i="5"/>
  <c r="G5778" i="5"/>
  <c r="G5776" i="5"/>
  <c r="G5774" i="5"/>
  <c r="G5772" i="5"/>
  <c r="G5770" i="5"/>
  <c r="G5768" i="5"/>
  <c r="G5766" i="5"/>
  <c r="G5764" i="5"/>
  <c r="G5762" i="5"/>
  <c r="G5760" i="5"/>
  <c r="G5758" i="5"/>
  <c r="G5756" i="5"/>
  <c r="G5754" i="5"/>
  <c r="G5752" i="5"/>
  <c r="G5750" i="5"/>
  <c r="G5748" i="5"/>
  <c r="G5746" i="5"/>
  <c r="G5745" i="5"/>
  <c r="G5744" i="5"/>
  <c r="G5742" i="5"/>
  <c r="G5741" i="5"/>
  <c r="G5740" i="5"/>
  <c r="G5738" i="5"/>
  <c r="G5737" i="5"/>
  <c r="G5736" i="5"/>
  <c r="G5734" i="5"/>
  <c r="G5733" i="5"/>
  <c r="G5732" i="5"/>
  <c r="G5730" i="5"/>
  <c r="G5729" i="5"/>
  <c r="G5728" i="5"/>
  <c r="G5726" i="5"/>
  <c r="G5725" i="5"/>
  <c r="G5724" i="5"/>
  <c r="G5722" i="5"/>
  <c r="G5721" i="5"/>
  <c r="G5720" i="5"/>
  <c r="G5718" i="5"/>
  <c r="G5717" i="5"/>
  <c r="G5716" i="5"/>
  <c r="G5714" i="5"/>
  <c r="G5712" i="5"/>
  <c r="G5710" i="5"/>
  <c r="G5708" i="5"/>
  <c r="G5706" i="5"/>
  <c r="G5704" i="5"/>
  <c r="G5702" i="5"/>
  <c r="G5700" i="5"/>
  <c r="G5698" i="5"/>
  <c r="G5696" i="5"/>
  <c r="G5694" i="5"/>
  <c r="G5692" i="5"/>
  <c r="G5690" i="5"/>
  <c r="G5688" i="5"/>
  <c r="G5686" i="5"/>
  <c r="G5684" i="5"/>
  <c r="G5682" i="5"/>
  <c r="G5680" i="5"/>
  <c r="G5678" i="5"/>
  <c r="G5676" i="5"/>
  <c r="G5674" i="5"/>
  <c r="G5672" i="5"/>
  <c r="G5670" i="5"/>
  <c r="G5668" i="5"/>
  <c r="G5666" i="5"/>
  <c r="G5664" i="5"/>
  <c r="G5662" i="5"/>
  <c r="G5660" i="5"/>
  <c r="G5658" i="5"/>
  <c r="G5656" i="5"/>
  <c r="G5654" i="5"/>
  <c r="G5652" i="5"/>
  <c r="G5650" i="5"/>
  <c r="G5648" i="5"/>
  <c r="G5646" i="5"/>
  <c r="G5644" i="5"/>
  <c r="G5642" i="5"/>
  <c r="G5640" i="5"/>
  <c r="G5638" i="5"/>
  <c r="G5636" i="5"/>
  <c r="G5634" i="5"/>
  <c r="G5632" i="5"/>
  <c r="G5630" i="5"/>
  <c r="G5628" i="5"/>
  <c r="G5626" i="5"/>
  <c r="G5624" i="5"/>
  <c r="G5622" i="5"/>
  <c r="G5620" i="5"/>
  <c r="G5618" i="5"/>
  <c r="G5616" i="5"/>
  <c r="G5615" i="5"/>
  <c r="G5614" i="5"/>
  <c r="G5612" i="5"/>
  <c r="G5610" i="5"/>
  <c r="G5609" i="5"/>
  <c r="G5608" i="5"/>
  <c r="G5606" i="5"/>
  <c r="G5604" i="5"/>
  <c r="G5603" i="5"/>
  <c r="G5602" i="5"/>
  <c r="G5600" i="5"/>
  <c r="G5598" i="5"/>
  <c r="G5597" i="5"/>
  <c r="G5596" i="5"/>
  <c r="G5594" i="5"/>
  <c r="G5592" i="5"/>
  <c r="G5591" i="5"/>
  <c r="G5590" i="5"/>
  <c r="G5588" i="5"/>
  <c r="G5586" i="5"/>
  <c r="G5585" i="5"/>
  <c r="G5584" i="5"/>
  <c r="G5582" i="5"/>
  <c r="G5580" i="5"/>
  <c r="G5579" i="5"/>
  <c r="G5578" i="5"/>
  <c r="G5576" i="5"/>
  <c r="G5574" i="5"/>
  <c r="G5573" i="5"/>
  <c r="G5572" i="5"/>
  <c r="G5570" i="5"/>
  <c r="G5568" i="5"/>
  <c r="G5567" i="5"/>
  <c r="G5566" i="5"/>
  <c r="G5564" i="5"/>
  <c r="G5562" i="5"/>
  <c r="G5561" i="5"/>
  <c r="G5560" i="5"/>
  <c r="G5558" i="5"/>
  <c r="G5556" i="5"/>
  <c r="G5555" i="5"/>
  <c r="G5554" i="5"/>
  <c r="G5552" i="5"/>
  <c r="G5550" i="5"/>
  <c r="G5549" i="5"/>
  <c r="G5548" i="5"/>
  <c r="G5546" i="5"/>
  <c r="G5544" i="5"/>
  <c r="G5543" i="5"/>
  <c r="G5542" i="5"/>
  <c r="G5540" i="5"/>
  <c r="G5538" i="5"/>
  <c r="G5537" i="5"/>
  <c r="G5536" i="5"/>
  <c r="G5534" i="5"/>
  <c r="G5532" i="5"/>
  <c r="G5531" i="5"/>
  <c r="G5530" i="5"/>
  <c r="G5528" i="5"/>
  <c r="G5526" i="5"/>
  <c r="G5525" i="5"/>
  <c r="G5524" i="5"/>
  <c r="G5522" i="5"/>
  <c r="G5520" i="5"/>
  <c r="G5519" i="5"/>
  <c r="G5518" i="5"/>
  <c r="G5516" i="5"/>
  <c r="G5514" i="5"/>
  <c r="G5513" i="5"/>
  <c r="G5512" i="5"/>
  <c r="G5510" i="5"/>
  <c r="G5508" i="5"/>
  <c r="G5507" i="5"/>
  <c r="G5506" i="5"/>
  <c r="G5504" i="5"/>
  <c r="G5502" i="5"/>
  <c r="G5501" i="5"/>
  <c r="G5500" i="5"/>
  <c r="G5498" i="5"/>
  <c r="G5496" i="5"/>
  <c r="G5494" i="5"/>
  <c r="G5493" i="5"/>
  <c r="G5492" i="5"/>
  <c r="G5487" i="5"/>
  <c r="G5485" i="5"/>
  <c r="G5483" i="5"/>
  <c r="G5481" i="5"/>
  <c r="G5477" i="5"/>
  <c r="G5476" i="5"/>
  <c r="G5475" i="5"/>
  <c r="G5471" i="5"/>
  <c r="G5469" i="5"/>
  <c r="G5465" i="5"/>
  <c r="G5463" i="5"/>
  <c r="G5458" i="5"/>
  <c r="G5456" i="5"/>
  <c r="G5452" i="5"/>
  <c r="G5451" i="5"/>
  <c r="G5450" i="5"/>
  <c r="G5446" i="5"/>
  <c r="G5445" i="5"/>
  <c r="G5444" i="5"/>
  <c r="G5434" i="5"/>
  <c r="G5432" i="5"/>
  <c r="G5424" i="5"/>
  <c r="G5422" i="5"/>
  <c r="G5417" i="5"/>
  <c r="G5415" i="5"/>
  <c r="G5409" i="5"/>
  <c r="G5407" i="5"/>
  <c r="G5401" i="5"/>
  <c r="G5399" i="5"/>
  <c r="G5393" i="5"/>
  <c r="G5391" i="5"/>
  <c r="G5387" i="5"/>
  <c r="G5386" i="5"/>
  <c r="G5385" i="5"/>
  <c r="G5381" i="5"/>
  <c r="G5380" i="5"/>
  <c r="G5379" i="5"/>
  <c r="G5374" i="5"/>
  <c r="G5373" i="5"/>
  <c r="G5372" i="5"/>
  <c r="G5368" i="5"/>
  <c r="G5366" i="5"/>
  <c r="G5362" i="5"/>
  <c r="G5361" i="5"/>
  <c r="G5360" i="5"/>
  <c r="G5355" i="5"/>
  <c r="G5353" i="5"/>
  <c r="G5348" i="5"/>
  <c r="G5346" i="5"/>
  <c r="G5341" i="5"/>
  <c r="G5339" i="5"/>
  <c r="G5335" i="5"/>
  <c r="G5333" i="5"/>
  <c r="G5329" i="5"/>
  <c r="G5327" i="5"/>
  <c r="G5323" i="5"/>
  <c r="G5321" i="5"/>
  <c r="G5317" i="5"/>
  <c r="G5315" i="5"/>
  <c r="G5311" i="5"/>
  <c r="G5309" i="5"/>
  <c r="G5305" i="5"/>
  <c r="G5303" i="5"/>
  <c r="G5299" i="5"/>
  <c r="G5297" i="5"/>
  <c r="G5292" i="5"/>
  <c r="G5290" i="5"/>
  <c r="G5286" i="5"/>
  <c r="G5284" i="5"/>
  <c r="G5278" i="5"/>
  <c r="G5277" i="5"/>
  <c r="G5276" i="5"/>
  <c r="G5266" i="5"/>
  <c r="G5264" i="5"/>
  <c r="G5259" i="5"/>
  <c r="G5257" i="5"/>
  <c r="G5253" i="5"/>
  <c r="G5251" i="5"/>
  <c r="G5247" i="5"/>
  <c r="G5245" i="5"/>
  <c r="G5240" i="5"/>
  <c r="G5238" i="5"/>
  <c r="G5233" i="5"/>
  <c r="G5231" i="5"/>
  <c r="G5218" i="5"/>
  <c r="G5216" i="5"/>
  <c r="G5203" i="5"/>
  <c r="G5201" i="5"/>
  <c r="G5195" i="5"/>
  <c r="G5193" i="5"/>
  <c r="G5187" i="5"/>
  <c r="G5185" i="5"/>
  <c r="G5179" i="5"/>
  <c r="G5177" i="5"/>
  <c r="G5173" i="5"/>
  <c r="G5171" i="5"/>
  <c r="G5165" i="5"/>
  <c r="G5163" i="5"/>
  <c r="G5159" i="5"/>
  <c r="G5157" i="5"/>
  <c r="G5151" i="5"/>
  <c r="G5149" i="5"/>
  <c r="G5143" i="5"/>
  <c r="G5141" i="5"/>
  <c r="G5135" i="5"/>
  <c r="G5133" i="5"/>
  <c r="G5127" i="5"/>
  <c r="G5125" i="5"/>
  <c r="G5121" i="5"/>
  <c r="G5119" i="5"/>
  <c r="G5110" i="5"/>
  <c r="G5108" i="5"/>
  <c r="G5103" i="5"/>
  <c r="G5101" i="5"/>
  <c r="G5096" i="5"/>
  <c r="G5094" i="5"/>
  <c r="G5090" i="5"/>
  <c r="G5088" i="5"/>
  <c r="G5084" i="5"/>
  <c r="G5082" i="5"/>
  <c r="G5078" i="5"/>
  <c r="G5076" i="5"/>
  <c r="G5072" i="5"/>
  <c r="G5070" i="5"/>
  <c r="G5064" i="5"/>
  <c r="G5063" i="5"/>
  <c r="G5062" i="5"/>
  <c r="G5057" i="5"/>
  <c r="G5055" i="5"/>
  <c r="G5050" i="5"/>
  <c r="G5049" i="5"/>
  <c r="G5048" i="5"/>
  <c r="G5042" i="5"/>
  <c r="G5040" i="5"/>
  <c r="G5036" i="5"/>
  <c r="G5034" i="5"/>
  <c r="G5030" i="5"/>
  <c r="G5028" i="5"/>
  <c r="G5026" i="5"/>
  <c r="G5025" i="5"/>
  <c r="G5024" i="5"/>
  <c r="G5020" i="5"/>
  <c r="G5018" i="5"/>
  <c r="G5012" i="5"/>
  <c r="G5010" i="5"/>
  <c r="G5007" i="5"/>
  <c r="G5006" i="5"/>
  <c r="G5005" i="5"/>
  <c r="G5000" i="5"/>
  <c r="G4999" i="5"/>
  <c r="G4998" i="5"/>
  <c r="G4994" i="5"/>
  <c r="G4992" i="5"/>
  <c r="G4988" i="5"/>
  <c r="G4986" i="5"/>
  <c r="G4982" i="5"/>
  <c r="G4980" i="5"/>
  <c r="G4976" i="5"/>
  <c r="G4974" i="5"/>
  <c r="G4971" i="5"/>
  <c r="G4970" i="5"/>
  <c r="G4969" i="5"/>
  <c r="G4964" i="5"/>
  <c r="G4962" i="5"/>
  <c r="G4957" i="5"/>
  <c r="G4955" i="5"/>
  <c r="G4950" i="5"/>
  <c r="G4948" i="5"/>
  <c r="G4943" i="5"/>
  <c r="G4941" i="5"/>
  <c r="G4938" i="5"/>
  <c r="G4937" i="5"/>
  <c r="G4936" i="5"/>
  <c r="G4931" i="5"/>
  <c r="G4929" i="5"/>
  <c r="G4924" i="5"/>
  <c r="G4922" i="5"/>
  <c r="G4917" i="5"/>
  <c r="G4915" i="5"/>
  <c r="G4910" i="5"/>
  <c r="G4908" i="5"/>
  <c r="G4903" i="5"/>
  <c r="G4901" i="5"/>
  <c r="G4894" i="5"/>
  <c r="G4892" i="5"/>
  <c r="G4884" i="5"/>
  <c r="G4882" i="5"/>
  <c r="G4876" i="5"/>
  <c r="G4875" i="5"/>
  <c r="G4874" i="5"/>
  <c r="G4868" i="5"/>
  <c r="G4867" i="5"/>
  <c r="G4866" i="5"/>
  <c r="G4860" i="5"/>
  <c r="G4859" i="5"/>
  <c r="G4858" i="5"/>
  <c r="G4852" i="5"/>
  <c r="G4851" i="5"/>
  <c r="G4850" i="5"/>
  <c r="G4844" i="5"/>
  <c r="G4843" i="5"/>
  <c r="G4842" i="5"/>
  <c r="G4836" i="5"/>
  <c r="G4835" i="5"/>
  <c r="G4834" i="5"/>
  <c r="G4828" i="5"/>
  <c r="G4827" i="5"/>
  <c r="G4825" i="5"/>
  <c r="G4820" i="5"/>
  <c r="G4819" i="5"/>
  <c r="G4818" i="5"/>
  <c r="G4815" i="5"/>
  <c r="G4814" i="5"/>
  <c r="G4813" i="5"/>
  <c r="G4810" i="5"/>
  <c r="G4809" i="5"/>
  <c r="G4808" i="5"/>
  <c r="G4805" i="5"/>
  <c r="G4804" i="5"/>
  <c r="G4803" i="5"/>
  <c r="G4795" i="5"/>
  <c r="G4793" i="5"/>
  <c r="G4785" i="5"/>
  <c r="G4783" i="5"/>
  <c r="G4780" i="5"/>
  <c r="G4779" i="5"/>
  <c r="G4778" i="5"/>
  <c r="G4769" i="5"/>
  <c r="G4768" i="5"/>
  <c r="G4731" i="5"/>
  <c r="G4730" i="5"/>
  <c r="G4729" i="5"/>
  <c r="G4725" i="5"/>
  <c r="G4724" i="5"/>
  <c r="G4723" i="5"/>
  <c r="G4722" i="5"/>
  <c r="G4721" i="5"/>
  <c r="G4719" i="5"/>
  <c r="G4718" i="5"/>
  <c r="G4713" i="5"/>
  <c r="G4712" i="5"/>
  <c r="G4711" i="5"/>
  <c r="G4710" i="5"/>
  <c r="G4703" i="5"/>
  <c r="G4701" i="5"/>
  <c r="G4694" i="5"/>
  <c r="G4692" i="5"/>
  <c r="G4691" i="5"/>
  <c r="G4690" i="5"/>
  <c r="G4689" i="5"/>
  <c r="G4686" i="5"/>
  <c r="G4685" i="5"/>
  <c r="G4684" i="5"/>
  <c r="G4680" i="5"/>
  <c r="G4678" i="5"/>
  <c r="G4670" i="5"/>
  <c r="G4669" i="5"/>
  <c r="G4668" i="5"/>
  <c r="G4662" i="5"/>
  <c r="G4660" i="5"/>
  <c r="G4654" i="5"/>
  <c r="G4652" i="5"/>
  <c r="G4648" i="5"/>
  <c r="G4646" i="5"/>
  <c r="G4645" i="5"/>
  <c r="G4644" i="5"/>
  <c r="G4643" i="5"/>
  <c r="G4640" i="5"/>
  <c r="G4638" i="5"/>
  <c r="G4637" i="5"/>
  <c r="G4636" i="5"/>
  <c r="G4628" i="5"/>
  <c r="G4627" i="5"/>
  <c r="G4626" i="5"/>
  <c r="G4622" i="5"/>
  <c r="G4621" i="5"/>
  <c r="G4620" i="5"/>
  <c r="G4619" i="5"/>
  <c r="G4618" i="5"/>
  <c r="G4614" i="5"/>
  <c r="G4613" i="5"/>
  <c r="G4612" i="5"/>
  <c r="G4605" i="5"/>
  <c r="G4603" i="5"/>
  <c r="G4597" i="5"/>
  <c r="G4595" i="5"/>
  <c r="G4594" i="5"/>
  <c r="G4593" i="5"/>
  <c r="G4578" i="5"/>
  <c r="G4577" i="5"/>
  <c r="G4576" i="5"/>
  <c r="G4566" i="5"/>
  <c r="G4564" i="5"/>
  <c r="G4554" i="5"/>
  <c r="G4552" i="5"/>
  <c r="G4548" i="5"/>
  <c r="G4547" i="5"/>
  <c r="G4546" i="5"/>
  <c r="G4543" i="5"/>
  <c r="G4541" i="5"/>
  <c r="G4535" i="5"/>
  <c r="G4533" i="5"/>
  <c r="G4527" i="5"/>
  <c r="G4525" i="5"/>
  <c r="G4522" i="5"/>
  <c r="G4521" i="5"/>
  <c r="G4520" i="5"/>
  <c r="G4517" i="5"/>
  <c r="G4516" i="5"/>
  <c r="G4515" i="5"/>
  <c r="G4511" i="5"/>
  <c r="G4509" i="5"/>
  <c r="G4503" i="5"/>
  <c r="G4501" i="5"/>
  <c r="G4495" i="5"/>
  <c r="G4494" i="5"/>
  <c r="G4493" i="5"/>
  <c r="G4475" i="5"/>
  <c r="G4473" i="5"/>
  <c r="G4469" i="5"/>
  <c r="G4468" i="5"/>
  <c r="G4467" i="5"/>
  <c r="G4457" i="5"/>
  <c r="G4456" i="5"/>
  <c r="G4455" i="5"/>
  <c r="G4445" i="5"/>
  <c r="G4444" i="5"/>
  <c r="G4443" i="5"/>
  <c r="G4437" i="5"/>
  <c r="G4436" i="5"/>
  <c r="G4435" i="5"/>
  <c r="G4427" i="5"/>
  <c r="G4425" i="5"/>
  <c r="G4417" i="5"/>
  <c r="G4415" i="5"/>
  <c r="G4407" i="5"/>
  <c r="G4405" i="5"/>
  <c r="G4399" i="5"/>
  <c r="G4398" i="5"/>
  <c r="G4397" i="5"/>
  <c r="G4391" i="5"/>
  <c r="G4390" i="5"/>
  <c r="G4389" i="5"/>
  <c r="G4381" i="5"/>
  <c r="G4380" i="5"/>
  <c r="G4379" i="5"/>
  <c r="G4372" i="5"/>
  <c r="G4370" i="5"/>
  <c r="G4363" i="5"/>
  <c r="G4361" i="5"/>
  <c r="G4354" i="5"/>
  <c r="G4352" i="5"/>
  <c r="G4345" i="5"/>
  <c r="G4343" i="5"/>
  <c r="G4334" i="5"/>
  <c r="G4332" i="5"/>
  <c r="G4327" i="5"/>
  <c r="G4326" i="5"/>
  <c r="G4325" i="5"/>
  <c r="G4324" i="5"/>
  <c r="G4323" i="5"/>
  <c r="G4300" i="5"/>
  <c r="G4299" i="5"/>
  <c r="G4298" i="5"/>
  <c r="G4297" i="5"/>
  <c r="G4296" i="5"/>
  <c r="G4284" i="5"/>
  <c r="G4282" i="5"/>
  <c r="G4275" i="5"/>
  <c r="G4274" i="5"/>
  <c r="G4273" i="5"/>
  <c r="G4267" i="5"/>
  <c r="G4265" i="5"/>
  <c r="G4262" i="5"/>
  <c r="G4261" i="5"/>
  <c r="G4260" i="5"/>
  <c r="G4255" i="5"/>
  <c r="G4254" i="5"/>
  <c r="G4253" i="5"/>
  <c r="G4246" i="5"/>
  <c r="G4244" i="5"/>
  <c r="G4238" i="5"/>
  <c r="G4236" i="5"/>
  <c r="G4235" i="5"/>
  <c r="G4234" i="5"/>
  <c r="G4230" i="5"/>
  <c r="G4228" i="5"/>
  <c r="G4224" i="5"/>
  <c r="G4222" i="5"/>
  <c r="G4214" i="5"/>
  <c r="G4212" i="5"/>
  <c r="G4208" i="5"/>
  <c r="G4207" i="5"/>
  <c r="G4206" i="5"/>
  <c r="G4202" i="5"/>
  <c r="G4201" i="5"/>
  <c r="G4200" i="5"/>
  <c r="G4196" i="5"/>
  <c r="G4195" i="5"/>
  <c r="G4194" i="5"/>
  <c r="G4189" i="5"/>
  <c r="G4187" i="5"/>
  <c r="G4182" i="5"/>
  <c r="G4180" i="5"/>
  <c r="G4178" i="5"/>
  <c r="G4177" i="5"/>
  <c r="G4176" i="5"/>
  <c r="G4175" i="5"/>
  <c r="G4174" i="5"/>
  <c r="G4167" i="5"/>
  <c r="G4166" i="5"/>
  <c r="G4165" i="5"/>
  <c r="G4156" i="5"/>
  <c r="G4155" i="5"/>
  <c r="G4154" i="5"/>
  <c r="G4148" i="5"/>
  <c r="G4147" i="5"/>
  <c r="G4146" i="5"/>
  <c r="G4144" i="5"/>
  <c r="G4142" i="5"/>
  <c r="G4136" i="5"/>
  <c r="G4134" i="5"/>
  <c r="G4128" i="5"/>
  <c r="G4126" i="5"/>
  <c r="G4120" i="5"/>
  <c r="G4118" i="5"/>
  <c r="G4113" i="5"/>
  <c r="G4112" i="5"/>
  <c r="G4111" i="5"/>
  <c r="G4109" i="5"/>
  <c r="G4108" i="5"/>
  <c r="G4107" i="5"/>
  <c r="G4106" i="5"/>
  <c r="G4105" i="5"/>
  <c r="G4103" i="5"/>
  <c r="G4102" i="5"/>
  <c r="G4101" i="5"/>
  <c r="G4096" i="5"/>
  <c r="G4094" i="5"/>
  <c r="G4090" i="5"/>
  <c r="G4088" i="5"/>
  <c r="G4084" i="5"/>
  <c r="G4082" i="5"/>
  <c r="G4075" i="5"/>
  <c r="G4073" i="5"/>
  <c r="G4066" i="5"/>
  <c r="G4064" i="5"/>
  <c r="G4057" i="5"/>
  <c r="G4055" i="5"/>
  <c r="G4048" i="5"/>
  <c r="G4046" i="5"/>
  <c r="G4039" i="5"/>
  <c r="G4037" i="5"/>
  <c r="G4030" i="5"/>
  <c r="G4028" i="5"/>
  <c r="G4026" i="5"/>
  <c r="G4024" i="5"/>
  <c r="G4022" i="5"/>
  <c r="G4020" i="5"/>
  <c r="G4017" i="5"/>
  <c r="G4016" i="5"/>
  <c r="G4015" i="5"/>
  <c r="G4004" i="5"/>
  <c r="G4002" i="5"/>
  <c r="G4001" i="5"/>
  <c r="G4000" i="5"/>
  <c r="G3991" i="5"/>
  <c r="G3989" i="5"/>
  <c r="G3983" i="5"/>
  <c r="G3981" i="5"/>
  <c r="G3976" i="5"/>
  <c r="G3974" i="5"/>
  <c r="G3966" i="5"/>
  <c r="G3964" i="5"/>
  <c r="G3958" i="5"/>
  <c r="G3956" i="5"/>
  <c r="G3949" i="5"/>
  <c r="G3947" i="5"/>
  <c r="G3942" i="5"/>
  <c r="G3940" i="5"/>
  <c r="G3936" i="5"/>
  <c r="G3935" i="5"/>
  <c r="G3934" i="5"/>
  <c r="G3930" i="5"/>
  <c r="G3928" i="5"/>
  <c r="G3924" i="5"/>
  <c r="G3922" i="5"/>
  <c r="G3906" i="5"/>
  <c r="G3904" i="5"/>
  <c r="G3899" i="5"/>
  <c r="G3897" i="5"/>
  <c r="G3884" i="5"/>
  <c r="G3882" i="5"/>
  <c r="G3881" i="5"/>
  <c r="G3880" i="5"/>
  <c r="G3872" i="5"/>
  <c r="G3871" i="5"/>
  <c r="G3870" i="5"/>
  <c r="G3864" i="5"/>
  <c r="G3862" i="5"/>
  <c r="G3855" i="5"/>
  <c r="G3853" i="5"/>
  <c r="G3845" i="5"/>
  <c r="G3843" i="5"/>
  <c r="G3842" i="5"/>
  <c r="G3841" i="5"/>
  <c r="G3834" i="5"/>
  <c r="G3833" i="5"/>
  <c r="G3832" i="5"/>
  <c r="G3829" i="5"/>
  <c r="G3828" i="5"/>
  <c r="G3823" i="5"/>
  <c r="G3822" i="5"/>
  <c r="G3765" i="5"/>
  <c r="G3763" i="5"/>
  <c r="G3761" i="5"/>
  <c r="G3759" i="5"/>
  <c r="G3757" i="5"/>
  <c r="G3755" i="5"/>
  <c r="G3750" i="5"/>
  <c r="G3748" i="5"/>
  <c r="G3747" i="5"/>
  <c r="G3746" i="5"/>
  <c r="G3745" i="5"/>
  <c r="G3741" i="5"/>
  <c r="G3740" i="5"/>
  <c r="G3739" i="5"/>
  <c r="G3736" i="5"/>
  <c r="G3735" i="5"/>
  <c r="G3734" i="5"/>
  <c r="G3726" i="5"/>
  <c r="G3724" i="5"/>
  <c r="G3722" i="5"/>
  <c r="G3720" i="5"/>
  <c r="G3719" i="5"/>
  <c r="G3718" i="5"/>
  <c r="G3711" i="5"/>
  <c r="G3710" i="5"/>
  <c r="G3698" i="5"/>
  <c r="G3697" i="5"/>
  <c r="G3696" i="5"/>
  <c r="G3686" i="5"/>
  <c r="G3684" i="5"/>
  <c r="G3683" i="5"/>
  <c r="G3682" i="5"/>
  <c r="G3678" i="5"/>
  <c r="G3676" i="5"/>
  <c r="G3675" i="5"/>
  <c r="G3663" i="5"/>
  <c r="G3661" i="5"/>
  <c r="G3657" i="5"/>
  <c r="G3655" i="5"/>
  <c r="G3653" i="5"/>
  <c r="G3652" i="5"/>
  <c r="G3651" i="5"/>
  <c r="G3645" i="5"/>
  <c r="G3644" i="5"/>
  <c r="G3643" i="5"/>
  <c r="G3640" i="5"/>
  <c r="G3638" i="5"/>
  <c r="G3635" i="5"/>
  <c r="G3634" i="5"/>
  <c r="G3633" i="5"/>
  <c r="G3625" i="5"/>
  <c r="G3623" i="5"/>
  <c r="G3619" i="5"/>
  <c r="G3617" i="5"/>
  <c r="G3612" i="5"/>
  <c r="G3610" i="5"/>
  <c r="G3606" i="5"/>
  <c r="G3605" i="5"/>
  <c r="G3604" i="5"/>
  <c r="G3598" i="5"/>
  <c r="G3597" i="5"/>
  <c r="G3596" i="5"/>
  <c r="G3593" i="5"/>
  <c r="G3592" i="5"/>
  <c r="G3591" i="5"/>
  <c r="G3586" i="5"/>
  <c r="G3585" i="5"/>
  <c r="G3584" i="5"/>
  <c r="G3578" i="5"/>
  <c r="G3576" i="5"/>
  <c r="G3572" i="5"/>
  <c r="G3571" i="5"/>
  <c r="G3570" i="5"/>
  <c r="G3566" i="5"/>
  <c r="G3565" i="5"/>
  <c r="G3564" i="5"/>
  <c r="G3563" i="5"/>
  <c r="G3562" i="5"/>
  <c r="G3561" i="5"/>
  <c r="G3550" i="5"/>
  <c r="G3549" i="5"/>
  <c r="G3548" i="5"/>
  <c r="G3543" i="5"/>
  <c r="G3542" i="5"/>
  <c r="G3532" i="5"/>
  <c r="G3531" i="5"/>
  <c r="G3530" i="5"/>
  <c r="G3524" i="5"/>
  <c r="G3523" i="5"/>
  <c r="G3522" i="5"/>
  <c r="G3521" i="5"/>
  <c r="G3520" i="5"/>
  <c r="G3519" i="5"/>
  <c r="G3507" i="5"/>
  <c r="G3506" i="5"/>
  <c r="G3505" i="5"/>
  <c r="G3499" i="5"/>
  <c r="G3498" i="5"/>
  <c r="G3497" i="5"/>
  <c r="G3496" i="5"/>
  <c r="G3495" i="5"/>
  <c r="G3494" i="5"/>
  <c r="G3482" i="5"/>
  <c r="G3481" i="5"/>
  <c r="G3480" i="5"/>
  <c r="G3461" i="5"/>
  <c r="G3460" i="5"/>
  <c r="G3459" i="5"/>
  <c r="G3452" i="5"/>
  <c r="G3451" i="5"/>
  <c r="G3450" i="5"/>
  <c r="G3449" i="5"/>
  <c r="G3448" i="5"/>
  <c r="G3442" i="5"/>
  <c r="G3441" i="5"/>
  <c r="G3440" i="5"/>
  <c r="G3438" i="5"/>
  <c r="G3437" i="5"/>
  <c r="G3436" i="5"/>
  <c r="G3434" i="5"/>
  <c r="G3433" i="5"/>
  <c r="G3432" i="5"/>
  <c r="G3429" i="5"/>
  <c r="G3428" i="5"/>
  <c r="G3427" i="5"/>
  <c r="G3424" i="5"/>
  <c r="G3423" i="5"/>
  <c r="G3422" i="5"/>
  <c r="G3419" i="5"/>
  <c r="G3418" i="5"/>
  <c r="G3417" i="5"/>
  <c r="G3412" i="5"/>
  <c r="G3410" i="5"/>
  <c r="G3405" i="5"/>
  <c r="G3403" i="5"/>
  <c r="G3398" i="5"/>
  <c r="G3396" i="5"/>
  <c r="G3394" i="5"/>
  <c r="G3393" i="5"/>
  <c r="G3390" i="5"/>
  <c r="G3389" i="5"/>
  <c r="G3388" i="5"/>
  <c r="G3385" i="5"/>
  <c r="G3383" i="5"/>
  <c r="G3381" i="5"/>
  <c r="G3379" i="5"/>
  <c r="G3377" i="5"/>
  <c r="G3375" i="5"/>
  <c r="G3370" i="5"/>
  <c r="G3368" i="5"/>
  <c r="G3363" i="5"/>
  <c r="G3361" i="5"/>
  <c r="G3356" i="5"/>
  <c r="G3354" i="5"/>
  <c r="G3351" i="5"/>
  <c r="G3350" i="5"/>
  <c r="G3349" i="5"/>
  <c r="G3348" i="5"/>
  <c r="G3347" i="5"/>
  <c r="G3342" i="5"/>
  <c r="G3340" i="5"/>
  <c r="G3336" i="5"/>
  <c r="G3334" i="5"/>
  <c r="G3330" i="5"/>
  <c r="G3328" i="5"/>
  <c r="G3323" i="5"/>
  <c r="G3321" i="5"/>
  <c r="G3316" i="5"/>
  <c r="G3314" i="5"/>
  <c r="G3309" i="5"/>
  <c r="G3307" i="5"/>
  <c r="G3302" i="5"/>
  <c r="G3300" i="5"/>
  <c r="G3295" i="5"/>
  <c r="G3293" i="5"/>
  <c r="G3288" i="5"/>
  <c r="G3286" i="5"/>
  <c r="G3281" i="5"/>
  <c r="G3279" i="5"/>
  <c r="G3274" i="5"/>
  <c r="G3272" i="5"/>
  <c r="G3267" i="5"/>
  <c r="G3265" i="5"/>
  <c r="G3260" i="5"/>
  <c r="G3258" i="5"/>
  <c r="G3255" i="5"/>
  <c r="G3254" i="5"/>
  <c r="G3253" i="5"/>
  <c r="G3245" i="5"/>
  <c r="G3243" i="5"/>
  <c r="G3239" i="5"/>
  <c r="G3237" i="5"/>
  <c r="G3233" i="5"/>
  <c r="G3231" i="5"/>
  <c r="G3227" i="5"/>
  <c r="G3225" i="5"/>
  <c r="G3224" i="5"/>
  <c r="G3223" i="5"/>
  <c r="G3214" i="5"/>
  <c r="G3212" i="5"/>
  <c r="G3207" i="5"/>
  <c r="G3205" i="5"/>
  <c r="G3203" i="5"/>
  <c r="G3201" i="5"/>
  <c r="G3198" i="5"/>
  <c r="G3197" i="5"/>
  <c r="G3196" i="5"/>
  <c r="G3190" i="5"/>
  <c r="G3188" i="5"/>
  <c r="G3182" i="5"/>
  <c r="G3180" i="5"/>
  <c r="G3173" i="5"/>
  <c r="G3171" i="5"/>
  <c r="G3168" i="5"/>
  <c r="G3167" i="5"/>
  <c r="G3166" i="5"/>
  <c r="G3162" i="5"/>
  <c r="G3161" i="5"/>
  <c r="G3160" i="5"/>
  <c r="G3157" i="5"/>
  <c r="G3156" i="5"/>
  <c r="G3155" i="5"/>
  <c r="G3151" i="5"/>
  <c r="G3150" i="5"/>
  <c r="G3149" i="5"/>
  <c r="G3145" i="5"/>
  <c r="G3144" i="5"/>
  <c r="G3143" i="5"/>
  <c r="G3139" i="5"/>
  <c r="G3138" i="5"/>
  <c r="G3137" i="5"/>
  <c r="G3136" i="5"/>
  <c r="G3135" i="5"/>
  <c r="G3133" i="5"/>
  <c r="G3131" i="5"/>
  <c r="G3128" i="5"/>
  <c r="G3127" i="5"/>
  <c r="G3126" i="5"/>
  <c r="G3123" i="5"/>
  <c r="G3122" i="5"/>
  <c r="G3121" i="5"/>
  <c r="G3118" i="5"/>
  <c r="G3117" i="5"/>
  <c r="G3116" i="5"/>
  <c r="G3113" i="5"/>
  <c r="G3112" i="5"/>
  <c r="G3111" i="5"/>
  <c r="G3108" i="5"/>
  <c r="G3107" i="5"/>
  <c r="G3106" i="5"/>
  <c r="G3103" i="5"/>
  <c r="G3102" i="5"/>
  <c r="G3101" i="5"/>
  <c r="G3098" i="5"/>
  <c r="G3097" i="5"/>
  <c r="G3096" i="5"/>
  <c r="G3093" i="5"/>
  <c r="G3092" i="5"/>
  <c r="G3091" i="5"/>
  <c r="G3088" i="5"/>
  <c r="G3087" i="5"/>
  <c r="G3086" i="5"/>
  <c r="G3080" i="5"/>
  <c r="G3078" i="5"/>
  <c r="G3075" i="5"/>
  <c r="G3074" i="5"/>
  <c r="G3073" i="5"/>
  <c r="G3067" i="5"/>
  <c r="G3065" i="5"/>
  <c r="G3063" i="5"/>
  <c r="G3062" i="5"/>
  <c r="G3061" i="5"/>
  <c r="G3060" i="5"/>
  <c r="G3059" i="5"/>
  <c r="G3058" i="5"/>
  <c r="G3055" i="5"/>
  <c r="G3054" i="5"/>
  <c r="G3053" i="5"/>
  <c r="G3050" i="5"/>
  <c r="G3049" i="5"/>
  <c r="G3048" i="5"/>
  <c r="G3047" i="5"/>
  <c r="G3046" i="5"/>
  <c r="G3045" i="5"/>
  <c r="G3042" i="5"/>
  <c r="G3041" i="5"/>
  <c r="G3040" i="5"/>
  <c r="G3037" i="5"/>
  <c r="G3036" i="5"/>
  <c r="G3035" i="5"/>
  <c r="G3032" i="5"/>
  <c r="G3031" i="5"/>
  <c r="G3030" i="5"/>
  <c r="G3027" i="5"/>
  <c r="G3026" i="5"/>
  <c r="G3025" i="5"/>
  <c r="G3022" i="5"/>
  <c r="G3021" i="5"/>
  <c r="G3020" i="5"/>
  <c r="G3017" i="5"/>
  <c r="G3016" i="5"/>
  <c r="G3015" i="5"/>
  <c r="G3012" i="5"/>
  <c r="G3011" i="5"/>
  <c r="G3010" i="5"/>
  <c r="G3007" i="5"/>
  <c r="G3006" i="5"/>
  <c r="G3005" i="5"/>
  <c r="G3002" i="5"/>
  <c r="G3001" i="5"/>
  <c r="G3000" i="5"/>
  <c r="G2997" i="5"/>
  <c r="G2996" i="5"/>
  <c r="G2995" i="5"/>
  <c r="G2987" i="5"/>
  <c r="G2985" i="5"/>
  <c r="G2982" i="5"/>
  <c r="G2981" i="5"/>
  <c r="G2980" i="5"/>
  <c r="G2977" i="5"/>
  <c r="G2976" i="5"/>
  <c r="G2975" i="5"/>
  <c r="G2972" i="5"/>
  <c r="G2971" i="5"/>
  <c r="G2970" i="5"/>
  <c r="G2967" i="5"/>
  <c r="G2966" i="5"/>
  <c r="G2965" i="5"/>
  <c r="G2962" i="5"/>
  <c r="G2961" i="5"/>
  <c r="G2960" i="5"/>
  <c r="G2957" i="5"/>
  <c r="G2956" i="5"/>
  <c r="G2955" i="5"/>
  <c r="G2952" i="5"/>
  <c r="G2951" i="5"/>
  <c r="G2950" i="5"/>
  <c r="G2947" i="5"/>
  <c r="G2946" i="5"/>
  <c r="G2945" i="5"/>
  <c r="G2942" i="5"/>
  <c r="G2941" i="5"/>
  <c r="G2940" i="5"/>
  <c r="G2937" i="5"/>
  <c r="G2936" i="5"/>
  <c r="G2935" i="5"/>
  <c r="G2934" i="5"/>
  <c r="G2933" i="5"/>
  <c r="G2932" i="5"/>
  <c r="G2929" i="5"/>
  <c r="G2928" i="5"/>
  <c r="G2927" i="5"/>
  <c r="G2926" i="5"/>
  <c r="G2925" i="5"/>
  <c r="G2924" i="5"/>
  <c r="G2921" i="5"/>
  <c r="G2920" i="5"/>
  <c r="G2919" i="5"/>
  <c r="G2918" i="5"/>
  <c r="G2917" i="5"/>
  <c r="G2916" i="5"/>
  <c r="G2913" i="5"/>
  <c r="G2912" i="5"/>
  <c r="G2911" i="5"/>
  <c r="G2910" i="5"/>
  <c r="G2909" i="5"/>
  <c r="G2908" i="5"/>
  <c r="G2905" i="5"/>
  <c r="G2904" i="5"/>
  <c r="G2903" i="5"/>
  <c r="G2902" i="5"/>
  <c r="G2901" i="5"/>
  <c r="G2900" i="5"/>
  <c r="G2897" i="5"/>
  <c r="G2896" i="5"/>
  <c r="G2895" i="5"/>
  <c r="G2892" i="5"/>
  <c r="G2891" i="5"/>
  <c r="G2890" i="5"/>
  <c r="G2887" i="5"/>
  <c r="G2886" i="5"/>
  <c r="G2885" i="5"/>
  <c r="G2882" i="5"/>
  <c r="G2881" i="5"/>
  <c r="G2880" i="5"/>
  <c r="G2875" i="5"/>
  <c r="G2873" i="5"/>
  <c r="G2870" i="5"/>
  <c r="G2869" i="5"/>
  <c r="G2868" i="5"/>
  <c r="G2865" i="5"/>
  <c r="G2864" i="5"/>
  <c r="G2863" i="5"/>
  <c r="G2860" i="5"/>
  <c r="G2859" i="5"/>
  <c r="G2858" i="5"/>
  <c r="G2855" i="5"/>
  <c r="G2854" i="5"/>
  <c r="G2853" i="5"/>
  <c r="G2850" i="5"/>
  <c r="G2849" i="5"/>
  <c r="G2848" i="5"/>
  <c r="G2845" i="5"/>
  <c r="G2844" i="5"/>
  <c r="G2843" i="5"/>
  <c r="G2840" i="5"/>
  <c r="G2839" i="5"/>
  <c r="G2838" i="5"/>
  <c r="G2835" i="5"/>
  <c r="G2834" i="5"/>
  <c r="G2833" i="5"/>
  <c r="G2832" i="5"/>
  <c r="G2831" i="5"/>
  <c r="G2828" i="5"/>
  <c r="G2827" i="5"/>
  <c r="G2826" i="5"/>
  <c r="G2823" i="5"/>
  <c r="G2822" i="5"/>
  <c r="G2821" i="5"/>
  <c r="G2818" i="5"/>
  <c r="G2817" i="5"/>
  <c r="G2816" i="5"/>
  <c r="G2813" i="5"/>
  <c r="G2812" i="5"/>
  <c r="G2811" i="5"/>
  <c r="G2803" i="5"/>
  <c r="G2801" i="5"/>
  <c r="G2798" i="5"/>
  <c r="G2797" i="5"/>
  <c r="G2796" i="5"/>
  <c r="G2793" i="5"/>
  <c r="G2792" i="5"/>
  <c r="G2791" i="5"/>
  <c r="G2787" i="5"/>
  <c r="G2786" i="5"/>
  <c r="G2785" i="5"/>
  <c r="G2777" i="5"/>
  <c r="G2775" i="5"/>
  <c r="G2772" i="5"/>
  <c r="G2771" i="5"/>
  <c r="G2770" i="5"/>
  <c r="G2768" i="5"/>
  <c r="G2766" i="5"/>
  <c r="G2764" i="5"/>
  <c r="G2762" i="5"/>
  <c r="G2760" i="5"/>
  <c r="G2714" i="5"/>
  <c r="G2713" i="5"/>
  <c r="G2712" i="5"/>
  <c r="G2710" i="5"/>
  <c r="G2709" i="5"/>
  <c r="G2708" i="5"/>
  <c r="G2707" i="5"/>
  <c r="G2706" i="5"/>
  <c r="G2704" i="5"/>
  <c r="G2703" i="5"/>
  <c r="G2702" i="5"/>
  <c r="G2701" i="5"/>
  <c r="G2700" i="5"/>
  <c r="G2698" i="5"/>
  <c r="G2697" i="5"/>
  <c r="G2696" i="5"/>
  <c r="G2695" i="5"/>
  <c r="G2694" i="5"/>
  <c r="G2692" i="5"/>
  <c r="G2691" i="5"/>
  <c r="G2690" i="5"/>
  <c r="G2689" i="5"/>
  <c r="G2688" i="5"/>
  <c r="G2686" i="5"/>
  <c r="G2685" i="5"/>
  <c r="G2684" i="5"/>
  <c r="G2683" i="5"/>
  <c r="G2682" i="5"/>
  <c r="G2680" i="5"/>
  <c r="G2679" i="5"/>
  <c r="G2678" i="5"/>
  <c r="G2677" i="5"/>
  <c r="G2676" i="5"/>
  <c r="G2674" i="5"/>
  <c r="G2673" i="5"/>
  <c r="G2672" i="5"/>
  <c r="G2671" i="5"/>
  <c r="G2670" i="5"/>
  <c r="G2668" i="5"/>
  <c r="G2667" i="5"/>
  <c r="G2666" i="5"/>
  <c r="G2665" i="5"/>
  <c r="G2664" i="5"/>
  <c r="G2662" i="5"/>
  <c r="G2661" i="5"/>
  <c r="G2660" i="5"/>
  <c r="G2659" i="5"/>
  <c r="G2658" i="5"/>
  <c r="G2656" i="5"/>
  <c r="G2655" i="5"/>
  <c r="G2654" i="5"/>
  <c r="G2652" i="5"/>
  <c r="G2650" i="5"/>
  <c r="G2648" i="5"/>
  <c r="G2646" i="5"/>
  <c r="G2644" i="5"/>
  <c r="G2638" i="5"/>
  <c r="G2636" i="5"/>
  <c r="G2634" i="5"/>
  <c r="G2632" i="5"/>
  <c r="G2630" i="5"/>
  <c r="G2628" i="5"/>
  <c r="G2627" i="5"/>
  <c r="G2626" i="5"/>
  <c r="G2624" i="5"/>
  <c r="G2623" i="5"/>
  <c r="G2622" i="5"/>
  <c r="G2620" i="5"/>
  <c r="G2619" i="5"/>
  <c r="G2618" i="5"/>
  <c r="G2616" i="5"/>
  <c r="G2615" i="5"/>
  <c r="G2614" i="5"/>
  <c r="G2612" i="5"/>
  <c r="G2611" i="5"/>
  <c r="G2610" i="5"/>
  <c r="G2608" i="5"/>
  <c r="G2607" i="5"/>
  <c r="G2606" i="5"/>
  <c r="G2604" i="5"/>
  <c r="G2602" i="5"/>
  <c r="G2600" i="5"/>
  <c r="G2598" i="5"/>
  <c r="G2596" i="5"/>
  <c r="G2594" i="5"/>
  <c r="G2593" i="5"/>
  <c r="G2592" i="5"/>
  <c r="G2588" i="5"/>
  <c r="G2587" i="5"/>
  <c r="G2586" i="5"/>
  <c r="G2585" i="5"/>
  <c r="G2584" i="5"/>
  <c r="G2580" i="5"/>
  <c r="G2579" i="5"/>
  <c r="G2578" i="5"/>
  <c r="G2577" i="5"/>
  <c r="G2576" i="5"/>
  <c r="G2572" i="5"/>
  <c r="G2571" i="5"/>
  <c r="G2570" i="5"/>
  <c r="G2568" i="5"/>
  <c r="G2567" i="5"/>
  <c r="G2566" i="5"/>
  <c r="G2564" i="5"/>
  <c r="G2563" i="5"/>
  <c r="G2562" i="5"/>
  <c r="G2560" i="5"/>
  <c r="G2559" i="5"/>
  <c r="G2558" i="5"/>
  <c r="G2556" i="5"/>
  <c r="G2555" i="5"/>
  <c r="G2554" i="5"/>
  <c r="G2552" i="5"/>
  <c r="G2551" i="5"/>
  <c r="G2550" i="5"/>
  <c r="G2548" i="5"/>
  <c r="G2547" i="5"/>
  <c r="G2546" i="5"/>
  <c r="G2544" i="5"/>
  <c r="G2542" i="5"/>
  <c r="G2540" i="5"/>
  <c r="G2538" i="5"/>
  <c r="G2536" i="5"/>
  <c r="G2534" i="5"/>
  <c r="G2532" i="5"/>
  <c r="G2531" i="5"/>
  <c r="G2530" i="5"/>
  <c r="G2528" i="5"/>
  <c r="G2527" i="5"/>
  <c r="G2526" i="5"/>
  <c r="G2524" i="5"/>
  <c r="G2523" i="5"/>
  <c r="G2522" i="5"/>
  <c r="G2520" i="5"/>
  <c r="G2519" i="5"/>
  <c r="G2518" i="5"/>
  <c r="G2516" i="5"/>
  <c r="G2515" i="5"/>
  <c r="G2514" i="5"/>
  <c r="G2512" i="5"/>
  <c r="G2511" i="5"/>
  <c r="G2510" i="5"/>
  <c r="G2508" i="5"/>
  <c r="G2507" i="5"/>
  <c r="G2506" i="5"/>
  <c r="G2504" i="5"/>
  <c r="G2503" i="5"/>
  <c r="G2502" i="5"/>
  <c r="G2500" i="5"/>
  <c r="G2499" i="5"/>
  <c r="G2498" i="5"/>
  <c r="G2496" i="5"/>
  <c r="G2494" i="5"/>
  <c r="G2492" i="5"/>
  <c r="G2491" i="5"/>
  <c r="G2490" i="5"/>
  <c r="G2488" i="5"/>
  <c r="G2487" i="5"/>
  <c r="G2486" i="5"/>
  <c r="G2484" i="5"/>
  <c r="G2483" i="5"/>
  <c r="G2482" i="5"/>
  <c r="G2480" i="5"/>
  <c r="G2479" i="5"/>
  <c r="G2478" i="5"/>
  <c r="G2476" i="5"/>
  <c r="G2475" i="5"/>
  <c r="G2474" i="5"/>
  <c r="G2472" i="5"/>
  <c r="G2470" i="5"/>
  <c r="G2468" i="5"/>
  <c r="G2466" i="5"/>
  <c r="G2464" i="5"/>
  <c r="G2462" i="5"/>
  <c r="G2460" i="5"/>
  <c r="G2458" i="5"/>
  <c r="G2456" i="5"/>
  <c r="G2454" i="5"/>
  <c r="G2452" i="5"/>
  <c r="G2451" i="5"/>
  <c r="G2450" i="5"/>
  <c r="G2448" i="5"/>
  <c r="G2446" i="5"/>
  <c r="G2444" i="5"/>
  <c r="G2442" i="5"/>
  <c r="G2440" i="5"/>
  <c r="G2438" i="5"/>
  <c r="G2436" i="5"/>
  <c r="G2434" i="5"/>
  <c r="G2432" i="5"/>
  <c r="G2430" i="5"/>
  <c r="G2428" i="5"/>
  <c r="G2426" i="5"/>
  <c r="G2424" i="5"/>
  <c r="G2422" i="5"/>
  <c r="G2420" i="5"/>
  <c r="G2418" i="5"/>
  <c r="G2416" i="5"/>
  <c r="G2414" i="5"/>
  <c r="G2412" i="5"/>
  <c r="G2410" i="5"/>
  <c r="G2408" i="5"/>
  <c r="G2406" i="5"/>
  <c r="G2404" i="5"/>
  <c r="G2402" i="5"/>
  <c r="G2400" i="5"/>
  <c r="G2398" i="5"/>
  <c r="G2396" i="5"/>
  <c r="G2394" i="5"/>
  <c r="G2390" i="5"/>
  <c r="G2389" i="5"/>
  <c r="G2388" i="5"/>
  <c r="G2383" i="5"/>
  <c r="G2381" i="5"/>
  <c r="G2377" i="5"/>
  <c r="G2375" i="5"/>
  <c r="G2370" i="5"/>
  <c r="G2368" i="5"/>
  <c r="G2362" i="5"/>
  <c r="G2360" i="5"/>
  <c r="G2356" i="5"/>
  <c r="G2354" i="5"/>
  <c r="G2351" i="5"/>
  <c r="G2350" i="5"/>
  <c r="G2349" i="5"/>
  <c r="G2346" i="5"/>
  <c r="G2345" i="5"/>
  <c r="G2344" i="5"/>
  <c r="G2341" i="5"/>
  <c r="G2339" i="5"/>
  <c r="G2335" i="5"/>
  <c r="G2333" i="5"/>
  <c r="G2329" i="5"/>
  <c r="G2327" i="5"/>
  <c r="G2323" i="5"/>
  <c r="G2321" i="5"/>
  <c r="G2317" i="5"/>
  <c r="G2315" i="5"/>
  <c r="G2310" i="5"/>
  <c r="G2308" i="5"/>
  <c r="G2303" i="5"/>
  <c r="G2301" i="5"/>
  <c r="G2293" i="5"/>
  <c r="G2291" i="5"/>
  <c r="G2283" i="5"/>
  <c r="G2281" i="5"/>
  <c r="G2273" i="5"/>
  <c r="G2271" i="5"/>
  <c r="G2263" i="5"/>
  <c r="G2261" i="5"/>
  <c r="G2253" i="5"/>
  <c r="G2251" i="5"/>
  <c r="G2247" i="5"/>
  <c r="G2246" i="5"/>
  <c r="G2245" i="5"/>
  <c r="G2233" i="5"/>
  <c r="G2231" i="5"/>
  <c r="G2227" i="5"/>
  <c r="G2226" i="5"/>
  <c r="G2225" i="5"/>
  <c r="G2221" i="5"/>
  <c r="G2220" i="5"/>
  <c r="G2219" i="5"/>
  <c r="G2214" i="5"/>
  <c r="G2213" i="5"/>
  <c r="G2212" i="5"/>
  <c r="G2207" i="5"/>
  <c r="G2206" i="5"/>
  <c r="G2205" i="5"/>
  <c r="G2202" i="5"/>
  <c r="G2201" i="5"/>
  <c r="G2200" i="5"/>
  <c r="G2199" i="5"/>
  <c r="G2198" i="5"/>
  <c r="G2194" i="5"/>
  <c r="G2192" i="5"/>
  <c r="G2191" i="5"/>
  <c r="G2190" i="5"/>
  <c r="G2186" i="5"/>
  <c r="G2184" i="5"/>
  <c r="G2183" i="5"/>
  <c r="G2182" i="5"/>
  <c r="G2178" i="5"/>
  <c r="G2176" i="5"/>
  <c r="G2175" i="5"/>
  <c r="G2174" i="5"/>
  <c r="G2170" i="5"/>
  <c r="G2168" i="5"/>
  <c r="G2167" i="5"/>
  <c r="G2166" i="5"/>
  <c r="G2162" i="5"/>
  <c r="G2160" i="5"/>
  <c r="G2159" i="5"/>
  <c r="G2158" i="5"/>
  <c r="G2154" i="5"/>
  <c r="G2152" i="5"/>
  <c r="G2151" i="5"/>
  <c r="G2150" i="5"/>
  <c r="G2146" i="5"/>
  <c r="G2144" i="5"/>
  <c r="G2143" i="5"/>
  <c r="G2142" i="5"/>
  <c r="G2138" i="5"/>
  <c r="G2136" i="5"/>
  <c r="G2132" i="5"/>
  <c r="G2130" i="5"/>
  <c r="G2126" i="5"/>
  <c r="G2124" i="5"/>
  <c r="G2120" i="5"/>
  <c r="G2118" i="5"/>
  <c r="G2114" i="5"/>
  <c r="G2112" i="5"/>
  <c r="G2108" i="5"/>
  <c r="G2107" i="5"/>
  <c r="G2106" i="5"/>
  <c r="G2105" i="5"/>
  <c r="G2104" i="5"/>
  <c r="G2100" i="5"/>
  <c r="G2098" i="5"/>
  <c r="G2097" i="5"/>
  <c r="G2096" i="5"/>
  <c r="G2092" i="5"/>
  <c r="G2090" i="5"/>
  <c r="G2089" i="5"/>
  <c r="G2088" i="5"/>
  <c r="G2084" i="5"/>
  <c r="G2082" i="5"/>
  <c r="G2081" i="5"/>
  <c r="G2080" i="5"/>
  <c r="G2076" i="5"/>
  <c r="G2074" i="5"/>
  <c r="G2073" i="5"/>
  <c r="G2072" i="5"/>
  <c r="G2068" i="5"/>
  <c r="G2066" i="5"/>
  <c r="G2065" i="5"/>
  <c r="G2064" i="5"/>
  <c r="G2060" i="5"/>
  <c r="G2058" i="5"/>
  <c r="G2057" i="5"/>
  <c r="G2056" i="5"/>
  <c r="G2052" i="5"/>
  <c r="G2050" i="5"/>
  <c r="G2049" i="5"/>
  <c r="G2048" i="5"/>
  <c r="G2044" i="5"/>
  <c r="G2042" i="5"/>
  <c r="G2041" i="5"/>
  <c r="G2040" i="5"/>
  <c r="G2036" i="5"/>
  <c r="G2034" i="5"/>
  <c r="G2033" i="5"/>
  <c r="G2032" i="5"/>
  <c r="G2028" i="5"/>
  <c r="G2026" i="5"/>
  <c r="G2025" i="5"/>
  <c r="G2024" i="5"/>
  <c r="G2020" i="5"/>
  <c r="G2018" i="5"/>
  <c r="G2014" i="5"/>
  <c r="G2013" i="5"/>
  <c r="G2012" i="5"/>
  <c r="G2007" i="5"/>
  <c r="G2005" i="5"/>
  <c r="G2000" i="5"/>
  <c r="G1998" i="5"/>
  <c r="G1993" i="5"/>
  <c r="G1991" i="5"/>
  <c r="G1986" i="5"/>
  <c r="G1984" i="5"/>
  <c r="G1978" i="5"/>
  <c r="G1976" i="5"/>
  <c r="G1970" i="5"/>
  <c r="G1968" i="5"/>
  <c r="G1963" i="5"/>
  <c r="G1961" i="5"/>
  <c r="G1956" i="5"/>
  <c r="G1954" i="5"/>
  <c r="G1950" i="5"/>
  <c r="G1949" i="5"/>
  <c r="G1948" i="5"/>
  <c r="G1944" i="5"/>
  <c r="G1943" i="5"/>
  <c r="G1942" i="5"/>
  <c r="G1937" i="5"/>
  <c r="G1936" i="5"/>
  <c r="G1935" i="5"/>
  <c r="G1932" i="5"/>
  <c r="G1931" i="5"/>
  <c r="G1930" i="5"/>
  <c r="G1927" i="5"/>
  <c r="G1926" i="5"/>
  <c r="G1925" i="5"/>
  <c r="G1921" i="5"/>
  <c r="G1920" i="5"/>
  <c r="G1919" i="5"/>
  <c r="G1916" i="5"/>
  <c r="G1915" i="5"/>
  <c r="G1914" i="5"/>
  <c r="G1911" i="5"/>
  <c r="G1910" i="5"/>
  <c r="G1909" i="5"/>
  <c r="G1906" i="5"/>
  <c r="G1905" i="5"/>
  <c r="G1904" i="5"/>
  <c r="G1900" i="5"/>
  <c r="G1899" i="5"/>
  <c r="G1898" i="5"/>
  <c r="G1894" i="5"/>
  <c r="G1893" i="5"/>
  <c r="G1892" i="5"/>
  <c r="G1888" i="5"/>
  <c r="G1887" i="5"/>
  <c r="G1886" i="5"/>
  <c r="G1882" i="5"/>
  <c r="G1881" i="5"/>
  <c r="G1880" i="5"/>
  <c r="G1876" i="5"/>
  <c r="G1875" i="5"/>
  <c r="G1874" i="5"/>
  <c r="G1870" i="5"/>
  <c r="G1869" i="5"/>
  <c r="G1868" i="5"/>
  <c r="G1864" i="5"/>
  <c r="G1863" i="5"/>
  <c r="G1862" i="5"/>
  <c r="G1858" i="5"/>
  <c r="G1857" i="5"/>
  <c r="G1856" i="5"/>
  <c r="G1852" i="5"/>
  <c r="G1851" i="5"/>
  <c r="G1850" i="5"/>
  <c r="G1846" i="5"/>
  <c r="G1845" i="5"/>
  <c r="G1844" i="5"/>
  <c r="G1840" i="5"/>
  <c r="G1839" i="5"/>
  <c r="G1838" i="5"/>
  <c r="G1834" i="5"/>
  <c r="G1833" i="5"/>
  <c r="G1832" i="5"/>
  <c r="G1827" i="5"/>
  <c r="G1826" i="5"/>
  <c r="G1825" i="5"/>
  <c r="G1821" i="5"/>
  <c r="G1820" i="5"/>
  <c r="G1819" i="5"/>
  <c r="G1815" i="5"/>
  <c r="G1814" i="5"/>
  <c r="G1813" i="5"/>
  <c r="G1810" i="5"/>
  <c r="G1809" i="5"/>
  <c r="G1808" i="5"/>
  <c r="G1805" i="5"/>
  <c r="G1804" i="5"/>
  <c r="G1803" i="5"/>
  <c r="G1798" i="5"/>
  <c r="G1796" i="5"/>
  <c r="G1791" i="5"/>
  <c r="G1789" i="5"/>
  <c r="G1784" i="5"/>
  <c r="G1782" i="5"/>
  <c r="G1777" i="5"/>
  <c r="G1775" i="5"/>
  <c r="G1770" i="5"/>
  <c r="G1768" i="5"/>
  <c r="G1763" i="5"/>
  <c r="G1761" i="5"/>
  <c r="G1756" i="5"/>
  <c r="G1754" i="5"/>
  <c r="G1749" i="5"/>
  <c r="G1747" i="5"/>
  <c r="G1738" i="5"/>
  <c r="G1736" i="5"/>
  <c r="G1727" i="5"/>
  <c r="G1725" i="5"/>
  <c r="G1716" i="5"/>
  <c r="G1714" i="5"/>
  <c r="G1705" i="5"/>
  <c r="G1703" i="5"/>
  <c r="G1697" i="5"/>
  <c r="G1695" i="5"/>
  <c r="G1691" i="5"/>
  <c r="G1689" i="5"/>
  <c r="G1684" i="5"/>
  <c r="G1683" i="5"/>
  <c r="G1682" i="5"/>
  <c r="G1677" i="5"/>
  <c r="G1675" i="5"/>
  <c r="G1671" i="5"/>
  <c r="G1670" i="5"/>
  <c r="G1669" i="5"/>
  <c r="G1666" i="5"/>
  <c r="G1665" i="5"/>
  <c r="G1664" i="5"/>
  <c r="G1661" i="5"/>
  <c r="G1660" i="5"/>
  <c r="G1659" i="5"/>
  <c r="G1656" i="5"/>
  <c r="G1655" i="5"/>
  <c r="G1654" i="5"/>
  <c r="G1650" i="5"/>
  <c r="G1649" i="5"/>
  <c r="G1648" i="5"/>
  <c r="G1644" i="5"/>
  <c r="G1642" i="5"/>
  <c r="G1638" i="5"/>
  <c r="G1636" i="5"/>
  <c r="G1632" i="5"/>
  <c r="G1630" i="5"/>
  <c r="G1627" i="5"/>
  <c r="G1626" i="5"/>
  <c r="G1625" i="5"/>
  <c r="G1621" i="5"/>
  <c r="G1619" i="5"/>
  <c r="G1615" i="5"/>
  <c r="G1613" i="5"/>
  <c r="G1610" i="5"/>
  <c r="G1609" i="5"/>
  <c r="G1608" i="5"/>
  <c r="G1603" i="5"/>
  <c r="G1602" i="5"/>
  <c r="G1601" i="5"/>
  <c r="G1597" i="5"/>
  <c r="G1595" i="5"/>
  <c r="G1591" i="5"/>
  <c r="G1589" i="5"/>
  <c r="G1585" i="5"/>
  <c r="G1583" i="5"/>
  <c r="G1570" i="5"/>
  <c r="G1569" i="5"/>
  <c r="G1568" i="5"/>
  <c r="G1563" i="5"/>
  <c r="G1561" i="5"/>
  <c r="G1556" i="5"/>
  <c r="G1554" i="5"/>
  <c r="G1549" i="5"/>
  <c r="G1547" i="5"/>
  <c r="G1542" i="5"/>
  <c r="G1540" i="5"/>
  <c r="G1536" i="5"/>
  <c r="G1534" i="5"/>
  <c r="G1530" i="5"/>
  <c r="G1528" i="5"/>
  <c r="G1524" i="5"/>
  <c r="G1522" i="5"/>
  <c r="G1518" i="5"/>
  <c r="G1516" i="5"/>
  <c r="G1512" i="5"/>
  <c r="G1510" i="5"/>
  <c r="G1497" i="5"/>
  <c r="G1496" i="5"/>
  <c r="G1495" i="5"/>
  <c r="G1482" i="5"/>
  <c r="G1481" i="5"/>
  <c r="G1480" i="5"/>
  <c r="G1467" i="5"/>
  <c r="G1466" i="5"/>
  <c r="G1465" i="5"/>
  <c r="G1452" i="5"/>
  <c r="G1451" i="5"/>
  <c r="G1450" i="5"/>
  <c r="G1437" i="5"/>
  <c r="G1436" i="5"/>
  <c r="G1435" i="5"/>
  <c r="G1422" i="5"/>
  <c r="G1421" i="5"/>
  <c r="G1420" i="5"/>
  <c r="G1407" i="5"/>
  <c r="G1406" i="5"/>
  <c r="G1405" i="5"/>
  <c r="G1400" i="5"/>
  <c r="G1398" i="5"/>
  <c r="G1394" i="5"/>
  <c r="G1393" i="5"/>
  <c r="G1392" i="5"/>
  <c r="G1388" i="5"/>
  <c r="G1386" i="5"/>
  <c r="G1382" i="5"/>
  <c r="G1380" i="5"/>
  <c r="G1375" i="5"/>
  <c r="G1373" i="5"/>
  <c r="G1369" i="5"/>
  <c r="G1367" i="5"/>
  <c r="G1363" i="5"/>
  <c r="G1361" i="5"/>
  <c r="G1356" i="5"/>
  <c r="G1354" i="5"/>
  <c r="G1350" i="5"/>
  <c r="G1348" i="5"/>
  <c r="G1343" i="5"/>
  <c r="G1341" i="5"/>
  <c r="G1337" i="5"/>
  <c r="G1335" i="5"/>
  <c r="G1331" i="5"/>
  <c r="G1329" i="5"/>
  <c r="G1325" i="5"/>
  <c r="G1323" i="5"/>
  <c r="G1319" i="5"/>
  <c r="G1317" i="5"/>
  <c r="G1310" i="5"/>
  <c r="G1308" i="5"/>
  <c r="G1302" i="5"/>
  <c r="G1300" i="5"/>
  <c r="G1295" i="5"/>
  <c r="G1294" i="5"/>
  <c r="G1293" i="5"/>
  <c r="G1288" i="5"/>
  <c r="G1287" i="5"/>
  <c r="G1286" i="5"/>
  <c r="G1281" i="5"/>
  <c r="G1280" i="5"/>
  <c r="G1279" i="5"/>
  <c r="G1274" i="5"/>
  <c r="G1273" i="5"/>
  <c r="G1272" i="5"/>
  <c r="G1268" i="5"/>
  <c r="G1267" i="5"/>
  <c r="G1266" i="5"/>
  <c r="G1261" i="5"/>
  <c r="G1259" i="5"/>
  <c r="G1254" i="5"/>
  <c r="G1252" i="5"/>
  <c r="G1247" i="5"/>
  <c r="G1245" i="5"/>
  <c r="G1241" i="5"/>
  <c r="G1240" i="5"/>
  <c r="G1239" i="5"/>
  <c r="G1235" i="5"/>
  <c r="G1234" i="5"/>
  <c r="G1233" i="5"/>
  <c r="G1229" i="5"/>
  <c r="G1228" i="5"/>
  <c r="G1227" i="5"/>
  <c r="G1223" i="5"/>
  <c r="G1222" i="5"/>
  <c r="G1221" i="5"/>
  <c r="G1216" i="5"/>
  <c r="G1214" i="5"/>
  <c r="G1209" i="5"/>
  <c r="G1207" i="5"/>
  <c r="G1202" i="5"/>
  <c r="G1200" i="5"/>
  <c r="G1195" i="5"/>
  <c r="G1193" i="5"/>
  <c r="G1188" i="5"/>
  <c r="G1186" i="5"/>
  <c r="G1181" i="5"/>
  <c r="G1179" i="5"/>
  <c r="G1174" i="5"/>
  <c r="G1172" i="5"/>
  <c r="G1167" i="5"/>
  <c r="G1165" i="5"/>
  <c r="G1160" i="5"/>
  <c r="G1158" i="5"/>
  <c r="G1153" i="5"/>
  <c r="G1151" i="5"/>
  <c r="G1146" i="5"/>
  <c r="G1144" i="5"/>
  <c r="G1139" i="5"/>
  <c r="G1137" i="5"/>
  <c r="G1134" i="5"/>
  <c r="G1132" i="5"/>
  <c r="G1128" i="5"/>
  <c r="G1127" i="5"/>
  <c r="G1126" i="5"/>
  <c r="G1123" i="5"/>
  <c r="G1122" i="5"/>
  <c r="G1121" i="5"/>
  <c r="G1118" i="5"/>
  <c r="G1117" i="5"/>
  <c r="G1116" i="5"/>
  <c r="G1110" i="5"/>
  <c r="G1108" i="5"/>
  <c r="G1107" i="5"/>
  <c r="G1106" i="5"/>
  <c r="G1100" i="5"/>
  <c r="G1098" i="5"/>
  <c r="G1092" i="5"/>
  <c r="G1090" i="5"/>
  <c r="G1084" i="5"/>
  <c r="G1082" i="5"/>
  <c r="G1081" i="5"/>
  <c r="G1080" i="5"/>
  <c r="G1075" i="5"/>
  <c r="G1073" i="5"/>
  <c r="G1068" i="5"/>
  <c r="G1066" i="5"/>
  <c r="G1061" i="5"/>
  <c r="G1059" i="5"/>
  <c r="G1054" i="5"/>
  <c r="G1052" i="5"/>
  <c r="G1047" i="5"/>
  <c r="G1045" i="5"/>
  <c r="G1038" i="5"/>
  <c r="G1036" i="5"/>
  <c r="G1028" i="5"/>
  <c r="G1026" i="5"/>
  <c r="G1023" i="5"/>
  <c r="G1022" i="5"/>
  <c r="G1021" i="5"/>
  <c r="G1014" i="5"/>
  <c r="G1012" i="5"/>
  <c r="G1009" i="5"/>
  <c r="G1008" i="5"/>
  <c r="G1007" i="5"/>
  <c r="G1004" i="5"/>
  <c r="G1003" i="5"/>
  <c r="G1002" i="5"/>
  <c r="G993" i="5"/>
  <c r="G991" i="5"/>
  <c r="G982" i="5"/>
  <c r="G980" i="5"/>
  <c r="G975" i="5"/>
  <c r="G973" i="5"/>
  <c r="G968" i="5"/>
  <c r="G966" i="5"/>
  <c r="G961" i="5"/>
  <c r="G959" i="5"/>
  <c r="G955" i="5"/>
  <c r="G953" i="5"/>
  <c r="G949" i="5"/>
  <c r="G947" i="5"/>
  <c r="G940" i="5"/>
  <c r="G938" i="5"/>
  <c r="G931" i="5"/>
  <c r="G929" i="5"/>
  <c r="G924" i="5"/>
  <c r="G922" i="5"/>
  <c r="G915" i="5"/>
  <c r="G913" i="5"/>
  <c r="G909" i="5"/>
  <c r="G908" i="5"/>
  <c r="G907" i="5"/>
  <c r="G905" i="5"/>
  <c r="G904" i="5"/>
  <c r="G903" i="5"/>
  <c r="G898" i="5"/>
  <c r="G896" i="5"/>
  <c r="G893" i="5"/>
  <c r="G892" i="5"/>
  <c r="G891" i="5"/>
  <c r="G885" i="5"/>
  <c r="G883" i="5"/>
  <c r="G877" i="5"/>
  <c r="G875" i="5"/>
  <c r="G874" i="5"/>
  <c r="G873" i="5"/>
  <c r="G869" i="5"/>
  <c r="G868" i="5"/>
  <c r="G867" i="5"/>
  <c r="G864" i="5"/>
  <c r="G863" i="5"/>
  <c r="G862" i="5"/>
  <c r="G858" i="5"/>
  <c r="G857" i="5"/>
  <c r="G856" i="5"/>
  <c r="G852" i="5"/>
  <c r="G851" i="5"/>
  <c r="G850" i="5"/>
  <c r="G847" i="5"/>
  <c r="G846" i="5"/>
  <c r="G845" i="5"/>
  <c r="G841" i="5"/>
  <c r="G840" i="5"/>
  <c r="G839" i="5"/>
  <c r="G834" i="5"/>
  <c r="G832" i="5"/>
  <c r="G829" i="5"/>
  <c r="G828" i="5"/>
  <c r="G827" i="5"/>
  <c r="G825" i="5"/>
  <c r="G823" i="5"/>
  <c r="G820" i="5"/>
  <c r="G819" i="5"/>
  <c r="G818" i="5"/>
  <c r="G816" i="5"/>
  <c r="G814" i="5"/>
  <c r="G806" i="5"/>
  <c r="G804" i="5"/>
  <c r="G792" i="5"/>
  <c r="G790" i="5"/>
  <c r="G785" i="5"/>
  <c r="G784" i="5"/>
  <c r="G783" i="5"/>
  <c r="G774" i="5"/>
  <c r="G772" i="5"/>
  <c r="G768" i="5"/>
  <c r="G766" i="5"/>
  <c r="G757" i="5"/>
  <c r="G755" i="5"/>
  <c r="G750" i="5"/>
  <c r="G749" i="5"/>
  <c r="G748" i="5"/>
  <c r="G746" i="5"/>
  <c r="G745" i="5"/>
  <c r="G744" i="5"/>
  <c r="G738" i="5"/>
  <c r="G736" i="5"/>
  <c r="G732" i="5"/>
  <c r="G730" i="5"/>
  <c r="G725" i="5"/>
  <c r="G723" i="5"/>
  <c r="G716" i="5"/>
  <c r="G714" i="5"/>
  <c r="G706" i="5"/>
  <c r="G704" i="5"/>
  <c r="G698" i="5"/>
  <c r="G696" i="5"/>
  <c r="G688" i="5"/>
  <c r="G686" i="5"/>
  <c r="G678" i="5"/>
  <c r="G676" i="5"/>
  <c r="G670" i="5"/>
  <c r="G668" i="5"/>
  <c r="G666" i="5"/>
  <c r="G664" i="5"/>
  <c r="G662" i="5"/>
  <c r="G660" i="5"/>
  <c r="G658" i="5"/>
  <c r="G657" i="5"/>
  <c r="G656" i="5"/>
  <c r="G654" i="5"/>
  <c r="G653" i="5"/>
  <c r="G652" i="5"/>
  <c r="G650" i="5"/>
  <c r="G649" i="5"/>
  <c r="G648" i="5"/>
  <c r="G646" i="5"/>
  <c r="G645" i="5"/>
  <c r="G644" i="5"/>
  <c r="G639" i="5"/>
  <c r="G637" i="5"/>
  <c r="G631" i="5"/>
  <c r="G629" i="5"/>
  <c r="G623" i="5"/>
  <c r="G621" i="5"/>
  <c r="G617" i="5"/>
  <c r="G615" i="5"/>
  <c r="G614" i="5"/>
  <c r="G613" i="5"/>
  <c r="G608" i="5"/>
  <c r="G606" i="5"/>
  <c r="G605" i="5"/>
  <c r="G604" i="5"/>
  <c r="G598" i="5"/>
  <c r="G596" i="5"/>
  <c r="G590" i="5"/>
  <c r="G588" i="5"/>
  <c r="G587" i="5"/>
  <c r="G586" i="5"/>
  <c r="G581" i="5"/>
  <c r="G579" i="5"/>
  <c r="G578" i="5"/>
  <c r="G577" i="5"/>
  <c r="G571" i="5"/>
  <c r="G569" i="5"/>
  <c r="G563" i="5"/>
  <c r="G561" i="5"/>
  <c r="G555" i="5"/>
  <c r="G553" i="5"/>
  <c r="G547" i="5"/>
  <c r="G545" i="5"/>
  <c r="G539" i="5"/>
  <c r="G537" i="5"/>
  <c r="G533" i="5"/>
  <c r="G531" i="5"/>
  <c r="G526" i="5"/>
  <c r="G524" i="5"/>
  <c r="G519" i="5"/>
  <c r="G517" i="5"/>
  <c r="G513" i="5"/>
  <c r="G511" i="5"/>
  <c r="G506" i="5"/>
  <c r="G504" i="5"/>
  <c r="G499" i="5"/>
  <c r="G497" i="5"/>
  <c r="G496" i="5"/>
  <c r="G495" i="5"/>
  <c r="G494" i="5"/>
  <c r="G491" i="5"/>
  <c r="G489" i="5"/>
  <c r="G485" i="5"/>
  <c r="G483" i="5"/>
  <c r="G482" i="5"/>
  <c r="G481" i="5"/>
  <c r="G480" i="5"/>
  <c r="G479" i="5"/>
  <c r="G473" i="5"/>
  <c r="G472" i="5"/>
  <c r="G471" i="5"/>
  <c r="G466" i="5"/>
  <c r="G464" i="5"/>
  <c r="G463" i="5"/>
  <c r="G462" i="5"/>
  <c r="G461" i="5"/>
  <c r="G456" i="5"/>
  <c r="G454" i="5"/>
  <c r="G453" i="5"/>
  <c r="G452" i="5"/>
  <c r="G448" i="5"/>
  <c r="G446" i="5"/>
  <c r="G442" i="5"/>
  <c r="G440" i="5"/>
  <c r="G436" i="5"/>
  <c r="G434" i="5"/>
  <c r="G424" i="5"/>
  <c r="G422" i="5"/>
  <c r="G417" i="5"/>
  <c r="G415" i="5"/>
  <c r="G403" i="5"/>
  <c r="G401" i="5"/>
  <c r="G396" i="5"/>
  <c r="G394" i="5"/>
  <c r="G382" i="5"/>
  <c r="G380" i="5"/>
  <c r="G373" i="5"/>
  <c r="G371" i="5"/>
  <c r="G367" i="5"/>
  <c r="G365" i="5"/>
  <c r="G364" i="5"/>
  <c r="G363" i="5"/>
  <c r="G353" i="5"/>
  <c r="G352" i="5"/>
  <c r="G351" i="5"/>
  <c r="G343" i="5"/>
  <c r="G341" i="5"/>
  <c r="G328" i="5"/>
  <c r="G327" i="5"/>
  <c r="G326" i="5"/>
  <c r="G322" i="5"/>
  <c r="G321" i="5"/>
  <c r="G320" i="5"/>
  <c r="G319" i="5"/>
  <c r="G318" i="5"/>
  <c r="G307" i="5"/>
  <c r="G305" i="5"/>
  <c r="G304" i="5"/>
  <c r="G303" i="5"/>
  <c r="G292" i="5"/>
  <c r="G290" i="5"/>
  <c r="G285" i="5"/>
  <c r="G283" i="5"/>
  <c r="G278" i="5"/>
  <c r="G276" i="5"/>
  <c r="G270" i="5"/>
  <c r="G268" i="5"/>
  <c r="G265" i="5"/>
  <c r="G263" i="5"/>
  <c r="G250" i="5"/>
  <c r="G249" i="5"/>
  <c r="G248" i="5"/>
  <c r="G242" i="5"/>
  <c r="G241" i="5"/>
  <c r="G240" i="5"/>
  <c r="G238" i="5"/>
  <c r="G236" i="5"/>
  <c r="G234" i="5"/>
  <c r="G232" i="5"/>
  <c r="G230" i="5"/>
  <c r="G228" i="5"/>
  <c r="G226" i="5"/>
  <c r="G225" i="5"/>
  <c r="G224" i="5"/>
  <c r="G221" i="5"/>
  <c r="G219" i="5"/>
  <c r="G216" i="5"/>
  <c r="G215" i="5"/>
  <c r="G214" i="5"/>
  <c r="G212" i="5"/>
  <c r="G211" i="5"/>
  <c r="G210" i="5"/>
  <c r="G207" i="5"/>
  <c r="G206" i="5"/>
  <c r="G205" i="5"/>
  <c r="G203" i="5"/>
  <c r="G202" i="5"/>
  <c r="G201" i="5"/>
  <c r="G199" i="5"/>
  <c r="G198" i="5"/>
  <c r="G197" i="5"/>
  <c r="G192" i="5"/>
  <c r="G191" i="5"/>
  <c r="G190" i="5"/>
  <c r="G189" i="5"/>
  <c r="G188" i="5"/>
  <c r="G185" i="5"/>
  <c r="G183" i="5"/>
  <c r="G181" i="5"/>
  <c r="G180" i="5"/>
  <c r="G179" i="5"/>
  <c r="G177" i="5"/>
  <c r="G176" i="5"/>
  <c r="G175" i="5"/>
  <c r="G173" i="5"/>
  <c r="G172" i="5"/>
  <c r="G171" i="5"/>
  <c r="G168" i="5"/>
  <c r="G166" i="5"/>
  <c r="G163" i="5"/>
  <c r="G161" i="5"/>
  <c r="G160" i="5"/>
  <c r="G159" i="5"/>
  <c r="G156" i="5"/>
  <c r="G154" i="5"/>
  <c r="G151" i="5"/>
  <c r="G149" i="5"/>
  <c r="G146" i="5"/>
  <c r="G145" i="5"/>
  <c r="G144" i="5"/>
  <c r="G141" i="5"/>
  <c r="G139" i="5"/>
  <c r="G137" i="5"/>
  <c r="G136" i="5"/>
  <c r="G135" i="5"/>
  <c r="G133" i="5"/>
  <c r="G132" i="5"/>
  <c r="G131" i="5"/>
  <c r="G128" i="5"/>
  <c r="G127" i="5"/>
  <c r="G126" i="5"/>
  <c r="G123" i="5"/>
  <c r="G122" i="5"/>
  <c r="G121" i="5"/>
  <c r="G118" i="5"/>
  <c r="G116" i="5"/>
  <c r="G113" i="5"/>
  <c r="G112" i="5"/>
  <c r="G111" i="5"/>
  <c r="G108" i="5"/>
  <c r="G107" i="5"/>
  <c r="G106" i="5"/>
  <c r="G104" i="5"/>
  <c r="G103" i="5"/>
  <c r="G102" i="5"/>
  <c r="G99" i="5"/>
  <c r="G98" i="5"/>
  <c r="G97" i="5"/>
  <c r="G94" i="5"/>
  <c r="G93" i="5"/>
  <c r="G92" i="5"/>
  <c r="G89" i="5"/>
  <c r="G88" i="5"/>
  <c r="G87" i="5"/>
  <c r="G84" i="5"/>
  <c r="G83" i="5"/>
  <c r="G82" i="5"/>
  <c r="G79" i="5"/>
  <c r="G78" i="5"/>
  <c r="G77" i="5"/>
  <c r="G71" i="5"/>
  <c r="G69" i="5"/>
  <c r="G66" i="5"/>
  <c r="G64" i="5"/>
  <c r="G61" i="5"/>
  <c r="G59" i="5"/>
  <c r="G54" i="5"/>
  <c r="G52" i="5"/>
  <c r="G49" i="5"/>
  <c r="G47" i="5"/>
  <c r="G44" i="5"/>
  <c r="G42" i="5"/>
  <c r="G39" i="5"/>
  <c r="G37" i="5"/>
  <c r="G34" i="5"/>
  <c r="G33" i="5"/>
  <c r="G32" i="5"/>
  <c r="G29" i="5"/>
  <c r="G28" i="5"/>
  <c r="G27" i="5"/>
  <c r="G24" i="5"/>
  <c r="G22" i="5"/>
  <c r="G19" i="5"/>
  <c r="G18" i="5"/>
  <c r="G17" i="5"/>
  <c r="G15" i="5"/>
  <c r="G14" i="5"/>
  <c r="G13" i="5"/>
  <c r="G11" i="5"/>
  <c r="G9" i="5"/>
  <c r="G7" i="5"/>
  <c r="B6241" i="5"/>
  <c r="B6234" i="5"/>
  <c r="B6228" i="5"/>
  <c r="B6221" i="5"/>
  <c r="B6212" i="5"/>
  <c r="B6196" i="5"/>
  <c r="B6204" i="5"/>
  <c r="B6191" i="5"/>
  <c r="B6186" i="5"/>
  <c r="B6168" i="5"/>
  <c r="B6157" i="5"/>
  <c r="B6179" i="5"/>
  <c r="B6393" i="5"/>
  <c r="B6386" i="5"/>
  <c r="B6371" i="5"/>
  <c r="B6357" i="5"/>
  <c r="B6352" i="5"/>
  <c r="B6343" i="5"/>
  <c r="B6333" i="5"/>
  <c r="B6309" i="5"/>
  <c r="B6298" i="5"/>
  <c r="B6289" i="5"/>
  <c r="B6281" i="5"/>
  <c r="B6273" i="5"/>
  <c r="B6262" i="5"/>
  <c r="B6253" i="5"/>
  <c r="B6247" i="5"/>
  <c r="B5486" i="5"/>
  <c r="B5493" i="5"/>
  <c r="B5482" i="5"/>
  <c r="B5476" i="5"/>
  <c r="B5470" i="5"/>
  <c r="B5464" i="5"/>
  <c r="B5457" i="5"/>
  <c r="B5451" i="5"/>
  <c r="B5445" i="5"/>
  <c r="B5433" i="5"/>
  <c r="B5423" i="5"/>
  <c r="B5416" i="5"/>
  <c r="B5408" i="5"/>
  <c r="B5400" i="5"/>
  <c r="B5392" i="5"/>
  <c r="B5386" i="5"/>
  <c r="B5380" i="5"/>
  <c r="B5373" i="5"/>
  <c r="B5367" i="5"/>
  <c r="B5361" i="5"/>
  <c r="B5354" i="5"/>
  <c r="B5347" i="5"/>
  <c r="B5340" i="5"/>
  <c r="B5334" i="5"/>
  <c r="B5328" i="5"/>
  <c r="B5322" i="5"/>
  <c r="B5316" i="5"/>
  <c r="B5310" i="5"/>
  <c r="B6153" i="5"/>
  <c r="B6149" i="5"/>
  <c r="B6145" i="5"/>
  <c r="B6137" i="5"/>
  <c r="B6121" i="5"/>
  <c r="B6117" i="5"/>
  <c r="B6113" i="5"/>
  <c r="B6109" i="5"/>
  <c r="B6105" i="5"/>
  <c r="B6101" i="5"/>
  <c r="B6097" i="5"/>
  <c r="B6093" i="5"/>
  <c r="B6089" i="5"/>
  <c r="B6085" i="5"/>
  <c r="B6081" i="5"/>
  <c r="B6077" i="5"/>
  <c r="B6073" i="5"/>
  <c r="B6069" i="5"/>
  <c r="B6065" i="5"/>
  <c r="B6053" i="5"/>
  <c r="B6049" i="5"/>
  <c r="B6045" i="5"/>
  <c r="B6037" i="5"/>
  <c r="B6033" i="5"/>
  <c r="B6029" i="5"/>
  <c r="B6025" i="5"/>
  <c r="B6021" i="5"/>
  <c r="B6017" i="5"/>
  <c r="B6013" i="5"/>
  <c r="B6009" i="5"/>
  <c r="B6005" i="5"/>
  <c r="B6001" i="5"/>
  <c r="B5997" i="5"/>
  <c r="B5993" i="5"/>
  <c r="B5989" i="5"/>
  <c r="B5985" i="5"/>
  <c r="B5981" i="5"/>
  <c r="B5977" i="5"/>
  <c r="B5973" i="5"/>
  <c r="B5969" i="5"/>
  <c r="B5965" i="5"/>
  <c r="B5961" i="5"/>
  <c r="B5957" i="5"/>
  <c r="B5953" i="5"/>
  <c r="B5949" i="5"/>
  <c r="B5945" i="5"/>
  <c r="B5941" i="5"/>
  <c r="B5937" i="5"/>
  <c r="B5933" i="5"/>
  <c r="B5929" i="5"/>
  <c r="B5925" i="5"/>
  <c r="B5921" i="5"/>
  <c r="B5917" i="5"/>
  <c r="B5913" i="5"/>
  <c r="B5909" i="5"/>
  <c r="B5905" i="5"/>
  <c r="B5901" i="5"/>
  <c r="B5897" i="5"/>
  <c r="B5893" i="5"/>
  <c r="B5889" i="5"/>
  <c r="B5885" i="5"/>
  <c r="B5881" i="5"/>
  <c r="B5877" i="5"/>
  <c r="B5873" i="5"/>
  <c r="B5869" i="5"/>
  <c r="B5865" i="5"/>
  <c r="B5861" i="5"/>
  <c r="B5857" i="5"/>
  <c r="B5853" i="5"/>
  <c r="B5849" i="5"/>
  <c r="B5845" i="5"/>
  <c r="B5841" i="5"/>
  <c r="B5837" i="5"/>
  <c r="B5833" i="5"/>
  <c r="B5829" i="5"/>
  <c r="B5825" i="5"/>
  <c r="B5821" i="5"/>
  <c r="B5813" i="5"/>
  <c r="B5809" i="5"/>
  <c r="B5805" i="5"/>
  <c r="B5801" i="5"/>
  <c r="B5797" i="5"/>
  <c r="B5793" i="5"/>
  <c r="B5789" i="5"/>
  <c r="B5785" i="5"/>
  <c r="B5781" i="5"/>
  <c r="B5777" i="5"/>
  <c r="B5773" i="5"/>
  <c r="B5769" i="5"/>
  <c r="B5765" i="5"/>
  <c r="B5761" i="5"/>
  <c r="B5757" i="5"/>
  <c r="B5753" i="5"/>
  <c r="B5749" i="5"/>
  <c r="B5745" i="5"/>
  <c r="B5741" i="5"/>
  <c r="B5737" i="5"/>
  <c r="B5733" i="5"/>
  <c r="B5729" i="5"/>
  <c r="B5725" i="5"/>
  <c r="B5721" i="5"/>
  <c r="B5717" i="5"/>
  <c r="B5713" i="5"/>
  <c r="B5709" i="5"/>
  <c r="B5705" i="5"/>
  <c r="B5701" i="5"/>
  <c r="B5697" i="5"/>
  <c r="B5693" i="5"/>
  <c r="B5689" i="5"/>
  <c r="B5685" i="5"/>
  <c r="B5681" i="5"/>
  <c r="B5677" i="5"/>
  <c r="B5673" i="5"/>
  <c r="B5669" i="5"/>
  <c r="B5665" i="5"/>
  <c r="B5661" i="5"/>
  <c r="B5657" i="5"/>
  <c r="B5653" i="5"/>
  <c r="B5649" i="5"/>
  <c r="B5645" i="5"/>
  <c r="B5641" i="5"/>
  <c r="B5637" i="5"/>
  <c r="B5625" i="5"/>
  <c r="B5633" i="5"/>
  <c r="B5629" i="5"/>
  <c r="B5621" i="5"/>
  <c r="B5617" i="5"/>
  <c r="B5817" i="5"/>
  <c r="B5611" i="5"/>
  <c r="B5605" i="5"/>
  <c r="B5599" i="5"/>
  <c r="B5593" i="5"/>
  <c r="B5587" i="5"/>
  <c r="B5581" i="5"/>
  <c r="B5575" i="5"/>
  <c r="B5569" i="5"/>
  <c r="B5563" i="5"/>
  <c r="B5557" i="5"/>
  <c r="B5551" i="5"/>
  <c r="B5545" i="5"/>
  <c r="B5539" i="5"/>
  <c r="B5533" i="5"/>
  <c r="B5527" i="5"/>
  <c r="B5521" i="5"/>
  <c r="B5515" i="5"/>
  <c r="B5509" i="5"/>
  <c r="B5503" i="5"/>
  <c r="B5497" i="5"/>
  <c r="B2767" i="5"/>
  <c r="B2759" i="5"/>
  <c r="B2763" i="5"/>
  <c r="B2447" i="5"/>
  <c r="B2443" i="5"/>
  <c r="B2651" i="5"/>
  <c r="B2643" i="5"/>
  <c r="B2547" i="5"/>
  <c r="B2543" i="5"/>
  <c r="B2539" i="5"/>
  <c r="B2535" i="5"/>
  <c r="B2531" i="5"/>
  <c r="B2527" i="5"/>
  <c r="B2523" i="5"/>
  <c r="B2519" i="5"/>
  <c r="B2515" i="5"/>
  <c r="B2511" i="5"/>
  <c r="B2507" i="5"/>
  <c r="B2503" i="5"/>
  <c r="B2499" i="5"/>
  <c r="B2495" i="5"/>
  <c r="B2491" i="5"/>
  <c r="B2487" i="5"/>
  <c r="B2483" i="5"/>
  <c r="B2479" i="5"/>
  <c r="B2475" i="5"/>
  <c r="B2471" i="5"/>
  <c r="B2467" i="5"/>
  <c r="B2463" i="5"/>
  <c r="B2459" i="5"/>
  <c r="B2455" i="5"/>
  <c r="B2451" i="5"/>
  <c r="B2439" i="5"/>
  <c r="B2435" i="5"/>
  <c r="B2427" i="5"/>
  <c r="B2423" i="5"/>
  <c r="B2419" i="5"/>
  <c r="B2415" i="5"/>
  <c r="B2411" i="5"/>
  <c r="B2407" i="5"/>
  <c r="B2399" i="5"/>
  <c r="B2395" i="5"/>
  <c r="B5304" i="5"/>
  <c r="B5298" i="5"/>
  <c r="B5277" i="5"/>
  <c r="B5291" i="5"/>
  <c r="B5285" i="5"/>
  <c r="B5265" i="5"/>
  <c r="B5258" i="5"/>
  <c r="B5252" i="5"/>
  <c r="B5246" i="5"/>
  <c r="B5239" i="5"/>
  <c r="B5232" i="5"/>
  <c r="B5217" i="5"/>
  <c r="B5202" i="5"/>
  <c r="B5194" i="5"/>
  <c r="B5186" i="5"/>
  <c r="B5178" i="5"/>
  <c r="B5172" i="5"/>
  <c r="B5164" i="5"/>
  <c r="B5158" i="5"/>
  <c r="B5150" i="5"/>
  <c r="B5142" i="5"/>
  <c r="B5134" i="5"/>
  <c r="B5126" i="5"/>
  <c r="B5120" i="5"/>
  <c r="B5109" i="5"/>
  <c r="B5102" i="5"/>
  <c r="B6459" i="5"/>
  <c r="B5095" i="5"/>
  <c r="B5089" i="5"/>
  <c r="B5083" i="5"/>
  <c r="B5077" i="5"/>
  <c r="B5071" i="5"/>
  <c r="B5063" i="5"/>
  <c r="B5056" i="5"/>
  <c r="B5049" i="5"/>
  <c r="B5041" i="5"/>
  <c r="B5035" i="5"/>
  <c r="B5029" i="5"/>
  <c r="B5025" i="5"/>
  <c r="B5011" i="5"/>
  <c r="B5019" i="5"/>
  <c r="B5006" i="5"/>
  <c r="B4999" i="5"/>
  <c r="B4993" i="5"/>
  <c r="B4987" i="5"/>
  <c r="B4981" i="5"/>
  <c r="B4975" i="5"/>
  <c r="B4970" i="5"/>
  <c r="B4963" i="5"/>
  <c r="B4956" i="5"/>
  <c r="B4949" i="5"/>
  <c r="B4942" i="5"/>
  <c r="B4937" i="5"/>
  <c r="B4930" i="5"/>
  <c r="B4923" i="5"/>
  <c r="B4916" i="5"/>
  <c r="B4909" i="5"/>
  <c r="B4902" i="5"/>
  <c r="B4893" i="5"/>
  <c r="B4883" i="5"/>
  <c r="B4875" i="5"/>
  <c r="B4867" i="5"/>
  <c r="B4859" i="5"/>
  <c r="B4851" i="5"/>
  <c r="B4843" i="5"/>
  <c r="B4835" i="5"/>
  <c r="B4827" i="5"/>
  <c r="B4819" i="5"/>
  <c r="B4814" i="5"/>
  <c r="B4809" i="5"/>
  <c r="B4804" i="5"/>
  <c r="B4794" i="5"/>
  <c r="B4784" i="5"/>
  <c r="B2797" i="5"/>
  <c r="B2792" i="5"/>
  <c r="F6" i="7"/>
  <c r="A1" i="9"/>
  <c r="B4779" i="5"/>
  <c r="B4768" i="5"/>
  <c r="B4724" i="5"/>
  <c r="B4718" i="5"/>
  <c r="B4702" i="5"/>
  <c r="B4693" i="5"/>
  <c r="B4685" i="5"/>
  <c r="B4679" i="5"/>
  <c r="B4669" i="5"/>
  <c r="B4661" i="5"/>
  <c r="B4653" i="5"/>
  <c r="B4647" i="5"/>
  <c r="B4639" i="5"/>
  <c r="B4627" i="5"/>
  <c r="B4621" i="5"/>
  <c r="B4613" i="5"/>
  <c r="B4604" i="5"/>
  <c r="B4596" i="5"/>
  <c r="B4577" i="5"/>
  <c r="B4565" i="5"/>
  <c r="B4553" i="5"/>
  <c r="B4547" i="5"/>
  <c r="B4542" i="5"/>
  <c r="B4534" i="5"/>
  <c r="B4526" i="5"/>
  <c r="B4521" i="5"/>
  <c r="B4516" i="5"/>
  <c r="B4510" i="5"/>
  <c r="B4502" i="5"/>
  <c r="B4494" i="5"/>
  <c r="B4474" i="5"/>
  <c r="B4468" i="5"/>
  <c r="B4456" i="5"/>
  <c r="B4444" i="5"/>
  <c r="B4436" i="5"/>
  <c r="B4426" i="5"/>
  <c r="B4416" i="5"/>
  <c r="B4406" i="5"/>
  <c r="B4398" i="5"/>
  <c r="B4390" i="5"/>
  <c r="B4380" i="5"/>
  <c r="B4371" i="5"/>
  <c r="B4362" i="5"/>
  <c r="B4353" i="5"/>
  <c r="B4344" i="5"/>
  <c r="B4333" i="5"/>
  <c r="B4326" i="5"/>
  <c r="B4299" i="5"/>
  <c r="B4283" i="5"/>
  <c r="B4274" i="5"/>
  <c r="B4266" i="5"/>
  <c r="B4261" i="5"/>
  <c r="B4254" i="5"/>
  <c r="B4245" i="5"/>
  <c r="B4237" i="5"/>
  <c r="B4229" i="5"/>
  <c r="B4223" i="5"/>
  <c r="B4213" i="5"/>
  <c r="B4207" i="5"/>
  <c r="B4201" i="5"/>
  <c r="B4195" i="5"/>
  <c r="B4188" i="5"/>
  <c r="B4181" i="5"/>
  <c r="B4177" i="5"/>
  <c r="B4166" i="5"/>
  <c r="B4155" i="5"/>
  <c r="B4147" i="5"/>
  <c r="B4143" i="5"/>
  <c r="B4135" i="5"/>
  <c r="B4127" i="5"/>
  <c r="B4119" i="5"/>
  <c r="B4112" i="5"/>
  <c r="B4108" i="5"/>
  <c r="B4102" i="5"/>
  <c r="B4095" i="5"/>
  <c r="B4089" i="5"/>
  <c r="B4083" i="5"/>
  <c r="B4074" i="5"/>
  <c r="B4065" i="5"/>
  <c r="B4056" i="5"/>
  <c r="B4047" i="5"/>
  <c r="B4038" i="5"/>
  <c r="B4029" i="5"/>
  <c r="B4025" i="5"/>
  <c r="B4021" i="5"/>
  <c r="B4016" i="5"/>
  <c r="B4003" i="5"/>
  <c r="B3990" i="5"/>
  <c r="B3982" i="5"/>
  <c r="B3975" i="5"/>
  <c r="B3965" i="5"/>
  <c r="B3957" i="5"/>
  <c r="B3948" i="5"/>
  <c r="B3941" i="5"/>
  <c r="B3935" i="5"/>
  <c r="B3929" i="5"/>
  <c r="B3923" i="5"/>
  <c r="B3905" i="5"/>
  <c r="B3898" i="5"/>
  <c r="B3883" i="5"/>
  <c r="B3871" i="5"/>
  <c r="B3863" i="5"/>
  <c r="B3854" i="5"/>
  <c r="B3844" i="5"/>
  <c r="B3833" i="5"/>
  <c r="B3828" i="5"/>
  <c r="B3822" i="5"/>
  <c r="B3764" i="5"/>
  <c r="B3760" i="5"/>
  <c r="B3756" i="5"/>
  <c r="B3749" i="5"/>
  <c r="B3740" i="5"/>
  <c r="B3735" i="5"/>
  <c r="B3725" i="5"/>
  <c r="B3721" i="5"/>
  <c r="B3710" i="5"/>
  <c r="B3697" i="5"/>
  <c r="B3685" i="5"/>
  <c r="B3677" i="5"/>
  <c r="B3662" i="5"/>
  <c r="B3656" i="5"/>
  <c r="B3652" i="5"/>
  <c r="B3644" i="5"/>
  <c r="B3639" i="5"/>
  <c r="B3634" i="5"/>
  <c r="B3624" i="5"/>
  <c r="B3618" i="5"/>
  <c r="B3611" i="5"/>
  <c r="B3605" i="5"/>
  <c r="B3597" i="5"/>
  <c r="B3592" i="5"/>
  <c r="B3585" i="5"/>
  <c r="B3577" i="5"/>
  <c r="B3571" i="5"/>
  <c r="B3565" i="5"/>
  <c r="B3549" i="5"/>
  <c r="B3542" i="5"/>
  <c r="B3523" i="5"/>
  <c r="B3506" i="5"/>
  <c r="B3498" i="5"/>
  <c r="B3481" i="5"/>
  <c r="B3473" i="5"/>
  <c r="B3451" i="5"/>
  <c r="B3441" i="5"/>
  <c r="B3437" i="5"/>
  <c r="B3433" i="5"/>
  <c r="B3428" i="5"/>
  <c r="B3423" i="5"/>
  <c r="B3418" i="5"/>
  <c r="B3411" i="5"/>
  <c r="B3404" i="5"/>
  <c r="B3397" i="5"/>
  <c r="B3393" i="5"/>
  <c r="B3389" i="5"/>
  <c r="B3384" i="5"/>
  <c r="B3380" i="5"/>
  <c r="B3376" i="5"/>
  <c r="B3369" i="5"/>
  <c r="B3362" i="5"/>
  <c r="B3355" i="5"/>
  <c r="B3350" i="5"/>
  <c r="B3341" i="5"/>
  <c r="B3335" i="5"/>
  <c r="B3329" i="5"/>
  <c r="B3322" i="5"/>
  <c r="B3315" i="5"/>
  <c r="B3308" i="5"/>
  <c r="B3301" i="5"/>
  <c r="B3294" i="5"/>
  <c r="B3287" i="5"/>
  <c r="B3280" i="5"/>
  <c r="B3273" i="5"/>
  <c r="B3266" i="5"/>
  <c r="B3259" i="5"/>
  <c r="B3254" i="5"/>
  <c r="B3244" i="5"/>
  <c r="B3238" i="5"/>
  <c r="B3232" i="5"/>
  <c r="B3226" i="5"/>
  <c r="B3213" i="5"/>
  <c r="B3206" i="5"/>
  <c r="B3202" i="5"/>
  <c r="B3197" i="5"/>
  <c r="B3189" i="5"/>
  <c r="B3181" i="5"/>
  <c r="B3172" i="5"/>
  <c r="B3167" i="5"/>
  <c r="B3161" i="5"/>
  <c r="B3156" i="5"/>
  <c r="B3150" i="5"/>
  <c r="B3144" i="5"/>
  <c r="B3138" i="5"/>
  <c r="B3132" i="5"/>
  <c r="B3127" i="5"/>
  <c r="B3122" i="5"/>
  <c r="B3117" i="5"/>
  <c r="B3112" i="5"/>
  <c r="B3107" i="5"/>
  <c r="B3102" i="5"/>
  <c r="B3097" i="5"/>
  <c r="B3092" i="5"/>
  <c r="B3087" i="5"/>
  <c r="B3079" i="5"/>
  <c r="B3074" i="5"/>
  <c r="B3066" i="5"/>
  <c r="B3062" i="5"/>
  <c r="B3054" i="5"/>
  <c r="B3049" i="5"/>
  <c r="B3041" i="5"/>
  <c r="B3036" i="5"/>
  <c r="B3031" i="5"/>
  <c r="B3026" i="5"/>
  <c r="B3021" i="5"/>
  <c r="B3016" i="5"/>
  <c r="B3011" i="5"/>
  <c r="B3006" i="5"/>
  <c r="B3001" i="5"/>
  <c r="B2996" i="5"/>
  <c r="B2986" i="5"/>
  <c r="B2981" i="5"/>
  <c r="B2976" i="5"/>
  <c r="B2971" i="5"/>
  <c r="B2966" i="5"/>
  <c r="B2961" i="5"/>
  <c r="B2956" i="5"/>
  <c r="B2951" i="5"/>
  <c r="B2946" i="5"/>
  <c r="B2941" i="5"/>
  <c r="B2936" i="5"/>
  <c r="B2928" i="5"/>
  <c r="B2920" i="5"/>
  <c r="B2912" i="5"/>
  <c r="B2904" i="5"/>
  <c r="B2896" i="5"/>
  <c r="B2891" i="5"/>
  <c r="B2886" i="5"/>
  <c r="B2881" i="5"/>
  <c r="B2874" i="5"/>
  <c r="B2869" i="5"/>
  <c r="B2864" i="5"/>
  <c r="B2859" i="5"/>
  <c r="B2854" i="5"/>
  <c r="B2849" i="5"/>
  <c r="B2844" i="5"/>
  <c r="B2839" i="5"/>
  <c r="B2834" i="5"/>
  <c r="B2827" i="5"/>
  <c r="B2822" i="5"/>
  <c r="B2817" i="5"/>
  <c r="B2812" i="5"/>
  <c r="B2802" i="5"/>
  <c r="B2786" i="5"/>
  <c r="B2776" i="5"/>
  <c r="B2771" i="5"/>
  <c r="B2709" i="5"/>
  <c r="B2703" i="5"/>
  <c r="B2697" i="5"/>
  <c r="B2691" i="5"/>
  <c r="B2685" i="5"/>
  <c r="B2679" i="5"/>
  <c r="B2673" i="5"/>
  <c r="B2667" i="5"/>
  <c r="B2661" i="5"/>
  <c r="B2655" i="5"/>
  <c r="B2647" i="5"/>
  <c r="B2635" i="5"/>
  <c r="B2631" i="5"/>
  <c r="B2627" i="5"/>
  <c r="B2623" i="5"/>
  <c r="B2619" i="5"/>
  <c r="B2615" i="5"/>
  <c r="B2611" i="5"/>
  <c r="B2607" i="5"/>
  <c r="B2603" i="5"/>
  <c r="B2599" i="5"/>
  <c r="B2595" i="5"/>
  <c r="B2587" i="5"/>
  <c r="B2579" i="5"/>
  <c r="B2571" i="5"/>
  <c r="B2567" i="5"/>
  <c r="B2563" i="5"/>
  <c r="B2559" i="5"/>
  <c r="B2555" i="5"/>
  <c r="B2551" i="5"/>
  <c r="B2431" i="5"/>
  <c r="B2403" i="5"/>
  <c r="B2389" i="5"/>
  <c r="B2382" i="5"/>
  <c r="B2376" i="5"/>
  <c r="B2369" i="5"/>
  <c r="B2361" i="5"/>
  <c r="B2355" i="5"/>
  <c r="B2350" i="5"/>
  <c r="B2345" i="5"/>
  <c r="B2340" i="5"/>
  <c r="B2334" i="5"/>
  <c r="B2328" i="5"/>
  <c r="B2322" i="5"/>
  <c r="B2316" i="5"/>
  <c r="B2309" i="5"/>
  <c r="B2302" i="5"/>
  <c r="B2292" i="5"/>
  <c r="B2282" i="5"/>
  <c r="B2272" i="5"/>
  <c r="B2262" i="5"/>
  <c r="B2252" i="5"/>
  <c r="B2246" i="5"/>
  <c r="B2232" i="5"/>
  <c r="B2226" i="5"/>
  <c r="B2220" i="5"/>
  <c r="B2213" i="5"/>
  <c r="B2206" i="5"/>
  <c r="B2201" i="5"/>
  <c r="B2193" i="5"/>
  <c r="B2185" i="5"/>
  <c r="B2177" i="5"/>
  <c r="B2169" i="5"/>
  <c r="B2161" i="5"/>
  <c r="B2153" i="5"/>
  <c r="B2145" i="5"/>
  <c r="B2137" i="5"/>
  <c r="B2131" i="5"/>
  <c r="B2125" i="5"/>
  <c r="B2119" i="5"/>
  <c r="B2113" i="5"/>
  <c r="B2107" i="5"/>
  <c r="B2099" i="5"/>
  <c r="B2091" i="5"/>
  <c r="B2083" i="5"/>
  <c r="B2075" i="5"/>
  <c r="B2067" i="5"/>
  <c r="B2059" i="5"/>
  <c r="B2051" i="5"/>
  <c r="B2043" i="5"/>
  <c r="B2035" i="5"/>
  <c r="B2027" i="5"/>
  <c r="B2019" i="5"/>
  <c r="B2013" i="5"/>
  <c r="B2006" i="5"/>
  <c r="B1999" i="5"/>
  <c r="B1992" i="5"/>
  <c r="B1985" i="5"/>
  <c r="B1977" i="5"/>
  <c r="B1969" i="5"/>
  <c r="B1962" i="5"/>
  <c r="B1955" i="5"/>
  <c r="B1949" i="5"/>
  <c r="B1943" i="5"/>
  <c r="B1936" i="5"/>
  <c r="B1931" i="5"/>
  <c r="B1926" i="5"/>
  <c r="B1920" i="5"/>
  <c r="B1915" i="5"/>
  <c r="B1910" i="5"/>
  <c r="B1905" i="5"/>
  <c r="B1899" i="5"/>
  <c r="B1893" i="5"/>
  <c r="B1887" i="5"/>
  <c r="B1881" i="5"/>
  <c r="B1875" i="5"/>
  <c r="B1869" i="5"/>
  <c r="B1863" i="5"/>
  <c r="B1857" i="5"/>
  <c r="B1851" i="5"/>
  <c r="B1845" i="5"/>
  <c r="B1839" i="5"/>
  <c r="B1833" i="5"/>
  <c r="B1826" i="5"/>
  <c r="B1820" i="5"/>
  <c r="B1814" i="5"/>
  <c r="B1809" i="5"/>
  <c r="B1804" i="5"/>
  <c r="B1797" i="5"/>
  <c r="B1790" i="5"/>
  <c r="B1783" i="5"/>
  <c r="B1776" i="5"/>
  <c r="B1769" i="5"/>
  <c r="B1762" i="5"/>
  <c r="B1755" i="5"/>
  <c r="B1748" i="5"/>
  <c r="B1737" i="5"/>
  <c r="B1726" i="5"/>
  <c r="B1715" i="5"/>
  <c r="B1704" i="5"/>
  <c r="B1696" i="5"/>
  <c r="B1690" i="5"/>
  <c r="B1683" i="5"/>
  <c r="B1676" i="5"/>
  <c r="B1670" i="5"/>
  <c r="B1665" i="5"/>
  <c r="B1660" i="5"/>
  <c r="B1655" i="5"/>
  <c r="B1649" i="5"/>
  <c r="B1643" i="5"/>
  <c r="B1637" i="5"/>
  <c r="B1631" i="5"/>
  <c r="B1626" i="5"/>
  <c r="B1620" i="5"/>
  <c r="B1614" i="5"/>
  <c r="B1609" i="5"/>
  <c r="B1602" i="5"/>
  <c r="B1596" i="5"/>
  <c r="B1590" i="5"/>
  <c r="B1584" i="5"/>
  <c r="B1569" i="5"/>
  <c r="B1562" i="5"/>
  <c r="B1555" i="5"/>
  <c r="B1548" i="5"/>
  <c r="B1541" i="5"/>
  <c r="B1535" i="5"/>
  <c r="B1529" i="5"/>
  <c r="B1523" i="5"/>
  <c r="B1517" i="5"/>
  <c r="B1511" i="5"/>
  <c r="B1496" i="5"/>
  <c r="B1481" i="5"/>
  <c r="B1466" i="5"/>
  <c r="B1451" i="5"/>
  <c r="B1436" i="5"/>
  <c r="B1421" i="5"/>
  <c r="B1406" i="5"/>
  <c r="B1399" i="5"/>
  <c r="B1393" i="5"/>
  <c r="B1387" i="5"/>
  <c r="B1381" i="5"/>
  <c r="B1374" i="5"/>
  <c r="B1368" i="5"/>
  <c r="B1362" i="5"/>
  <c r="B1355" i="5"/>
  <c r="B1349" i="5"/>
  <c r="B1342" i="5"/>
  <c r="B1336" i="5"/>
  <c r="B1330" i="5"/>
  <c r="B1324" i="5"/>
  <c r="B1318" i="5"/>
  <c r="B1309" i="5"/>
  <c r="B1301" i="5"/>
  <c r="B1294" i="5"/>
  <c r="B1287" i="5"/>
  <c r="B1280" i="5"/>
  <c r="B1273" i="5"/>
  <c r="B1267" i="5"/>
  <c r="B1260" i="5"/>
  <c r="B1253" i="5"/>
  <c r="B1246" i="5"/>
  <c r="B1240" i="5"/>
  <c r="B1234" i="5"/>
  <c r="B1228" i="5"/>
  <c r="B1222" i="5"/>
  <c r="B1215" i="5"/>
  <c r="B1208" i="5"/>
  <c r="B1201" i="5"/>
  <c r="B1194" i="5"/>
  <c r="B1187" i="5"/>
  <c r="B1180" i="5"/>
  <c r="B1173" i="5"/>
  <c r="B1166" i="5"/>
  <c r="B1159" i="5"/>
  <c r="B1152" i="5"/>
  <c r="B1145" i="5"/>
  <c r="B1138" i="5"/>
  <c r="B1133" i="5"/>
  <c r="B1127" i="5"/>
  <c r="B1122" i="5"/>
  <c r="B1117" i="5"/>
  <c r="B1109" i="5"/>
  <c r="B1099" i="5"/>
  <c r="B1091" i="5"/>
  <c r="B1083" i="5"/>
  <c r="B1074" i="5"/>
  <c r="B1067" i="5"/>
  <c r="B1060" i="5"/>
  <c r="B1053" i="5"/>
  <c r="B1046" i="5"/>
  <c r="B1037" i="5"/>
  <c r="B1027" i="5"/>
  <c r="B1022" i="5"/>
  <c r="B1013" i="5"/>
  <c r="B1008" i="5"/>
  <c r="B1003" i="5"/>
  <c r="B992" i="5"/>
  <c r="B981" i="5"/>
  <c r="B974" i="5"/>
  <c r="B967" i="5"/>
  <c r="B960" i="5"/>
  <c r="B954" i="5"/>
  <c r="B948" i="5"/>
  <c r="B939" i="5"/>
  <c r="B930" i="5"/>
  <c r="B923" i="5"/>
  <c r="B914" i="5"/>
  <c r="B908" i="5"/>
  <c r="B904" i="5"/>
  <c r="B897" i="5"/>
  <c r="B892" i="5"/>
  <c r="B884" i="5"/>
  <c r="B876" i="5"/>
  <c r="B868" i="5"/>
  <c r="B863" i="5"/>
  <c r="B857" i="5"/>
  <c r="B851" i="5"/>
  <c r="B846" i="5"/>
  <c r="B840" i="5"/>
  <c r="B833" i="5"/>
  <c r="B828" i="5"/>
  <c r="B824" i="5"/>
  <c r="B819" i="5"/>
  <c r="B815" i="5"/>
  <c r="B805" i="5"/>
  <c r="B791" i="5"/>
  <c r="B784" i="5"/>
  <c r="B773" i="5"/>
  <c r="B767" i="5"/>
  <c r="B756" i="5"/>
  <c r="B749" i="5"/>
  <c r="B745" i="5"/>
  <c r="B737" i="5"/>
  <c r="B731" i="5"/>
  <c r="B724" i="5"/>
  <c r="B715" i="5"/>
  <c r="B705" i="5"/>
  <c r="B697" i="5"/>
  <c r="B687" i="5"/>
  <c r="B677" i="5"/>
  <c r="B669" i="5"/>
  <c r="B665" i="5"/>
  <c r="B661" i="5"/>
  <c r="B657" i="5"/>
  <c r="B653" i="5"/>
  <c r="B649" i="5"/>
  <c r="B645" i="5"/>
  <c r="B638" i="5"/>
  <c r="B630" i="5"/>
  <c r="B622" i="5"/>
  <c r="B616" i="5"/>
  <c r="B607" i="5"/>
  <c r="B597" i="5"/>
  <c r="B589" i="5"/>
  <c r="B580" i="5"/>
  <c r="B570" i="5"/>
  <c r="B562" i="5"/>
  <c r="B554" i="5"/>
  <c r="B546" i="5"/>
  <c r="B538" i="5"/>
  <c r="B532" i="5"/>
  <c r="B525" i="5"/>
  <c r="B518" i="5"/>
  <c r="B512" i="5"/>
  <c r="B505" i="5"/>
  <c r="B498" i="5"/>
  <c r="B490" i="5"/>
  <c r="B484" i="5"/>
  <c r="B472" i="5"/>
  <c r="B465" i="5"/>
  <c r="B455" i="5"/>
  <c r="B447" i="5"/>
  <c r="B441" i="5"/>
  <c r="B435" i="5"/>
  <c r="B423" i="5"/>
  <c r="B416" i="5"/>
  <c r="B402" i="5"/>
  <c r="B395" i="5"/>
  <c r="B381" i="5"/>
  <c r="B372" i="5"/>
  <c r="B366" i="5"/>
  <c r="B352" i="5"/>
  <c r="B342" i="5"/>
  <c r="B327" i="5"/>
  <c r="B321" i="5"/>
  <c r="B306" i="5"/>
  <c r="B291" i="5"/>
  <c r="B284" i="5"/>
  <c r="B277" i="5"/>
  <c r="B269" i="5"/>
  <c r="B264" i="5"/>
  <c r="B249" i="5"/>
  <c r="B241" i="5"/>
  <c r="B237" i="5"/>
  <c r="B233" i="5"/>
  <c r="B229" i="5"/>
  <c r="B225" i="5"/>
  <c r="B220" i="5"/>
  <c r="B215" i="5"/>
  <c r="B211" i="5"/>
  <c r="B206" i="5"/>
  <c r="B202" i="5"/>
  <c r="B198" i="5"/>
  <c r="B191" i="5"/>
  <c r="B184" i="5"/>
  <c r="B180" i="5"/>
  <c r="B176" i="5"/>
  <c r="B172" i="5"/>
  <c r="B167" i="5"/>
  <c r="B162" i="5"/>
  <c r="B155" i="5"/>
  <c r="B150" i="5"/>
  <c r="B145" i="5"/>
  <c r="B140" i="5"/>
  <c r="B136" i="5"/>
  <c r="B132" i="5"/>
  <c r="B127" i="5"/>
  <c r="B122" i="5"/>
  <c r="B117" i="5"/>
  <c r="B112" i="5"/>
  <c r="B107" i="5"/>
  <c r="B103" i="5"/>
  <c r="B98" i="5"/>
  <c r="B93" i="5"/>
  <c r="B88" i="5"/>
  <c r="B83" i="5"/>
  <c r="B78" i="5"/>
  <c r="B70" i="5"/>
  <c r="B65" i="5"/>
  <c r="B60" i="5"/>
  <c r="B53" i="5"/>
  <c r="B48" i="5"/>
  <c r="B43" i="5"/>
  <c r="B38" i="5"/>
  <c r="B33" i="5"/>
  <c r="B28" i="5"/>
  <c r="B23" i="5"/>
  <c r="B18" i="5"/>
  <c r="B14" i="5"/>
  <c r="B10" i="5"/>
  <c r="B6" i="5"/>
  <c r="A3" i="7"/>
  <c r="A1" i="7"/>
  <c r="G3128" i="8"/>
  <c r="G5214" i="5"/>
  <c r="G5215" i="5"/>
  <c r="G2084" i="8"/>
  <c r="G1915" i="8"/>
  <c r="G2002" i="8"/>
  <c r="G1683" i="8"/>
  <c r="G1886" i="8"/>
  <c r="G2057" i="8"/>
  <c r="G1917" i="8"/>
  <c r="G1757" i="8"/>
  <c r="G1327" i="8"/>
  <c r="G1240" i="8"/>
  <c r="G406" i="8"/>
  <c r="G461" i="8"/>
  <c r="G539" i="8"/>
  <c r="G490" i="8"/>
  <c r="G570" i="8"/>
  <c r="G631" i="8"/>
  <c r="G720" i="8"/>
  <c r="G792" i="8"/>
  <c r="G870" i="8"/>
  <c r="G584" i="8"/>
  <c r="G644" i="8"/>
  <c r="G731" i="8"/>
  <c r="G807" i="8"/>
  <c r="G881" i="8"/>
  <c r="G959" i="8"/>
  <c r="G1069" i="8"/>
  <c r="G1154" i="8"/>
  <c r="G1051" i="8"/>
  <c r="G1199" i="8"/>
  <c r="G1132" i="8"/>
  <c r="F530" i="8"/>
  <c r="H767" i="8"/>
  <c r="G3267" i="8"/>
  <c r="G1221" i="8"/>
  <c r="G952" i="8"/>
  <c r="G1721" i="8"/>
  <c r="G2456" i="8"/>
  <c r="G1136" i="8"/>
  <c r="G1223" i="8"/>
  <c r="G1067" i="8"/>
  <c r="G1158" i="8"/>
  <c r="G1237" i="8"/>
  <c r="G1073" i="8"/>
  <c r="G967" i="8"/>
  <c r="G891" i="8"/>
  <c r="G809" i="8"/>
  <c r="G735" i="8"/>
  <c r="G659" i="8"/>
  <c r="G600" i="8"/>
  <c r="G956" i="8"/>
  <c r="G878" i="8"/>
  <c r="G796" i="8"/>
  <c r="G728" i="8"/>
  <c r="G651" i="8"/>
  <c r="G578" i="8"/>
  <c r="G492" i="8"/>
  <c r="G405" i="8"/>
  <c r="G547" i="8"/>
  <c r="G463" i="8"/>
  <c r="G430" i="8"/>
  <c r="G1318" i="8"/>
  <c r="G1725" i="8"/>
  <c r="G1689" i="8"/>
  <c r="G1765" i="8"/>
  <c r="G1977" i="8"/>
  <c r="G1866" i="8"/>
  <c r="G1647" i="8"/>
  <c r="G1954" i="8"/>
  <c r="G2403" i="8"/>
  <c r="G1968" i="8"/>
  <c r="G2588" i="8"/>
  <c r="G3228" i="8"/>
  <c r="G1108" i="8"/>
  <c r="G1179" i="8"/>
  <c r="G1031" i="8"/>
  <c r="G1114" i="8"/>
  <c r="G1197" i="8"/>
  <c r="G1053" i="8"/>
  <c r="G863" i="8"/>
  <c r="G795" i="8"/>
  <c r="G721" i="8"/>
  <c r="G625" i="8"/>
  <c r="G1008" i="8"/>
  <c r="G934" i="8"/>
  <c r="G856" i="8"/>
  <c r="G784" i="8"/>
  <c r="G708" i="8"/>
  <c r="G591" i="8"/>
  <c r="G554" i="8"/>
  <c r="G480" i="8"/>
  <c r="G431" i="8"/>
  <c r="G525" i="8"/>
  <c r="G453" i="8"/>
  <c r="G1351" i="8"/>
  <c r="G1848" i="8"/>
  <c r="G1801" i="8"/>
  <c r="G1390" i="8"/>
  <c r="G1578" i="8"/>
  <c r="G2042" i="8"/>
  <c r="G1763" i="8"/>
  <c r="G2066" i="8"/>
  <c r="G1995" i="8"/>
  <c r="G2228" i="8"/>
  <c r="G2218" i="8"/>
  <c r="G2843" i="8"/>
  <c r="G1088" i="8"/>
  <c r="G1175" i="8"/>
  <c r="G1023" i="8"/>
  <c r="G1094" i="8"/>
  <c r="G1181" i="8"/>
  <c r="G1045" i="8"/>
  <c r="G937" i="8"/>
  <c r="G859" i="8"/>
  <c r="G787" i="8"/>
  <c r="G711" i="8"/>
  <c r="G617" i="8"/>
  <c r="G1006" i="8"/>
  <c r="G848" i="8"/>
  <c r="G782" i="8"/>
  <c r="G700" i="8"/>
  <c r="G587" i="8"/>
  <c r="G546" i="8"/>
  <c r="G468" i="8"/>
  <c r="G426" i="8"/>
  <c r="G517" i="8"/>
  <c r="G451" i="8"/>
  <c r="G1297" i="8"/>
  <c r="G1386" i="8"/>
  <c r="G1396" i="8"/>
  <c r="G1908" i="8"/>
  <c r="G1500" i="8"/>
  <c r="G1598" i="8"/>
  <c r="G1403" i="8"/>
  <c r="G1795" i="8"/>
  <c r="G2109" i="8"/>
  <c r="G2031" i="8"/>
  <c r="G2315" i="8"/>
  <c r="G2322" i="8"/>
  <c r="G2963" i="8"/>
  <c r="G1052" i="8"/>
  <c r="G1238" i="8"/>
  <c r="G1157" i="8"/>
  <c r="G691" i="8"/>
  <c r="G996" i="8"/>
  <c r="G838" i="8"/>
  <c r="G686" i="8"/>
  <c r="G450" i="8"/>
  <c r="G402" i="8"/>
  <c r="G507" i="8"/>
  <c r="G1429" i="8"/>
  <c r="G1496" i="8"/>
  <c r="G1658" i="8"/>
  <c r="G1455" i="8"/>
  <c r="G2357" i="8"/>
  <c r="G2107" i="8"/>
  <c r="G2297" i="8"/>
  <c r="G2489" i="8"/>
  <c r="G3037" i="8"/>
  <c r="G3230" i="8"/>
  <c r="G1172" i="8"/>
  <c r="G1111" i="8"/>
  <c r="G1046" i="8"/>
  <c r="G979" i="8"/>
  <c r="G905" i="8"/>
  <c r="G753" i="8"/>
  <c r="G640" i="8"/>
  <c r="G900" i="8"/>
  <c r="G742" i="8"/>
  <c r="G618" i="8"/>
  <c r="G440" i="8"/>
  <c r="G567" i="8"/>
  <c r="G388" i="8"/>
  <c r="G1552" i="8"/>
  <c r="G1544" i="8"/>
  <c r="G1745" i="8"/>
  <c r="G1806" i="8"/>
  <c r="G1535" i="8"/>
  <c r="G1938" i="8"/>
  <c r="G2189" i="8"/>
  <c r="G2313" i="8"/>
  <c r="G2427" i="8"/>
  <c r="G2642" i="8"/>
  <c r="G2910" i="8"/>
  <c r="G1216" i="8"/>
  <c r="G1151" i="8"/>
  <c r="G1074" i="8"/>
  <c r="G1007" i="8"/>
  <c r="G851" i="8"/>
  <c r="G775" i="8"/>
  <c r="G597" i="8"/>
  <c r="G912" i="8"/>
  <c r="G764" i="8"/>
  <c r="G571" i="8"/>
  <c r="G532" i="8"/>
  <c r="G428" i="8"/>
  <c r="G64" i="8"/>
  <c r="G1246" i="8"/>
  <c r="G1556" i="8"/>
  <c r="G1408" i="8"/>
  <c r="G1855" i="8"/>
  <c r="G1200" i="8"/>
  <c r="G1044" i="8"/>
  <c r="G1135" i="8"/>
  <c r="G1218" i="8"/>
  <c r="G1066" i="8"/>
  <c r="G1153" i="8"/>
  <c r="G991" i="8"/>
  <c r="G915" i="8"/>
  <c r="G849" i="8"/>
  <c r="G767" i="8"/>
  <c r="G689" i="8"/>
  <c r="G581" i="8"/>
  <c r="G984" i="8"/>
  <c r="G910" i="8"/>
  <c r="G836" i="8"/>
  <c r="G752" i="8"/>
  <c r="G678" i="8"/>
  <c r="G564" i="8"/>
  <c r="G524" i="8"/>
  <c r="G448" i="8"/>
  <c r="G503" i="8"/>
  <c r="G409" i="8"/>
  <c r="G206" i="8"/>
  <c r="G1332" i="8"/>
  <c r="G1524" i="8"/>
  <c r="G1393" i="8"/>
  <c r="G1449" i="8"/>
  <c r="G1585" i="8"/>
  <c r="G1718" i="8"/>
  <c r="G1475" i="8"/>
  <c r="G1875" i="8"/>
  <c r="G2248" i="8"/>
  <c r="G2153" i="8"/>
  <c r="G2421" i="8"/>
  <c r="G2426" i="8"/>
  <c r="G3101" i="8"/>
  <c r="G1028" i="8"/>
  <c r="G1178" i="8"/>
  <c r="G1133" i="8"/>
  <c r="G831" i="8"/>
  <c r="G681" i="8"/>
  <c r="G966" i="8"/>
  <c r="G824" i="8"/>
  <c r="G668" i="8"/>
  <c r="G512" i="8"/>
  <c r="G493" i="8"/>
  <c r="G1536" i="8"/>
  <c r="G1156" i="8"/>
  <c r="G1024" i="8"/>
  <c r="G1095" i="8"/>
  <c r="G1174" i="8"/>
  <c r="G1030" i="8"/>
  <c r="G1109" i="8"/>
  <c r="G977" i="8"/>
  <c r="G819" i="8"/>
  <c r="G745" i="8"/>
  <c r="G679" i="8"/>
  <c r="G624" i="8"/>
  <c r="G964" i="8"/>
  <c r="G892" i="8"/>
  <c r="G814" i="8"/>
  <c r="G740" i="8"/>
  <c r="G664" i="8"/>
  <c r="G598" i="8"/>
  <c r="G504" i="8"/>
  <c r="G436" i="8"/>
  <c r="G559" i="8"/>
  <c r="G483" i="8"/>
  <c r="G157" i="8"/>
  <c r="G85" i="8"/>
  <c r="G1309" i="8"/>
  <c r="G1640" i="8"/>
  <c r="G1604" i="8"/>
  <c r="G1584" i="8"/>
  <c r="G1809" i="8"/>
  <c r="G1830" i="8"/>
  <c r="G1571" i="8"/>
  <c r="G2049" i="8"/>
  <c r="G2244" i="8"/>
  <c r="G2149" i="8"/>
  <c r="G2455" i="8"/>
  <c r="G2672" i="8"/>
  <c r="G2957" i="8"/>
  <c r="G1220" i="8"/>
  <c r="G1116" i="8"/>
  <c r="G1239" i="8"/>
  <c r="G1003" i="8"/>
  <c r="G1130" i="8"/>
  <c r="G1009" i="8"/>
  <c r="G1137" i="8"/>
  <c r="G1025" i="8"/>
  <c r="G947" i="8"/>
  <c r="G895" i="8"/>
  <c r="G839" i="8"/>
  <c r="G777" i="8"/>
  <c r="G723" i="8"/>
  <c r="G667" i="8"/>
  <c r="G649" i="8"/>
  <c r="G998" i="8"/>
  <c r="G880" i="8"/>
  <c r="G828" i="8"/>
  <c r="G772" i="8"/>
  <c r="G710" i="8"/>
  <c r="G656" i="8"/>
  <c r="G634" i="8"/>
  <c r="G536" i="8"/>
  <c r="G482" i="8"/>
  <c r="G421" i="8"/>
  <c r="G410" i="8"/>
  <c r="G549" i="8"/>
  <c r="G495" i="8"/>
  <c r="G439" i="8"/>
  <c r="G1279" i="8"/>
  <c r="G1314" i="8"/>
  <c r="G1474" i="8"/>
  <c r="G1893" i="8"/>
  <c r="G1769" i="8"/>
  <c r="G1701" i="8"/>
  <c r="G1708" i="8"/>
  <c r="G1638" i="8"/>
  <c r="G1973" i="8"/>
  <c r="G1627" i="8"/>
  <c r="G1888" i="8"/>
  <c r="G2261" i="8"/>
  <c r="G1975" i="8"/>
  <c r="G2364" i="8"/>
  <c r="G2472" i="8"/>
  <c r="G1360" i="8"/>
  <c r="G3114" i="8"/>
  <c r="G3162" i="8"/>
  <c r="G3086" i="8"/>
  <c r="G2370" i="8"/>
  <c r="G2509" i="8"/>
  <c r="G2296" i="8"/>
  <c r="G2217" i="8"/>
  <c r="G1935" i="8"/>
  <c r="G2161" i="8"/>
  <c r="G1934" i="8"/>
  <c r="G1819" i="8"/>
  <c r="G1595" i="8"/>
  <c r="G2085" i="8"/>
  <c r="G1770" i="8"/>
  <c r="G2094" i="8"/>
  <c r="G1633" i="8"/>
  <c r="G1808" i="8"/>
  <c r="G1476" i="8"/>
  <c r="G1636" i="8"/>
  <c r="G1461" i="8"/>
  <c r="G1592" i="8"/>
  <c r="G1344" i="8"/>
  <c r="G1340" i="8"/>
  <c r="G1248" i="8"/>
  <c r="G1250" i="8"/>
  <c r="G1253" i="8"/>
  <c r="G167" i="8"/>
  <c r="G387" i="8"/>
  <c r="G425" i="8"/>
  <c r="G471" i="8"/>
  <c r="G515" i="8"/>
  <c r="G557" i="8"/>
  <c r="G400" i="8"/>
  <c r="G458" i="8"/>
  <c r="G500" i="8"/>
  <c r="G544" i="8"/>
  <c r="G614" i="8"/>
  <c r="G607" i="8"/>
  <c r="G676" i="8"/>
  <c r="G718" i="8"/>
  <c r="G760" i="8"/>
  <c r="G804" i="8"/>
  <c r="G846" i="8"/>
  <c r="G888" i="8"/>
  <c r="G974" i="8"/>
  <c r="G576" i="8"/>
  <c r="G577" i="8"/>
  <c r="G657" i="8"/>
  <c r="G699" i="8"/>
  <c r="G743" i="8"/>
  <c r="G785" i="8"/>
  <c r="G827" i="8"/>
  <c r="G871" i="8"/>
  <c r="G913" i="8"/>
  <c r="G955" i="8"/>
  <c r="G999" i="8"/>
  <c r="G1089" i="8"/>
  <c r="G1173" i="8"/>
  <c r="G1026" i="8"/>
  <c r="G1110" i="8"/>
  <c r="G1194" i="8"/>
  <c r="G1047" i="8"/>
  <c r="G1131" i="8"/>
  <c r="G1215" i="8"/>
  <c r="G1068" i="8"/>
  <c r="G1152" i="8"/>
  <c r="G1236" i="8"/>
  <c r="G3126" i="8"/>
  <c r="G3002" i="8"/>
  <c r="G1353" i="8"/>
  <c r="G2174" i="8"/>
  <c r="G1371" i="8"/>
  <c r="G2048" i="8"/>
  <c r="G2087" i="8"/>
  <c r="G2349" i="8"/>
  <c r="G2197" i="8"/>
  <c r="G2006" i="8"/>
  <c r="G1743" i="8"/>
  <c r="G1515" i="8"/>
  <c r="G1914" i="8"/>
  <c r="G1694" i="8"/>
  <c r="G1936" i="8"/>
  <c r="G1441" i="8"/>
  <c r="G1664" i="8"/>
  <c r="G1860" i="8"/>
  <c r="G1498" i="8"/>
  <c r="G1816" i="8"/>
  <c r="G1433" i="8"/>
  <c r="G1307" i="8"/>
  <c r="G1338" i="8"/>
  <c r="G68" i="8"/>
  <c r="G414" i="8"/>
  <c r="G443" i="8"/>
  <c r="G485" i="8"/>
  <c r="G527" i="8"/>
  <c r="G386" i="8"/>
  <c r="G424" i="8"/>
  <c r="G472" i="8"/>
  <c r="G514" i="8"/>
  <c r="G556" i="8"/>
  <c r="G642" i="8"/>
  <c r="G635" i="8"/>
  <c r="G688" i="8"/>
  <c r="G732" i="8"/>
  <c r="G774" i="8"/>
  <c r="G816" i="8"/>
  <c r="G860" i="8"/>
  <c r="G902" i="8"/>
  <c r="G988" i="8"/>
  <c r="G604" i="8"/>
  <c r="G601" i="8"/>
  <c r="G671" i="8"/>
  <c r="G713" i="8"/>
  <c r="G755" i="8"/>
  <c r="G799" i="8"/>
  <c r="G841" i="8"/>
  <c r="G883" i="8"/>
  <c r="G969" i="8"/>
  <c r="G1029" i="8"/>
  <c r="G1117" i="8"/>
  <c r="G1201" i="8"/>
  <c r="G1050" i="8"/>
  <c r="G1222" i="8"/>
  <c r="G1071" i="8"/>
  <c r="G1159" i="8"/>
  <c r="G1005" i="8"/>
  <c r="G1092" i="8"/>
  <c r="G1180" i="8"/>
  <c r="G1196" i="8"/>
  <c r="G1072" i="8"/>
  <c r="G1195" i="8"/>
  <c r="G1087" i="8"/>
  <c r="G1202" i="8"/>
  <c r="G1090" i="8"/>
  <c r="G1217" i="8"/>
  <c r="G1093" i="8"/>
  <c r="G987" i="8"/>
  <c r="G935" i="8"/>
  <c r="G873" i="8"/>
  <c r="G817" i="8"/>
  <c r="G763" i="8"/>
  <c r="G703" i="8"/>
  <c r="G641" i="8"/>
  <c r="G620" i="8"/>
  <c r="G976" i="8"/>
  <c r="G868" i="8"/>
  <c r="G806" i="8"/>
  <c r="G750" i="8"/>
  <c r="G696" i="8"/>
  <c r="G615" i="8"/>
  <c r="G594" i="8"/>
  <c r="G522" i="8"/>
  <c r="G460" i="8"/>
  <c r="G535" i="8"/>
  <c r="G475" i="8"/>
  <c r="G404" i="8"/>
  <c r="G390" i="8"/>
  <c r="G61" i="8"/>
  <c r="G1249" i="8"/>
  <c r="G1312" i="8"/>
  <c r="G1672" i="8"/>
  <c r="G1434" i="8"/>
  <c r="G1389" i="8"/>
  <c r="G1468" i="8"/>
  <c r="G1857" i="8"/>
  <c r="G1750" i="8"/>
  <c r="G1423" i="8"/>
  <c r="G1707" i="8"/>
  <c r="G2129" i="8"/>
  <c r="G2312" i="8"/>
  <c r="G2055" i="8"/>
  <c r="G2200" i="8"/>
  <c r="G2560" i="8"/>
  <c r="G2498" i="8"/>
  <c r="G3030" i="8"/>
  <c r="G1228" i="8"/>
  <c r="G1204" i="8"/>
  <c r="G1184" i="8"/>
  <c r="G1164" i="8"/>
  <c r="G1140" i="8"/>
  <c r="G1120" i="8"/>
  <c r="G1100" i="8"/>
  <c r="G1076" i="8"/>
  <c r="G1056" i="8"/>
  <c r="G1036" i="8"/>
  <c r="G1012" i="8"/>
  <c r="G1227" i="8"/>
  <c r="G1207" i="8"/>
  <c r="G1183" i="8"/>
  <c r="G1163" i="8"/>
  <c r="G1143" i="8"/>
  <c r="G1099" i="8"/>
  <c r="G1079" i="8"/>
  <c r="G1055" i="8"/>
  <c r="G1035" i="8"/>
  <c r="G1015" i="8"/>
  <c r="G1226" i="8"/>
  <c r="G1206" i="8"/>
  <c r="G1186" i="8"/>
  <c r="G1162" i="8"/>
  <c r="G1142" i="8"/>
  <c r="G1122" i="8"/>
  <c r="G1098" i="8"/>
  <c r="G1078" i="8"/>
  <c r="G1058" i="8"/>
  <c r="G1034" i="8"/>
  <c r="G1014" i="8"/>
  <c r="G1229" i="8"/>
  <c r="G1205" i="8"/>
  <c r="G1185" i="8"/>
  <c r="G1141" i="8"/>
  <c r="G1101" i="8"/>
  <c r="G1077" i="8"/>
  <c r="G1057" i="8"/>
  <c r="G1037" i="8"/>
  <c r="G1013" i="8"/>
  <c r="G993" i="8"/>
  <c r="G971" i="8"/>
  <c r="G961" i="8"/>
  <c r="G951" i="8"/>
  <c r="G939" i="8"/>
  <c r="G919" i="8"/>
  <c r="G907" i="8"/>
  <c r="G897" i="8"/>
  <c r="G887" i="8"/>
  <c r="G875" i="8"/>
  <c r="G865" i="8"/>
  <c r="G855" i="8"/>
  <c r="G843" i="8"/>
  <c r="G833" i="8"/>
  <c r="G823" i="8"/>
  <c r="G811" i="8"/>
  <c r="G801" i="8"/>
  <c r="G791" i="8"/>
  <c r="G779" i="8"/>
  <c r="G769" i="8"/>
  <c r="G759" i="8"/>
  <c r="G747" i="8"/>
  <c r="G737" i="8"/>
  <c r="G727" i="8"/>
  <c r="G715" i="8"/>
  <c r="G705" i="8"/>
  <c r="G695" i="8"/>
  <c r="G683" i="8"/>
  <c r="G673" i="8"/>
  <c r="G663" i="8"/>
  <c r="G647" i="8"/>
  <c r="G629" i="8"/>
  <c r="G609" i="8"/>
  <c r="G585" i="8"/>
  <c r="G654" i="8"/>
  <c r="G632" i="8"/>
  <c r="G608" i="8"/>
  <c r="G588" i="8"/>
  <c r="G566" i="8"/>
  <c r="G1000" i="8"/>
  <c r="G990" i="8"/>
  <c r="G980" i="8"/>
  <c r="G968" i="8"/>
  <c r="G958" i="8"/>
  <c r="G948" i="8"/>
  <c r="G936" i="8"/>
  <c r="G916" i="8"/>
  <c r="G904" i="8"/>
  <c r="G894" i="8"/>
  <c r="G884" i="8"/>
  <c r="G872" i="8"/>
  <c r="G862" i="8"/>
  <c r="G840" i="8"/>
  <c r="G830" i="8"/>
  <c r="G820" i="8"/>
  <c r="G808" i="8"/>
  <c r="G798" i="8"/>
  <c r="G788" i="8"/>
  <c r="G776" i="8"/>
  <c r="G766" i="8"/>
  <c r="G756" i="8"/>
  <c r="G744" i="8"/>
  <c r="G734" i="8"/>
  <c r="G724" i="8"/>
  <c r="G712" i="8"/>
  <c r="G702" i="8"/>
  <c r="G692" i="8"/>
  <c r="G680" i="8"/>
  <c r="G670" i="8"/>
  <c r="G660" i="8"/>
  <c r="G639" i="8"/>
  <c r="G619" i="8"/>
  <c r="G599" i="8"/>
  <c r="G575" i="8"/>
  <c r="G645" i="8"/>
  <c r="G626" i="8"/>
  <c r="G602" i="8"/>
  <c r="G582" i="8"/>
  <c r="G560" i="8"/>
  <c r="G548" i="8"/>
  <c r="G538" i="8"/>
  <c r="G528" i="8"/>
  <c r="G516" i="8"/>
  <c r="G506" i="8"/>
  <c r="G496" i="8"/>
  <c r="G484" i="8"/>
  <c r="G474" i="8"/>
  <c r="G464" i="8"/>
  <c r="G452" i="8"/>
  <c r="G442" i="8"/>
  <c r="G432" i="8"/>
  <c r="G408" i="8"/>
  <c r="G389" i="8"/>
  <c r="G415" i="8"/>
  <c r="G394" i="8"/>
  <c r="G563" i="8"/>
  <c r="G551" i="8"/>
  <c r="G541" i="8"/>
  <c r="G531" i="8"/>
  <c r="G519" i="8"/>
  <c r="G509" i="8"/>
  <c r="G499" i="8"/>
  <c r="G487" i="8"/>
  <c r="G477" i="8"/>
  <c r="G467" i="8"/>
  <c r="G455" i="8"/>
  <c r="G445" i="8"/>
  <c r="G435" i="8"/>
  <c r="G412" i="8"/>
  <c r="G393" i="8"/>
  <c r="G419" i="8"/>
  <c r="G398" i="8"/>
  <c r="G60" i="8"/>
  <c r="G109" i="8"/>
  <c r="G77" i="8"/>
  <c r="G1241" i="8"/>
  <c r="G1265" i="8"/>
  <c r="G1251" i="8"/>
  <c r="G1242" i="8"/>
  <c r="G1282" i="8"/>
  <c r="G1247" i="8"/>
  <c r="G1299" i="8"/>
  <c r="G1280" i="8"/>
  <c r="G1337" i="8"/>
  <c r="G1316" i="8"/>
  <c r="G1339" i="8"/>
  <c r="G1330" i="8"/>
  <c r="G1304" i="8"/>
  <c r="G1345" i="8"/>
  <c r="G1533" i="8"/>
  <c r="G1424" i="8"/>
  <c r="G1529" i="8"/>
  <c r="G1629" i="8"/>
  <c r="G1720" i="8"/>
  <c r="G1800" i="8"/>
  <c r="G1885" i="8"/>
  <c r="G1566" i="8"/>
  <c r="G1502" i="8"/>
  <c r="G1489" i="8"/>
  <c r="G1593" i="8"/>
  <c r="G1673" i="8"/>
  <c r="G1764" i="8"/>
  <c r="G1849" i="8"/>
  <c r="G1894" i="8"/>
  <c r="G1394" i="8"/>
  <c r="G1522" i="8"/>
  <c r="G1637" i="8"/>
  <c r="G1760" i="8"/>
  <c r="G1872" i="8"/>
  <c r="G1430" i="8"/>
  <c r="G1418" i="8"/>
  <c r="G1580" i="8"/>
  <c r="G1681" i="8"/>
  <c r="G1804" i="8"/>
  <c r="G1922" i="8"/>
  <c r="G2030" i="8"/>
  <c r="G1574" i="8"/>
  <c r="G1630" i="8"/>
  <c r="G1686" i="8"/>
  <c r="G1742" i="8"/>
  <c r="G1802" i="8"/>
  <c r="G1854" i="8"/>
  <c r="G1905" i="8"/>
  <c r="G2037" i="8"/>
  <c r="G1391" i="8"/>
  <c r="G1451" i="8"/>
  <c r="G1507" i="8"/>
  <c r="G1563" i="8"/>
  <c r="G1619" i="8"/>
  <c r="G1679" i="8"/>
  <c r="G1731" i="8"/>
  <c r="G1791" i="8"/>
  <c r="G1851" i="8"/>
  <c r="G1933" i="8"/>
  <c r="G2001" i="8"/>
  <c r="G2113" i="8"/>
  <c r="G1944" i="8"/>
  <c r="G2050" i="8"/>
  <c r="G2188" i="8"/>
  <c r="G2325" i="8"/>
  <c r="G2239" i="8"/>
  <c r="G2180" i="8"/>
  <c r="G2317" i="8"/>
  <c r="G1911" i="8"/>
  <c r="G1967" i="8"/>
  <c r="G2023" i="8"/>
  <c r="G2079" i="8"/>
  <c r="G2144" i="8"/>
  <c r="G2281" i="8"/>
  <c r="G2300" i="8"/>
  <c r="G2024" i="8"/>
  <c r="G2136" i="8"/>
  <c r="G2173" i="8"/>
  <c r="G2247" i="8"/>
  <c r="G2572" i="8"/>
  <c r="G1370" i="8"/>
  <c r="G2400" i="8"/>
  <c r="G2515" i="8"/>
  <c r="G2142" i="8"/>
  <c r="G2290" i="8"/>
  <c r="G2557" i="8"/>
  <c r="G2386" i="8"/>
  <c r="G2622" i="8"/>
  <c r="G2636" i="8"/>
  <c r="G2752" i="8"/>
  <c r="G2733" i="8"/>
  <c r="G2918" i="8"/>
  <c r="G2759" i="8"/>
  <c r="G3087" i="8"/>
  <c r="G3245" i="8"/>
  <c r="G3234" i="8"/>
  <c r="G3224" i="8"/>
  <c r="G3205" i="8"/>
  <c r="G3189" i="8"/>
  <c r="G3158" i="8"/>
  <c r="G3169" i="8"/>
  <c r="G3223" i="8"/>
  <c r="G3204" i="8"/>
  <c r="G3188" i="8"/>
  <c r="G3153" i="8"/>
  <c r="G3164" i="8"/>
  <c r="G3152" i="8"/>
  <c r="G3174" i="8"/>
  <c r="G3147" i="8"/>
  <c r="G3211" i="8"/>
  <c r="G3195" i="8"/>
  <c r="G3179" i="8"/>
  <c r="G3175" i="8"/>
  <c r="G3150" i="8"/>
  <c r="G3221" i="8"/>
  <c r="G3202" i="8"/>
  <c r="G3186" i="8"/>
  <c r="G3155" i="8"/>
  <c r="G3139" i="8"/>
  <c r="G3134" i="8"/>
  <c r="G3129" i="8"/>
  <c r="G3122" i="8"/>
  <c r="G3124" i="8"/>
  <c r="G3106" i="8"/>
  <c r="G3079" i="8"/>
  <c r="G3041" i="8"/>
  <c r="G2998" i="8"/>
  <c r="G2960" i="8"/>
  <c r="G2937" i="8"/>
  <c r="G2908" i="8"/>
  <c r="G2880" i="8"/>
  <c r="G2851" i="8"/>
  <c r="G2823" i="8"/>
  <c r="G3103" i="8"/>
  <c r="G3057" i="8"/>
  <c r="G3029" i="8"/>
  <c r="G2996" i="8"/>
  <c r="G2958" i="8"/>
  <c r="G2925" i="8"/>
  <c r="G2887" i="8"/>
  <c r="G2849" i="8"/>
  <c r="G3102" i="8"/>
  <c r="G3071" i="8"/>
  <c r="G3024" i="8"/>
  <c r="G3000" i="8"/>
  <c r="G2972" i="8"/>
  <c r="G2953" i="8"/>
  <c r="G2920" i="8"/>
  <c r="G2891" i="8"/>
  <c r="G2858" i="8"/>
  <c r="G2834" i="8"/>
  <c r="G3112" i="8"/>
  <c r="G3046" i="8"/>
  <c r="G2988" i="8"/>
  <c r="G2935" i="8"/>
  <c r="G2848" i="8"/>
  <c r="G2811" i="8"/>
  <c r="G2795" i="8"/>
  <c r="G2779" i="8"/>
  <c r="G2763" i="8"/>
  <c r="G2747" i="8"/>
  <c r="G2731" i="8"/>
  <c r="G2715" i="8"/>
  <c r="G2999" i="8"/>
  <c r="G2966" i="8"/>
  <c r="G2922" i="8"/>
  <c r="G2890" i="8"/>
  <c r="G2859" i="8"/>
  <c r="G2815" i="8"/>
  <c r="G3088" i="8"/>
  <c r="G3052" i="8"/>
  <c r="G3118" i="8"/>
  <c r="G3078" i="8"/>
  <c r="G3039" i="8"/>
  <c r="G2973" i="8"/>
  <c r="G2909" i="8"/>
  <c r="G2841" i="8"/>
  <c r="G2798" i="8"/>
  <c r="G2782" i="8"/>
  <c r="G3220" i="8"/>
  <c r="H3220" i="8" s="1"/>
  <c r="I3220" i="8" s="1"/>
  <c r="G3197" i="8"/>
  <c r="G3177" i="8"/>
  <c r="G3165" i="8"/>
  <c r="G3215" i="8"/>
  <c r="G3192" i="8"/>
  <c r="G3176" i="8"/>
  <c r="G3145" i="8"/>
  <c r="G3140" i="8"/>
  <c r="G3226" i="8"/>
  <c r="H3226" i="8" s="1"/>
  <c r="I3226" i="8" s="1"/>
  <c r="G3203" i="8"/>
  <c r="G3183" i="8"/>
  <c r="G3171" i="8"/>
  <c r="G3142" i="8"/>
  <c r="G3206" i="8"/>
  <c r="G3182" i="8"/>
  <c r="G3151" i="8"/>
  <c r="G3138" i="8"/>
  <c r="G3136" i="8"/>
  <c r="G3121" i="8"/>
  <c r="G3123" i="8"/>
  <c r="G3074" i="8"/>
  <c r="G3022" i="8"/>
  <c r="G2970" i="8"/>
  <c r="G2932" i="8"/>
  <c r="G2894" i="8"/>
  <c r="G2861" i="8"/>
  <c r="G2817" i="8"/>
  <c r="G3082" i="8"/>
  <c r="G3034" i="8"/>
  <c r="G2991" i="8"/>
  <c r="G2939" i="8"/>
  <c r="G2901" i="8"/>
  <c r="G2840" i="8"/>
  <c r="G3081" i="8"/>
  <c r="G3038" i="8"/>
  <c r="G2995" i="8"/>
  <c r="G2962" i="8"/>
  <c r="G2929" i="8"/>
  <c r="G2886" i="8"/>
  <c r="G2844" i="8"/>
  <c r="G2814" i="8"/>
  <c r="G3020" i="8"/>
  <c r="G2947" i="8"/>
  <c r="G2854" i="8"/>
  <c r="G2807" i="8"/>
  <c r="G2787" i="8"/>
  <c r="G2767" i="8"/>
  <c r="G2743" i="8"/>
  <c r="G2723" i="8"/>
  <c r="G3006" i="8"/>
  <c r="G2961" i="8"/>
  <c r="G2903" i="8"/>
  <c r="G2865" i="8"/>
  <c r="G3111" i="8"/>
  <c r="G3065" i="8"/>
  <c r="G3026" i="8"/>
  <c r="G3058" i="8"/>
  <c r="G3011" i="8"/>
  <c r="G2933" i="8"/>
  <c r="G2810" i="8"/>
  <c r="G2790" i="8"/>
  <c r="G2770" i="8"/>
  <c r="G2754" i="8"/>
  <c r="G2738" i="8"/>
  <c r="G2722" i="8"/>
  <c r="G2899" i="8"/>
  <c r="G2850" i="8"/>
  <c r="G2819" i="8"/>
  <c r="G3077" i="8"/>
  <c r="G3025" i="8"/>
  <c r="G2945" i="8"/>
  <c r="G2895" i="8"/>
  <c r="G2846" i="8"/>
  <c r="G3109" i="8"/>
  <c r="G3050" i="8"/>
  <c r="G3023" i="8"/>
  <c r="G2985" i="8"/>
  <c r="G2931" i="8"/>
  <c r="G2868" i="8"/>
  <c r="G2809" i="8"/>
  <c r="G2793" i="8"/>
  <c r="G2777" i="8"/>
  <c r="G2761" i="8"/>
  <c r="G2745" i="8"/>
  <c r="G3216" i="8"/>
  <c r="G3185" i="8"/>
  <c r="G3173" i="8"/>
  <c r="G3208" i="8"/>
  <c r="G3180" i="8"/>
  <c r="G3149" i="8"/>
  <c r="G3170" i="8"/>
  <c r="G3218" i="8"/>
  <c r="G3187" i="8"/>
  <c r="G3167" i="8"/>
  <c r="G3217" i="8"/>
  <c r="G3190" i="8"/>
  <c r="G3143" i="8"/>
  <c r="G3137" i="8"/>
  <c r="G3125" i="8"/>
  <c r="G3100" i="8"/>
  <c r="G3055" i="8"/>
  <c r="G2979" i="8"/>
  <c r="G2927" i="8"/>
  <c r="G2875" i="8"/>
  <c r="G2828" i="8"/>
  <c r="G3067" i="8"/>
  <c r="G3010" i="8"/>
  <c r="G2944" i="8"/>
  <c r="G2882" i="8"/>
  <c r="G3108" i="8"/>
  <c r="G3048" i="8"/>
  <c r="G2986" i="8"/>
  <c r="G2948" i="8"/>
  <c r="G2896" i="8"/>
  <c r="G2839" i="8"/>
  <c r="G3066" i="8"/>
  <c r="G2968" i="8"/>
  <c r="G2835" i="8"/>
  <c r="G2799" i="8"/>
  <c r="G2771" i="8"/>
  <c r="G2739" i="8"/>
  <c r="G2711" i="8"/>
  <c r="G2974" i="8"/>
  <c r="G2897" i="8"/>
  <c r="G2829" i="8"/>
  <c r="G3072" i="8"/>
  <c r="G3110" i="8"/>
  <c r="G3045" i="8"/>
  <c r="G2940" i="8"/>
  <c r="G2806" i="8"/>
  <c r="G2778" i="8"/>
  <c r="G2758" i="8"/>
  <c r="G2734" i="8"/>
  <c r="G2714" i="8"/>
  <c r="G2862" i="8"/>
  <c r="G3117" i="8"/>
  <c r="G3064" i="8"/>
  <c r="G2952" i="8"/>
  <c r="G2889" i="8"/>
  <c r="G2827" i="8"/>
  <c r="G3084" i="8"/>
  <c r="G3017" i="8"/>
  <c r="G2971" i="8"/>
  <c r="G2881" i="8"/>
  <c r="G2805" i="8"/>
  <c r="G2785" i="8"/>
  <c r="G2765" i="8"/>
  <c r="G2741" i="8"/>
  <c r="G2725" i="8"/>
  <c r="G3116" i="8"/>
  <c r="G3068" i="8"/>
  <c r="G2989" i="8"/>
  <c r="G3115" i="8"/>
  <c r="G3049" i="8"/>
  <c r="G3016" i="8"/>
  <c r="G2983" i="8"/>
  <c r="G2930" i="8"/>
  <c r="G2879" i="8"/>
  <c r="G2812" i="8"/>
  <c r="G2796" i="8"/>
  <c r="G2780" i="8"/>
  <c r="G2764" i="8"/>
  <c r="G2748" i="8"/>
  <c r="G2732" i="8"/>
  <c r="G2716" i="8"/>
  <c r="G3007" i="8"/>
  <c r="G2936" i="8"/>
  <c r="G2905" i="8"/>
  <c r="G2866" i="8"/>
  <c r="G2836" i="8"/>
  <c r="G3073" i="8"/>
  <c r="G2955" i="8"/>
  <c r="G2709" i="8"/>
  <c r="G2697" i="8"/>
  <c r="G2702" i="8"/>
  <c r="G2707" i="8"/>
  <c r="G2686" i="8"/>
  <c r="G2685" i="8"/>
  <c r="G2688" i="8"/>
  <c r="G2680" i="8"/>
  <c r="G2664" i="8"/>
  <c r="G2648" i="8"/>
  <c r="G2632" i="8"/>
  <c r="G2675" i="8"/>
  <c r="G2663" i="8"/>
  <c r="G2647" i="8"/>
  <c r="G2631" i="8"/>
  <c r="G2670" i="8"/>
  <c r="G2654" i="8"/>
  <c r="G2638" i="8"/>
  <c r="G2681" i="8"/>
  <c r="G2665" i="8"/>
  <c r="G2649" i="8"/>
  <c r="G2633" i="8"/>
  <c r="G1361" i="8"/>
  <c r="G1364" i="8"/>
  <c r="G2618" i="8"/>
  <c r="G2598" i="8"/>
  <c r="G2582" i="8"/>
  <c r="G2566" i="8"/>
  <c r="G2550" i="8"/>
  <c r="G2534" i="8"/>
  <c r="G2518" i="8"/>
  <c r="G2502" i="8"/>
  <c r="G2486" i="8"/>
  <c r="G2470" i="8"/>
  <c r="G2454" i="8"/>
  <c r="G2438" i="8"/>
  <c r="G2422" i="8"/>
  <c r="G2406" i="8"/>
  <c r="G2390" i="8"/>
  <c r="G2374" i="8"/>
  <c r="G1381" i="8"/>
  <c r="G1383" i="8"/>
  <c r="G2608" i="8"/>
  <c r="G2567" i="8"/>
  <c r="G2521" i="8"/>
  <c r="G2480" i="8"/>
  <c r="G2439" i="8"/>
  <c r="G2393" i="8"/>
  <c r="G1376" i="8"/>
  <c r="G2589" i="8"/>
  <c r="G2548" i="8"/>
  <c r="G2507" i="8"/>
  <c r="G2461" i="8"/>
  <c r="G2420" i="8"/>
  <c r="G2379" i="8"/>
  <c r="G2358" i="8"/>
  <c r="G2342" i="8"/>
  <c r="G2326" i="8"/>
  <c r="G2310" i="8"/>
  <c r="G2294" i="8"/>
  <c r="G2278" i="8"/>
  <c r="G2262" i="8"/>
  <c r="G2246" i="8"/>
  <c r="G2230" i="8"/>
  <c r="G2214" i="8"/>
  <c r="G2198" i="8"/>
  <c r="G2182" i="8"/>
  <c r="G2166" i="8"/>
  <c r="G2150" i="8"/>
  <c r="G1362" i="8"/>
  <c r="G2593" i="8"/>
  <c r="G2552" i="8"/>
  <c r="G2511" i="8"/>
  <c r="G2465" i="8"/>
  <c r="G2424" i="8"/>
  <c r="G2383" i="8"/>
  <c r="G2611" i="8"/>
  <c r="G2565" i="8"/>
  <c r="G2524" i="8"/>
  <c r="G2483" i="8"/>
  <c r="G2437" i="8"/>
  <c r="G2615" i="8"/>
  <c r="G3209" i="8"/>
  <c r="G3154" i="8"/>
  <c r="G3219" i="8"/>
  <c r="G3157" i="8"/>
  <c r="G3148" i="8"/>
  <c r="G3222" i="8"/>
  <c r="G3160" i="8"/>
  <c r="G3146" i="8"/>
  <c r="G3194" i="8"/>
  <c r="G3135" i="8"/>
  <c r="G3132" i="8"/>
  <c r="G3127" i="8"/>
  <c r="G3032" i="8"/>
  <c r="G2951" i="8"/>
  <c r="G2884" i="8"/>
  <c r="G3119" i="8"/>
  <c r="G3043" i="8"/>
  <c r="G2977" i="8"/>
  <c r="G2873" i="8"/>
  <c r="G3076" i="8"/>
  <c r="G3005" i="8"/>
  <c r="G2943" i="8"/>
  <c r="G2867" i="8"/>
  <c r="G3080" i="8"/>
  <c r="G2941" i="8"/>
  <c r="G2816" i="8"/>
  <c r="G2775" i="8"/>
  <c r="G2735" i="8"/>
  <c r="G2992" i="8"/>
  <c r="G2916" i="8"/>
  <c r="G2822" i="8"/>
  <c r="G3040" i="8"/>
  <c r="G3051" i="8"/>
  <c r="G2902" i="8"/>
  <c r="G2794" i="8"/>
  <c r="G2762" i="8"/>
  <c r="G2730" i="8"/>
  <c r="G2888" i="8"/>
  <c r="G2826" i="8"/>
  <c r="G3031" i="8"/>
  <c r="G2921" i="8"/>
  <c r="G2833" i="8"/>
  <c r="G3044" i="8"/>
  <c r="G2990" i="8"/>
  <c r="H2990" i="8" s="1"/>
  <c r="I2990" i="8" s="1"/>
  <c r="G2907" i="8"/>
  <c r="G2801" i="8"/>
  <c r="G2773" i="8"/>
  <c r="G2749" i="8"/>
  <c r="G2721" i="8"/>
  <c r="G3092" i="8"/>
  <c r="G3036" i="8"/>
  <c r="G3098" i="8"/>
  <c r="G3035" i="8"/>
  <c r="G2994" i="8"/>
  <c r="G2924" i="8"/>
  <c r="G2831" i="8"/>
  <c r="G2800" i="8"/>
  <c r="G2776" i="8"/>
  <c r="G2756" i="8"/>
  <c r="G2736" i="8"/>
  <c r="G2712" i="8"/>
  <c r="G2975" i="8"/>
  <c r="G2911" i="8"/>
  <c r="G2860" i="8"/>
  <c r="G3105" i="8"/>
  <c r="G3047" i="8"/>
  <c r="G2696" i="8"/>
  <c r="G2705" i="8"/>
  <c r="G2703" i="8"/>
  <c r="G2682" i="8"/>
  <c r="G2683" i="8"/>
  <c r="G2687" i="8"/>
  <c r="G2660" i="8"/>
  <c r="G2640" i="8"/>
  <c r="G2679" i="8"/>
  <c r="G2659" i="8"/>
  <c r="G2639" i="8"/>
  <c r="G2674" i="8"/>
  <c r="G2650" i="8"/>
  <c r="G2630" i="8"/>
  <c r="G2669" i="8"/>
  <c r="G2645" i="8"/>
  <c r="G2625" i="8"/>
  <c r="G1356" i="8"/>
  <c r="G2614" i="8"/>
  <c r="G2590" i="8"/>
  <c r="G2570" i="8"/>
  <c r="G2546" i="8"/>
  <c r="G2526" i="8"/>
  <c r="G2506" i="8"/>
  <c r="G2482" i="8"/>
  <c r="G2462" i="8"/>
  <c r="G2442" i="8"/>
  <c r="G2418" i="8"/>
  <c r="G2398" i="8"/>
  <c r="G2378" i="8"/>
  <c r="G1359" i="8"/>
  <c r="G1374" i="8"/>
  <c r="G2576" i="8"/>
  <c r="G2512" i="8"/>
  <c r="G2457" i="8"/>
  <c r="G2407" i="8"/>
  <c r="G2621" i="8"/>
  <c r="G2571" i="8"/>
  <c r="G2516" i="8"/>
  <c r="G2452" i="8"/>
  <c r="G2397" i="8"/>
  <c r="G2362" i="8"/>
  <c r="G2338" i="8"/>
  <c r="G2318" i="8"/>
  <c r="G2298" i="8"/>
  <c r="G2274" i="8"/>
  <c r="G2254" i="8"/>
  <c r="G2234" i="8"/>
  <c r="G2210" i="8"/>
  <c r="G2190" i="8"/>
  <c r="G2170" i="8"/>
  <c r="G2146" i="8"/>
  <c r="G2616" i="8"/>
  <c r="G2561" i="8"/>
  <c r="G2497" i="8"/>
  <c r="G2447" i="8"/>
  <c r="G2392" i="8"/>
  <c r="G2597" i="8"/>
  <c r="G2547" i="8"/>
  <c r="G2492" i="8"/>
  <c r="G2428" i="8"/>
  <c r="G2592" i="8"/>
  <c r="G2551" i="8"/>
  <c r="G2505" i="8"/>
  <c r="G2464" i="8"/>
  <c r="G2423" i="8"/>
  <c r="G2377" i="8"/>
  <c r="G2605" i="8"/>
  <c r="G2564" i="8"/>
  <c r="G2523" i="8"/>
  <c r="G2477" i="8"/>
  <c r="G2436" i="8"/>
  <c r="G2395" i="8"/>
  <c r="G2609" i="8"/>
  <c r="G2568" i="8"/>
  <c r="G2527" i="8"/>
  <c r="G2481" i="8"/>
  <c r="G2440" i="8"/>
  <c r="G2399" i="8"/>
  <c r="G2604" i="8"/>
  <c r="G2563" i="8"/>
  <c r="G2517" i="8"/>
  <c r="G2476" i="8"/>
  <c r="G2435" i="8"/>
  <c r="G2361" i="8"/>
  <c r="G2320" i="8"/>
  <c r="G2279" i="8"/>
  <c r="G2233" i="8"/>
  <c r="G2192" i="8"/>
  <c r="G2151" i="8"/>
  <c r="G2333" i="8"/>
  <c r="G2292" i="8"/>
  <c r="G2251" i="8"/>
  <c r="G2205" i="8"/>
  <c r="G2164" i="8"/>
  <c r="G2412" i="8"/>
  <c r="G2360" i="8"/>
  <c r="G2319" i="8"/>
  <c r="G2273" i="8"/>
  <c r="G2232" i="8"/>
  <c r="G2191" i="8"/>
  <c r="G2145" i="8"/>
  <c r="G2124" i="8"/>
  <c r="G2108" i="8"/>
  <c r="G2092" i="8"/>
  <c r="G2076" i="8"/>
  <c r="G2060" i="8"/>
  <c r="G2044" i="8"/>
  <c r="G2028" i="8"/>
  <c r="G2012" i="8"/>
  <c r="G1996" i="8"/>
  <c r="G1980" i="8"/>
  <c r="G1964" i="8"/>
  <c r="G1948" i="8"/>
  <c r="G2355" i="8"/>
  <c r="G2309" i="8"/>
  <c r="G2268" i="8"/>
  <c r="G2227" i="8"/>
  <c r="G2181" i="8"/>
  <c r="G2140" i="8"/>
  <c r="G2295" i="8"/>
  <c r="G2249" i="8"/>
  <c r="G2208" i="8"/>
  <c r="G2167" i="8"/>
  <c r="G2131" i="8"/>
  <c r="G2115" i="8"/>
  <c r="G2099" i="8"/>
  <c r="G2083" i="8"/>
  <c r="G2067" i="8"/>
  <c r="G2051" i="8"/>
  <c r="G2035" i="8"/>
  <c r="G2019" i="8"/>
  <c r="G2003" i="8"/>
  <c r="G1987" i="8"/>
  <c r="G1971" i="8"/>
  <c r="G1955" i="8"/>
  <c r="G1939" i="8"/>
  <c r="G1923" i="8"/>
  <c r="G1907" i="8"/>
  <c r="G1891" i="8"/>
  <c r="G2389" i="8"/>
  <c r="G2340" i="8"/>
  <c r="G2299" i="8"/>
  <c r="G2253" i="8"/>
  <c r="G2212" i="8"/>
  <c r="G2171" i="8"/>
  <c r="G2344" i="8"/>
  <c r="G2303" i="8"/>
  <c r="G2257" i="8"/>
  <c r="G2216" i="8"/>
  <c r="G2175" i="8"/>
  <c r="G2376" i="8"/>
  <c r="G2339" i="8"/>
  <c r="G2293" i="8"/>
  <c r="G2252" i="8"/>
  <c r="G2211" i="8"/>
  <c r="G2165" i="8"/>
  <c r="G2125" i="8"/>
  <c r="G2093" i="8"/>
  <c r="G2061" i="8"/>
  <c r="G2029" i="8"/>
  <c r="G1997" i="8"/>
  <c r="G1965" i="8"/>
  <c r="G1930" i="8"/>
  <c r="G1889" i="8"/>
  <c r="G1916" i="8"/>
  <c r="G2118" i="8"/>
  <c r="G2086" i="8"/>
  <c r="G2054" i="8"/>
  <c r="G2022" i="8"/>
  <c r="G1990" i="8"/>
  <c r="G1958" i="8"/>
  <c r="G1920" i="8"/>
  <c r="G2139" i="8"/>
  <c r="G1910" i="8"/>
  <c r="G1879" i="8"/>
  <c r="G1863" i="8"/>
  <c r="G1847" i="8"/>
  <c r="G1831" i="8"/>
  <c r="G1815" i="8"/>
  <c r="G1799" i="8"/>
  <c r="G1783" i="8"/>
  <c r="G1767" i="8"/>
  <c r="G1751" i="8"/>
  <c r="G1735" i="8"/>
  <c r="G1719" i="8"/>
  <c r="G1703" i="8"/>
  <c r="G1687" i="8"/>
  <c r="G1671" i="8"/>
  <c r="G1655" i="8"/>
  <c r="G1639" i="8"/>
  <c r="G1623" i="8"/>
  <c r="G1607" i="8"/>
  <c r="G1591" i="8"/>
  <c r="G1575" i="8"/>
  <c r="G1559" i="8"/>
  <c r="G1543" i="8"/>
  <c r="G1527" i="8"/>
  <c r="G1511" i="8"/>
  <c r="G1495" i="8"/>
  <c r="G1479" i="8"/>
  <c r="G1463" i="8"/>
  <c r="G1447" i="8"/>
  <c r="G1431" i="8"/>
  <c r="G1415" i="8"/>
  <c r="G1399" i="8"/>
  <c r="G2122" i="8"/>
  <c r="G2090" i="8"/>
  <c r="G2058" i="8"/>
  <c r="G2026" i="8"/>
  <c r="G1994" i="8"/>
  <c r="G1962" i="8"/>
  <c r="G1928" i="8"/>
  <c r="G1941" i="8"/>
  <c r="G1900" i="8"/>
  <c r="G1874" i="8"/>
  <c r="G1858" i="8"/>
  <c r="G1842" i="8"/>
  <c r="G1826" i="8"/>
  <c r="G1810" i="8"/>
  <c r="G1794" i="8"/>
  <c r="G1778" i="8"/>
  <c r="G1762" i="8"/>
  <c r="G1746" i="8"/>
  <c r="G1730" i="8"/>
  <c r="G1714" i="8"/>
  <c r="G1698" i="8"/>
  <c r="G1682" i="8"/>
  <c r="G1666" i="8"/>
  <c r="G1650" i="8"/>
  <c r="G1634" i="8"/>
  <c r="G1618" i="8"/>
  <c r="G1602" i="8"/>
  <c r="G1586" i="8"/>
  <c r="G1570" i="8"/>
  <c r="G2110" i="8"/>
  <c r="G2078" i="8"/>
  <c r="G2046" i="8"/>
  <c r="G2014" i="8"/>
  <c r="G1982" i="8"/>
  <c r="G1950" i="8"/>
  <c r="G1913" i="8"/>
  <c r="G1884" i="8"/>
  <c r="G1852" i="8"/>
  <c r="G1820" i="8"/>
  <c r="G1788" i="8"/>
  <c r="G1756" i="8"/>
  <c r="G1724" i="8"/>
  <c r="G1692" i="8"/>
  <c r="G1660" i="8"/>
  <c r="G1628" i="8"/>
  <c r="G1596" i="8"/>
  <c r="G1560" i="8"/>
  <c r="G1514" i="8"/>
  <c r="G1473" i="8"/>
  <c r="G1432" i="8"/>
  <c r="G1564" i="8"/>
  <c r="G1477" i="8"/>
  <c r="G1404" i="8"/>
  <c r="G1405" i="8"/>
  <c r="G1509" i="8"/>
  <c r="G1413" i="8"/>
  <c r="G1877" i="8"/>
  <c r="G1845" i="8"/>
  <c r="G1813" i="8"/>
  <c r="G1781" i="8"/>
  <c r="G1749" i="8"/>
  <c r="G1717" i="8"/>
  <c r="G1685" i="8"/>
  <c r="G1653" i="8"/>
  <c r="G1621" i="8"/>
  <c r="G1589" i="8"/>
  <c r="G1554" i="8"/>
  <c r="G1513" i="8"/>
  <c r="G2967" i="8"/>
  <c r="G2727" i="8"/>
  <c r="G2847" i="8"/>
  <c r="G2980" i="8"/>
  <c r="H2980" i="8" s="1"/>
  <c r="I2980" i="8" s="1"/>
  <c r="G2750" i="8"/>
  <c r="G2832" i="8"/>
  <c r="G2869" i="8"/>
  <c r="G2978" i="8"/>
  <c r="G2781" i="8"/>
  <c r="G2713" i="8"/>
  <c r="G3091" i="8"/>
  <c r="G2942" i="8"/>
  <c r="G2788" i="8"/>
  <c r="G2728" i="8"/>
  <c r="G2917" i="8"/>
  <c r="G3061" i="8"/>
  <c r="G2698" i="8"/>
  <c r="G2652" i="8"/>
  <c r="G2655" i="8"/>
  <c r="G2658" i="8"/>
  <c r="G2629" i="8"/>
  <c r="G2602" i="8"/>
  <c r="G2542" i="8"/>
  <c r="G2490" i="8"/>
  <c r="G2430" i="8"/>
  <c r="G2585" i="8"/>
  <c r="G3201" i="8"/>
  <c r="G3161" i="8"/>
  <c r="G3184" i="8"/>
  <c r="G3144" i="8"/>
  <c r="G3199" i="8"/>
  <c r="G3163" i="8"/>
  <c r="G3178" i="8"/>
  <c r="G3130" i="8"/>
  <c r="G3120" i="8"/>
  <c r="G3003" i="8"/>
  <c r="H3003" i="8" s="1"/>
  <c r="I3003" i="8" s="1"/>
  <c r="G2913" i="8"/>
  <c r="G2837" i="8"/>
  <c r="G3015" i="8"/>
  <c r="G2915" i="8"/>
  <c r="G3097" i="8"/>
  <c r="G2976" i="8"/>
  <c r="G2900" i="8"/>
  <c r="G2820" i="8"/>
  <c r="G2878" i="8"/>
  <c r="G2791" i="8"/>
  <c r="G2751" i="8"/>
  <c r="G2987" i="8"/>
  <c r="G2871" i="8"/>
  <c r="G3059" i="8"/>
  <c r="G3018" i="8"/>
  <c r="G2852" i="8"/>
  <c r="G2766" i="8"/>
  <c r="G2726" i="8"/>
  <c r="G2845" i="8"/>
  <c r="G3070" i="8"/>
  <c r="G2914" i="8"/>
  <c r="G3099" i="8"/>
  <c r="G3004" i="8"/>
  <c r="G2857" i="8"/>
  <c r="G2789" i="8"/>
  <c r="G2753" i="8"/>
  <c r="G2717" i="8"/>
  <c r="G3063" i="8"/>
  <c r="G3009" i="8"/>
  <c r="G3028" i="8"/>
  <c r="G2949" i="8"/>
  <c r="G2856" i="8"/>
  <c r="G2792" i="8"/>
  <c r="G2768" i="8"/>
  <c r="G2740" i="8"/>
  <c r="G3027" i="8"/>
  <c r="G2923" i="8"/>
  <c r="G2885" i="8"/>
  <c r="G3089" i="8"/>
  <c r="G2710" i="8"/>
  <c r="G2701" i="8"/>
  <c r="G2689" i="8"/>
  <c r="G2691" i="8"/>
  <c r="G2656" i="8"/>
  <c r="G2628" i="8"/>
  <c r="G2667" i="8"/>
  <c r="G2635" i="8"/>
  <c r="G2662" i="8"/>
  <c r="G2634" i="8"/>
  <c r="G2661" i="8"/>
  <c r="G2637" i="8"/>
  <c r="G1377" i="8"/>
  <c r="G2606" i="8"/>
  <c r="G2578" i="8"/>
  <c r="G2554" i="8"/>
  <c r="G2522" i="8"/>
  <c r="G2494" i="8"/>
  <c r="G2466" i="8"/>
  <c r="G2434" i="8"/>
  <c r="G2410" i="8"/>
  <c r="G2382" i="8"/>
  <c r="G1367" i="8"/>
  <c r="G2599" i="8"/>
  <c r="G2535" i="8"/>
  <c r="G2448" i="8"/>
  <c r="G2375" i="8"/>
  <c r="G2580" i="8"/>
  <c r="G2493" i="8"/>
  <c r="G2429" i="8"/>
  <c r="G2366" i="8"/>
  <c r="G2334" i="8"/>
  <c r="G2306" i="8"/>
  <c r="G2282" i="8"/>
  <c r="G2250" i="8"/>
  <c r="G2222" i="8"/>
  <c r="G2194" i="8"/>
  <c r="G2162" i="8"/>
  <c r="G2138" i="8"/>
  <c r="G2575" i="8"/>
  <c r="G2488" i="8"/>
  <c r="G2415" i="8"/>
  <c r="G2620" i="8"/>
  <c r="G2533" i="8"/>
  <c r="G2460" i="8"/>
  <c r="G2601" i="8"/>
  <c r="G2537" i="8"/>
  <c r="G2487" i="8"/>
  <c r="G2432" i="8"/>
  <c r="G1352" i="8"/>
  <c r="G2587" i="8"/>
  <c r="G2532" i="8"/>
  <c r="G2468" i="8"/>
  <c r="G2413" i="8"/>
  <c r="G2623" i="8"/>
  <c r="G2559" i="8"/>
  <c r="G2504" i="8"/>
  <c r="G2449" i="8"/>
  <c r="G1355" i="8"/>
  <c r="G2581" i="8"/>
  <c r="G2531" i="8"/>
  <c r="G2467" i="8"/>
  <c r="G2387" i="8"/>
  <c r="G2329" i="8"/>
  <c r="G2265" i="8"/>
  <c r="G2215" i="8"/>
  <c r="G2160" i="8"/>
  <c r="G2324" i="8"/>
  <c r="G2269" i="8"/>
  <c r="G2219" i="8"/>
  <c r="G2155" i="8"/>
  <c r="G2380" i="8"/>
  <c r="G2328" i="8"/>
  <c r="G2264" i="8"/>
  <c r="G2209" i="8"/>
  <c r="G2159" i="8"/>
  <c r="G2120" i="8"/>
  <c r="G2100" i="8"/>
  <c r="G2080" i="8"/>
  <c r="G2056" i="8"/>
  <c r="G2036" i="8"/>
  <c r="G2016" i="8"/>
  <c r="G1992" i="8"/>
  <c r="G1972" i="8"/>
  <c r="G1952" i="8"/>
  <c r="G2341" i="8"/>
  <c r="G2291" i="8"/>
  <c r="G2236" i="8"/>
  <c r="G2172" i="8"/>
  <c r="G2359" i="8"/>
  <c r="G2304" i="8"/>
  <c r="G2240" i="8"/>
  <c r="G2185" i="8"/>
  <c r="G2135" i="8"/>
  <c r="G2111" i="8"/>
  <c r="G2091" i="8"/>
  <c r="G2071" i="8"/>
  <c r="G2047" i="8"/>
  <c r="G2027" i="8"/>
  <c r="G2007" i="8"/>
  <c r="G1983" i="8"/>
  <c r="G1963" i="8"/>
  <c r="G1943" i="8"/>
  <c r="G1919" i="8"/>
  <c r="G1899" i="8"/>
  <c r="G2396" i="8"/>
  <c r="G2331" i="8"/>
  <c r="G2276" i="8"/>
  <c r="G2221" i="8"/>
  <c r="G2157" i="8"/>
  <c r="G2321" i="8"/>
  <c r="G2271" i="8"/>
  <c r="G2207" i="8"/>
  <c r="G2152" i="8"/>
  <c r="G2348" i="8"/>
  <c r="G2284" i="8"/>
  <c r="G2229" i="8"/>
  <c r="G2179" i="8"/>
  <c r="G2114" i="8"/>
  <c r="G2077" i="8"/>
  <c r="G2034" i="8"/>
  <c r="G1986" i="8"/>
  <c r="G1949" i="8"/>
  <c r="G1898" i="8"/>
  <c r="G1902" i="8"/>
  <c r="G2102" i="8"/>
  <c r="G2065" i="8"/>
  <c r="G2017" i="8"/>
  <c r="G1974" i="8"/>
  <c r="G1929" i="8"/>
  <c r="G1942" i="8"/>
  <c r="G1892" i="8"/>
  <c r="G1867" i="8"/>
  <c r="G1843" i="8"/>
  <c r="G1823" i="8"/>
  <c r="G1803" i="8"/>
  <c r="G1779" i="8"/>
  <c r="G1759" i="8"/>
  <c r="G1739" i="8"/>
  <c r="G1715" i="8"/>
  <c r="G1695" i="8"/>
  <c r="G1675" i="8"/>
  <c r="G1651" i="8"/>
  <c r="G1631" i="8"/>
  <c r="G1611" i="8"/>
  <c r="G1587" i="8"/>
  <c r="G1567" i="8"/>
  <c r="G1547" i="8"/>
  <c r="G1523" i="8"/>
  <c r="G1503" i="8"/>
  <c r="G1483" i="8"/>
  <c r="G1459" i="8"/>
  <c r="G1439" i="8"/>
  <c r="G1419" i="8"/>
  <c r="G1395" i="8"/>
  <c r="G2106" i="8"/>
  <c r="G2069" i="8"/>
  <c r="G2021" i="8"/>
  <c r="G1978" i="8"/>
  <c r="G1937" i="8"/>
  <c r="G1932" i="8"/>
  <c r="G1882" i="8"/>
  <c r="G1862" i="8"/>
  <c r="G1838" i="8"/>
  <c r="G1818" i="8"/>
  <c r="G1798" i="8"/>
  <c r="G1774" i="8"/>
  <c r="G1754" i="8"/>
  <c r="G1734" i="8"/>
  <c r="G1710" i="8"/>
  <c r="G1690" i="8"/>
  <c r="G1670" i="8"/>
  <c r="G1646" i="8"/>
  <c r="G1626" i="8"/>
  <c r="G1606" i="8"/>
  <c r="G1582" i="8"/>
  <c r="G2126" i="8"/>
  <c r="G2089" i="8"/>
  <c r="G2041" i="8"/>
  <c r="G1998" i="8"/>
  <c r="G1961" i="8"/>
  <c r="G1904" i="8"/>
  <c r="G1868" i="8"/>
  <c r="G1825" i="8"/>
  <c r="G1777" i="8"/>
  <c r="G1740" i="8"/>
  <c r="G1697" i="8"/>
  <c r="G1649" i="8"/>
  <c r="G1612" i="8"/>
  <c r="G1569" i="8"/>
  <c r="G1505" i="8"/>
  <c r="G1450" i="8"/>
  <c r="G1400" i="8"/>
  <c r="G1454" i="8"/>
  <c r="G1453" i="8"/>
  <c r="G1541" i="8"/>
  <c r="G1444" i="8"/>
  <c r="G1861" i="8"/>
  <c r="G1824" i="8"/>
  <c r="G1776" i="8"/>
  <c r="G1733" i="8"/>
  <c r="G1696" i="8"/>
  <c r="G1648" i="8"/>
  <c r="G1605" i="8"/>
  <c r="G1568" i="8"/>
  <c r="G1504" i="8"/>
  <c r="G1458" i="8"/>
  <c r="G1417" i="8"/>
  <c r="G1526" i="8"/>
  <c r="G1462" i="8"/>
  <c r="G1428" i="8"/>
  <c r="G1494" i="8"/>
  <c r="G1876" i="8"/>
  <c r="G1844" i="8"/>
  <c r="G1812" i="8"/>
  <c r="G1780" i="8"/>
  <c r="G1748" i="8"/>
  <c r="G1716" i="8"/>
  <c r="G1684" i="8"/>
  <c r="G1652" i="8"/>
  <c r="G1620" i="8"/>
  <c r="G1588" i="8"/>
  <c r="G1553" i="8"/>
  <c r="G1512" i="8"/>
  <c r="G1466" i="8"/>
  <c r="G1425" i="8"/>
  <c r="G1516" i="8"/>
  <c r="G1452" i="8"/>
  <c r="G1446" i="8"/>
  <c r="G1557" i="8"/>
  <c r="G1493" i="8"/>
  <c r="G1437" i="8"/>
  <c r="G1869" i="8"/>
  <c r="G1837" i="8"/>
  <c r="G1805" i="8"/>
  <c r="G1773" i="8"/>
  <c r="G1741" i="8"/>
  <c r="G1709" i="8"/>
  <c r="G1677" i="8"/>
  <c r="G1645" i="8"/>
  <c r="G1613" i="8"/>
  <c r="G1581" i="8"/>
  <c r="G1538" i="8"/>
  <c r="G1497" i="8"/>
  <c r="G1456" i="8"/>
  <c r="G1410" i="8"/>
  <c r="G1542" i="8"/>
  <c r="G1478" i="8"/>
  <c r="G1469" i="8"/>
  <c r="G1388" i="8"/>
  <c r="G1350" i="8"/>
  <c r="G1348" i="8"/>
  <c r="G1328" i="8"/>
  <c r="G1315" i="8"/>
  <c r="G1303" i="8"/>
  <c r="G1342" i="8"/>
  <c r="G1310" i="8"/>
  <c r="G1321" i="8"/>
  <c r="G1317" i="8"/>
  <c r="G1322" i="8"/>
  <c r="G1324" i="8"/>
  <c r="G1323" i="8"/>
  <c r="G1244" i="8"/>
  <c r="G1254" i="8"/>
  <c r="G1295" i="8"/>
  <c r="G1277" i="8"/>
  <c r="G1245" i="8"/>
  <c r="G161" i="8"/>
  <c r="G58" i="8"/>
  <c r="G363" i="8"/>
  <c r="G395" i="8"/>
  <c r="G411" i="8"/>
  <c r="G427" i="8"/>
  <c r="G401" i="8"/>
  <c r="G417" i="8"/>
  <c r="G433" i="8"/>
  <c r="G441" i="8"/>
  <c r="G449" i="8"/>
  <c r="G457" i="8"/>
  <c r="G465" i="8"/>
  <c r="G473" i="8"/>
  <c r="G481" i="8"/>
  <c r="G489" i="8"/>
  <c r="G497" i="8"/>
  <c r="G505" i="8"/>
  <c r="G513" i="8"/>
  <c r="G521" i="8"/>
  <c r="G529" i="8"/>
  <c r="G537" i="8"/>
  <c r="G545" i="8"/>
  <c r="G553" i="8"/>
  <c r="G561" i="8"/>
  <c r="G569" i="8"/>
  <c r="G391" i="8"/>
  <c r="G407" i="8"/>
  <c r="G423" i="8"/>
  <c r="G397" i="8"/>
  <c r="G413" i="8"/>
  <c r="G429" i="8"/>
  <c r="G438" i="8"/>
  <c r="G446" i="8"/>
  <c r="G454" i="8"/>
  <c r="G462" i="8"/>
  <c r="G470" i="8"/>
  <c r="G478" i="8"/>
  <c r="G486" i="8"/>
  <c r="G494" i="8"/>
  <c r="G502" i="8"/>
  <c r="G510" i="8"/>
  <c r="G518" i="8"/>
  <c r="G526" i="8"/>
  <c r="G534" i="8"/>
  <c r="G542" i="8"/>
  <c r="G550" i="8"/>
  <c r="G558" i="8"/>
  <c r="G574" i="8"/>
  <c r="G590" i="8"/>
  <c r="G606" i="8"/>
  <c r="G622" i="8"/>
  <c r="G638" i="8"/>
  <c r="G653" i="8"/>
  <c r="G579" i="8"/>
  <c r="G595" i="8"/>
  <c r="G611" i="8"/>
  <c r="G627" i="8"/>
  <c r="G643" i="8"/>
  <c r="G658" i="8"/>
  <c r="G666" i="8"/>
  <c r="G674" i="8"/>
  <c r="G682"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38" i="8"/>
  <c r="G946" i="8"/>
  <c r="G954" i="8"/>
  <c r="G962" i="8"/>
  <c r="G970" i="8"/>
  <c r="G978" i="8"/>
  <c r="G986" i="8"/>
  <c r="G994" i="8"/>
  <c r="G1002" i="8"/>
  <c r="G1010" i="8"/>
  <c r="G580" i="8"/>
  <c r="G596" i="8"/>
  <c r="G612" i="8"/>
  <c r="G628" i="8"/>
  <c r="G646" i="8"/>
  <c r="G573" i="8"/>
  <c r="G589" i="8"/>
  <c r="G605" i="8"/>
  <c r="G621" i="8"/>
  <c r="G637" i="8"/>
  <c r="G652" i="8"/>
  <c r="G661" i="8"/>
  <c r="G669" i="8"/>
  <c r="G677"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33" i="8"/>
  <c r="G941" i="8"/>
  <c r="G949" i="8"/>
  <c r="G957" i="8"/>
  <c r="G965" i="8"/>
  <c r="G973" i="8"/>
  <c r="G981" i="8"/>
  <c r="G989" i="8"/>
  <c r="G997" i="8"/>
  <c r="G1017" i="8"/>
  <c r="G1033" i="8"/>
  <c r="G1049" i="8"/>
  <c r="G1065" i="8"/>
  <c r="G1081" i="8"/>
  <c r="G1097" i="8"/>
  <c r="G1129" i="8"/>
  <c r="G1145" i="8"/>
  <c r="G1161" i="8"/>
  <c r="G1177" i="8"/>
  <c r="G1193" i="8"/>
  <c r="G1209" i="8"/>
  <c r="G1225" i="8"/>
  <c r="G1001" i="8"/>
  <c r="G1022" i="8"/>
  <c r="G1038" i="8"/>
  <c r="G1054" i="8"/>
  <c r="G1070" i="8"/>
  <c r="G1086" i="8"/>
  <c r="G1102" i="8"/>
  <c r="G1134" i="8"/>
  <c r="G1150" i="8"/>
  <c r="G1182" i="8"/>
  <c r="G1198" i="8"/>
  <c r="G1214" i="8"/>
  <c r="G1230" i="8"/>
  <c r="G1011" i="8"/>
  <c r="G1027" i="8"/>
  <c r="G1043" i="8"/>
  <c r="G1059" i="8"/>
  <c r="G1075" i="8"/>
  <c r="G1091" i="8"/>
  <c r="G1107" i="8"/>
  <c r="G1123" i="8"/>
  <c r="G1139" i="8"/>
  <c r="G1155" i="8"/>
  <c r="G1171" i="8"/>
  <c r="G1187" i="8"/>
  <c r="G1203" i="8"/>
  <c r="G1219" i="8"/>
  <c r="G1235" i="8"/>
  <c r="G1016" i="8"/>
  <c r="G1032" i="8"/>
  <c r="G1048" i="8"/>
  <c r="G1064" i="8"/>
  <c r="G1080" i="8"/>
  <c r="G1096" i="8"/>
  <c r="G1112" i="8"/>
  <c r="G1128" i="8"/>
  <c r="G1144" i="8"/>
  <c r="G1160" i="8"/>
  <c r="G1176" i="8"/>
  <c r="G1192" i="8"/>
  <c r="G1208" i="8"/>
  <c r="G1224" i="8"/>
  <c r="G3193" i="8"/>
  <c r="G3227" i="8"/>
  <c r="G3172" i="8"/>
  <c r="G3166" i="8"/>
  <c r="G3191" i="8"/>
  <c r="G3225" i="8"/>
  <c r="G3159" i="8"/>
  <c r="G3133" i="8"/>
  <c r="G3095" i="8"/>
  <c r="G2984" i="8"/>
  <c r="G2904" i="8"/>
  <c r="G3113" i="8"/>
  <c r="G3001" i="8"/>
  <c r="G2906" i="8"/>
  <c r="G3062" i="8"/>
  <c r="G2877" i="8"/>
  <c r="G3060" i="8"/>
  <c r="G2872" i="8"/>
  <c r="G2783" i="8"/>
  <c r="G2954" i="8"/>
  <c r="G3033" i="8"/>
  <c r="G2802" i="8"/>
  <c r="G2718" i="8"/>
  <c r="G2997" i="8"/>
  <c r="G3093" i="8"/>
  <c r="G2838" i="8"/>
  <c r="G2737" i="8"/>
  <c r="G3056" i="8"/>
  <c r="G3008" i="8"/>
  <c r="G2818" i="8"/>
  <c r="G2760" i="8"/>
  <c r="G3021" i="8"/>
  <c r="G2855" i="8"/>
  <c r="G2708" i="8"/>
  <c r="G2676" i="8"/>
  <c r="G2624" i="8"/>
  <c r="G2627" i="8"/>
  <c r="G2626" i="8"/>
  <c r="G2657" i="8"/>
  <c r="G1372" i="8"/>
  <c r="G2574" i="8"/>
  <c r="G2514" i="8"/>
  <c r="G2458" i="8"/>
  <c r="G2402" i="8"/>
  <c r="G1375" i="8"/>
  <c r="G3212" i="8"/>
  <c r="G3141" i="8"/>
  <c r="G3214" i="8"/>
  <c r="G3131" i="8"/>
  <c r="G3069" i="8"/>
  <c r="G2842" i="8"/>
  <c r="G2934" i="8"/>
  <c r="G3014" i="8"/>
  <c r="G2825" i="8"/>
  <c r="G2803" i="8"/>
  <c r="G3012" i="8"/>
  <c r="G3096" i="8"/>
  <c r="G2876" i="8"/>
  <c r="G2742" i="8"/>
  <c r="G3085" i="8"/>
  <c r="G2821" i="8"/>
  <c r="G2919" i="8"/>
  <c r="G2757" i="8"/>
  <c r="G3083" i="8"/>
  <c r="G3042" i="8"/>
  <c r="G2893" i="8"/>
  <c r="G2772" i="8"/>
  <c r="G2720" i="8"/>
  <c r="G2892" i="8"/>
  <c r="G2699" i="8"/>
  <c r="G2692" i="8"/>
  <c r="G2644" i="8"/>
  <c r="G2651" i="8"/>
  <c r="G2646" i="8"/>
  <c r="G2653" i="8"/>
  <c r="G1380" i="8"/>
  <c r="G2562" i="8"/>
  <c r="G2510" i="8"/>
  <c r="G2450" i="8"/>
  <c r="G2394" i="8"/>
  <c r="G1358" i="8"/>
  <c r="G2503" i="8"/>
  <c r="G2416" i="8"/>
  <c r="G2603" i="8"/>
  <c r="G2484" i="8"/>
  <c r="G2388" i="8"/>
  <c r="G2346" i="8"/>
  <c r="G2302" i="8"/>
  <c r="G2266" i="8"/>
  <c r="G2226" i="8"/>
  <c r="G2186" i="8"/>
  <c r="G2154" i="8"/>
  <c r="G2584" i="8"/>
  <c r="G2479" i="8"/>
  <c r="G1363" i="8"/>
  <c r="G2556" i="8"/>
  <c r="G2451" i="8"/>
  <c r="G2569" i="8"/>
  <c r="G2496" i="8"/>
  <c r="G2409" i="8"/>
  <c r="G2619" i="8"/>
  <c r="G2541" i="8"/>
  <c r="G2459" i="8"/>
  <c r="G1354" i="8"/>
  <c r="G2577" i="8"/>
  <c r="G2495" i="8"/>
  <c r="G2417" i="8"/>
  <c r="G2595" i="8"/>
  <c r="G2508" i="8"/>
  <c r="G2444" i="8"/>
  <c r="G2343" i="8"/>
  <c r="G2256" i="8"/>
  <c r="G2183" i="8"/>
  <c r="G2347" i="8"/>
  <c r="G2260" i="8"/>
  <c r="G2187" i="8"/>
  <c r="G2405" i="8"/>
  <c r="G2305" i="8"/>
  <c r="G2241" i="8"/>
  <c r="G2168" i="8"/>
  <c r="G2116" i="8"/>
  <c r="G2088" i="8"/>
  <c r="G2064" i="8"/>
  <c r="G2032" i="8"/>
  <c r="G2004" i="8"/>
  <c r="G1976" i="8"/>
  <c r="G2385" i="8"/>
  <c r="G2323" i="8"/>
  <c r="G2245" i="8"/>
  <c r="G2163" i="8"/>
  <c r="G3181" i="8"/>
  <c r="G3168" i="8"/>
  <c r="G3156" i="8"/>
  <c r="G3213" i="8"/>
  <c r="G3090" i="8"/>
  <c r="G2870" i="8"/>
  <c r="G2981" i="8"/>
  <c r="G3019" i="8"/>
  <c r="G2853" i="8"/>
  <c r="G2824" i="8"/>
  <c r="G2719" i="8"/>
  <c r="G3104" i="8"/>
  <c r="G2965" i="8"/>
  <c r="G2746" i="8"/>
  <c r="G3094" i="8"/>
  <c r="H3094" i="8" s="1"/>
  <c r="I3094" i="8" s="1"/>
  <c r="G2864" i="8"/>
  <c r="G2938" i="8"/>
  <c r="G2769" i="8"/>
  <c r="G3107" i="8"/>
  <c r="G3075" i="8"/>
  <c r="G2912" i="8"/>
  <c r="G2784" i="8"/>
  <c r="G2724" i="8"/>
  <c r="G2898" i="8"/>
  <c r="G3054" i="8"/>
  <c r="G2706" i="8"/>
  <c r="G2693" i="8"/>
  <c r="G2668" i="8"/>
  <c r="G2610" i="8"/>
  <c r="G2666" i="8"/>
  <c r="G2673" i="8"/>
  <c r="G1369" i="8"/>
  <c r="G2586" i="8"/>
  <c r="G2530" i="8"/>
  <c r="G2474" i="8"/>
  <c r="G2414" i="8"/>
  <c r="G1373" i="8"/>
  <c r="G2544" i="8"/>
  <c r="G2425" i="8"/>
  <c r="G2612" i="8"/>
  <c r="G2525" i="8"/>
  <c r="G2411" i="8"/>
  <c r="G2350" i="8"/>
  <c r="G2314" i="8"/>
  <c r="G2270" i="8"/>
  <c r="G2238" i="8"/>
  <c r="G2202" i="8"/>
  <c r="G2158" i="8"/>
  <c r="G2607" i="8"/>
  <c r="G2520" i="8"/>
  <c r="G2401" i="8"/>
  <c r="G2579" i="8"/>
  <c r="G2469" i="8"/>
  <c r="G2583" i="8"/>
  <c r="G2519" i="8"/>
  <c r="G2441" i="8"/>
  <c r="G1368" i="8"/>
  <c r="G2555" i="8"/>
  <c r="G2491" i="8"/>
  <c r="G2404" i="8"/>
  <c r="G2591" i="8"/>
  <c r="G2513" i="8"/>
  <c r="G2431" i="8"/>
  <c r="G2613" i="8"/>
  <c r="G2540" i="8"/>
  <c r="G2453" i="8"/>
  <c r="G2352" i="8"/>
  <c r="G2288" i="8"/>
  <c r="G2201" i="8"/>
  <c r="G2356" i="8"/>
  <c r="G2283" i="8"/>
  <c r="G2196" i="8"/>
  <c r="G2419" i="8"/>
  <c r="G2337" i="8"/>
  <c r="G2255" i="8"/>
  <c r="G2177" i="8"/>
  <c r="G2128" i="8"/>
  <c r="G2096" i="8"/>
  <c r="G2068" i="8"/>
  <c r="G2040" i="8"/>
  <c r="G2008" i="8"/>
  <c r="G1984" i="8"/>
  <c r="G1956" i="8"/>
  <c r="G2332" i="8"/>
  <c r="G2259" i="8"/>
  <c r="G2195" i="8"/>
  <c r="G2345" i="8"/>
  <c r="G3196" i="8"/>
  <c r="G3198" i="8"/>
  <c r="G2946" i="8"/>
  <c r="G2830" i="8"/>
  <c r="G2993" i="8"/>
  <c r="G2883" i="8"/>
  <c r="G2774" i="8"/>
  <c r="G2926" i="8"/>
  <c r="G2797" i="8"/>
  <c r="G2950" i="8"/>
  <c r="G2804" i="8"/>
  <c r="G2969" i="8"/>
  <c r="G2700" i="8"/>
  <c r="G2684" i="8"/>
  <c r="G2643" i="8"/>
  <c r="G2641" i="8"/>
  <c r="G2558" i="8"/>
  <c r="G2446" i="8"/>
  <c r="G2617" i="8"/>
  <c r="G2384" i="8"/>
  <c r="G2475" i="8"/>
  <c r="G2330" i="8"/>
  <c r="G2258" i="8"/>
  <c r="G2178" i="8"/>
  <c r="G2543" i="8"/>
  <c r="G1379" i="8"/>
  <c r="G1366" i="8"/>
  <c r="G2473" i="8"/>
  <c r="G2596" i="8"/>
  <c r="G2445" i="8"/>
  <c r="G2545" i="8"/>
  <c r="G2408" i="8"/>
  <c r="G2499" i="8"/>
  <c r="G2311" i="8"/>
  <c r="G2169" i="8"/>
  <c r="G2237" i="8"/>
  <c r="G2369" i="8"/>
  <c r="G2223" i="8"/>
  <c r="G2112" i="8"/>
  <c r="G2052" i="8"/>
  <c r="G2000" i="8"/>
  <c r="G2373" i="8"/>
  <c r="G2213" i="8"/>
  <c r="G2327" i="8"/>
  <c r="G2263" i="8"/>
  <c r="G2176" i="8"/>
  <c r="G2123" i="8"/>
  <c r="G2095" i="8"/>
  <c r="G2063" i="8"/>
  <c r="G2039" i="8"/>
  <c r="G2011" i="8"/>
  <c r="G1979" i="8"/>
  <c r="G1951" i="8"/>
  <c r="G1927" i="8"/>
  <c r="G1895" i="8"/>
  <c r="G2363" i="8"/>
  <c r="G2285" i="8"/>
  <c r="G2203" i="8"/>
  <c r="G2353" i="8"/>
  <c r="G2280" i="8"/>
  <c r="G2193" i="8"/>
  <c r="G2371" i="8"/>
  <c r="G2307" i="8"/>
  <c r="G2220" i="8"/>
  <c r="G2147" i="8"/>
  <c r="G2082" i="8"/>
  <c r="G2018" i="8"/>
  <c r="G1970" i="8"/>
  <c r="G1912" i="8"/>
  <c r="G2134" i="8"/>
  <c r="G2081" i="8"/>
  <c r="G2033" i="8"/>
  <c r="G1969" i="8"/>
  <c r="G1897" i="8"/>
  <c r="G1901" i="8"/>
  <c r="G1859" i="8"/>
  <c r="G1835" i="8"/>
  <c r="G1807" i="8"/>
  <c r="G1775" i="8"/>
  <c r="G1747" i="8"/>
  <c r="G1723" i="8"/>
  <c r="G1691" i="8"/>
  <c r="G1663" i="8"/>
  <c r="G1635" i="8"/>
  <c r="G1603" i="8"/>
  <c r="G1579" i="8"/>
  <c r="G1551" i="8"/>
  <c r="G1519" i="8"/>
  <c r="G1491" i="8"/>
  <c r="G1467" i="8"/>
  <c r="G1435" i="8"/>
  <c r="G1407" i="8"/>
  <c r="G2117" i="8"/>
  <c r="G2053" i="8"/>
  <c r="G2005" i="8"/>
  <c r="G1946" i="8"/>
  <c r="G1918" i="8"/>
  <c r="G1870" i="8"/>
  <c r="G1846" i="8"/>
  <c r="G1814" i="8"/>
  <c r="G1786" i="8"/>
  <c r="G1758" i="8"/>
  <c r="G1726" i="8"/>
  <c r="G1702" i="8"/>
  <c r="G1674" i="8"/>
  <c r="G1642" i="8"/>
  <c r="G1614" i="8"/>
  <c r="G1590" i="8"/>
  <c r="G2121" i="8"/>
  <c r="G2062" i="8"/>
  <c r="G2009" i="8"/>
  <c r="G1945" i="8"/>
  <c r="G1926" i="8"/>
  <c r="G1836" i="8"/>
  <c r="G1772" i="8"/>
  <c r="G1713" i="8"/>
  <c r="G1665" i="8"/>
  <c r="G1601" i="8"/>
  <c r="G1537" i="8"/>
  <c r="G1464" i="8"/>
  <c r="G1532" i="8"/>
  <c r="G1422" i="8"/>
  <c r="G1550" i="8"/>
  <c r="G1421" i="8"/>
  <c r="G1840" i="8"/>
  <c r="G1792" i="8"/>
  <c r="G1728" i="8"/>
  <c r="G1669" i="8"/>
  <c r="G1616" i="8"/>
  <c r="G1545" i="8"/>
  <c r="G1481" i="8"/>
  <c r="G1426" i="8"/>
  <c r="G1517" i="8"/>
  <c r="G1398" i="8"/>
  <c r="G1549" i="8"/>
  <c r="G1865" i="8"/>
  <c r="G1828" i="8"/>
  <c r="G1785" i="8"/>
  <c r="G1737" i="8"/>
  <c r="G1700" i="8"/>
  <c r="G1657" i="8"/>
  <c r="G1609" i="8"/>
  <c r="G1572" i="8"/>
  <c r="G1521" i="8"/>
  <c r="G1457" i="8"/>
  <c r="G1402" i="8"/>
  <c r="G1470" i="8"/>
  <c r="G1414" i="8"/>
  <c r="G1534" i="8"/>
  <c r="G1397" i="8"/>
  <c r="G1864" i="8"/>
  <c r="G1821" i="8"/>
  <c r="G1784" i="8"/>
  <c r="G1736" i="8"/>
  <c r="G1693" i="8"/>
  <c r="G1656" i="8"/>
  <c r="G1608" i="8"/>
  <c r="G1561" i="8"/>
  <c r="G1506" i="8"/>
  <c r="G1442" i="8"/>
  <c r="G1392" i="8"/>
  <c r="G1492" i="8"/>
  <c r="G1460" i="8"/>
  <c r="G1385" i="8"/>
  <c r="G1347" i="8"/>
  <c r="G1320" i="8"/>
  <c r="G1329" i="8"/>
  <c r="G1311" i="8"/>
  <c r="G1334" i="8"/>
  <c r="G1331" i="8"/>
  <c r="G3200" i="8"/>
  <c r="G3210" i="8"/>
  <c r="G2956" i="8"/>
  <c r="G2863" i="8"/>
  <c r="G3013" i="8"/>
  <c r="G2928" i="8"/>
  <c r="G2786" i="8"/>
  <c r="G2959" i="8"/>
  <c r="G2813" i="8"/>
  <c r="G2964" i="8"/>
  <c r="G2808" i="8"/>
  <c r="G2982" i="8"/>
  <c r="G2690" i="8"/>
  <c r="G2671" i="8"/>
  <c r="G2677" i="8"/>
  <c r="G2594" i="8"/>
  <c r="G2478" i="8"/>
  <c r="G1365" i="8"/>
  <c r="G2471" i="8"/>
  <c r="G2539" i="8"/>
  <c r="G2354" i="8"/>
  <c r="G2286" i="8"/>
  <c r="G2206" i="8"/>
  <c r="G1378" i="8"/>
  <c r="G2433" i="8"/>
  <c r="G2501" i="8"/>
  <c r="G2528" i="8"/>
  <c r="G2391" i="8"/>
  <c r="G2500" i="8"/>
  <c r="G2600" i="8"/>
  <c r="G2463" i="8"/>
  <c r="G2549" i="8"/>
  <c r="G2381" i="8"/>
  <c r="G2224" i="8"/>
  <c r="G2301" i="8"/>
  <c r="G2141" i="8"/>
  <c r="G2287" i="8"/>
  <c r="G2132" i="8"/>
  <c r="G2072" i="8"/>
  <c r="G2020" i="8"/>
  <c r="G1960" i="8"/>
  <c r="G2277" i="8"/>
  <c r="G2368" i="8"/>
  <c r="G2272" i="8"/>
  <c r="G2199" i="8"/>
  <c r="G2127" i="8"/>
  <c r="G2103" i="8"/>
  <c r="G2075" i="8"/>
  <c r="G2043" i="8"/>
  <c r="G2015" i="8"/>
  <c r="G1991" i="8"/>
  <c r="G1959" i="8"/>
  <c r="G1931" i="8"/>
  <c r="G1903" i="8"/>
  <c r="G2372" i="8"/>
  <c r="G2308" i="8"/>
  <c r="G2235" i="8"/>
  <c r="G2367" i="8"/>
  <c r="G2289" i="8"/>
  <c r="G2225" i="8"/>
  <c r="G2143" i="8"/>
  <c r="G2316" i="8"/>
  <c r="G2243" i="8"/>
  <c r="G2156" i="8"/>
  <c r="G2098" i="8"/>
  <c r="G2045" i="8"/>
  <c r="G1981" i="8"/>
  <c r="G1921" i="8"/>
  <c r="G1925" i="8"/>
  <c r="G2097" i="8"/>
  <c r="G2038" i="8"/>
  <c r="G1985" i="8"/>
  <c r="G1906" i="8"/>
  <c r="G1924" i="8"/>
  <c r="G1871" i="8"/>
  <c r="G1839" i="8"/>
  <c r="G1811" i="8"/>
  <c r="G1787" i="8"/>
  <c r="G1755" i="8"/>
  <c r="G1727" i="8"/>
  <c r="G1699" i="8"/>
  <c r="G1667" i="8"/>
  <c r="G1643" i="8"/>
  <c r="G1615" i="8"/>
  <c r="G1583" i="8"/>
  <c r="G1555" i="8"/>
  <c r="G1531" i="8"/>
  <c r="G1499" i="8"/>
  <c r="G1471" i="8"/>
  <c r="G1443" i="8"/>
  <c r="G1411" i="8"/>
  <c r="G2133" i="8"/>
  <c r="G2074" i="8"/>
  <c r="G2010" i="8"/>
  <c r="G1957" i="8"/>
  <c r="G1896" i="8"/>
  <c r="G1878" i="8"/>
  <c r="G1850" i="8"/>
  <c r="G1822" i="8"/>
  <c r="G1790" i="8"/>
  <c r="G1766" i="8"/>
  <c r="G1738" i="8"/>
  <c r="G1706" i="8"/>
  <c r="G1678" i="8"/>
  <c r="G1654" i="8"/>
  <c r="G1622" i="8"/>
  <c r="G1594" i="8"/>
  <c r="G2137" i="8"/>
  <c r="G2073" i="8"/>
  <c r="G2025" i="8"/>
  <c r="G1966" i="8"/>
  <c r="G1890" i="8"/>
  <c r="G1841" i="8"/>
  <c r="G1793" i="8"/>
  <c r="G1729" i="8"/>
  <c r="G1676" i="8"/>
  <c r="G1617" i="8"/>
  <c r="G1546" i="8"/>
  <c r="G1482" i="8"/>
  <c r="G1409" i="8"/>
  <c r="G1436" i="8"/>
  <c r="G1940" i="8"/>
  <c r="G1445" i="8"/>
  <c r="G1856" i="8"/>
  <c r="G1797" i="8"/>
  <c r="G1744" i="8"/>
  <c r="G1680" i="8"/>
  <c r="G1632" i="8"/>
  <c r="G1573" i="8"/>
  <c r="G1490" i="8"/>
  <c r="G1440" i="8"/>
  <c r="G1540" i="8"/>
  <c r="G1412" i="8"/>
  <c r="G1558" i="8"/>
  <c r="G1881" i="8"/>
  <c r="G1833" i="8"/>
  <c r="G1796" i="8"/>
  <c r="G1753" i="8"/>
  <c r="G1705" i="8"/>
  <c r="G1668" i="8"/>
  <c r="G1625" i="8"/>
  <c r="G1577" i="8"/>
  <c r="G1530" i="8"/>
  <c r="G1480" i="8"/>
  <c r="G1416" i="8"/>
  <c r="G1484" i="8"/>
  <c r="G1406" i="8"/>
  <c r="G1548" i="8"/>
  <c r="G1420" i="8"/>
  <c r="G1880" i="8"/>
  <c r="G1832" i="8"/>
  <c r="G1789" i="8"/>
  <c r="G1752" i="8"/>
  <c r="G1704" i="8"/>
  <c r="G1661" i="8"/>
  <c r="G1624" i="8"/>
  <c r="G1576" i="8"/>
  <c r="G1520" i="8"/>
  <c r="G1465" i="8"/>
  <c r="G1401" i="8"/>
  <c r="G1510" i="8"/>
  <c r="G1501" i="8"/>
  <c r="G1384" i="8"/>
  <c r="G1346" i="8"/>
  <c r="G1336" i="8"/>
  <c r="G1306" i="8"/>
  <c r="G1319" i="8"/>
  <c r="G1313" i="8"/>
  <c r="G1302" i="8"/>
  <c r="G1333" i="8"/>
  <c r="G1232" i="8"/>
  <c r="G1212" i="8"/>
  <c r="G1188" i="8"/>
  <c r="G1168" i="8"/>
  <c r="G1148" i="8"/>
  <c r="G1124" i="8"/>
  <c r="G1104" i="8"/>
  <c r="G1084" i="8"/>
  <c r="G1060" i="8"/>
  <c r="G1040" i="8"/>
  <c r="G1020" i="8"/>
  <c r="G1231" i="8"/>
  <c r="G1211" i="8"/>
  <c r="G1191" i="8"/>
  <c r="G1167" i="8"/>
  <c r="G1147" i="8"/>
  <c r="G1127" i="8"/>
  <c r="G1103" i="8"/>
  <c r="G1083" i="8"/>
  <c r="G1063" i="8"/>
  <c r="G1039" i="8"/>
  <c r="G1234" i="8"/>
  <c r="G1210" i="8"/>
  <c r="G1190" i="8"/>
  <c r="G1170" i="8"/>
  <c r="G1146" i="8"/>
  <c r="G1126" i="8"/>
  <c r="G1106" i="8"/>
  <c r="G1082" i="8"/>
  <c r="G1062" i="8"/>
  <c r="G1042" i="8"/>
  <c r="G1018" i="8"/>
  <c r="G1233" i="8"/>
  <c r="G1213" i="8"/>
  <c r="G1189" i="8"/>
  <c r="G1169" i="8"/>
  <c r="G1149" i="8"/>
  <c r="G1125" i="8"/>
  <c r="G1105" i="8"/>
  <c r="G1085" i="8"/>
  <c r="G1061" i="8"/>
  <c r="G1041" i="8"/>
  <c r="G1021" i="8"/>
  <c r="G995" i="8"/>
  <c r="G985" i="8"/>
  <c r="G975" i="8"/>
  <c r="G963" i="8"/>
  <c r="G953" i="8"/>
  <c r="G911" i="8"/>
  <c r="G899" i="8"/>
  <c r="G889" i="8"/>
  <c r="G879" i="8"/>
  <c r="G867" i="8"/>
  <c r="G857" i="8"/>
  <c r="G847" i="8"/>
  <c r="G835" i="8"/>
  <c r="G825" i="8"/>
  <c r="G815" i="8"/>
  <c r="G803" i="8"/>
  <c r="G793" i="8"/>
  <c r="G783" i="8"/>
  <c r="G771" i="8"/>
  <c r="G761" i="8"/>
  <c r="G751" i="8"/>
  <c r="G739" i="8"/>
  <c r="G729" i="8"/>
  <c r="G719" i="8"/>
  <c r="G707" i="8"/>
  <c r="G697" i="8"/>
  <c r="G687" i="8"/>
  <c r="G675" i="8"/>
  <c r="G665" i="8"/>
  <c r="G655" i="8"/>
  <c r="G633" i="8"/>
  <c r="G613" i="8"/>
  <c r="G593" i="8"/>
  <c r="G568" i="8"/>
  <c r="G636" i="8"/>
  <c r="G616" i="8"/>
  <c r="G592" i="8"/>
  <c r="G572" i="8"/>
  <c r="G1004" i="8"/>
  <c r="G992" i="8"/>
  <c r="G982" i="8"/>
  <c r="G972" i="8"/>
  <c r="G960" i="8"/>
  <c r="G940" i="8"/>
  <c r="G918" i="8"/>
  <c r="G908" i="8"/>
  <c r="G896" i="8"/>
  <c r="G886" i="8"/>
  <c r="G876" i="8"/>
  <c r="G864" i="8"/>
  <c r="G854" i="8"/>
  <c r="G844" i="8"/>
  <c r="G832" i="8"/>
  <c r="G822" i="8"/>
  <c r="G812" i="8"/>
  <c r="G800" i="8"/>
  <c r="G790" i="8"/>
  <c r="G780" i="8"/>
  <c r="G768" i="8"/>
  <c r="G758" i="8"/>
  <c r="G748" i="8"/>
  <c r="G736" i="8"/>
  <c r="G726" i="8"/>
  <c r="G716" i="8"/>
  <c r="G704" i="8"/>
  <c r="G694" i="8"/>
  <c r="G684" i="8"/>
  <c r="G672" i="8"/>
  <c r="G662" i="8"/>
  <c r="G648" i="8"/>
  <c r="G623" i="8"/>
  <c r="G603" i="8"/>
  <c r="G583" i="8"/>
  <c r="G650" i="8"/>
  <c r="G630" i="8"/>
  <c r="G610" i="8"/>
  <c r="G586" i="8"/>
  <c r="G562" i="8"/>
  <c r="G552" i="8"/>
  <c r="G540" i="8"/>
  <c r="G530" i="8"/>
  <c r="G520" i="8"/>
  <c r="G508" i="8"/>
  <c r="G498" i="8"/>
  <c r="G488" i="8"/>
  <c r="G476" i="8"/>
  <c r="G466" i="8"/>
  <c r="G456" i="8"/>
  <c r="G444" i="8"/>
  <c r="G434" i="8"/>
  <c r="G416" i="8"/>
  <c r="G392" i="8"/>
  <c r="G418" i="8"/>
  <c r="G399" i="8"/>
  <c r="G565" i="8"/>
  <c r="G555" i="8"/>
  <c r="G543" i="8"/>
  <c r="G533" i="8"/>
  <c r="G523" i="8"/>
  <c r="G511" i="8"/>
  <c r="G501" i="8"/>
  <c r="G491" i="8"/>
  <c r="G479" i="8"/>
  <c r="G469" i="8"/>
  <c r="G459" i="8"/>
  <c r="G447" i="8"/>
  <c r="G437" i="8"/>
  <c r="G420" i="8"/>
  <c r="G396" i="8"/>
  <c r="G422" i="8"/>
  <c r="G403" i="8"/>
  <c r="G158" i="8"/>
  <c r="G72" i="8"/>
  <c r="G8" i="8"/>
  <c r="G69" i="8"/>
  <c r="G59" i="8"/>
  <c r="G1255" i="8"/>
  <c r="G1281" i="8"/>
  <c r="G1243" i="8"/>
  <c r="G1298" i="8"/>
  <c r="G1252" i="8"/>
  <c r="G1308" i="8"/>
  <c r="G1305" i="8"/>
  <c r="G1325" i="8"/>
  <c r="G1326" i="8"/>
  <c r="G1343" i="8"/>
  <c r="G1349" i="8"/>
  <c r="G1387" i="8"/>
  <c r="G1565" i="8"/>
  <c r="G1488" i="8"/>
  <c r="G1597" i="8"/>
  <c r="G1688" i="8"/>
  <c r="G1768" i="8"/>
  <c r="G1853" i="8"/>
  <c r="G1525" i="8"/>
  <c r="G1438" i="8"/>
  <c r="G1448" i="8"/>
  <c r="G1562" i="8"/>
  <c r="G1641" i="8"/>
  <c r="G1732" i="8"/>
  <c r="G1817" i="8"/>
  <c r="G1485" i="8"/>
  <c r="G1508" i="8"/>
  <c r="G1472" i="8"/>
  <c r="G1600" i="8"/>
  <c r="G1712" i="8"/>
  <c r="G1829" i="8"/>
  <c r="G1486" i="8"/>
  <c r="G1518" i="8"/>
  <c r="G1528" i="8"/>
  <c r="G1644" i="8"/>
  <c r="G1761" i="8"/>
  <c r="G1873" i="8"/>
  <c r="G1993" i="8"/>
  <c r="G2105" i="8"/>
  <c r="G1610" i="8"/>
  <c r="G1662" i="8"/>
  <c r="G1722" i="8"/>
  <c r="G1782" i="8"/>
  <c r="G1834" i="8"/>
  <c r="G1909" i="8"/>
  <c r="G1989" i="8"/>
  <c r="G2101" i="8"/>
  <c r="G1427" i="8"/>
  <c r="G1487" i="8"/>
  <c r="G1539" i="8"/>
  <c r="G1599" i="8"/>
  <c r="G1659" i="8"/>
  <c r="G1711" i="8"/>
  <c r="G1771" i="8"/>
  <c r="G1827" i="8"/>
  <c r="G1883" i="8"/>
  <c r="G1953" i="8"/>
  <c r="G2070" i="8"/>
  <c r="G2148" i="8"/>
  <c r="G2013" i="8"/>
  <c r="G2130" i="8"/>
  <c r="G2275" i="8"/>
  <c r="G2184" i="8"/>
  <c r="G2335" i="8"/>
  <c r="G2267" i="8"/>
  <c r="G1887" i="8"/>
  <c r="G1947" i="8"/>
  <c r="G1999" i="8"/>
  <c r="G2059" i="8"/>
  <c r="G2119" i="8"/>
  <c r="G2231" i="8"/>
  <c r="G2204" i="8"/>
  <c r="G1988" i="8"/>
  <c r="G2104" i="8"/>
  <c r="G2351" i="8"/>
  <c r="G2365" i="8"/>
  <c r="G2485" i="8"/>
  <c r="G2536" i="8"/>
  <c r="G2573" i="8"/>
  <c r="G1382" i="8"/>
  <c r="G2529" i="8"/>
  <c r="G2242" i="8"/>
  <c r="G2443" i="8"/>
  <c r="G2553" i="8"/>
  <c r="G2538" i="8"/>
  <c r="G2678" i="8"/>
  <c r="G2704" i="8"/>
  <c r="G2744" i="8"/>
  <c r="G2729" i="8"/>
  <c r="G2874" i="8"/>
  <c r="G2755" i="8"/>
  <c r="G3053" i="8"/>
  <c r="H3053" i="8" s="1"/>
  <c r="I3053" i="8" s="1"/>
  <c r="G3207" i="8"/>
  <c r="G3232" i="8"/>
  <c r="G3241" i="8"/>
  <c r="G3244" i="8"/>
  <c r="G3238" i="8"/>
  <c r="G3243" i="8"/>
  <c r="G3240" i="8"/>
  <c r="G3231" i="8"/>
  <c r="G3246" i="8"/>
  <c r="G3237" i="8"/>
  <c r="H3237" i="8" s="1"/>
  <c r="I3237" i="8" s="1"/>
  <c r="G3242" i="8"/>
  <c r="G3229" i="8"/>
  <c r="G3233" i="8"/>
  <c r="G3235" i="8"/>
  <c r="G3239" i="8"/>
  <c r="G3236" i="8"/>
  <c r="H2072" i="8"/>
  <c r="F61" i="7"/>
  <c r="G3264" i="8"/>
  <c r="H1958" i="8"/>
  <c r="H2490" i="8"/>
  <c r="H1541" i="8"/>
  <c r="H2152" i="8"/>
  <c r="H2587" i="8"/>
  <c r="F1033" i="8"/>
  <c r="H2216" i="8"/>
  <c r="F1627" i="8"/>
  <c r="F2397" i="8"/>
  <c r="H1804" i="8"/>
  <c r="F2013" i="8"/>
  <c r="F2360" i="8"/>
  <c r="H1030" i="8"/>
  <c r="F1845" i="8"/>
  <c r="F2336" i="8"/>
  <c r="I2559" i="8"/>
  <c r="I1802" i="8"/>
  <c r="F2329" i="8"/>
  <c r="F128" i="7"/>
  <c r="I1883" i="8"/>
  <c r="I3206" i="8"/>
  <c r="F82" i="7"/>
  <c r="H3180" i="8"/>
  <c r="I3193" i="8"/>
  <c r="I2733" i="8"/>
  <c r="I2062" i="8"/>
  <c r="I1985" i="8"/>
  <c r="F108" i="7"/>
  <c r="F1979" i="8"/>
  <c r="F1738" i="8"/>
  <c r="I2406" i="8"/>
  <c r="I1850" i="8"/>
  <c r="I2569" i="8"/>
  <c r="I2005" i="8"/>
  <c r="F58" i="7"/>
  <c r="F124" i="7"/>
  <c r="F55" i="7"/>
  <c r="G3957" i="5"/>
  <c r="H1554" i="8"/>
  <c r="F110" i="7"/>
  <c r="H2837" i="8"/>
  <c r="F1993" i="8"/>
  <c r="F106" i="7"/>
  <c r="F129" i="7"/>
  <c r="I1701" i="8"/>
  <c r="I2437" i="8"/>
  <c r="H1511" i="8"/>
  <c r="H1220" i="8"/>
  <c r="F2429" i="8"/>
  <c r="H1977" i="8"/>
  <c r="I525" i="8"/>
  <c r="F1806" i="8"/>
  <c r="H798" i="8"/>
  <c r="H2156" i="8"/>
  <c r="F1028" i="8"/>
  <c r="F2801" i="8"/>
  <c r="H2199" i="8"/>
  <c r="F95" i="7"/>
  <c r="H2122" i="8"/>
  <c r="I1601" i="8"/>
  <c r="I1626" i="8"/>
  <c r="H2738" i="8"/>
  <c r="H1618" i="8"/>
  <c r="F2103" i="8"/>
  <c r="F56" i="7"/>
  <c r="H411" i="8"/>
  <c r="I2461" i="8"/>
  <c r="I3104" i="8"/>
  <c r="I2015" i="8"/>
  <c r="I484" i="8"/>
  <c r="I1279" i="8"/>
  <c r="G4333" i="5"/>
  <c r="F59" i="7"/>
  <c r="F109" i="7"/>
  <c r="F122" i="7"/>
  <c r="G7447" i="5"/>
  <c r="F71" i="7"/>
  <c r="G1596" i="5"/>
  <c r="F37" i="7"/>
  <c r="F73" i="7"/>
  <c r="F93" i="7"/>
  <c r="F35" i="7"/>
  <c r="F94" i="7"/>
  <c r="F70" i="7"/>
  <c r="G291" i="5"/>
  <c r="F81" i="7"/>
  <c r="F125" i="7"/>
  <c r="F96" i="7"/>
  <c r="G5921" i="5"/>
  <c r="G5757" i="5"/>
  <c r="F23" i="7"/>
  <c r="F45" i="7"/>
  <c r="F74" i="7"/>
  <c r="F123" i="7"/>
  <c r="F69" i="7"/>
  <c r="F57" i="7"/>
  <c r="I2487" i="8"/>
  <c r="F34" i="7"/>
  <c r="G3256" i="8"/>
  <c r="F27" i="7"/>
  <c r="G3250" i="8"/>
  <c r="G3257" i="8"/>
  <c r="G3260" i="8"/>
  <c r="G3253" i="8"/>
  <c r="G3262" i="8"/>
  <c r="G3248" i="8"/>
  <c r="G3254" i="8"/>
  <c r="G3261" i="8"/>
  <c r="G3263" i="8"/>
  <c r="G3249" i="8"/>
  <c r="G3258" i="8"/>
  <c r="G3252" i="8"/>
  <c r="F17" i="7"/>
  <c r="F36" i="7"/>
  <c r="F72" i="7"/>
  <c r="G3247" i="8"/>
  <c r="G3251" i="8"/>
  <c r="G3255" i="8"/>
  <c r="G3259" i="8"/>
  <c r="G6071" i="5"/>
  <c r="H6071" i="5" s="1"/>
  <c r="H1033" i="8"/>
  <c r="I1033" i="8"/>
  <c r="F3180" i="8"/>
  <c r="I3180" i="8"/>
  <c r="I1030" i="8"/>
  <c r="F1030" i="8"/>
  <c r="F1527" i="8"/>
  <c r="F2754" i="8"/>
  <c r="I2754" i="8"/>
  <c r="H2754" i="8"/>
  <c r="H2062" i="8"/>
  <c r="F2062" i="8"/>
  <c r="H3206" i="8"/>
  <c r="I2837" i="8"/>
  <c r="F2837" i="8"/>
  <c r="I2156" i="8"/>
  <c r="F2156" i="8"/>
  <c r="H2013" i="8"/>
  <c r="I2745" i="8"/>
  <c r="F135" i="7"/>
  <c r="F139" i="7"/>
  <c r="G7391" i="5"/>
  <c r="G7383" i="5"/>
  <c r="I1776" i="8"/>
  <c r="H1776" i="8"/>
  <c r="F1776" i="8"/>
  <c r="F1661" i="8"/>
  <c r="H1661" i="8"/>
  <c r="I1661" i="8"/>
  <c r="G7397" i="5"/>
  <c r="I1053" i="8"/>
  <c r="F806" i="8"/>
  <c r="H736" i="8"/>
  <c r="F48" i="7"/>
  <c r="H2437" i="8"/>
  <c r="I798" i="8"/>
  <c r="F2437" i="8"/>
  <c r="I1855" i="8"/>
  <c r="I1845" i="8"/>
  <c r="I2013" i="8"/>
  <c r="I1563" i="8"/>
  <c r="F1850" i="8"/>
  <c r="H1850" i="8"/>
  <c r="H2336" i="8"/>
  <c r="I2336" i="8" s="1"/>
  <c r="H1701" i="8"/>
  <c r="F1701" i="8"/>
  <c r="I2587" i="8"/>
  <c r="I1311" i="8"/>
  <c r="F798" i="8"/>
  <c r="F2199" i="8"/>
  <c r="H2582" i="8"/>
  <c r="H2445" i="8"/>
  <c r="I1554" i="8"/>
  <c r="F1554" i="8"/>
  <c r="H3204" i="8"/>
  <c r="F3206" i="8"/>
  <c r="H3193" i="8"/>
  <c r="F3193" i="8"/>
  <c r="H1883" i="8"/>
  <c r="H2397" i="8"/>
  <c r="H3154" i="8"/>
  <c r="I2397" i="8"/>
  <c r="F2559" i="8"/>
  <c r="H2559" i="8"/>
  <c r="H2405" i="8"/>
  <c r="I3128" i="8"/>
  <c r="F2733" i="8"/>
  <c r="H2733" i="8"/>
  <c r="H1627" i="8"/>
  <c r="I3081" i="8"/>
  <c r="H3021" i="8"/>
  <c r="I1986" i="8"/>
  <c r="F2459" i="8"/>
  <c r="H2329" i="8"/>
  <c r="I1979" i="8"/>
  <c r="I2329" i="8"/>
  <c r="I2152" i="8"/>
  <c r="H1979" i="8"/>
  <c r="F1601" i="8"/>
  <c r="H1279" i="8"/>
  <c r="H1053" i="8"/>
  <c r="F3069" i="8"/>
  <c r="F2380" i="8"/>
  <c r="F2587" i="8"/>
  <c r="F3148" i="8"/>
  <c r="H2983" i="8"/>
  <c r="F1086" i="8"/>
  <c r="I1469" i="8"/>
  <c r="I1977" i="8"/>
  <c r="F2918" i="8"/>
  <c r="F2215" i="8"/>
  <c r="F1883" i="8"/>
  <c r="H1259" i="8"/>
  <c r="I1259" i="8" s="1"/>
  <c r="I1627" i="8"/>
  <c r="H2265" i="8"/>
  <c r="H1802" i="8"/>
  <c r="F1259" i="8"/>
  <c r="F2216" i="8"/>
  <c r="F1802" i="8"/>
  <c r="I2205" i="8"/>
  <c r="H3170" i="8"/>
  <c r="I2023" i="8"/>
  <c r="I2216" i="8"/>
  <c r="F2780" i="8"/>
  <c r="F2160" i="8"/>
  <c r="F1387" i="8"/>
  <c r="F2152" i="8"/>
  <c r="I2838" i="8"/>
  <c r="I1567" i="8"/>
  <c r="H1993" i="8"/>
  <c r="F1977" i="8"/>
  <c r="F1562" i="8"/>
  <c r="I2429" i="8"/>
  <c r="I829" i="8"/>
  <c r="I2439" i="8"/>
  <c r="F451" i="8"/>
  <c r="F2358" i="8"/>
  <c r="H2759" i="8"/>
  <c r="H1845" i="8"/>
  <c r="I2268" i="8"/>
  <c r="F2944" i="8"/>
  <c r="H2944" i="8"/>
  <c r="I2944" i="8"/>
  <c r="F1804" i="8"/>
  <c r="I1804" i="8"/>
  <c r="F1543" i="8"/>
  <c r="F2738" i="8"/>
  <c r="I2738" i="8"/>
  <c r="F1782" i="8"/>
  <c r="H2545" i="8"/>
  <c r="F1281" i="8"/>
  <c r="I1765" i="8"/>
  <c r="F2097" i="8"/>
  <c r="F2073" i="8"/>
  <c r="H525" i="8"/>
  <c r="F525" i="8"/>
  <c r="I1993" i="8"/>
  <c r="H1792" i="8"/>
  <c r="F1541" i="8"/>
  <c r="I1541" i="8"/>
  <c r="F1958" i="8"/>
  <c r="I1958" i="8"/>
  <c r="H1610" i="8"/>
  <c r="F1610" i="8"/>
  <c r="I1610" i="8"/>
  <c r="I1677" i="8"/>
  <c r="F3120" i="8"/>
  <c r="I2089" i="8"/>
  <c r="H2089" i="8"/>
  <c r="F2089" i="8"/>
  <c r="H1585" i="8"/>
  <c r="I1585" i="8"/>
  <c r="H1202" i="8"/>
  <c r="F1202" i="8"/>
  <c r="I1202" i="8"/>
  <c r="I1108" i="8"/>
  <c r="H1108" i="8"/>
  <c r="F1108" i="8"/>
  <c r="I2772" i="8"/>
  <c r="F2772" i="8"/>
  <c r="H2772" i="8"/>
  <c r="H806" i="8"/>
  <c r="I1485" i="8"/>
  <c r="H1485" i="8"/>
  <c r="F1485" i="8"/>
  <c r="H1403" i="8"/>
  <c r="I1403" i="8"/>
  <c r="F1403" i="8"/>
  <c r="I2693" i="8"/>
  <c r="F2693" i="8"/>
  <c r="H2693" i="8"/>
  <c r="I2389" i="8"/>
  <c r="H2389" i="8"/>
  <c r="F2389" i="8"/>
  <c r="F1653" i="8"/>
  <c r="I1653" i="8"/>
  <c r="H1653" i="8"/>
  <c r="H3125" i="8"/>
  <c r="F3125" i="8"/>
  <c r="I3125" i="8"/>
  <c r="F790" i="8"/>
  <c r="H790" i="8"/>
  <c r="I790" i="8"/>
  <c r="F2581" i="8"/>
  <c r="I2581" i="8"/>
  <c r="H2581" i="8"/>
  <c r="I2366" i="8"/>
  <c r="H2366" i="8"/>
  <c r="F2366" i="8"/>
  <c r="I2035" i="8"/>
  <c r="F2035" i="8"/>
  <c r="H2035" i="8"/>
  <c r="I806" i="8"/>
  <c r="F1585" i="8"/>
  <c r="H2773" i="8"/>
  <c r="I1527" i="8"/>
  <c r="H1527" i="8"/>
  <c r="H2148" i="8"/>
  <c r="F3131" i="8"/>
  <c r="H1626" i="8"/>
  <c r="H557" i="8"/>
  <c r="F2421" i="8"/>
  <c r="I2851" i="8"/>
  <c r="H2846" i="8"/>
  <c r="F1618" i="8"/>
  <c r="I2844" i="8"/>
  <c r="H563" i="8"/>
  <c r="I710" i="8"/>
  <c r="I2059" i="8"/>
  <c r="F1626" i="8"/>
  <c r="H1601" i="8"/>
  <c r="I1215" i="8"/>
  <c r="H1215" i="8"/>
  <c r="F1215" i="8"/>
  <c r="H1932" i="8"/>
  <c r="F1932" i="8"/>
  <c r="I1932" i="8"/>
  <c r="F2969" i="8"/>
  <c r="I2969" i="8"/>
  <c r="F2569" i="8"/>
  <c r="H2569" i="8"/>
  <c r="I1806" i="8"/>
  <c r="H2230" i="8"/>
  <c r="I2464" i="8"/>
  <c r="F2105" i="8"/>
  <c r="F794" i="8"/>
  <c r="H2999" i="8"/>
  <c r="I2122" i="8"/>
  <c r="F2122" i="8"/>
  <c r="I698" i="8"/>
  <c r="H2429" i="8"/>
  <c r="H1991" i="8"/>
  <c r="I2199" i="8"/>
  <c r="H1028" i="8"/>
  <c r="I1028" i="8"/>
  <c r="H2785" i="8"/>
  <c r="F2628" i="8"/>
  <c r="H2057" i="8"/>
  <c r="H2425" i="8"/>
  <c r="H1806" i="8"/>
  <c r="F411" i="8"/>
  <c r="H2015" i="8"/>
  <c r="F2015" i="8"/>
  <c r="F484" i="8"/>
  <c r="H2461" i="8"/>
  <c r="H406" i="8"/>
  <c r="I1618" i="8"/>
  <c r="F2461" i="8"/>
  <c r="H3104" i="8"/>
  <c r="H3218" i="8"/>
  <c r="F3104" i="8"/>
  <c r="H3163" i="8"/>
  <c r="H484" i="8"/>
  <c r="F773" i="8"/>
  <c r="I2942" i="8"/>
  <c r="H2969" i="8"/>
  <c r="H2435" i="8"/>
  <c r="F2406" i="8"/>
  <c r="H2406" i="8"/>
  <c r="I1461" i="8"/>
  <c r="H950" i="8"/>
  <c r="I950" i="8" s="1"/>
  <c r="F950" i="8"/>
  <c r="I411" i="8"/>
  <c r="I2360" i="8"/>
  <c r="H422" i="8"/>
  <c r="I422" i="8"/>
  <c r="F422" i="8"/>
  <c r="F1279" i="8"/>
  <c r="H2360" i="8"/>
  <c r="I767" i="8"/>
  <c r="H1985" i="8"/>
  <c r="F2866" i="8"/>
  <c r="F767" i="8"/>
  <c r="H2237" i="8"/>
  <c r="F2553" i="8"/>
  <c r="I1220" i="8"/>
  <c r="F1220" i="8"/>
  <c r="H1350" i="8"/>
  <c r="I1047" i="8"/>
  <c r="H1738" i="8"/>
  <c r="F2005" i="8"/>
  <c r="H2005" i="8"/>
  <c r="H530" i="8"/>
  <c r="F50" i="7"/>
  <c r="I2490" i="8"/>
  <c r="I1057" i="8"/>
  <c r="F2838" i="8"/>
  <c r="F1628" i="8"/>
  <c r="I2358" i="8"/>
  <c r="H2358" i="8"/>
  <c r="I530" i="8"/>
  <c r="I2405" i="8"/>
  <c r="F1941" i="8"/>
  <c r="F829" i="8"/>
  <c r="H2838" i="8"/>
  <c r="F2487" i="8"/>
  <c r="H2487" i="8"/>
  <c r="I1738" i="8"/>
  <c r="I1203" i="8"/>
  <c r="F1985" i="8"/>
  <c r="I2582" i="8"/>
  <c r="F1989" i="8"/>
  <c r="H1989" i="8"/>
  <c r="I1989" i="8"/>
  <c r="I1681" i="8"/>
  <c r="F1681" i="8"/>
  <c r="H1681" i="8"/>
  <c r="F2745" i="8"/>
  <c r="F2308" i="8"/>
  <c r="I2308" i="8"/>
  <c r="H2308" i="8"/>
  <c r="I2997" i="8"/>
  <c r="I1086" i="8"/>
  <c r="H1086" i="8"/>
  <c r="H2801" i="8"/>
  <c r="I2801" i="8"/>
  <c r="F2490" i="8"/>
  <c r="F2405" i="8"/>
  <c r="H2745" i="8"/>
  <c r="F39" i="7"/>
  <c r="F127" i="7"/>
  <c r="I1511" i="8"/>
  <c r="F1511" i="8"/>
  <c r="I3084" i="8"/>
  <c r="H3084" i="8"/>
  <c r="F3084" i="8"/>
  <c r="I2103" i="8"/>
  <c r="H2103" i="8"/>
  <c r="F2072" i="8"/>
  <c r="F52" i="7"/>
  <c r="F1567" i="8"/>
  <c r="F2439" i="8"/>
  <c r="H2439" i="8"/>
  <c r="H1562" i="8"/>
  <c r="H3069" i="8"/>
  <c r="I3069" i="8"/>
  <c r="F3204" i="8"/>
  <c r="I2072" i="8"/>
  <c r="F64" i="7"/>
  <c r="H1947" i="8"/>
  <c r="F1947" i="8"/>
  <c r="I1947" i="8"/>
  <c r="A11" i="7"/>
  <c r="A36" i="7"/>
  <c r="A46" i="7"/>
  <c r="A81" i="7"/>
  <c r="A24" i="7"/>
  <c r="A124" i="7"/>
  <c r="A135" i="7"/>
  <c r="A95" i="7"/>
  <c r="A129" i="7"/>
  <c r="A59" i="7"/>
  <c r="A109" i="7"/>
  <c r="A73" i="7"/>
  <c r="I2265" i="8"/>
  <c r="F2265" i="8"/>
  <c r="F65" i="7"/>
  <c r="F100" i="7"/>
  <c r="H2780" i="8"/>
  <c r="F138" i="7"/>
  <c r="H1961" i="8"/>
  <c r="F1961" i="8"/>
  <c r="I1961" i="8"/>
  <c r="F2431" i="8"/>
  <c r="I2431" i="8"/>
  <c r="H2431" i="8"/>
  <c r="F78" i="7"/>
  <c r="H759" i="8"/>
  <c r="I759" i="8"/>
  <c r="F759" i="8"/>
  <c r="F1824" i="8"/>
  <c r="H1824" i="8"/>
  <c r="I1824" i="8"/>
  <c r="H541" i="8"/>
  <c r="I541" i="8"/>
  <c r="F541" i="8"/>
  <c r="F2023" i="8"/>
  <c r="H2023" i="8"/>
  <c r="I3154" i="8"/>
  <c r="H2169" i="8"/>
  <c r="I2169" i="8"/>
  <c r="F2169" i="8"/>
  <c r="I2132" i="8"/>
  <c r="H2132" i="8"/>
  <c r="F2132" i="8"/>
  <c r="I2067" i="8"/>
  <c r="H2067" i="8"/>
  <c r="F2067" i="8"/>
  <c r="I2427" i="8"/>
  <c r="H2427" i="8"/>
  <c r="F2427" i="8"/>
  <c r="F28" i="7"/>
  <c r="I533" i="8"/>
  <c r="H533" i="8"/>
  <c r="F533" i="8"/>
  <c r="I2350" i="8"/>
  <c r="H2350" i="8"/>
  <c r="F2350" i="8"/>
  <c r="H2392" i="8"/>
  <c r="F2392" i="8"/>
  <c r="I2392" i="8"/>
  <c r="F1787" i="8"/>
  <c r="I1787" i="8"/>
  <c r="H1787" i="8"/>
  <c r="I2307" i="8"/>
  <c r="H2307" i="8"/>
  <c r="F2307" i="8"/>
  <c r="F126" i="7"/>
  <c r="F40" i="7"/>
  <c r="I1026" i="8"/>
  <c r="F1026" i="8"/>
  <c r="H1026" i="8"/>
  <c r="H1723" i="8"/>
  <c r="F1723" i="8"/>
  <c r="I1723" i="8"/>
  <c r="F1969" i="8"/>
  <c r="I1969" i="8"/>
  <c r="H1969" i="8"/>
  <c r="H2041" i="8"/>
  <c r="F2041" i="8"/>
  <c r="I2041" i="8"/>
  <c r="H2010" i="8"/>
  <c r="I2010" i="8"/>
  <c r="F2010" i="8"/>
  <c r="F1329" i="8"/>
  <c r="I1329" i="8"/>
  <c r="H1329" i="8"/>
  <c r="F1053" i="8"/>
  <c r="I791" i="8"/>
  <c r="I1562" i="8"/>
  <c r="I531" i="8"/>
  <c r="H3148" i="8"/>
  <c r="H430" i="8"/>
  <c r="I3148" i="8"/>
  <c r="I446" i="8"/>
  <c r="H446" i="8"/>
  <c r="F446" i="8"/>
  <c r="F553" i="8"/>
  <c r="F1239" i="8"/>
  <c r="I1239" i="8"/>
  <c r="H1239" i="8"/>
  <c r="H1311" i="8"/>
  <c r="F1855" i="8"/>
  <c r="H1855" i="8"/>
  <c r="F1311" i="8"/>
  <c r="I2780" i="8"/>
  <c r="F3154" i="8"/>
  <c r="F2983" i="8"/>
  <c r="F2445" i="8"/>
  <c r="I430" i="8"/>
  <c r="H1567" i="8"/>
  <c r="H829" i="8"/>
  <c r="H2215" i="8"/>
  <c r="I2215" i="8"/>
  <c r="F2582" i="8"/>
  <c r="I3204" i="8"/>
  <c r="F1765" i="8"/>
  <c r="H451" i="8"/>
  <c r="H1632" i="8"/>
  <c r="I451" i="8"/>
  <c r="H1765" i="8"/>
  <c r="I2759" i="8"/>
  <c r="I1782" i="8"/>
  <c r="H1782" i="8"/>
  <c r="I3196" i="8"/>
  <c r="F706" i="8"/>
  <c r="F736" i="8"/>
  <c r="I736" i="8"/>
  <c r="I2628" i="8"/>
  <c r="F3170" i="8"/>
  <c r="I2631" i="8"/>
  <c r="I1387" i="8"/>
  <c r="H1986" i="8"/>
  <c r="F1986" i="8"/>
  <c r="H2380" i="8"/>
  <c r="I2380" i="8"/>
  <c r="F2272" i="8"/>
  <c r="H1387" i="8"/>
  <c r="H1652" i="8"/>
  <c r="F3088" i="8"/>
  <c r="I1792" i="8"/>
  <c r="H1469" i="8"/>
  <c r="I2160" i="8"/>
  <c r="F1469" i="8"/>
  <c r="H1563" i="8"/>
  <c r="H2160" i="8"/>
  <c r="H2268" i="8"/>
  <c r="F1792" i="8"/>
  <c r="F1563" i="8"/>
  <c r="F2268" i="8"/>
  <c r="I3170" i="8"/>
  <c r="H1281" i="8"/>
  <c r="I2445" i="8"/>
  <c r="I3120" i="8"/>
  <c r="H3120" i="8"/>
  <c r="H3112" i="8"/>
  <c r="H2205" i="8"/>
  <c r="H2918" i="8"/>
  <c r="I2918" i="8"/>
  <c r="F2205" i="8"/>
  <c r="H2073" i="8"/>
  <c r="I2983" i="8"/>
  <c r="I1369" i="8"/>
  <c r="I2073" i="8"/>
  <c r="I2097" i="8"/>
  <c r="H2097" i="8"/>
  <c r="I1543" i="8"/>
  <c r="F2759" i="8"/>
  <c r="H1543" i="8"/>
  <c r="I753" i="8"/>
  <c r="I2105" i="8"/>
  <c r="H3128" i="8"/>
  <c r="F3128" i="8"/>
  <c r="F1677" i="8"/>
  <c r="H2549" i="8"/>
  <c r="I2549" i="8"/>
  <c r="F2549" i="8"/>
  <c r="H2628" i="8"/>
  <c r="F1213" i="8"/>
  <c r="I1213" i="8"/>
  <c r="H1213" i="8"/>
  <c r="H1677" i="8"/>
  <c r="F3201" i="8"/>
  <c r="I3201" i="8"/>
  <c r="H3201" i="8"/>
  <c r="H3081" i="8"/>
  <c r="I1281" i="8"/>
  <c r="F3081" i="8"/>
  <c r="F3021" i="8"/>
  <c r="I3021" i="8"/>
  <c r="H2459" i="8"/>
  <c r="I2459" i="8"/>
  <c r="F1535" i="8"/>
  <c r="H1535" i="8"/>
  <c r="I1535" i="8"/>
  <c r="H2538" i="8"/>
  <c r="F2538" i="8"/>
  <c r="I2538" i="8"/>
  <c r="F1453" i="8"/>
  <c r="H1453" i="8"/>
  <c r="I1453" i="8"/>
  <c r="F1217" i="8"/>
  <c r="H1217" i="8"/>
  <c r="I1217" i="8"/>
  <c r="H1807" i="8"/>
  <c r="F1807" i="8"/>
  <c r="I1807" i="8"/>
  <c r="F2157" i="8"/>
  <c r="H2157" i="8"/>
  <c r="I2157" i="8"/>
  <c r="F3246" i="8"/>
  <c r="I2017" i="8"/>
  <c r="F2017" i="8"/>
  <c r="H2017" i="8"/>
  <c r="F1258" i="8"/>
  <c r="H1258" i="8"/>
  <c r="I1258" i="8" s="1"/>
  <c r="F2545" i="8"/>
  <c r="I2545" i="8"/>
  <c r="F2435" i="8"/>
  <c r="F2057" i="8"/>
  <c r="H3232" i="8"/>
  <c r="F2844" i="8"/>
  <c r="H2464" i="8"/>
  <c r="I2785" i="8"/>
  <c r="F2942" i="8"/>
  <c r="H2942" i="8"/>
  <c r="I2057" i="8"/>
  <c r="F2773" i="8"/>
  <c r="F2148" i="8"/>
  <c r="H2778" i="8"/>
  <c r="I557" i="8"/>
  <c r="F2785" i="8"/>
  <c r="H2203" i="8"/>
  <c r="F557" i="8"/>
  <c r="F2425" i="8"/>
  <c r="F710" i="8"/>
  <c r="I2425" i="8"/>
  <c r="H292" i="8"/>
  <c r="F2705" i="8"/>
  <c r="H710" i="8"/>
  <c r="H2059" i="8"/>
  <c r="I2147" i="8"/>
  <c r="I2148" i="8"/>
  <c r="H2142" i="8"/>
  <c r="I406" i="8"/>
  <c r="F406" i="8"/>
  <c r="I2435" i="8"/>
  <c r="I1207" i="8"/>
  <c r="F1207" i="8"/>
  <c r="H1207" i="8"/>
  <c r="I2846" i="8"/>
  <c r="H625" i="8"/>
  <c r="F3218" i="8"/>
  <c r="I794" i="8"/>
  <c r="H2105" i="8"/>
  <c r="I2230" i="8"/>
  <c r="F2059" i="8"/>
  <c r="H698" i="8"/>
  <c r="F2464" i="8"/>
  <c r="H3131" i="8"/>
  <c r="I3131" i="8" s="1"/>
  <c r="F3079" i="8"/>
  <c r="F2846" i="8"/>
  <c r="I2773" i="8"/>
  <c r="F698" i="8"/>
  <c r="F2717" i="8"/>
  <c r="I2717" i="8"/>
  <c r="H2717" i="8"/>
  <c r="H2851" i="8"/>
  <c r="F2230" i="8"/>
  <c r="F791" i="8"/>
  <c r="H2844" i="8"/>
  <c r="I3074" i="8"/>
  <c r="F3074" i="8"/>
  <c r="H3074" i="8"/>
  <c r="H791" i="8"/>
  <c r="I563" i="8"/>
  <c r="I3218" i="8"/>
  <c r="F2851" i="8"/>
  <c r="F563" i="8"/>
  <c r="H749" i="8"/>
  <c r="I749" i="8"/>
  <c r="F749" i="8"/>
  <c r="H3160" i="8"/>
  <c r="F3160" i="8"/>
  <c r="I3160" i="8"/>
  <c r="F2999" i="8"/>
  <c r="I2421" i="8"/>
  <c r="I2999" i="8"/>
  <c r="F3197" i="8"/>
  <c r="H2120" i="8"/>
  <c r="F1461" i="8"/>
  <c r="H2195" i="8"/>
  <c r="H2666" i="8"/>
  <c r="F2666" i="8"/>
  <c r="I2666" i="8"/>
  <c r="I1669" i="8"/>
  <c r="H1669" i="8"/>
  <c r="F1669" i="8"/>
  <c r="F1194" i="8"/>
  <c r="I1194" i="8"/>
  <c r="H1194" i="8"/>
  <c r="H1461" i="8"/>
  <c r="F2702" i="8"/>
  <c r="H2702" i="8"/>
  <c r="I2702" i="8"/>
  <c r="H794" i="8"/>
  <c r="H3108" i="8"/>
  <c r="I3108" i="8"/>
  <c r="F3108" i="8"/>
  <c r="H2421" i="8"/>
  <c r="F2183" i="8"/>
  <c r="I2183" i="8"/>
  <c r="H2183" i="8"/>
  <c r="I1808" i="8"/>
  <c r="H1808" i="8"/>
  <c r="F1808" i="8"/>
  <c r="H842" i="8"/>
  <c r="F842" i="8"/>
  <c r="I842" i="8"/>
  <c r="H2674" i="8"/>
  <c r="I2674" i="8"/>
  <c r="F2674" i="8"/>
  <c r="F1991" i="8"/>
  <c r="I1991" i="8"/>
  <c r="I1800" i="8"/>
  <c r="H1800" i="8"/>
  <c r="F1800" i="8"/>
  <c r="F1509" i="8"/>
  <c r="F3163" i="8"/>
  <c r="I3163" i="8"/>
  <c r="I3138" i="8"/>
  <c r="H2726" i="8"/>
  <c r="H2553" i="8"/>
  <c r="I773" i="8"/>
  <c r="H773" i="8"/>
  <c r="I2237" i="8"/>
  <c r="F3064" i="8"/>
  <c r="H2513" i="8"/>
  <c r="I2053" i="8"/>
  <c r="I2866" i="8"/>
  <c r="I2553" i="8"/>
  <c r="H1628" i="8"/>
  <c r="F1057" i="8"/>
  <c r="H1057" i="8"/>
  <c r="I2296" i="8"/>
  <c r="H2296" i="8"/>
  <c r="F2296" i="8"/>
  <c r="F887" i="8"/>
  <c r="H2866" i="8"/>
  <c r="F1350" i="8"/>
  <c r="F1047" i="8"/>
  <c r="H1047" i="8"/>
  <c r="I1350" i="8"/>
  <c r="I2652" i="8"/>
  <c r="F2237" i="8"/>
  <c r="I2246" i="8"/>
  <c r="F2246" i="8"/>
  <c r="H2246" i="8"/>
  <c r="I3055" i="8"/>
  <c r="I1628" i="8"/>
  <c r="F62" i="7"/>
  <c r="I3182" i="8"/>
  <c r="H3182" i="8"/>
  <c r="F3182" i="8"/>
  <c r="F1766" i="8"/>
  <c r="H1766" i="8"/>
  <c r="I1766" i="8"/>
  <c r="I1127" i="8"/>
  <c r="F1127" i="8"/>
  <c r="H1127" i="8"/>
  <c r="F1491" i="8"/>
  <c r="I1491" i="8"/>
  <c r="H1491" i="8"/>
  <c r="I2477" i="8"/>
  <c r="H2477" i="8"/>
  <c r="F2477" i="8"/>
  <c r="H1445" i="8"/>
  <c r="I1445" i="8"/>
  <c r="F1445" i="8"/>
  <c r="I1029" i="8"/>
  <c r="F1029" i="8"/>
  <c r="H1029" i="8"/>
  <c r="I2233" i="8"/>
  <c r="F2233" i="8"/>
  <c r="H2233" i="8"/>
  <c r="I1941" i="8"/>
  <c r="H1941" i="8"/>
  <c r="I1377" i="8"/>
  <c r="H1195" i="8"/>
  <c r="H1371" i="8"/>
  <c r="I1371" i="8"/>
  <c r="F1371" i="8"/>
  <c r="I2240" i="8"/>
  <c r="F2240" i="8"/>
  <c r="H2240" i="8"/>
  <c r="H2243" i="8"/>
  <c r="H1760" i="8"/>
  <c r="I1305" i="8"/>
  <c r="I766" i="8"/>
  <c r="I3083" i="8"/>
  <c r="H2198" i="8"/>
  <c r="F2720" i="8"/>
  <c r="F438" i="8"/>
  <c r="F1203" i="8"/>
  <c r="H1203" i="8"/>
  <c r="F491" i="8"/>
  <c r="I2698" i="8"/>
  <c r="F2698" i="8"/>
  <c r="H2698" i="8"/>
  <c r="I2862" i="8"/>
  <c r="H2862" i="8"/>
  <c r="F2862" i="8"/>
  <c r="F2065" i="8"/>
  <c r="I2065" i="8"/>
  <c r="H2065" i="8"/>
  <c r="H1243" i="8"/>
  <c r="F1243" i="8"/>
  <c r="I1243" i="8"/>
  <c r="I2943" i="8"/>
  <c r="F2943" i="8"/>
  <c r="H2943" i="8"/>
  <c r="F2669" i="8"/>
  <c r="H2325" i="8"/>
  <c r="I1918" i="8"/>
  <c r="I1516" i="8"/>
  <c r="F1513" i="8"/>
  <c r="I830" i="8"/>
  <c r="I645" i="8"/>
  <c r="H601" i="8"/>
  <c r="F409" i="8"/>
  <c r="H2997" i="8"/>
  <c r="F2997" i="8"/>
  <c r="H1659" i="8"/>
  <c r="I1027" i="8"/>
  <c r="F804" i="8"/>
  <c r="H2557" i="8"/>
  <c r="I2557" i="8"/>
  <c r="F2557" i="8"/>
  <c r="H3161" i="8"/>
  <c r="I3161" i="8"/>
  <c r="F3161" i="8"/>
  <c r="F29" i="7"/>
  <c r="F51" i="7"/>
  <c r="F43" i="7"/>
  <c r="F41" i="7"/>
  <c r="F66" i="7"/>
  <c r="F44" i="7"/>
  <c r="I2788" i="8"/>
  <c r="F2788" i="8"/>
  <c r="H2788" i="8"/>
  <c r="H2131" i="8"/>
  <c r="I2131" i="8"/>
  <c r="F2131" i="8"/>
  <c r="F133" i="7"/>
  <c r="G126" i="7"/>
  <c r="F97" i="7"/>
  <c r="F77" i="7"/>
  <c r="F76" i="7"/>
  <c r="F87" i="7"/>
  <c r="F15" i="7"/>
  <c r="F116" i="7"/>
  <c r="F20" i="7"/>
  <c r="F21" i="7"/>
  <c r="F22" i="7"/>
  <c r="G19" i="7"/>
  <c r="F101" i="7"/>
  <c r="F86" i="7"/>
  <c r="F132" i="7"/>
  <c r="F112" i="7"/>
  <c r="F14" i="7"/>
  <c r="F117" i="7"/>
  <c r="F115" i="7"/>
  <c r="F49" i="7"/>
  <c r="F30" i="7"/>
  <c r="F63" i="7"/>
  <c r="F38" i="7"/>
  <c r="F42" i="7"/>
  <c r="F26" i="7"/>
  <c r="F531" i="8"/>
  <c r="H531" i="8"/>
  <c r="F430" i="8"/>
  <c r="I553" i="8"/>
  <c r="H553" i="8"/>
  <c r="H1432" i="8"/>
  <c r="F1304" i="8"/>
  <c r="F1080" i="8"/>
  <c r="I843" i="8"/>
  <c r="H536" i="8"/>
  <c r="H787" i="8"/>
  <c r="I619" i="8"/>
  <c r="I544" i="8"/>
  <c r="I1232" i="8"/>
  <c r="H728" i="8"/>
  <c r="H552" i="8"/>
  <c r="H635" i="8"/>
  <c r="I624" i="8"/>
  <c r="F1632" i="8"/>
  <c r="I1632" i="8"/>
  <c r="F452" i="8"/>
  <c r="F3196" i="8"/>
  <c r="H3196" i="8"/>
  <c r="F1480" i="8"/>
  <c r="I706" i="8"/>
  <c r="I616" i="8"/>
  <c r="H2252" i="8"/>
  <c r="I2252" i="8"/>
  <c r="F2252" i="8"/>
  <c r="H674" i="8"/>
  <c r="I674" i="8"/>
  <c r="F674" i="8"/>
  <c r="H706" i="8"/>
  <c r="F608" i="8"/>
  <c r="I792" i="8"/>
  <c r="F792" i="8"/>
  <c r="H792" i="8"/>
  <c r="F2631" i="8"/>
  <c r="H2631" i="8"/>
  <c r="F2142" i="8"/>
  <c r="F625" i="8"/>
  <c r="H2272" i="8"/>
  <c r="F1652" i="8"/>
  <c r="I2272" i="8"/>
  <c r="I1652" i="8"/>
  <c r="I3112" i="8"/>
  <c r="I2778" i="8"/>
  <c r="I3232" i="8"/>
  <c r="F3232" i="8"/>
  <c r="H434" i="8"/>
  <c r="I3088" i="8"/>
  <c r="H3088" i="8"/>
  <c r="F2778" i="8"/>
  <c r="F3112" i="8"/>
  <c r="H524" i="8"/>
  <c r="I436" i="8"/>
  <c r="I2142" i="8"/>
  <c r="I625" i="8"/>
  <c r="I3246" i="8"/>
  <c r="F20" i="8"/>
  <c r="H3246" i="8"/>
  <c r="H2147" i="8"/>
  <c r="F2147" i="8"/>
  <c r="F1369" i="8"/>
  <c r="H1369" i="8"/>
  <c r="F58" i="8"/>
  <c r="F700" i="8"/>
  <c r="F740" i="8"/>
  <c r="I724" i="8"/>
  <c r="I2705" i="8"/>
  <c r="H748" i="8"/>
  <c r="F668" i="8"/>
  <c r="H753" i="8"/>
  <c r="F753" i="8"/>
  <c r="F556" i="8"/>
  <c r="H3079" i="8"/>
  <c r="F2203" i="8"/>
  <c r="I3079" i="8"/>
  <c r="I2203" i="8"/>
  <c r="H3197" i="8"/>
  <c r="H2705" i="8"/>
  <c r="H435" i="8"/>
  <c r="I435" i="8"/>
  <c r="F435" i="8"/>
  <c r="I3197" i="8"/>
  <c r="H1509" i="8"/>
  <c r="F2195" i="8"/>
  <c r="I2195" i="8"/>
  <c r="F954" i="8"/>
  <c r="H954" i="8"/>
  <c r="I954" i="8"/>
  <c r="H3071" i="8"/>
  <c r="I3071" i="8"/>
  <c r="F3071" i="8"/>
  <c r="F2408" i="8"/>
  <c r="I2408" i="8"/>
  <c r="H2408" i="8"/>
  <c r="I2120" i="8"/>
  <c r="I2726" i="8"/>
  <c r="F2726" i="8"/>
  <c r="I2653" i="8"/>
  <c r="H2653" i="8"/>
  <c r="F2653" i="8"/>
  <c r="H2206" i="8"/>
  <c r="I2206" i="8"/>
  <c r="F2206" i="8"/>
  <c r="I1509" i="8"/>
  <c r="F1784" i="8"/>
  <c r="H1784" i="8"/>
  <c r="I1784" i="8"/>
  <c r="H3138" i="8"/>
  <c r="F2120" i="8"/>
  <c r="H1911" i="8"/>
  <c r="I1911" i="8"/>
  <c r="F1911" i="8"/>
  <c r="H1450" i="8"/>
  <c r="F1450" i="8"/>
  <c r="I1450" i="8"/>
  <c r="I692" i="8"/>
  <c r="H692" i="8"/>
  <c r="F692" i="8"/>
  <c r="F3138" i="8"/>
  <c r="F1980" i="8"/>
  <c r="H1980" i="8"/>
  <c r="I1980" i="8"/>
  <c r="H2637" i="8"/>
  <c r="F2637" i="8"/>
  <c r="I2637" i="8"/>
  <c r="F2428" i="8"/>
  <c r="I2428" i="8"/>
  <c r="H2428" i="8"/>
  <c r="H2039" i="8"/>
  <c r="F2039" i="8"/>
  <c r="I2039" i="8"/>
  <c r="H1049" i="8"/>
  <c r="I1049" i="8"/>
  <c r="F1049" i="8"/>
  <c r="F2784" i="8"/>
  <c r="I2784" i="8"/>
  <c r="H2784" i="8"/>
  <c r="F665" i="8"/>
  <c r="H665" i="8"/>
  <c r="I665" i="8"/>
  <c r="I1754" i="8"/>
  <c r="H1754" i="8"/>
  <c r="F1754" i="8"/>
  <c r="H2385" i="8"/>
  <c r="F2385" i="8"/>
  <c r="I2385" i="8"/>
  <c r="I1619" i="8"/>
  <c r="F1619" i="8"/>
  <c r="H1619" i="8"/>
  <c r="H2465" i="8"/>
  <c r="I2465" i="8"/>
  <c r="F2465" i="8"/>
  <c r="F1100" i="8"/>
  <c r="H1100" i="8"/>
  <c r="I1100" i="8"/>
  <c r="I1745" i="8"/>
  <c r="F1745" i="8"/>
  <c r="H1745" i="8"/>
  <c r="H2009" i="8"/>
  <c r="F2009" i="8"/>
  <c r="I2009" i="8"/>
  <c r="H1084" i="8"/>
  <c r="I1084" i="8"/>
  <c r="F1084" i="8"/>
  <c r="H2034" i="8"/>
  <c r="F2034" i="8"/>
  <c r="I2034" i="8"/>
  <c r="H3183" i="8"/>
  <c r="I3183" i="8"/>
  <c r="F3183" i="8"/>
  <c r="H2351" i="8"/>
  <c r="F2351" i="8"/>
  <c r="I2351" i="8"/>
  <c r="F2917" i="8"/>
  <c r="I2917" i="8"/>
  <c r="H2917" i="8"/>
  <c r="F2558" i="8"/>
  <c r="I2558" i="8"/>
  <c r="H2558" i="8"/>
  <c r="H2760" i="8"/>
  <c r="I2760" i="8"/>
  <c r="F2760" i="8"/>
  <c r="I1503" i="8"/>
  <c r="F1503" i="8"/>
  <c r="H1503" i="8"/>
  <c r="H2117" i="8"/>
  <c r="F2117" i="8"/>
  <c r="I2117" i="8"/>
  <c r="I1978" i="8"/>
  <c r="H1978" i="8"/>
  <c r="F1978" i="8"/>
  <c r="F2328" i="8"/>
  <c r="H2328" i="8"/>
  <c r="I2328" i="8"/>
  <c r="I2807" i="8"/>
  <c r="F2807" i="8"/>
  <c r="H2807" i="8"/>
  <c r="H602" i="8"/>
  <c r="I602" i="8"/>
  <c r="F602" i="8"/>
  <c r="I647" i="8"/>
  <c r="F647" i="8"/>
  <c r="H647" i="8"/>
  <c r="H817" i="8"/>
  <c r="I817" i="8"/>
  <c r="F817" i="8"/>
  <c r="I2138" i="8"/>
  <c r="H2138" i="8"/>
  <c r="F2138" i="8"/>
  <c r="I660" i="8"/>
  <c r="F660" i="8"/>
  <c r="H660" i="8"/>
  <c r="F1721" i="8"/>
  <c r="H1721" i="8"/>
  <c r="I1721" i="8"/>
  <c r="F2802" i="8"/>
  <c r="I2802" i="8"/>
  <c r="H2802" i="8"/>
  <c r="H1242" i="8"/>
  <c r="I1242" i="8"/>
  <c r="F1242" i="8"/>
  <c r="F3209" i="8"/>
  <c r="I3209" i="8"/>
  <c r="H3209" i="8"/>
  <c r="I1454" i="8"/>
  <c r="H1454" i="8"/>
  <c r="F1454" i="8"/>
  <c r="F2026" i="8"/>
  <c r="I2026" i="8"/>
  <c r="H2026" i="8"/>
  <c r="F1223" i="8"/>
  <c r="H1223" i="8"/>
  <c r="I1223" i="8"/>
  <c r="I391" i="8"/>
  <c r="F391" i="8"/>
  <c r="H391" i="8"/>
  <c r="H1228" i="8"/>
  <c r="F1228" i="8"/>
  <c r="I1228" i="8"/>
  <c r="F2018" i="8"/>
  <c r="I2018" i="8"/>
  <c r="H2018" i="8"/>
  <c r="I3085" i="8"/>
  <c r="H3085" i="8"/>
  <c r="F3085" i="8"/>
  <c r="I1370" i="8"/>
  <c r="F1370" i="8"/>
  <c r="H1370" i="8"/>
  <c r="H1555" i="8"/>
  <c r="I1555" i="8"/>
  <c r="F1555" i="8"/>
  <c r="H2645" i="8"/>
  <c r="F2645" i="8"/>
  <c r="I2645" i="8"/>
  <c r="F1586" i="8"/>
  <c r="I1586" i="8"/>
  <c r="H1586" i="8"/>
  <c r="I1694" i="8"/>
  <c r="F1694" i="8"/>
  <c r="H1694" i="8"/>
  <c r="I2002" i="8"/>
  <c r="F2002" i="8"/>
  <c r="H2002" i="8"/>
  <c r="H2968" i="8"/>
  <c r="I2968" i="8"/>
  <c r="F2968" i="8"/>
  <c r="I1388" i="8"/>
  <c r="H1388" i="8"/>
  <c r="F1388" i="8"/>
  <c r="F2781" i="8"/>
  <c r="I2781" i="8"/>
  <c r="H2781" i="8"/>
  <c r="F423" i="8"/>
  <c r="H423" i="8"/>
  <c r="I423" i="8"/>
  <c r="F3007" i="8"/>
  <c r="H3007" i="8"/>
  <c r="I3007" i="8"/>
  <c r="I2398" i="8"/>
  <c r="H2398" i="8"/>
  <c r="F2398" i="8"/>
  <c r="F1809" i="8"/>
  <c r="H1809" i="8"/>
  <c r="I1809" i="8"/>
  <c r="H2677" i="8"/>
  <c r="F2677" i="8"/>
  <c r="I2677" i="8"/>
  <c r="H783" i="8"/>
  <c r="F783" i="8"/>
  <c r="I783" i="8"/>
  <c r="F2125" i="8"/>
  <c r="H2125" i="8"/>
  <c r="I2125" i="8"/>
  <c r="I447" i="8"/>
  <c r="F447" i="8"/>
  <c r="H447" i="8"/>
  <c r="H1021" i="8"/>
  <c r="I1021" i="8"/>
  <c r="F1021" i="8"/>
  <c r="F2058" i="8"/>
  <c r="H2058" i="8"/>
  <c r="I2058" i="8"/>
  <c r="F1769" i="8"/>
  <c r="I1769" i="8"/>
  <c r="H1769" i="8"/>
  <c r="I3118" i="8"/>
  <c r="F3118" i="8"/>
  <c r="H3118" i="8"/>
  <c r="I1438" i="8"/>
  <c r="F1438" i="8"/>
  <c r="H1438" i="8"/>
  <c r="I1825" i="8"/>
  <c r="F1825" i="8"/>
  <c r="H1825" i="8"/>
  <c r="I768" i="8"/>
  <c r="F768" i="8"/>
  <c r="H768" i="8"/>
  <c r="I1913" i="8"/>
  <c r="F1913" i="8"/>
  <c r="H1913" i="8"/>
  <c r="H1602" i="8"/>
  <c r="I1602" i="8"/>
  <c r="F1602" i="8"/>
  <c r="I661" i="8"/>
  <c r="F661" i="8"/>
  <c r="H661" i="8"/>
  <c r="F3105" i="8"/>
  <c r="I3105" i="8"/>
  <c r="H3105" i="8"/>
  <c r="I3126" i="8"/>
  <c r="H3126" i="8"/>
  <c r="F3126" i="8"/>
  <c r="I3141" i="8"/>
  <c r="F3141" i="8"/>
  <c r="H3141" i="8"/>
  <c r="I502" i="8"/>
  <c r="F502" i="8"/>
  <c r="H502" i="8"/>
  <c r="F1446" i="8"/>
  <c r="H1446" i="8"/>
  <c r="I1446" i="8"/>
  <c r="H1942" i="8"/>
  <c r="F1942" i="8"/>
  <c r="I1942" i="8"/>
  <c r="F2200" i="8"/>
  <c r="I2200" i="8"/>
  <c r="H2200" i="8"/>
  <c r="I815" i="8"/>
  <c r="F815" i="8"/>
  <c r="H815" i="8"/>
  <c r="H2320" i="8"/>
  <c r="I2320" i="8"/>
  <c r="F2320" i="8"/>
  <c r="F1737" i="8"/>
  <c r="H1737" i="8"/>
  <c r="I1737" i="8"/>
  <c r="F2042" i="8"/>
  <c r="H2042" i="8"/>
  <c r="I2042" i="8"/>
  <c r="F3023" i="8"/>
  <c r="H3023" i="8"/>
  <c r="I3023" i="8"/>
  <c r="H1056" i="8"/>
  <c r="I1056" i="8"/>
  <c r="F1056" i="8"/>
  <c r="I2176" i="8"/>
  <c r="H2176" i="8"/>
  <c r="F2176" i="8"/>
  <c r="F2149" i="8"/>
  <c r="I2149" i="8"/>
  <c r="H2149" i="8"/>
  <c r="F1777" i="8"/>
  <c r="H1777" i="8"/>
  <c r="I1777" i="8"/>
  <c r="I2566" i="8"/>
  <c r="H2566" i="8"/>
  <c r="F2566" i="8"/>
  <c r="I1952" i="8"/>
  <c r="H1952" i="8"/>
  <c r="F1952" i="8"/>
  <c r="I1048" i="8"/>
  <c r="F1048" i="8"/>
  <c r="H1048" i="8"/>
  <c r="H399" i="8"/>
  <c r="I399" i="8"/>
  <c r="F399" i="8"/>
  <c r="H72" i="8"/>
  <c r="F72" i="8"/>
  <c r="I72" i="8"/>
  <c r="H1702" i="8"/>
  <c r="I1702" i="8"/>
  <c r="F1702" i="8"/>
  <c r="F2372" i="8"/>
  <c r="I2372" i="8"/>
  <c r="H2372" i="8"/>
  <c r="H1761" i="8"/>
  <c r="I1761" i="8"/>
  <c r="F1761" i="8"/>
  <c r="H1304" i="8"/>
  <c r="I1460" i="8"/>
  <c r="F1460" i="8"/>
  <c r="H1460" i="8"/>
  <c r="H2260" i="8"/>
  <c r="I2260" i="8"/>
  <c r="F2260" i="8"/>
  <c r="H1934" i="8"/>
  <c r="I1934" i="8"/>
  <c r="F1934" i="8"/>
  <c r="I2847" i="8"/>
  <c r="F2847" i="8"/>
  <c r="H2847" i="8"/>
  <c r="F653" i="8"/>
  <c r="H653" i="8"/>
  <c r="I653" i="8"/>
  <c r="H1611" i="8"/>
  <c r="F1611" i="8"/>
  <c r="I1611" i="8"/>
  <c r="H2050" i="8"/>
  <c r="F2050" i="8"/>
  <c r="I2050" i="8"/>
  <c r="F1282" i="8"/>
  <c r="I1282" i="8"/>
  <c r="H1282" i="8"/>
  <c r="H2574" i="8"/>
  <c r="F2574" i="8"/>
  <c r="I2574" i="8"/>
  <c r="F835" i="8"/>
  <c r="H835" i="8"/>
  <c r="I835" i="8"/>
  <c r="F825" i="8"/>
  <c r="H825" i="8"/>
  <c r="I825" i="8"/>
  <c r="F2841" i="8"/>
  <c r="I2841" i="8"/>
  <c r="H2841" i="8"/>
  <c r="I3175" i="8"/>
  <c r="H3175" i="8"/>
  <c r="F3175" i="8"/>
  <c r="F2393" i="8"/>
  <c r="I2393" i="8"/>
  <c r="H2393" i="8"/>
  <c r="H1105" i="8"/>
  <c r="F1105" i="8"/>
  <c r="I1105" i="8"/>
  <c r="F407" i="8"/>
  <c r="H407" i="8"/>
  <c r="I407" i="8"/>
  <c r="I1970" i="8"/>
  <c r="F1970" i="8"/>
  <c r="H1970" i="8"/>
  <c r="H1089" i="8"/>
  <c r="I1089" i="8"/>
  <c r="F1089" i="8"/>
  <c r="H431" i="8"/>
  <c r="I431" i="8"/>
  <c r="F431" i="8"/>
  <c r="H2746" i="8"/>
  <c r="I2746" i="8"/>
  <c r="F2746" i="8"/>
  <c r="I1879" i="8"/>
  <c r="H1879" i="8"/>
  <c r="F1879" i="8"/>
  <c r="I2952" i="8"/>
  <c r="F2952" i="8"/>
  <c r="H2952" i="8"/>
  <c r="H460" i="8"/>
  <c r="I460" i="8"/>
  <c r="F460" i="8"/>
  <c r="H1376" i="8"/>
  <c r="I1376" i="8"/>
  <c r="F1376" i="8"/>
  <c r="H2629" i="8"/>
  <c r="I2629" i="8"/>
  <c r="F2629" i="8"/>
  <c r="I2473" i="8"/>
  <c r="H2473" i="8"/>
  <c r="F2473" i="8"/>
  <c r="H807" i="8"/>
  <c r="F807" i="8"/>
  <c r="I807" i="8"/>
  <c r="H293" i="8"/>
  <c r="I293" i="8" s="1"/>
  <c r="F293" i="8"/>
  <c r="F2413" i="8"/>
  <c r="H2413" i="8"/>
  <c r="I2413" i="8"/>
  <c r="F814" i="8"/>
  <c r="I814" i="8"/>
  <c r="H814" i="8"/>
  <c r="I2278" i="8"/>
  <c r="F2278" i="8"/>
  <c r="H2278" i="8"/>
  <c r="F3076" i="8"/>
  <c r="I3076" i="8"/>
  <c r="H3076" i="8"/>
  <c r="H2652" i="8"/>
  <c r="I990" i="8"/>
  <c r="F990" i="8"/>
  <c r="H990" i="8"/>
  <c r="H2524" i="8"/>
  <c r="F2524" i="8"/>
  <c r="I2524" i="8"/>
  <c r="H405" i="8"/>
  <c r="I405" i="8"/>
  <c r="F405" i="8"/>
  <c r="H2440" i="8"/>
  <c r="I2440" i="8"/>
  <c r="F2440" i="8"/>
  <c r="F2955" i="8"/>
  <c r="I2955" i="8"/>
  <c r="H2955" i="8"/>
  <c r="H2208" i="8"/>
  <c r="F2208" i="8"/>
  <c r="I2208" i="8"/>
  <c r="H1690" i="8"/>
  <c r="F1690" i="8"/>
  <c r="I1690" i="8"/>
  <c r="F2843" i="8"/>
  <c r="I2843" i="8"/>
  <c r="H2843" i="8"/>
  <c r="I887" i="8"/>
  <c r="H887" i="8"/>
  <c r="H417" i="8"/>
  <c r="I417" i="8"/>
  <c r="F417" i="8"/>
  <c r="H1439" i="8"/>
  <c r="F1439" i="8"/>
  <c r="I1439" i="8"/>
  <c r="H1379" i="8"/>
  <c r="I1379" i="8"/>
  <c r="F1379" i="8"/>
  <c r="I2019" i="8"/>
  <c r="H2019" i="8"/>
  <c r="F2019" i="8"/>
  <c r="F1746" i="8"/>
  <c r="I1746" i="8"/>
  <c r="H1746" i="8"/>
  <c r="F2037" i="8"/>
  <c r="H2037" i="8"/>
  <c r="I2037" i="8"/>
  <c r="H1976" i="8"/>
  <c r="F1976" i="8"/>
  <c r="I1976" i="8"/>
  <c r="I440" i="8"/>
  <c r="H440" i="8"/>
  <c r="F440" i="8"/>
  <c r="H671" i="8"/>
  <c r="I671" i="8"/>
  <c r="F671" i="8"/>
  <c r="F2495" i="8"/>
  <c r="I2495" i="8"/>
  <c r="H2495" i="8"/>
  <c r="I3130" i="8"/>
  <c r="H3130" i="8"/>
  <c r="F3130" i="8"/>
  <c r="F3245" i="8"/>
  <c r="H3245" i="8"/>
  <c r="I3245" i="8"/>
  <c r="F2840" i="8"/>
  <c r="I2840" i="8"/>
  <c r="H2840" i="8"/>
  <c r="H540" i="8"/>
  <c r="F540" i="8"/>
  <c r="I540" i="8"/>
  <c r="F1908" i="8"/>
  <c r="I1908" i="8"/>
  <c r="H1908" i="8"/>
  <c r="I2339" i="8"/>
  <c r="F2339" i="8"/>
  <c r="H2339" i="8"/>
  <c r="I1197" i="8"/>
  <c r="H1197" i="8"/>
  <c r="F1197" i="8"/>
  <c r="I2277" i="8"/>
  <c r="F2277" i="8"/>
  <c r="H2277" i="8"/>
  <c r="I1789" i="8"/>
  <c r="H1789" i="8"/>
  <c r="F1789" i="8"/>
  <c r="F1968" i="8"/>
  <c r="H1968" i="8"/>
  <c r="I1968" i="8"/>
  <c r="I3067" i="8"/>
  <c r="H3067" i="8"/>
  <c r="F3067" i="8"/>
  <c r="H1714" i="8"/>
  <c r="I1714" i="8"/>
  <c r="F1714" i="8"/>
  <c r="H429" i="8"/>
  <c r="F429" i="8"/>
  <c r="I429" i="8"/>
  <c r="H638" i="8"/>
  <c r="I638" i="8"/>
  <c r="F638" i="8"/>
  <c r="F3075" i="8"/>
  <c r="I3075" i="8"/>
  <c r="H3075" i="8"/>
  <c r="H2444" i="8"/>
  <c r="I2444" i="8"/>
  <c r="F2444" i="8"/>
  <c r="F707" i="8"/>
  <c r="I707" i="8"/>
  <c r="H707" i="8"/>
  <c r="H2471" i="8"/>
  <c r="F2471" i="8"/>
  <c r="I2471" i="8"/>
  <c r="F2190" i="8"/>
  <c r="I2190" i="8"/>
  <c r="H2190" i="8"/>
  <c r="I2974" i="8"/>
  <c r="H2974" i="8"/>
  <c r="F2974" i="8"/>
  <c r="I3062" i="8"/>
  <c r="H3062" i="8"/>
  <c r="F3062" i="8"/>
  <c r="F2313" i="8"/>
  <c r="H2313" i="8"/>
  <c r="I2313" i="8"/>
  <c r="F2916" i="8"/>
  <c r="I2916" i="8"/>
  <c r="H2916" i="8"/>
  <c r="H2704" i="8"/>
  <c r="F2704" i="8"/>
  <c r="I2704" i="8"/>
  <c r="I2064" i="8"/>
  <c r="H2064" i="8"/>
  <c r="F2064" i="8"/>
  <c r="I1633" i="8"/>
  <c r="H1633" i="8"/>
  <c r="F1633" i="8"/>
  <c r="F2651" i="8"/>
  <c r="I2651" i="8"/>
  <c r="H2651" i="8"/>
  <c r="F1743" i="8"/>
  <c r="I1743" i="8"/>
  <c r="H1743" i="8"/>
  <c r="F1484" i="8"/>
  <c r="H1484" i="8"/>
  <c r="I1484" i="8"/>
  <c r="H2404" i="8"/>
  <c r="F2404" i="8"/>
  <c r="I2404" i="8"/>
  <c r="I2326" i="8"/>
  <c r="H2326" i="8"/>
  <c r="F2326" i="8"/>
  <c r="F2040" i="8"/>
  <c r="H2040" i="8"/>
  <c r="I2040" i="8"/>
  <c r="I1476" i="8"/>
  <c r="F1476" i="8"/>
  <c r="H1476" i="8"/>
  <c r="I2182" i="8"/>
  <c r="H2182" i="8"/>
  <c r="F2182" i="8"/>
  <c r="H699" i="8"/>
  <c r="F699" i="8"/>
  <c r="I699" i="8"/>
  <c r="H3173" i="8"/>
  <c r="I3173" i="8"/>
  <c r="F3173" i="8"/>
  <c r="H3155" i="8"/>
  <c r="F3155" i="8"/>
  <c r="I3155" i="8"/>
  <c r="I1660" i="8"/>
  <c r="F1660" i="8"/>
  <c r="H1660" i="8"/>
  <c r="F1000" i="8"/>
  <c r="H1000" i="8"/>
  <c r="I1000" i="8"/>
  <c r="F841" i="8"/>
  <c r="I841" i="8"/>
  <c r="H841" i="8"/>
  <c r="I2420" i="8"/>
  <c r="H2420" i="8"/>
  <c r="F2420" i="8"/>
  <c r="H1328" i="8"/>
  <c r="F1328" i="8"/>
  <c r="I1328" i="8"/>
  <c r="F2662" i="8"/>
  <c r="H2662" i="8"/>
  <c r="I2662" i="8"/>
  <c r="I1518" i="8"/>
  <c r="F1518" i="8"/>
  <c r="H1518" i="8"/>
  <c r="H2482" i="8"/>
  <c r="I2482" i="8"/>
  <c r="F2482" i="8"/>
  <c r="I667" i="8"/>
  <c r="H667" i="8"/>
  <c r="F667" i="8"/>
  <c r="F683" i="8"/>
  <c r="H683" i="8"/>
  <c r="I683" i="8"/>
  <c r="F1992" i="8"/>
  <c r="I1992" i="8"/>
  <c r="H1992" i="8"/>
  <c r="I1826" i="8"/>
  <c r="F1826" i="8"/>
  <c r="H1826" i="8"/>
  <c r="F611" i="8"/>
  <c r="H611" i="8"/>
  <c r="I611" i="8"/>
  <c r="I2245" i="8"/>
  <c r="H2245" i="8"/>
  <c r="F2245" i="8"/>
  <c r="F2556" i="8"/>
  <c r="I2556" i="8"/>
  <c r="H2556" i="8"/>
  <c r="H1783" i="8"/>
  <c r="F1783" i="8"/>
  <c r="I1783" i="8"/>
  <c r="H2667" i="8"/>
  <c r="I2667" i="8"/>
  <c r="F2667" i="8"/>
  <c r="F1955" i="8"/>
  <c r="I1955" i="8"/>
  <c r="H1955" i="8"/>
  <c r="F3178" i="8"/>
  <c r="H3178" i="8"/>
  <c r="I3178" i="8"/>
  <c r="H1684" i="8"/>
  <c r="I1684" i="8"/>
  <c r="F1684" i="8"/>
  <c r="F2479" i="8"/>
  <c r="I2479" i="8"/>
  <c r="H2479" i="8"/>
  <c r="H1400" i="8"/>
  <c r="F1400" i="8"/>
  <c r="I1400" i="8"/>
  <c r="I2365" i="8"/>
  <c r="F2365" i="8"/>
  <c r="H2365" i="8"/>
  <c r="I1526" i="8"/>
  <c r="F1526" i="8"/>
  <c r="H1526" i="8"/>
  <c r="I2075" i="8"/>
  <c r="F2075" i="8"/>
  <c r="H2075" i="8"/>
  <c r="I2221" i="8"/>
  <c r="H2221" i="8"/>
  <c r="F2221" i="8"/>
  <c r="I2455" i="8"/>
  <c r="H2455" i="8"/>
  <c r="F2455" i="8"/>
  <c r="H458" i="8"/>
  <c r="I458" i="8"/>
  <c r="F458" i="8"/>
  <c r="F3202" i="8"/>
  <c r="H3202" i="8"/>
  <c r="I3202" i="8"/>
  <c r="H2640" i="8"/>
  <c r="I2640" i="8"/>
  <c r="F2640" i="8"/>
  <c r="I2095" i="8"/>
  <c r="F2095" i="8"/>
  <c r="H2095" i="8"/>
  <c r="H627" i="8"/>
  <c r="F627" i="8"/>
  <c r="I627" i="8"/>
  <c r="F1492" i="8"/>
  <c r="H1492" i="8"/>
  <c r="I1492" i="8"/>
  <c r="I3147" i="8"/>
  <c r="F3147" i="8"/>
  <c r="H3147" i="8"/>
  <c r="F2166" i="8"/>
  <c r="I2166" i="8"/>
  <c r="H2166" i="8"/>
  <c r="I2805" i="8"/>
  <c r="F2805" i="8"/>
  <c r="H2805" i="8"/>
  <c r="H2032" i="8"/>
  <c r="F2032" i="8"/>
  <c r="I2032" i="8"/>
  <c r="H2253" i="8"/>
  <c r="F2253" i="8"/>
  <c r="I2253" i="8"/>
  <c r="F1810" i="8"/>
  <c r="I1810" i="8"/>
  <c r="H1810" i="8"/>
  <c r="I603" i="8"/>
  <c r="H603" i="8"/>
  <c r="F603" i="8"/>
  <c r="F3127" i="8"/>
  <c r="I3127" i="8"/>
  <c r="H3127" i="8"/>
  <c r="F3168" i="8"/>
  <c r="H3168" i="8"/>
  <c r="I3168" i="8"/>
  <c r="F294" i="8"/>
  <c r="H294" i="8"/>
  <c r="I294" i="8" s="1"/>
  <c r="H831" i="8"/>
  <c r="F831" i="8"/>
  <c r="I831" i="8"/>
  <c r="F2214" i="8"/>
  <c r="H2214" i="8"/>
  <c r="I2214" i="8"/>
  <c r="F1201" i="8"/>
  <c r="I1201" i="8"/>
  <c r="H1201" i="8"/>
  <c r="I2056" i="8"/>
  <c r="H2056" i="8"/>
  <c r="F2056" i="8"/>
  <c r="H1510" i="8"/>
  <c r="I1510" i="8"/>
  <c r="F1510" i="8"/>
  <c r="H2107" i="8"/>
  <c r="F2107" i="8"/>
  <c r="I2107" i="8"/>
  <c r="I2508" i="8"/>
  <c r="H2508" i="8"/>
  <c r="F2508" i="8"/>
  <c r="H445" i="8"/>
  <c r="I445" i="8"/>
  <c r="F445" i="8"/>
  <c r="I2051" i="8"/>
  <c r="F2051" i="8"/>
  <c r="H2051" i="8"/>
  <c r="F823" i="8"/>
  <c r="I823" i="8"/>
  <c r="H823" i="8"/>
  <c r="H1502" i="8"/>
  <c r="I1502" i="8"/>
  <c r="F1502" i="8"/>
  <c r="F2305" i="8"/>
  <c r="I2305" i="8"/>
  <c r="H2305" i="8"/>
  <c r="F2713" i="8"/>
  <c r="H2713" i="8"/>
  <c r="I2713" i="8"/>
  <c r="I2102" i="8"/>
  <c r="H2102" i="8"/>
  <c r="F2102" i="8"/>
  <c r="F437" i="8"/>
  <c r="H437" i="8"/>
  <c r="I437" i="8"/>
  <c r="I3017" i="8"/>
  <c r="H3017" i="8"/>
  <c r="F3017" i="8"/>
  <c r="I1497" i="8"/>
  <c r="F1497" i="8"/>
  <c r="H1497" i="8"/>
  <c r="I2370" i="8"/>
  <c r="H2370" i="8"/>
  <c r="F2370" i="8"/>
  <c r="H826" i="8"/>
  <c r="F826" i="8"/>
  <c r="I826" i="8"/>
  <c r="I1193" i="8"/>
  <c r="H1193" i="8"/>
  <c r="F1193" i="8"/>
  <c r="I2266" i="8"/>
  <c r="F2266" i="8"/>
  <c r="H2266" i="8"/>
  <c r="F2737" i="8"/>
  <c r="I2737" i="8"/>
  <c r="H2737" i="8"/>
  <c r="F735" i="8"/>
  <c r="H735" i="8"/>
  <c r="I735" i="8"/>
  <c r="I2318" i="8"/>
  <c r="F2318" i="8"/>
  <c r="H2318" i="8"/>
  <c r="H2548" i="8"/>
  <c r="F2548" i="8"/>
  <c r="I2548" i="8"/>
  <c r="I643" i="8"/>
  <c r="F643" i="8"/>
  <c r="H643" i="8"/>
  <c r="H3217" i="8"/>
  <c r="I3217" i="8"/>
  <c r="F3217" i="8"/>
  <c r="I2258" i="8"/>
  <c r="H2258" i="8"/>
  <c r="F2258" i="8"/>
  <c r="F1342" i="8"/>
  <c r="H1342" i="8"/>
  <c r="I1342" i="8"/>
  <c r="H2024" i="8"/>
  <c r="I2024" i="8"/>
  <c r="F2024" i="8"/>
  <c r="I2751" i="8"/>
  <c r="H2751" i="8"/>
  <c r="F2751" i="8"/>
  <c r="I651" i="8"/>
  <c r="H651" i="8"/>
  <c r="F651" i="8"/>
  <c r="H1700" i="8"/>
  <c r="I1700" i="8"/>
  <c r="F1700" i="8"/>
  <c r="F2503" i="8"/>
  <c r="I2503" i="8"/>
  <c r="H2503" i="8"/>
  <c r="H2659" i="8"/>
  <c r="I2659" i="8"/>
  <c r="F2659" i="8"/>
  <c r="I466" i="8"/>
  <c r="H466" i="8"/>
  <c r="F466" i="8"/>
  <c r="H1965" i="8"/>
  <c r="F1965" i="8"/>
  <c r="I1965" i="8"/>
  <c r="F2391" i="8"/>
  <c r="I2391" i="8"/>
  <c r="H2391" i="8"/>
  <c r="H65" i="8"/>
  <c r="I65" i="8" s="1"/>
  <c r="F65" i="8"/>
  <c r="H548" i="8"/>
  <c r="F548" i="8"/>
  <c r="I548" i="8"/>
  <c r="F1386" i="8"/>
  <c r="H1386" i="8"/>
  <c r="I1386" i="8"/>
  <c r="I1692" i="8"/>
  <c r="H1692" i="8"/>
  <c r="F1692" i="8"/>
  <c r="H3005" i="8"/>
  <c r="I3005" i="8"/>
  <c r="F3005" i="8"/>
  <c r="F730" i="8"/>
  <c r="H730" i="8"/>
  <c r="I730" i="8"/>
  <c r="I2689" i="8"/>
  <c r="H2689" i="8"/>
  <c r="F2689" i="8"/>
  <c r="I1775" i="8"/>
  <c r="H1775" i="8"/>
  <c r="F1775" i="8"/>
  <c r="I2782" i="8"/>
  <c r="H2782" i="8"/>
  <c r="F2782" i="8"/>
  <c r="F1668" i="8"/>
  <c r="I1668" i="8"/>
  <c r="H1668" i="8"/>
  <c r="I797" i="8"/>
  <c r="H797" i="8"/>
  <c r="F797" i="8"/>
  <c r="I2378" i="8"/>
  <c r="F2378" i="8"/>
  <c r="H2378" i="8"/>
  <c r="F2048" i="8"/>
  <c r="I2048" i="8"/>
  <c r="H2048" i="8"/>
  <c r="F805" i="8"/>
  <c r="H805" i="8"/>
  <c r="I805" i="8"/>
  <c r="H2836" i="8"/>
  <c r="I2836" i="8"/>
  <c r="F2836" i="8"/>
  <c r="I1995" i="8"/>
  <c r="F1995" i="8"/>
  <c r="H1995" i="8"/>
  <c r="I789" i="8"/>
  <c r="H789" i="8"/>
  <c r="F789" i="8"/>
  <c r="I1010" i="8"/>
  <c r="F1010" i="8"/>
  <c r="H1010" i="8"/>
  <c r="F483" i="8"/>
  <c r="I483" i="8"/>
  <c r="H483" i="8"/>
  <c r="I2396" i="8"/>
  <c r="F2396" i="8"/>
  <c r="H2396" i="8"/>
  <c r="I498" i="8"/>
  <c r="H498" i="8"/>
  <c r="F498" i="8"/>
  <c r="I2412" i="8"/>
  <c r="F2412" i="8"/>
  <c r="H2412" i="8"/>
  <c r="F2516" i="8"/>
  <c r="I2516" i="8"/>
  <c r="H2516" i="8"/>
  <c r="F2779" i="8"/>
  <c r="H2779" i="8"/>
  <c r="I2779" i="8"/>
  <c r="I1002" i="8"/>
  <c r="F1002" i="8"/>
  <c r="H1002" i="8"/>
  <c r="F2357" i="8"/>
  <c r="I2357" i="8"/>
  <c r="H2357" i="8"/>
  <c r="F60" i="8"/>
  <c r="I60" i="8"/>
  <c r="H60" i="8"/>
  <c r="F758" i="8"/>
  <c r="H758" i="8"/>
  <c r="I758" i="8"/>
  <c r="H2282" i="8"/>
  <c r="F2282" i="8"/>
  <c r="I2282" i="8"/>
  <c r="I2889" i="8"/>
  <c r="H2889" i="8"/>
  <c r="F2889" i="8"/>
  <c r="I397" i="8"/>
  <c r="F397" i="8"/>
  <c r="H397" i="8"/>
  <c r="F3059" i="8"/>
  <c r="H3059" i="8"/>
  <c r="I3059" i="8"/>
  <c r="I813" i="8"/>
  <c r="H813" i="8"/>
  <c r="F813" i="8"/>
  <c r="I2692" i="8"/>
  <c r="F2692" i="8"/>
  <c r="H2692" i="8"/>
  <c r="I1919" i="8"/>
  <c r="H1919" i="8"/>
  <c r="F1919" i="8"/>
  <c r="F1940" i="8"/>
  <c r="H1940" i="8"/>
  <c r="I1940" i="8"/>
  <c r="F2274" i="8"/>
  <c r="H2274" i="8"/>
  <c r="I2274" i="8"/>
  <c r="I1362" i="8"/>
  <c r="F1362" i="8"/>
  <c r="H1362" i="8"/>
  <c r="H358" i="8"/>
  <c r="I358" i="8" s="1"/>
  <c r="F358" i="8"/>
  <c r="H1444" i="8"/>
  <c r="I1444" i="8"/>
  <c r="F1444" i="8"/>
  <c r="F1676" i="8"/>
  <c r="I1676" i="8"/>
  <c r="H1676" i="8"/>
  <c r="I3210" i="8"/>
  <c r="F3210" i="8"/>
  <c r="H3210" i="8"/>
  <c r="F756" i="8"/>
  <c r="H756" i="8"/>
  <c r="I756" i="8"/>
  <c r="H2920" i="8"/>
  <c r="I2920" i="8"/>
  <c r="F2920" i="8"/>
  <c r="I809" i="8"/>
  <c r="H809" i="8"/>
  <c r="F809" i="8"/>
  <c r="F2986" i="8"/>
  <c r="I2986" i="8"/>
  <c r="H2986" i="8"/>
  <c r="F2286" i="8"/>
  <c r="I2286" i="8"/>
  <c r="H2286" i="8"/>
  <c r="F1773" i="8"/>
  <c r="I1773" i="8"/>
  <c r="H1773" i="8"/>
  <c r="H69" i="8"/>
  <c r="F69" i="8"/>
  <c r="I69" i="8"/>
  <c r="H1212" i="8"/>
  <c r="I1212" i="8"/>
  <c r="F1212" i="8"/>
  <c r="F2424" i="8"/>
  <c r="I2424" i="8"/>
  <c r="H2424" i="8"/>
  <c r="H2291" i="8"/>
  <c r="I2291" i="8"/>
  <c r="F2291" i="8"/>
  <c r="F3133" i="8"/>
  <c r="H3133" i="8"/>
  <c r="I3133" i="8"/>
  <c r="H1621" i="8"/>
  <c r="I1621" i="8"/>
  <c r="F1621" i="8"/>
  <c r="H1803" i="8"/>
  <c r="F1803" i="8"/>
  <c r="I1803" i="8"/>
  <c r="H2544" i="8"/>
  <c r="I2544" i="8"/>
  <c r="F2544" i="8"/>
  <c r="I1637" i="8"/>
  <c r="H1637" i="8"/>
  <c r="F1637" i="8"/>
  <c r="I2280" i="8"/>
  <c r="F2280" i="8"/>
  <c r="H2280" i="8"/>
  <c r="H762" i="8"/>
  <c r="F762" i="8"/>
  <c r="I762" i="8"/>
  <c r="F2068" i="8"/>
  <c r="I2068" i="8"/>
  <c r="H2068" i="8"/>
  <c r="I1052" i="8"/>
  <c r="H1052" i="8"/>
  <c r="F1052" i="8"/>
  <c r="H1944" i="8"/>
  <c r="I1944" i="8"/>
  <c r="F1944" i="8"/>
  <c r="I167" i="8"/>
  <c r="H167" i="8"/>
  <c r="F167" i="8"/>
  <c r="I695" i="8"/>
  <c r="H695" i="8"/>
  <c r="F695" i="8"/>
  <c r="F2856" i="8"/>
  <c r="I2856" i="8"/>
  <c r="H2856" i="8"/>
  <c r="H649" i="8"/>
  <c r="I649" i="8"/>
  <c r="F649" i="8"/>
  <c r="F1974" i="8"/>
  <c r="H1974" i="8"/>
  <c r="I1974" i="8"/>
  <c r="F1455" i="8"/>
  <c r="H1455" i="8"/>
  <c r="I1455" i="8"/>
  <c r="I3241" i="8"/>
  <c r="F3241" i="8"/>
  <c r="H3241" i="8"/>
  <c r="H2293" i="8"/>
  <c r="F2293" i="8"/>
  <c r="I2293" i="8"/>
  <c r="I1795" i="8"/>
  <c r="H1795" i="8"/>
  <c r="F1795" i="8"/>
  <c r="F2416" i="8"/>
  <c r="H2416" i="8"/>
  <c r="I2416" i="8"/>
  <c r="H1448" i="8"/>
  <c r="F1448" i="8"/>
  <c r="I1448" i="8"/>
  <c r="H1865" i="8"/>
  <c r="I1865" i="8"/>
  <c r="F1865" i="8"/>
  <c r="H549" i="8"/>
  <c r="F549" i="8"/>
  <c r="I549" i="8"/>
  <c r="I536" i="8"/>
  <c r="H2363" i="8"/>
  <c r="I2363" i="8"/>
  <c r="F2363" i="8"/>
  <c r="H2374" i="8"/>
  <c r="I2374" i="8"/>
  <c r="F2374" i="8"/>
  <c r="H1524" i="8"/>
  <c r="I1524" i="8"/>
  <c r="F1524" i="8"/>
  <c r="F1431" i="8"/>
  <c r="I1431" i="8"/>
  <c r="H1431" i="8"/>
  <c r="H725" i="8"/>
  <c r="I725" i="8"/>
  <c r="F725" i="8"/>
  <c r="H2194" i="8"/>
  <c r="F2194" i="8"/>
  <c r="I2194" i="8"/>
  <c r="H2520" i="8"/>
  <c r="F2520" i="8"/>
  <c r="I2520" i="8"/>
  <c r="I1763" i="8"/>
  <c r="F1763" i="8"/>
  <c r="H1763" i="8"/>
  <c r="I1464" i="8"/>
  <c r="H1464" i="8"/>
  <c r="F1464" i="8"/>
  <c r="F687" i="8"/>
  <c r="H687" i="8"/>
  <c r="I687" i="8"/>
  <c r="H2970" i="8"/>
  <c r="F2970" i="8"/>
  <c r="I2970" i="8"/>
  <c r="I827" i="8"/>
  <c r="F827" i="8"/>
  <c r="H827" i="8"/>
  <c r="I2522" i="8"/>
  <c r="H2522" i="8"/>
  <c r="F2522" i="8"/>
  <c r="H1739" i="8"/>
  <c r="I1739" i="8"/>
  <c r="F1739" i="8"/>
  <c r="H1827" i="8"/>
  <c r="F1827" i="8"/>
  <c r="I1827" i="8"/>
  <c r="I2528" i="8"/>
  <c r="H2528" i="8"/>
  <c r="F2528" i="8"/>
  <c r="H2376" i="8"/>
  <c r="F2376" i="8"/>
  <c r="I2376" i="8"/>
  <c r="I2467" i="8"/>
  <c r="H2467" i="8"/>
  <c r="F2467" i="8"/>
  <c r="I2249" i="8"/>
  <c r="H2249" i="8"/>
  <c r="F2249" i="8"/>
  <c r="F837" i="8"/>
  <c r="H837" i="8"/>
  <c r="I837" i="8"/>
  <c r="F2410" i="8"/>
  <c r="I2410" i="8"/>
  <c r="H2410" i="8"/>
  <c r="F1514" i="8"/>
  <c r="I1514" i="8"/>
  <c r="H1514" i="8"/>
  <c r="F676" i="8"/>
  <c r="H676" i="8"/>
  <c r="I676" i="8"/>
  <c r="F2270" i="8"/>
  <c r="H2270" i="8"/>
  <c r="I2270" i="8"/>
  <c r="H639" i="8"/>
  <c r="I639" i="8"/>
  <c r="F639" i="8"/>
  <c r="I984" i="8"/>
  <c r="H984" i="8"/>
  <c r="F984" i="8"/>
  <c r="I2135" i="8"/>
  <c r="F2135" i="8"/>
  <c r="H2135" i="8"/>
  <c r="F1187" i="8"/>
  <c r="H1187" i="8"/>
  <c r="I1187" i="8"/>
  <c r="F3151" i="8"/>
  <c r="H3151" i="8"/>
  <c r="I3151" i="8"/>
  <c r="F2212" i="8"/>
  <c r="H2212" i="8"/>
  <c r="I2212" i="8"/>
  <c r="I1840" i="8"/>
  <c r="H1840" i="8"/>
  <c r="F1840" i="8"/>
  <c r="F2552" i="8"/>
  <c r="I2552" i="8"/>
  <c r="H2552" i="8"/>
  <c r="H3159" i="8"/>
  <c r="I3159" i="8"/>
  <c r="F3159" i="8"/>
  <c r="I679" i="8"/>
  <c r="H679" i="8"/>
  <c r="F679" i="8"/>
  <c r="I1191" i="8"/>
  <c r="H1191" i="8"/>
  <c r="F1191" i="8"/>
  <c r="I2498" i="8"/>
  <c r="F2498" i="8"/>
  <c r="H2498" i="8"/>
  <c r="F1557" i="8"/>
  <c r="I1557" i="8"/>
  <c r="H1557" i="8"/>
  <c r="H2402" i="8"/>
  <c r="F2402" i="8"/>
  <c r="I2402" i="8"/>
  <c r="F607" i="8"/>
  <c r="H607" i="8"/>
  <c r="I607" i="8"/>
  <c r="F1472" i="8"/>
  <c r="I1472" i="8"/>
  <c r="H1472" i="8"/>
  <c r="F1857" i="8"/>
  <c r="I1857" i="8"/>
  <c r="H1857" i="8"/>
  <c r="I1404" i="8"/>
  <c r="F1404" i="8"/>
  <c r="H1404" i="8"/>
  <c r="F589" i="8"/>
  <c r="H589" i="8"/>
  <c r="I589" i="8"/>
  <c r="I793" i="8"/>
  <c r="F793" i="8"/>
  <c r="H793" i="8"/>
  <c r="F1458" i="8"/>
  <c r="H1458" i="8"/>
  <c r="I1458" i="8"/>
  <c r="H2690" i="8"/>
  <c r="I2690" i="8"/>
  <c r="F2690" i="8"/>
  <c r="H1712" i="8"/>
  <c r="I1712" i="8"/>
  <c r="F1712" i="8"/>
  <c r="I1186" i="8"/>
  <c r="F1186" i="8"/>
  <c r="H1186" i="8"/>
  <c r="I2834" i="8"/>
  <c r="H2834" i="8"/>
  <c r="F2834" i="8"/>
  <c r="F1495" i="8"/>
  <c r="I1495" i="8"/>
  <c r="H1495" i="8"/>
  <c r="H1209" i="8"/>
  <c r="F1209" i="8"/>
  <c r="I1209" i="8"/>
  <c r="I1565" i="8"/>
  <c r="F1565" i="8"/>
  <c r="H1565" i="8"/>
  <c r="H1821" i="8"/>
  <c r="I1821" i="8"/>
  <c r="F1821" i="8"/>
  <c r="H3166" i="8"/>
  <c r="F3166" i="8"/>
  <c r="I3166" i="8"/>
  <c r="H2483" i="8"/>
  <c r="F2483" i="8"/>
  <c r="I2483" i="8"/>
  <c r="F1811" i="8"/>
  <c r="I1811" i="8"/>
  <c r="H1811" i="8"/>
  <c r="I1680" i="8"/>
  <c r="F1680" i="8"/>
  <c r="H1680" i="8"/>
  <c r="I2731" i="8"/>
  <c r="H2731" i="8"/>
  <c r="F2731" i="8"/>
  <c r="H801" i="8"/>
  <c r="F801" i="8"/>
  <c r="I801" i="8"/>
  <c r="F1432" i="8"/>
  <c r="F1394" i="8"/>
  <c r="H1394" i="8"/>
  <c r="I1394" i="8"/>
  <c r="I946" i="8"/>
  <c r="F946" i="8"/>
  <c r="H946" i="8"/>
  <c r="I1664" i="8"/>
  <c r="F1664" i="8"/>
  <c r="H1664" i="8"/>
  <c r="H1440" i="8"/>
  <c r="F1440" i="8"/>
  <c r="I1440" i="8"/>
  <c r="I2210" i="8"/>
  <c r="F2210" i="8"/>
  <c r="H2210" i="8"/>
  <c r="I2512" i="8"/>
  <c r="F2512" i="8"/>
  <c r="H2512" i="8"/>
  <c r="H1779" i="8"/>
  <c r="F1779" i="8"/>
  <c r="I1779" i="8"/>
  <c r="I2491" i="8"/>
  <c r="H2491" i="8"/>
  <c r="F2491" i="8"/>
  <c r="H1588" i="8"/>
  <c r="F1588" i="8"/>
  <c r="I1588" i="8"/>
  <c r="I743" i="8"/>
  <c r="F743" i="8"/>
  <c r="H743" i="8"/>
  <c r="H599" i="8"/>
  <c r="I599" i="8"/>
  <c r="F599" i="8"/>
  <c r="I1506" i="8"/>
  <c r="H1506" i="8"/>
  <c r="F1506" i="8"/>
  <c r="H441" i="8"/>
  <c r="F441" i="8"/>
  <c r="I441" i="8"/>
  <c r="H2728" i="8"/>
  <c r="F2728" i="8"/>
  <c r="I2728" i="8"/>
  <c r="H2700" i="8"/>
  <c r="I2700" i="8"/>
  <c r="F2700" i="8"/>
  <c r="F2954" i="8"/>
  <c r="I2954" i="8"/>
  <c r="H2954" i="8"/>
  <c r="I1372" i="8"/>
  <c r="F1372" i="8"/>
  <c r="H1372" i="8"/>
  <c r="H2355" i="8"/>
  <c r="F2355" i="8"/>
  <c r="I2355" i="8"/>
  <c r="F2382" i="8"/>
  <c r="H2382" i="8"/>
  <c r="I2382" i="8"/>
  <c r="F1688" i="8"/>
  <c r="H1688" i="8"/>
  <c r="I1688" i="8"/>
  <c r="I1674" i="8"/>
  <c r="F1674" i="8"/>
  <c r="H1674" i="8"/>
  <c r="I1530" i="8"/>
  <c r="H1530" i="8"/>
  <c r="F1530" i="8"/>
  <c r="F1488" i="8"/>
  <c r="I1488" i="8"/>
  <c r="H1488" i="8"/>
  <c r="I1490" i="8"/>
  <c r="F1490" i="8"/>
  <c r="H1490" i="8"/>
  <c r="H670" i="8"/>
  <c r="F670" i="8"/>
  <c r="I670" i="8"/>
  <c r="I1540" i="8"/>
  <c r="F1540" i="8"/>
  <c r="H1540" i="8"/>
  <c r="H52" i="8"/>
  <c r="I52" i="8" s="1"/>
  <c r="F52" i="8"/>
  <c r="H2568" i="8"/>
  <c r="F2568" i="8"/>
  <c r="I2568" i="8"/>
  <c r="H2180" i="8"/>
  <c r="I2180" i="8"/>
  <c r="F2180" i="8"/>
  <c r="H1747" i="8"/>
  <c r="F1747" i="8"/>
  <c r="I1747" i="8"/>
  <c r="F393" i="8"/>
  <c r="H393" i="8"/>
  <c r="I393" i="8"/>
  <c r="I1996" i="8"/>
  <c r="F1996" i="8"/>
  <c r="H1996" i="8"/>
  <c r="I1596" i="8"/>
  <c r="H1596" i="8"/>
  <c r="F1596" i="8"/>
  <c r="F1755" i="8"/>
  <c r="I1755" i="8"/>
  <c r="H1755" i="8"/>
  <c r="H2865" i="8"/>
  <c r="I2865" i="8"/>
  <c r="F2865" i="8"/>
  <c r="F2804" i="8"/>
  <c r="I2804" i="8"/>
  <c r="H2804" i="8"/>
  <c r="I3065" i="8"/>
  <c r="H3065" i="8"/>
  <c r="F3065" i="8"/>
  <c r="I2762" i="8"/>
  <c r="H2762" i="8"/>
  <c r="F2762" i="8"/>
  <c r="F1306" i="8"/>
  <c r="H1306" i="8"/>
  <c r="I1306" i="8"/>
  <c r="I2129" i="8"/>
  <c r="F2129" i="8"/>
  <c r="H2129" i="8"/>
  <c r="H1988" i="8"/>
  <c r="F1988" i="8"/>
  <c r="I1988" i="8"/>
  <c r="H2113" i="8"/>
  <c r="F2113" i="8"/>
  <c r="I2113" i="8"/>
  <c r="F770" i="8"/>
  <c r="I770" i="8"/>
  <c r="H770" i="8"/>
  <c r="H2448" i="8"/>
  <c r="I2448" i="8"/>
  <c r="F2448" i="8"/>
  <c r="H594" i="8"/>
  <c r="F594" i="8"/>
  <c r="I594" i="8"/>
  <c r="I1538" i="8"/>
  <c r="F1538" i="8"/>
  <c r="H1538" i="8"/>
  <c r="H1696" i="8"/>
  <c r="I1696" i="8"/>
  <c r="F1696" i="8"/>
  <c r="F74" i="8"/>
  <c r="H74" i="8"/>
  <c r="I74" i="8" s="1"/>
  <c r="I1346" i="8"/>
  <c r="H1346" i="8"/>
  <c r="F1346" i="8"/>
  <c r="F2652" i="8"/>
  <c r="H1498" i="8"/>
  <c r="I1498" i="8"/>
  <c r="F1498" i="8"/>
  <c r="I3070" i="8"/>
  <c r="H3070" i="8"/>
  <c r="F3070" i="8"/>
  <c r="F2014" i="8"/>
  <c r="H2014" i="8"/>
  <c r="I2014" i="8"/>
  <c r="I2506" i="8"/>
  <c r="F2506" i="8"/>
  <c r="H2506" i="8"/>
  <c r="F678" i="8"/>
  <c r="H678" i="8"/>
  <c r="I678" i="8"/>
  <c r="I761" i="8"/>
  <c r="H761" i="8"/>
  <c r="F761" i="8"/>
  <c r="F2209" i="8"/>
  <c r="I2209" i="8"/>
  <c r="H2209" i="8"/>
  <c r="H2756" i="8"/>
  <c r="I2756" i="8"/>
  <c r="F2756" i="8"/>
  <c r="F1204" i="8"/>
  <c r="H1204" i="8"/>
  <c r="I1204" i="8"/>
  <c r="I400" i="8"/>
  <c r="H400" i="8"/>
  <c r="F400" i="8"/>
  <c r="F1647" i="8"/>
  <c r="H1647" i="8"/>
  <c r="I1647" i="8"/>
  <c r="F2654" i="8"/>
  <c r="H2654" i="8"/>
  <c r="I2654" i="8"/>
  <c r="F2973" i="8"/>
  <c r="H2973" i="8"/>
  <c r="I2973" i="8"/>
  <c r="F3054" i="8"/>
  <c r="I3054" i="8"/>
  <c r="H3054" i="8"/>
  <c r="H1295" i="8"/>
  <c r="I1295" i="8"/>
  <c r="F1295" i="8"/>
  <c r="H2269" i="8"/>
  <c r="F2269" i="8"/>
  <c r="I2269" i="8"/>
  <c r="I2961" i="8"/>
  <c r="H2961" i="8"/>
  <c r="F2961" i="8"/>
  <c r="I2224" i="8"/>
  <c r="H2224" i="8"/>
  <c r="F2224" i="8"/>
  <c r="F2535" i="8"/>
  <c r="H2535" i="8"/>
  <c r="I2535" i="8"/>
  <c r="H1151" i="8"/>
  <c r="F1151" i="8"/>
  <c r="I1151" i="8"/>
  <c r="F1623" i="8"/>
  <c r="I1623" i="8"/>
  <c r="H1623" i="8"/>
  <c r="I2324" i="8"/>
  <c r="H2324" i="8"/>
  <c r="F2324" i="8"/>
  <c r="F1835" i="8"/>
  <c r="H1835" i="8"/>
  <c r="I1835" i="8"/>
  <c r="F654" i="8"/>
  <c r="H654" i="8"/>
  <c r="I654" i="8"/>
  <c r="F738" i="8"/>
  <c r="I738" i="8"/>
  <c r="H738" i="8"/>
  <c r="H2953" i="8"/>
  <c r="I2953" i="8"/>
  <c r="F2953" i="8"/>
  <c r="F3008" i="8"/>
  <c r="H3008" i="8"/>
  <c r="I3008" i="8"/>
  <c r="I606" i="8"/>
  <c r="H606" i="8"/>
  <c r="F606" i="8"/>
  <c r="I2583" i="8"/>
  <c r="F2583" i="8"/>
  <c r="H2583" i="8"/>
  <c r="I1508" i="8"/>
  <c r="H1508" i="8"/>
  <c r="F1508" i="8"/>
  <c r="H1778" i="8"/>
  <c r="F1778" i="8"/>
  <c r="I1778" i="8"/>
  <c r="H2519" i="8"/>
  <c r="F2519" i="8"/>
  <c r="I2519" i="8"/>
  <c r="I1297" i="8"/>
  <c r="H1297" i="8"/>
  <c r="F1297" i="8"/>
  <c r="H2554" i="8"/>
  <c r="I2554" i="8"/>
  <c r="F2554" i="8"/>
  <c r="H1308" i="8"/>
  <c r="F1308" i="8"/>
  <c r="I1308" i="8"/>
  <c r="H3086" i="8"/>
  <c r="I3086" i="8"/>
  <c r="F3086" i="8"/>
  <c r="F1229" i="8"/>
  <c r="I1229" i="8"/>
  <c r="H1229" i="8"/>
  <c r="F646" i="8"/>
  <c r="H646" i="8"/>
  <c r="I646" i="8"/>
  <c r="I1663" i="8"/>
  <c r="F1663" i="8"/>
  <c r="H1663" i="8"/>
  <c r="F2126" i="8"/>
  <c r="I2126" i="8"/>
  <c r="H2126" i="8"/>
  <c r="H673" i="8"/>
  <c r="F673" i="8"/>
  <c r="I673" i="8"/>
  <c r="F3171" i="8"/>
  <c r="H3171" i="8"/>
  <c r="I3171" i="8"/>
  <c r="F3119" i="8"/>
  <c r="I3119" i="8"/>
  <c r="H3119" i="8"/>
  <c r="H3189" i="8"/>
  <c r="F3189" i="8"/>
  <c r="I3189" i="8"/>
  <c r="I2027" i="8"/>
  <c r="F2027" i="8"/>
  <c r="H2027" i="8"/>
  <c r="F2285" i="8"/>
  <c r="I2285" i="8"/>
  <c r="H2285" i="8"/>
  <c r="I2373" i="8"/>
  <c r="F2373" i="8"/>
  <c r="H2373" i="8"/>
  <c r="H2193" i="8"/>
  <c r="I2193" i="8"/>
  <c r="F2193" i="8"/>
  <c r="F2769" i="8"/>
  <c r="H2769" i="8"/>
  <c r="I2769" i="8"/>
  <c r="H2511" i="8"/>
  <c r="I2511" i="8"/>
  <c r="F2511" i="8"/>
  <c r="H527" i="8"/>
  <c r="I527" i="8"/>
  <c r="F527" i="8"/>
  <c r="I847" i="8"/>
  <c r="F847" i="8"/>
  <c r="H847" i="8"/>
  <c r="I1463" i="8"/>
  <c r="H1463" i="8"/>
  <c r="F1463" i="8"/>
  <c r="F1523" i="8"/>
  <c r="H1523" i="8"/>
  <c r="I1523" i="8"/>
  <c r="F2136" i="8"/>
  <c r="I2136" i="8"/>
  <c r="H2136" i="8"/>
  <c r="I2417" i="8"/>
  <c r="F2417" i="8"/>
  <c r="H2417" i="8"/>
  <c r="F633" i="8"/>
  <c r="H633" i="8"/>
  <c r="I633" i="8"/>
  <c r="H1062" i="8"/>
  <c r="F1062" i="8"/>
  <c r="I1062" i="8"/>
  <c r="F2332" i="8"/>
  <c r="H2332" i="8"/>
  <c r="I2332" i="8"/>
  <c r="F1998" i="8"/>
  <c r="I1998" i="8"/>
  <c r="H1998" i="8"/>
  <c r="H1909" i="8"/>
  <c r="I1909" i="8"/>
  <c r="F1909" i="8"/>
  <c r="I764" i="8"/>
  <c r="F764" i="8"/>
  <c r="H764" i="8"/>
  <c r="I1917" i="8"/>
  <c r="H1917" i="8"/>
  <c r="F1917" i="8"/>
  <c r="F1598" i="8"/>
  <c r="H1598" i="8"/>
  <c r="I1598" i="8"/>
  <c r="H2570" i="8"/>
  <c r="I2570" i="8"/>
  <c r="F2570" i="8"/>
  <c r="I2560" i="8"/>
  <c r="H2560" i="8"/>
  <c r="F2560" i="8"/>
  <c r="F169" i="8"/>
  <c r="H169" i="8"/>
  <c r="I169" i="8" s="1"/>
  <c r="F2673" i="8"/>
  <c r="H2673" i="8"/>
  <c r="I2673" i="8"/>
  <c r="F456" i="8"/>
  <c r="H456" i="8"/>
  <c r="I456" i="8"/>
  <c r="F2078" i="8"/>
  <c r="I2078" i="8"/>
  <c r="H2078" i="8"/>
  <c r="F1025" i="8"/>
  <c r="H1025" i="8"/>
  <c r="I1025" i="8"/>
  <c r="F489" i="8"/>
  <c r="I489" i="8"/>
  <c r="H489" i="8"/>
  <c r="H63" i="8"/>
  <c r="I63" i="8" s="1"/>
  <c r="F63" i="8"/>
  <c r="F705" i="8"/>
  <c r="H705" i="8"/>
  <c r="I705" i="8"/>
  <c r="H1590" i="8"/>
  <c r="F1590" i="8"/>
  <c r="I1590" i="8"/>
  <c r="I2450" i="8"/>
  <c r="F2450" i="8"/>
  <c r="H2450" i="8"/>
  <c r="F3179" i="8"/>
  <c r="I3179" i="8"/>
  <c r="H3179" i="8"/>
  <c r="F2202" i="8"/>
  <c r="H2202" i="8"/>
  <c r="I2202" i="8"/>
  <c r="H1024" i="8"/>
  <c r="I1024" i="8"/>
  <c r="F1024" i="8"/>
  <c r="F1397" i="8"/>
  <c r="I1397" i="8"/>
  <c r="H1397" i="8"/>
  <c r="H1740" i="8"/>
  <c r="F1740" i="8"/>
  <c r="I1740" i="8"/>
  <c r="I1788" i="8"/>
  <c r="H1788" i="8"/>
  <c r="F1788" i="8"/>
  <c r="F2163" i="8"/>
  <c r="I2163" i="8"/>
  <c r="H2163" i="8"/>
  <c r="H2586" i="8"/>
  <c r="I2586" i="8"/>
  <c r="F2586" i="8"/>
  <c r="F2681" i="8"/>
  <c r="I2681" i="8"/>
  <c r="H2681" i="8"/>
  <c r="H2530" i="8"/>
  <c r="F2530" i="8"/>
  <c r="I2530" i="8"/>
  <c r="F2204" i="8"/>
  <c r="H2204" i="8"/>
  <c r="I2204" i="8"/>
  <c r="H1482" i="8"/>
  <c r="I1482" i="8"/>
  <c r="F1482" i="8"/>
  <c r="F772" i="8"/>
  <c r="H772" i="8"/>
  <c r="I772" i="8"/>
  <c r="F2493" i="8"/>
  <c r="H2493" i="8"/>
  <c r="I2493" i="8"/>
  <c r="F2665" i="8"/>
  <c r="I2665" i="8"/>
  <c r="H2665" i="8"/>
  <c r="F1613" i="8"/>
  <c r="I1613" i="8"/>
  <c r="H1613" i="8"/>
  <c r="F2485" i="8"/>
  <c r="H2485" i="8"/>
  <c r="I2485" i="8"/>
  <c r="I641" i="8"/>
  <c r="H641" i="8"/>
  <c r="F641" i="8"/>
  <c r="H2288" i="8"/>
  <c r="F2288" i="8"/>
  <c r="I2288" i="8"/>
  <c r="H2227" i="8"/>
  <c r="F2227" i="8"/>
  <c r="I2227" i="8"/>
  <c r="H1500" i="8"/>
  <c r="I1500" i="8"/>
  <c r="F1500" i="8"/>
  <c r="I554" i="8"/>
  <c r="F554" i="8"/>
  <c r="H554" i="8"/>
  <c r="F464" i="8"/>
  <c r="H464" i="8"/>
  <c r="I464" i="8"/>
  <c r="I3229" i="8"/>
  <c r="F3229" i="8"/>
  <c r="H3229" i="8"/>
  <c r="I3192" i="8"/>
  <c r="F3192" i="8"/>
  <c r="H3192" i="8"/>
  <c r="H2235" i="8"/>
  <c r="F2235" i="8"/>
  <c r="I2235" i="8"/>
  <c r="I2501" i="8"/>
  <c r="F2501" i="8"/>
  <c r="H2501" i="8"/>
  <c r="H1706" i="8"/>
  <c r="F1706" i="8"/>
  <c r="I1706" i="8"/>
  <c r="H1022" i="8"/>
  <c r="F1022" i="8"/>
  <c r="I1022" i="8"/>
  <c r="I3205" i="8"/>
  <c r="F3205" i="8"/>
  <c r="H3205" i="8"/>
  <c r="F2849" i="8"/>
  <c r="I2849" i="8"/>
  <c r="H2849" i="8"/>
  <c r="I401" i="8"/>
  <c r="F401" i="8"/>
  <c r="H401" i="8"/>
  <c r="F2639" i="8"/>
  <c r="I2639" i="8"/>
  <c r="H2639" i="8"/>
  <c r="F402" i="8"/>
  <c r="H402" i="8"/>
  <c r="I402" i="8"/>
  <c r="I1061" i="8"/>
  <c r="H1061" i="8"/>
  <c r="F1061" i="8"/>
  <c r="F2061" i="8"/>
  <c r="H2061" i="8"/>
  <c r="I2061" i="8"/>
  <c r="H2562" i="8"/>
  <c r="I2562" i="8"/>
  <c r="F2562" i="8"/>
  <c r="I1698" i="8"/>
  <c r="F1698" i="8"/>
  <c r="H1698" i="8"/>
  <c r="H2188" i="8"/>
  <c r="F2188" i="8"/>
  <c r="I2188" i="8"/>
  <c r="F1013" i="8"/>
  <c r="H1013" i="8"/>
  <c r="I1013" i="8"/>
  <c r="F522" i="8"/>
  <c r="I522" i="8"/>
  <c r="H522" i="8"/>
  <c r="F657" i="8"/>
  <c r="H657" i="8"/>
  <c r="I657" i="8"/>
  <c r="H2721" i="8"/>
  <c r="F2721" i="8"/>
  <c r="I2721" i="8"/>
  <c r="I1797" i="8"/>
  <c r="H1797" i="8"/>
  <c r="F1797" i="8"/>
  <c r="H779" i="8"/>
  <c r="F779" i="8"/>
  <c r="I779" i="8"/>
  <c r="I3135" i="8"/>
  <c r="H3135" i="8"/>
  <c r="F3135" i="8"/>
  <c r="F1666" i="8"/>
  <c r="H1666" i="8"/>
  <c r="I1666" i="8"/>
  <c r="H1466" i="8"/>
  <c r="I1466" i="8"/>
  <c r="F1466" i="8"/>
  <c r="H1748" i="8"/>
  <c r="I1748" i="8"/>
  <c r="F1748" i="8"/>
  <c r="I2172" i="8"/>
  <c r="H2172" i="8"/>
  <c r="F2172" i="8"/>
  <c r="F2514" i="8"/>
  <c r="H2514" i="8"/>
  <c r="I2514" i="8"/>
  <c r="H1559" i="8"/>
  <c r="F1559" i="8"/>
  <c r="I1559" i="8"/>
  <c r="F1234" i="8"/>
  <c r="I1234" i="8"/>
  <c r="H1234" i="8"/>
  <c r="H2867" i="8"/>
  <c r="I2867" i="8"/>
  <c r="F2867" i="8"/>
  <c r="I2777" i="8"/>
  <c r="F2777" i="8"/>
  <c r="H2777" i="8"/>
  <c r="I538" i="8"/>
  <c r="H538" i="8"/>
  <c r="F538" i="8"/>
  <c r="I2458" i="8"/>
  <c r="F2458" i="8"/>
  <c r="H2458" i="8"/>
  <c r="I2311" i="8"/>
  <c r="F2311" i="8"/>
  <c r="H2311" i="8"/>
  <c r="H2076" i="8"/>
  <c r="I2076" i="8"/>
  <c r="F2076" i="8"/>
  <c r="I655" i="8"/>
  <c r="H655" i="8"/>
  <c r="F655" i="8"/>
  <c r="H3143" i="8"/>
  <c r="F3143" i="8"/>
  <c r="I3143" i="8"/>
  <c r="H529" i="8"/>
  <c r="I529" i="8"/>
  <c r="F529" i="8"/>
  <c r="I1705" i="8"/>
  <c r="H1705" i="8"/>
  <c r="F1705" i="8"/>
  <c r="I2092" i="8"/>
  <c r="F2092" i="8"/>
  <c r="H2092" i="8"/>
  <c r="F2383" i="8"/>
  <c r="I2383" i="8"/>
  <c r="H2383" i="8"/>
  <c r="I3224" i="8"/>
  <c r="H3224" i="8"/>
  <c r="F3224" i="8"/>
  <c r="I2546" i="8"/>
  <c r="H2546" i="8"/>
  <c r="F2546" i="8"/>
  <c r="F1582" i="8"/>
  <c r="I1582" i="8"/>
  <c r="H1582" i="8"/>
  <c r="I3109" i="8"/>
  <c r="H3109" i="8"/>
  <c r="F3109" i="8"/>
  <c r="F1982" i="8"/>
  <c r="I1982" i="8"/>
  <c r="H1982" i="8"/>
  <c r="H3215" i="8"/>
  <c r="F3215" i="8"/>
  <c r="I3215" i="8"/>
  <c r="H137" i="8"/>
  <c r="I137" i="8" s="1"/>
  <c r="F137" i="8"/>
  <c r="I1298" i="8"/>
  <c r="H1298" i="8"/>
  <c r="F1298" i="8"/>
  <c r="F3073" i="8"/>
  <c r="H3073" i="8"/>
  <c r="I3073" i="8"/>
  <c r="H1725" i="8"/>
  <c r="I1725" i="8"/>
  <c r="F1725" i="8"/>
  <c r="H295" i="8"/>
  <c r="I295" i="8" s="1"/>
  <c r="F295" i="8"/>
  <c r="F1474" i="8"/>
  <c r="H1474" i="8"/>
  <c r="I1474" i="8"/>
  <c r="I727" i="8"/>
  <c r="F727" i="8"/>
  <c r="H727" i="8"/>
  <c r="I2070" i="8"/>
  <c r="F2070" i="8"/>
  <c r="H2070" i="8"/>
  <c r="F2988" i="8"/>
  <c r="I2988" i="8"/>
  <c r="H2988" i="8"/>
  <c r="F3200" i="8"/>
  <c r="H3200" i="8"/>
  <c r="I3200" i="8"/>
  <c r="I2022" i="8"/>
  <c r="H2022" i="8"/>
  <c r="F2022" i="8"/>
  <c r="H1717" i="8"/>
  <c r="I1717" i="8"/>
  <c r="F1717" i="8"/>
  <c r="F2054" i="8"/>
  <c r="I2054" i="8"/>
  <c r="H2054" i="8"/>
  <c r="F2798" i="8"/>
  <c r="I2798" i="8"/>
  <c r="H2798" i="8"/>
  <c r="F2764" i="8"/>
  <c r="I2764" i="8"/>
  <c r="H2764" i="8"/>
  <c r="I697" i="8"/>
  <c r="F697" i="8"/>
  <c r="H697" i="8"/>
  <c r="I478" i="8"/>
  <c r="F478" i="8"/>
  <c r="H478" i="8"/>
  <c r="H1770" i="8"/>
  <c r="F1770" i="8"/>
  <c r="I1770" i="8"/>
  <c r="F3078" i="8"/>
  <c r="H3078" i="8"/>
  <c r="I3078" i="8"/>
  <c r="I528" i="8"/>
  <c r="F528" i="8"/>
  <c r="H528" i="8"/>
  <c r="I1580" i="8"/>
  <c r="F1580" i="8"/>
  <c r="H1580" i="8"/>
  <c r="F2432" i="8"/>
  <c r="H2432" i="8"/>
  <c r="I2432" i="8"/>
  <c r="I2381" i="8"/>
  <c r="H2381" i="8"/>
  <c r="F2381" i="8"/>
  <c r="I560" i="8"/>
  <c r="F560" i="8"/>
  <c r="H560" i="8"/>
  <c r="H551" i="8"/>
  <c r="I551" i="8"/>
  <c r="F551" i="8"/>
  <c r="H2232" i="8"/>
  <c r="I2232" i="8"/>
  <c r="F2232" i="8"/>
  <c r="I2407" i="8"/>
  <c r="F2407" i="8"/>
  <c r="H2407" i="8"/>
  <c r="F3087" i="8"/>
  <c r="I3087" i="8"/>
  <c r="H3087" i="8"/>
  <c r="I432" i="8"/>
  <c r="H432" i="8"/>
  <c r="F432" i="8"/>
  <c r="H622" i="8"/>
  <c r="F622" i="8"/>
  <c r="I622" i="8"/>
  <c r="F2248" i="8"/>
  <c r="I2248" i="8"/>
  <c r="H2248" i="8"/>
  <c r="F2774" i="8"/>
  <c r="H2774" i="8"/>
  <c r="I2774" i="8"/>
  <c r="F1205" i="8"/>
  <c r="I1205" i="8"/>
  <c r="H1205" i="8"/>
  <c r="F55" i="8"/>
  <c r="H55" i="8"/>
  <c r="I55" i="8" s="1"/>
  <c r="F57" i="8"/>
  <c r="H57" i="8"/>
  <c r="I57" i="8" s="1"/>
  <c r="I561" i="8"/>
  <c r="F561" i="8"/>
  <c r="H561" i="8"/>
  <c r="I664" i="8"/>
  <c r="H664" i="8"/>
  <c r="F664" i="8"/>
  <c r="H745" i="8"/>
  <c r="F745" i="8"/>
  <c r="I745" i="8"/>
  <c r="I786" i="8"/>
  <c r="F786" i="8"/>
  <c r="H786" i="8"/>
  <c r="H838" i="8"/>
  <c r="I838" i="8"/>
  <c r="F838" i="8"/>
  <c r="H1012" i="8"/>
  <c r="F1012" i="8"/>
  <c r="I1012" i="8"/>
  <c r="H1307" i="8"/>
  <c r="I1307" i="8"/>
  <c r="F1307" i="8"/>
  <c r="I1373" i="8"/>
  <c r="F1373" i="8"/>
  <c r="H1373" i="8"/>
  <c r="F1457" i="8"/>
  <c r="I1457" i="8"/>
  <c r="H1457" i="8"/>
  <c r="I1465" i="8"/>
  <c r="F1465" i="8"/>
  <c r="H1465" i="8"/>
  <c r="I1630" i="8"/>
  <c r="H1630" i="8"/>
  <c r="F1630" i="8"/>
  <c r="H1649" i="8"/>
  <c r="F1649" i="8"/>
  <c r="I1649" i="8"/>
  <c r="H1713" i="8"/>
  <c r="F1713" i="8"/>
  <c r="I1713" i="8"/>
  <c r="F1756" i="8"/>
  <c r="H1756" i="8"/>
  <c r="I1756" i="8"/>
  <c r="H1780" i="8"/>
  <c r="F1780" i="8"/>
  <c r="I1780" i="8"/>
  <c r="F1796" i="8"/>
  <c r="H1796" i="8"/>
  <c r="I1796" i="8"/>
  <c r="H1828" i="8"/>
  <c r="F1828" i="8"/>
  <c r="I1828" i="8"/>
  <c r="H2021" i="8"/>
  <c r="F2021" i="8"/>
  <c r="I2021" i="8"/>
  <c r="H2053" i="8"/>
  <c r="F2053" i="8"/>
  <c r="F2211" i="8"/>
  <c r="I2211" i="8"/>
  <c r="H2211" i="8"/>
  <c r="F2250" i="8"/>
  <c r="I2250" i="8"/>
  <c r="H2250" i="8"/>
  <c r="F2271" i="8"/>
  <c r="I2271" i="8"/>
  <c r="H2271" i="8"/>
  <c r="F2279" i="8"/>
  <c r="H2279" i="8"/>
  <c r="I2279" i="8"/>
  <c r="F2354" i="8"/>
  <c r="H2354" i="8"/>
  <c r="I2354" i="8"/>
  <c r="H2468" i="8"/>
  <c r="I2468" i="8"/>
  <c r="F2468" i="8"/>
  <c r="F2513" i="8"/>
  <c r="I2513" i="8"/>
  <c r="F2561" i="8"/>
  <c r="I2561" i="8"/>
  <c r="H2561" i="8"/>
  <c r="I2577" i="8"/>
  <c r="F2577" i="8"/>
  <c r="H2577" i="8"/>
  <c r="I2632" i="8"/>
  <c r="H2632" i="8"/>
  <c r="F2632" i="8"/>
  <c r="H2971" i="8"/>
  <c r="F2971" i="8"/>
  <c r="I2971" i="8"/>
  <c r="I3010" i="8"/>
  <c r="H3010" i="8"/>
  <c r="F3010" i="8"/>
  <c r="I3064" i="8"/>
  <c r="H3064" i="8"/>
  <c r="I3121" i="8"/>
  <c r="H3121" i="8"/>
  <c r="F3121" i="8"/>
  <c r="F3199" i="8"/>
  <c r="H3199" i="8"/>
  <c r="I3199" i="8"/>
  <c r="I535" i="8"/>
  <c r="F535" i="8"/>
  <c r="H535" i="8"/>
  <c r="F598" i="8"/>
  <c r="I598" i="8"/>
  <c r="H598" i="8"/>
  <c r="I1786" i="8"/>
  <c r="F1786" i="8"/>
  <c r="H1786" i="8"/>
  <c r="H3231" i="8"/>
  <c r="I3231" i="8"/>
  <c r="F3231" i="8"/>
  <c r="I2730" i="8"/>
  <c r="H2730" i="8"/>
  <c r="F2730" i="8"/>
  <c r="I1471" i="8"/>
  <c r="F1471" i="8"/>
  <c r="H1471" i="8"/>
  <c r="I2352" i="8"/>
  <c r="F2352" i="8"/>
  <c r="H2352" i="8"/>
  <c r="F1520" i="8"/>
  <c r="I1520" i="8"/>
  <c r="H1520" i="8"/>
  <c r="I2185" i="8"/>
  <c r="H2185" i="8"/>
  <c r="F2185" i="8"/>
  <c r="F485" i="8"/>
  <c r="H485" i="8"/>
  <c r="I485" i="8"/>
  <c r="F1794" i="8"/>
  <c r="H1794" i="8"/>
  <c r="I1794" i="8"/>
  <c r="F2527" i="8"/>
  <c r="I2527" i="8"/>
  <c r="H2527" i="8"/>
  <c r="I3145" i="8"/>
  <c r="F3145" i="8"/>
  <c r="H3145" i="8"/>
  <c r="F142" i="8"/>
  <c r="H142" i="8"/>
  <c r="I142" i="8" s="1"/>
  <c r="F1072" i="8"/>
  <c r="I1072" i="8"/>
  <c r="H1072" i="8"/>
  <c r="F2321" i="8"/>
  <c r="H2321" i="8"/>
  <c r="I2321" i="8"/>
  <c r="H439" i="8"/>
  <c r="I439" i="8"/>
  <c r="F439" i="8"/>
  <c r="H799" i="8"/>
  <c r="I799" i="8"/>
  <c r="F799" i="8"/>
  <c r="F1447" i="8"/>
  <c r="I1447" i="8"/>
  <c r="H1447" i="8"/>
  <c r="I1722" i="8"/>
  <c r="H1722" i="8"/>
  <c r="F1722" i="8"/>
  <c r="F1218" i="8"/>
  <c r="I1218" i="8"/>
  <c r="H1218" i="8"/>
  <c r="F662" i="8"/>
  <c r="H662" i="8"/>
  <c r="I662" i="8"/>
  <c r="F2399" i="8"/>
  <c r="I2399" i="8"/>
  <c r="H2399" i="8"/>
  <c r="H2423" i="8"/>
  <c r="I2423" i="8"/>
  <c r="F2423" i="8"/>
  <c r="I614" i="8"/>
  <c r="F614" i="8"/>
  <c r="H614" i="8"/>
  <c r="H2591" i="8"/>
  <c r="F2591" i="8"/>
  <c r="I2591" i="8"/>
  <c r="F686" i="8"/>
  <c r="H686" i="8"/>
  <c r="I686" i="8"/>
  <c r="F291" i="8"/>
  <c r="H291" i="8"/>
  <c r="I291" i="8" s="1"/>
  <c r="F1943" i="8"/>
  <c r="H1943" i="8"/>
  <c r="I1943" i="8"/>
  <c r="H1963" i="8"/>
  <c r="F1963" i="8"/>
  <c r="I1963" i="8"/>
  <c r="I1971" i="8"/>
  <c r="F1971" i="8"/>
  <c r="H1971" i="8"/>
  <c r="H702" i="8"/>
  <c r="I702" i="8"/>
  <c r="F702" i="8"/>
  <c r="I68" i="8"/>
  <c r="H68" i="8"/>
  <c r="F68" i="8"/>
  <c r="F73" i="8"/>
  <c r="H73" i="8"/>
  <c r="I73" i="8" s="1"/>
  <c r="I2201" i="8"/>
  <c r="H2201" i="8"/>
  <c r="F2201" i="8"/>
  <c r="F1090" i="8"/>
  <c r="I1090" i="8"/>
  <c r="H1090" i="8"/>
  <c r="F1711" i="8"/>
  <c r="H1711" i="8"/>
  <c r="I1711" i="8"/>
  <c r="F1594" i="8"/>
  <c r="I1594" i="8"/>
  <c r="H1594" i="8"/>
  <c r="H2590" i="8"/>
  <c r="I2590" i="8"/>
  <c r="F2590" i="8"/>
  <c r="I2415" i="8"/>
  <c r="H2415" i="8"/>
  <c r="F2415" i="8"/>
  <c r="H2749" i="8"/>
  <c r="I2749" i="8"/>
  <c r="F2749" i="8"/>
  <c r="H1687" i="8"/>
  <c r="F1687" i="8"/>
  <c r="I1687" i="8"/>
  <c r="H2761" i="8"/>
  <c r="F2761" i="8"/>
  <c r="I2761" i="8"/>
  <c r="H1196" i="8"/>
  <c r="I1196" i="8"/>
  <c r="F1196" i="8"/>
  <c r="F694" i="8"/>
  <c r="I694" i="8"/>
  <c r="H694" i="8"/>
  <c r="I1703" i="8"/>
  <c r="H1703" i="8"/>
  <c r="F1703" i="8"/>
  <c r="H2109" i="8"/>
  <c r="F2109" i="8"/>
  <c r="I2109" i="8"/>
  <c r="H486" i="8"/>
  <c r="F486" i="8"/>
  <c r="I486" i="8"/>
  <c r="I1477" i="8"/>
  <c r="H1477" i="8"/>
  <c r="F1477" i="8"/>
  <c r="I292" i="8"/>
  <c r="F1377" i="8"/>
  <c r="H1513" i="8"/>
  <c r="F2310" i="8"/>
  <c r="I2310" i="8"/>
  <c r="H2310" i="8"/>
  <c r="I2656" i="8"/>
  <c r="F2656" i="8"/>
  <c r="H2656" i="8"/>
  <c r="H672" i="8"/>
  <c r="I672" i="8"/>
  <c r="F672" i="8"/>
  <c r="F818" i="8"/>
  <c r="H818" i="8"/>
  <c r="I818" i="8"/>
  <c r="I1473" i="8"/>
  <c r="H1473" i="8"/>
  <c r="F1473" i="8"/>
  <c r="I2797" i="8"/>
  <c r="F2797" i="8"/>
  <c r="H2797" i="8"/>
  <c r="H2701" i="8"/>
  <c r="F2701" i="8"/>
  <c r="I2701" i="8"/>
  <c r="I1764" i="8"/>
  <c r="H1764" i="8"/>
  <c r="F1764" i="8"/>
  <c r="I521" i="8"/>
  <c r="H521" i="8"/>
  <c r="F521" i="8"/>
  <c r="F2191" i="8"/>
  <c r="H2191" i="8"/>
  <c r="I2191" i="8"/>
  <c r="I545" i="8"/>
  <c r="F545" i="8"/>
  <c r="H545" i="8"/>
  <c r="I632" i="8"/>
  <c r="H632" i="8"/>
  <c r="F632" i="8"/>
  <c r="H2323" i="8"/>
  <c r="I2323" i="8"/>
  <c r="F2323" i="8"/>
  <c r="H3207" i="8"/>
  <c r="I3207" i="8"/>
  <c r="F3207" i="8"/>
  <c r="H1877" i="8"/>
  <c r="I1877" i="8"/>
  <c r="F1877" i="8"/>
  <c r="F2346" i="8"/>
  <c r="H2346" i="8"/>
  <c r="I2346" i="8"/>
  <c r="F1925" i="8"/>
  <c r="I1925" i="8"/>
  <c r="H1925" i="8"/>
  <c r="H3115" i="8"/>
  <c r="F3115" i="8"/>
  <c r="I3115" i="8"/>
  <c r="H394" i="8"/>
  <c r="F394" i="8"/>
  <c r="I394" i="8"/>
  <c r="H3072" i="8"/>
  <c r="F3072" i="8"/>
  <c r="I3072" i="8"/>
  <c r="F537" i="8"/>
  <c r="H537" i="8"/>
  <c r="I537" i="8"/>
  <c r="I1945" i="8"/>
  <c r="F1945" i="8"/>
  <c r="H1945" i="8"/>
  <c r="H426" i="8"/>
  <c r="I426" i="8"/>
  <c r="F426" i="8"/>
  <c r="H1937" i="8"/>
  <c r="F1937" i="8"/>
  <c r="I1937" i="8"/>
  <c r="F802" i="8"/>
  <c r="I802" i="8"/>
  <c r="H802" i="8"/>
  <c r="F704" i="8"/>
  <c r="I704" i="8"/>
  <c r="H704" i="8"/>
  <c r="F1092" i="8"/>
  <c r="I1092" i="8"/>
  <c r="H1092" i="8"/>
  <c r="F2850" i="8"/>
  <c r="H2850" i="8"/>
  <c r="I2850" i="8"/>
  <c r="I1489" i="8"/>
  <c r="H1489" i="8"/>
  <c r="F1489" i="8"/>
  <c r="I848" i="8"/>
  <c r="F848" i="8"/>
  <c r="H848" i="8"/>
  <c r="H1772" i="8"/>
  <c r="F1772" i="8"/>
  <c r="I1772" i="8"/>
  <c r="I656" i="8"/>
  <c r="F656" i="8"/>
  <c r="H656" i="8"/>
  <c r="H600" i="8"/>
  <c r="I600" i="8"/>
  <c r="F600" i="8"/>
  <c r="H1622" i="8"/>
  <c r="I1622" i="8"/>
  <c r="F1622" i="8"/>
  <c r="H712" i="8"/>
  <c r="I712" i="8"/>
  <c r="F712" i="8"/>
  <c r="F2998" i="8"/>
  <c r="I2998" i="8"/>
  <c r="H2998" i="8"/>
  <c r="I1593" i="8"/>
  <c r="F1593" i="8"/>
  <c r="H1593" i="8"/>
  <c r="I1558" i="8"/>
  <c r="F1558" i="8"/>
  <c r="H1558" i="8"/>
  <c r="H2476" i="8"/>
  <c r="I2476" i="8"/>
  <c r="F2476" i="8"/>
  <c r="I2029" i="8"/>
  <c r="F2029" i="8"/>
  <c r="H2029" i="8"/>
  <c r="F2292" i="8"/>
  <c r="I2292" i="8"/>
  <c r="H2292" i="8"/>
  <c r="F2388" i="8"/>
  <c r="H2388" i="8"/>
  <c r="I2388" i="8"/>
  <c r="I442" i="8"/>
  <c r="H442" i="8"/>
  <c r="F442" i="8"/>
  <c r="H1581" i="8"/>
  <c r="F1581" i="8"/>
  <c r="I1581" i="8"/>
  <c r="I1433" i="8"/>
  <c r="F1433" i="8"/>
  <c r="H1433" i="8"/>
  <c r="H471" i="8"/>
  <c r="I471" i="8"/>
  <c r="F471" i="8"/>
  <c r="I2171" i="8"/>
  <c r="F2171" i="8"/>
  <c r="H2171" i="8"/>
  <c r="F1383" i="8"/>
  <c r="H1383" i="8"/>
  <c r="I1383" i="8"/>
  <c r="F1325" i="8"/>
  <c r="H1325" i="8"/>
  <c r="I1325" i="8"/>
  <c r="I1051" i="8"/>
  <c r="H1051" i="8"/>
  <c r="F1051" i="8"/>
  <c r="I1349" i="8"/>
  <c r="F1349" i="8"/>
  <c r="H1349" i="8"/>
  <c r="I680" i="8"/>
  <c r="H680" i="8"/>
  <c r="F680" i="8"/>
  <c r="I488" i="8"/>
  <c r="H488" i="8"/>
  <c r="F488" i="8"/>
  <c r="I1950" i="8"/>
  <c r="H1950" i="8"/>
  <c r="F1950" i="8"/>
  <c r="F1032" i="8"/>
  <c r="H1032" i="8"/>
  <c r="I1032" i="8"/>
  <c r="I3144" i="8"/>
  <c r="H3144" i="8"/>
  <c r="F3144" i="8"/>
  <c r="F2594" i="8"/>
  <c r="H2594" i="8"/>
  <c r="I2594" i="8"/>
  <c r="F2827" i="8"/>
  <c r="I2827" i="8"/>
  <c r="H2827" i="8"/>
  <c r="F595" i="8"/>
  <c r="I595" i="8"/>
  <c r="H595" i="8"/>
  <c r="I3214" i="8"/>
  <c r="F3214" i="8"/>
  <c r="H3214" i="8"/>
  <c r="I640" i="8"/>
  <c r="F640" i="8"/>
  <c r="H640" i="8"/>
  <c r="I1597" i="8"/>
  <c r="F1597" i="8"/>
  <c r="H1597" i="8"/>
  <c r="I828" i="8"/>
  <c r="H828" i="8"/>
  <c r="F828" i="8"/>
  <c r="H648" i="8"/>
  <c r="F648" i="8"/>
  <c r="I648" i="8"/>
  <c r="I2045" i="8"/>
  <c r="H2045" i="8"/>
  <c r="F2045" i="8"/>
  <c r="H824" i="8"/>
  <c r="F824" i="8"/>
  <c r="I824" i="8"/>
  <c r="F810" i="8"/>
  <c r="I810" i="8"/>
  <c r="H810" i="8"/>
  <c r="I2179" i="8"/>
  <c r="F2179" i="8"/>
  <c r="H2179" i="8"/>
  <c r="I1589" i="8"/>
  <c r="F1589" i="8"/>
  <c r="H1589" i="8"/>
  <c r="F2069" i="8"/>
  <c r="I2069" i="8"/>
  <c r="H2069" i="8"/>
  <c r="F3056" i="8"/>
  <c r="H3056" i="8"/>
  <c r="I3056" i="8"/>
  <c r="I2987" i="8"/>
  <c r="F2987" i="8"/>
  <c r="H2987" i="8"/>
  <c r="H755" i="8"/>
  <c r="F755" i="8"/>
  <c r="I755" i="8"/>
  <c r="I2302" i="8"/>
  <c r="H2302" i="8"/>
  <c r="F2302" i="8"/>
  <c r="I3165" i="8"/>
  <c r="H3165" i="8"/>
  <c r="F3165" i="8"/>
  <c r="I2144" i="8"/>
  <c r="F2144" i="8"/>
  <c r="H2144" i="8"/>
  <c r="H2362" i="8"/>
  <c r="I2362" i="8"/>
  <c r="F2362" i="8"/>
  <c r="I1657" i="8"/>
  <c r="H1657" i="8"/>
  <c r="F1657" i="8"/>
  <c r="F2338" i="8"/>
  <c r="H2338" i="8"/>
  <c r="I2338" i="8"/>
  <c r="I2636" i="8"/>
  <c r="F2636" i="8"/>
  <c r="H2636" i="8"/>
  <c r="H465" i="8"/>
  <c r="F465" i="8"/>
  <c r="I465" i="8"/>
  <c r="I1675" i="8"/>
  <c r="H1675" i="8"/>
  <c r="F1675" i="8"/>
  <c r="H2236" i="8"/>
  <c r="F2236" i="8"/>
  <c r="I2236" i="8"/>
  <c r="I1734" i="8"/>
  <c r="F1734" i="8"/>
  <c r="H1734" i="8"/>
  <c r="I428" i="8"/>
  <c r="F428" i="8"/>
  <c r="H428" i="8"/>
  <c r="H1881" i="8"/>
  <c r="F1881" i="8"/>
  <c r="I1881" i="8"/>
  <c r="F2213" i="8"/>
  <c r="I2213" i="8"/>
  <c r="H2213" i="8"/>
  <c r="F1742" i="8"/>
  <c r="H1742" i="8"/>
  <c r="I1742" i="8"/>
  <c r="I2340" i="8"/>
  <c r="F2340" i="8"/>
  <c r="H2340" i="8"/>
  <c r="F2515" i="8"/>
  <c r="H2515" i="8"/>
  <c r="I2515" i="8"/>
  <c r="H2799" i="8"/>
  <c r="I2799" i="8"/>
  <c r="F2799" i="8"/>
  <c r="I404" i="8"/>
  <c r="F404" i="8"/>
  <c r="H404" i="8"/>
  <c r="I3223" i="8"/>
  <c r="F3223" i="8"/>
  <c r="H3223" i="8"/>
  <c r="H138" i="8"/>
  <c r="I138" i="8" s="1"/>
  <c r="F138" i="8"/>
  <c r="I1451" i="8"/>
  <c r="F1451" i="8"/>
  <c r="H1451" i="8"/>
  <c r="F2094" i="8"/>
  <c r="H2094" i="8"/>
  <c r="I2094" i="8"/>
  <c r="I2348" i="8"/>
  <c r="F2348" i="8"/>
  <c r="H2348" i="8"/>
  <c r="I1691" i="8"/>
  <c r="H1691" i="8"/>
  <c r="F1691" i="8"/>
  <c r="H1014" i="8"/>
  <c r="F1014" i="8"/>
  <c r="I1014" i="8"/>
  <c r="H1407" i="8"/>
  <c r="I1407" i="8"/>
  <c r="F1407" i="8"/>
  <c r="F2154" i="8"/>
  <c r="H2154" i="8"/>
  <c r="I2154" i="8"/>
  <c r="F2063" i="8"/>
  <c r="H2063" i="8"/>
  <c r="I2063" i="8"/>
  <c r="I1309" i="8"/>
  <c r="H1309" i="8"/>
  <c r="F1309" i="8"/>
  <c r="I2047" i="8"/>
  <c r="F2047" i="8"/>
  <c r="H2047" i="8"/>
  <c r="I2486" i="8"/>
  <c r="H2486" i="8"/>
  <c r="F2486" i="8"/>
  <c r="I765" i="8"/>
  <c r="F765" i="8"/>
  <c r="H765" i="8"/>
  <c r="I396" i="8"/>
  <c r="F396" i="8"/>
  <c r="H396" i="8"/>
  <c r="F2547" i="8"/>
  <c r="H2547" i="8"/>
  <c r="I2547" i="8"/>
  <c r="H2915" i="8"/>
  <c r="F2915" i="8"/>
  <c r="I2915" i="8"/>
  <c r="F1640" i="8"/>
  <c r="H1640" i="8"/>
  <c r="I1640" i="8"/>
  <c r="I2356" i="8"/>
  <c r="H2356" i="8"/>
  <c r="F2356" i="8"/>
  <c r="F1591" i="8"/>
  <c r="I1591" i="8"/>
  <c r="H1591" i="8"/>
  <c r="H780" i="8"/>
  <c r="I780" i="8"/>
  <c r="F780" i="8"/>
  <c r="F1560" i="8"/>
  <c r="H1560" i="8"/>
  <c r="I1560" i="8"/>
  <c r="I2197" i="8"/>
  <c r="H2197" i="8"/>
  <c r="F2197" i="8"/>
  <c r="I1001" i="8"/>
  <c r="F1001" i="8"/>
  <c r="H1001" i="8"/>
  <c r="H3146" i="8"/>
  <c r="I3146" i="8"/>
  <c r="F3146" i="8"/>
  <c r="F1435" i="8"/>
  <c r="H1435" i="8"/>
  <c r="I1435" i="8"/>
  <c r="I3016" i="8"/>
  <c r="H3016" i="8"/>
  <c r="F3016" i="8"/>
  <c r="F2162" i="8"/>
  <c r="I2162" i="8"/>
  <c r="H2162" i="8"/>
  <c r="F2084" i="8"/>
  <c r="H2084" i="8"/>
  <c r="I2084" i="8"/>
  <c r="H565" i="8"/>
  <c r="F565" i="8"/>
  <c r="I565" i="8"/>
  <c r="H2579" i="8"/>
  <c r="F2579" i="8"/>
  <c r="I2579" i="8"/>
  <c r="F2304" i="8"/>
  <c r="H2304" i="8"/>
  <c r="I2304" i="8"/>
  <c r="H1525" i="8"/>
  <c r="I1525" i="8"/>
  <c r="F1525" i="8"/>
  <c r="I1651" i="8"/>
  <c r="F1651" i="8"/>
  <c r="H1651" i="8"/>
  <c r="I2741" i="8"/>
  <c r="H2741" i="8"/>
  <c r="F2741" i="8"/>
  <c r="F2494" i="8"/>
  <c r="H2494" i="8"/>
  <c r="I2494" i="8"/>
  <c r="F2965" i="8"/>
  <c r="I2965" i="8"/>
  <c r="H2965" i="8"/>
  <c r="H2106" i="8"/>
  <c r="I2106" i="8"/>
  <c r="F2106" i="8"/>
  <c r="I1225" i="8"/>
  <c r="F1225" i="8"/>
  <c r="H1225" i="8"/>
  <c r="I1758" i="8"/>
  <c r="H1758" i="8"/>
  <c r="F1758" i="8"/>
  <c r="I3123" i="8"/>
  <c r="H3123" i="8"/>
  <c r="F3123" i="8"/>
  <c r="I1699" i="8"/>
  <c r="F1699" i="8"/>
  <c r="H1699" i="8"/>
  <c r="I1599" i="8"/>
  <c r="F1599" i="8"/>
  <c r="H1599" i="8"/>
  <c r="F3102" i="8"/>
  <c r="H3102" i="8"/>
  <c r="I3102" i="8"/>
  <c r="H1718" i="8"/>
  <c r="I1718" i="8"/>
  <c r="F1718" i="8"/>
  <c r="H1707" i="8"/>
  <c r="I1707" i="8"/>
  <c r="F1707" i="8"/>
  <c r="F1683" i="8"/>
  <c r="H1683" i="8"/>
  <c r="I1683" i="8"/>
  <c r="H1667" i="8"/>
  <c r="I1667" i="8"/>
  <c r="F1667" i="8"/>
  <c r="H1517" i="8"/>
  <c r="I1517" i="8"/>
  <c r="F1517" i="8"/>
  <c r="H357" i="8"/>
  <c r="I357" i="8" s="1"/>
  <c r="F357" i="8"/>
  <c r="I1533" i="8"/>
  <c r="F1533" i="8"/>
  <c r="H1533" i="8"/>
  <c r="H1235" i="8"/>
  <c r="I1235" i="8"/>
  <c r="F1235" i="8"/>
  <c r="I2621" i="8"/>
  <c r="H2621" i="8"/>
  <c r="F2621" i="8"/>
  <c r="F1583" i="8"/>
  <c r="H1583" i="8"/>
  <c r="I1583" i="8"/>
  <c r="F1616" i="8"/>
  <c r="I1616" i="8"/>
  <c r="H1616" i="8"/>
  <c r="H1377" i="8"/>
  <c r="I757" i="8"/>
  <c r="H757" i="8"/>
  <c r="F757" i="8"/>
  <c r="I2101" i="8"/>
  <c r="H2101" i="8"/>
  <c r="F2101" i="8"/>
  <c r="H1483" i="8"/>
  <c r="I1483" i="8"/>
  <c r="F1483" i="8"/>
  <c r="I2523" i="8"/>
  <c r="F2523" i="8"/>
  <c r="H2523" i="8"/>
  <c r="I2364" i="8"/>
  <c r="H2364" i="8"/>
  <c r="F2364" i="8"/>
  <c r="I1550" i="8"/>
  <c r="H1550" i="8"/>
  <c r="F1550" i="8"/>
  <c r="H2502" i="8"/>
  <c r="I2502" i="8"/>
  <c r="F2502" i="8"/>
  <c r="H1999" i="8"/>
  <c r="F1999" i="8"/>
  <c r="I1999" i="8"/>
  <c r="F1939" i="8"/>
  <c r="I1939" i="8"/>
  <c r="H1939" i="8"/>
  <c r="I2189" i="8"/>
  <c r="F2189" i="8"/>
  <c r="H2189" i="8"/>
  <c r="H2419" i="8"/>
  <c r="F2419" i="8"/>
  <c r="I2419" i="8"/>
  <c r="I1959" i="8"/>
  <c r="H1959" i="8"/>
  <c r="F1959" i="8"/>
  <c r="I2539" i="8"/>
  <c r="H2539" i="8"/>
  <c r="F2539" i="8"/>
  <c r="F2989" i="8"/>
  <c r="H2989" i="8"/>
  <c r="I2989" i="8"/>
  <c r="H1624" i="8"/>
  <c r="I1624" i="8"/>
  <c r="F1624" i="8"/>
  <c r="I3000" i="8"/>
  <c r="F3000" i="8"/>
  <c r="H3000" i="8"/>
  <c r="I1715" i="8"/>
  <c r="H1715" i="8"/>
  <c r="F1715" i="8"/>
  <c r="F3082" i="8"/>
  <c r="I3082" i="8"/>
  <c r="H3082" i="8"/>
  <c r="I449" i="8"/>
  <c r="H449" i="8"/>
  <c r="F449" i="8"/>
  <c r="I1870" i="8"/>
  <c r="F1870" i="8"/>
  <c r="H1870" i="8"/>
  <c r="H457" i="8"/>
  <c r="I457" i="8"/>
  <c r="F457" i="8"/>
  <c r="F2563" i="8"/>
  <c r="H2563" i="8"/>
  <c r="I2563" i="8"/>
  <c r="F592" i="8"/>
  <c r="H592" i="8"/>
  <c r="I592" i="8"/>
  <c r="F2634" i="8"/>
  <c r="H2634" i="8"/>
  <c r="I2634" i="8"/>
  <c r="I2173" i="8"/>
  <c r="F2173" i="8"/>
  <c r="H2173" i="8"/>
  <c r="I2626" i="8"/>
  <c r="H2626" i="8"/>
  <c r="F2626" i="8"/>
  <c r="I2031" i="8"/>
  <c r="F2031" i="8"/>
  <c r="H2031" i="8"/>
  <c r="H1443" i="8"/>
  <c r="F1443" i="8"/>
  <c r="I1443" i="8"/>
  <c r="F1910" i="8"/>
  <c r="I1910" i="8"/>
  <c r="H1910" i="8"/>
  <c r="F59" i="8"/>
  <c r="H59" i="8"/>
  <c r="I59" i="8"/>
  <c r="F3058" i="8"/>
  <c r="H3058" i="8"/>
  <c r="I3058" i="8"/>
  <c r="I2507" i="8"/>
  <c r="F2507" i="8"/>
  <c r="H2507" i="8"/>
  <c r="F170" i="8"/>
  <c r="H170" i="8"/>
  <c r="I170" i="8" s="1"/>
  <c r="F3239" i="8"/>
  <c r="I3239" i="8"/>
  <c r="H3239" i="8"/>
  <c r="I2325" i="8"/>
  <c r="H3055" i="8"/>
  <c r="F3055" i="8"/>
  <c r="F2083" i="8"/>
  <c r="I2083" i="8"/>
  <c r="H2083" i="8"/>
  <c r="F2254" i="8"/>
  <c r="I2254" i="8"/>
  <c r="H2254" i="8"/>
  <c r="I2175" i="8"/>
  <c r="F2175" i="8"/>
  <c r="H2175" i="8"/>
  <c r="H2155" i="8"/>
  <c r="I2155" i="8"/>
  <c r="F2155" i="8"/>
  <c r="I1452" i="8"/>
  <c r="F1452" i="8"/>
  <c r="H1452" i="8"/>
  <c r="H1449" i="8"/>
  <c r="F1449" i="8"/>
  <c r="I1449" i="8"/>
  <c r="F1091" i="8"/>
  <c r="I1091" i="8"/>
  <c r="H1091" i="8"/>
  <c r="F1960" i="8"/>
  <c r="H1960" i="8"/>
  <c r="I1960" i="8"/>
  <c r="I520" i="8"/>
  <c r="H520" i="8"/>
  <c r="F520" i="8"/>
  <c r="F2127" i="8"/>
  <c r="I2127" i="8"/>
  <c r="H2127" i="8"/>
  <c r="I1195" i="8"/>
  <c r="F1195" i="8"/>
  <c r="F1516" i="8"/>
  <c r="I2669" i="8"/>
  <c r="F292" i="8"/>
  <c r="H747" i="8"/>
  <c r="I747" i="8"/>
  <c r="F747" i="8"/>
  <c r="F1150" i="8"/>
  <c r="H1150" i="8"/>
  <c r="I1150" i="8"/>
  <c r="H487" i="8"/>
  <c r="I487" i="8"/>
  <c r="F487" i="8"/>
  <c r="I2049" i="8"/>
  <c r="F2049" i="8"/>
  <c r="H2049" i="8"/>
  <c r="F1496" i="8"/>
  <c r="I1496" i="8"/>
  <c r="H1496" i="8"/>
  <c r="H2251" i="8"/>
  <c r="I2251" i="8"/>
  <c r="F2251" i="8"/>
  <c r="I1757" i="8"/>
  <c r="H1757" i="8"/>
  <c r="F1757" i="8"/>
  <c r="I467" i="8"/>
  <c r="F467" i="8"/>
  <c r="H467" i="8"/>
  <c r="F690" i="8"/>
  <c r="I690" i="8"/>
  <c r="H690" i="8"/>
  <c r="F2443" i="8"/>
  <c r="I2443" i="8"/>
  <c r="H2443" i="8"/>
  <c r="F634" i="8"/>
  <c r="H634" i="8"/>
  <c r="I634" i="8"/>
  <c r="I1686" i="8"/>
  <c r="F1686" i="8"/>
  <c r="H1686" i="8"/>
  <c r="H2688" i="8"/>
  <c r="I2688" i="8"/>
  <c r="F2688" i="8"/>
  <c r="I650" i="8"/>
  <c r="F650" i="8"/>
  <c r="H650" i="8"/>
  <c r="F1406" i="8"/>
  <c r="I1406" i="8"/>
  <c r="H1406" i="8"/>
  <c r="I2411" i="8"/>
  <c r="H2411" i="8"/>
  <c r="F2411" i="8"/>
  <c r="H168" i="8"/>
  <c r="I168" i="8" s="1"/>
  <c r="F168" i="8"/>
  <c r="F2071" i="8"/>
  <c r="H2071" i="8"/>
  <c r="I2071" i="8"/>
  <c r="H844" i="8"/>
  <c r="I844" i="8"/>
  <c r="F844" i="8"/>
  <c r="I2181" i="8"/>
  <c r="H2181" i="8"/>
  <c r="F2181" i="8"/>
  <c r="F67" i="8"/>
  <c r="H67" i="8"/>
  <c r="I67" i="8" s="1"/>
  <c r="H2327" i="8"/>
  <c r="F2327" i="8"/>
  <c r="I2327" i="8"/>
  <c r="I1542" i="8"/>
  <c r="F1542" i="8"/>
  <c r="H1542" i="8"/>
  <c r="H2184" i="8"/>
  <c r="F2184" i="8"/>
  <c r="I2184" i="8"/>
  <c r="F778" i="8"/>
  <c r="H778" i="8"/>
  <c r="I778" i="8"/>
  <c r="H2192" i="8"/>
  <c r="I2192" i="8"/>
  <c r="F2192" i="8"/>
  <c r="H2585" i="8"/>
  <c r="F2585" i="8"/>
  <c r="I2585" i="8"/>
  <c r="I1233" i="8"/>
  <c r="F1233" i="8"/>
  <c r="H1233" i="8"/>
  <c r="I443" i="8"/>
  <c r="H443" i="8"/>
  <c r="F443" i="8"/>
  <c r="I729" i="8"/>
  <c r="F729" i="8"/>
  <c r="H729" i="8"/>
  <c r="F626" i="8"/>
  <c r="I626" i="8"/>
  <c r="H626" i="8"/>
  <c r="H2457" i="8"/>
  <c r="F2457" i="8"/>
  <c r="I2457" i="8"/>
  <c r="I2400" i="8"/>
  <c r="F2400" i="8"/>
  <c r="H2400" i="8"/>
  <c r="I1003" i="8"/>
  <c r="F1003" i="8"/>
  <c r="H1003" i="8"/>
  <c r="F2660" i="8"/>
  <c r="H2660" i="8"/>
  <c r="I2660" i="8"/>
  <c r="F523" i="8"/>
  <c r="I523" i="8"/>
  <c r="H523" i="8"/>
  <c r="I1434" i="8"/>
  <c r="H1434" i="8"/>
  <c r="F1434" i="8"/>
  <c r="F3015" i="8"/>
  <c r="H3015" i="8"/>
  <c r="I3015" i="8"/>
  <c r="I610" i="8"/>
  <c r="F610" i="8"/>
  <c r="H610" i="8"/>
  <c r="H2534" i="8"/>
  <c r="I2534" i="8"/>
  <c r="F2534" i="8"/>
  <c r="F1553" i="8"/>
  <c r="I1553" i="8"/>
  <c r="H1553" i="8"/>
  <c r="H2342" i="8"/>
  <c r="F2342" i="8"/>
  <c r="I2342" i="8"/>
  <c r="H1345" i="8"/>
  <c r="I1345" i="8"/>
  <c r="F1345" i="8"/>
  <c r="F836" i="8"/>
  <c r="H836" i="8"/>
  <c r="I836" i="8"/>
  <c r="I1636" i="8"/>
  <c r="H1636" i="8"/>
  <c r="F1636" i="8"/>
  <c r="I1820" i="8"/>
  <c r="F1820" i="8"/>
  <c r="H1820" i="8"/>
  <c r="F2469" i="8"/>
  <c r="I2469" i="8"/>
  <c r="H2469" i="8"/>
  <c r="I682" i="8"/>
  <c r="H682" i="8"/>
  <c r="F682" i="8"/>
  <c r="H1798" i="8"/>
  <c r="I1798" i="8"/>
  <c r="F1798" i="8"/>
  <c r="F70" i="8"/>
  <c r="H70" i="8"/>
  <c r="I70" i="8" s="1"/>
  <c r="I1055" i="8"/>
  <c r="F1055" i="8"/>
  <c r="H1055" i="8"/>
  <c r="I2463" i="8"/>
  <c r="F2463" i="8"/>
  <c r="H2463" i="8"/>
  <c r="I800" i="8"/>
  <c r="F800" i="8"/>
  <c r="H800" i="8"/>
  <c r="H1790" i="8"/>
  <c r="F1790" i="8"/>
  <c r="I1790" i="8"/>
  <c r="H2919" i="8"/>
  <c r="I2919" i="8"/>
  <c r="F2919" i="8"/>
  <c r="I2446" i="8"/>
  <c r="F2446" i="8"/>
  <c r="H2446" i="8"/>
  <c r="I2800" i="8"/>
  <c r="H2800" i="8"/>
  <c r="F2800" i="8"/>
  <c r="I1501" i="8"/>
  <c r="H1501" i="8"/>
  <c r="F1501" i="8"/>
  <c r="I408" i="8"/>
  <c r="H408" i="8"/>
  <c r="F408" i="8"/>
  <c r="I1771" i="8"/>
  <c r="H1771" i="8"/>
  <c r="F1771" i="8"/>
  <c r="I816" i="8"/>
  <c r="F816" i="8"/>
  <c r="H816" i="8"/>
  <c r="F2768" i="8"/>
  <c r="I2768" i="8"/>
  <c r="H2768" i="8"/>
  <c r="I459" i="8"/>
  <c r="F459" i="8"/>
  <c r="H459" i="8"/>
  <c r="F1008" i="8"/>
  <c r="H1008" i="8"/>
  <c r="I1008" i="8"/>
  <c r="F2025" i="8"/>
  <c r="I2025" i="8"/>
  <c r="H2025" i="8"/>
  <c r="F1467" i="8"/>
  <c r="I1467" i="8"/>
  <c r="H1467" i="8"/>
  <c r="F1875" i="8"/>
  <c r="H1875" i="8"/>
  <c r="I1875" i="8"/>
  <c r="H1534" i="8"/>
  <c r="I1534" i="8"/>
  <c r="F1534" i="8"/>
  <c r="I1020" i="8"/>
  <c r="F1020" i="8"/>
  <c r="H1020" i="8"/>
  <c r="I2033" i="8"/>
  <c r="F2033" i="8"/>
  <c r="H2033" i="8"/>
  <c r="F3057" i="8"/>
  <c r="I3057" i="8"/>
  <c r="H3057" i="8"/>
  <c r="H297" i="8"/>
  <c r="I297" i="8" s="1"/>
  <c r="F297" i="8"/>
  <c r="F1749" i="8"/>
  <c r="I1749" i="8"/>
  <c r="H1749" i="8"/>
  <c r="I3077" i="8"/>
  <c r="H3077" i="8"/>
  <c r="F3077" i="8"/>
  <c r="I1678" i="8"/>
  <c r="H1678" i="8"/>
  <c r="F1678" i="8"/>
  <c r="H2763" i="8"/>
  <c r="I2763" i="8"/>
  <c r="F2763" i="8"/>
  <c r="I2306" i="8"/>
  <c r="H2306" i="8"/>
  <c r="F2306" i="8"/>
  <c r="H1302" i="8"/>
  <c r="I1302" i="8"/>
  <c r="F1302" i="8"/>
  <c r="H734" i="8"/>
  <c r="I734" i="8"/>
  <c r="F734" i="8"/>
  <c r="I1167" i="8"/>
  <c r="H1167" i="8"/>
  <c r="F1167" i="8"/>
  <c r="I2228" i="8"/>
  <c r="H2228" i="8"/>
  <c r="F2228" i="8"/>
  <c r="H3187" i="8"/>
  <c r="I3187" i="8"/>
  <c r="F3187" i="8"/>
  <c r="F2158" i="8"/>
  <c r="I2158" i="8"/>
  <c r="H2158" i="8"/>
  <c r="H998" i="8"/>
  <c r="I998" i="8"/>
  <c r="F998" i="8"/>
  <c r="I1994" i="8"/>
  <c r="F1994" i="8"/>
  <c r="H1994" i="8"/>
  <c r="F392" i="8"/>
  <c r="H392" i="8"/>
  <c r="I392" i="8"/>
  <c r="F1625" i="8"/>
  <c r="H1625" i="8"/>
  <c r="I1625" i="8"/>
  <c r="I1513" i="8"/>
  <c r="H596" i="8"/>
  <c r="F596" i="8"/>
  <c r="I596" i="8"/>
  <c r="H1063" i="8"/>
  <c r="F1063" i="8"/>
  <c r="I1063" i="8"/>
  <c r="I3221" i="8"/>
  <c r="F3221" i="8"/>
  <c r="H3221" i="8"/>
  <c r="H1587" i="8"/>
  <c r="I1587" i="8"/>
  <c r="F1587" i="8"/>
  <c r="I1752" i="8"/>
  <c r="H1752" i="8"/>
  <c r="F1752" i="8"/>
  <c r="H2703" i="8"/>
  <c r="F2703" i="8"/>
  <c r="I2703" i="8"/>
  <c r="F1188" i="8"/>
  <c r="H1188" i="8"/>
  <c r="I1188" i="8"/>
  <c r="I2422" i="8"/>
  <c r="F2422" i="8"/>
  <c r="H2422" i="8"/>
  <c r="F3244" i="8"/>
  <c r="I3244" i="8"/>
  <c r="H3244" i="8"/>
  <c r="F2630" i="8"/>
  <c r="I2630" i="8"/>
  <c r="H2630" i="8"/>
  <c r="F427" i="8"/>
  <c r="I427" i="8"/>
  <c r="H427" i="8"/>
  <c r="I2808" i="8"/>
  <c r="F2808" i="8"/>
  <c r="H2808" i="8"/>
  <c r="F685" i="8"/>
  <c r="H685" i="8"/>
  <c r="I685" i="8"/>
  <c r="I1011" i="8"/>
  <c r="H1011" i="8"/>
  <c r="F1011" i="8"/>
  <c r="I2682" i="8"/>
  <c r="F2682" i="8"/>
  <c r="H2682" i="8"/>
  <c r="H752" i="8"/>
  <c r="I752" i="8"/>
  <c r="F752" i="8"/>
  <c r="I1620" i="8"/>
  <c r="F1620" i="8"/>
  <c r="H1620" i="8"/>
  <c r="I1975" i="8"/>
  <c r="F1975" i="8"/>
  <c r="H1975" i="8"/>
  <c r="F1823" i="8"/>
  <c r="I1823" i="8"/>
  <c r="H1823" i="8"/>
  <c r="F1997" i="8"/>
  <c r="H1997" i="8"/>
  <c r="I1997" i="8"/>
  <c r="I2452" i="8"/>
  <c r="F2452" i="8"/>
  <c r="H2452" i="8"/>
  <c r="I1384" i="8"/>
  <c r="F1384" i="8"/>
  <c r="H1384" i="8"/>
  <c r="F2403" i="8"/>
  <c r="I2403" i="8"/>
  <c r="H2403" i="8"/>
  <c r="H2842" i="8"/>
  <c r="I2842" i="8"/>
  <c r="F2842" i="8"/>
  <c r="F1437" i="8"/>
  <c r="I1437" i="8"/>
  <c r="H1437" i="8"/>
  <c r="F2492" i="8"/>
  <c r="H2492" i="8"/>
  <c r="I2492" i="8"/>
  <c r="I701" i="8"/>
  <c r="F701" i="8"/>
  <c r="H701" i="8"/>
  <c r="H1031" i="8"/>
  <c r="I1031" i="8"/>
  <c r="F1031" i="8"/>
  <c r="H1697" i="8"/>
  <c r="I1697" i="8"/>
  <c r="F1697" i="8"/>
  <c r="F2505" i="8"/>
  <c r="I2505" i="8"/>
  <c r="H2505" i="8"/>
  <c r="I821" i="8"/>
  <c r="H821" i="8"/>
  <c r="F821" i="8"/>
  <c r="H1221" i="8"/>
  <c r="I1221" i="8"/>
  <c r="F1221" i="8"/>
  <c r="I395" i="8"/>
  <c r="F395" i="8"/>
  <c r="H395" i="8"/>
  <c r="I438" i="8"/>
  <c r="H438" i="8"/>
  <c r="H1236" i="8"/>
  <c r="F1236" i="8"/>
  <c r="I1236" i="8"/>
  <c r="H1335" i="8"/>
  <c r="I1335" i="8" s="1"/>
  <c r="F1335" i="8"/>
  <c r="I2187" i="8"/>
  <c r="F2187" i="8"/>
  <c r="H2187" i="8"/>
  <c r="F2234" i="8"/>
  <c r="I2234" i="8"/>
  <c r="H2234" i="8"/>
  <c r="F2430" i="8"/>
  <c r="I2430" i="8"/>
  <c r="H2430" i="8"/>
  <c r="F2638" i="8"/>
  <c r="H2638" i="8"/>
  <c r="I2638" i="8"/>
  <c r="I2691" i="8"/>
  <c r="H2691" i="8"/>
  <c r="F2691" i="8"/>
  <c r="I2771" i="8"/>
  <c r="F2771" i="8"/>
  <c r="H2771" i="8"/>
  <c r="F2922" i="8"/>
  <c r="H2922" i="8"/>
  <c r="I2922" i="8"/>
  <c r="F526" i="8"/>
  <c r="I526" i="8"/>
  <c r="H526" i="8"/>
  <c r="H605" i="8"/>
  <c r="I605" i="8"/>
  <c r="F605" i="8"/>
  <c r="I776" i="8"/>
  <c r="H776" i="8"/>
  <c r="F776" i="8"/>
  <c r="H1478" i="8"/>
  <c r="F1478" i="8"/>
  <c r="I1478" i="8"/>
  <c r="F1603" i="8"/>
  <c r="I1603" i="8"/>
  <c r="H1603" i="8"/>
  <c r="F1642" i="8"/>
  <c r="I1642" i="8"/>
  <c r="H1642" i="8"/>
  <c r="H1654" i="8"/>
  <c r="F1654" i="8"/>
  <c r="I1654" i="8"/>
  <c r="I1733" i="8"/>
  <c r="F1733" i="8"/>
  <c r="H1733" i="8"/>
  <c r="I2259" i="8"/>
  <c r="F2259" i="8"/>
  <c r="H2259" i="8"/>
  <c r="I2330" i="8"/>
  <c r="H2330" i="8"/>
  <c r="F2330" i="8"/>
  <c r="H2720" i="8"/>
  <c r="I2720" i="8"/>
  <c r="I3190" i="8"/>
  <c r="H3190" i="8"/>
  <c r="F3190" i="8"/>
  <c r="H139" i="8"/>
  <c r="I139" i="8" s="1"/>
  <c r="F139" i="8"/>
  <c r="I454" i="8"/>
  <c r="F454" i="8"/>
  <c r="H454" i="8"/>
  <c r="H470" i="8"/>
  <c r="F470" i="8"/>
  <c r="I470" i="8"/>
  <c r="F629" i="8"/>
  <c r="I629" i="8"/>
  <c r="H629" i="8"/>
  <c r="F709" i="8"/>
  <c r="I709" i="8"/>
  <c r="H709" i="8"/>
  <c r="I732" i="8"/>
  <c r="H732" i="8"/>
  <c r="F732" i="8"/>
  <c r="F760" i="8"/>
  <c r="H760" i="8"/>
  <c r="I760" i="8"/>
  <c r="F1050" i="8"/>
  <c r="I1050" i="8"/>
  <c r="H1050" i="8"/>
  <c r="I1080" i="8"/>
  <c r="F1313" i="8"/>
  <c r="I1313" i="8"/>
  <c r="H1313" i="8"/>
  <c r="H1343" i="8"/>
  <c r="I1343" i="8"/>
  <c r="F1343" i="8"/>
  <c r="F1429" i="8"/>
  <c r="I1429" i="8"/>
  <c r="H1429" i="8"/>
  <c r="H1529" i="8"/>
  <c r="I1529" i="8"/>
  <c r="F1529" i="8"/>
  <c r="I2011" i="8"/>
  <c r="F2011" i="8"/>
  <c r="H2011" i="8"/>
  <c r="H2108" i="8"/>
  <c r="F2108" i="8"/>
  <c r="I2108" i="8"/>
  <c r="I2133" i="8"/>
  <c r="H2133" i="8"/>
  <c r="F2133" i="8"/>
  <c r="I2198" i="8"/>
  <c r="F2198" i="8"/>
  <c r="I2414" i="8"/>
  <c r="H2414" i="8"/>
  <c r="F2414" i="8"/>
  <c r="I2529" i="8"/>
  <c r="H2529" i="8"/>
  <c r="F2529" i="8"/>
  <c r="H2864" i="8"/>
  <c r="F2864" i="8"/>
  <c r="I2864" i="8"/>
  <c r="F2941" i="8"/>
  <c r="H2941" i="8"/>
  <c r="I2941" i="8"/>
  <c r="H3083" i="8"/>
  <c r="F3083" i="8"/>
  <c r="F403" i="8"/>
  <c r="H403" i="8"/>
  <c r="I403" i="8"/>
  <c r="I784" i="8"/>
  <c r="F784" i="8"/>
  <c r="H784" i="8"/>
  <c r="H1504" i="8"/>
  <c r="F1504" i="8"/>
  <c r="I1504" i="8"/>
  <c r="H1612" i="8"/>
  <c r="I1612" i="8"/>
  <c r="F1612" i="8"/>
  <c r="H1645" i="8"/>
  <c r="I1645" i="8"/>
  <c r="F1645" i="8"/>
  <c r="F1662" i="8"/>
  <c r="I1662" i="8"/>
  <c r="H1662" i="8"/>
  <c r="F1708" i="8"/>
  <c r="H1708" i="8"/>
  <c r="I1708" i="8"/>
  <c r="I1719" i="8"/>
  <c r="H1719" i="8"/>
  <c r="F1719" i="8"/>
  <c r="H2500" i="8"/>
  <c r="F2500" i="8"/>
  <c r="I2500" i="8"/>
  <c r="I2580" i="8"/>
  <c r="F2580" i="8"/>
  <c r="H2580" i="8"/>
  <c r="F2732" i="8"/>
  <c r="I2732" i="8"/>
  <c r="H2732" i="8"/>
  <c r="F3198" i="8"/>
  <c r="I3198" i="8"/>
  <c r="H3198" i="8"/>
  <c r="I613" i="8"/>
  <c r="H613" i="8"/>
  <c r="F613" i="8"/>
  <c r="I637" i="8"/>
  <c r="H637" i="8"/>
  <c r="F637" i="8"/>
  <c r="F693" i="8"/>
  <c r="H693" i="8"/>
  <c r="I693" i="8"/>
  <c r="F763" i="8"/>
  <c r="H763" i="8"/>
  <c r="I763" i="8"/>
  <c r="F1060" i="8"/>
  <c r="H1060" i="8"/>
  <c r="I1060" i="8"/>
  <c r="F1280" i="8"/>
  <c r="H1280" i="8"/>
  <c r="I1280" i="8"/>
  <c r="I1326" i="8"/>
  <c r="F1326" i="8"/>
  <c r="H1326" i="8"/>
  <c r="F1785" i="8"/>
  <c r="H1785" i="8"/>
  <c r="I1785" i="8"/>
  <c r="H2000" i="8"/>
  <c r="F2000" i="8"/>
  <c r="I2000" i="8"/>
  <c r="I2074" i="8"/>
  <c r="H2074" i="8"/>
  <c r="F2074" i="8"/>
  <c r="I2161" i="8"/>
  <c r="H2161" i="8"/>
  <c r="F2161" i="8"/>
  <c r="I2337" i="8"/>
  <c r="F2337" i="8"/>
  <c r="H2337" i="8"/>
  <c r="H2438" i="8"/>
  <c r="I2438" i="8"/>
  <c r="F2438" i="8"/>
  <c r="H2795" i="8"/>
  <c r="F2795" i="8"/>
  <c r="I2795" i="8"/>
  <c r="H2845" i="8"/>
  <c r="I2845" i="8"/>
  <c r="F2845" i="8"/>
  <c r="I2914" i="8"/>
  <c r="F2914" i="8"/>
  <c r="H2914" i="8"/>
  <c r="I3006" i="8"/>
  <c r="F3006" i="8"/>
  <c r="H3006" i="8"/>
  <c r="I3124" i="8"/>
  <c r="H3124" i="8"/>
  <c r="F3124" i="8"/>
  <c r="I3169" i="8"/>
  <c r="H3169" i="8"/>
  <c r="F3169" i="8"/>
  <c r="H497" i="8"/>
  <c r="I497" i="8"/>
  <c r="F497" i="8"/>
  <c r="H542" i="8"/>
  <c r="I542" i="8"/>
  <c r="F542" i="8"/>
  <c r="I737" i="8"/>
  <c r="F737" i="8"/>
  <c r="H737" i="8"/>
  <c r="H795" i="8"/>
  <c r="F795" i="8"/>
  <c r="I795" i="8"/>
  <c r="F1023" i="8"/>
  <c r="H1023" i="8"/>
  <c r="I1023" i="8"/>
  <c r="F1459" i="8"/>
  <c r="H1459" i="8"/>
  <c r="I1459" i="8"/>
  <c r="H1595" i="8"/>
  <c r="F1595" i="8"/>
  <c r="I1595" i="8"/>
  <c r="F1730" i="8"/>
  <c r="I1730" i="8"/>
  <c r="H1730" i="8"/>
  <c r="F2484" i="8"/>
  <c r="I2484" i="8"/>
  <c r="H2484" i="8"/>
  <c r="I2712" i="8"/>
  <c r="H2712" i="8"/>
  <c r="F2712" i="8"/>
  <c r="H2758" i="8"/>
  <c r="F2758" i="8"/>
  <c r="I2758" i="8"/>
  <c r="H2839" i="8"/>
  <c r="I2839" i="8"/>
  <c r="F2839" i="8"/>
  <c r="F3216" i="8"/>
  <c r="H3216" i="8"/>
  <c r="I3216" i="8"/>
  <c r="I387" i="8"/>
  <c r="F387" i="8"/>
  <c r="H387" i="8"/>
  <c r="I462" i="8"/>
  <c r="F462" i="8"/>
  <c r="H462" i="8"/>
  <c r="I621" i="8"/>
  <c r="F621" i="8"/>
  <c r="H621" i="8"/>
  <c r="H766" i="8"/>
  <c r="F766" i="8"/>
  <c r="F1198" i="8"/>
  <c r="I1198" i="8"/>
  <c r="H1198" i="8"/>
  <c r="H1226" i="8"/>
  <c r="I1226" i="8"/>
  <c r="F1226" i="8"/>
  <c r="H1305" i="8"/>
  <c r="F1305" i="8"/>
  <c r="H1556" i="8"/>
  <c r="F1556" i="8"/>
  <c r="I1556" i="8"/>
  <c r="F1648" i="8"/>
  <c r="H1648" i="8"/>
  <c r="I1648" i="8"/>
  <c r="H1689" i="8"/>
  <c r="I1689" i="8"/>
  <c r="F1689" i="8"/>
  <c r="F1760" i="8"/>
  <c r="I1760" i="8"/>
  <c r="F1793" i="8"/>
  <c r="H1793" i="8"/>
  <c r="I1793" i="8"/>
  <c r="F2008" i="8"/>
  <c r="H2008" i="8"/>
  <c r="I2008" i="8"/>
  <c r="I2116" i="8"/>
  <c r="H2116" i="8"/>
  <c r="F2116" i="8"/>
  <c r="H2170" i="8"/>
  <c r="I2170" i="8"/>
  <c r="F2170" i="8"/>
  <c r="F2220" i="8"/>
  <c r="I2220" i="8"/>
  <c r="H2220" i="8"/>
  <c r="H2390" i="8"/>
  <c r="F2390" i="8"/>
  <c r="I2390" i="8"/>
  <c r="F2803" i="8"/>
  <c r="H2803" i="8"/>
  <c r="I2803" i="8"/>
  <c r="F2848" i="8"/>
  <c r="I2848" i="8"/>
  <c r="H2848" i="8"/>
  <c r="H3080" i="8"/>
  <c r="I3080" i="8"/>
  <c r="F3080" i="8"/>
  <c r="I3142" i="8"/>
  <c r="H3142" i="8"/>
  <c r="F3142" i="8"/>
  <c r="I504" i="8"/>
  <c r="F504" i="8"/>
  <c r="H504" i="8"/>
  <c r="H558" i="8"/>
  <c r="I558" i="8"/>
  <c r="F558" i="8"/>
  <c r="I669" i="8"/>
  <c r="H669" i="8"/>
  <c r="F669" i="8"/>
  <c r="I839" i="8"/>
  <c r="H839" i="8"/>
  <c r="F839" i="8"/>
  <c r="H1470" i="8"/>
  <c r="I1470" i="8"/>
  <c r="F1470" i="8"/>
  <c r="F1515" i="8"/>
  <c r="H1515" i="8"/>
  <c r="I1515" i="8"/>
  <c r="H1639" i="8"/>
  <c r="F1639" i="8"/>
  <c r="I1639" i="8"/>
  <c r="F1665" i="8"/>
  <c r="H1665" i="8"/>
  <c r="I1665" i="8"/>
  <c r="I1716" i="8"/>
  <c r="H1716" i="8"/>
  <c r="F1716" i="8"/>
  <c r="F2098" i="8"/>
  <c r="H2098" i="8"/>
  <c r="I2098" i="8"/>
  <c r="I2243" i="8"/>
  <c r="F2243" i="8"/>
  <c r="H2322" i="8"/>
  <c r="I2322" i="8"/>
  <c r="F2322" i="8"/>
  <c r="I2449" i="8"/>
  <c r="H2449" i="8"/>
  <c r="F2449" i="8"/>
  <c r="I2521" i="8"/>
  <c r="H2521" i="8"/>
  <c r="F2521" i="8"/>
  <c r="F2564" i="8"/>
  <c r="I2564" i="8"/>
  <c r="H2564" i="8"/>
  <c r="H3177" i="8"/>
  <c r="F3177" i="8"/>
  <c r="I3177" i="8"/>
  <c r="F2325" i="8"/>
  <c r="F1600" i="8"/>
  <c r="H1600" i="8"/>
  <c r="I1600" i="8"/>
  <c r="H1918" i="8"/>
  <c r="H491" i="8"/>
  <c r="F1918" i="8"/>
  <c r="H2669" i="8"/>
  <c r="F830" i="8"/>
  <c r="I491" i="8"/>
  <c r="H830" i="8"/>
  <c r="H1516" i="8"/>
  <c r="H2518" i="8"/>
  <c r="I2518" i="8"/>
  <c r="F2518" i="8"/>
  <c r="I2347" i="8"/>
  <c r="H2347" i="8"/>
  <c r="F2347" i="8"/>
  <c r="H1303" i="8"/>
  <c r="F1303" i="8"/>
  <c r="I1303" i="8"/>
  <c r="F1564" i="8"/>
  <c r="H1564" i="8"/>
  <c r="I1564" i="8"/>
  <c r="I2371" i="8"/>
  <c r="H2371" i="8"/>
  <c r="F2371" i="8"/>
  <c r="I1216" i="8"/>
  <c r="F1216" i="8"/>
  <c r="H1216" i="8"/>
  <c r="F2379" i="8"/>
  <c r="I2379" i="8"/>
  <c r="H2379" i="8"/>
  <c r="F480" i="8"/>
  <c r="H480" i="8"/>
  <c r="I480" i="8"/>
  <c r="H2141" i="8"/>
  <c r="F2141" i="8"/>
  <c r="I2141" i="8"/>
  <c r="H1956" i="8"/>
  <c r="I1956" i="8"/>
  <c r="F1956" i="8"/>
  <c r="F1532" i="8"/>
  <c r="I1532" i="8"/>
  <c r="H1532" i="8"/>
  <c r="H141" i="8"/>
  <c r="I141" i="8" s="1"/>
  <c r="F141" i="8"/>
  <c r="I1436" i="8"/>
  <c r="H1436" i="8"/>
  <c r="F1436" i="8"/>
  <c r="H2016" i="8"/>
  <c r="I2016" i="8"/>
  <c r="F2016" i="8"/>
  <c r="H1579" i="8"/>
  <c r="I1579" i="8"/>
  <c r="F1579" i="8"/>
  <c r="F2256" i="8"/>
  <c r="H2256" i="8"/>
  <c r="I2256" i="8"/>
  <c r="F1005" i="8"/>
  <c r="I1005" i="8"/>
  <c r="H1005" i="8"/>
  <c r="F2276" i="8"/>
  <c r="H2276" i="8"/>
  <c r="I2276" i="8"/>
  <c r="F636" i="8"/>
  <c r="I636" i="8"/>
  <c r="H636" i="8"/>
  <c r="H2672" i="8"/>
  <c r="I2672" i="8"/>
  <c r="F2672" i="8"/>
  <c r="F1561" i="8"/>
  <c r="H1561" i="8"/>
  <c r="I1561" i="8"/>
  <c r="F2533" i="8"/>
  <c r="H2533" i="8"/>
  <c r="I2533" i="8"/>
  <c r="H1310" i="8"/>
  <c r="I1310" i="8"/>
  <c r="F1310" i="8"/>
  <c r="I1101" i="8"/>
  <c r="H1101" i="8"/>
  <c r="F1101" i="8"/>
  <c r="F2610" i="8"/>
  <c r="I2610" i="8"/>
  <c r="H2610" i="8"/>
  <c r="H2177" i="8"/>
  <c r="F2177" i="8"/>
  <c r="I2177" i="8"/>
  <c r="I2261" i="8"/>
  <c r="H2261" i="8"/>
  <c r="F2261" i="8"/>
  <c r="H1214" i="8"/>
  <c r="F1214" i="8"/>
  <c r="I1214" i="8"/>
  <c r="F2124" i="8"/>
  <c r="H2124" i="8"/>
  <c r="I2124" i="8"/>
  <c r="I2139" i="8"/>
  <c r="F2139" i="8"/>
  <c r="H2139" i="8"/>
  <c r="F2555" i="8"/>
  <c r="H2555" i="8"/>
  <c r="I2555" i="8"/>
  <c r="H2345" i="8"/>
  <c r="I2345" i="8"/>
  <c r="F2345" i="8"/>
  <c r="F2575" i="8"/>
  <c r="I2575" i="8"/>
  <c r="H2575" i="8"/>
  <c r="I1966" i="8"/>
  <c r="F1966" i="8"/>
  <c r="H1966" i="8"/>
  <c r="I2588" i="8"/>
  <c r="F2588" i="8"/>
  <c r="H2588" i="8"/>
  <c r="F1946" i="8"/>
  <c r="I1946" i="8"/>
  <c r="H1946" i="8"/>
  <c r="H2541" i="8"/>
  <c r="I2541" i="8"/>
  <c r="F2541" i="8"/>
  <c r="F2670" i="8"/>
  <c r="I2670" i="8"/>
  <c r="H2670" i="8"/>
  <c r="I2151" i="8"/>
  <c r="F2151" i="8"/>
  <c r="H2151" i="8"/>
  <c r="I2648" i="8"/>
  <c r="F2648" i="8"/>
  <c r="H2648" i="8"/>
  <c r="F2028" i="8"/>
  <c r="I2028" i="8"/>
  <c r="H2028" i="8"/>
  <c r="I2146" i="8"/>
  <c r="H2146" i="8"/>
  <c r="F2146" i="8"/>
  <c r="H2589" i="8"/>
  <c r="I2589" i="8"/>
  <c r="F2589" i="8"/>
  <c r="I2298" i="8"/>
  <c r="H2298" i="8"/>
  <c r="F2298" i="8"/>
  <c r="H3238" i="8"/>
  <c r="I3238" i="8"/>
  <c r="F3238" i="8"/>
  <c r="H2470" i="8"/>
  <c r="I2470" i="8"/>
  <c r="F2470" i="8"/>
  <c r="F2925" i="8"/>
  <c r="I2925" i="8"/>
  <c r="H2925" i="8"/>
  <c r="I2110" i="8"/>
  <c r="F2110" i="8"/>
  <c r="H2110" i="8"/>
  <c r="H1964" i="8"/>
  <c r="F1964" i="8"/>
  <c r="I1964" i="8"/>
  <c r="F2262" i="8"/>
  <c r="I2262" i="8"/>
  <c r="H2262" i="8"/>
  <c r="I2119" i="8"/>
  <c r="H2119" i="8"/>
  <c r="F2119" i="8"/>
  <c r="I2284" i="8"/>
  <c r="F2284" i="8"/>
  <c r="H2284" i="8"/>
  <c r="I2111" i="8"/>
  <c r="F2111" i="8"/>
  <c r="H2111" i="8"/>
  <c r="I2275" i="8"/>
  <c r="F2275" i="8"/>
  <c r="H2275" i="8"/>
  <c r="H840" i="8"/>
  <c r="F840" i="8"/>
  <c r="I840" i="8"/>
  <c r="F1635" i="8"/>
  <c r="I1635" i="8"/>
  <c r="H1635" i="8"/>
  <c r="I2137" i="8"/>
  <c r="H2137" i="8"/>
  <c r="F2137" i="8"/>
  <c r="F2052" i="8"/>
  <c r="H2052" i="8"/>
  <c r="I2052" i="8"/>
  <c r="H2020" i="8"/>
  <c r="F2020" i="8"/>
  <c r="I2020" i="8"/>
  <c r="I1592" i="8"/>
  <c r="F1592" i="8"/>
  <c r="H1592" i="8"/>
  <c r="H1007" i="8"/>
  <c r="I1007" i="8"/>
  <c r="F1007" i="8"/>
  <c r="F1805" i="8"/>
  <c r="H1805" i="8"/>
  <c r="I1805" i="8"/>
  <c r="I2852" i="8"/>
  <c r="H2852" i="8"/>
  <c r="F2852" i="8"/>
  <c r="H2055" i="8"/>
  <c r="I2055" i="8"/>
  <c r="F2055" i="8"/>
  <c r="I1468" i="8"/>
  <c r="F1468" i="8"/>
  <c r="H1468" i="8"/>
  <c r="I623" i="8"/>
  <c r="F623" i="8"/>
  <c r="H623" i="8"/>
  <c r="I2734" i="8"/>
  <c r="F2734" i="8"/>
  <c r="H2734" i="8"/>
  <c r="I500" i="8"/>
  <c r="H500" i="8"/>
  <c r="F500" i="8"/>
  <c r="H1390" i="8"/>
  <c r="F1390" i="8"/>
  <c r="I1390" i="8"/>
  <c r="F1442" i="8"/>
  <c r="H1442" i="8"/>
  <c r="I1442" i="8"/>
  <c r="F2168" i="8"/>
  <c r="H2168" i="8"/>
  <c r="I2168" i="8"/>
  <c r="H1296" i="8"/>
  <c r="I1296" i="8" s="1"/>
  <c r="F1296" i="8"/>
  <c r="F3066" i="8"/>
  <c r="I3066" i="8"/>
  <c r="H3066" i="8"/>
  <c r="I2576" i="8"/>
  <c r="H2576" i="8"/>
  <c r="F2576" i="8"/>
  <c r="H2239" i="8"/>
  <c r="F2239" i="8"/>
  <c r="I2239" i="8"/>
  <c r="I1399" i="8"/>
  <c r="F1399" i="8"/>
  <c r="H1399" i="8"/>
  <c r="F796" i="8"/>
  <c r="H796" i="8"/>
  <c r="I796" i="8"/>
  <c r="F2475" i="8"/>
  <c r="H2475" i="8"/>
  <c r="I2475" i="8"/>
  <c r="F2977" i="8"/>
  <c r="H2977" i="8"/>
  <c r="I2977" i="8"/>
  <c r="H1912" i="8"/>
  <c r="I1912" i="8"/>
  <c r="F1912" i="8"/>
  <c r="F3099" i="8"/>
  <c r="I3099" i="8"/>
  <c r="H3099" i="8"/>
  <c r="H726" i="8"/>
  <c r="F726" i="8"/>
  <c r="I726" i="8"/>
  <c r="H3213" i="8"/>
  <c r="F3213" i="8"/>
  <c r="I3213" i="8"/>
  <c r="F559" i="8"/>
  <c r="H559" i="8"/>
  <c r="I559" i="8"/>
  <c r="H2466" i="8"/>
  <c r="I2466" i="8"/>
  <c r="F2466" i="8"/>
  <c r="H612" i="8"/>
  <c r="I612" i="8"/>
  <c r="F612" i="8"/>
  <c r="F2001" i="8"/>
  <c r="H2001" i="8"/>
  <c r="I2001" i="8"/>
  <c r="H1505" i="8"/>
  <c r="F1505" i="8"/>
  <c r="I1505" i="8"/>
  <c r="F1629" i="8"/>
  <c r="H1629" i="8"/>
  <c r="I1629" i="8"/>
  <c r="I591" i="8"/>
  <c r="H591" i="8"/>
  <c r="F591" i="8"/>
  <c r="F3129" i="8"/>
  <c r="I3129" i="8"/>
  <c r="H3129" i="8"/>
  <c r="I2625" i="8"/>
  <c r="H2625" i="8"/>
  <c r="F2625" i="8"/>
  <c r="I1054" i="8"/>
  <c r="F1054" i="8"/>
  <c r="H1054" i="8"/>
  <c r="I2165" i="8"/>
  <c r="H2165" i="8"/>
  <c r="F2165" i="8"/>
  <c r="F2826" i="8"/>
  <c r="H2826" i="8"/>
  <c r="I2826" i="8"/>
  <c r="H469" i="8"/>
  <c r="I469" i="8"/>
  <c r="F469" i="8"/>
  <c r="I2540" i="8"/>
  <c r="F2540" i="8"/>
  <c r="H2540" i="8"/>
  <c r="F3242" i="8"/>
  <c r="I3242" i="8"/>
  <c r="H3242" i="8"/>
  <c r="I2066" i="8"/>
  <c r="H2066" i="8"/>
  <c r="F2066" i="8"/>
  <c r="H1584" i="8"/>
  <c r="I1584" i="8"/>
  <c r="F1584" i="8"/>
  <c r="I1987" i="8"/>
  <c r="H1987" i="8"/>
  <c r="F1987" i="8"/>
  <c r="H1428" i="8"/>
  <c r="I1428" i="8"/>
  <c r="F1428" i="8"/>
  <c r="H2077" i="8"/>
  <c r="F2077" i="8"/>
  <c r="I2077" i="8"/>
  <c r="I2242" i="8"/>
  <c r="H2242" i="8"/>
  <c r="F2242" i="8"/>
  <c r="I1759" i="8"/>
  <c r="H1759" i="8"/>
  <c r="F1759" i="8"/>
  <c r="H2229" i="8"/>
  <c r="F2229" i="8"/>
  <c r="I2229" i="8"/>
  <c r="H3184" i="8"/>
  <c r="I3184" i="8"/>
  <c r="F3184" i="8"/>
  <c r="F2573" i="8"/>
  <c r="I2573" i="8"/>
  <c r="H2573" i="8"/>
  <c r="H2835" i="8"/>
  <c r="F2835" i="8"/>
  <c r="I2835" i="8"/>
  <c r="I1799" i="8"/>
  <c r="H1799" i="8"/>
  <c r="F1799" i="8"/>
  <c r="H3134" i="8"/>
  <c r="F3134" i="8"/>
  <c r="I3134" i="8"/>
  <c r="I1671" i="8"/>
  <c r="F1671" i="8"/>
  <c r="H1671" i="8"/>
  <c r="F3113" i="8"/>
  <c r="H3113" i="8"/>
  <c r="I3113" i="8"/>
  <c r="F3195" i="8"/>
  <c r="H3195" i="8"/>
  <c r="I3195" i="8"/>
  <c r="I550" i="8"/>
  <c r="F550" i="8"/>
  <c r="H550" i="8"/>
  <c r="H3203" i="8"/>
  <c r="F3203" i="8"/>
  <c r="I3203" i="8"/>
  <c r="F1981" i="8"/>
  <c r="I1981" i="8"/>
  <c r="H1981" i="8"/>
  <c r="F681" i="8"/>
  <c r="H681" i="8"/>
  <c r="I681" i="8"/>
  <c r="I1327" i="8"/>
  <c r="H1327" i="8"/>
  <c r="F1327" i="8"/>
  <c r="H3167" i="8"/>
  <c r="I3167" i="8"/>
  <c r="F3167" i="8"/>
  <c r="H2301" i="8"/>
  <c r="I2301" i="8"/>
  <c r="F2301" i="8"/>
  <c r="H2711" i="8"/>
  <c r="I2711" i="8"/>
  <c r="F2711" i="8"/>
  <c r="H631" i="8"/>
  <c r="F631" i="8"/>
  <c r="I631" i="8"/>
  <c r="F1656" i="8"/>
  <c r="I1656" i="8"/>
  <c r="H1656" i="8"/>
  <c r="H689" i="8"/>
  <c r="F689" i="8"/>
  <c r="I689" i="8"/>
  <c r="I1973" i="8"/>
  <c r="H1973" i="8"/>
  <c r="F1973" i="8"/>
  <c r="F3150" i="8"/>
  <c r="H3150" i="8"/>
  <c r="I3150" i="8"/>
  <c r="I739" i="8"/>
  <c r="F739" i="8"/>
  <c r="H739" i="8"/>
  <c r="I675" i="8"/>
  <c r="F675" i="8"/>
  <c r="H675" i="8"/>
  <c r="F2921" i="8"/>
  <c r="H2921" i="8"/>
  <c r="I2921" i="8"/>
  <c r="F474" i="8"/>
  <c r="I474" i="8"/>
  <c r="H474" i="8"/>
  <c r="H663" i="8"/>
  <c r="I663" i="8"/>
  <c r="F663" i="8"/>
  <c r="H788" i="8"/>
  <c r="I788" i="8"/>
  <c r="F788" i="8"/>
  <c r="F1537" i="8"/>
  <c r="I1537" i="8"/>
  <c r="H1537" i="8"/>
  <c r="F1679" i="8"/>
  <c r="H1679" i="8"/>
  <c r="I1679" i="8"/>
  <c r="F1710" i="8"/>
  <c r="I1710" i="8"/>
  <c r="H1710" i="8"/>
  <c r="I2128" i="8"/>
  <c r="F2128" i="8"/>
  <c r="H2128" i="8"/>
  <c r="I2287" i="8"/>
  <c r="H2287" i="8"/>
  <c r="F2287" i="8"/>
  <c r="H2497" i="8"/>
  <c r="I2497" i="8"/>
  <c r="F2497" i="8"/>
  <c r="I2913" i="8"/>
  <c r="H2913" i="8"/>
  <c r="F2913" i="8"/>
  <c r="I1351" i="8"/>
  <c r="H1351" i="8"/>
  <c r="F1351" i="8"/>
  <c r="H1935" i="8"/>
  <c r="F1935" i="8"/>
  <c r="I1935" i="8"/>
  <c r="F769" i="8"/>
  <c r="I769" i="8"/>
  <c r="H769" i="8"/>
  <c r="I2134" i="8"/>
  <c r="H2134" i="8"/>
  <c r="F2134" i="8"/>
  <c r="H2460" i="8"/>
  <c r="I2460" i="8"/>
  <c r="F2460" i="8"/>
  <c r="H2510" i="8"/>
  <c r="F2510" i="8"/>
  <c r="I2510" i="8"/>
  <c r="F2633" i="8"/>
  <c r="H2633" i="8"/>
  <c r="I2633" i="8"/>
  <c r="H666" i="8"/>
  <c r="I666" i="8"/>
  <c r="F666" i="8"/>
  <c r="F1682" i="8"/>
  <c r="H1682" i="8"/>
  <c r="I1682" i="8"/>
  <c r="I453" i="8"/>
  <c r="F453" i="8"/>
  <c r="H453" i="8"/>
  <c r="I615" i="8"/>
  <c r="F615" i="8"/>
  <c r="H615" i="8"/>
  <c r="F1638" i="8"/>
  <c r="I1638" i="8"/>
  <c r="H1638" i="8"/>
  <c r="F2007" i="8"/>
  <c r="H2007" i="8"/>
  <c r="I2007" i="8"/>
  <c r="H2140" i="8"/>
  <c r="F2140" i="8"/>
  <c r="I2140" i="8"/>
  <c r="F2264" i="8"/>
  <c r="I2264" i="8"/>
  <c r="H2264" i="8"/>
  <c r="H2472" i="8"/>
  <c r="I2472" i="8"/>
  <c r="F2472" i="8"/>
  <c r="F2661" i="8"/>
  <c r="H2661" i="8"/>
  <c r="I2661" i="8"/>
  <c r="H1685" i="8"/>
  <c r="F1685" i="8"/>
  <c r="I1685" i="8"/>
  <c r="I77" i="8"/>
  <c r="H77" i="8"/>
  <c r="F77" i="8"/>
  <c r="F711" i="8"/>
  <c r="I711" i="8"/>
  <c r="H711" i="8"/>
  <c r="H785" i="8"/>
  <c r="I785" i="8"/>
  <c r="F785" i="8"/>
  <c r="H1314" i="8"/>
  <c r="I1314" i="8"/>
  <c r="F1314" i="8"/>
  <c r="F1487" i="8"/>
  <c r="H1487" i="8"/>
  <c r="I1487" i="8"/>
  <c r="I1531" i="8"/>
  <c r="F1531" i="8"/>
  <c r="H1531" i="8"/>
  <c r="H1641" i="8"/>
  <c r="F1641" i="8"/>
  <c r="I1641" i="8"/>
  <c r="H2036" i="8"/>
  <c r="F2036" i="8"/>
  <c r="I2036" i="8"/>
  <c r="F2281" i="8"/>
  <c r="I2281" i="8"/>
  <c r="H2281" i="8"/>
  <c r="H2387" i="8"/>
  <c r="F2387" i="8"/>
  <c r="I2387" i="8"/>
  <c r="I2481" i="8"/>
  <c r="F2481" i="8"/>
  <c r="H2481" i="8"/>
  <c r="H3181" i="8"/>
  <c r="F3181" i="8"/>
  <c r="I3181" i="8"/>
  <c r="I433" i="8"/>
  <c r="H433" i="8"/>
  <c r="F433" i="8"/>
  <c r="H482" i="8"/>
  <c r="F482" i="8"/>
  <c r="I482" i="8"/>
  <c r="F532" i="8"/>
  <c r="H532" i="8"/>
  <c r="I532" i="8"/>
  <c r="F547" i="8"/>
  <c r="H547" i="8"/>
  <c r="I547" i="8"/>
  <c r="F609" i="8"/>
  <c r="H609" i="8"/>
  <c r="I609" i="8"/>
  <c r="H754" i="8"/>
  <c r="F754" i="8"/>
  <c r="I754" i="8"/>
  <c r="F1015" i="8"/>
  <c r="H1015" i="8"/>
  <c r="I1015" i="8"/>
  <c r="F1385" i="8"/>
  <c r="I1385" i="8"/>
  <c r="H1385" i="8"/>
  <c r="I1402" i="8"/>
  <c r="F1402" i="8"/>
  <c r="H1402" i="8"/>
  <c r="I1519" i="8"/>
  <c r="F1519" i="8"/>
  <c r="H1519" i="8"/>
  <c r="I1615" i="8"/>
  <c r="H1615" i="8"/>
  <c r="F1615" i="8"/>
  <c r="H1644" i="8"/>
  <c r="F1644" i="8"/>
  <c r="I1644" i="8"/>
  <c r="H1650" i="8"/>
  <c r="F1650" i="8"/>
  <c r="I1650" i="8"/>
  <c r="I1704" i="8"/>
  <c r="H1704" i="8"/>
  <c r="F1704" i="8"/>
  <c r="H1751" i="8"/>
  <c r="I1751" i="8"/>
  <c r="F1751" i="8"/>
  <c r="H1938" i="8"/>
  <c r="F1938" i="8"/>
  <c r="I1938" i="8"/>
  <c r="H1984" i="8"/>
  <c r="I1984" i="8"/>
  <c r="F1984" i="8"/>
  <c r="H2086" i="8"/>
  <c r="F2086" i="8"/>
  <c r="I2086" i="8"/>
  <c r="I2143" i="8"/>
  <c r="H2143" i="8"/>
  <c r="F2143" i="8"/>
  <c r="F2153" i="8"/>
  <c r="H2153" i="8"/>
  <c r="I2153" i="8"/>
  <c r="H2223" i="8"/>
  <c r="I2223" i="8"/>
  <c r="F2223" i="8"/>
  <c r="I2309" i="8"/>
  <c r="H2309" i="8"/>
  <c r="F2309" i="8"/>
  <c r="I2312" i="8"/>
  <c r="H2312" i="8"/>
  <c r="F2312" i="8"/>
  <c r="I2331" i="8"/>
  <c r="F2331" i="8"/>
  <c r="H2331" i="8"/>
  <c r="H2451" i="8"/>
  <c r="F2451" i="8"/>
  <c r="I2451" i="8"/>
  <c r="H2454" i="8"/>
  <c r="I2454" i="8"/>
  <c r="F2454" i="8"/>
  <c r="H2489" i="8"/>
  <c r="F2489" i="8"/>
  <c r="I2489" i="8"/>
  <c r="I2543" i="8"/>
  <c r="F2543" i="8"/>
  <c r="H2543" i="8"/>
  <c r="F61" i="8"/>
  <c r="I61" i="8"/>
  <c r="H61" i="8"/>
  <c r="H398" i="8"/>
  <c r="I398" i="8"/>
  <c r="F398" i="8"/>
  <c r="H409" i="8"/>
  <c r="I409" i="8"/>
  <c r="F418" i="8"/>
  <c r="H418" i="8"/>
  <c r="I418" i="8"/>
  <c r="I425" i="8"/>
  <c r="F425" i="8"/>
  <c r="H425" i="8"/>
  <c r="I450" i="8"/>
  <c r="H450" i="8"/>
  <c r="F450" i="8"/>
  <c r="F461" i="8"/>
  <c r="I461" i="8"/>
  <c r="H461" i="8"/>
  <c r="I479" i="8"/>
  <c r="F479" i="8"/>
  <c r="H479" i="8"/>
  <c r="I490" i="8"/>
  <c r="F490" i="8"/>
  <c r="H490" i="8"/>
  <c r="H493" i="8"/>
  <c r="I493" i="8"/>
  <c r="F493" i="8"/>
  <c r="F601" i="8"/>
  <c r="I601" i="8"/>
  <c r="H645" i="8"/>
  <c r="F645" i="8"/>
  <c r="H703" i="8"/>
  <c r="F703" i="8"/>
  <c r="I703" i="8"/>
  <c r="H744" i="8"/>
  <c r="I744" i="8"/>
  <c r="F744" i="8"/>
  <c r="I782" i="8"/>
  <c r="H782" i="8"/>
  <c r="F782" i="8"/>
  <c r="F812" i="8"/>
  <c r="I812" i="8"/>
  <c r="H812" i="8"/>
  <c r="I822" i="8"/>
  <c r="H822" i="8"/>
  <c r="F822" i="8"/>
  <c r="H944" i="8"/>
  <c r="I944" i="8" s="1"/>
  <c r="F944" i="8"/>
  <c r="I1192" i="8"/>
  <c r="F1192" i="8"/>
  <c r="H1192" i="8"/>
  <c r="I1200" i="8"/>
  <c r="H1200" i="8"/>
  <c r="F1200" i="8"/>
  <c r="I1222" i="8"/>
  <c r="H1222" i="8"/>
  <c r="F1222" i="8"/>
  <c r="F1227" i="8"/>
  <c r="H1227" i="8"/>
  <c r="I1227" i="8"/>
  <c r="H1244" i="8"/>
  <c r="I1244" i="8"/>
  <c r="F1244" i="8"/>
  <c r="H1405" i="8"/>
  <c r="F1405" i="8"/>
  <c r="I1405" i="8"/>
  <c r="H1479" i="8"/>
  <c r="I1479" i="8"/>
  <c r="F1479" i="8"/>
  <c r="I1522" i="8"/>
  <c r="H1522" i="8"/>
  <c r="F1522" i="8"/>
  <c r="F1578" i="8"/>
  <c r="I1578" i="8"/>
  <c r="H1578" i="8"/>
  <c r="H1693" i="8"/>
  <c r="F1693" i="8"/>
  <c r="I1693" i="8"/>
  <c r="F1724" i="8"/>
  <c r="H1724" i="8"/>
  <c r="I1724" i="8"/>
  <c r="F1727" i="8"/>
  <c r="H1727" i="8"/>
  <c r="I1727" i="8"/>
  <c r="F1762" i="8"/>
  <c r="I1762" i="8"/>
  <c r="H1762" i="8"/>
  <c r="H1768" i="8"/>
  <c r="F1768" i="8"/>
  <c r="I1768" i="8"/>
  <c r="F1774" i="8"/>
  <c r="H1774" i="8"/>
  <c r="I1774" i="8"/>
  <c r="F1791" i="8"/>
  <c r="I1791" i="8"/>
  <c r="H1791" i="8"/>
  <c r="I1990" i="8"/>
  <c r="H1990" i="8"/>
  <c r="F1990" i="8"/>
  <c r="H2080" i="8"/>
  <c r="F2080" i="8"/>
  <c r="I2080" i="8"/>
  <c r="F2091" i="8"/>
  <c r="H2091" i="8"/>
  <c r="I2091" i="8"/>
  <c r="I2112" i="8"/>
  <c r="F2112" i="8"/>
  <c r="H2112" i="8"/>
  <c r="H2121" i="8"/>
  <c r="I2121" i="8"/>
  <c r="F2121" i="8"/>
  <c r="H2159" i="8"/>
  <c r="F2159" i="8"/>
  <c r="I2159" i="8"/>
  <c r="F2207" i="8"/>
  <c r="H2207" i="8"/>
  <c r="I2207" i="8"/>
  <c r="H2226" i="8"/>
  <c r="I2226" i="8"/>
  <c r="F2226" i="8"/>
  <c r="I2317" i="8"/>
  <c r="F2317" i="8"/>
  <c r="H2317" i="8"/>
  <c r="H2344" i="8"/>
  <c r="I2344" i="8"/>
  <c r="F2344" i="8"/>
  <c r="H2353" i="8"/>
  <c r="I2353" i="8"/>
  <c r="F2353" i="8"/>
  <c r="F2359" i="8"/>
  <c r="H2359" i="8"/>
  <c r="I2359" i="8"/>
  <c r="H2367" i="8"/>
  <c r="I2367" i="8"/>
  <c r="F2367" i="8"/>
  <c r="H2395" i="8"/>
  <c r="I2395" i="8"/>
  <c r="F2395" i="8"/>
  <c r="I2418" i="8"/>
  <c r="H2418" i="8"/>
  <c r="F2418" i="8"/>
  <c r="H2426" i="8"/>
  <c r="F2426" i="8"/>
  <c r="I2426" i="8"/>
  <c r="I2434" i="8"/>
  <c r="H2434" i="8"/>
  <c r="F2434" i="8"/>
  <c r="I2442" i="8"/>
  <c r="F2442" i="8"/>
  <c r="H2442" i="8"/>
  <c r="F2526" i="8"/>
  <c r="H2526" i="8"/>
  <c r="I2526" i="8"/>
  <c r="F2537" i="8"/>
  <c r="I2537" i="8"/>
  <c r="H2537" i="8"/>
  <c r="H2584" i="8"/>
  <c r="F2584" i="8"/>
  <c r="I2584" i="8"/>
  <c r="I2675" i="8"/>
  <c r="H2675" i="8"/>
  <c r="F2675" i="8"/>
  <c r="F2699" i="8"/>
  <c r="I2699" i="8"/>
  <c r="H2699" i="8"/>
  <c r="H2716" i="8"/>
  <c r="F2716" i="8"/>
  <c r="I2716" i="8"/>
  <c r="I2719" i="8"/>
  <c r="H2719" i="8"/>
  <c r="F2719" i="8"/>
  <c r="F2739" i="8"/>
  <c r="I2739" i="8"/>
  <c r="H2739" i="8"/>
  <c r="F2792" i="8"/>
  <c r="I2792" i="8"/>
  <c r="H2792" i="8"/>
  <c r="I2809" i="8"/>
  <c r="H2809" i="8"/>
  <c r="F2809" i="8"/>
  <c r="H2863" i="8"/>
  <c r="F2863" i="8"/>
  <c r="I2863" i="8"/>
  <c r="I2956" i="8"/>
  <c r="H2956" i="8"/>
  <c r="F2956" i="8"/>
  <c r="F3009" i="8"/>
  <c r="I3009" i="8"/>
  <c r="H3009" i="8"/>
  <c r="F3153" i="8"/>
  <c r="H3153" i="8"/>
  <c r="I3153" i="8"/>
  <c r="F390" i="8"/>
  <c r="I390" i="8"/>
  <c r="H390" i="8"/>
  <c r="H804" i="8"/>
  <c r="I804" i="8"/>
  <c r="H1027" i="8"/>
  <c r="F1027" i="8"/>
  <c r="F1299" i="8"/>
  <c r="H1299" i="8"/>
  <c r="I1299" i="8"/>
  <c r="I1659" i="8"/>
  <c r="F1659" i="8"/>
  <c r="F2044" i="8"/>
  <c r="I2044" i="8"/>
  <c r="H2044" i="8"/>
  <c r="H2167" i="8"/>
  <c r="F2167" i="8"/>
  <c r="I2167" i="8"/>
  <c r="F2231" i="8"/>
  <c r="H2231" i="8"/>
  <c r="I2231" i="8"/>
  <c r="H2343" i="8"/>
  <c r="I2343" i="8"/>
  <c r="F2343" i="8"/>
  <c r="F2456" i="8"/>
  <c r="H2456" i="8"/>
  <c r="I2456" i="8"/>
  <c r="H1983" i="8"/>
  <c r="F1983" i="8"/>
  <c r="I1983" i="8"/>
  <c r="I481" i="8"/>
  <c r="F481" i="8"/>
  <c r="H481" i="8"/>
  <c r="F1726" i="8"/>
  <c r="H1726" i="8"/>
  <c r="I1726" i="8"/>
  <c r="H1521" i="8"/>
  <c r="I1521" i="8"/>
  <c r="F1521" i="8"/>
  <c r="I2263" i="8"/>
  <c r="F2263" i="8"/>
  <c r="H2263" i="8"/>
  <c r="F1199" i="8"/>
  <c r="H1199" i="8"/>
  <c r="I1199" i="8"/>
  <c r="I2082" i="8"/>
  <c r="H2082" i="8"/>
  <c r="F2082" i="8"/>
  <c r="I1822" i="8"/>
  <c r="F1822" i="8"/>
  <c r="H1822" i="8"/>
  <c r="H696" i="8"/>
  <c r="F696" i="8"/>
  <c r="I696" i="8"/>
  <c r="H1486" i="8"/>
  <c r="I1486" i="8"/>
  <c r="F1486" i="8"/>
  <c r="F1481" i="8"/>
  <c r="I1481" i="8"/>
  <c r="H1481" i="8"/>
  <c r="H617" i="8"/>
  <c r="F617" i="8"/>
  <c r="I617" i="8"/>
  <c r="I534" i="8"/>
  <c r="F534" i="8"/>
  <c r="H534" i="8"/>
  <c r="F2114" i="8"/>
  <c r="I2114" i="8"/>
  <c r="H2114" i="8"/>
  <c r="F2043" i="8"/>
  <c r="I2043" i="8"/>
  <c r="H2043" i="8"/>
  <c r="H1750" i="8"/>
  <c r="F1750" i="8"/>
  <c r="I1750" i="8"/>
  <c r="F2433" i="8"/>
  <c r="H2433" i="8"/>
  <c r="I2433" i="8"/>
  <c r="H1646" i="8"/>
  <c r="F1646" i="8"/>
  <c r="I1646" i="8"/>
  <c r="H463" i="8"/>
  <c r="I463" i="8"/>
  <c r="F463" i="8"/>
  <c r="F2060" i="8"/>
  <c r="H2060" i="8"/>
  <c r="I2060" i="8"/>
  <c r="F468" i="8"/>
  <c r="I468" i="8"/>
  <c r="H468" i="8"/>
  <c r="I2958" i="8"/>
  <c r="H2958" i="8"/>
  <c r="F2958" i="8"/>
  <c r="F2649" i="8"/>
  <c r="H2649" i="8"/>
  <c r="I2649" i="8"/>
  <c r="F543" i="8"/>
  <c r="I543" i="8"/>
  <c r="H543" i="8"/>
  <c r="H1753" i="8"/>
  <c r="F1753" i="8"/>
  <c r="I1753" i="8"/>
  <c r="I2046" i="8"/>
  <c r="H2046" i="8"/>
  <c r="F2046" i="8"/>
  <c r="H415" i="8"/>
  <c r="F415" i="8"/>
  <c r="I415" i="8"/>
  <c r="I2572" i="8"/>
  <c r="H2572" i="8"/>
  <c r="F2572" i="8"/>
  <c r="I659" i="8"/>
  <c r="F659" i="8"/>
  <c r="H659" i="8"/>
  <c r="F2222" i="8"/>
  <c r="I2222" i="8"/>
  <c r="H2222" i="8"/>
  <c r="F1801" i="8"/>
  <c r="I1801" i="8"/>
  <c r="H1801" i="8"/>
  <c r="I811" i="8"/>
  <c r="F811" i="8"/>
  <c r="H811" i="8"/>
  <c r="H71" i="8"/>
  <c r="I71" i="8" s="1"/>
  <c r="F71" i="8"/>
  <c r="H2283" i="8"/>
  <c r="I2283" i="8"/>
  <c r="F2283" i="8"/>
  <c r="H1507" i="8"/>
  <c r="I1507" i="8"/>
  <c r="F1507" i="8"/>
  <c r="I1536" i="8"/>
  <c r="H1536" i="8"/>
  <c r="F1536" i="8"/>
  <c r="F2244" i="8"/>
  <c r="H2244" i="8"/>
  <c r="I2244" i="8"/>
  <c r="F1634" i="8"/>
  <c r="I1634" i="8"/>
  <c r="H1634" i="8"/>
  <c r="H1729" i="8"/>
  <c r="F1729" i="8"/>
  <c r="I1729" i="8"/>
  <c r="F2225" i="8"/>
  <c r="I2225" i="8"/>
  <c r="H2225" i="8"/>
  <c r="H771" i="8"/>
  <c r="I771" i="8"/>
  <c r="F771" i="8"/>
  <c r="I2319" i="8"/>
  <c r="F2319" i="8"/>
  <c r="H2319" i="8"/>
  <c r="H1539" i="8"/>
  <c r="F1539" i="8"/>
  <c r="I1539" i="8"/>
  <c r="I2509" i="8"/>
  <c r="H2509" i="8"/>
  <c r="F2509" i="8"/>
  <c r="H2386" i="8"/>
  <c r="I2386" i="8"/>
  <c r="F2386" i="8"/>
  <c r="I2316" i="8"/>
  <c r="F2316" i="8"/>
  <c r="H2316" i="8"/>
  <c r="F1462" i="8"/>
  <c r="I1462" i="8"/>
  <c r="H1462" i="8"/>
  <c r="F1670" i="8"/>
  <c r="H1670" i="8"/>
  <c r="I1670" i="8"/>
  <c r="I2462" i="8"/>
  <c r="F2462" i="8"/>
  <c r="H2462" i="8"/>
  <c r="H1009" i="8"/>
  <c r="I1009" i="8"/>
  <c r="F1009" i="8"/>
  <c r="F2550" i="8"/>
  <c r="I2550" i="8"/>
  <c r="H2550" i="8"/>
  <c r="H1695" i="8"/>
  <c r="I1695" i="8"/>
  <c r="F1695" i="8"/>
  <c r="H2646" i="8"/>
  <c r="I2646" i="8"/>
  <c r="F2646" i="8"/>
  <c r="F1475" i="8"/>
  <c r="H1475" i="8"/>
  <c r="I1475" i="8"/>
  <c r="F2164" i="8"/>
  <c r="I2164" i="8"/>
  <c r="H2164" i="8"/>
  <c r="H677" i="8"/>
  <c r="F677" i="8"/>
  <c r="I677" i="8"/>
  <c r="H1655" i="8"/>
  <c r="F1655" i="8"/>
  <c r="I1655" i="8"/>
  <c r="F2542" i="8"/>
  <c r="H2542" i="8"/>
  <c r="I2542" i="8"/>
  <c r="H2030" i="8"/>
  <c r="I2030" i="8"/>
  <c r="F2030" i="8"/>
  <c r="H1456" i="8"/>
  <c r="F1456" i="8"/>
  <c r="I1456" i="8"/>
  <c r="F1741" i="8"/>
  <c r="I1741" i="8"/>
  <c r="H1741" i="8"/>
  <c r="H1149" i="8"/>
  <c r="I1149" i="8"/>
  <c r="F1149" i="8"/>
  <c r="I1430" i="8"/>
  <c r="H1430" i="8"/>
  <c r="F1430" i="8"/>
  <c r="I2314" i="8"/>
  <c r="H2314" i="8"/>
  <c r="F2314" i="8"/>
  <c r="H1914" i="8"/>
  <c r="F1914" i="8"/>
  <c r="I1914" i="8"/>
  <c r="I691" i="8"/>
  <c r="H691" i="8"/>
  <c r="F691" i="8"/>
  <c r="I1957" i="8"/>
  <c r="H1957" i="8"/>
  <c r="F1957" i="8"/>
  <c r="I1767" i="8"/>
  <c r="H1767" i="8"/>
  <c r="F1767" i="8"/>
  <c r="I832" i="8"/>
  <c r="H832" i="8"/>
  <c r="F832" i="8"/>
  <c r="F2241" i="8"/>
  <c r="I2241" i="8"/>
  <c r="H2241" i="8"/>
  <c r="I2480" i="8"/>
  <c r="F2480" i="8"/>
  <c r="H2480" i="8"/>
  <c r="F2289" i="8"/>
  <c r="H2289" i="8"/>
  <c r="I2289" i="8"/>
  <c r="I2247" i="8"/>
  <c r="H2247" i="8"/>
  <c r="F2247" i="8"/>
  <c r="F3122" i="8"/>
  <c r="I3122" i="8"/>
  <c r="H3122" i="8"/>
  <c r="I2525" i="8"/>
  <c r="H2525" i="8"/>
  <c r="F2525" i="8"/>
  <c r="I1512" i="8"/>
  <c r="H1512" i="8"/>
  <c r="F1512" i="8"/>
  <c r="H1544" i="8"/>
  <c r="F1544" i="8"/>
  <c r="I1544" i="8"/>
  <c r="I1401" i="8"/>
  <c r="H1401" i="8"/>
  <c r="F1401" i="8"/>
  <c r="I1673" i="8"/>
  <c r="H1673" i="8"/>
  <c r="F1673" i="8"/>
  <c r="F2436" i="8"/>
  <c r="I2436" i="8"/>
  <c r="H2436" i="8"/>
  <c r="F1967" i="8"/>
  <c r="I1967" i="8"/>
  <c r="H1967" i="8"/>
  <c r="I1441" i="8"/>
  <c r="F1441" i="8"/>
  <c r="H1441" i="8"/>
  <c r="I1494" i="8"/>
  <c r="H1494" i="8"/>
  <c r="F1494" i="8"/>
  <c r="H2947" i="8"/>
  <c r="I2947" i="8"/>
  <c r="F2947" i="8"/>
  <c r="F590" i="8"/>
  <c r="I590" i="8"/>
  <c r="H590" i="8"/>
  <c r="I2238" i="8"/>
  <c r="F2238" i="8"/>
  <c r="H2238" i="8"/>
  <c r="H1609" i="8"/>
  <c r="F1609" i="8"/>
  <c r="I1609" i="8"/>
  <c r="I1617" i="8"/>
  <c r="H1617" i="8"/>
  <c r="F1617" i="8"/>
  <c r="H2038" i="8"/>
  <c r="F2038" i="8"/>
  <c r="I2038" i="8"/>
  <c r="I1830" i="8"/>
  <c r="H1830" i="8"/>
  <c r="F1830" i="8"/>
  <c r="I630" i="8"/>
  <c r="F630" i="8"/>
  <c r="H630" i="8"/>
  <c r="F2361" i="8"/>
  <c r="I2361" i="8"/>
  <c r="H2361" i="8"/>
  <c r="H2517" i="8"/>
  <c r="I2517" i="8"/>
  <c r="F2517" i="8"/>
  <c r="I2718" i="8"/>
  <c r="H2718" i="8"/>
  <c r="F2718" i="8"/>
  <c r="I2079" i="8"/>
  <c r="H2079" i="8"/>
  <c r="F2079" i="8"/>
  <c r="F2635" i="8"/>
  <c r="I2635" i="8"/>
  <c r="H2635" i="8"/>
  <c r="F1658" i="8"/>
  <c r="H1658" i="8"/>
  <c r="I1658" i="8"/>
  <c r="F781" i="8"/>
  <c r="H781" i="8"/>
  <c r="I781" i="8"/>
  <c r="F2499" i="8"/>
  <c r="I2499" i="8"/>
  <c r="H2499" i="8"/>
  <c r="F2453" i="8"/>
  <c r="I2453" i="8"/>
  <c r="H2453" i="8"/>
  <c r="I2496" i="8"/>
  <c r="H2496" i="8"/>
  <c r="F2496" i="8"/>
  <c r="H746" i="8"/>
  <c r="F746" i="8"/>
  <c r="I746" i="8"/>
  <c r="I1860" i="8"/>
  <c r="F1860" i="8"/>
  <c r="H1860" i="8"/>
  <c r="F1929" i="8"/>
  <c r="H1929" i="8"/>
  <c r="I1929" i="8"/>
  <c r="F1732" i="8"/>
  <c r="H1732" i="8"/>
  <c r="I1732" i="8"/>
  <c r="I455" i="8"/>
  <c r="H455" i="8"/>
  <c r="F455" i="8"/>
  <c r="H2196" i="8"/>
  <c r="I2196" i="8"/>
  <c r="F2196" i="8"/>
  <c r="I2488" i="8"/>
  <c r="F2488" i="8"/>
  <c r="H2488" i="8"/>
  <c r="H2888" i="8"/>
  <c r="I2888" i="8"/>
  <c r="F2888" i="8"/>
  <c r="H1631" i="8"/>
  <c r="F1631" i="8"/>
  <c r="I1631" i="8"/>
  <c r="H2441" i="8"/>
  <c r="I2441" i="8"/>
  <c r="F2441" i="8"/>
  <c r="F688" i="8"/>
  <c r="I688" i="8"/>
  <c r="H688" i="8"/>
  <c r="I2409" i="8"/>
  <c r="F2409" i="8"/>
  <c r="H2409" i="8"/>
  <c r="F741" i="8"/>
  <c r="H741" i="8"/>
  <c r="I741" i="8"/>
  <c r="F803" i="8"/>
  <c r="I803" i="8"/>
  <c r="H803" i="8"/>
  <c r="F2627" i="8"/>
  <c r="H2627" i="8"/>
  <c r="I2627" i="8"/>
  <c r="H1614" i="8"/>
  <c r="I1614" i="8"/>
  <c r="F1614" i="8"/>
  <c r="F2006" i="8"/>
  <c r="I2006" i="8"/>
  <c r="H2006" i="8"/>
  <c r="F389" i="8"/>
  <c r="H389" i="8"/>
  <c r="I389" i="8"/>
  <c r="F1781" i="8"/>
  <c r="I1781" i="8"/>
  <c r="H1781" i="8"/>
  <c r="I2536" i="8"/>
  <c r="F2536" i="8"/>
  <c r="H2536" i="8"/>
  <c r="H2085" i="8"/>
  <c r="F2085" i="8"/>
  <c r="I2085" i="8"/>
  <c r="I1972" i="8"/>
  <c r="H1972" i="8"/>
  <c r="F1972" i="8"/>
  <c r="F2093" i="8"/>
  <c r="H2093" i="8"/>
  <c r="I2093" i="8"/>
  <c r="I1643" i="8"/>
  <c r="H1643" i="8"/>
  <c r="F1643" i="8"/>
  <c r="H1398" i="8"/>
  <c r="F1398" i="8"/>
  <c r="I1398" i="8"/>
  <c r="F2447" i="8"/>
  <c r="I2447" i="8"/>
  <c r="H2447" i="8"/>
  <c r="I2578" i="8"/>
  <c r="H2578" i="8"/>
  <c r="F2578" i="8"/>
  <c r="I492" i="8"/>
  <c r="H492" i="8"/>
  <c r="F492" i="8"/>
  <c r="F3194" i="8"/>
  <c r="H3194" i="8"/>
  <c r="I3194" i="8"/>
  <c r="F1744" i="8"/>
  <c r="I1744" i="8"/>
  <c r="H1744" i="8"/>
  <c r="F2145" i="8"/>
  <c r="I2145" i="8"/>
  <c r="H2145" i="8"/>
  <c r="F3157" i="8"/>
  <c r="H3157" i="8"/>
  <c r="I3157" i="8"/>
  <c r="I2003" i="8"/>
  <c r="H2003" i="8"/>
  <c r="F2003" i="8"/>
  <c r="F2644" i="8"/>
  <c r="I2644" i="8"/>
  <c r="H2644" i="8"/>
  <c r="I2663" i="8"/>
  <c r="H2663" i="8"/>
  <c r="F2663" i="8"/>
  <c r="I3106" i="8"/>
  <c r="F3106" i="8"/>
  <c r="H3106" i="8"/>
  <c r="I2174" i="8"/>
  <c r="F2174" i="8"/>
  <c r="H2174" i="8"/>
  <c r="H3186" i="8"/>
  <c r="F3186" i="8"/>
  <c r="I3186" i="8"/>
  <c r="I2130" i="8"/>
  <c r="F2130" i="8"/>
  <c r="H2130" i="8"/>
  <c r="H2012" i="8"/>
  <c r="I2012" i="8"/>
  <c r="F2012" i="8"/>
  <c r="F2967" i="8"/>
  <c r="I2967" i="8"/>
  <c r="H2967" i="8"/>
  <c r="H1731" i="8"/>
  <c r="F1731" i="8"/>
  <c r="I1731" i="8"/>
  <c r="F1709" i="8"/>
  <c r="I1709" i="8"/>
  <c r="H1709" i="8"/>
  <c r="H2478" i="8"/>
  <c r="F2478" i="8"/>
  <c r="I2478" i="8"/>
  <c r="I3110" i="8"/>
  <c r="H3110" i="8"/>
  <c r="F3110" i="8"/>
  <c r="I1728" i="8"/>
  <c r="H1728" i="8"/>
  <c r="F1728" i="8"/>
  <c r="F2341" i="8"/>
  <c r="I2341" i="8"/>
  <c r="H2341" i="8"/>
  <c r="F2186" i="8"/>
  <c r="I2186" i="8"/>
  <c r="H2186" i="8"/>
  <c r="F2118" i="8"/>
  <c r="H2118" i="8"/>
  <c r="I2118" i="8"/>
  <c r="F3191" i="8"/>
  <c r="H3191" i="8"/>
  <c r="I3191" i="8"/>
  <c r="I3061" i="8"/>
  <c r="H3061" i="8"/>
  <c r="F3061" i="8"/>
  <c r="F1931" i="8"/>
  <c r="H1931" i="8"/>
  <c r="I1931" i="8"/>
  <c r="F2959" i="8"/>
  <c r="I2959" i="8"/>
  <c r="H2959" i="8"/>
  <c r="F1915" i="8"/>
  <c r="I1915" i="8"/>
  <c r="H1915" i="8"/>
  <c r="I2678" i="8"/>
  <c r="F2678" i="8"/>
  <c r="H2678" i="8"/>
  <c r="H2369" i="8"/>
  <c r="I2369" i="8"/>
  <c r="F2369" i="8"/>
  <c r="I2178" i="8"/>
  <c r="F2178" i="8"/>
  <c r="H2178" i="8"/>
  <c r="H2680" i="8"/>
  <c r="F2680" i="8"/>
  <c r="I2680" i="8"/>
  <c r="F2657" i="8"/>
  <c r="I2657" i="8"/>
  <c r="H2657" i="8"/>
  <c r="H3114" i="8"/>
  <c r="F3114" i="8"/>
  <c r="I3114" i="8"/>
  <c r="F2303" i="8"/>
  <c r="H2303" i="8"/>
  <c r="I2303" i="8"/>
  <c r="F2743" i="8"/>
  <c r="I2743" i="8"/>
  <c r="H2743" i="8"/>
  <c r="I2401" i="8"/>
  <c r="H2401" i="8"/>
  <c r="F2401" i="8"/>
  <c r="I2375" i="8"/>
  <c r="H2375" i="8"/>
  <c r="F2375" i="8"/>
  <c r="I2267" i="8"/>
  <c r="F2267" i="8"/>
  <c r="H2267" i="8"/>
  <c r="F2297" i="8"/>
  <c r="I2297" i="8"/>
  <c r="H2297" i="8"/>
  <c r="H2273" i="8"/>
  <c r="I2273" i="8"/>
  <c r="F2273" i="8"/>
  <c r="H2257" i="8"/>
  <c r="I2257" i="8"/>
  <c r="F2257" i="8"/>
  <c r="F3152" i="8"/>
  <c r="H3152" i="8"/>
  <c r="I3152" i="8"/>
  <c r="H3139" i="8"/>
  <c r="I3139" i="8"/>
  <c r="F3139" i="8"/>
  <c r="H2928" i="8"/>
  <c r="I2928" i="8"/>
  <c r="F2928" i="8"/>
  <c r="H3149" i="8"/>
  <c r="I3149" i="8"/>
  <c r="F3149" i="8"/>
  <c r="F2655" i="8"/>
  <c r="I2655" i="8"/>
  <c r="H2655" i="8"/>
  <c r="I3176" i="8"/>
  <c r="H3176" i="8"/>
  <c r="F3176" i="8"/>
  <c r="I2567" i="8"/>
  <c r="F2567" i="8"/>
  <c r="H2567" i="8"/>
  <c r="H2671" i="8"/>
  <c r="F2671" i="8"/>
  <c r="I2671" i="8"/>
  <c r="F2592" i="8"/>
  <c r="H2592" i="8"/>
  <c r="I2592" i="8"/>
  <c r="F2294" i="8"/>
  <c r="I2294" i="8"/>
  <c r="H2294" i="8"/>
  <c r="I2090" i="8"/>
  <c r="F2090" i="8"/>
  <c r="H2090" i="8"/>
  <c r="H2150" i="8"/>
  <c r="I2150" i="8"/>
  <c r="F2150" i="8"/>
  <c r="F1962" i="8"/>
  <c r="H1962" i="8"/>
  <c r="I1962" i="8"/>
  <c r="I2004" i="8"/>
  <c r="H2004" i="8"/>
  <c r="F2004" i="8"/>
  <c r="I2474" i="8"/>
  <c r="F2474" i="8"/>
  <c r="H2474" i="8"/>
  <c r="H1916" i="8"/>
  <c r="I1916" i="8"/>
  <c r="F1916" i="8"/>
  <c r="H2963" i="8"/>
  <c r="F2963" i="8"/>
  <c r="I2963" i="8"/>
  <c r="F2377" i="8"/>
  <c r="H2377" i="8"/>
  <c r="I2377" i="8"/>
  <c r="H2123" i="8"/>
  <c r="I2123" i="8"/>
  <c r="F2123" i="8"/>
  <c r="I1735" i="8"/>
  <c r="F1735" i="8"/>
  <c r="H1735" i="8"/>
  <c r="H1948" i="8"/>
  <c r="F1948" i="8"/>
  <c r="I1948" i="8"/>
  <c r="I2300" i="8"/>
  <c r="F2300" i="8"/>
  <c r="H2300" i="8"/>
  <c r="H2642" i="8"/>
  <c r="I2642" i="8"/>
  <c r="F2642" i="8"/>
  <c r="I2349" i="8"/>
  <c r="H2349" i="8"/>
  <c r="F2349" i="8"/>
  <c r="F1936" i="8"/>
  <c r="H1936" i="8"/>
  <c r="I1936" i="8"/>
  <c r="H2571" i="8"/>
  <c r="I2571" i="8"/>
  <c r="F2571" i="8"/>
  <c r="I3174" i="8"/>
  <c r="F3174" i="8"/>
  <c r="H3174" i="8"/>
  <c r="H2551" i="8"/>
  <c r="F2551" i="8"/>
  <c r="I2551" i="8"/>
  <c r="I2650" i="8"/>
  <c r="H2650" i="8"/>
  <c r="F2650" i="8"/>
  <c r="F2664" i="8"/>
  <c r="I2664" i="8"/>
  <c r="H2664" i="8"/>
  <c r="H2115" i="8"/>
  <c r="F2115" i="8"/>
  <c r="I2115" i="8"/>
  <c r="H2935" i="8"/>
  <c r="F2935" i="8"/>
  <c r="I2935" i="8"/>
  <c r="H1927" i="8"/>
  <c r="I1927" i="8"/>
  <c r="F1927" i="8"/>
  <c r="H2679" i="8"/>
  <c r="F2679" i="8"/>
  <c r="I2679" i="8"/>
  <c r="H2641" i="8"/>
  <c r="F2641" i="8"/>
  <c r="I2641" i="8"/>
  <c r="H3156" i="8"/>
  <c r="I3156" i="8"/>
  <c r="F3156" i="8"/>
  <c r="F2643" i="8"/>
  <c r="I2643" i="8"/>
  <c r="H2643" i="8"/>
  <c r="H3158" i="8"/>
  <c r="I3158" i="8"/>
  <c r="F3158" i="8"/>
  <c r="I2793" i="8"/>
  <c r="F2793" i="8"/>
  <c r="H2793" i="8"/>
  <c r="H2676" i="8"/>
  <c r="I2676" i="8"/>
  <c r="F2676" i="8"/>
  <c r="I2950" i="8"/>
  <c r="H2950" i="8"/>
  <c r="F2950" i="8"/>
  <c r="H2532" i="8"/>
  <c r="I2532" i="8"/>
  <c r="F2532" i="8"/>
  <c r="I2964" i="8"/>
  <c r="F2964" i="8"/>
  <c r="H2964" i="8"/>
  <c r="I2966" i="8"/>
  <c r="H2966" i="8"/>
  <c r="F2966" i="8"/>
  <c r="F2767" i="8"/>
  <c r="H2767" i="8"/>
  <c r="I2767" i="8"/>
  <c r="H3107" i="8"/>
  <c r="F3107" i="8"/>
  <c r="I3107" i="8"/>
  <c r="H2727" i="8"/>
  <c r="F2727" i="8"/>
  <c r="I2727" i="8"/>
  <c r="H2811" i="8"/>
  <c r="F2811" i="8"/>
  <c r="I2811" i="8"/>
  <c r="H3063" i="8"/>
  <c r="F3063" i="8"/>
  <c r="I3063" i="8"/>
  <c r="H2658" i="8"/>
  <c r="I2658" i="8"/>
  <c r="F2658" i="8"/>
  <c r="I2962" i="8"/>
  <c r="F2962" i="8"/>
  <c r="H2962" i="8"/>
  <c r="H2790" i="8"/>
  <c r="F2790" i="8"/>
  <c r="I2790" i="8"/>
  <c r="H2976" i="8"/>
  <c r="I2976" i="8"/>
  <c r="F2976" i="8"/>
  <c r="H3103" i="8"/>
  <c r="I3103" i="8"/>
  <c r="F3103" i="8"/>
  <c r="I2810" i="8"/>
  <c r="F2810" i="8"/>
  <c r="H2810" i="8"/>
  <c r="F2775" i="8"/>
  <c r="H2775" i="8"/>
  <c r="I2775" i="8"/>
  <c r="I3233" i="8"/>
  <c r="F3233" i="8"/>
  <c r="H3233" i="8"/>
  <c r="H3111" i="8"/>
  <c r="F3111" i="8"/>
  <c r="I3111" i="8"/>
  <c r="I2776" i="8"/>
  <c r="F2776" i="8"/>
  <c r="H2776" i="8"/>
  <c r="H2668" i="8"/>
  <c r="I2668" i="8"/>
  <c r="F2668" i="8"/>
  <c r="I2770" i="8"/>
  <c r="F2770" i="8"/>
  <c r="H2770" i="8"/>
  <c r="F2949" i="8"/>
  <c r="I2949" i="8"/>
  <c r="H2949" i="8"/>
  <c r="I2951" i="8"/>
  <c r="H2951" i="8"/>
  <c r="F2951" i="8"/>
  <c r="H3188" i="8"/>
  <c r="F3188" i="8"/>
  <c r="I3188" i="8"/>
  <c r="F2972" i="8"/>
  <c r="H2972" i="8"/>
  <c r="I2972" i="8"/>
  <c r="H2794" i="8"/>
  <c r="I2794" i="8"/>
  <c r="F2794" i="8"/>
  <c r="H2786" i="8"/>
  <c r="F2786" i="8"/>
  <c r="I2786" i="8"/>
  <c r="F2755" i="8"/>
  <c r="I2755" i="8"/>
  <c r="H2755" i="8"/>
  <c r="H3140" i="8"/>
  <c r="I3140" i="8"/>
  <c r="F3140" i="8"/>
  <c r="F2624" i="8"/>
  <c r="H2624" i="8"/>
  <c r="I2624" i="8"/>
  <c r="F3060" i="8"/>
  <c r="I3060" i="8"/>
  <c r="H3060" i="8"/>
  <c r="H2791" i="8"/>
  <c r="I2791" i="8"/>
  <c r="F2791" i="8"/>
  <c r="I2957" i="8"/>
  <c r="H2957" i="8"/>
  <c r="F2957" i="8"/>
  <c r="F2766" i="8"/>
  <c r="I2766" i="8"/>
  <c r="H2766" i="8"/>
  <c r="H3162" i="8"/>
  <c r="I3162" i="8"/>
  <c r="F3162" i="8"/>
  <c r="F2565" i="8"/>
  <c r="H2565" i="8"/>
  <c r="I2565" i="8"/>
  <c r="I2647" i="8"/>
  <c r="F2647" i="8"/>
  <c r="H2647" i="8"/>
  <c r="I3068" i="8"/>
  <c r="F3068" i="8"/>
  <c r="H3068" i="8"/>
  <c r="I2787" i="8"/>
  <c r="F2787" i="8"/>
  <c r="H2787" i="8"/>
  <c r="F2531" i="8"/>
  <c r="H2531" i="8"/>
  <c r="I2531" i="8"/>
  <c r="I2960" i="8"/>
  <c r="F2960" i="8"/>
  <c r="H2960" i="8"/>
  <c r="I2723" i="8"/>
  <c r="F2723" i="8"/>
  <c r="H2723" i="8"/>
  <c r="I2796" i="8"/>
  <c r="F2796" i="8"/>
  <c r="H2796" i="8"/>
  <c r="F88" i="7"/>
  <c r="F114" i="7"/>
  <c r="F137" i="7"/>
  <c r="G137" i="7"/>
  <c r="F98" i="7"/>
  <c r="F85" i="7"/>
  <c r="F89" i="7"/>
  <c r="F75" i="7"/>
  <c r="F103" i="7"/>
  <c r="F83" i="7"/>
  <c r="F113" i="7"/>
  <c r="F13" i="7"/>
  <c r="G13" i="7"/>
  <c r="F99" i="7"/>
  <c r="F111" i="7"/>
  <c r="F131" i="7"/>
  <c r="G131" i="7"/>
  <c r="F118" i="7"/>
  <c r="F102" i="7"/>
  <c r="F84" i="7"/>
  <c r="F9" i="7"/>
  <c r="F8" i="7"/>
  <c r="G38" i="7"/>
  <c r="I1432" i="8"/>
  <c r="I635" i="8"/>
  <c r="F635" i="8"/>
  <c r="I1304" i="8"/>
  <c r="F536" i="8"/>
  <c r="I787" i="8"/>
  <c r="F787" i="8"/>
  <c r="H1232" i="8"/>
  <c r="F1232" i="8"/>
  <c r="I552" i="8"/>
  <c r="F552" i="8"/>
  <c r="F728" i="8"/>
  <c r="F624" i="8"/>
  <c r="I728" i="8"/>
  <c r="H624" i="8"/>
  <c r="H619" i="8"/>
  <c r="F619" i="8"/>
  <c r="H1080" i="8"/>
  <c r="H843" i="8"/>
  <c r="F843" i="8"/>
  <c r="F544" i="8"/>
  <c r="H544" i="8"/>
  <c r="I452" i="8"/>
  <c r="H452" i="8"/>
  <c r="H1480" i="8"/>
  <c r="I1480" i="8"/>
  <c r="H616" i="8"/>
  <c r="F616" i="8"/>
  <c r="H608" i="8"/>
  <c r="F424" i="8"/>
  <c r="I424" i="8"/>
  <c r="H424" i="8"/>
  <c r="I608" i="8"/>
  <c r="H740" i="8"/>
  <c r="I740" i="8"/>
  <c r="H668" i="8"/>
  <c r="F434" i="8"/>
  <c r="I524" i="8"/>
  <c r="I434" i="8"/>
  <c r="H436" i="8"/>
  <c r="F436" i="8"/>
  <c r="F724" i="8"/>
  <c r="H724" i="8"/>
  <c r="I668" i="8"/>
  <c r="F524" i="8"/>
  <c r="I700" i="8"/>
  <c r="H556" i="8"/>
  <c r="H20" i="8"/>
  <c r="I20" i="8" s="1"/>
  <c r="H700" i="8"/>
  <c r="I58" i="8"/>
  <c r="H58" i="8"/>
  <c r="I556" i="8"/>
  <c r="F748" i="8"/>
  <c r="I748" i="8"/>
  <c r="F546" i="8"/>
  <c r="H546" i="8"/>
  <c r="I546" i="8"/>
  <c r="H64" i="8"/>
  <c r="I64" i="8"/>
  <c r="F64" i="8"/>
  <c r="G8" i="7"/>
  <c r="F555" i="8"/>
  <c r="H555" i="8"/>
  <c r="I555" i="8"/>
  <c r="F731" i="8"/>
  <c r="H731" i="8"/>
  <c r="I731" i="8"/>
  <c r="F539" i="8"/>
  <c r="H539" i="8"/>
  <c r="I539" i="8"/>
  <c r="F1312" i="8"/>
  <c r="H1312" i="8"/>
  <c r="I1312" i="8"/>
  <c r="I1096" i="8"/>
  <c r="F1096" i="8"/>
  <c r="H1096" i="8"/>
  <c r="I1736" i="8"/>
  <c r="H1736" i="8"/>
  <c r="F1736" i="8"/>
  <c r="I1104" i="8"/>
  <c r="H1104" i="8"/>
  <c r="F1104" i="8"/>
  <c r="F1528" i="8"/>
  <c r="I1528" i="8"/>
  <c r="H1528" i="8"/>
  <c r="H1672" i="8"/>
  <c r="I1672" i="8"/>
  <c r="F1672" i="8"/>
  <c r="F1208" i="8"/>
  <c r="I1208" i="8"/>
  <c r="H1208" i="8"/>
  <c r="I1720" i="8"/>
  <c r="H1720" i="8"/>
  <c r="F1720" i="8"/>
  <c r="I808" i="8"/>
  <c r="F808" i="8"/>
  <c r="H808" i="8"/>
  <c r="F386" i="8"/>
  <c r="H386" i="8"/>
  <c r="I386" i="8"/>
  <c r="F66" i="8"/>
  <c r="H66" i="8"/>
  <c r="I66" i="8" s="1"/>
  <c r="H658" i="8"/>
  <c r="I658" i="8"/>
  <c r="F658" i="8"/>
  <c r="H642" i="8"/>
  <c r="I642" i="8"/>
  <c r="F642" i="8"/>
  <c r="F618" i="8"/>
  <c r="H618" i="8"/>
  <c r="I618" i="8"/>
  <c r="H708" i="8"/>
  <c r="I708" i="8"/>
  <c r="F708" i="8"/>
  <c r="H628" i="8"/>
  <c r="I628" i="8"/>
  <c r="F628" i="8"/>
  <c r="I620" i="8"/>
  <c r="F620" i="8"/>
  <c r="H620" i="8"/>
  <c r="H388" i="8"/>
  <c r="F388" i="8"/>
  <c r="I388" i="8"/>
  <c r="F604" i="8"/>
  <c r="H604" i="8"/>
  <c r="I604" i="8"/>
  <c r="I444" i="8"/>
  <c r="F444" i="8"/>
  <c r="H444" i="8"/>
  <c r="F684" i="8"/>
  <c r="H684" i="8"/>
  <c r="I684" i="8"/>
  <c r="I652" i="8"/>
  <c r="F652" i="8"/>
  <c r="H652" i="8"/>
  <c r="I644" i="8"/>
  <c r="H644" i="8"/>
  <c r="F644" i="8"/>
  <c r="H1004" i="8"/>
  <c r="I1004" i="8"/>
  <c r="F1004" i="8"/>
  <c r="F76" i="8"/>
  <c r="H76" i="8"/>
  <c r="I76" i="8" s="1"/>
  <c r="H140" i="8"/>
  <c r="I140" i="8" s="1"/>
  <c r="F140" i="8"/>
  <c r="F296" i="8"/>
  <c r="H296" i="8"/>
  <c r="I296" i="8" s="1"/>
  <c r="F32" i="7"/>
  <c r="F31" i="7"/>
  <c r="F104" i="7"/>
  <c r="F91" i="7"/>
  <c r="F79" i="7"/>
  <c r="G75" i="7"/>
  <c r="F119" i="7"/>
  <c r="F53" i="7"/>
  <c r="F54" i="7"/>
  <c r="F120" i="7"/>
  <c r="F67" i="7"/>
  <c r="F68" i="7"/>
  <c r="F105" i="7"/>
  <c r="F90" i="7"/>
  <c r="G26" i="7"/>
  <c r="G61" i="7"/>
  <c r="F3034" i="8"/>
  <c r="G111" i="7"/>
  <c r="G48" i="7"/>
  <c r="G83" i="7"/>
  <c r="G97" i="7"/>
  <c r="F3220" i="8"/>
  <c r="F1842" i="8"/>
  <c r="F2219" i="8"/>
  <c r="F3211" i="8"/>
  <c r="F3226" i="8"/>
  <c r="F3237" i="8"/>
  <c r="H3276" i="8"/>
  <c r="I3276" i="8" s="1"/>
  <c r="F3276" i="8"/>
  <c r="H3278" i="8"/>
  <c r="I3278" i="8" s="1"/>
  <c r="F3278" i="8"/>
  <c r="H3275" i="8"/>
  <c r="I3275" i="8" s="1"/>
  <c r="F3275" i="8"/>
  <c r="H3268" i="8"/>
  <c r="I3268" i="8" s="1"/>
  <c r="F3268" i="8"/>
  <c r="H3273" i="8"/>
  <c r="I3273" i="8" s="1"/>
  <c r="F3273" i="8"/>
  <c r="H3272" i="8"/>
  <c r="I3272" i="8" s="1"/>
  <c r="F3272" i="8"/>
  <c r="H3277" i="8"/>
  <c r="I3277" i="8" s="1"/>
  <c r="F3277" i="8"/>
  <c r="H3274" i="8"/>
  <c r="I3274" i="8" s="1"/>
  <c r="F3274" i="8"/>
  <c r="F2978" i="8"/>
  <c r="F2882" i="8"/>
  <c r="F2980" i="8"/>
  <c r="H3324" i="5" l="1"/>
  <c r="E941" i="8" s="1"/>
  <c r="H4816" i="5"/>
  <c r="E1247" i="8" s="1"/>
  <c r="H4811" i="5"/>
  <c r="E1246" i="8" s="1"/>
  <c r="F1246" i="8" s="1"/>
  <c r="H4853" i="5"/>
  <c r="E1252" i="8" s="1"/>
  <c r="H4869" i="5"/>
  <c r="E1254" i="8" s="1"/>
  <c r="H4641" i="5"/>
  <c r="E1174" i="8" s="1"/>
  <c r="F1174" i="8" s="1"/>
  <c r="H2799" i="5"/>
  <c r="E853" i="8" s="1"/>
  <c r="F853" i="8" s="1"/>
  <c r="H2998" i="5"/>
  <c r="E888" i="8" s="1"/>
  <c r="H3008" i="5"/>
  <c r="E890" i="8" s="1"/>
  <c r="H3018" i="5"/>
  <c r="E892" i="8" s="1"/>
  <c r="H3028" i="5"/>
  <c r="E894" i="8" s="1"/>
  <c r="F894" i="8" s="1"/>
  <c r="H3038" i="5"/>
  <c r="E896" i="8" s="1"/>
  <c r="F896" i="8" s="1"/>
  <c r="H3051" i="5"/>
  <c r="E898" i="8" s="1"/>
  <c r="H45" i="5"/>
  <c r="E14" i="8" s="1"/>
  <c r="H62" i="5"/>
  <c r="E17" i="8" s="1"/>
  <c r="H109" i="5"/>
  <c r="E27" i="8" s="1"/>
  <c r="H119" i="5"/>
  <c r="E29" i="8" s="1"/>
  <c r="H129" i="5"/>
  <c r="E31" i="8" s="1"/>
  <c r="H1592" i="5"/>
  <c r="E260" i="8" s="1"/>
  <c r="F260" i="8" s="1"/>
  <c r="H1611" i="5"/>
  <c r="E263" i="8" s="1"/>
  <c r="H2819" i="5"/>
  <c r="E856" i="8" s="1"/>
  <c r="H2829" i="5"/>
  <c r="E858" i="8" s="1"/>
  <c r="H2841" i="5"/>
  <c r="E860" i="8" s="1"/>
  <c r="F860" i="8" s="1"/>
  <c r="H2851" i="5"/>
  <c r="E862" i="8" s="1"/>
  <c r="F862" i="8" s="1"/>
  <c r="H2861" i="5"/>
  <c r="E864" i="8" s="1"/>
  <c r="F864" i="8" s="1"/>
  <c r="H2871" i="5"/>
  <c r="E866" i="8" s="1"/>
  <c r="H7361" i="5"/>
  <c r="E3250" i="8" s="1"/>
  <c r="F3250" i="8" s="1"/>
  <c r="H40" i="5"/>
  <c r="E13" i="8" s="1"/>
  <c r="H2347" i="5"/>
  <c r="E378" i="8" s="1"/>
  <c r="H3959" i="5"/>
  <c r="E1077" i="8" s="1"/>
  <c r="F1077" i="8" s="1"/>
  <c r="H3977" i="5"/>
  <c r="E1079" i="8" s="1"/>
  <c r="H4190" i="5"/>
  <c r="E1120" i="8" s="1"/>
  <c r="H520" i="5"/>
  <c r="E106" i="8" s="1"/>
  <c r="H1005" i="5"/>
  <c r="E183" i="8" s="1"/>
  <c r="F183" i="8" s="1"/>
  <c r="H1933" i="5"/>
  <c r="E320" i="8" s="1"/>
  <c r="H3425" i="5"/>
  <c r="E962" i="8" s="1"/>
  <c r="H3567" i="5"/>
  <c r="E977" i="8" s="1"/>
  <c r="F977" i="8" s="1"/>
  <c r="H4944" i="5"/>
  <c r="E1266" i="8" s="1"/>
  <c r="F1266" i="8" s="1"/>
  <c r="H4951" i="5"/>
  <c r="E1267" i="8" s="1"/>
  <c r="H5312" i="5"/>
  <c r="E1352" i="8" s="1"/>
  <c r="H5369" i="5"/>
  <c r="E1361" i="8" s="1"/>
  <c r="F1361" i="8" s="1"/>
  <c r="H6430" i="5"/>
  <c r="H3925" i="5"/>
  <c r="E1071" i="8" s="1"/>
  <c r="H7256" i="5"/>
  <c r="E3172" i="8" s="1"/>
  <c r="F3172" i="8" s="1"/>
  <c r="H5279" i="5"/>
  <c r="E1340" i="8" s="1"/>
  <c r="H2930" i="8"/>
  <c r="I2930" i="8" s="1"/>
  <c r="H894" i="5"/>
  <c r="E164" i="8" s="1"/>
  <c r="H1010" i="5"/>
  <c r="E184" i="8" s="1"/>
  <c r="F184" i="8" s="1"/>
  <c r="H1024" i="5"/>
  <c r="E186" i="8" s="1"/>
  <c r="H186" i="8" s="1"/>
  <c r="I186" i="8" s="1"/>
  <c r="H1069" i="5"/>
  <c r="E192" i="8" s="1"/>
  <c r="H2115" i="5"/>
  <c r="E345" i="8" s="1"/>
  <c r="H2121" i="5"/>
  <c r="E346" i="8" s="1"/>
  <c r="F346" i="8" s="1"/>
  <c r="H2304" i="5"/>
  <c r="E371" i="8" s="1"/>
  <c r="H5008" i="5"/>
  <c r="H6223" i="5"/>
  <c r="E2603" i="8" s="1"/>
  <c r="H7244" i="5"/>
  <c r="E3137" i="8" s="1"/>
  <c r="F3137" i="8" s="1"/>
  <c r="H80" i="5"/>
  <c r="E21" i="8" s="1"/>
  <c r="H90" i="5"/>
  <c r="E23" i="8" s="1"/>
  <c r="H100" i="5"/>
  <c r="E25" i="8" s="1"/>
  <c r="H449" i="5"/>
  <c r="E97" i="8" s="1"/>
  <c r="H474" i="5"/>
  <c r="E100" i="8" s="1"/>
  <c r="H100" i="8" s="1"/>
  <c r="I100" i="8" s="1"/>
  <c r="H486" i="5"/>
  <c r="E101" i="8" s="1"/>
  <c r="H1129" i="5"/>
  <c r="E200" i="8" s="1"/>
  <c r="H1519" i="5"/>
  <c r="E250" i="8" s="1"/>
  <c r="H250" i="8" s="1"/>
  <c r="H1543" i="5"/>
  <c r="E254" i="8" s="1"/>
  <c r="H1557" i="5"/>
  <c r="E256" i="8" s="1"/>
  <c r="F256" i="8" s="1"/>
  <c r="H1564" i="5"/>
  <c r="E257" i="8" s="1"/>
  <c r="H257" i="8" s="1"/>
  <c r="I257" i="8" s="1"/>
  <c r="H20" i="5"/>
  <c r="E9" i="8" s="1"/>
  <c r="F9" i="8" s="1"/>
  <c r="H30" i="5"/>
  <c r="E11" i="8" s="1"/>
  <c r="H186" i="5"/>
  <c r="E43" i="8" s="1"/>
  <c r="F43" i="8" s="1"/>
  <c r="H208" i="5"/>
  <c r="E47" i="8" s="1"/>
  <c r="H47" i="8" s="1"/>
  <c r="I47" i="8" s="1"/>
  <c r="H217" i="5"/>
  <c r="E49" i="8" s="1"/>
  <c r="H397" i="5"/>
  <c r="E91" i="8" s="1"/>
  <c r="F91" i="8" s="1"/>
  <c r="H859" i="5"/>
  <c r="E159" i="8" s="1"/>
  <c r="H1124" i="5"/>
  <c r="E199" i="8" s="1"/>
  <c r="H1242" i="5"/>
  <c r="E217" i="8" s="1"/>
  <c r="H217" i="8" s="1"/>
  <c r="I217" i="8" s="1"/>
  <c r="H1248" i="5"/>
  <c r="E218" i="8" s="1"/>
  <c r="F218" i="8" s="1"/>
  <c r="H1255" i="5"/>
  <c r="E219" i="8" s="1"/>
  <c r="F219" i="8" s="1"/>
  <c r="H1262" i="5"/>
  <c r="E220" i="8" s="1"/>
  <c r="F220" i="8" s="1"/>
  <c r="H1269" i="5"/>
  <c r="E221" i="8" s="1"/>
  <c r="H1326" i="5"/>
  <c r="E229" i="8" s="1"/>
  <c r="H1332" i="5"/>
  <c r="E230" i="8" s="1"/>
  <c r="H230" i="8" s="1"/>
  <c r="I230" i="8" s="1"/>
  <c r="H1395" i="5"/>
  <c r="E240" i="8" s="1"/>
  <c r="F240" i="8" s="1"/>
  <c r="H1692" i="5"/>
  <c r="E277" i="8" s="1"/>
  <c r="H1757" i="5"/>
  <c r="E284" i="8" s="1"/>
  <c r="H1771" i="5"/>
  <c r="E286" i="8" s="1"/>
  <c r="F286" i="8" s="1"/>
  <c r="H1799" i="5"/>
  <c r="E290" i="8" s="1"/>
  <c r="F290" i="8" s="1"/>
  <c r="H1847" i="5"/>
  <c r="E305" i="8" s="1"/>
  <c r="F305" i="8" s="1"/>
  <c r="H1895" i="5"/>
  <c r="E313" i="8" s="1"/>
  <c r="H3152" i="5"/>
  <c r="E916" i="8" s="1"/>
  <c r="H35" i="5"/>
  <c r="E12" i="8" s="1"/>
  <c r="H266" i="5"/>
  <c r="E78" i="8" s="1"/>
  <c r="F78" i="8" s="1"/>
  <c r="H323" i="5"/>
  <c r="E84" i="8" s="1"/>
  <c r="H84" i="8" s="1"/>
  <c r="I84" i="8" s="1"/>
  <c r="H527" i="5"/>
  <c r="E107" i="8" s="1"/>
  <c r="H769" i="5"/>
  <c r="E146" i="8" s="1"/>
  <c r="F146" i="8" s="1"/>
  <c r="H821" i="5"/>
  <c r="E152" i="8" s="1"/>
  <c r="H830" i="5"/>
  <c r="E154" i="8" s="1"/>
  <c r="H899" i="5"/>
  <c r="E165" i="8" s="1"/>
  <c r="F165" i="8" s="1"/>
  <c r="H1622" i="5"/>
  <c r="E265" i="8" s="1"/>
  <c r="H265" i="8" s="1"/>
  <c r="I265" i="8" s="1"/>
  <c r="H2357" i="5"/>
  <c r="E380" i="8" s="1"/>
  <c r="H380" i="8" s="1"/>
  <c r="I380" i="8" s="1"/>
  <c r="H4231" i="5"/>
  <c r="E1126" i="8" s="1"/>
  <c r="H157" i="5"/>
  <c r="E37" i="8" s="1"/>
  <c r="H37" i="8" s="1"/>
  <c r="I37" i="8" s="1"/>
  <c r="H726" i="5"/>
  <c r="E134" i="8" s="1"/>
  <c r="F134" i="8" s="1"/>
  <c r="H878" i="5"/>
  <c r="E162" i="8" s="1"/>
  <c r="H1657" i="5"/>
  <c r="E271" i="8" s="1"/>
  <c r="H271" i="8" s="1"/>
  <c r="I271" i="8" s="1"/>
  <c r="H1667" i="5"/>
  <c r="E273" i="8" s="1"/>
  <c r="H273" i="8" s="1"/>
  <c r="I273" i="8" s="1"/>
  <c r="H1672" i="5"/>
  <c r="E274" i="8" s="1"/>
  <c r="H274" i="8" s="1"/>
  <c r="I274" i="8" s="1"/>
  <c r="H2384" i="5"/>
  <c r="E384" i="8" s="1"/>
  <c r="F384" i="8" s="1"/>
  <c r="H3296" i="5"/>
  <c r="E937" i="8" s="1"/>
  <c r="H3303" i="5"/>
  <c r="E938" i="8" s="1"/>
  <c r="F938" i="8" s="1"/>
  <c r="H3420" i="5"/>
  <c r="E961" i="8" s="1"/>
  <c r="H3430" i="5"/>
  <c r="E963" i="8" s="1"/>
  <c r="F963" i="8" s="1"/>
  <c r="G3668" i="5"/>
  <c r="H4829" i="5"/>
  <c r="E1249" i="8" s="1"/>
  <c r="H4861" i="5"/>
  <c r="E1253" i="8" s="1"/>
  <c r="H5021" i="5"/>
  <c r="E1278" i="8" s="1"/>
  <c r="H5287" i="5"/>
  <c r="E1341" i="8" s="1"/>
  <c r="H1341" i="8" s="1"/>
  <c r="I1341" i="8" s="1"/>
  <c r="H6425" i="5"/>
  <c r="E2694" i="8" s="1"/>
  <c r="H2694" i="8" s="1"/>
  <c r="I2694" i="8" s="1"/>
  <c r="H7430" i="5"/>
  <c r="H2788" i="5"/>
  <c r="E851" i="8" s="1"/>
  <c r="H3208" i="5"/>
  <c r="E925" i="8" s="1"/>
  <c r="F925" i="8" s="1"/>
  <c r="H3240" i="5"/>
  <c r="E929" i="8" s="1"/>
  <c r="H929" i="8" s="1"/>
  <c r="H3268" i="5"/>
  <c r="E933" i="8" s="1"/>
  <c r="H3406" i="5"/>
  <c r="E959" i="8" s="1"/>
  <c r="F959" i="8" s="1"/>
  <c r="H3931" i="5"/>
  <c r="E1073" i="8" s="1"/>
  <c r="H4256" i="5"/>
  <c r="E1130" i="8" s="1"/>
  <c r="H4418" i="5"/>
  <c r="E1146" i="8" s="1"/>
  <c r="H4549" i="5"/>
  <c r="E1164" i="8" s="1"/>
  <c r="H5459" i="5"/>
  <c r="E1382" i="8" s="1"/>
  <c r="F1382" i="8" s="1"/>
  <c r="H5478" i="5"/>
  <c r="E1392" i="8" s="1"/>
  <c r="H5488" i="5"/>
  <c r="E1395" i="8" s="1"/>
  <c r="H6139" i="5"/>
  <c r="E2384" i="8" s="1"/>
  <c r="F2384" i="8" s="1"/>
  <c r="H6283" i="5"/>
  <c r="E2612" i="8" s="1"/>
  <c r="F2612" i="8" s="1"/>
  <c r="H6482" i="5"/>
  <c r="E2714" i="8" s="1"/>
  <c r="H2714" i="8" s="1"/>
  <c r="I2714" i="8" s="1"/>
  <c r="H7406" i="5"/>
  <c r="E3257" i="8" s="1"/>
  <c r="H1877" i="5"/>
  <c r="E310" i="8" s="1"/>
  <c r="H310" i="8" s="1"/>
  <c r="I310" i="8" s="1"/>
  <c r="H2342" i="5"/>
  <c r="E377" i="8" s="1"/>
  <c r="H2352" i="5"/>
  <c r="E379" i="8" s="1"/>
  <c r="F379" i="8" s="1"/>
  <c r="H2773" i="5"/>
  <c r="E849" i="8" s="1"/>
  <c r="H3163" i="5"/>
  <c r="E918" i="8" s="1"/>
  <c r="F918" i="8" s="1"/>
  <c r="H3174" i="5"/>
  <c r="E920" i="8" s="1"/>
  <c r="H3386" i="5"/>
  <c r="E955" i="8" s="1"/>
  <c r="H4364" i="5"/>
  <c r="E1140" i="8" s="1"/>
  <c r="H4518" i="5"/>
  <c r="E1159" i="8" s="1"/>
  <c r="F1159" i="8" s="1"/>
  <c r="H4655" i="5"/>
  <c r="E1176" i="8" s="1"/>
  <c r="H4781" i="5"/>
  <c r="E1238" i="8" s="1"/>
  <c r="F1238" i="8" s="1"/>
  <c r="H5031" i="5"/>
  <c r="E1284" i="8" s="1"/>
  <c r="H1284" i="8" s="1"/>
  <c r="I1284" i="8" s="1"/>
  <c r="H5330" i="5"/>
  <c r="E1355" i="8" s="1"/>
  <c r="F1355" i="8" s="1"/>
  <c r="H6193" i="5"/>
  <c r="E2599" i="8" s="1"/>
  <c r="H7435" i="5"/>
  <c r="E3262" i="8" s="1"/>
  <c r="F3262" i="8" s="1"/>
  <c r="H506" i="8"/>
  <c r="I506" i="8" s="1"/>
  <c r="H1898" i="8"/>
  <c r="I1898" i="8" s="1"/>
  <c r="H2891" i="8"/>
  <c r="I2891" i="8" s="1"/>
  <c r="H2593" i="8"/>
  <c r="I2593" i="8" s="1"/>
  <c r="H1867" i="8"/>
  <c r="I1867" i="8" s="1"/>
  <c r="H1923" i="8"/>
  <c r="H2900" i="8"/>
  <c r="I2900" i="8" s="1"/>
  <c r="H1361" i="8"/>
  <c r="H567" i="8"/>
  <c r="I567" i="8" s="1"/>
  <c r="H67" i="5"/>
  <c r="E18" i="8" s="1"/>
  <c r="F18" i="8" s="1"/>
  <c r="H114" i="5"/>
  <c r="E28" i="8" s="1"/>
  <c r="H124" i="5"/>
  <c r="E30" i="8" s="1"/>
  <c r="H243" i="5"/>
  <c r="E62" i="8" s="1"/>
  <c r="H443" i="5"/>
  <c r="E96" i="8" s="1"/>
  <c r="H96" i="8" s="1"/>
  <c r="I96" i="8" s="1"/>
  <c r="H786" i="5"/>
  <c r="E148" i="8" s="1"/>
  <c r="F148" i="8" s="1"/>
  <c r="H848" i="5"/>
  <c r="E157" i="8" s="1"/>
  <c r="F157" i="8" s="1"/>
  <c r="H865" i="5"/>
  <c r="E160" i="8" s="1"/>
  <c r="H1119" i="5"/>
  <c r="E198" i="8" s="1"/>
  <c r="H1303" i="5"/>
  <c r="E226" i="8" s="1"/>
  <c r="H226" i="8" s="1"/>
  <c r="H1364" i="5"/>
  <c r="E235" i="8" s="1"/>
  <c r="H1531" i="5"/>
  <c r="E252" i="8" s="1"/>
  <c r="H252" i="8" s="1"/>
  <c r="I252" i="8" s="1"/>
  <c r="H1628" i="5"/>
  <c r="E266" i="8" s="1"/>
  <c r="H1828" i="5"/>
  <c r="E302" i="8" s="1"/>
  <c r="H1835" i="5"/>
  <c r="E303" i="8" s="1"/>
  <c r="H303" i="8" s="1"/>
  <c r="I303" i="8" s="1"/>
  <c r="H1841" i="5"/>
  <c r="E304" i="8" s="1"/>
  <c r="H1883" i="5"/>
  <c r="E311" i="8" s="1"/>
  <c r="H311" i="8" s="1"/>
  <c r="I311" i="8" s="1"/>
  <c r="H2163" i="5"/>
  <c r="E352" i="8" s="1"/>
  <c r="H2215" i="5"/>
  <c r="E361" i="8" s="1"/>
  <c r="H2794" i="5"/>
  <c r="E852" i="8" s="1"/>
  <c r="H852" i="8" s="1"/>
  <c r="I852" i="8" s="1"/>
  <c r="H3003" i="5"/>
  <c r="E889" i="8" s="1"/>
  <c r="H3013" i="5"/>
  <c r="E891" i="8" s="1"/>
  <c r="F891" i="8" s="1"/>
  <c r="H3023" i="5"/>
  <c r="E893" i="8" s="1"/>
  <c r="H3033" i="5"/>
  <c r="E895" i="8" s="1"/>
  <c r="F895" i="8" s="1"/>
  <c r="H3043" i="5"/>
  <c r="E897" i="8" s="1"/>
  <c r="F897" i="8" s="1"/>
  <c r="H3056" i="5"/>
  <c r="E899" i="8" s="1"/>
  <c r="H3475" i="5"/>
  <c r="E969" i="8" s="1"/>
  <c r="H3727" i="5"/>
  <c r="E1016" i="8" s="1"/>
  <c r="F1016" i="8" s="1"/>
  <c r="H3776" i="5"/>
  <c r="E1038" i="8" s="1"/>
  <c r="H4040" i="5"/>
  <c r="E1094" i="8" s="1"/>
  <c r="H4129" i="5"/>
  <c r="E1112" i="8" s="1"/>
  <c r="F1112" i="8" s="1"/>
  <c r="H25" i="5"/>
  <c r="E10" i="8" s="1"/>
  <c r="H72" i="5"/>
  <c r="E19" i="8" s="1"/>
  <c r="H85" i="5"/>
  <c r="E22" i="8" s="1"/>
  <c r="H95" i="5"/>
  <c r="E24" i="8" s="1"/>
  <c r="H24" i="8" s="1"/>
  <c r="I24" i="8" s="1"/>
  <c r="H164" i="5"/>
  <c r="E38" i="8" s="1"/>
  <c r="H193" i="5"/>
  <c r="E44" i="8" s="1"/>
  <c r="H222" i="5"/>
  <c r="E50" i="8" s="1"/>
  <c r="H50" i="8" s="1"/>
  <c r="H279" i="5"/>
  <c r="E80" i="8" s="1"/>
  <c r="H80" i="8" s="1"/>
  <c r="H492" i="5"/>
  <c r="E102" i="8" s="1"/>
  <c r="F102" i="8" s="1"/>
  <c r="H564" i="5"/>
  <c r="E112" i="8" s="1"/>
  <c r="H112" i="8" s="1"/>
  <c r="H1289" i="5"/>
  <c r="E224" i="8" s="1"/>
  <c r="H1383" i="5"/>
  <c r="E238" i="8" s="1"/>
  <c r="H1389" i="5"/>
  <c r="E239" i="8" s="1"/>
  <c r="F239" i="8" s="1"/>
  <c r="H1598" i="5"/>
  <c r="E261" i="8" s="1"/>
  <c r="H261" i="8" s="1"/>
  <c r="I261" i="8" s="1"/>
  <c r="H1639" i="5"/>
  <c r="E268" i="8" s="1"/>
  <c r="H1645" i="5"/>
  <c r="E269" i="8" s="1"/>
  <c r="H1662" i="5"/>
  <c r="E272" i="8" s="1"/>
  <c r="H272" i="8" s="1"/>
  <c r="I272" i="8" s="1"/>
  <c r="H1717" i="5"/>
  <c r="E280" i="8" s="1"/>
  <c r="H280" i="8" s="1"/>
  <c r="I280" i="8" s="1"/>
  <c r="H1928" i="5"/>
  <c r="E319" i="8" s="1"/>
  <c r="H2127" i="5"/>
  <c r="E347" i="8" s="1"/>
  <c r="H347" i="8" s="1"/>
  <c r="I347" i="8" s="1"/>
  <c r="H2248" i="5"/>
  <c r="E365" i="8" s="1"/>
  <c r="F365" i="8" s="1"/>
  <c r="H2573" i="5"/>
  <c r="E573" i="8" s="1"/>
  <c r="F573" i="8" s="1"/>
  <c r="H2589" i="5"/>
  <c r="E575" i="8" s="1"/>
  <c r="H3337" i="5"/>
  <c r="E943" i="8" s="1"/>
  <c r="H943" i="8" s="1"/>
  <c r="I943" i="8" s="1"/>
  <c r="H4328" i="5"/>
  <c r="E1136" i="8" s="1"/>
  <c r="F1136" i="8" s="1"/>
  <c r="H4476" i="5"/>
  <c r="E1155" i="8" s="1"/>
  <c r="H55" i="5"/>
  <c r="E16" i="8" s="1"/>
  <c r="F16" i="8" s="1"/>
  <c r="H169" i="5"/>
  <c r="E39" i="8" s="1"/>
  <c r="H344" i="5"/>
  <c r="E86" i="8" s="1"/>
  <c r="H86" i="8" s="1"/>
  <c r="I86" i="8" s="1"/>
  <c r="H556" i="5"/>
  <c r="E111" i="8" s="1"/>
  <c r="H111" i="8" s="1"/>
  <c r="I111" i="8" s="1"/>
  <c r="H835" i="5"/>
  <c r="E155" i="8" s="1"/>
  <c r="H853" i="5"/>
  <c r="E158" i="8" s="1"/>
  <c r="H1055" i="5"/>
  <c r="E190" i="8" s="1"/>
  <c r="H1062" i="5"/>
  <c r="E191" i="8" s="1"/>
  <c r="H1101" i="5"/>
  <c r="E196" i="8" s="1"/>
  <c r="H1275" i="5"/>
  <c r="E222" i="8" s="1"/>
  <c r="H222" i="8" s="1"/>
  <c r="H1282" i="5"/>
  <c r="E223" i="8" s="1"/>
  <c r="H1376" i="5"/>
  <c r="E237" i="8" s="1"/>
  <c r="F237" i="8" s="1"/>
  <c r="H1571" i="5"/>
  <c r="E258" i="8" s="1"/>
  <c r="H1685" i="5"/>
  <c r="E276" i="8" s="1"/>
  <c r="F276" i="8" s="1"/>
  <c r="H1739" i="5"/>
  <c r="E282" i="8" s="1"/>
  <c r="H282" i="8" s="1"/>
  <c r="I282" i="8" s="1"/>
  <c r="H1785" i="5"/>
  <c r="E288" i="8" s="1"/>
  <c r="H288" i="8" s="1"/>
  <c r="I288" i="8" s="1"/>
  <c r="H1792" i="5"/>
  <c r="E289" i="8" s="1"/>
  <c r="H1871" i="5"/>
  <c r="E309" i="8" s="1"/>
  <c r="H2318" i="5"/>
  <c r="E373" i="8" s="1"/>
  <c r="H2778" i="5"/>
  <c r="E850" i="8" s="1"/>
  <c r="H2814" i="5"/>
  <c r="E855" i="8" s="1"/>
  <c r="H2824" i="5"/>
  <c r="E857" i="8" s="1"/>
  <c r="H2836" i="5"/>
  <c r="E859" i="8" s="1"/>
  <c r="H2846" i="5"/>
  <c r="E861" i="8" s="1"/>
  <c r="F861" i="8" s="1"/>
  <c r="H2856" i="5"/>
  <c r="E863" i="8" s="1"/>
  <c r="F863" i="8" s="1"/>
  <c r="H2866" i="5"/>
  <c r="E865" i="8" s="1"/>
  <c r="F865" i="8" s="1"/>
  <c r="H3234" i="5"/>
  <c r="E928" i="8" s="1"/>
  <c r="F928" i="8" s="1"/>
  <c r="H3544" i="5"/>
  <c r="E975" i="8" s="1"/>
  <c r="H3613" i="5"/>
  <c r="E985" i="8" s="1"/>
  <c r="H3679" i="5"/>
  <c r="E995" i="8" s="1"/>
  <c r="H609" i="5"/>
  <c r="E117" i="8" s="1"/>
  <c r="H739" i="5"/>
  <c r="E136" i="8" s="1"/>
  <c r="H870" i="5"/>
  <c r="E161" i="8" s="1"/>
  <c r="F161" i="8" s="1"/>
  <c r="H2037" i="5"/>
  <c r="E335" i="8" s="1"/>
  <c r="H2069" i="5"/>
  <c r="E339" i="8" s="1"/>
  <c r="H2195" i="5"/>
  <c r="E356" i="8" s="1"/>
  <c r="F356" i="8" s="1"/>
  <c r="H2101" i="5"/>
  <c r="E343" i="8" s="1"/>
  <c r="H343" i="8" s="1"/>
  <c r="I343" i="8" s="1"/>
  <c r="H2264" i="5"/>
  <c r="E367" i="8" s="1"/>
  <c r="H2378" i="5"/>
  <c r="E383" i="8" s="1"/>
  <c r="H3081" i="5"/>
  <c r="E903" i="8" s="1"/>
  <c r="H3169" i="5"/>
  <c r="E919" i="8" s="1"/>
  <c r="F919" i="8" s="1"/>
  <c r="H3343" i="5"/>
  <c r="E945" i="8" s="1"/>
  <c r="F945" i="8" s="1"/>
  <c r="H3391" i="5"/>
  <c r="E956" i="8" s="1"/>
  <c r="H3399" i="5"/>
  <c r="E958" i="8" s="1"/>
  <c r="H3551" i="5"/>
  <c r="E976" i="8" s="1"/>
  <c r="F976" i="8" s="1"/>
  <c r="H3607" i="5"/>
  <c r="E983" i="8" s="1"/>
  <c r="F983" i="8" s="1"/>
  <c r="H3641" i="5"/>
  <c r="E989" i="8" s="1"/>
  <c r="F989" i="8" s="1"/>
  <c r="H3742" i="5"/>
  <c r="E1018" i="8" s="1"/>
  <c r="F1018" i="8" s="1"/>
  <c r="H3751" i="5"/>
  <c r="E1019" i="8" s="1"/>
  <c r="H3770" i="5"/>
  <c r="E1037" i="8" s="1"/>
  <c r="H3800" i="5"/>
  <c r="E1042" i="8" s="1"/>
  <c r="H3824" i="5"/>
  <c r="E1046" i="8" s="1"/>
  <c r="H3856" i="5"/>
  <c r="E1065" i="8" s="1"/>
  <c r="F1065" i="8" s="1"/>
  <c r="H4031" i="5"/>
  <c r="E1093" i="8" s="1"/>
  <c r="F1093" i="8" s="1"/>
  <c r="H4091" i="5"/>
  <c r="E1103" i="8" s="1"/>
  <c r="H4197" i="5"/>
  <c r="E1121" i="8" s="1"/>
  <c r="H4225" i="5"/>
  <c r="E1125" i="8" s="1"/>
  <c r="F1125" i="8" s="1"/>
  <c r="H4247" i="5"/>
  <c r="E1129" i="8" s="1"/>
  <c r="H4806" i="5"/>
  <c r="E1245" i="8" s="1"/>
  <c r="H4821" i="5"/>
  <c r="E1248" i="8" s="1"/>
  <c r="H4837" i="5"/>
  <c r="E1250" i="8" s="1"/>
  <c r="H4877" i="5"/>
  <c r="E1255" i="8" s="1"/>
  <c r="H5085" i="5"/>
  <c r="E1292" i="8" s="1"/>
  <c r="H1292" i="8" s="1"/>
  <c r="H5234" i="5"/>
  <c r="E1333" i="8" s="1"/>
  <c r="H5336" i="5"/>
  <c r="E1356" i="8" s="1"/>
  <c r="H5382" i="5"/>
  <c r="E1364" i="8" s="1"/>
  <c r="F1364" i="8" s="1"/>
  <c r="H6198" i="5"/>
  <c r="E2600" i="8" s="1"/>
  <c r="F2600" i="8" s="1"/>
  <c r="H6401" i="5"/>
  <c r="E2683" i="8" s="1"/>
  <c r="F2683" i="8" s="1"/>
  <c r="H6440" i="5"/>
  <c r="E2697" i="8" s="1"/>
  <c r="H7493" i="5"/>
  <c r="E3271" i="8" s="1"/>
  <c r="H4536" i="5"/>
  <c r="E1162" i="8" s="1"/>
  <c r="F1162" i="8" s="1"/>
  <c r="H4704" i="5"/>
  <c r="E1182" i="8" s="1"/>
  <c r="H5293" i="5"/>
  <c r="E1344" i="8" s="1"/>
  <c r="H5324" i="5"/>
  <c r="E1354" i="8" s="1"/>
  <c r="F1354" i="8" s="1"/>
  <c r="H7333" i="5"/>
  <c r="E3243" i="8" s="1"/>
  <c r="F3243" i="8" s="1"/>
  <c r="H4995" i="5"/>
  <c r="E1274" i="8" s="1"/>
  <c r="H1274" i="8" s="1"/>
  <c r="I1274" i="8" s="1"/>
  <c r="H5051" i="5"/>
  <c r="H6359" i="5"/>
  <c r="E2619" i="8" s="1"/>
  <c r="H7449" i="5"/>
  <c r="E3264" i="8" s="1"/>
  <c r="F3264" i="8" s="1"/>
  <c r="H7456" i="5"/>
  <c r="E3265" i="8" s="1"/>
  <c r="H3076" i="5"/>
  <c r="E902" i="8" s="1"/>
  <c r="H3228" i="5"/>
  <c r="E927" i="8" s="1"/>
  <c r="H927" i="8" s="1"/>
  <c r="I927" i="8" s="1"/>
  <c r="H3282" i="5"/>
  <c r="E935" i="8" s="1"/>
  <c r="F935" i="8" s="1"/>
  <c r="H3310" i="5"/>
  <c r="E939" i="8" s="1"/>
  <c r="H3331" i="5"/>
  <c r="E942" i="8" s="1"/>
  <c r="H942" i="8" s="1"/>
  <c r="I942" i="8" s="1"/>
  <c r="H3579" i="5"/>
  <c r="E979" i="8" s="1"/>
  <c r="H3900" i="5"/>
  <c r="E1069" i="8" s="1"/>
  <c r="H4018" i="5"/>
  <c r="E1085" i="8" s="1"/>
  <c r="F1085" i="8" s="1"/>
  <c r="H4058" i="5"/>
  <c r="E1097" i="8" s="1"/>
  <c r="F1097" i="8" s="1"/>
  <c r="H4355" i="5"/>
  <c r="E1139" i="8" s="1"/>
  <c r="H4373" i="5"/>
  <c r="E1141" i="8" s="1"/>
  <c r="H4392" i="5"/>
  <c r="E1143" i="8" s="1"/>
  <c r="H4598" i="5"/>
  <c r="E1169" i="8" s="1"/>
  <c r="F1169" i="8" s="1"/>
  <c r="H4615" i="5"/>
  <c r="E1171" i="8" s="1"/>
  <c r="F1171" i="8" s="1"/>
  <c r="H4695" i="5"/>
  <c r="E1181" i="8" s="1"/>
  <c r="H4786" i="5"/>
  <c r="E1240" i="8" s="1"/>
  <c r="H4796" i="5"/>
  <c r="E1241" i="8" s="1"/>
  <c r="F1241" i="8" s="1"/>
  <c r="H5013" i="5"/>
  <c r="E1277" i="8" s="1"/>
  <c r="H5043" i="5"/>
  <c r="E1286" i="8" s="1"/>
  <c r="H5152" i="5"/>
  <c r="E1319" i="8" s="1"/>
  <c r="F1319" i="8" s="1"/>
  <c r="H5160" i="5"/>
  <c r="E1320" i="8" s="1"/>
  <c r="F1320" i="8" s="1"/>
  <c r="H5254" i="5"/>
  <c r="E1337" i="8" s="1"/>
  <c r="F1337" i="8" s="1"/>
  <c r="H6188" i="5"/>
  <c r="E2598" i="8" s="1"/>
  <c r="H6206" i="5"/>
  <c r="H6214" i="5"/>
  <c r="E2602" i="8" s="1"/>
  <c r="F2602" i="8" s="1"/>
  <c r="H6412" i="5"/>
  <c r="E2685" i="8" s="1"/>
  <c r="H7238" i="5"/>
  <c r="H1566" i="8"/>
  <c r="I1566" i="8" s="1"/>
  <c r="H1834" i="8"/>
  <c r="I1834" i="8" s="1"/>
  <c r="H572" i="5"/>
  <c r="E113" i="8" s="1"/>
  <c r="F113" i="8" s="1"/>
  <c r="H582" i="5"/>
  <c r="E114" i="8" s="1"/>
  <c r="F114" i="8" s="1"/>
  <c r="H2234" i="5"/>
  <c r="E364" i="8" s="1"/>
  <c r="H3508" i="5"/>
  <c r="E972" i="8" s="1"/>
  <c r="H972" i="8" s="1"/>
  <c r="I972" i="8" s="1"/>
  <c r="H717" i="5"/>
  <c r="E133" i="8" s="1"/>
  <c r="H2147" i="5"/>
  <c r="E350" i="8" s="1"/>
  <c r="H350" i="8" s="1"/>
  <c r="H2179" i="5"/>
  <c r="E354" i="8" s="1"/>
  <c r="F903" i="8"/>
  <c r="H903" i="8"/>
  <c r="I903" i="8" s="1"/>
  <c r="H3443" i="5"/>
  <c r="E966" i="8" s="1"/>
  <c r="F966" i="8" s="1"/>
  <c r="H3712" i="5"/>
  <c r="E999" i="8" s="1"/>
  <c r="F999" i="8" s="1"/>
  <c r="H4400" i="5"/>
  <c r="E1144" i="8" s="1"/>
  <c r="H1144" i="8" s="1"/>
  <c r="I1144" i="8" s="1"/>
  <c r="H50" i="5"/>
  <c r="E15" i="8" s="1"/>
  <c r="F15" i="8" s="1"/>
  <c r="H599" i="5"/>
  <c r="E116" i="8" s="1"/>
  <c r="F116" i="8" s="1"/>
  <c r="H707" i="5"/>
  <c r="E132" i="8" s="1"/>
  <c r="H132" i="8" s="1"/>
  <c r="I132" i="8" s="1"/>
  <c r="H1604" i="5"/>
  <c r="E262" i="8" s="1"/>
  <c r="H262" i="8" s="1"/>
  <c r="I262" i="8" s="1"/>
  <c r="H2021" i="5"/>
  <c r="E333" i="8" s="1"/>
  <c r="H2053" i="5"/>
  <c r="E337" i="8" s="1"/>
  <c r="H337" i="8" s="1"/>
  <c r="I337" i="8" s="1"/>
  <c r="H2085" i="5"/>
  <c r="E341" i="8" s="1"/>
  <c r="F341" i="8" s="1"/>
  <c r="H2284" i="5"/>
  <c r="E369" i="8" s="1"/>
  <c r="H369" i="8" s="1"/>
  <c r="I369" i="8" s="1"/>
  <c r="H3664" i="5"/>
  <c r="E994" i="8" s="1"/>
  <c r="H994" i="8" s="1"/>
  <c r="I994" i="8" s="1"/>
  <c r="H699" i="5"/>
  <c r="E131" i="8" s="1"/>
  <c r="H131" i="8" s="1"/>
  <c r="I131" i="8" s="1"/>
  <c r="F166" i="8"/>
  <c r="H166" i="8"/>
  <c r="I166" i="8" s="1"/>
  <c r="H4567" i="5"/>
  <c r="E1166" i="8" s="1"/>
  <c r="H722" i="8"/>
  <c r="I722" i="8" s="1"/>
  <c r="H404" i="5"/>
  <c r="E92" i="8" s="1"/>
  <c r="H92" i="8" s="1"/>
  <c r="I92" i="8" s="1"/>
  <c r="H425" i="5"/>
  <c r="E94" i="8" s="1"/>
  <c r="H94" i="8" s="1"/>
  <c r="I94" i="8" s="1"/>
  <c r="H467" i="5"/>
  <c r="E99" i="8" s="1"/>
  <c r="H99" i="8" s="1"/>
  <c r="I99" i="8" s="1"/>
  <c r="H618" i="5"/>
  <c r="E118" i="8" s="1"/>
  <c r="H118" i="8" s="1"/>
  <c r="I118" i="8" s="1"/>
  <c r="H632" i="5"/>
  <c r="E120" i="8" s="1"/>
  <c r="H120" i="8" s="1"/>
  <c r="I120" i="8" s="1"/>
  <c r="H679" i="5"/>
  <c r="E129" i="8" s="1"/>
  <c r="F129" i="8" s="1"/>
  <c r="H751" i="5"/>
  <c r="E144" i="8" s="1"/>
  <c r="H886" i="5"/>
  <c r="E163" i="8" s="1"/>
  <c r="H1311" i="5"/>
  <c r="E227" i="8" s="1"/>
  <c r="H1344" i="5"/>
  <c r="E232" i="8" s="1"/>
  <c r="F232" i="8" s="1"/>
  <c r="H1351" i="5"/>
  <c r="E233" i="8" s="1"/>
  <c r="H233" i="8" s="1"/>
  <c r="I233" i="8" s="1"/>
  <c r="H1401" i="5"/>
  <c r="E241" i="8" s="1"/>
  <c r="H241" i="8" s="1"/>
  <c r="I241" i="8" s="1"/>
  <c r="H1408" i="5"/>
  <c r="E242" i="8" s="1"/>
  <c r="F242" i="8" s="1"/>
  <c r="H1423" i="5"/>
  <c r="E243" i="8" s="1"/>
  <c r="F243" i="8" s="1"/>
  <c r="H1438" i="5"/>
  <c r="E244" i="8" s="1"/>
  <c r="H244" i="8" s="1"/>
  <c r="I244" i="8" s="1"/>
  <c r="H1453" i="5"/>
  <c r="E245" i="8" s="1"/>
  <c r="F245" i="8" s="1"/>
  <c r="H1468" i="5"/>
  <c r="E246" i="8" s="1"/>
  <c r="F246" i="8" s="1"/>
  <c r="H1483" i="5"/>
  <c r="E247" i="8" s="1"/>
  <c r="H247" i="8" s="1"/>
  <c r="I247" i="8" s="1"/>
  <c r="H1498" i="5"/>
  <c r="E248" i="8" s="1"/>
  <c r="H1513" i="5"/>
  <c r="E249" i="8" s="1"/>
  <c r="F249" i="8" s="1"/>
  <c r="H1651" i="5"/>
  <c r="E270" i="8" s="1"/>
  <c r="F270" i="8" s="1"/>
  <c r="H1764" i="5"/>
  <c r="E285" i="8" s="1"/>
  <c r="H285" i="8" s="1"/>
  <c r="I285" i="8" s="1"/>
  <c r="H1889" i="5"/>
  <c r="E312" i="8" s="1"/>
  <c r="H312" i="8" s="1"/>
  <c r="I312" i="8" s="1"/>
  <c r="H2061" i="5"/>
  <c r="E338" i="8" s="1"/>
  <c r="H338" i="8" s="1"/>
  <c r="I338" i="8" s="1"/>
  <c r="H2208" i="5"/>
  <c r="E360" i="8" s="1"/>
  <c r="H2254" i="5"/>
  <c r="E366" i="8" s="1"/>
  <c r="F366" i="8" s="1"/>
  <c r="H2363" i="5"/>
  <c r="E381" i="8" s="1"/>
  <c r="H381" i="8" s="1"/>
  <c r="I381" i="8" s="1"/>
  <c r="H2581" i="5"/>
  <c r="E574" i="8" s="1"/>
  <c r="F574" i="8" s="1"/>
  <c r="H2804" i="5"/>
  <c r="E854" i="8" s="1"/>
  <c r="F854" i="8" s="1"/>
  <c r="H2876" i="5"/>
  <c r="E867" i="8" s="1"/>
  <c r="F867" i="8" s="1"/>
  <c r="H2988" i="5"/>
  <c r="E886" i="8" s="1"/>
  <c r="H886" i="8" s="1"/>
  <c r="I886" i="8" s="1"/>
  <c r="H3183" i="5"/>
  <c r="E921" i="8" s="1"/>
  <c r="H921" i="8" s="1"/>
  <c r="I921" i="8" s="1"/>
  <c r="H3275" i="5"/>
  <c r="E934" i="8" s="1"/>
  <c r="F934" i="8" s="1"/>
  <c r="H3464" i="5"/>
  <c r="E968" i="8" s="1"/>
  <c r="F968" i="8" s="1"/>
  <c r="H3525" i="5"/>
  <c r="E973" i="8" s="1"/>
  <c r="F973" i="8" s="1"/>
  <c r="H3573" i="5"/>
  <c r="E978" i="8" s="1"/>
  <c r="F978" i="8" s="1"/>
  <c r="H3646" i="5"/>
  <c r="E991" i="8" s="1"/>
  <c r="H3835" i="5"/>
  <c r="E1059" i="8" s="1"/>
  <c r="H1059" i="8" s="1"/>
  <c r="I1059" i="8" s="1"/>
  <c r="H3846" i="5"/>
  <c r="E1064" i="8" s="1"/>
  <c r="H1064" i="8" s="1"/>
  <c r="I1064" i="8" s="1"/>
  <c r="H4067" i="5"/>
  <c r="E1098" i="8" s="1"/>
  <c r="F1098" i="8" s="1"/>
  <c r="H4085" i="5"/>
  <c r="E1102" i="8" s="1"/>
  <c r="F1102" i="8" s="1"/>
  <c r="H4183" i="5"/>
  <c r="E1119" i="8" s="1"/>
  <c r="H1119" i="8" s="1"/>
  <c r="H4203" i="5"/>
  <c r="E1122" i="8" s="1"/>
  <c r="F1122" i="8" s="1"/>
  <c r="H4346" i="5"/>
  <c r="E1138" i="8" s="1"/>
  <c r="F1138" i="8" s="1"/>
  <c r="H4382" i="5"/>
  <c r="E1142" i="8" s="1"/>
  <c r="H4458" i="5"/>
  <c r="E1153" i="8" s="1"/>
  <c r="H4504" i="5"/>
  <c r="E1157" i="8" s="1"/>
  <c r="F1157" i="8" s="1"/>
  <c r="H4989" i="5"/>
  <c r="E1273" i="8" s="1"/>
  <c r="F1273" i="8" s="1"/>
  <c r="H5219" i="5"/>
  <c r="E1332" i="8" s="1"/>
  <c r="F1332" i="8" s="1"/>
  <c r="H5435" i="5"/>
  <c r="E1378" i="8" s="1"/>
  <c r="H1378" i="8" s="1"/>
  <c r="I1378" i="8" s="1"/>
  <c r="H7477" i="5"/>
  <c r="E3269" i="8" s="1"/>
  <c r="E3043" i="8"/>
  <c r="F3043" i="8" s="1"/>
  <c r="E3038" i="8"/>
  <c r="E3018" i="8"/>
  <c r="F3018" i="8" s="1"/>
  <c r="E3004" i="8"/>
  <c r="F3004" i="8" s="1"/>
  <c r="E2985" i="8"/>
  <c r="F2985" i="8" s="1"/>
  <c r="E2979" i="8"/>
  <c r="E2934" i="8"/>
  <c r="F2934" i="8" s="1"/>
  <c r="E2929" i="8"/>
  <c r="F2929" i="8" s="1"/>
  <c r="E2906" i="8"/>
  <c r="F2906" i="8" s="1"/>
  <c r="E2901" i="8"/>
  <c r="F2901" i="8" s="1"/>
  <c r="E2890" i="8"/>
  <c r="H2890" i="8" s="1"/>
  <c r="I2890" i="8" s="1"/>
  <c r="E2883" i="8"/>
  <c r="E2601" i="8"/>
  <c r="F2601" i="8" s="1"/>
  <c r="E2100" i="8"/>
  <c r="F2100" i="8" s="1"/>
  <c r="E1922" i="8"/>
  <c r="F1922" i="8" s="1"/>
  <c r="E1894" i="8"/>
  <c r="F1894" i="8" s="1"/>
  <c r="E1868" i="8"/>
  <c r="F1868" i="8" s="1"/>
  <c r="E3051" i="8"/>
  <c r="F3051" i="8" s="1"/>
  <c r="E3035" i="8"/>
  <c r="F3035" i="8" s="1"/>
  <c r="E3030" i="8"/>
  <c r="F3030" i="8" s="1"/>
  <c r="E3028" i="8"/>
  <c r="F3028" i="8" s="1"/>
  <c r="E3022" i="8"/>
  <c r="E3001" i="8"/>
  <c r="F3001" i="8" s="1"/>
  <c r="E2992" i="8"/>
  <c r="E2948" i="8"/>
  <c r="F2948" i="8" s="1"/>
  <c r="E2938" i="8"/>
  <c r="E2924" i="8"/>
  <c r="F2924" i="8" s="1"/>
  <c r="E2909" i="8"/>
  <c r="E2898" i="8"/>
  <c r="H2898" i="8" s="1"/>
  <c r="I2898" i="8" s="1"/>
  <c r="E2893" i="8"/>
  <c r="F2893" i="8" s="1"/>
  <c r="E2880" i="8"/>
  <c r="E2875" i="8"/>
  <c r="F2875" i="8" s="1"/>
  <c r="E2857" i="8"/>
  <c r="H2857" i="8" s="1"/>
  <c r="I2857" i="8" s="1"/>
  <c r="E2833" i="8"/>
  <c r="E2819" i="8"/>
  <c r="F2819" i="8" s="1"/>
  <c r="E2815" i="8"/>
  <c r="F2815" i="8" s="1"/>
  <c r="E2748" i="8"/>
  <c r="F2748" i="8" s="1"/>
  <c r="E2740" i="8"/>
  <c r="F2740" i="8" s="1"/>
  <c r="E2299" i="8"/>
  <c r="E1951" i="8"/>
  <c r="H1951" i="8" s="1"/>
  <c r="I1951" i="8" s="1"/>
  <c r="E1902" i="8"/>
  <c r="E1886" i="8"/>
  <c r="E1858" i="8"/>
  <c r="F1858" i="8" s="1"/>
  <c r="E1814" i="8"/>
  <c r="F1814" i="8" s="1"/>
  <c r="E1607" i="8"/>
  <c r="F1607" i="8" s="1"/>
  <c r="E1577" i="8"/>
  <c r="E1287" i="8"/>
  <c r="H1287" i="8" s="1"/>
  <c r="I1287" i="8" s="1"/>
  <c r="E1276" i="8"/>
  <c r="E1088" i="8"/>
  <c r="H1088" i="8" s="1"/>
  <c r="I1088" i="8" s="1"/>
  <c r="A1" i="6"/>
  <c r="E3042" i="8"/>
  <c r="F3042" i="8" s="1"/>
  <c r="E3031" i="8"/>
  <c r="E3024" i="8"/>
  <c r="E3014" i="8"/>
  <c r="F3014" i="8" s="1"/>
  <c r="E2993" i="8"/>
  <c r="F2993" i="8" s="1"/>
  <c r="E2984" i="8"/>
  <c r="E2939" i="8"/>
  <c r="H2939" i="8" s="1"/>
  <c r="I2939" i="8" s="1"/>
  <c r="E2933" i="8"/>
  <c r="E2910" i="8"/>
  <c r="H2910" i="8" s="1"/>
  <c r="I2910" i="8" s="1"/>
  <c r="E2905" i="8"/>
  <c r="E2894" i="8"/>
  <c r="H2894" i="8" s="1"/>
  <c r="I2894" i="8" s="1"/>
  <c r="E2887" i="8"/>
  <c r="E2876" i="8"/>
  <c r="F2876" i="8" s="1"/>
  <c r="E2858" i="8"/>
  <c r="F2858" i="8" s="1"/>
  <c r="E2853" i="8"/>
  <c r="F2853" i="8" s="1"/>
  <c r="E2820" i="8"/>
  <c r="E2816" i="8"/>
  <c r="E2750" i="8"/>
  <c r="E2742" i="8"/>
  <c r="F2742" i="8" s="1"/>
  <c r="E2335" i="8"/>
  <c r="F2335" i="8" s="1"/>
  <c r="E2087" i="8"/>
  <c r="F2087" i="8" s="1"/>
  <c r="E1906" i="8"/>
  <c r="E1890" i="8"/>
  <c r="H1890" i="8" s="1"/>
  <c r="I1890" i="8" s="1"/>
  <c r="E1863" i="8"/>
  <c r="F1863" i="8" s="1"/>
  <c r="E1847" i="8"/>
  <c r="E1837" i="8"/>
  <c r="F1837" i="8" s="1"/>
  <c r="E1818" i="8"/>
  <c r="F1818" i="8" s="1"/>
  <c r="E1604" i="8"/>
  <c r="H147" i="5"/>
  <c r="E35" i="8" s="1"/>
  <c r="H251" i="5"/>
  <c r="E75" i="8" s="1"/>
  <c r="F75" i="8" s="1"/>
  <c r="H271" i="5"/>
  <c r="E79" i="8" s="1"/>
  <c r="H79" i="8" s="1"/>
  <c r="I79" i="8" s="1"/>
  <c r="H354" i="5"/>
  <c r="E87" i="8" s="1"/>
  <c r="H87" i="8" s="1"/>
  <c r="I87" i="8" s="1"/>
  <c r="H383" i="5"/>
  <c r="E90" i="8" s="1"/>
  <c r="F90" i="8" s="1"/>
  <c r="H457" i="5"/>
  <c r="E98" i="8" s="1"/>
  <c r="F98" i="8" s="1"/>
  <c r="H534" i="5"/>
  <c r="E108" i="8" s="1"/>
  <c r="F108" i="8" s="1"/>
  <c r="H548" i="5"/>
  <c r="E110" i="8" s="1"/>
  <c r="F110" i="8" s="1"/>
  <c r="H624" i="5"/>
  <c r="E119" i="8" s="1"/>
  <c r="H119" i="8" s="1"/>
  <c r="I119" i="8" s="1"/>
  <c r="H640" i="5"/>
  <c r="E121" i="8" s="1"/>
  <c r="H733" i="5"/>
  <c r="E135" i="8" s="1"/>
  <c r="H135" i="8" s="1"/>
  <c r="I135" i="8" s="1"/>
  <c r="H758" i="5"/>
  <c r="E145" i="8" s="1"/>
  <c r="H145" i="8" s="1"/>
  <c r="I145" i="8" s="1"/>
  <c r="H842" i="5"/>
  <c r="E156" i="8" s="1"/>
  <c r="F156" i="8" s="1"/>
  <c r="H925" i="5"/>
  <c r="E173" i="8" s="1"/>
  <c r="F173" i="8" s="1"/>
  <c r="H941" i="5"/>
  <c r="E175" i="8" s="1"/>
  <c r="F175" i="8" s="1"/>
  <c r="H950" i="5"/>
  <c r="E176" i="8" s="1"/>
  <c r="F176" i="8" s="1"/>
  <c r="H1029" i="5"/>
  <c r="E187" i="8" s="1"/>
  <c r="H187" i="8" s="1"/>
  <c r="I187" i="8" s="1"/>
  <c r="H1048" i="5"/>
  <c r="E189" i="8" s="1"/>
  <c r="F189" i="8" s="1"/>
  <c r="H1085" i="5"/>
  <c r="E194" i="8" s="1"/>
  <c r="H194" i="8" s="1"/>
  <c r="I194" i="8" s="1"/>
  <c r="H1093" i="5"/>
  <c r="E195" i="8" s="1"/>
  <c r="F195" i="8" s="1"/>
  <c r="H1135" i="5"/>
  <c r="E201" i="8" s="1"/>
  <c r="F201" i="8" s="1"/>
  <c r="H1140" i="5"/>
  <c r="E202" i="8" s="1"/>
  <c r="F202" i="8" s="1"/>
  <c r="H1147" i="5"/>
  <c r="E203" i="8" s="1"/>
  <c r="H203" i="8" s="1"/>
  <c r="I203" i="8" s="1"/>
  <c r="H1154" i="5"/>
  <c r="E204" i="8" s="1"/>
  <c r="F204" i="8" s="1"/>
  <c r="H1161" i="5"/>
  <c r="E205" i="8" s="1"/>
  <c r="F205" i="8" s="1"/>
  <c r="H1168" i="5"/>
  <c r="E206" i="8" s="1"/>
  <c r="F206" i="8" s="1"/>
  <c r="H1175" i="5"/>
  <c r="E207" i="8" s="1"/>
  <c r="H207" i="8" s="1"/>
  <c r="I207" i="8" s="1"/>
  <c r="H1182" i="5"/>
  <c r="E208" i="8" s="1"/>
  <c r="H208" i="8" s="1"/>
  <c r="I208" i="8" s="1"/>
  <c r="H1189" i="5"/>
  <c r="E209" i="8" s="1"/>
  <c r="F209" i="8" s="1"/>
  <c r="H1196" i="5"/>
  <c r="E210" i="8" s="1"/>
  <c r="H210" i="8" s="1"/>
  <c r="I210" i="8" s="1"/>
  <c r="H1203" i="5"/>
  <c r="E211" i="8" s="1"/>
  <c r="H211" i="8" s="1"/>
  <c r="I211" i="8" s="1"/>
  <c r="H1210" i="5"/>
  <c r="E212" i="8" s="1"/>
  <c r="F212" i="8" s="1"/>
  <c r="H1217" i="5"/>
  <c r="E213" i="8" s="1"/>
  <c r="H1224" i="5"/>
  <c r="E214" i="8" s="1"/>
  <c r="H1338" i="5"/>
  <c r="E231" i="8" s="1"/>
  <c r="F231" i="8" s="1"/>
  <c r="H1537" i="5"/>
  <c r="E253" i="8" s="1"/>
  <c r="F253" i="8" s="1"/>
  <c r="H1550" i="5"/>
  <c r="E255" i="8" s="1"/>
  <c r="H255" i="8" s="1"/>
  <c r="I255" i="8" s="1"/>
  <c r="H1678" i="5"/>
  <c r="E275" i="8" s="1"/>
  <c r="H275" i="8" s="1"/>
  <c r="I275" i="8" s="1"/>
  <c r="H1778" i="5"/>
  <c r="E287" i="8" s="1"/>
  <c r="H287" i="8" s="1"/>
  <c r="I287" i="8" s="1"/>
  <c r="H1811" i="5"/>
  <c r="E299" i="8" s="1"/>
  <c r="H299" i="8" s="1"/>
  <c r="I299" i="8" s="1"/>
  <c r="H1853" i="5"/>
  <c r="E306" i="8" s="1"/>
  <c r="H306" i="8" s="1"/>
  <c r="I306" i="8" s="1"/>
  <c r="H1907" i="5"/>
  <c r="E315" i="8" s="1"/>
  <c r="H315" i="8" s="1"/>
  <c r="I315" i="8" s="1"/>
  <c r="H1917" i="5"/>
  <c r="E317" i="8" s="1"/>
  <c r="H317" i="8" s="1"/>
  <c r="I317" i="8" s="1"/>
  <c r="H1951" i="5"/>
  <c r="E323" i="8" s="1"/>
  <c r="F323" i="8" s="1"/>
  <c r="H1957" i="5"/>
  <c r="E324" i="8" s="1"/>
  <c r="F324" i="8" s="1"/>
  <c r="H1964" i="5"/>
  <c r="E325" i="8" s="1"/>
  <c r="H1979" i="5"/>
  <c r="E327" i="8" s="1"/>
  <c r="H327" i="8" s="1"/>
  <c r="I327" i="8" s="1"/>
  <c r="H2045" i="5"/>
  <c r="E336" i="8" s="1"/>
  <c r="H2203" i="5"/>
  <c r="E359" i="8" s="1"/>
  <c r="F359" i="8" s="1"/>
  <c r="H2311" i="5"/>
  <c r="E372" i="8" s="1"/>
  <c r="H372" i="8" s="1"/>
  <c r="I372" i="8" s="1"/>
  <c r="H2330" i="5"/>
  <c r="E375" i="8" s="1"/>
  <c r="H375" i="8" s="1"/>
  <c r="I375" i="8" s="1"/>
  <c r="H2391" i="5"/>
  <c r="E385" i="8" s="1"/>
  <c r="H2888" i="5"/>
  <c r="E869" i="8" s="1"/>
  <c r="F869" i="8" s="1"/>
  <c r="H2898" i="5"/>
  <c r="E871" i="8" s="1"/>
  <c r="H2914" i="5"/>
  <c r="E873" i="8" s="1"/>
  <c r="H873" i="8" s="1"/>
  <c r="I873" i="8" s="1"/>
  <c r="H2930" i="5"/>
  <c r="E875" i="8" s="1"/>
  <c r="H2943" i="5"/>
  <c r="E877" i="8" s="1"/>
  <c r="H2953" i="5"/>
  <c r="E879" i="8" s="1"/>
  <c r="F879" i="8" s="1"/>
  <c r="H2963" i="5"/>
  <c r="E881" i="8" s="1"/>
  <c r="F881" i="8" s="1"/>
  <c r="H2973" i="5"/>
  <c r="E883" i="8" s="1"/>
  <c r="F883" i="8" s="1"/>
  <c r="H2983" i="5"/>
  <c r="E885" i="8" s="1"/>
  <c r="F885" i="8" s="1"/>
  <c r="H3089" i="5"/>
  <c r="E904" i="8" s="1"/>
  <c r="H3099" i="5"/>
  <c r="E906" i="8" s="1"/>
  <c r="F906" i="8" s="1"/>
  <c r="H3109" i="5"/>
  <c r="E908" i="8" s="1"/>
  <c r="H3119" i="5"/>
  <c r="E910" i="8" s="1"/>
  <c r="F910" i="8" s="1"/>
  <c r="H3129" i="5"/>
  <c r="E912" i="8" s="1"/>
  <c r="F912" i="8" s="1"/>
  <c r="H3140" i="5"/>
  <c r="E914" i="8" s="1"/>
  <c r="F914" i="8" s="1"/>
  <c r="H3191" i="5"/>
  <c r="E922" i="8" s="1"/>
  <c r="H922" i="8" s="1"/>
  <c r="I922" i="8" s="1"/>
  <c r="H3256" i="5"/>
  <c r="E931" i="8" s="1"/>
  <c r="H931" i="8" s="1"/>
  <c r="I931" i="8" s="1"/>
  <c r="H3289" i="5"/>
  <c r="E936" i="8" s="1"/>
  <c r="F936" i="8" s="1"/>
  <c r="H3357" i="5"/>
  <c r="E948" i="8" s="1"/>
  <c r="H3371" i="5"/>
  <c r="E951" i="8" s="1"/>
  <c r="H3483" i="5"/>
  <c r="E970" i="8" s="1"/>
  <c r="H3500" i="5"/>
  <c r="E971" i="8" s="1"/>
  <c r="H3594" i="5"/>
  <c r="E981" i="8" s="1"/>
  <c r="H981" i="8" s="1"/>
  <c r="I981" i="8" s="1"/>
  <c r="H3782" i="5"/>
  <c r="E1039" i="8" s="1"/>
  <c r="H3788" i="5"/>
  <c r="E1040" i="8" s="1"/>
  <c r="F1040" i="8" s="1"/>
  <c r="H3806" i="5"/>
  <c r="E1043" i="8" s="1"/>
  <c r="F1043" i="8" s="1"/>
  <c r="H3812" i="5"/>
  <c r="E1044" i="8" s="1"/>
  <c r="F1044" i="8" s="1"/>
  <c r="H4137" i="5"/>
  <c r="E1113" i="8" s="1"/>
  <c r="F1113" i="8" s="1"/>
  <c r="H4268" i="5"/>
  <c r="E1132" i="8" s="1"/>
  <c r="F1132" i="8" s="1"/>
  <c r="H4470" i="5"/>
  <c r="E1154" i="8" s="1"/>
  <c r="F1154" i="8" s="1"/>
  <c r="H4496" i="5"/>
  <c r="E1156" i="8" s="1"/>
  <c r="F1156" i="8" s="1"/>
  <c r="H4544" i="5"/>
  <c r="E1163" i="8" s="1"/>
  <c r="H4671" i="5"/>
  <c r="E1178" i="8" s="1"/>
  <c r="H4845" i="5"/>
  <c r="E1251" i="8" s="1"/>
  <c r="H1251" i="8" s="1"/>
  <c r="I1251" i="8" s="1"/>
  <c r="H4983" i="5"/>
  <c r="E1272" i="8" s="1"/>
  <c r="F1272" i="8" s="1"/>
  <c r="H5037" i="5"/>
  <c r="E1285" i="8" s="1"/>
  <c r="H5065" i="5"/>
  <c r="E1289" i="8" s="1"/>
  <c r="H5111" i="5"/>
  <c r="E1301" i="8" s="1"/>
  <c r="H1301" i="8" s="1"/>
  <c r="I1301" i="8" s="1"/>
  <c r="H5136" i="5"/>
  <c r="E1317" i="8" s="1"/>
  <c r="F1317" i="8" s="1"/>
  <c r="H5166" i="5"/>
  <c r="E1321" i="8" s="1"/>
  <c r="H5196" i="5"/>
  <c r="E1330" i="8" s="1"/>
  <c r="F1330" i="8" s="1"/>
  <c r="H5267" i="5"/>
  <c r="E1339" i="8" s="1"/>
  <c r="F1339" i="8" s="1"/>
  <c r="H5425" i="5"/>
  <c r="E1375" i="8" s="1"/>
  <c r="F1375" i="8" s="1"/>
  <c r="H7378" i="5"/>
  <c r="E3253" i="8" s="1"/>
  <c r="H1189" i="8"/>
  <c r="I1189" i="8" s="1"/>
  <c r="H329" i="5"/>
  <c r="E85" i="8" s="1"/>
  <c r="H85" i="8" s="1"/>
  <c r="I85" i="8" s="1"/>
  <c r="H374" i="5"/>
  <c r="E89" i="8" s="1"/>
  <c r="F89" i="8" s="1"/>
  <c r="H540" i="5"/>
  <c r="E109" i="8" s="1"/>
  <c r="H671" i="5"/>
  <c r="E128" i="8" s="1"/>
  <c r="F128" i="8" s="1"/>
  <c r="H689" i="5"/>
  <c r="E130" i="8" s="1"/>
  <c r="H130" i="8" s="1"/>
  <c r="I130" i="8" s="1"/>
  <c r="H775" i="5"/>
  <c r="E147" i="8" s="1"/>
  <c r="H147" i="8" s="1"/>
  <c r="I147" i="8" s="1"/>
  <c r="H916" i="5"/>
  <c r="E172" i="8" s="1"/>
  <c r="F172" i="8" s="1"/>
  <c r="H1111" i="5"/>
  <c r="E197" i="8" s="1"/>
  <c r="F197" i="8" s="1"/>
  <c r="H1706" i="5"/>
  <c r="E279" i="8" s="1"/>
  <c r="H2029" i="5"/>
  <c r="E334" i="8" s="1"/>
  <c r="H334" i="8" s="1"/>
  <c r="I334" i="8" s="1"/>
  <c r="H2093" i="5"/>
  <c r="E342" i="8" s="1"/>
  <c r="H342" i="8" s="1"/>
  <c r="I342" i="8" s="1"/>
  <c r="H2294" i="5"/>
  <c r="E370" i="8" s="1"/>
  <c r="H370" i="8" s="1"/>
  <c r="I370" i="8" s="1"/>
  <c r="H2371" i="5"/>
  <c r="E382" i="8" s="1"/>
  <c r="F382" i="8" s="1"/>
  <c r="H3215" i="5"/>
  <c r="E926" i="8" s="1"/>
  <c r="H926" i="8" s="1"/>
  <c r="I926" i="8" s="1"/>
  <c r="H3453" i="5"/>
  <c r="E967" i="8" s="1"/>
  <c r="F967" i="8" s="1"/>
  <c r="H3535" i="5"/>
  <c r="E974" i="8" s="1"/>
  <c r="F974" i="8" s="1"/>
  <c r="H3687" i="5"/>
  <c r="E996" i="8" s="1"/>
  <c r="H996" i="8" s="1"/>
  <c r="I996" i="8" s="1"/>
  <c r="H3699" i="5"/>
  <c r="E997" i="8" s="1"/>
  <c r="H997" i="8" s="1"/>
  <c r="I997" i="8" s="1"/>
  <c r="H3907" i="5"/>
  <c r="E1070" i="8" s="1"/>
  <c r="F1070" i="8" s="1"/>
  <c r="H3943" i="5"/>
  <c r="E1075" i="8" s="1"/>
  <c r="F1075" i="8" s="1"/>
  <c r="H3950" i="5"/>
  <c r="E1076" i="8" s="1"/>
  <c r="F1076" i="8" s="1"/>
  <c r="H3967" i="5"/>
  <c r="E1078" i="8" s="1"/>
  <c r="F1078" i="8" s="1"/>
  <c r="H4005" i="5"/>
  <c r="E1083" i="8" s="1"/>
  <c r="F1083" i="8" s="1"/>
  <c r="H4239" i="5"/>
  <c r="E1128" i="8" s="1"/>
  <c r="H1128" i="8" s="1"/>
  <c r="I1128" i="8" s="1"/>
  <c r="H4555" i="5"/>
  <c r="E1165" i="8" s="1"/>
  <c r="F1165" i="8" s="1"/>
  <c r="H4770" i="5"/>
  <c r="E1237" i="8" s="1"/>
  <c r="F1237" i="8" s="1"/>
  <c r="H4977" i="5"/>
  <c r="E1271" i="8" s="1"/>
  <c r="H5104" i="5"/>
  <c r="E1300" i="8" s="1"/>
  <c r="F1300" i="8" s="1"/>
  <c r="H6335" i="5"/>
  <c r="E2616" i="8" s="1"/>
  <c r="F2616" i="8" s="1"/>
  <c r="H7355" i="5"/>
  <c r="E3249" i="8" s="1"/>
  <c r="F3249" i="8" s="1"/>
  <c r="H7463" i="5"/>
  <c r="E3266" i="8" s="1"/>
  <c r="H142" i="5"/>
  <c r="E34" i="8" s="1"/>
  <c r="H34" i="8" s="1"/>
  <c r="I34" i="8" s="1"/>
  <c r="H152" i="5"/>
  <c r="E36" i="8" s="1"/>
  <c r="F36" i="8" s="1"/>
  <c r="H286" i="5"/>
  <c r="E81" i="8" s="1"/>
  <c r="F81" i="8" s="1"/>
  <c r="H293" i="5"/>
  <c r="E82" i="8" s="1"/>
  <c r="F82" i="8" s="1"/>
  <c r="H308" i="5"/>
  <c r="E83" i="8" s="1"/>
  <c r="F83" i="8" s="1"/>
  <c r="H368" i="5"/>
  <c r="E88" i="8" s="1"/>
  <c r="F88" i="8" s="1"/>
  <c r="H418" i="5"/>
  <c r="E93" i="8" s="1"/>
  <c r="H93" i="8" s="1"/>
  <c r="I93" i="8" s="1"/>
  <c r="H437" i="5"/>
  <c r="E95" i="8" s="1"/>
  <c r="F95" i="8" s="1"/>
  <c r="H500" i="5"/>
  <c r="E103" i="8" s="1"/>
  <c r="F103" i="8" s="1"/>
  <c r="H507" i="5"/>
  <c r="E104" i="8" s="1"/>
  <c r="H104" i="8" s="1"/>
  <c r="I104" i="8" s="1"/>
  <c r="H514" i="5"/>
  <c r="E105" i="8" s="1"/>
  <c r="F105" i="8" s="1"/>
  <c r="H591" i="5"/>
  <c r="E115" i="8" s="1"/>
  <c r="H115" i="8" s="1"/>
  <c r="I115" i="8" s="1"/>
  <c r="H793" i="5"/>
  <c r="E149" i="8" s="1"/>
  <c r="H149" i="8" s="1"/>
  <c r="I149" i="8" s="1"/>
  <c r="H807" i="5"/>
  <c r="E150" i="8" s="1"/>
  <c r="F150" i="8" s="1"/>
  <c r="H910" i="5"/>
  <c r="E171" i="8" s="1"/>
  <c r="H932" i="5"/>
  <c r="E174" i="8" s="1"/>
  <c r="H174" i="8" s="1"/>
  <c r="I174" i="8" s="1"/>
  <c r="H956" i="5"/>
  <c r="E177" i="8" s="1"/>
  <c r="H962" i="5"/>
  <c r="E178" i="8" s="1"/>
  <c r="F178" i="8" s="1"/>
  <c r="H969" i="5"/>
  <c r="E179" i="8" s="1"/>
  <c r="F179" i="8" s="1"/>
  <c r="H976" i="5"/>
  <c r="E180" i="8" s="1"/>
  <c r="H180" i="8" s="1"/>
  <c r="H983" i="5"/>
  <c r="E181" i="8" s="1"/>
  <c r="F181" i="8" s="1"/>
  <c r="H994" i="5"/>
  <c r="E182" i="8" s="1"/>
  <c r="F182" i="8" s="1"/>
  <c r="H1015" i="5"/>
  <c r="E185" i="8" s="1"/>
  <c r="F185" i="8" s="1"/>
  <c r="H1039" i="5"/>
  <c r="E188" i="8" s="1"/>
  <c r="H1076" i="5"/>
  <c r="E193" i="8" s="1"/>
  <c r="F193" i="8" s="1"/>
  <c r="H1230" i="5"/>
  <c r="E215" i="8" s="1"/>
  <c r="H1236" i="5"/>
  <c r="E216" i="8" s="1"/>
  <c r="F216" i="8" s="1"/>
  <c r="H1296" i="5"/>
  <c r="E225" i="8" s="1"/>
  <c r="H225" i="8" s="1"/>
  <c r="I225" i="8" s="1"/>
  <c r="H1320" i="5"/>
  <c r="E228" i="8" s="1"/>
  <c r="H228" i="8" s="1"/>
  <c r="H1357" i="5"/>
  <c r="E234" i="8" s="1"/>
  <c r="H234" i="8" s="1"/>
  <c r="I234" i="8" s="1"/>
  <c r="H1370" i="5"/>
  <c r="E236" i="8" s="1"/>
  <c r="H1525" i="5"/>
  <c r="E251" i="8" s="1"/>
  <c r="H1586" i="5"/>
  <c r="E259" i="8" s="1"/>
  <c r="F259" i="8" s="1"/>
  <c r="H1616" i="5"/>
  <c r="E264" i="8" s="1"/>
  <c r="H1633" i="5"/>
  <c r="E267" i="8" s="1"/>
  <c r="H267" i="8" s="1"/>
  <c r="I267" i="8" s="1"/>
  <c r="H1698" i="5"/>
  <c r="E278" i="8" s="1"/>
  <c r="F278" i="8" s="1"/>
  <c r="H1728" i="5"/>
  <c r="E281" i="8" s="1"/>
  <c r="F281" i="8" s="1"/>
  <c r="H1750" i="5"/>
  <c r="E283" i="8" s="1"/>
  <c r="F283" i="8" s="1"/>
  <c r="H1806" i="5"/>
  <c r="E298" i="8" s="1"/>
  <c r="F298" i="8" s="1"/>
  <c r="H1816" i="5"/>
  <c r="E300" i="8" s="1"/>
  <c r="H300" i="8" s="1"/>
  <c r="I300" i="8" s="1"/>
  <c r="H1822" i="5"/>
  <c r="E301" i="8" s="1"/>
  <c r="F301" i="8" s="1"/>
  <c r="H1859" i="5"/>
  <c r="E307" i="8" s="1"/>
  <c r="H1865" i="5"/>
  <c r="E308" i="8" s="1"/>
  <c r="F308" i="8" s="1"/>
  <c r="H1901" i="5"/>
  <c r="E314" i="8" s="1"/>
  <c r="H1912" i="5"/>
  <c r="E316" i="8" s="1"/>
  <c r="F316" i="8" s="1"/>
  <c r="H1922" i="5"/>
  <c r="E318" i="8" s="1"/>
  <c r="F318" i="8" s="1"/>
  <c r="H1938" i="5"/>
  <c r="E321" i="8" s="1"/>
  <c r="F321" i="8" s="1"/>
  <c r="H1945" i="5"/>
  <c r="E322" i="8" s="1"/>
  <c r="F322" i="8" s="1"/>
  <c r="H1971" i="5"/>
  <c r="E326" i="8" s="1"/>
  <c r="F326" i="8" s="1"/>
  <c r="H1987" i="5"/>
  <c r="E328" i="8" s="1"/>
  <c r="H1994" i="5"/>
  <c r="E329" i="8" s="1"/>
  <c r="H329" i="8" s="1"/>
  <c r="H2001" i="5"/>
  <c r="E330" i="8" s="1"/>
  <c r="H2008" i="5"/>
  <c r="E331" i="8" s="1"/>
  <c r="F331" i="8" s="1"/>
  <c r="H2015" i="5"/>
  <c r="E332" i="8" s="1"/>
  <c r="H2077" i="5"/>
  <c r="E340" i="8" s="1"/>
  <c r="F340" i="8" s="1"/>
  <c r="H2109" i="5"/>
  <c r="E344" i="8" s="1"/>
  <c r="H2133" i="5"/>
  <c r="E348" i="8" s="1"/>
  <c r="H348" i="8" s="1"/>
  <c r="I348" i="8" s="1"/>
  <c r="H2222" i="5"/>
  <c r="E362" i="8" s="1"/>
  <c r="F362" i="8" s="1"/>
  <c r="H2228" i="5"/>
  <c r="E363" i="8" s="1"/>
  <c r="F363" i="8" s="1"/>
  <c r="H2324" i="5"/>
  <c r="E374" i="8" s="1"/>
  <c r="F374" i="8" s="1"/>
  <c r="H2883" i="5"/>
  <c r="E868" i="8" s="1"/>
  <c r="F868" i="8" s="1"/>
  <c r="H2893" i="5"/>
  <c r="E870" i="8" s="1"/>
  <c r="H870" i="8" s="1"/>
  <c r="I870" i="8" s="1"/>
  <c r="H2906" i="5"/>
  <c r="E872" i="8" s="1"/>
  <c r="F872" i="8" s="1"/>
  <c r="H2922" i="5"/>
  <c r="E874" i="8" s="1"/>
  <c r="F874" i="8" s="1"/>
  <c r="H2938" i="5"/>
  <c r="E876" i="8" s="1"/>
  <c r="F876" i="8" s="1"/>
  <c r="H2948" i="5"/>
  <c r="E878" i="8" s="1"/>
  <c r="H2958" i="5"/>
  <c r="E880" i="8" s="1"/>
  <c r="F880" i="8" s="1"/>
  <c r="H2968" i="5"/>
  <c r="E882" i="8" s="1"/>
  <c r="H2978" i="5"/>
  <c r="E884" i="8" s="1"/>
  <c r="H3068" i="5"/>
  <c r="E901" i="8" s="1"/>
  <c r="H3094" i="5"/>
  <c r="E905" i="8" s="1"/>
  <c r="H905" i="8" s="1"/>
  <c r="I905" i="8" s="1"/>
  <c r="H3104" i="5"/>
  <c r="E907" i="8" s="1"/>
  <c r="F907" i="8" s="1"/>
  <c r="H3114" i="5"/>
  <c r="E909" i="8" s="1"/>
  <c r="F909" i="8" s="1"/>
  <c r="H3124" i="5"/>
  <c r="E911" i="8" s="1"/>
  <c r="H911" i="8" s="1"/>
  <c r="I911" i="8" s="1"/>
  <c r="H3146" i="5"/>
  <c r="E915" i="8" s="1"/>
  <c r="F915" i="8" s="1"/>
  <c r="H3158" i="5"/>
  <c r="E917" i="8" s="1"/>
  <c r="H3199" i="5"/>
  <c r="E923" i="8" s="1"/>
  <c r="F923" i="8" s="1"/>
  <c r="H3246" i="5"/>
  <c r="E930" i="8" s="1"/>
  <c r="H3261" i="5"/>
  <c r="E932" i="8" s="1"/>
  <c r="H932" i="8" s="1"/>
  <c r="I932" i="8" s="1"/>
  <c r="H3317" i="5"/>
  <c r="E940" i="8" s="1"/>
  <c r="H3352" i="5"/>
  <c r="E947" i="8" s="1"/>
  <c r="F947" i="8" s="1"/>
  <c r="H3364" i="5"/>
  <c r="E949" i="8" s="1"/>
  <c r="H949" i="8" s="1"/>
  <c r="I949" i="8" s="1"/>
  <c r="H3413" i="5"/>
  <c r="E960" i="8" s="1"/>
  <c r="H960" i="8" s="1"/>
  <c r="I960" i="8" s="1"/>
  <c r="H3587" i="5"/>
  <c r="E980" i="8" s="1"/>
  <c r="H3599" i="5"/>
  <c r="E982" i="8" s="1"/>
  <c r="H3620" i="5"/>
  <c r="E986" i="8" s="1"/>
  <c r="H3626" i="5"/>
  <c r="E987" i="8" s="1"/>
  <c r="F987" i="8" s="1"/>
  <c r="H3658" i="5"/>
  <c r="E993" i="8" s="1"/>
  <c r="F993" i="8" s="1"/>
  <c r="H3766" i="5"/>
  <c r="E1036" i="8" s="1"/>
  <c r="F1036" i="8" s="1"/>
  <c r="H3794" i="5"/>
  <c r="E1041" i="8" s="1"/>
  <c r="H3830" i="5"/>
  <c r="E1058" i="8" s="1"/>
  <c r="F1058" i="8" s="1"/>
  <c r="H3865" i="5"/>
  <c r="E1066" i="8" s="1"/>
  <c r="F1066" i="8" s="1"/>
  <c r="H3873" i="5"/>
  <c r="E1067" i="8" s="1"/>
  <c r="F1067" i="8" s="1"/>
  <c r="H4049" i="5"/>
  <c r="E1095" i="8" s="1"/>
  <c r="H1095" i="8" s="1"/>
  <c r="I1095" i="8" s="1"/>
  <c r="H4076" i="5"/>
  <c r="E1099" i="8" s="1"/>
  <c r="H1099" i="8" s="1"/>
  <c r="I1099" i="8" s="1"/>
  <c r="H4114" i="5"/>
  <c r="E1110" i="8" s="1"/>
  <c r="F1110" i="8" s="1"/>
  <c r="H4209" i="5"/>
  <c r="E1123" i="8" s="1"/>
  <c r="F1123" i="8" s="1"/>
  <c r="H4285" i="5"/>
  <c r="E1134" i="8" s="1"/>
  <c r="F1134" i="8" s="1"/>
  <c r="H4446" i="5"/>
  <c r="E1152" i="8" s="1"/>
  <c r="F1152" i="8" s="1"/>
  <c r="H4512" i="5"/>
  <c r="E1158" i="8" s="1"/>
  <c r="H4523" i="5"/>
  <c r="E1160" i="8" s="1"/>
  <c r="F1160" i="8" s="1"/>
  <c r="H4663" i="5"/>
  <c r="E1177" i="8" s="1"/>
  <c r="F1177" i="8" s="1"/>
  <c r="H4681" i="5"/>
  <c r="E1179" i="8" s="1"/>
  <c r="F1179" i="8" s="1"/>
  <c r="H4687" i="5"/>
  <c r="E1180" i="8" s="1"/>
  <c r="F1180" i="8" s="1"/>
  <c r="H4885" i="5"/>
  <c r="E1256" i="8" s="1"/>
  <c r="H1256" i="8" s="1"/>
  <c r="I1256" i="8" s="1"/>
  <c r="H4939" i="5"/>
  <c r="E1265" i="8" s="1"/>
  <c r="F1265" i="8" s="1"/>
  <c r="H4965" i="5"/>
  <c r="E1269" i="8" s="1"/>
  <c r="H1269" i="8" s="1"/>
  <c r="I1269" i="8" s="1"/>
  <c r="H5001" i="5"/>
  <c r="E1275" i="8" s="1"/>
  <c r="F1275" i="8" s="1"/>
  <c r="H5058" i="5"/>
  <c r="E1288" i="8" s="1"/>
  <c r="H1288" i="8" s="1"/>
  <c r="I1288" i="8" s="1"/>
  <c r="H5248" i="5"/>
  <c r="E1336" i="8" s="1"/>
  <c r="F1336" i="8" s="1"/>
  <c r="H5375" i="5"/>
  <c r="E1363" i="8" s="1"/>
  <c r="H1363" i="8" s="1"/>
  <c r="I1363" i="8" s="1"/>
  <c r="H5394" i="5"/>
  <c r="E1366" i="8" s="1"/>
  <c r="F1366" i="8" s="1"/>
  <c r="H5418" i="5"/>
  <c r="E1374" i="8" s="1"/>
  <c r="H1374" i="8" s="1"/>
  <c r="I1374" i="8" s="1"/>
  <c r="H6159" i="5"/>
  <c r="E2595" i="8" s="1"/>
  <c r="F2595" i="8" s="1"/>
  <c r="H6170" i="5"/>
  <c r="E2596" i="8" s="1"/>
  <c r="F2596" i="8" s="1"/>
  <c r="H6468" i="5"/>
  <c r="E2709" i="8" s="1"/>
  <c r="F2709" i="8" s="1"/>
  <c r="H7385" i="5"/>
  <c r="E3254" i="8" s="1"/>
  <c r="F3254" i="8" s="1"/>
  <c r="H4895" i="5"/>
  <c r="E1257" i="8" s="1"/>
  <c r="H1257" i="8" s="1"/>
  <c r="I1257" i="8" s="1"/>
  <c r="H4904" i="5"/>
  <c r="E1260" i="8" s="1"/>
  <c r="H1260" i="8" s="1"/>
  <c r="I1260" i="8" s="1"/>
  <c r="H4911" i="5"/>
  <c r="E1261" i="8" s="1"/>
  <c r="F1261" i="8" s="1"/>
  <c r="H4918" i="5"/>
  <c r="E1262" i="8" s="1"/>
  <c r="H1262" i="8" s="1"/>
  <c r="I1262" i="8" s="1"/>
  <c r="H4925" i="5"/>
  <c r="E1263" i="8" s="1"/>
  <c r="H4932" i="5"/>
  <c r="E1264" i="8" s="1"/>
  <c r="H1264" i="8" s="1"/>
  <c r="I1264" i="8" s="1"/>
  <c r="H5073" i="5"/>
  <c r="E1290" i="8" s="1"/>
  <c r="F1290" i="8" s="1"/>
  <c r="H5079" i="5"/>
  <c r="E1291" i="8" s="1"/>
  <c r="H1291" i="8" s="1"/>
  <c r="I1291" i="8" s="1"/>
  <c r="H5122" i="5"/>
  <c r="E1315" i="8" s="1"/>
  <c r="F1315" i="8" s="1"/>
  <c r="H5128" i="5"/>
  <c r="E1316" i="8" s="1"/>
  <c r="F1316" i="8" s="1"/>
  <c r="H5260" i="5"/>
  <c r="E1338" i="8" s="1"/>
  <c r="H5318" i="5"/>
  <c r="E1353" i="8" s="1"/>
  <c r="H5388" i="5"/>
  <c r="E1365" i="8" s="1"/>
  <c r="H5402" i="5"/>
  <c r="E1367" i="8" s="1"/>
  <c r="F1367" i="8" s="1"/>
  <c r="H5410" i="5"/>
  <c r="E1368" i="8" s="1"/>
  <c r="H5466" i="5"/>
  <c r="E1389" i="8" s="1"/>
  <c r="H1389" i="8" s="1"/>
  <c r="I1389" i="8" s="1"/>
  <c r="H5472" i="5"/>
  <c r="E1391" i="8" s="1"/>
  <c r="F1391" i="8" s="1"/>
  <c r="E1545" i="8"/>
  <c r="H1545" i="8" s="1"/>
  <c r="I1545" i="8" s="1"/>
  <c r="E1548" i="8"/>
  <c r="E1552" i="8"/>
  <c r="H1552" i="8" s="1"/>
  <c r="I1552" i="8" s="1"/>
  <c r="E1568" i="8"/>
  <c r="E1571" i="8"/>
  <c r="F1571" i="8" s="1"/>
  <c r="E1574" i="8"/>
  <c r="F1574" i="8" s="1"/>
  <c r="E1576" i="8"/>
  <c r="F1576" i="8" s="1"/>
  <c r="E1606" i="8"/>
  <c r="E1608" i="8"/>
  <c r="F1608" i="8" s="1"/>
  <c r="E1813" i="8"/>
  <c r="E1815" i="8"/>
  <c r="F1815" i="8" s="1"/>
  <c r="E1829" i="8"/>
  <c r="E1833" i="8"/>
  <c r="F1833" i="8" s="1"/>
  <c r="E1839" i="8"/>
  <c r="F1839" i="8" s="1"/>
  <c r="E1843" i="8"/>
  <c r="F1843" i="8" s="1"/>
  <c r="E1849" i="8"/>
  <c r="E1856" i="8"/>
  <c r="E1859" i="8"/>
  <c r="E1871" i="8"/>
  <c r="H1871" i="8" s="1"/>
  <c r="I1871" i="8" s="1"/>
  <c r="E1874" i="8"/>
  <c r="H1874" i="8" s="1"/>
  <c r="I1874" i="8" s="1"/>
  <c r="E1880" i="8"/>
  <c r="E1885" i="8"/>
  <c r="F1885" i="8" s="1"/>
  <c r="E1887" i="8"/>
  <c r="F1887" i="8" s="1"/>
  <c r="E1896" i="8"/>
  <c r="E1901" i="8"/>
  <c r="F1901" i="8" s="1"/>
  <c r="E1903" i="8"/>
  <c r="F1903" i="8" s="1"/>
  <c r="E1924" i="8"/>
  <c r="F1924" i="8" s="1"/>
  <c r="E1949" i="8"/>
  <c r="F1949" i="8" s="1"/>
  <c r="E1953" i="8"/>
  <c r="F1953" i="8" s="1"/>
  <c r="E2217" i="8"/>
  <c r="H2217" i="8" s="1"/>
  <c r="I2217" i="8" s="1"/>
  <c r="E2295" i="8"/>
  <c r="F2295" i="8" s="1"/>
  <c r="E2315" i="8"/>
  <c r="E2394" i="8"/>
  <c r="F2394" i="8" s="1"/>
  <c r="H6236" i="5"/>
  <c r="E2605" i="8" s="1"/>
  <c r="H6395" i="5"/>
  <c r="E2623" i="8" s="1"/>
  <c r="F2623" i="8" s="1"/>
  <c r="E2736" i="8"/>
  <c r="F2736" i="8" s="1"/>
  <c r="E2747" i="8"/>
  <c r="H2747" i="8" s="1"/>
  <c r="I2747" i="8" s="1"/>
  <c r="E2814" i="8"/>
  <c r="H2814" i="8" s="1"/>
  <c r="I2814" i="8" s="1"/>
  <c r="E2818" i="8"/>
  <c r="H2818" i="8" s="1"/>
  <c r="I2818" i="8" s="1"/>
  <c r="E2832" i="8"/>
  <c r="F2832" i="8" s="1"/>
  <c r="E2855" i="8"/>
  <c r="F2855" i="8" s="1"/>
  <c r="E2874" i="8"/>
  <c r="E2881" i="8"/>
  <c r="F2881" i="8" s="1"/>
  <c r="E2892" i="8"/>
  <c r="H2892" i="8" s="1"/>
  <c r="I2892" i="8" s="1"/>
  <c r="E2899" i="8"/>
  <c r="F2899" i="8" s="1"/>
  <c r="E2908" i="8"/>
  <c r="E2926" i="8"/>
  <c r="H2926" i="8" s="1"/>
  <c r="I2926" i="8" s="1"/>
  <c r="E2937" i="8"/>
  <c r="F2937" i="8" s="1"/>
  <c r="E2975" i="8"/>
  <c r="E2991" i="8"/>
  <c r="F2991" i="8" s="1"/>
  <c r="E3002" i="8"/>
  <c r="F3002" i="8" s="1"/>
  <c r="E3020" i="8"/>
  <c r="E3029" i="8"/>
  <c r="F3029" i="8" s="1"/>
  <c r="E3036" i="8"/>
  <c r="F3036" i="8" s="1"/>
  <c r="E3045" i="8"/>
  <c r="F3045" i="8" s="1"/>
  <c r="E3050" i="8"/>
  <c r="E3052" i="8"/>
  <c r="F3052" i="8" s="1"/>
  <c r="E3101" i="8"/>
  <c r="H3101" i="8" s="1"/>
  <c r="I3101" i="8" s="1"/>
  <c r="H7251" i="5"/>
  <c r="E3164" i="8" s="1"/>
  <c r="F3164" i="8" s="1"/>
  <c r="H7261" i="5"/>
  <c r="E3185" i="8" s="1"/>
  <c r="F3185" i="8" s="1"/>
  <c r="E3225" i="8"/>
  <c r="F3225" i="8" s="1"/>
  <c r="E3228" i="8"/>
  <c r="F3228" i="8" s="1"/>
  <c r="E3235" i="8"/>
  <c r="F3235" i="8" s="1"/>
  <c r="H7326" i="5"/>
  <c r="E3240" i="8" s="1"/>
  <c r="F3240" i="8" s="1"/>
  <c r="H7347" i="5"/>
  <c r="E3248" i="8" s="1"/>
  <c r="H7366" i="5"/>
  <c r="E3251" i="8" s="1"/>
  <c r="F3251" i="8" s="1"/>
  <c r="H7399" i="5"/>
  <c r="E3256" i="8" s="1"/>
  <c r="F3256" i="8" s="1"/>
  <c r="H7412" i="5"/>
  <c r="E3258" i="8" s="1"/>
  <c r="F3258" i="8" s="1"/>
  <c r="H7424" i="5"/>
  <c r="E3260" i="8" s="1"/>
  <c r="F3260" i="8" s="1"/>
  <c r="H3737" i="5"/>
  <c r="E1017" i="8" s="1"/>
  <c r="H3818" i="5"/>
  <c r="E1045" i="8" s="1"/>
  <c r="F1045" i="8" s="1"/>
  <c r="H3885" i="5"/>
  <c r="E1068" i="8" s="1"/>
  <c r="F1068" i="8" s="1"/>
  <c r="H3992" i="5"/>
  <c r="E1082" i="8" s="1"/>
  <c r="F1082" i="8" s="1"/>
  <c r="H4263" i="5"/>
  <c r="E1131" i="8" s="1"/>
  <c r="H4528" i="5"/>
  <c r="E1161" i="8" s="1"/>
  <c r="H1161" i="8" s="1"/>
  <c r="I1161" i="8" s="1"/>
  <c r="H4579" i="5"/>
  <c r="E1168" i="8" s="1"/>
  <c r="F1168" i="8" s="1"/>
  <c r="H4606" i="5"/>
  <c r="E1170" i="8" s="1"/>
  <c r="H1170" i="8" s="1"/>
  <c r="I1170" i="8" s="1"/>
  <c r="H4623" i="5"/>
  <c r="E1172" i="8" s="1"/>
  <c r="H4629" i="5"/>
  <c r="E1173" i="8" s="1"/>
  <c r="H4649" i="5"/>
  <c r="E1175" i="8" s="1"/>
  <c r="H1175" i="8" s="1"/>
  <c r="I1175" i="8" s="1"/>
  <c r="H4726" i="5"/>
  <c r="E1185" i="8" s="1"/>
  <c r="E1206" i="8"/>
  <c r="E1219" i="8"/>
  <c r="H1219" i="8" s="1"/>
  <c r="I1219" i="8" s="1"/>
  <c r="E1231" i="8"/>
  <c r="F1231" i="8" s="1"/>
  <c r="H4958" i="5"/>
  <c r="E1268" i="8" s="1"/>
  <c r="H1268" i="8" s="1"/>
  <c r="I1268" i="8" s="1"/>
  <c r="H4972" i="5"/>
  <c r="E1270" i="8" s="1"/>
  <c r="F1270" i="8" s="1"/>
  <c r="H5097" i="5"/>
  <c r="E1294" i="8" s="1"/>
  <c r="H1294" i="8" s="1"/>
  <c r="I1294" i="8" s="1"/>
  <c r="H5174" i="5"/>
  <c r="E1322" i="8" s="1"/>
  <c r="H1322" i="8" s="1"/>
  <c r="I1322" i="8" s="1"/>
  <c r="H5188" i="5"/>
  <c r="E1324" i="8" s="1"/>
  <c r="H1324" i="8" s="1"/>
  <c r="I1324" i="8" s="1"/>
  <c r="H5241" i="5"/>
  <c r="E1334" i="8" s="1"/>
  <c r="F1334" i="8" s="1"/>
  <c r="H5300" i="5"/>
  <c r="E1347" i="8" s="1"/>
  <c r="F1347" i="8" s="1"/>
  <c r="H5306" i="5"/>
  <c r="E1348" i="8" s="1"/>
  <c r="F1348" i="8" s="1"/>
  <c r="H5342" i="5"/>
  <c r="E1357" i="8" s="1"/>
  <c r="H5349" i="5"/>
  <c r="E1358" i="8" s="1"/>
  <c r="F1358" i="8" s="1"/>
  <c r="H5356" i="5"/>
  <c r="E1359" i="8" s="1"/>
  <c r="F1359" i="8" s="1"/>
  <c r="H5363" i="5"/>
  <c r="E1360" i="8" s="1"/>
  <c r="H1360" i="8" s="1"/>
  <c r="I1360" i="8" s="1"/>
  <c r="H5447" i="5"/>
  <c r="E1380" i="8" s="1"/>
  <c r="F1380" i="8" s="1"/>
  <c r="H5453" i="5"/>
  <c r="E1381" i="8" s="1"/>
  <c r="E1393" i="8"/>
  <c r="E1493" i="8"/>
  <c r="H1493" i="8" s="1"/>
  <c r="I1493" i="8" s="1"/>
  <c r="E1569" i="8"/>
  <c r="E1831" i="8"/>
  <c r="F1831" i="8" s="1"/>
  <c r="E1841" i="8"/>
  <c r="E1851" i="8"/>
  <c r="H1851" i="8" s="1"/>
  <c r="I1851" i="8" s="1"/>
  <c r="E1866" i="8"/>
  <c r="F1866" i="8" s="1"/>
  <c r="E1872" i="8"/>
  <c r="E1892" i="8"/>
  <c r="F1892" i="8" s="1"/>
  <c r="E1897" i="8"/>
  <c r="H1897" i="8" s="1"/>
  <c r="I1897" i="8" s="1"/>
  <c r="E1920" i="8"/>
  <c r="H1920" i="8" s="1"/>
  <c r="I1920" i="8" s="1"/>
  <c r="E1926" i="8"/>
  <c r="E2096" i="8"/>
  <c r="E2218" i="8"/>
  <c r="F2218" i="8" s="1"/>
  <c r="E2504" i="8"/>
  <c r="F2504" i="8" s="1"/>
  <c r="H6435" i="5"/>
  <c r="E2696" i="8" s="1"/>
  <c r="F2696" i="8" s="1"/>
  <c r="H6447" i="5"/>
  <c r="E2706" i="8" s="1"/>
  <c r="F2706" i="8" s="1"/>
  <c r="H6489" i="5"/>
  <c r="E2715" i="8" s="1"/>
  <c r="F2715" i="8" s="1"/>
  <c r="E2724" i="8"/>
  <c r="F2724" i="8" s="1"/>
  <c r="E2753" i="8"/>
  <c r="F2753" i="8" s="1"/>
  <c r="E2789" i="8"/>
  <c r="F2789" i="8" s="1"/>
  <c r="E2822" i="8"/>
  <c r="F2822" i="8" s="1"/>
  <c r="E2828" i="8"/>
  <c r="F2828" i="8" s="1"/>
  <c r="E2860" i="8"/>
  <c r="F2860" i="8" s="1"/>
  <c r="E2870" i="8"/>
  <c r="E2878" i="8"/>
  <c r="F2878" i="8" s="1"/>
  <c r="E2896" i="8"/>
  <c r="E2912" i="8"/>
  <c r="H2912" i="8" s="1"/>
  <c r="I2912" i="8" s="1"/>
  <c r="E2945" i="8"/>
  <c r="F2945" i="8" s="1"/>
  <c r="E2995" i="8"/>
  <c r="F2995" i="8" s="1"/>
  <c r="E3026" i="8"/>
  <c r="H3026" i="8" s="1"/>
  <c r="I3026" i="8" s="1"/>
  <c r="E3033" i="8"/>
  <c r="E3046" i="8"/>
  <c r="H7232" i="5"/>
  <c r="E3132" i="8" s="1"/>
  <c r="F3132" i="8" s="1"/>
  <c r="E3208" i="8"/>
  <c r="F3208" i="8" s="1"/>
  <c r="E3219" i="8"/>
  <c r="F3219" i="8" s="1"/>
  <c r="E3236" i="8"/>
  <c r="H3236" i="8" s="1"/>
  <c r="I3236" i="8" s="1"/>
  <c r="H7393" i="5"/>
  <c r="E3255" i="8" s="1"/>
  <c r="H3255" i="8" s="1"/>
  <c r="I3255" i="8" s="1"/>
  <c r="H7443" i="5"/>
  <c r="E3263" i="8" s="1"/>
  <c r="F3263" i="8" s="1"/>
  <c r="H5091" i="5"/>
  <c r="E1293" i="8" s="1"/>
  <c r="F1293" i="8" s="1"/>
  <c r="H5144" i="5"/>
  <c r="E1318" i="8" s="1"/>
  <c r="H1318" i="8" s="1"/>
  <c r="I1318" i="8" s="1"/>
  <c r="H5180" i="5"/>
  <c r="E1323" i="8" s="1"/>
  <c r="F1323" i="8" s="1"/>
  <c r="H5204" i="5"/>
  <c r="E1331" i="8" s="1"/>
  <c r="E1396" i="8"/>
  <c r="F1396" i="8" s="1"/>
  <c r="E1409" i="8"/>
  <c r="E1411" i="8"/>
  <c r="F1411" i="8" s="1"/>
  <c r="E1413" i="8"/>
  <c r="F1413" i="8" s="1"/>
  <c r="E1415" i="8"/>
  <c r="F1415" i="8" s="1"/>
  <c r="E1417" i="8"/>
  <c r="E1419" i="8"/>
  <c r="F1419" i="8" s="1"/>
  <c r="E1421" i="8"/>
  <c r="F1421" i="8" s="1"/>
  <c r="E1423" i="8"/>
  <c r="H1423" i="8" s="1"/>
  <c r="I1423" i="8" s="1"/>
  <c r="E1425" i="8"/>
  <c r="F1425" i="8" s="1"/>
  <c r="E1427" i="8"/>
  <c r="F1427" i="8" s="1"/>
  <c r="E1547" i="8"/>
  <c r="F1547" i="8" s="1"/>
  <c r="E1551" i="8"/>
  <c r="F1551" i="8" s="1"/>
  <c r="E1573" i="8"/>
  <c r="F1573" i="8" s="1"/>
  <c r="E1605" i="8"/>
  <c r="F1605" i="8" s="1"/>
  <c r="E1817" i="8"/>
  <c r="F1817" i="8" s="1"/>
  <c r="E1836" i="8"/>
  <c r="F1836" i="8" s="1"/>
  <c r="E1846" i="8"/>
  <c r="F1846" i="8" s="1"/>
  <c r="E1854" i="8"/>
  <c r="F1854" i="8" s="1"/>
  <c r="E1862" i="8"/>
  <c r="F1862" i="8" s="1"/>
  <c r="E1864" i="8"/>
  <c r="H1864" i="8" s="1"/>
  <c r="I1864" i="8" s="1"/>
  <c r="E1878" i="8"/>
  <c r="E1884" i="8"/>
  <c r="F1884" i="8" s="1"/>
  <c r="E1889" i="8"/>
  <c r="H1889" i="8" s="1"/>
  <c r="I1889" i="8" s="1"/>
  <c r="E1891" i="8"/>
  <c r="F1891" i="8" s="1"/>
  <c r="E1900" i="8"/>
  <c r="F1900" i="8" s="1"/>
  <c r="E1905" i="8"/>
  <c r="F1905" i="8" s="1"/>
  <c r="E1907" i="8"/>
  <c r="F1907" i="8" s="1"/>
  <c r="E1933" i="8"/>
  <c r="F1933" i="8" s="1"/>
  <c r="E2081" i="8"/>
  <c r="E2088" i="8"/>
  <c r="F2088" i="8" s="1"/>
  <c r="E2290" i="8"/>
  <c r="F2290" i="8" s="1"/>
  <c r="E2334" i="8"/>
  <c r="F2334" i="8" s="1"/>
  <c r="E2368" i="8"/>
  <c r="F2368" i="8" s="1"/>
  <c r="H6181" i="5"/>
  <c r="E2597" i="8" s="1"/>
  <c r="F2597" i="8" s="1"/>
  <c r="H6230" i="5"/>
  <c r="E2604" i="8" s="1"/>
  <c r="F2604" i="8" s="1"/>
  <c r="H6243" i="5"/>
  <c r="E2606" i="8" s="1"/>
  <c r="H6275" i="5"/>
  <c r="E2611" i="8" s="1"/>
  <c r="H6354" i="5"/>
  <c r="E2618" i="8" s="1"/>
  <c r="E2686" i="8"/>
  <c r="H2686" i="8" s="1"/>
  <c r="I2686" i="8" s="1"/>
  <c r="E2695" i="8"/>
  <c r="H2695" i="8" s="1"/>
  <c r="I2695" i="8" s="1"/>
  <c r="H6461" i="5"/>
  <c r="E2708" i="8" s="1"/>
  <c r="E2722" i="8"/>
  <c r="F2722" i="8" s="1"/>
  <c r="E2735" i="8"/>
  <c r="F2735" i="8" s="1"/>
  <c r="E2744" i="8"/>
  <c r="F2744" i="8" s="1"/>
  <c r="E2752" i="8"/>
  <c r="F2752" i="8" s="1"/>
  <c r="E2783" i="8"/>
  <c r="F2783" i="8" s="1"/>
  <c r="E2813" i="8"/>
  <c r="H2813" i="8" s="1"/>
  <c r="I2813" i="8" s="1"/>
  <c r="E2817" i="8"/>
  <c r="F2817" i="8" s="1"/>
  <c r="E2821" i="8"/>
  <c r="F2821" i="8" s="1"/>
  <c r="E2825" i="8"/>
  <c r="F2825" i="8" s="1"/>
  <c r="E2831" i="8"/>
  <c r="F2831" i="8" s="1"/>
  <c r="E2854" i="8"/>
  <c r="F2854" i="8" s="1"/>
  <c r="E2859" i="8"/>
  <c r="F2859" i="8" s="1"/>
  <c r="E2869" i="8"/>
  <c r="F2869" i="8" s="1"/>
  <c r="E2873" i="8"/>
  <c r="F2873" i="8" s="1"/>
  <c r="E2877" i="8"/>
  <c r="F2877" i="8" s="1"/>
  <c r="E2886" i="8"/>
  <c r="F2886" i="8" s="1"/>
  <c r="E2895" i="8"/>
  <c r="F2895" i="8" s="1"/>
  <c r="E2904" i="8"/>
  <c r="F2904" i="8" s="1"/>
  <c r="E2911" i="8"/>
  <c r="F2911" i="8" s="1"/>
  <c r="E2932" i="8"/>
  <c r="F2932" i="8" s="1"/>
  <c r="E2940" i="8"/>
  <c r="F2940" i="8" s="1"/>
  <c r="E2982" i="8"/>
  <c r="F2982" i="8" s="1"/>
  <c r="E2994" i="8"/>
  <c r="F2994" i="8" s="1"/>
  <c r="E3013" i="8"/>
  <c r="F3013" i="8" s="1"/>
  <c r="E3025" i="8"/>
  <c r="F3025" i="8" s="1"/>
  <c r="E3032" i="8"/>
  <c r="F3032" i="8" s="1"/>
  <c r="E3041" i="8"/>
  <c r="F3041" i="8" s="1"/>
  <c r="E3049" i="8"/>
  <c r="F3049" i="8" s="1"/>
  <c r="E3089" i="8"/>
  <c r="F3089" i="8" s="1"/>
  <c r="E3091" i="8"/>
  <c r="E3093" i="8"/>
  <c r="F3093" i="8" s="1"/>
  <c r="E3095" i="8"/>
  <c r="E3097" i="8"/>
  <c r="H3097" i="8" s="1"/>
  <c r="I3097" i="8" s="1"/>
  <c r="E3100" i="8"/>
  <c r="F3100" i="8" s="1"/>
  <c r="E3117" i="8"/>
  <c r="F3117" i="8" s="1"/>
  <c r="E3136" i="8"/>
  <c r="E3212" i="8"/>
  <c r="F3212" i="8" s="1"/>
  <c r="E3222" i="8"/>
  <c r="F3222" i="8" s="1"/>
  <c r="E3227" i="8"/>
  <c r="F3227" i="8" s="1"/>
  <c r="E3234" i="8"/>
  <c r="F3234" i="8" s="1"/>
  <c r="H7339" i="5"/>
  <c r="E3247" i="8" s="1"/>
  <c r="F3247" i="8" s="1"/>
  <c r="H7371" i="5"/>
  <c r="E3252" i="8" s="1"/>
  <c r="F3252" i="8" s="1"/>
  <c r="H7418" i="5"/>
  <c r="E3259" i="8" s="1"/>
  <c r="F3259" i="8" s="1"/>
  <c r="E3261" i="8"/>
  <c r="F3261" i="8" s="1"/>
  <c r="H7470" i="5"/>
  <c r="E3267" i="8" s="1"/>
  <c r="F3267" i="8" s="1"/>
  <c r="H7485" i="5"/>
  <c r="E3270" i="8" s="1"/>
  <c r="H3270" i="8" s="1"/>
  <c r="I3270" i="8" s="1"/>
  <c r="H1079" i="8"/>
  <c r="I1079" i="8" s="1"/>
  <c r="H1333" i="8"/>
  <c r="I1333" i="8" s="1"/>
  <c r="H1344" i="8"/>
  <c r="I1344" i="8" s="1"/>
  <c r="H1846" i="8"/>
  <c r="I1846" i="8" s="1"/>
  <c r="H2611" i="8"/>
  <c r="I2611" i="8" s="1"/>
  <c r="H2697" i="8"/>
  <c r="I2697" i="8" s="1"/>
  <c r="H2752" i="8"/>
  <c r="I2752" i="8" s="1"/>
  <c r="H2821" i="8"/>
  <c r="I2821" i="8" s="1"/>
  <c r="H2985" i="8"/>
  <c r="I2985" i="8" s="1"/>
  <c r="H3013" i="8"/>
  <c r="I3013" i="8" s="1"/>
  <c r="H3038" i="8"/>
  <c r="I3038" i="8" s="1"/>
  <c r="H3043" i="8"/>
  <c r="I3043" i="8" s="1"/>
  <c r="H3264" i="8"/>
  <c r="I3264" i="8" s="1"/>
  <c r="F306" i="8"/>
  <c r="H323" i="8"/>
  <c r="I323" i="8" s="1"/>
  <c r="F1256" i="8"/>
  <c r="F187" i="8"/>
  <c r="H2100" i="8"/>
  <c r="I2100" i="8" s="1"/>
  <c r="F1378" i="8"/>
  <c r="F1344" i="8"/>
  <c r="H2886" i="8"/>
  <c r="I2886" i="8" s="1"/>
  <c r="F927" i="8"/>
  <c r="F2611" i="8"/>
  <c r="F3038" i="8"/>
  <c r="H983" i="8"/>
  <c r="I983" i="8" s="1"/>
  <c r="H1275" i="8"/>
  <c r="I1275" i="8" s="1"/>
  <c r="H1118" i="8"/>
  <c r="I1118" i="8" s="1"/>
  <c r="F921" i="8"/>
  <c r="H2600" i="8"/>
  <c r="I2600" i="8" s="1"/>
  <c r="H240" i="8"/>
  <c r="I240" i="8" s="1"/>
  <c r="H719" i="8"/>
  <c r="I719" i="8" s="1"/>
  <c r="H919" i="8"/>
  <c r="I919" i="8" s="1"/>
  <c r="F1079" i="8"/>
  <c r="F280" i="8"/>
  <c r="F273" i="8"/>
  <c r="H2904" i="8"/>
  <c r="I2904" i="8" s="1"/>
  <c r="H1894" i="8"/>
  <c r="I1894" i="8" s="1"/>
  <c r="F942" i="8"/>
  <c r="H1067" i="8"/>
  <c r="I1067" i="8" s="1"/>
  <c r="F1274" i="8"/>
  <c r="F2697" i="8"/>
  <c r="H977" i="8"/>
  <c r="I977" i="8" s="1"/>
  <c r="H957" i="8"/>
  <c r="I957" i="8" s="1"/>
  <c r="H1154" i="8"/>
  <c r="I1154" i="8" s="1"/>
  <c r="H925" i="8"/>
  <c r="I925" i="8" s="1"/>
  <c r="F922" i="8"/>
  <c r="F285" i="8"/>
  <c r="H574" i="8"/>
  <c r="I574" i="8" s="1"/>
  <c r="H183" i="8"/>
  <c r="I183" i="8" s="1"/>
  <c r="H510" i="8"/>
  <c r="I510" i="8" s="1"/>
  <c r="H846" i="8"/>
  <c r="I846" i="8" s="1"/>
  <c r="F299" i="8"/>
  <c r="H1157" i="8"/>
  <c r="I1157" i="8" s="1"/>
  <c r="H290" i="8"/>
  <c r="I290" i="8" s="1"/>
  <c r="F311" i="8"/>
  <c r="F288" i="8"/>
  <c r="H270" i="8"/>
  <c r="I270" i="8" s="1"/>
  <c r="H3042" i="8"/>
  <c r="I3042" i="8" s="1"/>
  <c r="F375" i="8"/>
  <c r="H1336" i="8"/>
  <c r="I1336" i="8" s="1"/>
  <c r="H146" i="8"/>
  <c r="I146" i="8" s="1"/>
  <c r="F145" i="8"/>
  <c r="H1110" i="8"/>
  <c r="I1110" i="8" s="1"/>
  <c r="F99" i="8"/>
  <c r="H472" i="8"/>
  <c r="I472" i="8" s="1"/>
  <c r="F45" i="8"/>
  <c r="H579" i="8"/>
  <c r="I579" i="8" s="1"/>
  <c r="H1547" i="8"/>
  <c r="I1547" i="8" s="1"/>
  <c r="H246" i="8"/>
  <c r="I246" i="8" s="1"/>
  <c r="H242" i="8"/>
  <c r="I242" i="8" s="1"/>
  <c r="F244" i="8"/>
  <c r="H412" i="8"/>
  <c r="I412" i="8" s="1"/>
  <c r="H895" i="8"/>
  <c r="I895" i="8" s="1"/>
  <c r="F120" i="8"/>
  <c r="H249" i="8"/>
  <c r="I249" i="8" s="1"/>
  <c r="H7" i="8"/>
  <c r="I7" i="8" s="1"/>
  <c r="H854" i="8"/>
  <c r="I854" i="8" s="1"/>
  <c r="H723" i="8"/>
  <c r="I723" i="8" s="1"/>
  <c r="H1114" i="8"/>
  <c r="I1114" i="8" s="1"/>
  <c r="H515" i="8"/>
  <c r="I515" i="8" s="1"/>
  <c r="H562" i="8"/>
  <c r="I562" i="8" s="1"/>
  <c r="H774" i="8"/>
  <c r="I774" i="8" s="1"/>
  <c r="H860" i="8"/>
  <c r="I860" i="8" s="1"/>
  <c r="H862" i="8"/>
  <c r="I862" i="8" s="1"/>
  <c r="H864" i="8"/>
  <c r="I864" i="8" s="1"/>
  <c r="H866" i="8"/>
  <c r="I866" i="8" s="1"/>
  <c r="H891" i="8"/>
  <c r="I891" i="8" s="1"/>
  <c r="H899" i="8"/>
  <c r="I899" i="8" s="1"/>
  <c r="H902" i="8"/>
  <c r="I902" i="8" s="1"/>
  <c r="H1098" i="8"/>
  <c r="I1098" i="8" s="1"/>
  <c r="H1146" i="8"/>
  <c r="I1146" i="8" s="1"/>
  <c r="H1174" i="8"/>
  <c r="I1174" i="8" s="1"/>
  <c r="H1182" i="8"/>
  <c r="I1182" i="8" s="1"/>
  <c r="H1230" i="8"/>
  <c r="I1230" i="8" s="1"/>
  <c r="H1245" i="8"/>
  <c r="I1245" i="8" s="1"/>
  <c r="H1427" i="8"/>
  <c r="I1427" i="8" s="1"/>
  <c r="H2901" i="8"/>
  <c r="I2901" i="8" s="1"/>
  <c r="H2929" i="8"/>
  <c r="I2929" i="8" s="1"/>
  <c r="H416" i="8"/>
  <c r="I416" i="8" s="1"/>
  <c r="H577" i="8"/>
  <c r="I577" i="8" s="1"/>
  <c r="H582" i="8"/>
  <c r="I582" i="8" s="1"/>
  <c r="H879" i="8"/>
  <c r="I879" i="8" s="1"/>
  <c r="H900" i="8"/>
  <c r="I900" i="8" s="1"/>
  <c r="H908" i="8"/>
  <c r="I908" i="8" s="1"/>
  <c r="H910" i="8"/>
  <c r="I910" i="8" s="1"/>
  <c r="H936" i="8"/>
  <c r="I936" i="8" s="1"/>
  <c r="H951" i="8"/>
  <c r="I951" i="8" s="1"/>
  <c r="H959" i="8"/>
  <c r="I959" i="8" s="1"/>
  <c r="H970" i="8"/>
  <c r="I970" i="8" s="1"/>
  <c r="H1036" i="8"/>
  <c r="I1036" i="8" s="1"/>
  <c r="H1071" i="8"/>
  <c r="I1071" i="8" s="1"/>
  <c r="H1353" i="8"/>
  <c r="I1353" i="8" s="1"/>
  <c r="H1365" i="8"/>
  <c r="I1365" i="8" s="1"/>
  <c r="H1375" i="8"/>
  <c r="I1375" i="8" s="1"/>
  <c r="H1574" i="8"/>
  <c r="I1574" i="8" s="1"/>
  <c r="H1606" i="8"/>
  <c r="I1606" i="8" s="1"/>
  <c r="H1847" i="8"/>
  <c r="I1847" i="8" s="1"/>
  <c r="H1903" i="8"/>
  <c r="I1903" i="8" s="1"/>
  <c r="H2603" i="8"/>
  <c r="I2603" i="8" s="1"/>
  <c r="H2619" i="8"/>
  <c r="I2619" i="8" s="1"/>
  <c r="H2742" i="8"/>
  <c r="I2742" i="8" s="1"/>
  <c r="H2858" i="8"/>
  <c r="I2858" i="8" s="1"/>
  <c r="H2887" i="8"/>
  <c r="I2887" i="8" s="1"/>
  <c r="H2993" i="8"/>
  <c r="I2993" i="8" s="1"/>
  <c r="H3185" i="8"/>
  <c r="I3185" i="8" s="1"/>
  <c r="H477" i="8"/>
  <c r="I477" i="8" s="1"/>
  <c r="H571" i="8"/>
  <c r="I571" i="8" s="1"/>
  <c r="H575" i="8"/>
  <c r="I575" i="8" s="1"/>
  <c r="H820" i="8"/>
  <c r="I820" i="8" s="1"/>
  <c r="H845" i="8"/>
  <c r="I845" i="8" s="1"/>
  <c r="H890" i="8"/>
  <c r="I890" i="8" s="1"/>
  <c r="H892" i="8"/>
  <c r="I892" i="8" s="1"/>
  <c r="H898" i="8"/>
  <c r="I898" i="8" s="1"/>
  <c r="H1131" i="8"/>
  <c r="I1131" i="8" s="1"/>
  <c r="H1153" i="8"/>
  <c r="I1153" i="8" s="1"/>
  <c r="H1158" i="8"/>
  <c r="I1158" i="8" s="1"/>
  <c r="H1185" i="8"/>
  <c r="I1185" i="8" s="1"/>
  <c r="H1240" i="8"/>
  <c r="I1240" i="8" s="1"/>
  <c r="H1247" i="8"/>
  <c r="I1247" i="8" s="1"/>
  <c r="H1392" i="8"/>
  <c r="I1392" i="8" s="1"/>
  <c r="H1412" i="8"/>
  <c r="I1412" i="8" s="1"/>
  <c r="H1858" i="8"/>
  <c r="I1858" i="8" s="1"/>
  <c r="H1872" i="8"/>
  <c r="I1872" i="8" s="1"/>
  <c r="H1882" i="8"/>
  <c r="I1882" i="8" s="1"/>
  <c r="H1899" i="8"/>
  <c r="I1899" i="8" s="1"/>
  <c r="H2595" i="8"/>
  <c r="I2595" i="8" s="1"/>
  <c r="H2696" i="8"/>
  <c r="I2696" i="8" s="1"/>
  <c r="H2706" i="8"/>
  <c r="I2706" i="8" s="1"/>
  <c r="H2812" i="8"/>
  <c r="I2812" i="8" s="1"/>
  <c r="H2833" i="8"/>
  <c r="I2833" i="8" s="1"/>
  <c r="H2868" i="8"/>
  <c r="I2868" i="8" s="1"/>
  <c r="H2880" i="8"/>
  <c r="I2880" i="8" s="1"/>
  <c r="H2896" i="8"/>
  <c r="I2896" i="8" s="1"/>
  <c r="H2931" i="8"/>
  <c r="I2931" i="8" s="1"/>
  <c r="H2938" i="8"/>
  <c r="I2938" i="8" s="1"/>
  <c r="H3001" i="8"/>
  <c r="I3001" i="8" s="1"/>
  <c r="H3030" i="8"/>
  <c r="I3030" i="8" s="1"/>
  <c r="H3098" i="8"/>
  <c r="I3098" i="8" s="1"/>
  <c r="H3219" i="8"/>
  <c r="I3219" i="8" s="1"/>
  <c r="H3253" i="8"/>
  <c r="I3253" i="8" s="1"/>
  <c r="H363" i="8"/>
  <c r="I363" i="8" s="1"/>
  <c r="H448" i="8"/>
  <c r="I448" i="8" s="1"/>
  <c r="H581" i="8"/>
  <c r="I581" i="8" s="1"/>
  <c r="H720" i="8"/>
  <c r="I720" i="8" s="1"/>
  <c r="H872" i="8"/>
  <c r="I872" i="8" s="1"/>
  <c r="H909" i="8"/>
  <c r="I909" i="8" s="1"/>
  <c r="H940" i="8"/>
  <c r="I940" i="8" s="1"/>
  <c r="H969" i="8"/>
  <c r="I969" i="8" s="1"/>
  <c r="H1039" i="8"/>
  <c r="I1039" i="8" s="1"/>
  <c r="H1065" i="8"/>
  <c r="I1065" i="8" s="1"/>
  <c r="H1070" i="8"/>
  <c r="I1070" i="8" s="1"/>
  <c r="H1073" i="8"/>
  <c r="I1073" i="8" s="1"/>
  <c r="H1075" i="8"/>
  <c r="I1075" i="8" s="1"/>
  <c r="H1132" i="8"/>
  <c r="I1132" i="8" s="1"/>
  <c r="H1141" i="8"/>
  <c r="I1141" i="8" s="1"/>
  <c r="H1155" i="8"/>
  <c r="I1155" i="8" s="1"/>
  <c r="H1162" i="8"/>
  <c r="I1162" i="8" s="1"/>
  <c r="H1169" i="8"/>
  <c r="I1169" i="8" s="1"/>
  <c r="H1250" i="8"/>
  <c r="I1250" i="8" s="1"/>
  <c r="H1319" i="8"/>
  <c r="I1319" i="8" s="1"/>
  <c r="H1352" i="8"/>
  <c r="I1352" i="8" s="1"/>
  <c r="H1354" i="8"/>
  <c r="I1354" i="8" s="1"/>
  <c r="H1364" i="8"/>
  <c r="I1364" i="8" s="1"/>
  <c r="H1366" i="8"/>
  <c r="I1366" i="8" s="1"/>
  <c r="H1382" i="8"/>
  <c r="I1382" i="8" s="1"/>
  <c r="H1549" i="8"/>
  <c r="I1549" i="8" s="1"/>
  <c r="H1838" i="8"/>
  <c r="I1838" i="8" s="1"/>
  <c r="H1842" i="8"/>
  <c r="I1842" i="8" s="1"/>
  <c r="H1844" i="8"/>
  <c r="I1844" i="8" s="1"/>
  <c r="H1861" i="8"/>
  <c r="I1861" i="8" s="1"/>
  <c r="H1869" i="8"/>
  <c r="I1869" i="8" s="1"/>
  <c r="H1888" i="8"/>
  <c r="I1888" i="8" s="1"/>
  <c r="H1895" i="8"/>
  <c r="I1895" i="8" s="1"/>
  <c r="H1904" i="8"/>
  <c r="I1904" i="8" s="1"/>
  <c r="H1921" i="8"/>
  <c r="I1921" i="8" s="1"/>
  <c r="H1928" i="8"/>
  <c r="I1928" i="8" s="1"/>
  <c r="H2219" i="8"/>
  <c r="I2219" i="8" s="1"/>
  <c r="H2333" i="8"/>
  <c r="I2333" i="8" s="1"/>
  <c r="H2384" i="8"/>
  <c r="I2384" i="8" s="1"/>
  <c r="H2612" i="8"/>
  <c r="I2612" i="8" s="1"/>
  <c r="H2757" i="8"/>
  <c r="I2757" i="8" s="1"/>
  <c r="H2806" i="8"/>
  <c r="I2806" i="8" s="1"/>
  <c r="H2823" i="8"/>
  <c r="I2823" i="8" s="1"/>
  <c r="H2861" i="8"/>
  <c r="I2861" i="8" s="1"/>
  <c r="H2882" i="8"/>
  <c r="I2882" i="8" s="1"/>
  <c r="H2978" i="8"/>
  <c r="I2978" i="8" s="1"/>
  <c r="H3034" i="8"/>
  <c r="I3034" i="8" s="1"/>
  <c r="H3044" i="8"/>
  <c r="I3044" i="8" s="1"/>
  <c r="H3211" i="8"/>
  <c r="I3211" i="8" s="1"/>
  <c r="H15" i="8"/>
  <c r="I15" i="8" s="1"/>
  <c r="F160" i="8"/>
  <c r="H160" i="8"/>
  <c r="I160" i="8" s="1"/>
  <c r="F229" i="8"/>
  <c r="H229" i="8"/>
  <c r="I229" i="8" s="1"/>
  <c r="F233" i="8"/>
  <c r="H364" i="8"/>
  <c r="I364" i="8" s="1"/>
  <c r="F364" i="8"/>
  <c r="H373" i="8"/>
  <c r="I373" i="8" s="1"/>
  <c r="F373" i="8"/>
  <c r="F503" i="8"/>
  <c r="H503" i="8"/>
  <c r="I503" i="8" s="1"/>
  <c r="F858" i="8"/>
  <c r="H858" i="8"/>
  <c r="I858" i="8" s="1"/>
  <c r="F889" i="8"/>
  <c r="H889" i="8"/>
  <c r="I889" i="8" s="1"/>
  <c r="F893" i="8"/>
  <c r="H893" i="8"/>
  <c r="I893" i="8" s="1"/>
  <c r="H955" i="8"/>
  <c r="I955" i="8" s="1"/>
  <c r="F955" i="8"/>
  <c r="H973" i="8"/>
  <c r="I973" i="8" s="1"/>
  <c r="H1087" i="8"/>
  <c r="I1087" i="8" s="1"/>
  <c r="F1087" i="8"/>
  <c r="H1107" i="8"/>
  <c r="I1107" i="8" s="1"/>
  <c r="F1107" i="8"/>
  <c r="F1269" i="8"/>
  <c r="F1277" i="8"/>
  <c r="H1277" i="8"/>
  <c r="I1277" i="8" s="1"/>
  <c r="H1339" i="8"/>
  <c r="I1339" i="8" s="1"/>
  <c r="H245" i="8"/>
  <c r="I245" i="8" s="1"/>
  <c r="H1016" i="8"/>
  <c r="I1016" i="8" s="1"/>
  <c r="F94" i="8"/>
  <c r="H278" i="8"/>
  <c r="I278" i="8" s="1"/>
  <c r="H82" i="8"/>
  <c r="I82" i="8" s="1"/>
  <c r="H1112" i="8"/>
  <c r="I1112" i="8" s="1"/>
  <c r="H129" i="8"/>
  <c r="I129" i="8" s="1"/>
  <c r="H1136" i="8"/>
  <c r="I1136" i="8" s="1"/>
  <c r="H341" i="8"/>
  <c r="I341" i="8" s="1"/>
  <c r="F217" i="8"/>
  <c r="F1230" i="8"/>
  <c r="F118" i="8"/>
  <c r="H151" i="8"/>
  <c r="I151" i="8" s="1"/>
  <c r="H935" i="8"/>
  <c r="I935" i="8" s="1"/>
  <c r="H587" i="8"/>
  <c r="I587" i="8" s="1"/>
  <c r="F271" i="8"/>
  <c r="F272" i="8"/>
  <c r="F866" i="8"/>
  <c r="F899" i="8"/>
  <c r="H48" i="8"/>
  <c r="I48" i="8" s="1"/>
  <c r="H897" i="8"/>
  <c r="I897" i="8" s="1"/>
  <c r="F33" i="8"/>
  <c r="H33" i="8"/>
  <c r="I33" i="8" s="1"/>
  <c r="F238" i="8"/>
  <c r="H238" i="8"/>
  <c r="I238" i="8" s="1"/>
  <c r="F266" i="8"/>
  <c r="H266" i="8"/>
  <c r="I266" i="8" s="1"/>
  <c r="F268" i="8"/>
  <c r="H268" i="8"/>
  <c r="I268" i="8" s="1"/>
  <c r="F338" i="8"/>
  <c r="H354" i="8"/>
  <c r="I354" i="8" s="1"/>
  <c r="F354" i="8"/>
  <c r="F381" i="8"/>
  <c r="H507" i="8"/>
  <c r="I507" i="8" s="1"/>
  <c r="F507" i="8"/>
  <c r="F856" i="8"/>
  <c r="H856" i="8"/>
  <c r="I856" i="8" s="1"/>
  <c r="F886" i="8"/>
  <c r="F1094" i="8"/>
  <c r="H1094" i="8"/>
  <c r="I1094" i="8" s="1"/>
  <c r="H1140" i="8"/>
  <c r="I1140" i="8" s="1"/>
  <c r="F1140" i="8"/>
  <c r="F1183" i="8"/>
  <c r="H1183" i="8"/>
  <c r="I1183" i="8" s="1"/>
  <c r="F1321" i="8"/>
  <c r="H1321" i="8"/>
  <c r="I1321" i="8" s="1"/>
  <c r="H157" i="8"/>
  <c r="I157" i="8" s="1"/>
  <c r="F347" i="8"/>
  <c r="H379" i="8"/>
  <c r="I379" i="8" s="1"/>
  <c r="F1245" i="8"/>
  <c r="F92" i="8"/>
  <c r="H374" i="8"/>
  <c r="I374" i="8" s="1"/>
  <c r="H819" i="8"/>
  <c r="I819" i="8" s="1"/>
  <c r="H123" i="8"/>
  <c r="I123" i="8" s="1"/>
  <c r="H715" i="8"/>
  <c r="I715" i="8" s="1"/>
  <c r="F1146" i="8"/>
  <c r="H934" i="8"/>
  <c r="I934" i="8" s="1"/>
  <c r="F852" i="8"/>
  <c r="F19" i="8"/>
  <c r="H19" i="8"/>
  <c r="I19" i="8" s="1"/>
  <c r="H46" i="8"/>
  <c r="I46" i="8" s="1"/>
  <c r="F46" i="8"/>
  <c r="F54" i="8"/>
  <c r="H54" i="8"/>
  <c r="I54" i="8" s="1"/>
  <c r="H81" i="8"/>
  <c r="I81" i="8" s="1"/>
  <c r="H88" i="8"/>
  <c r="I88" i="8" s="1"/>
  <c r="F177" i="8"/>
  <c r="H177" i="8"/>
  <c r="I177" i="8" s="1"/>
  <c r="H178" i="8"/>
  <c r="I178" i="8" s="1"/>
  <c r="F330" i="8"/>
  <c r="H330" i="8"/>
  <c r="I330" i="8" s="1"/>
  <c r="H362" i="8"/>
  <c r="I362" i="8" s="1"/>
  <c r="F371" i="8"/>
  <c r="H371" i="8"/>
  <c r="I371" i="8" s="1"/>
  <c r="H410" i="8"/>
  <c r="I410" i="8" s="1"/>
  <c r="F410" i="8"/>
  <c r="F514" i="8"/>
  <c r="H514" i="8"/>
  <c r="I514" i="8" s="1"/>
  <c r="F566" i="8"/>
  <c r="H566" i="8"/>
  <c r="I566" i="8" s="1"/>
  <c r="H884" i="8"/>
  <c r="I884" i="8" s="1"/>
  <c r="F949" i="8"/>
  <c r="F964" i="8"/>
  <c r="H964" i="8"/>
  <c r="I964" i="8" s="1"/>
  <c r="F982" i="8"/>
  <c r="H982" i="8"/>
  <c r="I982" i="8" s="1"/>
  <c r="F1064" i="8"/>
  <c r="F1095" i="8"/>
  <c r="F1126" i="8"/>
  <c r="H1126" i="8"/>
  <c r="I1126" i="8" s="1"/>
  <c r="F1224" i="8"/>
  <c r="H1224" i="8"/>
  <c r="I1224" i="8" s="1"/>
  <c r="H1273" i="8"/>
  <c r="I1273" i="8" s="1"/>
  <c r="H1286" i="8"/>
  <c r="I1286" i="8" s="1"/>
  <c r="F1286" i="8"/>
  <c r="F1301" i="8"/>
  <c r="F1340" i="8"/>
  <c r="H1340" i="8"/>
  <c r="I1340" i="8" s="1"/>
  <c r="F1363" i="8"/>
  <c r="F1395" i="8"/>
  <c r="H1395" i="8"/>
  <c r="I1395" i="8" s="1"/>
  <c r="F1575" i="8"/>
  <c r="H1575" i="8"/>
  <c r="I1575" i="8" s="1"/>
  <c r="H1852" i="8"/>
  <c r="I1852" i="8" s="1"/>
  <c r="F1852" i="8"/>
  <c r="F1893" i="8"/>
  <c r="H1893" i="8"/>
  <c r="I1893" i="8" s="1"/>
  <c r="H1954" i="8"/>
  <c r="I1954" i="8" s="1"/>
  <c r="F1954" i="8"/>
  <c r="F2684" i="8"/>
  <c r="H2684" i="8"/>
  <c r="I2684" i="8" s="1"/>
  <c r="F2871" i="8"/>
  <c r="H2871" i="8"/>
  <c r="I2871" i="8" s="1"/>
  <c r="H2884" i="8"/>
  <c r="I2884" i="8" s="1"/>
  <c r="F2884" i="8"/>
  <c r="F2927" i="8"/>
  <c r="H2927" i="8"/>
  <c r="I2927" i="8" s="1"/>
  <c r="F2996" i="8"/>
  <c r="H2996" i="8"/>
  <c r="I2996" i="8" s="1"/>
  <c r="F3019" i="8"/>
  <c r="H3019" i="8"/>
  <c r="I3019" i="8" s="1"/>
  <c r="F3037" i="8"/>
  <c r="H3037" i="8"/>
  <c r="I3037" i="8" s="1"/>
  <c r="F3039" i="8"/>
  <c r="H3039" i="8"/>
  <c r="I3039" i="8" s="1"/>
  <c r="H3116" i="8"/>
  <c r="I3116" i="8" s="1"/>
  <c r="H3092" i="8"/>
  <c r="I3092" i="8" s="1"/>
  <c r="F960" i="8"/>
  <c r="F3253" i="8"/>
  <c r="F2714" i="8"/>
  <c r="F234" i="8"/>
  <c r="H95" i="8"/>
  <c r="I95" i="8" s="1"/>
  <c r="H907" i="8"/>
  <c r="I907" i="8" s="1"/>
  <c r="F1352" i="8"/>
  <c r="H1320" i="8"/>
  <c r="I1320" i="8" s="1"/>
  <c r="F969" i="8"/>
  <c r="H1266" i="8"/>
  <c r="I1266" i="8" s="1"/>
  <c r="F2806" i="8"/>
  <c r="H2946" i="8"/>
  <c r="I2946" i="8" s="1"/>
  <c r="H1246" i="8"/>
  <c r="I1246" i="8" s="1"/>
  <c r="H2907" i="8"/>
  <c r="I2907" i="8" s="1"/>
  <c r="H2936" i="8"/>
  <c r="I2936" i="8" s="1"/>
  <c r="H2099" i="8"/>
  <c r="I2099" i="8" s="1"/>
  <c r="H1113" i="8"/>
  <c r="I1113" i="8" s="1"/>
  <c r="H3011" i="8"/>
  <c r="I3011" i="8" s="1"/>
  <c r="H2683" i="8"/>
  <c r="I2683" i="8" s="1"/>
  <c r="F1861" i="8"/>
  <c r="F1838" i="8"/>
  <c r="H1210" i="8"/>
  <c r="I1210" i="8" s="1"/>
  <c r="H1337" i="8"/>
  <c r="I1337" i="8" s="1"/>
  <c r="F1904" i="8"/>
  <c r="H193" i="8"/>
  <c r="I193" i="8" s="1"/>
  <c r="H1873" i="8"/>
  <c r="I1873" i="8" s="1"/>
  <c r="F3044" i="8"/>
  <c r="F3236" i="8"/>
  <c r="F1888" i="8"/>
  <c r="H1159" i="8"/>
  <c r="I1159" i="8" s="1"/>
  <c r="H1832" i="8"/>
  <c r="I1832" i="8" s="1"/>
  <c r="H874" i="8"/>
  <c r="I874" i="8" s="1"/>
  <c r="H947" i="8"/>
  <c r="I947" i="8" s="1"/>
  <c r="H1018" i="8"/>
  <c r="I1018" i="8" s="1"/>
  <c r="H36" i="8"/>
  <c r="I36" i="8" s="1"/>
  <c r="H913" i="8"/>
  <c r="I913" i="8" s="1"/>
  <c r="F104" i="8"/>
  <c r="F1549" i="8"/>
  <c r="F1928" i="8"/>
  <c r="H3096" i="8"/>
  <c r="I3096" i="8" s="1"/>
  <c r="F3098" i="8"/>
  <c r="H124" i="8"/>
  <c r="I124" i="8" s="1"/>
  <c r="H3230" i="8"/>
  <c r="I3230" i="8" s="1"/>
  <c r="F115" i="8"/>
  <c r="F1073" i="8"/>
  <c r="F186" i="8"/>
  <c r="H322" i="8"/>
  <c r="I322" i="8" s="1"/>
  <c r="H356" i="8"/>
  <c r="I356" i="8" s="1"/>
  <c r="F448" i="8"/>
  <c r="F2861" i="8"/>
  <c r="H1572" i="8"/>
  <c r="I1572" i="8" s="1"/>
  <c r="H276" i="8"/>
  <c r="I276" i="8" s="1"/>
  <c r="F1250" i="8"/>
  <c r="H1283" i="8"/>
  <c r="I1283" i="8" s="1"/>
  <c r="F47" i="8"/>
  <c r="H578" i="8"/>
  <c r="I578" i="8" s="1"/>
  <c r="H3051" i="8"/>
  <c r="I3051" i="8" s="1"/>
  <c r="H2875" i="8"/>
  <c r="I2875" i="8" s="1"/>
  <c r="H2860" i="8"/>
  <c r="I2860" i="8" s="1"/>
  <c r="F1897" i="8"/>
  <c r="H894" i="8"/>
  <c r="I894" i="8" s="1"/>
  <c r="F911" i="8"/>
  <c r="F343" i="8"/>
  <c r="F86" i="8"/>
  <c r="H318" i="8"/>
  <c r="I318" i="8" s="1"/>
  <c r="F261" i="8"/>
  <c r="H777" i="8"/>
  <c r="I777" i="8" s="1"/>
  <c r="H384" i="8"/>
  <c r="I384" i="8" s="1"/>
  <c r="H989" i="8"/>
  <c r="I989" i="8" s="1"/>
  <c r="F149" i="8"/>
  <c r="F174" i="8"/>
  <c r="H586" i="8"/>
  <c r="I586" i="8" s="1"/>
  <c r="H102" i="8"/>
  <c r="I102" i="8" s="1"/>
  <c r="H283" i="8"/>
  <c r="I283" i="8" s="1"/>
  <c r="F300" i="8"/>
  <c r="F132" i="8"/>
  <c r="F1039" i="8"/>
  <c r="F940" i="8"/>
  <c r="F24" i="8"/>
  <c r="H78" i="8"/>
  <c r="I78" i="8" s="1"/>
  <c r="F314" i="8"/>
  <c r="F225" i="8"/>
  <c r="H716" i="8"/>
  <c r="I716" i="8" s="1"/>
  <c r="F943" i="8"/>
  <c r="H305" i="8"/>
  <c r="I305" i="8" s="1"/>
  <c r="H286" i="8"/>
  <c r="I286" i="8" s="1"/>
  <c r="H2753" i="8"/>
  <c r="I2753" i="8" s="1"/>
  <c r="H3048" i="8"/>
  <c r="I3048" i="8" s="1"/>
  <c r="H182" i="8"/>
  <c r="I182" i="8" s="1"/>
  <c r="H1006" i="8"/>
  <c r="I1006" i="8" s="1"/>
  <c r="H509" i="8"/>
  <c r="I509" i="8" s="1"/>
  <c r="F581" i="8"/>
  <c r="H2602" i="8"/>
  <c r="I2602" i="8" s="1"/>
  <c r="H2709" i="8"/>
  <c r="I2709" i="8" s="1"/>
  <c r="H2995" i="8"/>
  <c r="I2995" i="8" s="1"/>
  <c r="F1247" i="8"/>
  <c r="H237" i="8"/>
  <c r="I237" i="8" s="1"/>
  <c r="H2872" i="8"/>
  <c r="I2872" i="8" s="1"/>
  <c r="H1122" i="8"/>
  <c r="I1122" i="8" s="1"/>
  <c r="H2903" i="8"/>
  <c r="I2903" i="8" s="1"/>
  <c r="H2824" i="8"/>
  <c r="I2824" i="8" s="1"/>
  <c r="H1831" i="8"/>
  <c r="I1831" i="8" s="1"/>
  <c r="F2896" i="8"/>
  <c r="F2931" i="8"/>
  <c r="H2815" i="8"/>
  <c r="I2815" i="8" s="1"/>
  <c r="H2981" i="8"/>
  <c r="I2981" i="8" s="1"/>
  <c r="H2687" i="8"/>
  <c r="I2687" i="8" s="1"/>
  <c r="H1358" i="8"/>
  <c r="I1358" i="8" s="1"/>
  <c r="F2938" i="8"/>
  <c r="H3035" i="8"/>
  <c r="I3035" i="8" s="1"/>
  <c r="F2833" i="8"/>
  <c r="F892" i="8"/>
  <c r="H2504" i="8"/>
  <c r="I2504" i="8" s="1"/>
  <c r="H1085" i="8"/>
  <c r="I1085" i="8" s="1"/>
  <c r="F890" i="8"/>
  <c r="H2945" i="8"/>
  <c r="I2945" i="8" s="1"/>
  <c r="F2868" i="8"/>
  <c r="H863" i="8"/>
  <c r="I863" i="8" s="1"/>
  <c r="H967" i="8"/>
  <c r="I967" i="8" s="1"/>
  <c r="F100" i="8"/>
  <c r="H918" i="8"/>
  <c r="I918" i="8" s="1"/>
  <c r="H3012" i="8"/>
  <c r="I3012" i="8" s="1"/>
  <c r="H2218" i="8"/>
  <c r="I2218" i="8" s="1"/>
  <c r="F1899" i="8"/>
  <c r="F2857" i="8"/>
  <c r="H117" i="8"/>
  <c r="I117" i="8" s="1"/>
  <c r="F117" i="8"/>
  <c r="F127" i="8"/>
  <c r="H127" i="8"/>
  <c r="I127" i="8" s="1"/>
  <c r="F194" i="8"/>
  <c r="H202" i="8"/>
  <c r="I202" i="8" s="1"/>
  <c r="H206" i="8"/>
  <c r="I206" i="8" s="1"/>
  <c r="F210" i="8"/>
  <c r="F315" i="8"/>
  <c r="H352" i="8"/>
  <c r="I352" i="8" s="1"/>
  <c r="F352" i="8"/>
  <c r="F361" i="8"/>
  <c r="H361" i="8"/>
  <c r="I361" i="8" s="1"/>
  <c r="F372" i="8"/>
  <c r="H385" i="8"/>
  <c r="I385" i="8" s="1"/>
  <c r="F385" i="8"/>
  <c r="H499" i="8"/>
  <c r="I499" i="8" s="1"/>
  <c r="F499" i="8"/>
  <c r="H518" i="8"/>
  <c r="I518" i="8" s="1"/>
  <c r="F518" i="8"/>
  <c r="H597" i="8"/>
  <c r="I597" i="8" s="1"/>
  <c r="F597" i="8"/>
  <c r="F718" i="8"/>
  <c r="H718" i="8"/>
  <c r="I718" i="8" s="1"/>
  <c r="F750" i="8"/>
  <c r="H750" i="8"/>
  <c r="I750" i="8" s="1"/>
  <c r="F834" i="8"/>
  <c r="H834" i="8"/>
  <c r="I834" i="8" s="1"/>
  <c r="F948" i="8"/>
  <c r="H948" i="8"/>
  <c r="I948" i="8" s="1"/>
  <c r="H965" i="8"/>
  <c r="I965" i="8" s="1"/>
  <c r="F965" i="8"/>
  <c r="H985" i="8"/>
  <c r="I985" i="8" s="1"/>
  <c r="F985" i="8"/>
  <c r="F1120" i="8"/>
  <c r="H1120" i="8"/>
  <c r="I1120" i="8" s="1"/>
  <c r="F1129" i="8"/>
  <c r="H1129" i="8"/>
  <c r="I1129" i="8" s="1"/>
  <c r="F1139" i="8"/>
  <c r="H1139" i="8"/>
  <c r="I1139" i="8" s="1"/>
  <c r="F1164" i="8"/>
  <c r="H1164" i="8"/>
  <c r="I1164" i="8" s="1"/>
  <c r="F1176" i="8"/>
  <c r="H1176" i="8"/>
  <c r="I1176" i="8" s="1"/>
  <c r="H1190" i="8"/>
  <c r="I1190" i="8" s="1"/>
  <c r="F1190" i="8"/>
  <c r="H1261" i="8"/>
  <c r="I1261" i="8" s="1"/>
  <c r="F1263" i="8"/>
  <c r="H1263" i="8"/>
  <c r="I1263" i="8" s="1"/>
  <c r="F1288" i="8"/>
  <c r="H1330" i="8"/>
  <c r="I1330" i="8" s="1"/>
  <c r="F1829" i="8"/>
  <c r="H1829" i="8"/>
  <c r="I1829" i="8" s="1"/>
  <c r="H1837" i="8"/>
  <c r="I1837" i="8" s="1"/>
  <c r="H1849" i="8"/>
  <c r="I1849" i="8" s="1"/>
  <c r="F1849" i="8"/>
  <c r="F1874" i="8"/>
  <c r="H2295" i="8"/>
  <c r="I2295" i="8" s="1"/>
  <c r="H2623" i="8"/>
  <c r="I2623" i="8" s="1"/>
  <c r="H2736" i="8"/>
  <c r="I2736" i="8" s="1"/>
  <c r="F2747" i="8"/>
  <c r="H2881" i="8"/>
  <c r="I2881" i="8" s="1"/>
  <c r="F2892" i="8"/>
  <c r="F2926" i="8"/>
  <c r="H2975" i="8"/>
  <c r="I2975" i="8" s="1"/>
  <c r="F2975" i="8"/>
  <c r="F3020" i="8"/>
  <c r="H3020" i="8"/>
  <c r="I3020" i="8" s="1"/>
  <c r="F951" i="8"/>
  <c r="H110" i="8"/>
  <c r="I110" i="8" s="1"/>
  <c r="F282" i="8"/>
  <c r="H253" i="8"/>
  <c r="I253" i="8" s="1"/>
  <c r="F287" i="8"/>
  <c r="F87" i="8"/>
  <c r="F2814" i="8"/>
  <c r="H184" i="8"/>
  <c r="I184" i="8" s="1"/>
  <c r="F1545" i="8"/>
  <c r="H1077" i="8"/>
  <c r="I1077" i="8" s="1"/>
  <c r="H1391" i="8"/>
  <c r="I1391" i="8" s="1"/>
  <c r="H1034" i="8"/>
  <c r="I1034" i="8" s="1"/>
  <c r="H2335" i="8"/>
  <c r="I2335" i="8" s="1"/>
  <c r="H359" i="8"/>
  <c r="I359" i="8" s="1"/>
  <c r="H161" i="8"/>
  <c r="I161" i="8" s="1"/>
  <c r="F1847" i="8"/>
  <c r="F900" i="8"/>
  <c r="F130" i="8"/>
  <c r="H382" i="8"/>
  <c r="I382" i="8" s="1"/>
  <c r="H583" i="8"/>
  <c r="I583" i="8" s="1"/>
  <c r="F583" i="8"/>
  <c r="F857" i="8"/>
  <c r="H857" i="8"/>
  <c r="I857" i="8" s="1"/>
  <c r="F888" i="8"/>
  <c r="H888" i="8"/>
  <c r="I888" i="8" s="1"/>
  <c r="F970" i="8"/>
  <c r="H976" i="8"/>
  <c r="I976" i="8" s="1"/>
  <c r="H324" i="8"/>
  <c r="I324" i="8" s="1"/>
  <c r="F575" i="8"/>
  <c r="F275" i="8"/>
  <c r="F1257" i="8"/>
  <c r="F1365" i="8"/>
  <c r="F1264" i="8"/>
  <c r="F230" i="8"/>
  <c r="H3014" i="8"/>
  <c r="I3014" i="8" s="1"/>
  <c r="F334" i="8"/>
  <c r="F1071" i="8"/>
  <c r="F208" i="8"/>
  <c r="F2603" i="8"/>
  <c r="H195" i="8"/>
  <c r="I195" i="8" s="1"/>
  <c r="H1833" i="8"/>
  <c r="I1833" i="8" s="1"/>
  <c r="H2937" i="8"/>
  <c r="I2937" i="8" s="1"/>
  <c r="H1093" i="8"/>
  <c r="I1093" i="8" s="1"/>
  <c r="H1097" i="8"/>
  <c r="I1097" i="8" s="1"/>
  <c r="H1300" i="8"/>
  <c r="I1300" i="8" s="1"/>
  <c r="H201" i="8"/>
  <c r="I201" i="8" s="1"/>
  <c r="H1315" i="8"/>
  <c r="I1315" i="8" s="1"/>
  <c r="H8" i="8"/>
  <c r="I8" i="8" s="1"/>
  <c r="H476" i="8"/>
  <c r="I476" i="8" s="1"/>
  <c r="H1885" i="8"/>
  <c r="I1885" i="8" s="1"/>
  <c r="H192" i="8"/>
  <c r="I192" i="8" s="1"/>
  <c r="F192" i="8"/>
  <c r="H205" i="8"/>
  <c r="I205" i="8" s="1"/>
  <c r="F262" i="8"/>
  <c r="H263" i="8"/>
  <c r="I263" i="8" s="1"/>
  <c r="F263" i="8"/>
  <c r="F317" i="8"/>
  <c r="F421" i="8"/>
  <c r="H421" i="8"/>
  <c r="I421" i="8" s="1"/>
  <c r="H714" i="8"/>
  <c r="I714" i="8" s="1"/>
  <c r="F714" i="8"/>
  <c r="H912" i="8"/>
  <c r="I912" i="8" s="1"/>
  <c r="H979" i="8"/>
  <c r="I979" i="8" s="1"/>
  <c r="F979" i="8"/>
  <c r="F981" i="8"/>
  <c r="H1069" i="8"/>
  <c r="I1069" i="8" s="1"/>
  <c r="F1069" i="8"/>
  <c r="H1165" i="8"/>
  <c r="I1165" i="8" s="1"/>
  <c r="F1178" i="8"/>
  <c r="H1178" i="8"/>
  <c r="I1178" i="8" s="1"/>
  <c r="F1211" i="8"/>
  <c r="H1211" i="8"/>
  <c r="I1211" i="8" s="1"/>
  <c r="F1262" i="8"/>
  <c r="H1290" i="8"/>
  <c r="I1290" i="8" s="1"/>
  <c r="H1568" i="8"/>
  <c r="I1568" i="8" s="1"/>
  <c r="F1568" i="8"/>
  <c r="H1839" i="8"/>
  <c r="I1839" i="8" s="1"/>
  <c r="H1856" i="8"/>
  <c r="I1856" i="8" s="1"/>
  <c r="F1856" i="8"/>
  <c r="F1880" i="8"/>
  <c r="H1880" i="8"/>
  <c r="I1880" i="8" s="1"/>
  <c r="H1901" i="8"/>
  <c r="I1901" i="8" s="1"/>
  <c r="F2217" i="8"/>
  <c r="H2816" i="8"/>
  <c r="I2816" i="8" s="1"/>
  <c r="F2816" i="8"/>
  <c r="F2818" i="8"/>
  <c r="F2910" i="8"/>
  <c r="H2933" i="8"/>
  <c r="I2933" i="8" s="1"/>
  <c r="F2933" i="8"/>
  <c r="F3024" i="8"/>
  <c r="H3024" i="8"/>
  <c r="I3024" i="8" s="1"/>
  <c r="H3029" i="8"/>
  <c r="I3029" i="8" s="1"/>
  <c r="H3036" i="8"/>
  <c r="I3036" i="8" s="1"/>
  <c r="H189" i="8"/>
  <c r="I189" i="8" s="1"/>
  <c r="F2894" i="8"/>
  <c r="H176" i="8"/>
  <c r="I176" i="8" s="1"/>
  <c r="H1156" i="8"/>
  <c r="I1156" i="8" s="1"/>
  <c r="H107" i="8"/>
  <c r="I107" i="8" s="1"/>
  <c r="F107" i="8"/>
  <c r="F191" i="8"/>
  <c r="H191" i="8"/>
  <c r="I191" i="8" s="1"/>
  <c r="F277" i="8"/>
  <c r="H277" i="8"/>
  <c r="I277" i="8" s="1"/>
  <c r="H289" i="8"/>
  <c r="I289" i="8" s="1"/>
  <c r="F289" i="8"/>
  <c r="F304" i="8"/>
  <c r="H304" i="8"/>
  <c r="I304" i="8" s="1"/>
  <c r="F733" i="8"/>
  <c r="H733" i="8"/>
  <c r="I733" i="8" s="1"/>
  <c r="F96" i="8"/>
  <c r="F2619" i="8"/>
  <c r="F255" i="8"/>
  <c r="F380" i="8"/>
  <c r="F908" i="8"/>
  <c r="F342" i="8"/>
  <c r="H564" i="8"/>
  <c r="I564" i="8" s="1"/>
  <c r="H1863" i="8"/>
  <c r="I1863" i="8" s="1"/>
  <c r="H204" i="8"/>
  <c r="I204" i="8" s="1"/>
  <c r="H2876" i="8"/>
  <c r="I2876" i="8" s="1"/>
  <c r="H1102" i="8"/>
  <c r="I1102" i="8" s="1"/>
  <c r="H1125" i="8"/>
  <c r="I1125" i="8" s="1"/>
  <c r="F582" i="8"/>
  <c r="H156" i="8"/>
  <c r="I156" i="8" s="1"/>
  <c r="H570" i="8"/>
  <c r="I570" i="8" s="1"/>
  <c r="H212" i="8"/>
  <c r="I212" i="8" s="1"/>
  <c r="F1606" i="8"/>
  <c r="H98" i="8"/>
  <c r="I98" i="8" s="1"/>
  <c r="H3052" i="8"/>
  <c r="I3052" i="8" s="1"/>
  <c r="I1292" i="8"/>
  <c r="H196" i="8"/>
  <c r="I196" i="8" s="1"/>
  <c r="F196" i="8"/>
  <c r="H588" i="8"/>
  <c r="I588" i="8" s="1"/>
  <c r="F855" i="8"/>
  <c r="H855" i="8"/>
  <c r="I855" i="8" s="1"/>
  <c r="H920" i="8"/>
  <c r="I920" i="8" s="1"/>
  <c r="F920" i="8"/>
  <c r="F956" i="8"/>
  <c r="H956" i="8"/>
  <c r="I956" i="8" s="1"/>
  <c r="H958" i="8"/>
  <c r="I958" i="8" s="1"/>
  <c r="F958" i="8"/>
  <c r="H975" i="8"/>
  <c r="I975" i="8" s="1"/>
  <c r="F975" i="8"/>
  <c r="H1109" i="8"/>
  <c r="I1109" i="8" s="1"/>
  <c r="H1138" i="8"/>
  <c r="I1138" i="8" s="1"/>
  <c r="F1142" i="8"/>
  <c r="H1163" i="8"/>
  <c r="I1163" i="8" s="1"/>
  <c r="F1172" i="8"/>
  <c r="H1172" i="8"/>
  <c r="I1172" i="8" s="1"/>
  <c r="F1251" i="8"/>
  <c r="F1255" i="8"/>
  <c r="H1255" i="8"/>
  <c r="I1255" i="8" s="1"/>
  <c r="F1324" i="8"/>
  <c r="H1347" i="8"/>
  <c r="I1347" i="8" s="1"/>
  <c r="H1348" i="8"/>
  <c r="I1348" i="8" s="1"/>
  <c r="F1360" i="8"/>
  <c r="H1381" i="8"/>
  <c r="I1381" i="8" s="1"/>
  <c r="F1381" i="8"/>
  <c r="F1410" i="8"/>
  <c r="H1410" i="8"/>
  <c r="I1410" i="8" s="1"/>
  <c r="F1420" i="8"/>
  <c r="H1420" i="8"/>
  <c r="I1420" i="8" s="1"/>
  <c r="H1569" i="8"/>
  <c r="I1569" i="8" s="1"/>
  <c r="F1569" i="8"/>
  <c r="F1577" i="8"/>
  <c r="H1577" i="8"/>
  <c r="I1577" i="8" s="1"/>
  <c r="F1851" i="8"/>
  <c r="F1886" i="8"/>
  <c r="H1886" i="8"/>
  <c r="I1886" i="8" s="1"/>
  <c r="F1902" i="8"/>
  <c r="H1902" i="8"/>
  <c r="I1902" i="8" s="1"/>
  <c r="F1920" i="8"/>
  <c r="H1926" i="8"/>
  <c r="I1926" i="8" s="1"/>
  <c r="F1926" i="8"/>
  <c r="F1951" i="8"/>
  <c r="F2255" i="8"/>
  <c r="H2255" i="8"/>
  <c r="I2255" i="8" s="1"/>
  <c r="F2299" i="8"/>
  <c r="H2299" i="8"/>
  <c r="I2299" i="8" s="1"/>
  <c r="F2598" i="8"/>
  <c r="H2598" i="8"/>
  <c r="I2598" i="8" s="1"/>
  <c r="F2765" i="8"/>
  <c r="H2765" i="8"/>
  <c r="I2765" i="8" s="1"/>
  <c r="H2822" i="8"/>
  <c r="I2822" i="8" s="1"/>
  <c r="H2885" i="8"/>
  <c r="I2885" i="8" s="1"/>
  <c r="F2885" i="8"/>
  <c r="F2912" i="8"/>
  <c r="F3033" i="8"/>
  <c r="H3033" i="8"/>
  <c r="I3033" i="8" s="1"/>
  <c r="F3040" i="8"/>
  <c r="H3040" i="8"/>
  <c r="I3040" i="8" s="1"/>
  <c r="F56" i="8"/>
  <c r="H56" i="8"/>
  <c r="I56" i="8" s="1"/>
  <c r="H269" i="8"/>
  <c r="I269" i="8" s="1"/>
  <c r="F269" i="8"/>
  <c r="H516" i="8"/>
  <c r="I516" i="8" s="1"/>
  <c r="F859" i="8"/>
  <c r="H859" i="8"/>
  <c r="I859" i="8" s="1"/>
  <c r="F1268" i="8"/>
  <c r="H91" i="8"/>
  <c r="I91" i="8" s="1"/>
  <c r="H89" i="8"/>
  <c r="I89" i="8" s="1"/>
  <c r="F1158" i="8"/>
  <c r="F1153" i="8"/>
  <c r="H1076" i="8"/>
  <c r="I1076" i="8" s="1"/>
  <c r="H239" i="8"/>
  <c r="I239" i="8" s="1"/>
  <c r="F1185" i="8"/>
  <c r="H573" i="8"/>
  <c r="I573" i="8" s="1"/>
  <c r="F926" i="8"/>
  <c r="F310" i="8"/>
  <c r="F898" i="8"/>
  <c r="H928" i="8"/>
  <c r="I928" i="8" s="1"/>
  <c r="F1292" i="8"/>
  <c r="H1180" i="8"/>
  <c r="I1180" i="8" s="1"/>
  <c r="H419" i="8"/>
  <c r="I419" i="8" s="1"/>
  <c r="F477" i="8"/>
  <c r="H218" i="8"/>
  <c r="I218" i="8" s="1"/>
  <c r="H346" i="8"/>
  <c r="I346" i="8" s="1"/>
  <c r="F516" i="8"/>
  <c r="H1814" i="8"/>
  <c r="I1814" i="8" s="1"/>
  <c r="H974" i="8"/>
  <c r="I974" i="8" s="1"/>
  <c r="F85" i="8"/>
  <c r="F1853" i="8"/>
  <c r="F1131" i="8"/>
  <c r="H721" i="8"/>
  <c r="I721" i="8" s="1"/>
  <c r="H109" i="8"/>
  <c r="I109" i="8" s="1"/>
  <c r="F109" i="8"/>
  <c r="F223" i="8"/>
  <c r="H223" i="8"/>
  <c r="I223" i="8" s="1"/>
  <c r="F337" i="8"/>
  <c r="H383" i="8"/>
  <c r="I383" i="8" s="1"/>
  <c r="F383" i="8"/>
  <c r="F413" i="8"/>
  <c r="H413" i="8"/>
  <c r="I413" i="8" s="1"/>
  <c r="H495" i="8"/>
  <c r="I495" i="8" s="1"/>
  <c r="F495" i="8"/>
  <c r="F717" i="8"/>
  <c r="H717" i="8"/>
  <c r="I717" i="8" s="1"/>
  <c r="F751" i="8"/>
  <c r="H751" i="8"/>
  <c r="I751" i="8" s="1"/>
  <c r="F111" i="8"/>
  <c r="F972" i="8"/>
  <c r="F996" i="8"/>
  <c r="F252" i="8"/>
  <c r="F1392" i="8"/>
  <c r="F274" i="8"/>
  <c r="H128" i="8"/>
  <c r="I128" i="8" s="1"/>
  <c r="H896" i="8"/>
  <c r="I896" i="8" s="1"/>
  <c r="H861" i="8"/>
  <c r="I861" i="8" s="1"/>
  <c r="H1035" i="8"/>
  <c r="I1035" i="8" s="1"/>
  <c r="F1882" i="8"/>
  <c r="H219" i="8"/>
  <c r="I219" i="8" s="1"/>
  <c r="F820" i="8"/>
  <c r="H1607" i="8"/>
  <c r="I1607" i="8" s="1"/>
  <c r="H1853" i="8"/>
  <c r="I1853" i="8" s="1"/>
  <c r="F1872" i="8"/>
  <c r="F845" i="8"/>
  <c r="H1380" i="8"/>
  <c r="I1380" i="8" s="1"/>
  <c r="H501" i="8"/>
  <c r="I501" i="8" s="1"/>
  <c r="F303" i="8"/>
  <c r="H853" i="8"/>
  <c r="I853" i="8" s="1"/>
  <c r="H1546" i="8"/>
  <c r="I1546" i="8" s="1"/>
  <c r="H511" i="8"/>
  <c r="I511" i="8" s="1"/>
  <c r="H938" i="8"/>
  <c r="I938" i="8" s="1"/>
  <c r="H1270" i="8"/>
  <c r="I1270" i="8" s="1"/>
  <c r="F571" i="8"/>
  <c r="F473" i="8"/>
  <c r="H473" i="8"/>
  <c r="I473" i="8" s="1"/>
  <c r="F713" i="8"/>
  <c r="H713" i="8"/>
  <c r="I713" i="8" s="1"/>
  <c r="H1082" i="8"/>
  <c r="I1082" i="8" s="1"/>
  <c r="H953" i="8"/>
  <c r="I953" i="8" s="1"/>
  <c r="F37" i="8"/>
  <c r="F1284" i="8"/>
  <c r="F265" i="8"/>
  <c r="H260" i="8"/>
  <c r="I260" i="8" s="1"/>
  <c r="H220" i="8"/>
  <c r="I220" i="8" s="1"/>
  <c r="F1099" i="8"/>
  <c r="H16" i="8"/>
  <c r="I16" i="8" s="1"/>
  <c r="H865" i="8"/>
  <c r="I865" i="8" s="1"/>
  <c r="H519" i="8"/>
  <c r="I519" i="8" s="1"/>
  <c r="F1374" i="8"/>
  <c r="H1142" i="8"/>
  <c r="I1142" i="8" s="1"/>
  <c r="F257" i="8"/>
  <c r="F1109" i="8"/>
  <c r="F84" i="8"/>
  <c r="H3090" i="8"/>
  <c r="I3090" i="8" s="1"/>
  <c r="F159" i="8"/>
  <c r="H159" i="8"/>
  <c r="I159" i="8" s="1"/>
  <c r="F39" i="8"/>
  <c r="H39" i="8"/>
  <c r="I39" i="8" s="1"/>
  <c r="H35" i="8"/>
  <c r="I35" i="8" s="1"/>
  <c r="F35" i="8"/>
  <c r="H43" i="8"/>
  <c r="I43" i="8" s="1"/>
  <c r="H153" i="8"/>
  <c r="I153" i="8" s="1"/>
  <c r="F164" i="8"/>
  <c r="H164" i="8"/>
  <c r="I164" i="8" s="1"/>
  <c r="H2274" i="5"/>
  <c r="E368" i="8" s="1"/>
  <c r="H2187" i="5"/>
  <c r="E355" i="8" s="1"/>
  <c r="H2139" i="5"/>
  <c r="E349" i="8" s="1"/>
  <c r="H349" i="8" s="1"/>
  <c r="I349" i="8" s="1"/>
  <c r="H2155" i="5"/>
  <c r="E351" i="8" s="1"/>
  <c r="H2171" i="5"/>
  <c r="E353" i="8" s="1"/>
  <c r="H2336" i="5"/>
  <c r="E376" i="8" s="1"/>
  <c r="H4428" i="5"/>
  <c r="E1147" i="8" s="1"/>
  <c r="H3984" i="5"/>
  <c r="E1081" i="8" s="1"/>
  <c r="H4121" i="5"/>
  <c r="E1111" i="8" s="1"/>
  <c r="H4157" i="5"/>
  <c r="E1116" i="8" s="1"/>
  <c r="H1116" i="8" s="1"/>
  <c r="I1116" i="8" s="1"/>
  <c r="H4168" i="5"/>
  <c r="E1117" i="8" s="1"/>
  <c r="H4438" i="5"/>
  <c r="E1148" i="8" s="1"/>
  <c r="H3937" i="5"/>
  <c r="E1074" i="8" s="1"/>
  <c r="H4149" i="5"/>
  <c r="E1115" i="8" s="1"/>
  <c r="H4215" i="5"/>
  <c r="E1124" i="8" s="1"/>
  <c r="H4301" i="5"/>
  <c r="E1135" i="8" s="1"/>
  <c r="H4408" i="5"/>
  <c r="E1145" i="8" s="1"/>
  <c r="H4097" i="5"/>
  <c r="E1106" i="8" s="1"/>
  <c r="H4276" i="5"/>
  <c r="E1133" i="8" s="1"/>
  <c r="H4335" i="5"/>
  <c r="E1137" i="8" s="1"/>
  <c r="H6264" i="5"/>
  <c r="E2609" i="8" s="1"/>
  <c r="H6291" i="5"/>
  <c r="E2613" i="8" s="1"/>
  <c r="H2613" i="8" s="1"/>
  <c r="I2613" i="8" s="1"/>
  <c r="H6388" i="5"/>
  <c r="E2622" i="8" s="1"/>
  <c r="H6249" i="5"/>
  <c r="E2607" i="8" s="1"/>
  <c r="H6311" i="5"/>
  <c r="E2615" i="8" s="1"/>
  <c r="H6373" i="5"/>
  <c r="E2620" i="8" s="1"/>
  <c r="H6255" i="5"/>
  <c r="E2608" i="8" s="1"/>
  <c r="H6300" i="5"/>
  <c r="E2614" i="8" s="1"/>
  <c r="H6345" i="5"/>
  <c r="E2617" i="8" s="1"/>
  <c r="H6475" i="5"/>
  <c r="E2710" i="8" s="1"/>
  <c r="H6452" i="5"/>
  <c r="E2707" i="8" s="1"/>
  <c r="H2707" i="8" s="1"/>
  <c r="H6" i="8"/>
  <c r="I6" i="8" s="1"/>
  <c r="F21" i="8"/>
  <c r="H21" i="8"/>
  <c r="I21" i="8" s="1"/>
  <c r="H22" i="8"/>
  <c r="I22" i="8" s="1"/>
  <c r="F22" i="8"/>
  <c r="F23" i="8"/>
  <c r="H23" i="8"/>
  <c r="I23" i="8" s="1"/>
  <c r="F25" i="8"/>
  <c r="H25" i="8"/>
  <c r="I25" i="8" s="1"/>
  <c r="F26" i="8"/>
  <c r="H26" i="8"/>
  <c r="I26" i="8" s="1"/>
  <c r="F27" i="8"/>
  <c r="H27" i="8"/>
  <c r="I27" i="8" s="1"/>
  <c r="H28" i="8"/>
  <c r="I28" i="8" s="1"/>
  <c r="H29" i="8"/>
  <c r="I29" i="8" s="1"/>
  <c r="F29" i="8"/>
  <c r="H30" i="8"/>
  <c r="I30" i="8" s="1"/>
  <c r="F30" i="8"/>
  <c r="F31" i="8"/>
  <c r="H31" i="8"/>
  <c r="I31" i="8" s="1"/>
  <c r="F32" i="8"/>
  <c r="H32" i="8"/>
  <c r="I32" i="8" s="1"/>
  <c r="F41" i="8"/>
  <c r="H41" i="8"/>
  <c r="I41" i="8" s="1"/>
  <c r="H42" i="8"/>
  <c r="I42" i="8" s="1"/>
  <c r="F42" i="8"/>
  <c r="F53" i="8"/>
  <c r="H53" i="8"/>
  <c r="I53" i="8" s="1"/>
  <c r="H75" i="8"/>
  <c r="I75" i="8" s="1"/>
  <c r="H90" i="8"/>
  <c r="I90" i="8" s="1"/>
  <c r="F93" i="8"/>
  <c r="H103" i="8"/>
  <c r="I103" i="8" s="1"/>
  <c r="H105" i="8"/>
  <c r="I105" i="8" s="1"/>
  <c r="H113" i="8"/>
  <c r="I113" i="8" s="1"/>
  <c r="F119" i="8"/>
  <c r="F122" i="8"/>
  <c r="H122" i="8"/>
  <c r="I122" i="8" s="1"/>
  <c r="H126" i="8"/>
  <c r="I126" i="8" s="1"/>
  <c r="H136" i="8"/>
  <c r="I136" i="8" s="1"/>
  <c r="F136" i="8"/>
  <c r="F143" i="8"/>
  <c r="H143" i="8"/>
  <c r="I143" i="8" s="1"/>
  <c r="H150" i="8"/>
  <c r="I150" i="8" s="1"/>
  <c r="H152" i="8"/>
  <c r="I152" i="8" s="1"/>
  <c r="F152" i="8"/>
  <c r="F158" i="8"/>
  <c r="H158" i="8"/>
  <c r="I158" i="8" s="1"/>
  <c r="F163" i="8"/>
  <c r="H163" i="8"/>
  <c r="I163" i="8" s="1"/>
  <c r="H173" i="8"/>
  <c r="I173" i="8" s="1"/>
  <c r="F180" i="8"/>
  <c r="I180" i="8"/>
  <c r="F203" i="8"/>
  <c r="F211" i="8"/>
  <c r="H213" i="8"/>
  <c r="I213" i="8" s="1"/>
  <c r="F213" i="8"/>
  <c r="H216" i="8"/>
  <c r="I216" i="8" s="1"/>
  <c r="F221" i="8"/>
  <c r="H221" i="8"/>
  <c r="I221" i="8" s="1"/>
  <c r="F227" i="8"/>
  <c r="H227" i="8"/>
  <c r="I227" i="8" s="1"/>
  <c r="H301" i="8"/>
  <c r="I301" i="8" s="1"/>
  <c r="H308" i="8"/>
  <c r="I308" i="8" s="1"/>
  <c r="F312" i="8"/>
  <c r="F319" i="8"/>
  <c r="H319" i="8"/>
  <c r="I319" i="8" s="1"/>
  <c r="F320" i="8"/>
  <c r="H320" i="8"/>
  <c r="I320" i="8" s="1"/>
  <c r="H326" i="8"/>
  <c r="I326" i="8" s="1"/>
  <c r="H336" i="8"/>
  <c r="I336" i="8" s="1"/>
  <c r="F336" i="8"/>
  <c r="H344" i="8"/>
  <c r="I344" i="8" s="1"/>
  <c r="F344" i="8"/>
  <c r="F348" i="8"/>
  <c r="H365" i="8"/>
  <c r="I365" i="8" s="1"/>
  <c r="F367" i="8"/>
  <c r="H367" i="8"/>
  <c r="I367" i="8" s="1"/>
  <c r="F377" i="8"/>
  <c r="H377" i="8"/>
  <c r="I377" i="8" s="1"/>
  <c r="H378" i="8"/>
  <c r="I378" i="8" s="1"/>
  <c r="F378" i="8"/>
  <c r="H414" i="8"/>
  <c r="I414" i="8" s="1"/>
  <c r="H475" i="8"/>
  <c r="I475" i="8" s="1"/>
  <c r="H496" i="8"/>
  <c r="I496" i="8" s="1"/>
  <c r="F505" i="8"/>
  <c r="H505" i="8"/>
  <c r="I505" i="8" s="1"/>
  <c r="F513" i="8"/>
  <c r="H513" i="8"/>
  <c r="I513" i="8" s="1"/>
  <c r="F517" i="8"/>
  <c r="H517" i="8"/>
  <c r="I517" i="8" s="1"/>
  <c r="H569" i="8"/>
  <c r="I569" i="8" s="1"/>
  <c r="F569" i="8"/>
  <c r="F585" i="8"/>
  <c r="H585" i="8"/>
  <c r="I585" i="8" s="1"/>
  <c r="F593" i="8"/>
  <c r="H593" i="8"/>
  <c r="I593" i="8" s="1"/>
  <c r="H742" i="8"/>
  <c r="I742" i="8" s="1"/>
  <c r="F742" i="8"/>
  <c r="H775" i="8"/>
  <c r="I775" i="8" s="1"/>
  <c r="F833" i="8"/>
  <c r="H833" i="8"/>
  <c r="I833" i="8" s="1"/>
  <c r="H849" i="8"/>
  <c r="I849" i="8" s="1"/>
  <c r="F849" i="8"/>
  <c r="F850" i="8"/>
  <c r="H850" i="8"/>
  <c r="I850" i="8" s="1"/>
  <c r="F902" i="8"/>
  <c r="F916" i="8"/>
  <c r="H916" i="8"/>
  <c r="I916" i="8" s="1"/>
  <c r="I929" i="8"/>
  <c r="F929" i="8"/>
  <c r="F933" i="8"/>
  <c r="H933" i="8"/>
  <c r="I933" i="8" s="1"/>
  <c r="F937" i="8"/>
  <c r="H937" i="8"/>
  <c r="I937" i="8" s="1"/>
  <c r="H939" i="8"/>
  <c r="I939" i="8" s="1"/>
  <c r="F939" i="8"/>
  <c r="F941" i="8"/>
  <c r="H941" i="8"/>
  <c r="I941" i="8" s="1"/>
  <c r="H945" i="8"/>
  <c r="I945" i="8" s="1"/>
  <c r="H961" i="8"/>
  <c r="I961" i="8" s="1"/>
  <c r="F961" i="8"/>
  <c r="F962" i="8"/>
  <c r="H962" i="8"/>
  <c r="I962" i="8" s="1"/>
  <c r="H963" i="8"/>
  <c r="I963" i="8" s="1"/>
  <c r="F988" i="8"/>
  <c r="H988" i="8"/>
  <c r="I988" i="8" s="1"/>
  <c r="H991" i="8"/>
  <c r="I991" i="8" s="1"/>
  <c r="F991" i="8"/>
  <c r="H992" i="8"/>
  <c r="I992" i="8" s="1"/>
  <c r="F992" i="8"/>
  <c r="F994" i="8"/>
  <c r="F995" i="8"/>
  <c r="H995" i="8"/>
  <c r="I995" i="8" s="1"/>
  <c r="F1038" i="8"/>
  <c r="H1038" i="8"/>
  <c r="I1038" i="8" s="1"/>
  <c r="H1042" i="8"/>
  <c r="I1042" i="8" s="1"/>
  <c r="F1042" i="8"/>
  <c r="F1046" i="8"/>
  <c r="H1046" i="8"/>
  <c r="I1046" i="8" s="1"/>
  <c r="H1066" i="8"/>
  <c r="I1066" i="8" s="1"/>
  <c r="H9" i="8"/>
  <c r="I9" i="8" s="1"/>
  <c r="F10" i="8"/>
  <c r="H10" i="8"/>
  <c r="I10" i="8" s="1"/>
  <c r="H11" i="8"/>
  <c r="I11" i="8" s="1"/>
  <c r="F11" i="8"/>
  <c r="H12" i="8"/>
  <c r="I12" i="8" s="1"/>
  <c r="F12" i="8"/>
  <c r="H13" i="8"/>
  <c r="I13" i="8" s="1"/>
  <c r="F13" i="8"/>
  <c r="F14" i="8"/>
  <c r="H14" i="8"/>
  <c r="I14" i="8" s="1"/>
  <c r="F17" i="8"/>
  <c r="H17" i="8"/>
  <c r="I17" i="8" s="1"/>
  <c r="H18" i="8"/>
  <c r="I18" i="8" s="1"/>
  <c r="F38" i="8"/>
  <c r="H38" i="8"/>
  <c r="I38" i="8" s="1"/>
  <c r="H40" i="8"/>
  <c r="I40" i="8" s="1"/>
  <c r="F40" i="8"/>
  <c r="F44" i="8"/>
  <c r="H44" i="8"/>
  <c r="I44" i="8" s="1"/>
  <c r="F49" i="8"/>
  <c r="H49" i="8"/>
  <c r="I49" i="8" s="1"/>
  <c r="I50" i="8"/>
  <c r="F50" i="8"/>
  <c r="F51" i="8"/>
  <c r="H51" i="8"/>
  <c r="I51" i="8" s="1"/>
  <c r="F62" i="8"/>
  <c r="H62" i="8"/>
  <c r="I62" i="8" s="1"/>
  <c r="I80" i="8"/>
  <c r="F80" i="8"/>
  <c r="F97" i="8"/>
  <c r="H97" i="8"/>
  <c r="I97" i="8" s="1"/>
  <c r="F101" i="8"/>
  <c r="H101" i="8"/>
  <c r="I101" i="8" s="1"/>
  <c r="H106" i="8"/>
  <c r="I106" i="8" s="1"/>
  <c r="F106" i="8"/>
  <c r="I112" i="8"/>
  <c r="F112" i="8"/>
  <c r="F125" i="8"/>
  <c r="H125" i="8"/>
  <c r="I125" i="8" s="1"/>
  <c r="H134" i="8"/>
  <c r="I134" i="8" s="1"/>
  <c r="H148" i="8"/>
  <c r="I148" i="8" s="1"/>
  <c r="H154" i="8"/>
  <c r="I154" i="8" s="1"/>
  <c r="F154" i="8"/>
  <c r="F155" i="8"/>
  <c r="H155" i="8"/>
  <c r="I155" i="8" s="1"/>
  <c r="F162" i="8"/>
  <c r="H162" i="8"/>
  <c r="I162" i="8" s="1"/>
  <c r="H165" i="8"/>
  <c r="I165" i="8" s="1"/>
  <c r="F190" i="8"/>
  <c r="H190" i="8"/>
  <c r="I190" i="8" s="1"/>
  <c r="H198" i="8"/>
  <c r="I198" i="8" s="1"/>
  <c r="F198" i="8"/>
  <c r="F199" i="8"/>
  <c r="H199" i="8"/>
  <c r="I199" i="8" s="1"/>
  <c r="F200" i="8"/>
  <c r="H200" i="8"/>
  <c r="I200" i="8" s="1"/>
  <c r="I222" i="8"/>
  <c r="F222" i="8"/>
  <c r="H224" i="8"/>
  <c r="I224" i="8" s="1"/>
  <c r="F224" i="8"/>
  <c r="I226" i="8"/>
  <c r="F226" i="8"/>
  <c r="F235" i="8"/>
  <c r="H235" i="8"/>
  <c r="I235" i="8" s="1"/>
  <c r="I250" i="8"/>
  <c r="F250" i="8"/>
  <c r="F254" i="8"/>
  <c r="H254" i="8"/>
  <c r="I254" i="8" s="1"/>
  <c r="H256" i="8"/>
  <c r="I256" i="8" s="1"/>
  <c r="F258" i="8"/>
  <c r="H258" i="8"/>
  <c r="I258" i="8" s="1"/>
  <c r="H284" i="8"/>
  <c r="I284" i="8" s="1"/>
  <c r="F284" i="8"/>
  <c r="F302" i="8"/>
  <c r="H302" i="8"/>
  <c r="I302" i="8" s="1"/>
  <c r="H309" i="8"/>
  <c r="I309" i="8" s="1"/>
  <c r="F309" i="8"/>
  <c r="H313" i="8"/>
  <c r="I313" i="8" s="1"/>
  <c r="F313" i="8"/>
  <c r="F335" i="8"/>
  <c r="H335" i="8"/>
  <c r="I335" i="8" s="1"/>
  <c r="F339" i="8"/>
  <c r="H339" i="8"/>
  <c r="I339" i="8" s="1"/>
  <c r="H114" i="8"/>
  <c r="I114" i="8" s="1"/>
  <c r="F6" i="8"/>
  <c r="F207" i="8"/>
  <c r="F126" i="8"/>
  <c r="F241" i="8"/>
  <c r="H172" i="8"/>
  <c r="I172" i="8" s="1"/>
  <c r="H209" i="8"/>
  <c r="I209" i="8" s="1"/>
  <c r="F28" i="8"/>
  <c r="H1103" i="8"/>
  <c r="I1103" i="8" s="1"/>
  <c r="F1103" i="8"/>
  <c r="H1123" i="8"/>
  <c r="I1123" i="8" s="1"/>
  <c r="H1130" i="8"/>
  <c r="I1130" i="8" s="1"/>
  <c r="F1144" i="8"/>
  <c r="F1181" i="8"/>
  <c r="H1181" i="8"/>
  <c r="I1181" i="8" s="1"/>
  <c r="F1184" i="8"/>
  <c r="H1184" i="8"/>
  <c r="I1184" i="8" s="1"/>
  <c r="H1238" i="8"/>
  <c r="I1238" i="8" s="1"/>
  <c r="F1240" i="8"/>
  <c r="H1248" i="8"/>
  <c r="I1248" i="8" s="1"/>
  <c r="F1248" i="8"/>
  <c r="F1249" i="8"/>
  <c r="H1249" i="8"/>
  <c r="I1249" i="8" s="1"/>
  <c r="H1252" i="8"/>
  <c r="I1252" i="8" s="1"/>
  <c r="F1252" i="8"/>
  <c r="F1253" i="8"/>
  <c r="H1253" i="8"/>
  <c r="I1253" i="8" s="1"/>
  <c r="F1254" i="8"/>
  <c r="H1254" i="8"/>
  <c r="I1254" i="8" s="1"/>
  <c r="H1278" i="8"/>
  <c r="I1278" i="8" s="1"/>
  <c r="F1278" i="8"/>
  <c r="F1333" i="8"/>
  <c r="H1356" i="8"/>
  <c r="I1356" i="8" s="1"/>
  <c r="F1356" i="8"/>
  <c r="I1361" i="8"/>
  <c r="H1499" i="8"/>
  <c r="I1499" i="8" s="1"/>
  <c r="F1812" i="8"/>
  <c r="H1812" i="8"/>
  <c r="I1812" i="8" s="1"/>
  <c r="F1816" i="8"/>
  <c r="H1816" i="8"/>
  <c r="I1816" i="8" s="1"/>
  <c r="H1854" i="8"/>
  <c r="I1854" i="8" s="1"/>
  <c r="F1876" i="8"/>
  <c r="H1876" i="8"/>
  <c r="I1876" i="8" s="1"/>
  <c r="H1896" i="8"/>
  <c r="I1896" i="8" s="1"/>
  <c r="F1896" i="8"/>
  <c r="H1900" i="8"/>
  <c r="I1900" i="8" s="1"/>
  <c r="H2394" i="8"/>
  <c r="I2394" i="8" s="1"/>
  <c r="F2685" i="8"/>
  <c r="H2685" i="8"/>
  <c r="I2685" i="8" s="1"/>
  <c r="F2686" i="8"/>
  <c r="H2729" i="8"/>
  <c r="I2729" i="8" s="1"/>
  <c r="F2729" i="8"/>
  <c r="F2812" i="8"/>
  <c r="H2820" i="8"/>
  <c r="I2820" i="8" s="1"/>
  <c r="F2820" i="8"/>
  <c r="F2830" i="8"/>
  <c r="H2830" i="8"/>
  <c r="I2830" i="8" s="1"/>
  <c r="F2880" i="8"/>
  <c r="F2890" i="8"/>
  <c r="F2898" i="8"/>
  <c r="H2902" i="8"/>
  <c r="I2902" i="8" s="1"/>
  <c r="H3018" i="8"/>
  <c r="I3018" i="8" s="1"/>
  <c r="F345" i="8"/>
  <c r="H345" i="8"/>
  <c r="I345" i="8" s="1"/>
  <c r="H360" i="8"/>
  <c r="I360" i="8" s="1"/>
  <c r="F360" i="8"/>
  <c r="H420" i="8"/>
  <c r="I420" i="8" s="1"/>
  <c r="F420" i="8"/>
  <c r="F494" i="8"/>
  <c r="H494" i="8"/>
  <c r="I494" i="8" s="1"/>
  <c r="F508" i="8"/>
  <c r="H508" i="8"/>
  <c r="I508" i="8" s="1"/>
  <c r="F568" i="8"/>
  <c r="H568" i="8"/>
  <c r="I568" i="8" s="1"/>
  <c r="H572" i="8"/>
  <c r="I572" i="8" s="1"/>
  <c r="F572" i="8"/>
  <c r="F576" i="8"/>
  <c r="H576" i="8"/>
  <c r="I576" i="8" s="1"/>
  <c r="H584" i="8"/>
  <c r="I584" i="8" s="1"/>
  <c r="F851" i="8"/>
  <c r="H851" i="8"/>
  <c r="I851" i="8" s="1"/>
  <c r="F870" i="8"/>
  <c r="H871" i="8"/>
  <c r="I871" i="8" s="1"/>
  <c r="F871" i="8"/>
  <c r="F875" i="8"/>
  <c r="H875" i="8"/>
  <c r="I875" i="8" s="1"/>
  <c r="H876" i="8"/>
  <c r="I876" i="8" s="1"/>
  <c r="F877" i="8"/>
  <c r="H877" i="8"/>
  <c r="I877" i="8" s="1"/>
  <c r="H878" i="8"/>
  <c r="I878" i="8" s="1"/>
  <c r="F878" i="8"/>
  <c r="H880" i="8"/>
  <c r="I880" i="8" s="1"/>
  <c r="F882" i="8"/>
  <c r="H885" i="8"/>
  <c r="I885" i="8" s="1"/>
  <c r="H917" i="8"/>
  <c r="I917" i="8" s="1"/>
  <c r="F917" i="8"/>
  <c r="H923" i="8"/>
  <c r="I923" i="8" s="1"/>
  <c r="H1017" i="8"/>
  <c r="I1017" i="8" s="1"/>
  <c r="F1017" i="8"/>
  <c r="H1037" i="8"/>
  <c r="I1037" i="8" s="1"/>
  <c r="F1037" i="8"/>
  <c r="F1041" i="8"/>
  <c r="H1041" i="8"/>
  <c r="I1041" i="8" s="1"/>
  <c r="H1121" i="8"/>
  <c r="I1121" i="8" s="1"/>
  <c r="F1121" i="8"/>
  <c r="F1128" i="8"/>
  <c r="H1143" i="8"/>
  <c r="I1143" i="8" s="1"/>
  <c r="F1143" i="8"/>
  <c r="H1160" i="8"/>
  <c r="I1160" i="8" s="1"/>
  <c r="F1206" i="8"/>
  <c r="H1206" i="8"/>
  <c r="I1206" i="8" s="1"/>
  <c r="F1267" i="8"/>
  <c r="H1267" i="8"/>
  <c r="I1267" i="8" s="1"/>
  <c r="F1276" i="8"/>
  <c r="H1276" i="8"/>
  <c r="I1276" i="8" s="1"/>
  <c r="F1285" i="8"/>
  <c r="H1285" i="8"/>
  <c r="I1285" i="8" s="1"/>
  <c r="F1287" i="8"/>
  <c r="H1293" i="8"/>
  <c r="I1293" i="8" s="1"/>
  <c r="F1353" i="8"/>
  <c r="H1357" i="8"/>
  <c r="I1357" i="8" s="1"/>
  <c r="F1357" i="8"/>
  <c r="F1408" i="8"/>
  <c r="H1408" i="8"/>
  <c r="I1408" i="8" s="1"/>
  <c r="F1412" i="8"/>
  <c r="F1414" i="8"/>
  <c r="H1414" i="8"/>
  <c r="I1414" i="8" s="1"/>
  <c r="H1416" i="8"/>
  <c r="I1416" i="8" s="1"/>
  <c r="F1416" i="8"/>
  <c r="H1418" i="8"/>
  <c r="I1418" i="8" s="1"/>
  <c r="F1418" i="8"/>
  <c r="H1421" i="8"/>
  <c r="I1421" i="8" s="1"/>
  <c r="H1422" i="8"/>
  <c r="I1422" i="8" s="1"/>
  <c r="F1423" i="8"/>
  <c r="H1424" i="8"/>
  <c r="I1424" i="8" s="1"/>
  <c r="F1426" i="8"/>
  <c r="H1426" i="8"/>
  <c r="I1426" i="8" s="1"/>
  <c r="F1570" i="8"/>
  <c r="H1570" i="8"/>
  <c r="I1570" i="8" s="1"/>
  <c r="F1604" i="8"/>
  <c r="H1604" i="8"/>
  <c r="I1604" i="8" s="1"/>
  <c r="H1819" i="8"/>
  <c r="I1819" i="8" s="1"/>
  <c r="F1819" i="8"/>
  <c r="H1848" i="8"/>
  <c r="I1848" i="8" s="1"/>
  <c r="F1864" i="8"/>
  <c r="F1895" i="8"/>
  <c r="H1907" i="8"/>
  <c r="I1907" i="8" s="1"/>
  <c r="I1923" i="8"/>
  <c r="F1923" i="8"/>
  <c r="H1930" i="8"/>
  <c r="I1930" i="8" s="1"/>
  <c r="H2088" i="8"/>
  <c r="I2088" i="8" s="1"/>
  <c r="F2104" i="8"/>
  <c r="H2104" i="8"/>
  <c r="I2104" i="8" s="1"/>
  <c r="H2315" i="8"/>
  <c r="I2315" i="8" s="1"/>
  <c r="F2315" i="8"/>
  <c r="F2599" i="8"/>
  <c r="H2599" i="8"/>
  <c r="I2599" i="8" s="1"/>
  <c r="H2616" i="8"/>
  <c r="I2616" i="8" s="1"/>
  <c r="H2725" i="8"/>
  <c r="I2725" i="8" s="1"/>
  <c r="F2725" i="8"/>
  <c r="H2740" i="8"/>
  <c r="I2740" i="8" s="1"/>
  <c r="H2748" i="8"/>
  <c r="I2748" i="8" s="1"/>
  <c r="H2819" i="8"/>
  <c r="I2819" i="8" s="1"/>
  <c r="H2829" i="8"/>
  <c r="I2829" i="8" s="1"/>
  <c r="H2879" i="8"/>
  <c r="I2879" i="8" s="1"/>
  <c r="F2887" i="8"/>
  <c r="H2893" i="8"/>
  <c r="I2893" i="8" s="1"/>
  <c r="F2897" i="8"/>
  <c r="H2897" i="8"/>
  <c r="I2897" i="8" s="1"/>
  <c r="H2909" i="8"/>
  <c r="I2909" i="8" s="1"/>
  <c r="F2909" i="8"/>
  <c r="F2923" i="8"/>
  <c r="H2923" i="8"/>
  <c r="I2923" i="8" s="1"/>
  <c r="H2979" i="8"/>
  <c r="I2979" i="8" s="1"/>
  <c r="F2979" i="8"/>
  <c r="H2992" i="8"/>
  <c r="I2992" i="8" s="1"/>
  <c r="F2992" i="8"/>
  <c r="H3004" i="8"/>
  <c r="I3004" i="8" s="1"/>
  <c r="F3022" i="8"/>
  <c r="H3022" i="8"/>
  <c r="I3022" i="8" s="1"/>
  <c r="H3027" i="8"/>
  <c r="I3027" i="8" s="1"/>
  <c r="F3027" i="8"/>
  <c r="H3047" i="8"/>
  <c r="I3047" i="8" s="1"/>
  <c r="F3047" i="8"/>
  <c r="F370" i="8"/>
  <c r="F1141" i="8"/>
  <c r="F1155" i="8"/>
  <c r="F1182" i="8"/>
  <c r="H1083" i="8"/>
  <c r="I1083" i="8" s="1"/>
  <c r="F562" i="8"/>
  <c r="H1241" i="8"/>
  <c r="I1241" i="8" s="1"/>
  <c r="H883" i="8"/>
  <c r="I883" i="8" s="1"/>
  <c r="H952" i="8"/>
  <c r="I952" i="8" s="1"/>
  <c r="F584" i="8"/>
  <c r="H924" i="8"/>
  <c r="I924" i="8" s="1"/>
  <c r="H580" i="8"/>
  <c r="I580" i="8" s="1"/>
  <c r="F873" i="8"/>
  <c r="F1163" i="8"/>
  <c r="F884" i="8"/>
  <c r="F1130" i="8"/>
  <c r="H512" i="8"/>
  <c r="I512" i="8" s="1"/>
  <c r="H882" i="8"/>
  <c r="I882" i="8" s="1"/>
  <c r="F3101" i="8"/>
  <c r="H3028" i="8"/>
  <c r="I3028" i="8" s="1"/>
  <c r="H3132" i="8" l="1"/>
  <c r="I3132" i="8" s="1"/>
  <c r="H2982" i="8"/>
  <c r="I2982" i="8" s="1"/>
  <c r="H2899" i="8"/>
  <c r="I2899" i="8" s="1"/>
  <c r="H1891" i="8"/>
  <c r="I1891" i="8" s="1"/>
  <c r="H2873" i="8"/>
  <c r="I2873" i="8" s="1"/>
  <c r="H2290" i="8"/>
  <c r="I2290" i="8" s="1"/>
  <c r="H2597" i="8"/>
  <c r="I2597" i="8" s="1"/>
  <c r="F3270" i="8"/>
  <c r="F1889" i="8"/>
  <c r="H2735" i="8"/>
  <c r="I2735" i="8" s="1"/>
  <c r="H1171" i="8"/>
  <c r="I1171" i="8" s="1"/>
  <c r="H1415" i="8"/>
  <c r="I1415" i="8" s="1"/>
  <c r="H1933" i="8"/>
  <c r="I1933" i="8" s="1"/>
  <c r="H2991" i="8"/>
  <c r="I2991" i="8" s="1"/>
  <c r="H1334" i="8"/>
  <c r="I1334" i="8" s="1"/>
  <c r="H3093" i="8"/>
  <c r="I3093" i="8" s="1"/>
  <c r="H2911" i="8"/>
  <c r="I2911" i="8" s="1"/>
  <c r="H3250" i="8"/>
  <c r="I3250" i="8" s="1"/>
  <c r="F1119" i="8"/>
  <c r="H881" i="8"/>
  <c r="I881" i="8" s="1"/>
  <c r="H1884" i="8"/>
  <c r="I1884" i="8" s="1"/>
  <c r="H316" i="8"/>
  <c r="I316" i="8" s="1"/>
  <c r="F1059" i="8"/>
  <c r="F1175" i="8"/>
  <c r="H906" i="8"/>
  <c r="I906" i="8" s="1"/>
  <c r="F135" i="8"/>
  <c r="H2832" i="8"/>
  <c r="I2832" i="8" s="1"/>
  <c r="I228" i="8"/>
  <c r="H366" i="8"/>
  <c r="I366" i="8" s="1"/>
  <c r="H259" i="8"/>
  <c r="I259" i="8" s="1"/>
  <c r="H2087" i="8"/>
  <c r="I2087" i="8" s="1"/>
  <c r="H232" i="8"/>
  <c r="I232" i="8" s="1"/>
  <c r="F369" i="8"/>
  <c r="H243" i="8"/>
  <c r="I243" i="8" s="1"/>
  <c r="F1341" i="8"/>
  <c r="H2783" i="8"/>
  <c r="I2783" i="8" s="1"/>
  <c r="F2694" i="8"/>
  <c r="H2789" i="8"/>
  <c r="I2789" i="8" s="1"/>
  <c r="H2724" i="8"/>
  <c r="I2724" i="8" s="1"/>
  <c r="H3208" i="8"/>
  <c r="I3208" i="8" s="1"/>
  <c r="F1318" i="8"/>
  <c r="H3002" i="8"/>
  <c r="I3002" i="8" s="1"/>
  <c r="F2813" i="8"/>
  <c r="H3049" i="8"/>
  <c r="I3049" i="8" s="1"/>
  <c r="H1815" i="8"/>
  <c r="I1815" i="8" s="1"/>
  <c r="I1119" i="8"/>
  <c r="H1924" i="8"/>
  <c r="I1924" i="8" s="1"/>
  <c r="H1866" i="8"/>
  <c r="I1866" i="8" s="1"/>
  <c r="F1088" i="8"/>
  <c r="I350" i="8"/>
  <c r="H116" i="8"/>
  <c r="I116" i="8" s="1"/>
  <c r="H2828" i="8"/>
  <c r="I2828" i="8" s="1"/>
  <c r="F1170" i="8"/>
  <c r="F1890" i="8"/>
  <c r="F147" i="8"/>
  <c r="F2939" i="8"/>
  <c r="F1871" i="8"/>
  <c r="H1608" i="8"/>
  <c r="I1608" i="8" s="1"/>
  <c r="H197" i="8"/>
  <c r="I197" i="8" s="1"/>
  <c r="H1818" i="8"/>
  <c r="I1818" i="8" s="1"/>
  <c r="H1953" i="8"/>
  <c r="I1953" i="8" s="1"/>
  <c r="H914" i="8"/>
  <c r="I914" i="8" s="1"/>
  <c r="F3026" i="8"/>
  <c r="H2948" i="8"/>
  <c r="I2948" i="8" s="1"/>
  <c r="H331" i="8"/>
  <c r="I331" i="8" s="1"/>
  <c r="H2924" i="8"/>
  <c r="I2924" i="8" s="1"/>
  <c r="H966" i="8"/>
  <c r="I966" i="8" s="1"/>
  <c r="F905" i="8"/>
  <c r="H83" i="8"/>
  <c r="I83" i="8" s="1"/>
  <c r="H868" i="8"/>
  <c r="I868" i="8" s="1"/>
  <c r="F34" i="8"/>
  <c r="H181" i="8"/>
  <c r="I181" i="8" s="1"/>
  <c r="F228" i="8"/>
  <c r="H1317" i="8"/>
  <c r="I1317" i="8" s="1"/>
  <c r="H978" i="8"/>
  <c r="I978" i="8" s="1"/>
  <c r="H281" i="8"/>
  <c r="I281" i="8" s="1"/>
  <c r="F247" i="8"/>
  <c r="H1413" i="8"/>
  <c r="I1413" i="8" s="1"/>
  <c r="H3252" i="8"/>
  <c r="I3252" i="8" s="1"/>
  <c r="H2934" i="8"/>
  <c r="I2934" i="8" s="1"/>
  <c r="H1078" i="8"/>
  <c r="I1078" i="8" s="1"/>
  <c r="H1425" i="8"/>
  <c r="I1425" i="8" s="1"/>
  <c r="H1817" i="8"/>
  <c r="I1817" i="8" s="1"/>
  <c r="H2831" i="8"/>
  <c r="I2831" i="8" s="1"/>
  <c r="H3032" i="8"/>
  <c r="I3032" i="8" s="1"/>
  <c r="H3172" i="8"/>
  <c r="I3172" i="8" s="1"/>
  <c r="H3137" i="8"/>
  <c r="I3137" i="8" s="1"/>
  <c r="F1322" i="8"/>
  <c r="F1493" i="8"/>
  <c r="F1552" i="8"/>
  <c r="F1389" i="8"/>
  <c r="H2878" i="8"/>
  <c r="I2878" i="8" s="1"/>
  <c r="F932" i="8"/>
  <c r="H1168" i="8"/>
  <c r="I1168" i="8" s="1"/>
  <c r="H179" i="8"/>
  <c r="I179" i="8" s="1"/>
  <c r="F3255" i="8"/>
  <c r="H185" i="8"/>
  <c r="I185" i="8" s="1"/>
  <c r="H1323" i="8"/>
  <c r="I1323" i="8" s="1"/>
  <c r="H1152" i="8"/>
  <c r="I1152" i="8" s="1"/>
  <c r="H2715" i="8"/>
  <c r="I2715" i="8" s="1"/>
  <c r="H1058" i="8"/>
  <c r="I1058" i="8" s="1"/>
  <c r="H3045" i="8"/>
  <c r="I3045" i="8" s="1"/>
  <c r="H1237" i="8"/>
  <c r="I1237" i="8" s="1"/>
  <c r="H1272" i="8"/>
  <c r="I1272" i="8" s="1"/>
  <c r="H175" i="8"/>
  <c r="I175" i="8" s="1"/>
  <c r="H1576" i="8"/>
  <c r="I1576" i="8" s="1"/>
  <c r="H1843" i="8"/>
  <c r="I1843" i="8" s="1"/>
  <c r="H1231" i="8"/>
  <c r="I1231" i="8" s="1"/>
  <c r="F350" i="8"/>
  <c r="F997" i="8"/>
  <c r="H1068" i="8"/>
  <c r="I1068" i="8" s="1"/>
  <c r="H108" i="8"/>
  <c r="I108" i="8" s="1"/>
  <c r="F1291" i="8"/>
  <c r="F131" i="8"/>
  <c r="F267" i="8"/>
  <c r="H3249" i="8"/>
  <c r="I3249" i="8" s="1"/>
  <c r="H1179" i="8"/>
  <c r="I1179" i="8" s="1"/>
  <c r="H340" i="8"/>
  <c r="I340" i="8" s="1"/>
  <c r="H2853" i="8"/>
  <c r="I2853" i="8" s="1"/>
  <c r="F79" i="8"/>
  <c r="H231" i="8"/>
  <c r="I231" i="8" s="1"/>
  <c r="H2601" i="8"/>
  <c r="I2601" i="8" s="1"/>
  <c r="F3136" i="8"/>
  <c r="H3136" i="8"/>
  <c r="I3136" i="8" s="1"/>
  <c r="F3095" i="8"/>
  <c r="H3095" i="8"/>
  <c r="I3095" i="8" s="1"/>
  <c r="F2081" i="8"/>
  <c r="H2081" i="8"/>
  <c r="I2081" i="8" s="1"/>
  <c r="F1878" i="8"/>
  <c r="H1878" i="8"/>
  <c r="I1878" i="8" s="1"/>
  <c r="F1417" i="8"/>
  <c r="H1417" i="8"/>
  <c r="I1417" i="8" s="1"/>
  <c r="F1409" i="8"/>
  <c r="H1409" i="8"/>
  <c r="I1409" i="8" s="1"/>
  <c r="H3046" i="8"/>
  <c r="I3046" i="8" s="1"/>
  <c r="F3046" i="8"/>
  <c r="H2870" i="8"/>
  <c r="I2870" i="8" s="1"/>
  <c r="F2870" i="8"/>
  <c r="F2096" i="8"/>
  <c r="H2096" i="8"/>
  <c r="I2096" i="8" s="1"/>
  <c r="F1841" i="8"/>
  <c r="H1841" i="8"/>
  <c r="I1841" i="8" s="1"/>
  <c r="H1393" i="8"/>
  <c r="I1393" i="8" s="1"/>
  <c r="F1393" i="8"/>
  <c r="F1173" i="8"/>
  <c r="H1173" i="8"/>
  <c r="I1173" i="8" s="1"/>
  <c r="F2908" i="8"/>
  <c r="H2908" i="8"/>
  <c r="I2908" i="8" s="1"/>
  <c r="F1859" i="8"/>
  <c r="H1859" i="8"/>
  <c r="I1859" i="8" s="1"/>
  <c r="F1813" i="8"/>
  <c r="H1813" i="8"/>
  <c r="I1813" i="8" s="1"/>
  <c r="F1548" i="8"/>
  <c r="H1548" i="8"/>
  <c r="I1548" i="8" s="1"/>
  <c r="F1368" i="8"/>
  <c r="H1368" i="8"/>
  <c r="I1368" i="8" s="1"/>
  <c r="F1338" i="8"/>
  <c r="H1338" i="8"/>
  <c r="I1338" i="8" s="1"/>
  <c r="H901" i="8"/>
  <c r="I901" i="8" s="1"/>
  <c r="F901" i="8"/>
  <c r="F332" i="8"/>
  <c r="H332" i="8"/>
  <c r="I332" i="8" s="1"/>
  <c r="F215" i="8"/>
  <c r="H215" i="8"/>
  <c r="I215" i="8" s="1"/>
  <c r="F279" i="8"/>
  <c r="H279" i="8"/>
  <c r="I279" i="8" s="1"/>
  <c r="F971" i="8"/>
  <c r="H971" i="8"/>
  <c r="I971" i="8" s="1"/>
  <c r="F904" i="8"/>
  <c r="H904" i="8"/>
  <c r="I904" i="8" s="1"/>
  <c r="H325" i="8"/>
  <c r="I325" i="8" s="1"/>
  <c r="F325" i="8"/>
  <c r="F214" i="8"/>
  <c r="H214" i="8"/>
  <c r="I214" i="8" s="1"/>
  <c r="F121" i="8"/>
  <c r="H121" i="8"/>
  <c r="I121" i="8" s="1"/>
  <c r="F1906" i="8"/>
  <c r="H1906" i="8"/>
  <c r="I1906" i="8" s="1"/>
  <c r="F2750" i="8"/>
  <c r="H2750" i="8"/>
  <c r="I2750" i="8" s="1"/>
  <c r="H2905" i="8"/>
  <c r="I2905" i="8" s="1"/>
  <c r="F2905" i="8"/>
  <c r="H2984" i="8"/>
  <c r="I2984" i="8" s="1"/>
  <c r="F2984" i="8"/>
  <c r="F3031" i="8"/>
  <c r="H3031" i="8"/>
  <c r="I3031" i="8" s="1"/>
  <c r="F2883" i="8"/>
  <c r="H2883" i="8"/>
  <c r="I2883" i="8" s="1"/>
  <c r="F248" i="8"/>
  <c r="H248" i="8"/>
  <c r="I248" i="8" s="1"/>
  <c r="H144" i="8"/>
  <c r="I144" i="8" s="1"/>
  <c r="F144" i="8"/>
  <c r="H1166" i="8"/>
  <c r="I1166" i="8" s="1"/>
  <c r="F1166" i="8"/>
  <c r="H333" i="8"/>
  <c r="I333" i="8" s="1"/>
  <c r="F333" i="8"/>
  <c r="H133" i="8"/>
  <c r="I133" i="8" s="1"/>
  <c r="F133" i="8"/>
  <c r="H1045" i="8"/>
  <c r="I1045" i="8" s="1"/>
  <c r="F1219" i="8"/>
  <c r="H1265" i="8"/>
  <c r="I1265" i="8" s="1"/>
  <c r="H1573" i="8"/>
  <c r="I1573" i="8" s="1"/>
  <c r="H3261" i="8"/>
  <c r="I3261" i="8" s="1"/>
  <c r="F3257" i="8"/>
  <c r="H3257" i="8"/>
  <c r="I3257" i="8" s="1"/>
  <c r="H1355" i="8"/>
  <c r="I1355" i="8" s="1"/>
  <c r="H3262" i="8"/>
  <c r="I3262" i="8" s="1"/>
  <c r="H3267" i="8"/>
  <c r="I3267" i="8" s="1"/>
  <c r="H1359" i="8"/>
  <c r="I1359" i="8" s="1"/>
  <c r="H1892" i="8"/>
  <c r="I1892" i="8" s="1"/>
  <c r="H2869" i="8"/>
  <c r="I2869" i="8" s="1"/>
  <c r="H2722" i="8"/>
  <c r="I2722" i="8" s="1"/>
  <c r="F1161" i="8"/>
  <c r="F1260" i="8"/>
  <c r="H1571" i="8"/>
  <c r="I1571" i="8" s="1"/>
  <c r="H1367" i="8"/>
  <c r="I1367" i="8" s="1"/>
  <c r="H2855" i="8"/>
  <c r="I2855" i="8" s="1"/>
  <c r="H2596" i="8"/>
  <c r="I2596" i="8" s="1"/>
  <c r="F1294" i="8"/>
  <c r="H298" i="8"/>
  <c r="I298" i="8" s="1"/>
  <c r="I329" i="8"/>
  <c r="H915" i="8"/>
  <c r="I915" i="8" s="1"/>
  <c r="H1316" i="8"/>
  <c r="I1316" i="8" s="1"/>
  <c r="H1605" i="8"/>
  <c r="I1605" i="8" s="1"/>
  <c r="H1044" i="8"/>
  <c r="I1044" i="8" s="1"/>
  <c r="H3247" i="8"/>
  <c r="I3247" i="8" s="1"/>
  <c r="H3025" i="8"/>
  <c r="I3025" i="8" s="1"/>
  <c r="F327" i="8"/>
  <c r="F3097" i="8"/>
  <c r="H2877" i="8"/>
  <c r="I2877" i="8" s="1"/>
  <c r="H1836" i="8"/>
  <c r="I1836" i="8" s="1"/>
  <c r="H1551" i="8"/>
  <c r="I1551" i="8" s="1"/>
  <c r="F2695" i="8"/>
  <c r="H1396" i="8"/>
  <c r="I1396" i="8" s="1"/>
  <c r="H2334" i="8"/>
  <c r="I2334" i="8" s="1"/>
  <c r="H2744" i="8"/>
  <c r="I2744" i="8" s="1"/>
  <c r="H2817" i="8"/>
  <c r="I2817" i="8" s="1"/>
  <c r="H3041" i="8"/>
  <c r="I3041" i="8" s="1"/>
  <c r="F3091" i="8"/>
  <c r="H3091" i="8"/>
  <c r="I3091" i="8" s="1"/>
  <c r="F1331" i="8"/>
  <c r="H1331" i="8"/>
  <c r="I1331" i="8" s="1"/>
  <c r="F2874" i="8"/>
  <c r="H2874" i="8"/>
  <c r="I2874" i="8" s="1"/>
  <c r="F2605" i="8"/>
  <c r="H2605" i="8"/>
  <c r="I2605" i="8" s="1"/>
  <c r="F329" i="8"/>
  <c r="H321" i="8"/>
  <c r="I321" i="8" s="1"/>
  <c r="F931" i="8"/>
  <c r="H1411" i="8"/>
  <c r="I1411" i="8" s="1"/>
  <c r="H3089" i="8"/>
  <c r="I3089" i="8" s="1"/>
  <c r="H2940" i="8"/>
  <c r="I2940" i="8" s="1"/>
  <c r="H1419" i="8"/>
  <c r="I1419" i="8" s="1"/>
  <c r="H999" i="8"/>
  <c r="I999" i="8" s="1"/>
  <c r="H3271" i="8"/>
  <c r="I3271" i="8" s="1"/>
  <c r="F3271" i="8"/>
  <c r="F3265" i="8"/>
  <c r="H3265" i="8"/>
  <c r="I3265" i="8" s="1"/>
  <c r="H1019" i="8"/>
  <c r="I1019" i="8" s="1"/>
  <c r="F1019" i="8"/>
  <c r="H3243" i="8"/>
  <c r="I3243" i="8" s="1"/>
  <c r="H1332" i="8"/>
  <c r="I1332" i="8" s="1"/>
  <c r="H3228" i="8"/>
  <c r="I3228" i="8" s="1"/>
  <c r="H2606" i="8"/>
  <c r="I2606" i="8" s="1"/>
  <c r="F2606" i="8"/>
  <c r="H2618" i="8"/>
  <c r="I2618" i="8" s="1"/>
  <c r="F2618" i="8"/>
  <c r="H2708" i="8"/>
  <c r="I2708" i="8" s="1"/>
  <c r="F2708" i="8"/>
  <c r="F3050" i="8"/>
  <c r="H3050" i="8"/>
  <c r="I3050" i="8" s="1"/>
  <c r="H3266" i="8"/>
  <c r="I3266" i="8" s="1"/>
  <c r="F3266" i="8"/>
  <c r="H1271" i="8"/>
  <c r="I1271" i="8" s="1"/>
  <c r="F1271" i="8"/>
  <c r="H993" i="8"/>
  <c r="I993" i="8" s="1"/>
  <c r="H3251" i="8"/>
  <c r="I3251" i="8" s="1"/>
  <c r="H968" i="8"/>
  <c r="I968" i="8" s="1"/>
  <c r="H2859" i="8"/>
  <c r="I2859" i="8" s="1"/>
  <c r="H3100" i="8"/>
  <c r="I3100" i="8" s="1"/>
  <c r="H2604" i="8"/>
  <c r="I2604" i="8" s="1"/>
  <c r="H3227" i="8"/>
  <c r="I3227" i="8" s="1"/>
  <c r="H3212" i="8"/>
  <c r="I3212" i="8" s="1"/>
  <c r="H1887" i="8"/>
  <c r="I1887" i="8" s="1"/>
  <c r="H3254" i="8"/>
  <c r="I3254" i="8" s="1"/>
  <c r="F980" i="8"/>
  <c r="H980" i="8"/>
  <c r="I980" i="8" s="1"/>
  <c r="H314" i="8"/>
  <c r="I314" i="8" s="1"/>
  <c r="H251" i="8"/>
  <c r="I251" i="8" s="1"/>
  <c r="F251" i="8"/>
  <c r="F188" i="8"/>
  <c r="H188" i="8"/>
  <c r="I188" i="8" s="1"/>
  <c r="H3164" i="8"/>
  <c r="I3164" i="8" s="1"/>
  <c r="F3269" i="8"/>
  <c r="H3269" i="8"/>
  <c r="I3269" i="8" s="1"/>
  <c r="H1922" i="8"/>
  <c r="I1922" i="8" s="1"/>
  <c r="H2932" i="8"/>
  <c r="I2932" i="8" s="1"/>
  <c r="H3117" i="8"/>
  <c r="I3117" i="8" s="1"/>
  <c r="H1949" i="8"/>
  <c r="I1949" i="8" s="1"/>
  <c r="H869" i="8"/>
  <c r="I869" i="8" s="1"/>
  <c r="H3225" i="8"/>
  <c r="I3225" i="8" s="1"/>
  <c r="H2825" i="8"/>
  <c r="I2825" i="8" s="1"/>
  <c r="H3235" i="8"/>
  <c r="I3235" i="8" s="1"/>
  <c r="H3258" i="8"/>
  <c r="I3258" i="8" s="1"/>
  <c r="H236" i="8"/>
  <c r="I236" i="8" s="1"/>
  <c r="F236" i="8"/>
  <c r="H171" i="8"/>
  <c r="I171" i="8" s="1"/>
  <c r="F171" i="8"/>
  <c r="H3240" i="8"/>
  <c r="I3240" i="8" s="1"/>
  <c r="H1177" i="8"/>
  <c r="I1177" i="8" s="1"/>
  <c r="H1905" i="8"/>
  <c r="I1905" i="8" s="1"/>
  <c r="H2854" i="8"/>
  <c r="I2854" i="8" s="1"/>
  <c r="H3222" i="8"/>
  <c r="I3222" i="8" s="1"/>
  <c r="H1862" i="8"/>
  <c r="I1862" i="8" s="1"/>
  <c r="H1134" i="8"/>
  <c r="I1134" i="8" s="1"/>
  <c r="H2368" i="8"/>
  <c r="I2368" i="8" s="1"/>
  <c r="H3256" i="8"/>
  <c r="I3256" i="8" s="1"/>
  <c r="H3259" i="8"/>
  <c r="I3259" i="8" s="1"/>
  <c r="F3248" i="8"/>
  <c r="H3248" i="8"/>
  <c r="I3248" i="8" s="1"/>
  <c r="F986" i="8"/>
  <c r="H986" i="8"/>
  <c r="I986" i="8" s="1"/>
  <c r="H930" i="8"/>
  <c r="I930" i="8" s="1"/>
  <c r="F930" i="8"/>
  <c r="F328" i="8"/>
  <c r="H328" i="8"/>
  <c r="I328" i="8" s="1"/>
  <c r="H307" i="8"/>
  <c r="I307" i="8" s="1"/>
  <c r="F307" i="8"/>
  <c r="H264" i="8"/>
  <c r="I264" i="8" s="1"/>
  <c r="F264" i="8"/>
  <c r="H987" i="8"/>
  <c r="I987" i="8" s="1"/>
  <c r="H3263" i="8"/>
  <c r="I3263" i="8" s="1"/>
  <c r="F1289" i="8"/>
  <c r="H1289" i="8"/>
  <c r="I1289" i="8" s="1"/>
  <c r="H1040" i="8"/>
  <c r="I1040" i="8" s="1"/>
  <c r="H3234" i="8"/>
  <c r="I3234" i="8" s="1"/>
  <c r="H2895" i="8"/>
  <c r="I2895" i="8" s="1"/>
  <c r="H2994" i="8"/>
  <c r="I2994" i="8" s="1"/>
  <c r="H1868" i="8"/>
  <c r="I1868" i="8" s="1"/>
  <c r="H1043" i="8"/>
  <c r="I1043" i="8" s="1"/>
  <c r="H2906" i="8"/>
  <c r="I2906" i="8" s="1"/>
  <c r="H867" i="8"/>
  <c r="I867" i="8" s="1"/>
  <c r="H3260" i="8"/>
  <c r="I3260" i="8" s="1"/>
  <c r="F349" i="8"/>
  <c r="F2613" i="8"/>
  <c r="F1116" i="8"/>
  <c r="F2707" i="8"/>
  <c r="I2707" i="8"/>
  <c r="F2617" i="8"/>
  <c r="H2617" i="8"/>
  <c r="I2617" i="8" s="1"/>
  <c r="F2615" i="8"/>
  <c r="H2615" i="8"/>
  <c r="I2615" i="8" s="1"/>
  <c r="F2609" i="8"/>
  <c r="H2609" i="8"/>
  <c r="I2609" i="8" s="1"/>
  <c r="H1145" i="8"/>
  <c r="I1145" i="8" s="1"/>
  <c r="F1145" i="8"/>
  <c r="F1074" i="8"/>
  <c r="H1074" i="8"/>
  <c r="I1074" i="8" s="1"/>
  <c r="H1111" i="8"/>
  <c r="I1111" i="8" s="1"/>
  <c r="F1111" i="8"/>
  <c r="H353" i="8"/>
  <c r="I353" i="8" s="1"/>
  <c r="F353" i="8"/>
  <c r="F368" i="8"/>
  <c r="H368" i="8"/>
  <c r="I368" i="8" s="1"/>
  <c r="H2614" i="8"/>
  <c r="I2614" i="8" s="1"/>
  <c r="F2614" i="8"/>
  <c r="H2607" i="8"/>
  <c r="I2607" i="8" s="1"/>
  <c r="F2607" i="8"/>
  <c r="F1137" i="8"/>
  <c r="H1137" i="8"/>
  <c r="I1137" i="8" s="1"/>
  <c r="F1135" i="8"/>
  <c r="H1135" i="8"/>
  <c r="I1135" i="8" s="1"/>
  <c r="F1148" i="8"/>
  <c r="H1148" i="8"/>
  <c r="I1148" i="8" s="1"/>
  <c r="F1081" i="8"/>
  <c r="H1081" i="8"/>
  <c r="I1081" i="8" s="1"/>
  <c r="F351" i="8"/>
  <c r="H351" i="8"/>
  <c r="I351" i="8" s="1"/>
  <c r="F2608" i="8"/>
  <c r="H2608" i="8"/>
  <c r="I2608" i="8" s="1"/>
  <c r="H2622" i="8"/>
  <c r="I2622" i="8" s="1"/>
  <c r="F2622" i="8"/>
  <c r="H1133" i="8"/>
  <c r="I1133" i="8" s="1"/>
  <c r="F1133" i="8"/>
  <c r="H1124" i="8"/>
  <c r="I1124" i="8" s="1"/>
  <c r="F1124" i="8"/>
  <c r="F1117" i="8"/>
  <c r="H1117" i="8"/>
  <c r="I1117" i="8" s="1"/>
  <c r="H1147" i="8"/>
  <c r="I1147" i="8" s="1"/>
  <c r="F1147" i="8"/>
  <c r="H2710" i="8"/>
  <c r="I2710" i="8" s="1"/>
  <c r="F2710" i="8"/>
  <c r="H2620" i="8"/>
  <c r="I2620" i="8" s="1"/>
  <c r="F2620" i="8"/>
  <c r="F1106" i="8"/>
  <c r="H1106" i="8"/>
  <c r="I1106" i="8" s="1"/>
  <c r="H1115" i="8"/>
  <c r="I1115" i="8" s="1"/>
  <c r="F1115" i="8"/>
  <c r="F376" i="8"/>
  <c r="H376" i="8"/>
  <c r="I376" i="8" s="1"/>
  <c r="F355" i="8"/>
  <c r="H355" i="8"/>
  <c r="I355" i="8" s="1"/>
  <c r="I3280" i="8" l="1"/>
  <c r="I3281" i="8"/>
</calcChain>
</file>

<file path=xl/sharedStrings.xml><?xml version="1.0" encoding="utf-8"?>
<sst xmlns="http://schemas.openxmlformats.org/spreadsheetml/2006/main" count="29330" uniqueCount="8078">
  <si>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</si>
  <si>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</si>
  <si>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</si>
  <si>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</si>
  <si>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</si>
  <si>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</si>
  <si>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</si>
  <si>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</si>
  <si>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</si>
  <si>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</si>
  <si>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</si>
  <si>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</si>
  <si>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</si>
  <si>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</si>
  <si>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</si>
  <si>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</si>
  <si>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</si>
  <si>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</si>
  <si>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</si>
  <si>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</si>
  <si>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</si>
  <si>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</si>
  <si>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</si>
  <si>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</si>
  <si>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</si>
  <si>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</si>
  <si>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</si>
  <si>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</si>
  <si>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</si>
  <si>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</si>
  <si>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</si>
  <si>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</si>
  <si>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</si>
  <si>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</si>
  <si>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</si>
  <si>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</si>
  <si>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</si>
  <si>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</si>
  <si>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</si>
  <si>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</si>
  <si>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</si>
  <si>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</si>
  <si>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</si>
  <si>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</si>
  <si>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</si>
  <si>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</si>
  <si>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</si>
  <si>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</si>
  <si>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</si>
  <si>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</si>
  <si>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</si>
  <si>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</si>
  <si>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</si>
  <si>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</si>
  <si>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</si>
  <si>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</si>
  <si>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</si>
  <si>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</si>
  <si>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</si>
  <si>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</si>
  <si>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</si>
  <si>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</si>
  <si>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</si>
  <si>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</si>
  <si>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</si>
  <si>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</si>
  <si>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</si>
  <si>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</si>
  <si>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</si>
  <si>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</si>
  <si>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</si>
  <si>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</si>
  <si>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</si>
  <si>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</si>
  <si>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</si>
  <si>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</si>
  <si>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</si>
  <si>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</si>
  <si>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</si>
  <si>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</si>
  <si>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</si>
  <si>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</si>
  <si>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</si>
  <si>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</si>
  <si>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</si>
  <si>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</si>
  <si>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</si>
  <si>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</si>
  <si>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</si>
  <si>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</si>
  <si>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</si>
  <si>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</si>
  <si>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</si>
  <si>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</si>
  <si>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</si>
  <si>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</si>
  <si>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</si>
  <si>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</si>
  <si>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</si>
  <si>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</si>
  <si>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</si>
  <si>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</si>
  <si>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</si>
  <si>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</si>
  <si>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</si>
  <si>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</si>
  <si>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</si>
  <si>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</si>
  <si>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</si>
  <si>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</si>
  <si>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</si>
  <si>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</si>
  <si>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</si>
  <si>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</si>
  <si>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</si>
  <si>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</si>
  <si>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</si>
  <si>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</si>
  <si>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</si>
  <si>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</si>
  <si>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</si>
  <si>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</si>
  <si>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</si>
  <si>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</si>
  <si>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</si>
  <si>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</si>
  <si>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</si>
  <si>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</si>
  <si>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</si>
  <si>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</si>
  <si>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</si>
  <si>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</si>
  <si>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</si>
  <si>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</si>
  <si>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</si>
  <si>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</si>
  <si>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</si>
  <si>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</si>
  <si>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</si>
  <si>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</si>
  <si>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</si>
  <si>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</si>
  <si>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</si>
  <si>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</si>
  <si>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</si>
  <si>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</si>
  <si>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</si>
  <si>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</si>
  <si>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</si>
  <si>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</si>
  <si>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</si>
  <si>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</si>
  <si>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</si>
  <si>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</si>
  <si>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</si>
  <si>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</si>
  <si>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</si>
  <si>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</si>
  <si>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</si>
  <si>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</si>
  <si>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</si>
  <si>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</si>
  <si>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</si>
  <si>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</si>
  <si>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</si>
  <si>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</si>
  <si>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</si>
  <si>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</si>
  <si>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</si>
  <si>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</si>
  <si>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</si>
  <si>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</si>
  <si>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</si>
  <si>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</si>
  <si>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</si>
  <si>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</si>
  <si>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</si>
  <si>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</si>
  <si>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</si>
  <si>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</si>
  <si>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</si>
  <si>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</si>
  <si>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</si>
  <si>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</si>
  <si>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</si>
  <si>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</si>
  <si>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</si>
  <si>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</si>
  <si>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</si>
  <si>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</si>
  <si>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</si>
  <si>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</si>
  <si>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</si>
  <si>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</si>
  <si>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</si>
  <si>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</si>
  <si>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</si>
  <si>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</si>
  <si>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</si>
  <si>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</si>
  <si>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</si>
  <si>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</si>
  <si>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</si>
  <si>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</si>
  <si>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</si>
  <si>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</si>
  <si>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</si>
  <si>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</si>
  <si>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</si>
  <si>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</si>
  <si>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</si>
  <si>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</si>
  <si>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</si>
  <si>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</si>
  <si>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</si>
  <si>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</si>
  <si>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</si>
  <si>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</si>
  <si>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</si>
  <si>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</si>
  <si>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</si>
  <si>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</si>
  <si>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</si>
  <si>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</si>
  <si>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</si>
  <si>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</si>
  <si>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</si>
  <si>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</si>
  <si>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</si>
  <si>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</si>
  <si>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</si>
  <si>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</si>
  <si>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</si>
  <si>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</si>
  <si>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</si>
  <si>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</si>
  <si>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</si>
  <si>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</si>
  <si>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</si>
  <si>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</si>
  <si>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</si>
  <si>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</si>
  <si>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</si>
  <si>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</si>
  <si>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</si>
  <si>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</si>
  <si>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</si>
  <si>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</si>
  <si>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</si>
  <si>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</si>
  <si>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</si>
  <si>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</si>
  <si>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</si>
  <si>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</si>
  <si>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</si>
  <si>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</si>
  <si>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</si>
  <si>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</si>
  <si>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</si>
  <si>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</si>
  <si>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</si>
  <si>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</si>
  <si>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</si>
  <si>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</si>
  <si>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</si>
  <si>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</si>
  <si>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</si>
  <si>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</si>
  <si>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</si>
  <si>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</si>
  <si>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</si>
  <si>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</si>
  <si>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</si>
  <si>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</si>
  <si>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</si>
  <si>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</si>
  <si>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</si>
  <si>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</si>
  <si>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</si>
  <si>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</si>
  <si>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</si>
  <si>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</si>
  <si>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</si>
  <si>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</si>
  <si>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SF-00152</t>
  </si>
  <si>
    <t>Baguetes metálicos</t>
  </si>
  <si>
    <t>SF-00153</t>
  </si>
  <si>
    <t>Massa para vidro</t>
  </si>
  <si>
    <t>SF-00154</t>
  </si>
  <si>
    <t>Espelho cristal comum #5mm</t>
  </si>
  <si>
    <t>SF-00155</t>
  </si>
  <si>
    <t>SF-00156</t>
  </si>
  <si>
    <t>Silicone acetico uso geral incolor 280 g</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</si>
  <si>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</si>
  <si>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</si>
  <si>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</si>
  <si>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</si>
  <si>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</si>
  <si>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</si>
  <si>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</si>
  <si>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</si>
  <si>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</si>
  <si>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</si>
  <si>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Lixa d'agua em folha, grao 100</t>
  </si>
  <si>
    <t>SF-00168</t>
  </si>
  <si>
    <t>SF-00169</t>
  </si>
  <si>
    <t>SF-00170</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</si>
  <si>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</si>
  <si>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</si>
  <si>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</si>
  <si>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</si>
  <si>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</si>
  <si>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</si>
  <si>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</si>
  <si>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</si>
  <si>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</si>
  <si>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</si>
  <si>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</si>
  <si>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</si>
  <si>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</si>
  <si>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</si>
  <si>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</si>
  <si>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</si>
  <si>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</si>
  <si>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</si>
  <si>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</si>
  <si>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</si>
  <si>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</si>
  <si>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</si>
  <si>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</si>
  <si>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</si>
  <si>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</si>
  <si>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</si>
  <si>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</si>
  <si>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</si>
  <si>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</si>
  <si>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</si>
  <si>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</si>
  <si>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</si>
  <si>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</si>
  <si>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</si>
  <si>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</si>
  <si>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</si>
  <si>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</si>
  <si>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</si>
  <si>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</si>
  <si>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</si>
  <si>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</si>
  <si>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</si>
  <si>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</si>
  <si>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</si>
  <si>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</si>
  <si>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</si>
  <si>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</si>
  <si>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</si>
  <si>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</si>
  <si>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</si>
  <si>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</si>
  <si>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</si>
  <si>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</si>
  <si>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</si>
  <si>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</si>
  <si>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</si>
  <si>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</si>
  <si>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</si>
  <si>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</si>
  <si>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</si>
  <si>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</si>
  <si>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</si>
  <si>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</si>
  <si>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</si>
  <si>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</si>
  <si>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</si>
  <si>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</si>
  <si>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</si>
  <si>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</si>
  <si>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</si>
  <si>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</si>
  <si>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Fita veda rosca em rolos de 18 mm x 50 m (L x C)</t>
  </si>
  <si>
    <t>SF-00210</t>
  </si>
  <si>
    <t>SF-00211</t>
  </si>
  <si>
    <t>SF-00212</t>
  </si>
  <si>
    <t>SF-00213</t>
  </si>
  <si>
    <t>Valvula em metal cromado para lavatorio, 1 " sem ladrao</t>
  </si>
  <si>
    <t>SF-00214</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</si>
  <si>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</si>
  <si>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</si>
  <si>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</si>
  <si>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</si>
  <si>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</si>
  <si>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</si>
  <si>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</si>
  <si>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</si>
  <si>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</si>
  <si>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</si>
  <si>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</si>
  <si>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</si>
  <si>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</si>
  <si>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</si>
  <si>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</si>
  <si>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</si>
  <si>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</si>
  <si>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</si>
  <si>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</si>
  <si>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</si>
  <si>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</si>
  <si>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</si>
  <si>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</si>
  <si>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</si>
  <si>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</si>
  <si>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</si>
  <si>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</si>
  <si>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</si>
  <si>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</si>
  <si>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</si>
  <si>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</si>
  <si>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</si>
  <si>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</si>
  <si>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</si>
  <si>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</si>
  <si>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</si>
  <si>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</si>
  <si>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</si>
  <si>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</si>
  <si>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</si>
  <si>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</si>
  <si>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</si>
  <si>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</si>
  <si>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</si>
  <si>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</si>
  <si>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</si>
  <si>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</si>
  <si>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</si>
  <si>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</si>
  <si>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</si>
  <si>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</si>
  <si>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</si>
  <si>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</si>
  <si>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</si>
  <si>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</si>
  <si>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</si>
  <si>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</si>
  <si>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</si>
  <si>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</si>
  <si>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</si>
  <si>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</si>
  <si>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</si>
  <si>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</si>
  <si>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</si>
  <si>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</si>
  <si>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</si>
  <si>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</si>
  <si>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</si>
  <si>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</si>
  <si>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</si>
  <si>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</si>
  <si>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</si>
  <si>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</si>
  <si>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</si>
  <si>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</si>
  <si>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</si>
  <si>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</si>
  <si>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</si>
  <si>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</si>
  <si>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</si>
  <si>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</si>
  <si>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</si>
  <si>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</si>
  <si>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</si>
  <si>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</si>
  <si>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</si>
  <si>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</si>
  <si>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</si>
  <si>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M</t>
  </si>
  <si>
    <t>SF-00248</t>
  </si>
  <si>
    <t>Eletroduto de aço com costura galvanização eletrolítica Ø 3/4"</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</si>
  <si>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</si>
  <si>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</si>
  <si>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</si>
  <si>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</si>
  <si>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</si>
  <si>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</si>
  <si>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</si>
  <si>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</si>
  <si>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</si>
  <si>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</si>
  <si>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</si>
  <si>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</si>
  <si>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</si>
  <si>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</si>
  <si>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</si>
  <si>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</si>
  <si>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</si>
  <si>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</si>
  <si>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</si>
  <si>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</si>
  <si>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</si>
  <si>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</si>
  <si>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</si>
  <si>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</si>
  <si>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</si>
  <si>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</si>
  <si>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</si>
  <si>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</si>
  <si>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</si>
  <si>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</si>
  <si>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</si>
  <si>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</si>
  <si>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</si>
  <si>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</si>
  <si>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</si>
  <si>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</si>
  <si>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</si>
  <si>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</si>
  <si>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</si>
  <si>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</si>
  <si>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</si>
  <si>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</si>
  <si>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</si>
  <si>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</si>
  <si>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</si>
  <si>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</si>
  <si>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</si>
  <si>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</si>
  <si>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</si>
  <si>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</si>
  <si>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</si>
  <si>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</si>
  <si>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</si>
  <si>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</si>
  <si>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</si>
  <si>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</si>
  <si>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</si>
  <si>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</si>
  <si>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</si>
  <si>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</si>
  <si>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</si>
  <si>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</si>
  <si>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</si>
  <si>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</si>
  <si>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</si>
  <si>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</si>
  <si>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</si>
  <si>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</si>
  <si>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</si>
  <si>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</si>
  <si>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</si>
  <si>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</si>
  <si>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</si>
  <si>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</si>
  <si>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</si>
  <si>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</si>
  <si>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</si>
  <si>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</si>
  <si>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</si>
  <si>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</si>
  <si>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</si>
  <si>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</si>
  <si>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</si>
  <si>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</si>
  <si>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</si>
  <si>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</si>
  <si>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</si>
  <si>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</si>
  <si>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</si>
  <si>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</si>
  <si>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</si>
  <si>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</si>
  <si>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</si>
  <si>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</si>
  <si>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</si>
  <si>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</si>
  <si>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</si>
  <si>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</si>
  <si>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</si>
  <si>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</si>
  <si>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</si>
  <si>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</si>
  <si>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</si>
  <si>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</si>
  <si>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</si>
  <si>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</si>
  <si>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</si>
  <si>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</si>
  <si>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</si>
  <si>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</si>
  <si>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</si>
  <si>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</si>
  <si>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</si>
  <si>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</si>
  <si>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</si>
  <si>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</si>
  <si>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</si>
  <si>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</si>
  <si>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</si>
  <si>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</si>
  <si>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</si>
  <si>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</si>
  <si>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</si>
  <si>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</si>
  <si>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</si>
  <si>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</si>
  <si>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</si>
  <si>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</si>
  <si>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</si>
  <si>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</si>
  <si>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</si>
  <si>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</si>
  <si>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</si>
  <si>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</si>
  <si>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</si>
  <si>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</si>
  <si>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</si>
  <si>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</si>
  <si>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</si>
  <si>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</si>
  <si>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</si>
  <si>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</si>
  <si>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</si>
  <si>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</si>
  <si>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</si>
  <si>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</si>
  <si>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</si>
  <si>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</si>
  <si>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</si>
  <si>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</si>
  <si>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</si>
  <si>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</si>
  <si>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</si>
  <si>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</si>
  <si>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</si>
  <si>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</si>
  <si>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</si>
  <si>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</si>
  <si>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</si>
  <si>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</si>
  <si>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</si>
  <si>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</si>
  <si>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</si>
  <si>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</si>
  <si>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</si>
  <si>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</si>
  <si>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</si>
  <si>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</si>
  <si>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</si>
  <si>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</si>
  <si>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</si>
  <si>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</si>
  <si>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</si>
  <si>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</si>
  <si>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</si>
  <si>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</si>
  <si>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</si>
  <si>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</si>
  <si>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</si>
  <si>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</si>
  <si>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</si>
  <si>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</si>
  <si>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</si>
  <si>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</si>
  <si>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</si>
  <si>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</si>
  <si>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</si>
  <si>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</si>
  <si>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</si>
  <si>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</si>
  <si>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</si>
  <si>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</si>
  <si>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</si>
  <si>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</si>
  <si>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</si>
  <si>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</si>
  <si>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</si>
  <si>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</si>
  <si>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</si>
  <si>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</si>
  <si>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</si>
  <si>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</si>
  <si>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</si>
  <si>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</si>
  <si>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</si>
  <si>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</si>
  <si>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</si>
  <si>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</si>
  <si>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</si>
  <si>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</si>
  <si>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</si>
  <si>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</si>
  <si>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</si>
  <si>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</si>
  <si>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</si>
  <si>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</si>
  <si>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</si>
  <si>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</si>
  <si>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</si>
  <si>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</si>
  <si>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</si>
  <si>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</si>
  <si>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</si>
  <si>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</si>
  <si>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</si>
  <si>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</si>
  <si>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</si>
  <si>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</si>
  <si>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</si>
  <si>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</si>
  <si>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</si>
  <si>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</si>
  <si>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</si>
  <si>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</si>
  <si>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</si>
  <si>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</si>
  <si>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</si>
  <si>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</si>
  <si>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</si>
  <si>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</si>
  <si>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</si>
  <si>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</si>
  <si>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</si>
  <si>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</si>
  <si>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</si>
  <si>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</si>
  <si>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</si>
  <si>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</si>
  <si>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</si>
  <si>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</si>
  <si>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</si>
  <si>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</si>
  <si>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</si>
  <si>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</si>
  <si>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</si>
  <si>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</si>
  <si>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</si>
  <si>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</si>
  <si>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</si>
  <si>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</si>
  <si>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</si>
  <si>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</si>
  <si>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</si>
  <si>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</si>
  <si>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</si>
  <si>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</si>
  <si>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</si>
  <si>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</si>
  <si>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</si>
  <si>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</si>
  <si>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</si>
  <si>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</si>
  <si>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</si>
  <si>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</si>
  <si>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</si>
  <si>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</si>
  <si>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</si>
  <si>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</si>
  <si>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</si>
  <si>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</si>
  <si>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</si>
  <si>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</si>
  <si>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</si>
  <si>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</si>
  <si>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</si>
  <si>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</si>
  <si>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</si>
  <si>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</si>
  <si>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</si>
  <si>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</si>
  <si>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</si>
  <si>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</si>
  <si>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</si>
  <si>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</si>
  <si>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</si>
  <si>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</si>
  <si>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</si>
  <si>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</si>
  <si>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</si>
  <si>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</si>
  <si>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</si>
  <si>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</si>
  <si>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</si>
  <si>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</si>
  <si>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</si>
  <si>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</si>
  <si>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</si>
  <si>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</si>
  <si>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</si>
  <si>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</si>
  <si>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</si>
  <si>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</si>
  <si>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</si>
  <si>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</si>
  <si>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</si>
  <si>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</si>
  <si>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</si>
  <si>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</si>
  <si>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</si>
  <si>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</si>
  <si>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</si>
  <si>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</si>
  <si>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</si>
  <si>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</si>
  <si>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</si>
  <si>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</si>
  <si>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</si>
  <si>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</si>
  <si>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</si>
  <si>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</si>
  <si>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</si>
  <si>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</si>
  <si>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</si>
  <si>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</si>
  <si>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</si>
  <si>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</si>
  <si>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</si>
  <si>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</si>
  <si>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</si>
  <si>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</si>
  <si>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</si>
  <si>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</si>
  <si>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</si>
  <si>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</si>
  <si>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</si>
  <si>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</si>
  <si>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</si>
  <si>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</si>
  <si>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</si>
  <si>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</si>
  <si>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</si>
  <si>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</si>
  <si>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</si>
  <si>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</si>
  <si>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</si>
  <si>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</si>
  <si>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</si>
  <si>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</si>
  <si>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</si>
  <si>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</si>
  <si>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</si>
  <si>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</si>
  <si>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</si>
  <si>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</si>
  <si>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</si>
  <si>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</si>
  <si>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</si>
  <si>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</si>
  <si>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</si>
  <si>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</si>
  <si>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</si>
  <si>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</si>
  <si>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</si>
  <si>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</si>
  <si>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</si>
  <si>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</si>
  <si>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</si>
  <si>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</si>
  <si>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</si>
  <si>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</si>
  <si>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</si>
  <si>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</si>
  <si>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</si>
  <si>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</si>
  <si>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</si>
  <si>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</si>
  <si>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</si>
  <si>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</si>
  <si>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</si>
  <si>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</si>
  <si>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</si>
  <si>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</si>
  <si>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</si>
  <si>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</si>
  <si>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</si>
  <si>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</si>
  <si>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</si>
  <si>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</si>
  <si>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</si>
  <si>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</si>
  <si>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</si>
  <si>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</si>
  <si>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</si>
  <si>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</si>
  <si>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</si>
  <si>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</si>
  <si>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</si>
  <si>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</si>
  <si>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</si>
  <si>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</si>
  <si>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</si>
  <si>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</si>
  <si>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</si>
  <si>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</si>
  <si>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</si>
  <si>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</si>
  <si>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</si>
  <si>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</si>
  <si>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</si>
  <si>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</si>
  <si>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</si>
  <si>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</si>
  <si>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</si>
  <si>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</si>
  <si>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</si>
  <si>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</si>
  <si>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</si>
  <si>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</si>
  <si>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</si>
  <si>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</si>
  <si>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</si>
  <si>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</si>
  <si>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</si>
  <si>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</si>
  <si>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</si>
  <si>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</si>
  <si>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</si>
  <si>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</si>
  <si>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</si>
  <si>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</si>
  <si>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</si>
  <si>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</si>
  <si>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</si>
  <si>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</si>
  <si>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</si>
  <si>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</si>
  <si>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</si>
  <si>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</si>
  <si>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</si>
  <si>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</si>
  <si>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</si>
  <si>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</si>
  <si>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</si>
  <si>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</si>
  <si>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</si>
  <si>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</si>
  <si>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</si>
  <si>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</si>
  <si>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</si>
  <si>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</si>
  <si>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</si>
  <si>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</si>
  <si>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</si>
  <si>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</si>
  <si>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</si>
  <si>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</si>
  <si>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</si>
  <si>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</si>
  <si>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</si>
  <si>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</si>
  <si>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</si>
  <si>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</si>
  <si>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</si>
  <si>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</si>
  <si>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</si>
  <si>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</si>
  <si>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</si>
  <si>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</si>
  <si>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</si>
  <si>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</si>
  <si>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</si>
  <si>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</si>
  <si>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</si>
  <si>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</si>
  <si>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</si>
  <si>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</si>
  <si>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</si>
  <si>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</si>
  <si>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</si>
  <si>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</si>
  <si>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</si>
  <si>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</si>
  <si>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</si>
  <si>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</si>
  <si>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</si>
  <si>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</si>
  <si>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</si>
  <si>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</si>
  <si>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</si>
  <si>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</si>
  <si>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</si>
  <si>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</si>
  <si>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</si>
  <si>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</si>
  <si>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</si>
  <si>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</si>
  <si>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</si>
  <si>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</si>
  <si>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</si>
  <si>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</si>
  <si>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</si>
  <si>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</si>
  <si>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</si>
  <si>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</si>
  <si>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</si>
  <si>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</si>
  <si>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</si>
  <si>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</si>
  <si>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</si>
  <si>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</si>
  <si>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</si>
  <si>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</si>
  <si>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</si>
  <si>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</si>
  <si>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</si>
  <si>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</si>
  <si>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</si>
  <si>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</si>
  <si>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</si>
  <si>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</si>
  <si>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</si>
  <si>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</si>
  <si>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</si>
  <si>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</si>
  <si>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</si>
  <si>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</si>
  <si>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</si>
  <si>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</si>
  <si>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</si>
  <si>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</si>
  <si>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</si>
  <si>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</si>
  <si>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</si>
  <si>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</si>
  <si>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</si>
  <si>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</si>
  <si>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</si>
  <si>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</si>
  <si>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</si>
  <si>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</si>
  <si>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</si>
  <si>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</si>
  <si>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</si>
  <si>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</si>
  <si>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</si>
  <si>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</si>
  <si>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</si>
  <si>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</si>
  <si>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</si>
  <si>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</si>
  <si>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</si>
  <si>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</si>
  <si>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</si>
  <si>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</si>
  <si>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</si>
  <si>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</si>
  <si>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</si>
  <si>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</si>
  <si>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</si>
  <si>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</si>
  <si>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</si>
  <si>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</si>
  <si>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</si>
  <si>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</si>
  <si>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</si>
  <si>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</si>
  <si>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</si>
  <si>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</si>
  <si>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</si>
  <si>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</si>
  <si>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</si>
  <si>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</si>
  <si>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</si>
  <si>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</si>
  <si>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</si>
  <si>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</si>
  <si>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</si>
  <si>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</si>
  <si>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</si>
  <si>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</si>
  <si>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</si>
  <si>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</si>
  <si>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</si>
  <si>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</si>
  <si>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</si>
  <si>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</si>
  <si>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</si>
  <si>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</si>
  <si>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</si>
  <si>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</si>
  <si>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</si>
  <si>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</si>
  <si>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</si>
  <si>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</si>
  <si>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</si>
  <si>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</si>
  <si>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</si>
  <si>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</si>
  <si>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</si>
  <si>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</si>
  <si>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</si>
  <si>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</si>
  <si>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</si>
  <si>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</si>
  <si>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</si>
  <si>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</si>
  <si>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</si>
  <si>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</si>
  <si>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</si>
  <si>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</si>
  <si>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</si>
  <si>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</si>
  <si>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</si>
  <si>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</si>
  <si>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</si>
  <si>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</si>
  <si>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</si>
  <si>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</si>
  <si>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</si>
  <si>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</si>
  <si>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</si>
  <si>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</si>
  <si>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</si>
  <si>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</si>
  <si>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</si>
  <si>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</si>
  <si>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</si>
  <si>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</si>
  <si>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</si>
  <si>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</si>
  <si>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</si>
  <si>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</si>
  <si>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</si>
  <si>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</si>
  <si>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</si>
  <si>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</si>
  <si>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</si>
  <si>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</si>
  <si>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Pedreiro com encargos complementares</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</si>
  <si>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</si>
  <si>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</si>
  <si>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</si>
  <si>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</si>
  <si>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</si>
  <si>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</si>
  <si>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</si>
  <si>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</si>
  <si>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</si>
  <si>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</si>
  <si>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</si>
  <si>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</si>
  <si>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</si>
  <si>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</si>
  <si>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</si>
  <si>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</si>
  <si>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</si>
  <si>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</si>
  <si>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</si>
  <si>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</si>
  <si>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</si>
  <si>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</si>
  <si>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</si>
  <si>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</si>
  <si>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</si>
  <si>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</si>
  <si>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</si>
  <si>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</si>
  <si>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</si>
  <si>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</si>
  <si>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</si>
  <si>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</si>
  <si>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</si>
  <si>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</si>
  <si>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</si>
  <si>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</si>
  <si>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</si>
  <si>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</si>
  <si>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</si>
  <si>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</si>
  <si>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</si>
  <si>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</si>
  <si>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</si>
  <si>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</si>
  <si>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</si>
  <si>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</si>
  <si>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</si>
  <si>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</si>
  <si>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</si>
  <si>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</si>
  <si>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</si>
  <si>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</si>
  <si>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</si>
  <si>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</si>
  <si>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</si>
  <si>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</si>
  <si>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</si>
  <si>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</si>
  <si>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</si>
  <si>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</si>
  <si>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</si>
  <si>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</si>
  <si>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</si>
  <si>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</si>
  <si>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</si>
  <si>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</si>
  <si>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</si>
  <si>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</si>
  <si>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</si>
  <si>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</si>
  <si>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</si>
  <si>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</si>
  <si>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</si>
  <si>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</si>
  <si>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</si>
  <si>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</si>
  <si>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</si>
  <si>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</si>
  <si>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</si>
  <si>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</si>
  <si>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</si>
  <si>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</si>
  <si>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</si>
  <si>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</si>
  <si>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</si>
  <si>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</si>
  <si>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</si>
  <si>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</si>
  <si>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</si>
  <si>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</si>
  <si>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</si>
  <si>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</si>
  <si>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</si>
  <si>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</si>
  <si>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</si>
  <si>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</si>
  <si>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</si>
  <si>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</si>
  <si>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</si>
  <si>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</si>
  <si>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</si>
  <si>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</si>
  <si>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</si>
  <si>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</si>
  <si>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</si>
  <si>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</si>
  <si>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</si>
  <si>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</si>
  <si>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</si>
  <si>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</si>
  <si>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</si>
  <si>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</si>
  <si>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</si>
  <si>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CENTO</t>
  </si>
  <si>
    <t>GESSEIRO COM ENCARGOS COMPLEMENTARES</t>
  </si>
  <si>
    <t>SF-01120</t>
  </si>
  <si>
    <t>SF-01121</t>
  </si>
  <si>
    <t>Obs.: Acréscimo de 15% no coeficiente da tinta para suprir a diferença de preço da tinta branca para as tintas de cores especiais.</t>
  </si>
  <si>
    <t>SF-01122</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</si>
  <si>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</si>
  <si>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</si>
  <si>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</si>
  <si>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</si>
  <si>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</si>
  <si>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</si>
  <si>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</si>
  <si>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</si>
  <si>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</si>
  <si>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</si>
  <si>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</si>
  <si>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</si>
  <si>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</si>
  <si>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</si>
  <si>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</si>
  <si>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</si>
  <si>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</si>
  <si>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</si>
  <si>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</si>
  <si>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</si>
  <si>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</si>
  <si>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</si>
  <si>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</si>
  <si>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</si>
  <si>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</si>
  <si>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</si>
  <si>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</si>
  <si>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</si>
  <si>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</si>
  <si>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</si>
  <si>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</si>
  <si>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</si>
  <si>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</si>
  <si>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</si>
  <si>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</si>
  <si>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</si>
  <si>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</si>
  <si>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</si>
  <si>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</si>
  <si>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</si>
  <si>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</si>
  <si>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</si>
  <si>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</si>
  <si>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</si>
  <si>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</si>
  <si>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</si>
  <si>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</si>
  <si>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</si>
  <si>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</si>
  <si>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</si>
  <si>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</si>
  <si>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</si>
  <si>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</si>
  <si>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</si>
  <si>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</si>
  <si>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</si>
  <si>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</si>
  <si>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</si>
  <si>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</si>
  <si>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</si>
  <si>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</si>
  <si>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</si>
  <si>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</si>
  <si>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</si>
  <si>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</si>
  <si>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</si>
  <si>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</si>
  <si>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</si>
  <si>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</si>
  <si>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</si>
  <si>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</si>
  <si>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</si>
  <si>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</si>
  <si>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</si>
  <si>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</si>
  <si>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</si>
  <si>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</si>
  <si>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</si>
  <si>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</si>
  <si>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</si>
  <si>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</si>
  <si>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</si>
  <si>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</si>
  <si>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</si>
  <si>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</si>
  <si>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</si>
  <si>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</si>
  <si>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</si>
  <si>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</si>
  <si>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</si>
  <si>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</si>
  <si>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</si>
  <si>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</si>
  <si>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</si>
  <si>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</si>
  <si>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</si>
  <si>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</si>
  <si>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</si>
  <si>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</si>
  <si>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</si>
  <si>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</si>
  <si>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</si>
  <si>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</si>
  <si>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</si>
  <si>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</si>
  <si>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</si>
  <si>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</si>
  <si>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</si>
  <si>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</si>
  <si>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</si>
  <si>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</si>
  <si>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</si>
  <si>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</si>
  <si>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</si>
  <si>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</si>
  <si>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</si>
  <si>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</si>
  <si>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</si>
  <si>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</si>
  <si>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</si>
  <si>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</si>
  <si>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</si>
  <si>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</si>
  <si>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</si>
  <si>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</si>
  <si>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</si>
  <si>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</si>
  <si>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</si>
  <si>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</si>
  <si>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</si>
  <si>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</si>
  <si>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</si>
  <si>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</si>
  <si>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</si>
  <si>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</si>
  <si>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</si>
  <si>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</si>
  <si>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</si>
  <si>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</si>
  <si>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</si>
  <si>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</si>
  <si>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</si>
  <si>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</si>
  <si>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</si>
  <si>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</si>
  <si>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</si>
  <si>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</si>
  <si>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</si>
  <si>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</si>
  <si>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</si>
  <si>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</si>
  <si>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</si>
  <si>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</si>
  <si>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</si>
  <si>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</si>
  <si>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</si>
  <si>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</si>
  <si>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</si>
  <si>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</si>
  <si>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</si>
  <si>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TOTAL</t>
  </si>
  <si>
    <t>Servente com encargos complementares</t>
  </si>
  <si>
    <t>Encanador ou bombeiro hidráulico com encargos complementares</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</si>
  <si>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</si>
  <si>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</si>
  <si>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</si>
  <si>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</si>
  <si>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</si>
  <si>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</si>
  <si>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</si>
  <si>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</si>
  <si>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</si>
  <si>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</si>
  <si>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</si>
  <si>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</si>
  <si>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</si>
  <si>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</si>
  <si>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</si>
  <si>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</si>
  <si>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Vibrador de imersão, diâmetro de ponteira 45mm, motor elétrico trifásico potência de 2 CV - CHP diurno. AF_06/2015</t>
  </si>
  <si>
    <t>Vibrador de imersão, diâmetro de ponteira 45mm, motor elétrico trifásico potência de 2 CV - CHI diurno. AF_06/2015</t>
  </si>
  <si>
    <t>M3XKM</t>
  </si>
  <si>
    <t>TXKM</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</si>
  <si>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</si>
  <si>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</si>
  <si>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</si>
  <si>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JG</t>
  </si>
  <si>
    <t>PREGO DE ACO POLIDO COM CABECA 12 X 12</t>
  </si>
  <si>
    <t>CORTE E DOBRA DE AÇO CA-60, DIÂMETRO DE 4,2 MM, UTILIZADO EM LAJE. AF_12/2015</t>
  </si>
  <si>
    <t>Abracadeira em aco para amarracao de eletrodutos, tipo D, com 1 1/2" e parafuso de fixacao</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</si>
  <si>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</si>
  <si>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</si>
  <si>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</si>
  <si>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</si>
  <si>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</si>
  <si>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</si>
  <si>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</si>
  <si>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</si>
  <si>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</si>
  <si>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</si>
  <si>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</si>
  <si>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</si>
  <si>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</si>
  <si>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</si>
  <si>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</si>
  <si>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</si>
  <si>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</si>
  <si>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</si>
  <si>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</si>
  <si>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</si>
  <si>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</si>
  <si>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</si>
  <si>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</si>
  <si>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</si>
  <si>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</si>
  <si>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</si>
  <si>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</si>
  <si>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</si>
  <si>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</si>
  <si>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</si>
  <si>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</si>
  <si>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</si>
  <si>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</si>
  <si>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</si>
  <si>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</si>
  <si>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</si>
  <si>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</si>
  <si>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</si>
  <si>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</si>
  <si>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</si>
  <si>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</si>
  <si>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</si>
  <si>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</si>
  <si>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</si>
  <si>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</si>
  <si>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</si>
  <si>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</si>
  <si>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</si>
  <si>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</si>
  <si>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</si>
  <si>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</si>
  <si>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</si>
  <si>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</si>
  <si>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</si>
  <si>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</si>
  <si>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</si>
  <si>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</si>
  <si>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</si>
  <si>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</si>
  <si>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</si>
  <si>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</si>
  <si>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</si>
  <si>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</si>
  <si>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</si>
  <si>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</si>
  <si>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</si>
  <si>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</si>
  <si>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</si>
  <si>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</si>
  <si>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</si>
  <si>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</si>
  <si>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</si>
  <si>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</si>
  <si>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</si>
  <si>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</si>
  <si>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</si>
  <si>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</si>
  <si>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</si>
  <si>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</si>
  <si>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</si>
  <si>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</si>
  <si>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</si>
  <si>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</si>
  <si>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</si>
  <si>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</si>
  <si>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</si>
  <si>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</si>
  <si>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</si>
  <si>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</si>
  <si>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</si>
  <si>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</si>
  <si>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</si>
  <si>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</si>
  <si>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</si>
  <si>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</si>
  <si>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</si>
  <si>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</si>
  <si>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</si>
  <si>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Tapume</t>
  </si>
  <si>
    <t>SF-00071</t>
  </si>
  <si>
    <t>Trole para linha de vida horizontal</t>
  </si>
  <si>
    <t>SF-00072</t>
  </si>
  <si>
    <t>Trole para travaqueda retrátil</t>
  </si>
  <si>
    <t>Abertura/fechamento rasgo em alvenaria</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</si>
  <si>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</si>
  <si>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</si>
  <si>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</si>
  <si>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</si>
  <si>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</si>
  <si>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</si>
  <si>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</si>
  <si>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</si>
  <si>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</si>
  <si>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</si>
  <si>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</si>
  <si>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</si>
  <si>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</si>
  <si>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</si>
  <si>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</si>
  <si>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</si>
  <si>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</si>
  <si>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</si>
  <si>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</si>
  <si>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</si>
  <si>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</si>
  <si>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</si>
  <si>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</si>
  <si>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</si>
  <si>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</si>
  <si>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</si>
  <si>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</si>
  <si>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</si>
  <si>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</si>
  <si>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</si>
  <si>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</si>
  <si>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</si>
  <si>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</si>
  <si>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</si>
  <si>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</si>
  <si>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</si>
  <si>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</si>
  <si>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</si>
  <si>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</si>
  <si>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</si>
  <si>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</si>
  <si>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</si>
  <si>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</si>
  <si>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</si>
  <si>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</si>
  <si>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</si>
  <si>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</si>
  <si>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</si>
  <si>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</si>
  <si>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</si>
  <si>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</si>
  <si>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</si>
  <si>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</si>
  <si>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</si>
  <si>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</si>
  <si>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</si>
  <si>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</si>
  <si>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</si>
  <si>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</si>
  <si>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</si>
  <si>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</si>
  <si>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</si>
  <si>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</si>
  <si>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</si>
  <si>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</si>
  <si>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</si>
  <si>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</si>
  <si>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</si>
  <si>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</si>
  <si>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</si>
  <si>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</si>
  <si>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</si>
  <si>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</si>
  <si>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</si>
  <si>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</si>
  <si>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</si>
  <si>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</si>
  <si>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</si>
  <si>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</si>
  <si>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</si>
  <si>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</si>
  <si>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</si>
  <si>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</si>
  <si>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</si>
  <si>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</si>
  <si>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</si>
  <si>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</si>
  <si>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</si>
  <si>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</si>
  <si>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</si>
  <si>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</si>
  <si>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</si>
  <si>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</si>
  <si>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</si>
  <si>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</si>
  <si>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</si>
  <si>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</si>
  <si>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</si>
  <si>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</si>
  <si>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</si>
  <si>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</si>
  <si>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Base registro gaveta 3/4"</t>
  </si>
  <si>
    <t>Caixa sifonada de PVC DN 150mm</t>
  </si>
  <si>
    <t>Caixa sifonada de PVC DN 250mm</t>
  </si>
  <si>
    <t>Grelha quadrada para ralo 10x10cm</t>
  </si>
  <si>
    <t>Grelha quadrada para ralo 15x15cm</t>
  </si>
  <si>
    <t>Ralo seco PVC DN 100x40mm</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</si>
  <si>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</si>
  <si>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</si>
  <si>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</si>
  <si>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</si>
  <si>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</si>
  <si>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</si>
  <si>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</si>
  <si>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</si>
  <si>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</si>
  <si>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</si>
  <si>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</si>
  <si>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</si>
  <si>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</si>
  <si>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</si>
  <si>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</si>
  <si>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</si>
  <si>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</si>
  <si>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</si>
  <si>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</si>
  <si>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</si>
  <si>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</si>
  <si>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</si>
  <si>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</si>
  <si>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</si>
  <si>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</si>
  <si>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</si>
  <si>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</si>
  <si>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</si>
  <si>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</si>
  <si>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</si>
  <si>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</si>
  <si>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</si>
  <si>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</si>
  <si>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</si>
  <si>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</si>
  <si>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</si>
  <si>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</si>
  <si>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</si>
  <si>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</si>
  <si>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</si>
  <si>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</si>
  <si>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</si>
  <si>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</si>
  <si>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</si>
  <si>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</si>
  <si>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</si>
  <si>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</si>
  <si>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</si>
  <si>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</si>
  <si>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</si>
  <si>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</si>
  <si>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</si>
  <si>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</si>
  <si>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</si>
  <si>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</si>
  <si>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</si>
  <si>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</si>
  <si>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</si>
  <si>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</si>
  <si>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</si>
  <si>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</si>
  <si>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</si>
  <si>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</si>
  <si>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</si>
  <si>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</si>
  <si>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</si>
  <si>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</si>
  <si>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</si>
  <si>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</si>
  <si>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</si>
  <si>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</si>
  <si>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</si>
  <si>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</si>
  <si>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</si>
  <si>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</si>
  <si>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</si>
  <si>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</si>
  <si>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</si>
  <si>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</si>
  <si>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</si>
  <si>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</si>
  <si>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</si>
  <si>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</si>
  <si>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</si>
  <si>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</si>
  <si>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</si>
  <si>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</si>
  <si>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</si>
  <si>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</si>
  <si>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</si>
  <si>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</si>
  <si>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</si>
  <si>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</si>
  <si>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</si>
  <si>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</si>
  <si>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</si>
  <si>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</si>
  <si>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</si>
  <si>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</si>
  <si>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</si>
  <si>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</si>
  <si>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</si>
  <si>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</si>
  <si>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</si>
  <si>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</si>
  <si>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</si>
  <si>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</si>
  <si>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</si>
  <si>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</si>
  <si>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</si>
  <si>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</si>
  <si>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</si>
  <si>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</si>
  <si>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</si>
  <si>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</si>
  <si>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</si>
  <si>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</si>
  <si>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</si>
  <si>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</si>
  <si>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</si>
  <si>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</si>
  <si>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</si>
  <si>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</si>
  <si>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</si>
  <si>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</si>
  <si>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</si>
  <si>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</si>
  <si>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</si>
  <si>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</si>
  <si>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</si>
  <si>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</si>
  <si>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</si>
  <si>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</si>
  <si>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</si>
  <si>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</si>
  <si>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</si>
  <si>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</si>
  <si>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</si>
  <si>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</si>
  <si>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</si>
  <si>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</si>
  <si>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</si>
  <si>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</si>
  <si>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</si>
  <si>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</si>
  <si>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</si>
  <si>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</si>
  <si>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</si>
  <si>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</si>
  <si>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</si>
  <si>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</si>
  <si>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</si>
  <si>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</si>
  <si>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</si>
  <si>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</si>
  <si>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</si>
  <si>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</si>
  <si>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</si>
  <si>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</si>
  <si>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</si>
  <si>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</si>
  <si>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</si>
  <si>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</si>
  <si>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</si>
  <si>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</si>
  <si>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</si>
  <si>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</si>
  <si>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</si>
  <si>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</si>
  <si>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</si>
  <si>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</si>
  <si>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</si>
  <si>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</si>
  <si>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</si>
  <si>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</si>
  <si>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</si>
  <si>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</si>
  <si>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</si>
  <si>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</si>
  <si>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</si>
  <si>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</si>
  <si>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</si>
  <si>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</si>
  <si>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</si>
  <si>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</si>
  <si>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</si>
  <si>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</si>
  <si>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</si>
  <si>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</si>
  <si>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</si>
  <si>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</si>
  <si>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</si>
  <si>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</si>
  <si>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</si>
  <si>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</si>
  <si>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</si>
  <si>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</si>
  <si>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</si>
  <si>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</si>
  <si>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</si>
  <si>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</si>
  <si>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</si>
  <si>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</si>
  <si>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</si>
  <si>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</si>
  <si>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</si>
  <si>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</si>
  <si>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</si>
  <si>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</si>
  <si>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</si>
  <si>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</si>
  <si>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</si>
  <si>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</si>
  <si>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</si>
  <si>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</si>
  <si>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</si>
  <si>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</si>
  <si>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</si>
  <si>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</si>
  <si>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</si>
  <si>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</si>
  <si>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</si>
  <si>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</si>
  <si>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</si>
  <si>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</si>
  <si>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</si>
  <si>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</si>
  <si>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</si>
  <si>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</si>
  <si>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</si>
  <si>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</si>
  <si>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</si>
  <si>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</si>
  <si>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</si>
  <si>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</si>
  <si>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</si>
  <si>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</si>
  <si>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</si>
  <si>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</si>
  <si>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</si>
  <si>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</si>
  <si>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</si>
  <si>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</si>
  <si>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</si>
  <si>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</si>
  <si>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</si>
  <si>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</si>
  <si>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</si>
  <si>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</si>
  <si>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</si>
  <si>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</si>
  <si>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</si>
  <si>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</si>
  <si>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</si>
  <si>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</si>
  <si>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</si>
  <si>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</si>
  <si>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</si>
  <si>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</si>
  <si>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</si>
  <si>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</si>
  <si>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</si>
  <si>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</si>
  <si>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</si>
  <si>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</si>
  <si>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</si>
  <si>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</si>
  <si>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</si>
  <si>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</si>
  <si>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</si>
  <si>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</si>
  <si>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</si>
  <si>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</si>
  <si>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</si>
  <si>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</si>
  <si>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</si>
  <si>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</si>
  <si>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</si>
  <si>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</si>
  <si>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</si>
  <si>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</si>
  <si>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</si>
  <si>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</si>
  <si>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</si>
  <si>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</si>
  <si>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</si>
  <si>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</si>
  <si>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</si>
  <si>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</si>
  <si>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</si>
  <si>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</si>
  <si>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</si>
  <si>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</si>
  <si>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</si>
  <si>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</si>
  <si>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</si>
  <si>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</si>
  <si>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</si>
  <si>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</si>
  <si>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</si>
  <si>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</si>
  <si>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</si>
  <si>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</si>
  <si>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</si>
  <si>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</si>
  <si>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</si>
  <si>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</si>
  <si>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</si>
  <si>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</si>
  <si>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</si>
  <si>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</si>
  <si>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</si>
  <si>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</si>
  <si>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</si>
  <si>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</si>
  <si>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</si>
  <si>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</si>
  <si>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</si>
  <si>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</si>
  <si>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</si>
  <si>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</si>
  <si>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</si>
  <si>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</si>
  <si>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</si>
  <si>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</si>
  <si>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</si>
  <si>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</si>
  <si>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</si>
  <si>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</si>
  <si>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</si>
  <si>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</si>
  <si>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</si>
  <si>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</si>
  <si>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</si>
  <si>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</si>
  <si>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</si>
  <si>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</si>
  <si>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</si>
  <si>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</si>
  <si>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</si>
  <si>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</si>
  <si>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</si>
  <si>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</si>
  <si>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</si>
  <si>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</si>
  <si>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</si>
  <si>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</si>
  <si>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</si>
  <si>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</si>
  <si>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</si>
  <si>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</si>
  <si>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</si>
  <si>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</si>
  <si>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</si>
  <si>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</si>
  <si>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</si>
  <si>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</si>
  <si>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</si>
  <si>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</si>
  <si>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</si>
  <si>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</si>
  <si>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</si>
  <si>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</si>
  <si>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</si>
  <si>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</si>
  <si>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</si>
  <si>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</si>
  <si>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</si>
  <si>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</si>
  <si>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</si>
  <si>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</si>
  <si>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</si>
  <si>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</si>
  <si>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</si>
  <si>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</si>
  <si>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</si>
  <si>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</si>
  <si>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</si>
  <si>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</si>
  <si>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</si>
  <si>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</si>
  <si>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</si>
  <si>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</si>
  <si>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</si>
  <si>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</si>
  <si>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</si>
  <si>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</si>
  <si>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</si>
  <si>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</si>
  <si>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</si>
  <si>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</si>
  <si>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</si>
  <si>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</si>
  <si>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</si>
  <si>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</si>
  <si>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</si>
  <si>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</si>
  <si>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</si>
  <si>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</si>
  <si>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</si>
  <si>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</si>
  <si>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</si>
  <si>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</si>
  <si>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</si>
  <si>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</si>
  <si>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</si>
  <si>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</si>
  <si>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</si>
  <si>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</si>
  <si>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</si>
  <si>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</si>
  <si>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</si>
  <si>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</si>
  <si>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</si>
  <si>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</si>
  <si>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</si>
  <si>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</si>
  <si>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</si>
  <si>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</si>
  <si>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</si>
  <si>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</si>
  <si>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</si>
  <si>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</si>
  <si>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</si>
  <si>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</si>
  <si>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</si>
  <si>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</si>
  <si>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</si>
  <si>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</si>
  <si>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</si>
  <si>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</si>
  <si>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</si>
  <si>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</si>
  <si>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</si>
  <si>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</si>
  <si>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</si>
  <si>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</si>
  <si>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</si>
  <si>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</si>
  <si>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</si>
  <si>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</si>
  <si>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</si>
  <si>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</si>
  <si>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</si>
  <si>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</si>
  <si>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</si>
  <si>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</si>
  <si>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</si>
  <si>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</si>
  <si>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</si>
  <si>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</si>
  <si>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</si>
  <si>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</si>
  <si>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</si>
  <si>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</si>
  <si>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</si>
  <si>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</si>
  <si>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</si>
  <si>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</si>
  <si>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</si>
  <si>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</si>
  <si>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</si>
  <si>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</si>
  <si>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</si>
  <si>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</si>
  <si>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</si>
  <si>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</si>
  <si>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</si>
  <si>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</si>
  <si>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</si>
  <si>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</si>
  <si>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</si>
  <si>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</si>
  <si>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</si>
  <si>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</si>
  <si>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</si>
  <si>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</si>
  <si>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</si>
  <si>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</si>
  <si>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</si>
  <si>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</si>
  <si>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</si>
  <si>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</si>
  <si>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</si>
  <si>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</si>
  <si>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</si>
  <si>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</si>
  <si>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</si>
  <si>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</si>
  <si>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</si>
  <si>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</si>
  <si>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</si>
  <si>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</si>
  <si>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</si>
  <si>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</si>
  <si>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</si>
  <si>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</si>
  <si>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</si>
  <si>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</si>
  <si>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</si>
  <si>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</si>
  <si>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</si>
  <si>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</si>
  <si>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</si>
  <si>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</si>
  <si>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</si>
  <si>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</si>
  <si>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</si>
  <si>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</si>
  <si>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</si>
  <si>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</si>
  <si>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</si>
  <si>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</si>
  <si>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</si>
  <si>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</si>
  <si>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</si>
  <si>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</si>
  <si>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</si>
  <si>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</si>
  <si>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</si>
  <si>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</si>
  <si>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</si>
  <si>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</si>
  <si>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</si>
  <si>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</si>
  <si>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</si>
  <si>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</si>
  <si>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</si>
  <si>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</si>
  <si>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</si>
  <si>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</si>
  <si>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</si>
  <si>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</si>
  <si>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</si>
  <si>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</si>
  <si>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</si>
  <si>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</si>
  <si>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</si>
  <si>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</si>
  <si>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</si>
  <si>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</si>
  <si>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</si>
  <si>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</si>
  <si>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</si>
  <si>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</si>
  <si>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</si>
  <si>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</si>
  <si>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</si>
  <si>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</si>
  <si>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</si>
  <si>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</si>
  <si>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</si>
  <si>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</si>
  <si>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</si>
  <si>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</si>
  <si>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</si>
  <si>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</si>
  <si>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</si>
  <si>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</si>
  <si>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</si>
  <si>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</si>
  <si>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</si>
  <si>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</si>
  <si>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</si>
  <si>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</si>
  <si>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</si>
  <si>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</si>
  <si>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</si>
  <si>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</si>
  <si>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</si>
  <si>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</si>
  <si>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</si>
  <si>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</si>
  <si>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</si>
  <si>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</si>
  <si>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</si>
  <si>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</si>
  <si>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</si>
  <si>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</si>
  <si>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</si>
  <si>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</si>
  <si>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</si>
  <si>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</si>
  <si>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</si>
  <si>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</si>
  <si>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</si>
  <si>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</si>
  <si>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</si>
  <si>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</si>
  <si>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</si>
  <si>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</si>
  <si>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</si>
  <si>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</si>
  <si>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</si>
  <si>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</si>
  <si>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</si>
  <si>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</si>
  <si>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</si>
  <si>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</si>
  <si>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</si>
  <si>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</si>
  <si>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</si>
  <si>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</si>
  <si>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</si>
  <si>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</si>
  <si>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</si>
  <si>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</si>
  <si>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</si>
  <si>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</si>
  <si>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</si>
  <si>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</si>
  <si>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</si>
  <si>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</si>
  <si>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</si>
  <si>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</si>
  <si>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</si>
  <si>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</si>
  <si>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</si>
  <si>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</si>
  <si>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</si>
  <si>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</si>
  <si>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</si>
  <si>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</si>
  <si>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</si>
  <si>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</si>
  <si>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</si>
  <si>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</si>
  <si>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</si>
  <si>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</si>
  <si>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</si>
  <si>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</si>
  <si>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</si>
  <si>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</si>
  <si>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</si>
  <si>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</si>
  <si>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</si>
  <si>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</si>
  <si>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</si>
  <si>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</si>
  <si>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</si>
  <si>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</si>
  <si>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</si>
  <si>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</si>
  <si>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</si>
  <si>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</si>
  <si>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</si>
  <si>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</si>
  <si>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</si>
  <si>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</si>
  <si>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</si>
  <si>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</si>
  <si>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</si>
  <si>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</si>
  <si>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</si>
  <si>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</si>
  <si>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</si>
  <si>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</si>
  <si>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</si>
  <si>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</si>
  <si>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</si>
  <si>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</si>
  <si>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</si>
  <si>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</si>
  <si>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</si>
  <si>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</si>
  <si>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</si>
  <si>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</si>
  <si>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</si>
  <si>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</si>
  <si>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</si>
  <si>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</si>
  <si>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</si>
  <si>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</si>
  <si>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</si>
  <si>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</si>
  <si>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</si>
  <si>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</si>
  <si>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</si>
  <si>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</si>
  <si>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</si>
  <si>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</si>
  <si>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</si>
  <si>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</si>
  <si>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</si>
  <si>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</si>
  <si>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</si>
  <si>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</si>
  <si>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</si>
  <si>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</si>
  <si>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</si>
  <si>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</si>
  <si>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</si>
  <si>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</si>
  <si>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</si>
  <si>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</si>
  <si>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</si>
  <si>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</si>
  <si>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</si>
  <si>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</si>
  <si>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</si>
  <si>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</si>
  <si>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</si>
  <si>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</si>
  <si>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</si>
  <si>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</si>
  <si>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</si>
  <si>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</si>
  <si>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</si>
  <si>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</si>
  <si>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</si>
  <si>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</si>
  <si>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</si>
  <si>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</si>
  <si>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</si>
  <si>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</si>
  <si>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</si>
  <si>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</si>
  <si>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</si>
  <si>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</si>
  <si>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</si>
  <si>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</si>
  <si>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</si>
  <si>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</si>
  <si>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</si>
  <si>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</si>
  <si>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</si>
  <si>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</si>
  <si>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</si>
  <si>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</si>
  <si>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</si>
  <si>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</si>
  <si>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</si>
  <si>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</si>
  <si>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</si>
  <si>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</si>
  <si>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</si>
  <si>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</si>
  <si>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</si>
  <si>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</si>
  <si>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</si>
  <si>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</si>
  <si>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</si>
  <si>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</si>
  <si>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</si>
  <si>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</si>
  <si>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</si>
  <si>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</si>
  <si>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</si>
  <si>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</si>
  <si>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</si>
  <si>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</si>
  <si>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</si>
  <si>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</si>
  <si>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</si>
  <si>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</si>
  <si>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</si>
  <si>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</si>
  <si>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</si>
  <si>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</si>
  <si>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</si>
  <si>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</si>
  <si>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</si>
  <si>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</si>
  <si>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</si>
  <si>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</si>
  <si>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</si>
  <si>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</si>
  <si>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</si>
  <si>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</si>
  <si>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</si>
  <si>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</si>
  <si>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</si>
  <si>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</si>
  <si>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</si>
  <si>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</si>
  <si>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</si>
  <si>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</si>
  <si>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</si>
  <si>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</si>
  <si>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</si>
  <si>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</si>
  <si>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</si>
  <si>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</si>
  <si>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</si>
  <si>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</si>
  <si>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</si>
  <si>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</si>
  <si>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</si>
  <si>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</si>
  <si>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</si>
  <si>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</si>
  <si>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</si>
  <si>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</si>
  <si>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</si>
  <si>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</si>
  <si>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</si>
  <si>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</si>
  <si>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</si>
  <si>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</si>
  <si>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</si>
  <si>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</si>
  <si>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</si>
  <si>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</si>
  <si>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</si>
  <si>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</si>
  <si>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</si>
  <si>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</si>
  <si>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</si>
  <si>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</si>
  <si>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</si>
  <si>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</si>
  <si>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</si>
  <si>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</si>
  <si>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</si>
  <si>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</si>
  <si>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</si>
  <si>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</si>
  <si>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</si>
  <si>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</si>
  <si>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</si>
  <si>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</si>
  <si>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</si>
  <si>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</si>
  <si>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</si>
  <si>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</si>
  <si>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</si>
  <si>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</si>
  <si>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</si>
  <si>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</si>
  <si>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</si>
  <si>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</si>
  <si>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</si>
  <si>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</si>
  <si>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</si>
  <si>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</si>
  <si>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</si>
  <si>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</si>
  <si>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</si>
  <si>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</si>
  <si>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</si>
  <si>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</si>
  <si>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</si>
  <si>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</si>
  <si>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</si>
  <si>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</si>
  <si>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</si>
  <si>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</si>
  <si>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</si>
  <si>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</si>
  <si>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</si>
  <si>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</si>
  <si>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</si>
  <si>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</si>
  <si>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</si>
  <si>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</si>
  <si>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</si>
  <si>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</si>
  <si>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</si>
  <si>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</si>
  <si>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</si>
  <si>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</si>
  <si>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</si>
  <si>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</si>
  <si>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</si>
  <si>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</si>
  <si>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</si>
  <si>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</si>
  <si>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</si>
  <si>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</si>
  <si>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</si>
  <si>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</si>
  <si>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</si>
  <si>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</si>
  <si>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</si>
  <si>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</si>
  <si>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</si>
  <si>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</si>
  <si>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</si>
  <si>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</si>
  <si>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</si>
  <si>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</si>
  <si>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</si>
  <si>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</si>
  <si>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</si>
  <si>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</si>
  <si>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</si>
  <si>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</si>
  <si>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</si>
  <si>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</si>
  <si>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</si>
  <si>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</si>
  <si>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</si>
  <si>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</si>
  <si>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</si>
  <si>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</si>
  <si>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</si>
  <si>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</si>
  <si>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</si>
  <si>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</si>
  <si>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</si>
  <si>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</si>
  <si>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</si>
  <si>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</si>
  <si>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</si>
  <si>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</si>
  <si>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</si>
  <si>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</si>
  <si>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</si>
  <si>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</si>
  <si>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</si>
  <si>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Régua de alumínio para pedreiro com 2m</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</si>
  <si>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</si>
  <si>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</si>
  <si>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</si>
  <si>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</si>
  <si>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</si>
  <si>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</si>
  <si>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</si>
  <si>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</si>
  <si>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</si>
  <si>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</si>
  <si>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</si>
  <si>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</si>
  <si>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</si>
  <si>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</si>
  <si>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</si>
  <si>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</si>
  <si>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</si>
  <si>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</si>
  <si>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</si>
  <si>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</si>
  <si>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</si>
  <si>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</si>
  <si>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</si>
  <si>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</si>
  <si>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</si>
  <si>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</si>
  <si>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</si>
  <si>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</si>
  <si>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</si>
  <si>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</si>
  <si>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</si>
  <si>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</si>
  <si>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</si>
  <si>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</si>
  <si>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</si>
  <si>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</si>
  <si>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</si>
  <si>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</si>
  <si>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</si>
  <si>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</si>
  <si>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</si>
  <si>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</si>
  <si>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</si>
  <si>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</si>
  <si>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</si>
  <si>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</si>
  <si>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</si>
  <si>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</si>
  <si>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</si>
  <si>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</si>
  <si>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</si>
  <si>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</si>
  <si>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</si>
  <si>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</si>
  <si>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</si>
  <si>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</si>
  <si>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</si>
  <si>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</si>
  <si>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</si>
  <si>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</si>
  <si>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</si>
  <si>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</si>
  <si>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</si>
  <si>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</si>
  <si>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</si>
  <si>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</si>
  <si>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</si>
  <si>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</si>
  <si>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</si>
  <si>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</si>
  <si>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</si>
  <si>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</si>
  <si>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</si>
  <si>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</si>
  <si>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</si>
  <si>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</si>
  <si>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</si>
  <si>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</si>
  <si>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</si>
  <si>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</si>
  <si>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</si>
  <si>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</si>
  <si>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</si>
  <si>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</si>
  <si>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</si>
  <si>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</si>
  <si>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</si>
  <si>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</si>
  <si>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</si>
  <si>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</si>
  <si>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</si>
  <si>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</si>
  <si>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</si>
  <si>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</si>
  <si>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</si>
  <si>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</si>
  <si>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</si>
  <si>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</si>
  <si>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</si>
  <si>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</si>
  <si>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</si>
  <si>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</si>
  <si>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</si>
  <si>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</si>
  <si>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</si>
  <si>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</si>
  <si>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</si>
  <si>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</si>
  <si>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</si>
  <si>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</si>
  <si>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</si>
  <si>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</si>
  <si>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</si>
  <si>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</si>
  <si>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</si>
  <si>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</si>
  <si>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</si>
  <si>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</si>
  <si>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</si>
  <si>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</si>
  <si>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</si>
  <si>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</si>
  <si>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</si>
  <si>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</si>
  <si>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</si>
  <si>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</si>
  <si>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</si>
  <si>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</si>
  <si>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</si>
  <si>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</si>
  <si>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</si>
  <si>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</si>
  <si>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</si>
  <si>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</si>
  <si>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</si>
  <si>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</si>
  <si>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</si>
  <si>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</si>
  <si>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</si>
  <si>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</si>
  <si>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</si>
  <si>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</si>
  <si>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</si>
  <si>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</si>
  <si>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</si>
  <si>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</si>
  <si>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</si>
  <si>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</si>
  <si>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</si>
  <si>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</si>
  <si>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</si>
  <si>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</si>
  <si>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</si>
  <si>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</si>
  <si>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</si>
  <si>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</si>
  <si>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</si>
  <si>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</si>
  <si>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</si>
  <si>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</si>
  <si>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</si>
  <si>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</si>
  <si>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</si>
  <si>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</si>
  <si>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</si>
  <si>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</si>
  <si>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</si>
  <si>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</si>
  <si>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</si>
  <si>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</si>
  <si>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</si>
  <si>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</si>
  <si>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</si>
  <si>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</si>
  <si>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</si>
  <si>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</si>
  <si>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</si>
  <si>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</si>
  <si>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</si>
  <si>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</si>
  <si>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</si>
  <si>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</si>
  <si>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</si>
  <si>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</si>
  <si>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</si>
  <si>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</si>
  <si>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</si>
  <si>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</si>
  <si>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</si>
  <si>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</si>
  <si>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</si>
  <si>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</si>
  <si>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</si>
  <si>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</si>
  <si>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</si>
  <si>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</si>
  <si>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</si>
  <si>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</si>
  <si>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</si>
  <si>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</si>
  <si>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</si>
  <si>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</si>
  <si>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</si>
  <si>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</si>
  <si>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</si>
  <si>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</si>
  <si>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</si>
  <si>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</si>
  <si>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</si>
  <si>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</si>
  <si>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</si>
  <si>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</si>
  <si>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</si>
  <si>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</si>
  <si>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</si>
  <si>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</si>
  <si>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</si>
  <si>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</si>
  <si>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</si>
  <si>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</si>
  <si>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</si>
  <si>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</si>
  <si>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</si>
  <si>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</si>
  <si>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</si>
  <si>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</si>
  <si>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</si>
  <si>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</si>
  <si>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</si>
  <si>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</si>
  <si>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</si>
  <si>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</si>
  <si>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</si>
  <si>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</si>
  <si>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</si>
  <si>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</si>
  <si>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</si>
  <si>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</si>
  <si>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</si>
  <si>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</si>
  <si>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</si>
  <si>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</si>
  <si>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</si>
  <si>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</si>
  <si>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</si>
  <si>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</si>
  <si>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</si>
  <si>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</si>
  <si>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</si>
  <si>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</si>
  <si>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</si>
  <si>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</si>
  <si>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</si>
  <si>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</si>
  <si>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</si>
  <si>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</si>
  <si>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</si>
  <si>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</si>
  <si>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</si>
  <si>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</si>
  <si>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</si>
  <si>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</si>
  <si>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</si>
  <si>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</si>
  <si>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</si>
  <si>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</si>
  <si>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</si>
  <si>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</si>
  <si>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</si>
  <si>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</si>
  <si>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</si>
  <si>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</si>
  <si>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</si>
  <si>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</si>
  <si>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</si>
  <si>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</si>
  <si>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</si>
  <si>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</si>
  <si>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</si>
  <si>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</si>
  <si>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</si>
  <si>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</si>
  <si>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</si>
  <si>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</si>
  <si>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</si>
  <si>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</si>
  <si>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</si>
  <si>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</si>
  <si>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</si>
  <si>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</si>
  <si>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</si>
  <si>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</si>
  <si>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</si>
  <si>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</si>
  <si>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</si>
  <si>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</si>
  <si>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</si>
  <si>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</si>
  <si>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</si>
  <si>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</si>
  <si>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</si>
  <si>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</si>
  <si>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</si>
  <si>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</si>
  <si>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</si>
  <si>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</si>
  <si>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</si>
  <si>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</si>
  <si>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</si>
  <si>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</si>
  <si>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</si>
  <si>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</si>
  <si>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</si>
  <si>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</si>
  <si>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</si>
  <si>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</si>
  <si>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</si>
  <si>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</si>
  <si>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</si>
  <si>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</si>
  <si>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</si>
  <si>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</si>
  <si>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</si>
  <si>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</si>
  <si>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</si>
  <si>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</si>
  <si>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</si>
  <si>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</si>
  <si>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</si>
  <si>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</si>
  <si>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</si>
  <si>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</si>
  <si>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</si>
  <si>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</si>
  <si>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</si>
  <si>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</si>
  <si>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</si>
  <si>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</si>
  <si>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</si>
  <si>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</si>
  <si>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</si>
  <si>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</si>
  <si>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</si>
  <si>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</si>
  <si>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</si>
  <si>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</si>
  <si>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</si>
  <si>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</si>
  <si>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</si>
  <si>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</si>
  <si>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</si>
  <si>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</si>
  <si>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</si>
  <si>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</si>
  <si>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</si>
  <si>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</si>
  <si>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</si>
  <si>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</si>
  <si>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</si>
  <si>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</si>
  <si>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</si>
  <si>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</si>
  <si>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</si>
  <si>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</si>
  <si>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</si>
  <si>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</si>
  <si>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</si>
  <si>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</si>
  <si>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</si>
  <si>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</si>
  <si>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</si>
  <si>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</si>
  <si>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</si>
  <si>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</si>
  <si>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</si>
  <si>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</si>
  <si>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</si>
  <si>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</si>
  <si>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</si>
  <si>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</si>
  <si>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</si>
  <si>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</si>
  <si>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</si>
  <si>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</si>
  <si>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</si>
  <si>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</si>
  <si>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</si>
  <si>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</si>
  <si>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</si>
  <si>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</si>
  <si>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</si>
  <si>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</si>
  <si>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</si>
  <si>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</si>
  <si>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</si>
  <si>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</si>
  <si>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</si>
  <si>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</si>
  <si>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</si>
  <si>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</si>
  <si>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</si>
  <si>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</si>
  <si>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</si>
  <si>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</si>
  <si>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</si>
  <si>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</si>
  <si>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</si>
  <si>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</si>
  <si>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</si>
  <si>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</si>
  <si>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</si>
  <si>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</si>
  <si>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</si>
  <si>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</si>
  <si>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</si>
  <si>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</si>
  <si>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</si>
  <si>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</si>
  <si>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</si>
  <si>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</si>
  <si>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</si>
  <si>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</si>
  <si>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</si>
  <si>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</si>
  <si>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</si>
  <si>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</si>
  <si>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</si>
  <si>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</si>
  <si>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</si>
  <si>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</si>
  <si>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</si>
  <si>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</si>
  <si>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</si>
  <si>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</si>
  <si>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</si>
  <si>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</si>
  <si>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</si>
  <si>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</si>
  <si>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</si>
  <si>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</si>
  <si>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Tratamento de juntas de dilatação ou movimentação</t>
  </si>
  <si>
    <t>Recuperação superficial de preparação para pintura epóxi de alto desempenho</t>
  </si>
  <si>
    <t>Piso de borracha antiderrapante tipo moeda</t>
  </si>
  <si>
    <t>Forro monolítico de gesso em placas</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</si>
  <si>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</si>
  <si>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</si>
  <si>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</si>
  <si>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</si>
  <si>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</si>
  <si>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</si>
  <si>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</si>
  <si>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</si>
  <si>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</si>
  <si>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</si>
  <si>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</si>
  <si>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</si>
  <si>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</si>
  <si>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</si>
  <si>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</si>
  <si>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</si>
  <si>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</si>
  <si>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</si>
  <si>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</si>
  <si>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</si>
  <si>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</si>
  <si>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</si>
  <si>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</si>
  <si>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</si>
  <si>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</si>
  <si>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</si>
  <si>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</si>
  <si>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</si>
  <si>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</si>
  <si>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</si>
  <si>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</si>
  <si>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</si>
  <si>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</si>
  <si>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</si>
  <si>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</si>
  <si>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</si>
  <si>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</si>
  <si>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</si>
  <si>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</si>
  <si>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</si>
  <si>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</si>
  <si>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</si>
  <si>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</si>
  <si>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</si>
  <si>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</si>
  <si>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</si>
  <si>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</si>
  <si>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</si>
  <si>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</si>
  <si>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</si>
  <si>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</si>
  <si>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</si>
  <si>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</si>
  <si>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</si>
  <si>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</si>
  <si>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</si>
  <si>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</si>
  <si>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</si>
  <si>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</si>
  <si>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</si>
  <si>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</si>
  <si>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</si>
  <si>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</si>
  <si>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</si>
  <si>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</si>
  <si>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</si>
  <si>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</si>
  <si>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</si>
  <si>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</si>
  <si>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</si>
  <si>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</si>
  <si>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</si>
  <si>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</si>
  <si>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</si>
  <si>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</si>
  <si>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</si>
  <si>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</si>
  <si>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</si>
  <si>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</si>
  <si>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</si>
  <si>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</si>
  <si>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</si>
  <si>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</si>
  <si>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</si>
  <si>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</si>
  <si>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</si>
  <si>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</si>
  <si>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</si>
  <si>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</si>
  <si>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</si>
  <si>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</si>
  <si>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</si>
  <si>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</si>
  <si>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</si>
  <si>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</si>
  <si>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</si>
  <si>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</si>
  <si>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</si>
  <si>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</si>
  <si>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</si>
  <si>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</si>
  <si>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</si>
  <si>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</si>
  <si>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</si>
  <si>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</si>
  <si>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</si>
  <si>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</si>
  <si>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</si>
  <si>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</si>
  <si>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</si>
  <si>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</si>
  <si>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</si>
  <si>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</si>
  <si>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</si>
  <si>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</si>
  <si>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</si>
  <si>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</si>
  <si>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</si>
  <si>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</si>
  <si>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</si>
  <si>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</si>
  <si>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</si>
  <si>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</si>
  <si>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</si>
  <si>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</si>
  <si>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</si>
  <si>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</si>
  <si>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</si>
  <si>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</si>
  <si>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</si>
  <si>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</si>
  <si>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</si>
  <si>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</si>
  <si>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</si>
  <si>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</si>
  <si>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</si>
  <si>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</si>
  <si>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</si>
  <si>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</si>
  <si>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</si>
  <si>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</si>
  <si>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</si>
  <si>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</si>
  <si>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</si>
  <si>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</si>
  <si>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</si>
  <si>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</si>
  <si>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</si>
  <si>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</si>
  <si>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</si>
  <si>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</si>
  <si>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</si>
  <si>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</si>
  <si>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</si>
  <si>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</si>
  <si>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</si>
  <si>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</si>
  <si>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</si>
  <si>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</si>
  <si>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</si>
  <si>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</si>
  <si>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</si>
  <si>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</si>
  <si>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</si>
  <si>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</si>
  <si>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</si>
  <si>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</si>
  <si>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</si>
  <si>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</si>
  <si>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</si>
  <si>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</si>
  <si>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</si>
  <si>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</si>
  <si>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</si>
  <si>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</si>
  <si>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</si>
  <si>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</si>
  <si>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</si>
  <si>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</si>
  <si>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</si>
  <si>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</si>
  <si>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</si>
  <si>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</si>
  <si>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DESEMPENADEIRA DE CONCRETO, PESO DE 75KG, 4 PÁS, MOTOR A GASOLINA, POTÊNCIA 5,5 HP - CHP DIURNO. AF_09/2016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</si>
  <si>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</si>
  <si>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</si>
  <si>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</si>
  <si>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</si>
  <si>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</si>
  <si>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MÁQUINA DEMARCADORA DE FAIXA DE TRÁFEGO À FRIO, AUTOPROPELIDA, POTÊNCIA 38 HP - CHI DIURNO. AF_07/2016</t>
  </si>
  <si>
    <t>FABRICAÇÃO DE FÔRMA PARA PILARES E ESTRUTURAS SIMILARES, EM MADEIRA SERRADA, E=25 MM. AF_12/2015</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</si>
  <si>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</si>
  <si>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</si>
  <si>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5,0 MM - MONTAGEM. AF_12/2015</t>
  </si>
  <si>
    <t>CORTE E DOBRA DE AÇO CA-50, DIÂMETRO DE 16,0 MM, UTILIZADO EM ESTRUTURAS DIVERSAS, EXCETO LAJES. AF_12/2015</t>
  </si>
  <si>
    <t>CORTE E DOBRA DE AÇO CA-60, DIÂMETRO DE 5,0 MM, UTILIZADO EM LAJE. AF_12/2015</t>
  </si>
  <si>
    <t>CORTE E DOBRA DE AÇO CA-25, DIÂMETRO DE 16,0 MM. AF_12/2015</t>
  </si>
  <si>
    <t>CONCRETO FCK = 20MPA, TRAÇO 1:2,7:3 (CIMENTO/ AREIA MÉDIA/ BRITA 1)  - PREPARO MECÂNICO COM BETONEIRA 400 L. AF_07/2016</t>
  </si>
  <si>
    <t>CONCRETO FCK = 25MPA, TRAÇO 1:2,3:2,7 (CIMENTO/ AREIA MÉDIA/ BRITA 1)  - PREPARO MECÂNICO COM BETONEIRA 600 L. AF_07/2016</t>
  </si>
  <si>
    <t>CONCRETO FCK = 30MPA, TRAÇO 1:2,1:2,5 (CIMENTO/ AREIA MÉDIA/ BRITA 1)  - PREPARO MECÂNICO COM BETONEIRA 600 L. AF_07/2016</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</si>
  <si>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</si>
  <si>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</si>
  <si>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</si>
  <si>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</si>
  <si>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</si>
  <si>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</si>
  <si>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</si>
  <si>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</si>
  <si>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</si>
  <si>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</si>
  <si>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</si>
  <si>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</si>
  <si>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</si>
  <si>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</si>
  <si>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</si>
  <si>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ASSENTADOR DE TUBOS COM ENCARGOS COMPLEMENTARES</t>
  </si>
  <si>
    <t>AUXILIAR DE TOPÓGRAFO COM ENCARGOS COMPLEMENTARES</t>
  </si>
  <si>
    <t>ELETROTÉCNICO COM ENCARGOS COMPLEMENTARES</t>
  </si>
  <si>
    <t>MARMORISTA/GRANITEIRO COM ENCARGOS COMPLEMENTARES</t>
  </si>
  <si>
    <t>SOLDADOR COM ENCARGOS COMPLEMENTARES</t>
  </si>
  <si>
    <t>VIDRACEIRO COM ENCARGOS COMPLEMENTARES</t>
  </si>
  <si>
    <t>AUXILIAR DE ESCRITORIO COM ENCARGOS COMPLEMENTARES</t>
  </si>
  <si>
    <t>DESENHISTA PROJETISTA COM ENCARGOS COMPLEMENTARES</t>
  </si>
  <si>
    <t>ENCARREGADO GERAL COM ENCARGOS COMPLEMENTARES</t>
  </si>
  <si>
    <t>TOPOGRAFO COM ENCARGOS COMPLEMENTARES</t>
  </si>
  <si>
    <t>ENGENHEIRO ELETRICISTA COM ENCARGOS COMPLEMENTARES</t>
  </si>
  <si>
    <t>AUXILIAR DE ALMOXARIFE COM ENCARGOS COMPLEMENTARES</t>
  </si>
  <si>
    <t>ACO CA-25, 10,0 MM, OU 12,5 MM, OU 16,0 MM, OU 20,0 MM, OU 25,0 MM, VERGALHAO</t>
  </si>
  <si>
    <t>ADESIVO ESTRUTURAL A BASE DE RESINA EPOXI, BICOMPONENTE, FLUIDO</t>
  </si>
  <si>
    <t>ADESIVO PARA TUBOS CPVC, *75* G</t>
  </si>
  <si>
    <t>ALICATE DE CRIMPAR RJ11, RJ12 E RJ45</t>
  </si>
  <si>
    <t>ARAME GALVANIZADO 16 BWG, D = 1,65MM (0,0166 KG/M)</t>
  </si>
  <si>
    <t>BRACO P/ LUMINARIA PUBLICA 1 X 1,50M ROMAGNOLE OU EQUIV</t>
  </si>
  <si>
    <t>BUCHA DE NYLON SEM ABA S6, COM PARAFUSO DE 4,20 X 40 MM EM ACO ZINCADO COM ROSCA SOBERBA, CABECA CHATA E FENDA PHILLIPS</t>
  </si>
  <si>
    <t>CABO DE COBRE NU 16 MM2 MEIO-DURO</t>
  </si>
  <si>
    <t>CABO DE COBRE NU 25 MM2 MEIO-DURO</t>
  </si>
  <si>
    <t>CABO DE COBRE NU 35 MM2 MEIO-DURO</t>
  </si>
  <si>
    <t>CABO DE COBRE NU 50 MM2 MEIO-DURO</t>
  </si>
  <si>
    <t>CABO DE COBRE NU 70 MM2 MEIO-DURO</t>
  </si>
  <si>
    <t>CAIXA DE PASSAGEM, EM PVC, DE 4" X 2", PARA ELETRODUTO FLEXIVEL CORRUGADO</t>
  </si>
  <si>
    <t>CAIXA DE PASSAGEM, EM PVC, DE 4" X 4", PARA ELETRODUTO FLEXIVEL CORRUGADO</t>
  </si>
  <si>
    <t>CANTONEIRA ALUMINIO ABAS IGUAIS 1 ", E = 3 /16 "</t>
  </si>
  <si>
    <t>CAPA PARA CHUVA EM PVC COM FORRO DE POLIESTER, COM CAPUZ (AMARELA OU AZUL)</t>
  </si>
  <si>
    <t>CHAPA DE ACO GALVANIZADA BITOLA GSG 16, E = 1,55 MM (12,40 KG/M2)</t>
  </si>
  <si>
    <t>CHAPA DE LAMINADO MELAMINICO, TEXTURIZADO, DE *1,25 X 3,08* M, E = 0,8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</si>
  <si>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</si>
  <si>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</si>
  <si>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</si>
  <si>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</si>
  <si>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</si>
  <si>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</si>
  <si>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</si>
  <si>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</si>
  <si>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</si>
  <si>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</si>
  <si>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</si>
  <si>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</si>
  <si>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T, PARA ELETRODUTO ROSCAVEL DE 2", COM TAMPA CEGA</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</si>
  <si>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</si>
  <si>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</si>
  <si>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</si>
  <si>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</si>
  <si>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</si>
  <si>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</si>
  <si>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</si>
  <si>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</si>
  <si>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</si>
  <si>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</si>
  <si>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</si>
  <si>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</si>
  <si>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</si>
  <si>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</si>
  <si>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</si>
  <si>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</si>
  <si>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</si>
  <si>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</si>
  <si>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</si>
  <si>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</si>
  <si>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</si>
  <si>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</si>
  <si>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</si>
  <si>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</si>
  <si>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</si>
  <si>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</si>
  <si>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</si>
  <si>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</si>
  <si>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</si>
  <si>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</si>
  <si>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</si>
  <si>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</si>
  <si>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</si>
  <si>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</si>
  <si>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</si>
  <si>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</si>
  <si>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</si>
  <si>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</si>
  <si>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</si>
  <si>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</si>
  <si>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</si>
  <si>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</si>
  <si>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</si>
  <si>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ENDURECEDOR MINERAL DE BASE CIMENTICIA PARA PISO DE CONCRETO</t>
  </si>
  <si>
    <t>FITA DE PAPEL REFORCADA COM LAMINA DE METAL PARA REFORCO DE CANTOS DE CHAPA DE GESSO PARA DRYWALL</t>
  </si>
  <si>
    <t>FITA ISOLANTE ADESIVA ANTICHAMA, USO ATE 750 V, EM ROLO DE 19 MM X 5 M</t>
  </si>
  <si>
    <t>FUSIVEL DIAZED 35 A TAMANHO DIII, CAPACIDADE DE INTERRUPCAO DE 50 KA EM VCA E 8 KA EM VCC, TENSAO NOMIMNAL DE 500 V</t>
  </si>
  <si>
    <t>GEOTEXTIL NAO TECIDO AGULHADO DE FILAMENTOS CONTINUOS 100% POLIESTER, RESITENCIA A TRACAO = 31 KN/M</t>
  </si>
  <si>
    <t>LAMPADA FLUORESCENTE COMPACTA 2U BRANCA 15 W, BASE E27 (127/220 V)</t>
  </si>
  <si>
    <t>LUMINARIA DE LED PARA ILUMINACAO PUBLICA, DE 51 W ATE 67 W, INVOLUCRO EM ALUMINIO OU ACO INOX</t>
  </si>
  <si>
    <t>LUMINARIA DE LED PARA ILUMINACAO PUBLICA, DE 98 W ATE 137 W, INVOLUCRO EM ALUMINIO OU ACO INOX</t>
  </si>
  <si>
    <t>LUMINARIA PLAFON REDONDO COM VIDRO FOSCO DIAMETRO *30* CM, PARA 2 LAMPADAS, BASE E27, POTENCIA MAXIMA 40/60 W (NAO INCLUI LAMPADAS)</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</si>
  <si>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</si>
  <si>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</si>
  <si>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</si>
  <si>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</si>
  <si>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</si>
  <si>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</si>
  <si>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</si>
  <si>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</si>
  <si>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</si>
  <si>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</si>
  <si>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</si>
  <si>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</si>
  <si>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</si>
  <si>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</si>
  <si>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</si>
  <si>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MASSA PLASTICA PARA MARMORE/GRANITO</t>
  </si>
  <si>
    <t>PARA-RAIOS TIPO FRANKLIN 350 MM, EM LATAO CROMADO, DUAS DESCIDAS, PARA PROTECAO DE EDIFICACOES CONTRA DESCARGAS ATMOSFERICAS</t>
  </si>
  <si>
    <t>PINO DE ACO COM FURO, HASTE = 27 MM (ACAO DIRETA)</t>
  </si>
  <si>
    <t>PISO DE BORRACHA PASTILHADO EM PLACAS 50 X 50 CM, E = *3,5* MM, PARA COLA, PRETO</t>
  </si>
  <si>
    <t>PLACA/TAMPA CEGA EM LATAO ESCOVADO PARA CONDULETE EM LIGA DE ALUMINIO 4 X 4"</t>
  </si>
  <si>
    <t>PREGO DE ACO POLIDO COM CABECA DUPLA 17 X 27 (2 1/2 X 11)</t>
  </si>
  <si>
    <t>PREGO DE ACO POLIDO COM CABECA 17 X 27 (2 1/2 X 11)</t>
  </si>
  <si>
    <t>PREGO DE ACO POLIDO SEM CABECA 15 X 15 (1 1/4 X 13)</t>
  </si>
  <si>
    <t>PROTETOR SOLAR FPS 30, EMBALAGEM 2 LITROS</t>
  </si>
  <si>
    <t>PULSADOR CAMPAINHA 10A, 250V (APENAS MODULO)</t>
  </si>
  <si>
    <t>QUADRO DE DISTRIBUICAO COM BARRAMENTO TRIFASICO, DE SOBREPOR, EM CHAPA DE ACO GALVANIZADO, PARA 18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</si>
  <si>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</si>
  <si>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</si>
  <si>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</si>
  <si>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RODAPE DE MADEIRA MACICA CUMARU/IPE CHAMPANHE OU EQUIVALENTE DA REGIAO, *1,5 X 7 CM</t>
  </si>
  <si>
    <t>SENSOR DE PRESENCA BIVOLT COM FOTOCELULA PARA QUALQUER TIPO DE LAMPADA, POTENCIA MAXIMA *1000* W, USO EXTERNO</t>
  </si>
  <si>
    <t>SUPORTE MAO-FRANCESA EM ACO, ABAS IGUAIS 40 CM, CAPACIDADE MINIMA 70 KG, BRANCO</t>
  </si>
  <si>
    <t>TALABARTE DE SEGURANCA, 2 MOSQUETOES TRAVA DUPLA *53* MM DE ABERTURA, COM ABSORVEDOR DE ENERGIA</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</si>
  <si>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</si>
  <si>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</si>
  <si>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</si>
  <si>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</si>
  <si>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TE MISTURADOR DE TRANSICAO, CPVC, COM ROSCA, 22 MM X 3/4", PARA AGUA QUENTE</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</si>
  <si>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</si>
  <si>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</si>
  <si>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</si>
  <si>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</si>
  <si>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</si>
  <si>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</si>
  <si>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</si>
  <si>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</si>
  <si>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</si>
  <si>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</si>
  <si>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</si>
  <si>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</si>
  <si>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</si>
  <si>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</si>
  <si>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</si>
  <si>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TRAVA-QUEDAS EM ACO PARA CORDA DE 12 MM, EXTENSOR DE 25 X 300 MM, COM MOSQUETAO TIPO GANCHO TRAVA DUPLA</t>
  </si>
  <si>
    <t>TUBO ACO CARBONO SEM COSTURA 2", E= *3,91* MM, SCHEDULE 40, *5,43* KG/M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</si>
  <si>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</si>
  <si>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</si>
  <si>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</si>
  <si>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</si>
  <si>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</si>
  <si>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</si>
  <si>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</si>
  <si>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</si>
  <si>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</si>
  <si>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</si>
  <si>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</si>
  <si>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</si>
  <si>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</si>
  <si>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</si>
  <si>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</si>
  <si>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</si>
  <si>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</si>
  <si>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</si>
  <si>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</si>
  <si>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</si>
  <si>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</si>
  <si>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</si>
  <si>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</si>
  <si>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</si>
  <si>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</si>
  <si>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</si>
  <si>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</si>
  <si>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</si>
  <si>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</si>
  <si>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</si>
  <si>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</si>
  <si>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</si>
  <si>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</si>
  <si>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</si>
  <si>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</si>
  <si>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</si>
  <si>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</si>
  <si>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</si>
  <si>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</si>
  <si>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</si>
  <si>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</si>
  <si>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</si>
  <si>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</si>
  <si>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</si>
  <si>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</si>
  <si>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</si>
  <si>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</si>
  <si>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</si>
  <si>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</si>
  <si>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</si>
  <si>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</si>
  <si>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</si>
  <si>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</si>
  <si>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</si>
  <si>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</si>
  <si>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</si>
  <si>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</si>
  <si>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</si>
  <si>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</si>
  <si>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</si>
  <si>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</si>
  <si>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</si>
  <si>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</si>
  <si>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</si>
  <si>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</si>
  <si>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</si>
  <si>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</si>
  <si>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</si>
  <si>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</si>
  <si>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</si>
  <si>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</si>
  <si>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</si>
  <si>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</si>
  <si>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</si>
  <si>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8mm</t>
  </si>
  <si>
    <t>Perfil em alumínio para acabamento de trilho superior - Vidro temperado 8mm</t>
  </si>
  <si>
    <t>Capa do Perfil Guia Inferior “Click” - Vidro temperado 8mm</t>
  </si>
  <si>
    <t>Perfil guia inferior de alumínio para porta de giro em vidro temperado 8mm</t>
  </si>
  <si>
    <t>Perfil guia inferior de alumínio para porta de correr em vidro temperado 8mm</t>
  </si>
  <si>
    <t>Trilho superior em alumínio 53,8mm x 49,6mm, para vidro temperado</t>
  </si>
  <si>
    <t>Perfil em alumínio, tipo U - 10,5 x 20mm - para box de vidro temperado 8mm</t>
  </si>
  <si>
    <t>Perfil em alumínio , tipo U –  14 x 20mm - para box de vidro temperado 8mm</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</si>
  <si>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</si>
  <si>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</si>
  <si>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</si>
  <si>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</si>
  <si>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</si>
  <si>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</si>
  <si>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</si>
  <si>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</si>
  <si>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</si>
  <si>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</si>
  <si>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</si>
  <si>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</si>
  <si>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</si>
  <si>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</si>
  <si>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</si>
  <si>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</si>
  <si>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</si>
  <si>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Cerâmica 30x60cm - Glacier White - Portobello – Linha Residencial</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</si>
  <si>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</si>
  <si>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</si>
  <si>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</si>
  <si>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</si>
  <si>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</si>
  <si>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</si>
  <si>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Tubo CPVC soldável 22mm – Linha Residencial</t>
  </si>
  <si>
    <t>Tubo CPVC soldável 28mm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</si>
  <si>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</si>
  <si>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</si>
  <si>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</si>
  <si>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</si>
  <si>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</si>
  <si>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</si>
  <si>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</si>
  <si>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</si>
  <si>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</si>
  <si>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</si>
  <si>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</si>
  <si>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</si>
  <si>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</si>
  <si>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</si>
  <si>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</si>
  <si>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</si>
  <si>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</si>
  <si>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ARGAMASSA COLANTE TIPO AC III E</t>
  </si>
  <si>
    <t>BLOCO DE CONCRETO ESTRUTURAL 14 X 19 X 34 CM, FBK 4,5 MPA (NBR 6136)</t>
  </si>
  <si>
    <t>BLOCO DE CONCRETO ESTRUTURAL 14 X 19 X 39 CM, FBK 4,5 MPA (NBR 6136)</t>
  </si>
  <si>
    <t>BLOCO DE CONCRETO ESTRUTURAL 19 X 19 X 39 CM, FBK 4,5 MPA (NBR 6136)</t>
  </si>
  <si>
    <t>CANALETA DE CONCRETO ESTRUTURAL 14 X 19 X 39 CM, FBK 4,5 MPA (NBR 6136)</t>
  </si>
  <si>
    <t>CANALETA DE CONCRETO 19 X 19 X 19 CM (CLASSE C - NBR 6136)</t>
  </si>
  <si>
    <t>MEIO BLOCO DE CONCRETO ESTRUTURAL 14 X 19 X 19 CM, FBK 4,5 MPA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</si>
  <si>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</si>
  <si>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</si>
  <si>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</si>
  <si>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</si>
  <si>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</si>
  <si>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</si>
  <si>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</si>
  <si>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</si>
  <si>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</si>
  <si>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</si>
  <si>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</si>
  <si>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</si>
  <si>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</si>
  <si>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</si>
  <si>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</si>
  <si>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</si>
  <si>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</si>
  <si>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</si>
  <si>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</si>
  <si>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</si>
  <si>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</si>
  <si>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</si>
  <si>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</si>
  <si>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</si>
  <si>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</si>
  <si>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</si>
  <si>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</si>
  <si>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Folha de porta em madeira 2,10x0,60m, pintada</t>
  </si>
  <si>
    <t>Folha de porta em madeira 2,10x0,70m, pintada</t>
  </si>
  <si>
    <t>Folha de porta em madeira 2,10x0,80m, pintada</t>
  </si>
  <si>
    <t>Folha de porta em madeira 2,10x0,90m, pintada</t>
  </si>
  <si>
    <t>Folha de porta em madeira 2,10x1,0m, pintada</t>
  </si>
  <si>
    <t>Folha de porta em madeira e MDF 2,10x0,60m</t>
  </si>
  <si>
    <t>Folha de porta em madeira e MDF 2,10x0,70m</t>
  </si>
  <si>
    <t>Folha de porta em madeira e MDF 2,10x0,80m</t>
  </si>
  <si>
    <t>Folha de porta em madeira e MDF 2,10x0,90m</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</si>
  <si>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</si>
  <si>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</si>
  <si>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</si>
  <si>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</si>
  <si>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</si>
  <si>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</si>
  <si>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</si>
  <si>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</si>
  <si>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</si>
  <si>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</si>
  <si>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</si>
  <si>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</si>
  <si>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</si>
  <si>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</si>
  <si>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</si>
  <si>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</si>
  <si>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</si>
  <si>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</si>
  <si>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</si>
  <si>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</si>
  <si>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</si>
  <si>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</si>
  <si>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</si>
  <si>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</si>
  <si>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</si>
  <si>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</si>
  <si>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</si>
  <si>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</si>
  <si>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</si>
  <si>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</si>
  <si>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</si>
  <si>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</si>
  <si>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</si>
  <si>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</si>
  <si>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</si>
  <si>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</si>
  <si>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</si>
  <si>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</si>
  <si>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</si>
  <si>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</si>
  <si>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</si>
  <si>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</si>
  <si>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</si>
  <si>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</si>
  <si>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</si>
  <si>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</si>
  <si>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</si>
  <si>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</si>
  <si>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</si>
  <si>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</si>
  <si>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</si>
  <si>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</si>
  <si>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</si>
  <si>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</si>
  <si>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</si>
  <si>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</si>
  <si>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</si>
  <si>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</si>
  <si>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</si>
  <si>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</si>
  <si>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</si>
  <si>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</si>
  <si>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</si>
  <si>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</si>
  <si>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</si>
  <si>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</si>
  <si>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</si>
  <si>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</si>
  <si>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</si>
  <si>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</si>
  <si>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</si>
  <si>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</si>
  <si>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</si>
  <si>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</si>
  <si>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</si>
  <si>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</si>
  <si>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</si>
  <si>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</si>
  <si>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</si>
  <si>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</si>
  <si>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</si>
  <si>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</si>
  <si>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</si>
  <si>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</si>
  <si>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</si>
  <si>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</si>
  <si>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</si>
  <si>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</si>
  <si>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</si>
  <si>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</si>
  <si>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</si>
  <si>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</si>
  <si>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</si>
  <si>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</si>
  <si>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</si>
  <si>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</si>
  <si>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</si>
  <si>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</si>
  <si>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</si>
  <si>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</si>
  <si>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</si>
  <si>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</si>
  <si>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</si>
  <si>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</si>
  <si>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</si>
  <si>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</si>
  <si>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</si>
  <si>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Caixa de passagem em alumínio 300x300x120mm</t>
  </si>
  <si>
    <t>SF-01334</t>
  </si>
  <si>
    <t>Caixa de Passagem Subterrânea 1600x2000mm</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</si>
  <si>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</si>
  <si>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</si>
  <si>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</si>
  <si>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</si>
  <si>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</si>
  <si>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</si>
  <si>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</si>
  <si>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</si>
  <si>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</si>
  <si>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</si>
  <si>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</si>
  <si>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</si>
  <si>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</si>
  <si>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</si>
  <si>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</si>
  <si>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</si>
  <si>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</si>
  <si>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</si>
  <si>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</si>
  <si>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</si>
  <si>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</si>
  <si>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</si>
  <si>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</si>
  <si>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</si>
  <si>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</si>
  <si>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</si>
  <si>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</si>
  <si>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</si>
  <si>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</si>
  <si>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</si>
  <si>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</si>
  <si>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</si>
  <si>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</si>
  <si>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BARRA DE FERRO CHATA, RETANGULAR (QUALQUER BITOLA)</t>
  </si>
  <si>
    <t>CAIBRO 5 X 5 CM EM PINUS, MISTA OU EQUIVALENTE DA REGIAO - BRUTA</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</si>
  <si>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</si>
  <si>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</si>
  <si>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</si>
  <si>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</si>
  <si>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</si>
  <si>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</si>
  <si>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</si>
  <si>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</si>
  <si>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</si>
  <si>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23*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</si>
  <si>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</si>
  <si>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</si>
  <si>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</si>
  <si>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</si>
  <si>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</si>
  <si>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</si>
  <si>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</si>
  <si>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</si>
  <si>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</si>
  <si>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</si>
  <si>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Elaboração de Projeto Executivo de Subestação Elétrica em Poste</t>
  </si>
  <si>
    <t>PREÇO TOTAL</t>
  </si>
  <si>
    <t>SF-01380</t>
  </si>
  <si>
    <t>Relatório técnico de qualidade do ar</t>
  </si>
  <si>
    <t>SF-01379</t>
  </si>
  <si>
    <t>Detector de fumaça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</si>
  <si>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</si>
  <si>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</si>
  <si>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</si>
  <si>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</si>
  <si>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</si>
  <si>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</si>
  <si>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</si>
  <si>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</si>
  <si>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</si>
  <si>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</si>
  <si>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</si>
  <si>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</si>
  <si>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</si>
  <si>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</si>
  <si>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</si>
  <si>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</si>
  <si>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</si>
  <si>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</si>
  <si>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</si>
  <si>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</si>
  <si>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</si>
  <si>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</si>
  <si>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</si>
  <si>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</si>
  <si>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</si>
  <si>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</si>
  <si>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</si>
  <si>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REDUCAO EXCENTRICA PVC, SERIE R, DN 150 X 100 MM, PARA ESGOTO OU AGUAS PLUVIAIS PREDIAIS</t>
  </si>
  <si>
    <t>TABUA NAO APARELHADA *2,5 X 30* CM, EM MACARANDUBA, ANGELIM OU EQUIVALENTE DA REGIAO - BRUTA</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</si>
  <si>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</si>
  <si>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</si>
  <si>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</si>
  <si>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</si>
  <si>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</si>
  <si>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MARTELO DEMOLIDOR ELÉTRICO, COM POTÊNCIA DE 2.000 W, 1.000 IMPACTOS POR MINUTO, PESO DE 30 KG - CHP DIURNO. AF_01/2021</t>
  </si>
  <si>
    <t>MARTELO DEMOLIDOR ELÉTRICO, COM POTÊNCIA DE 2.000 W, 1.000 IMPACTOS POR MINUTO, PESO DE 30 KG -  CHI DIURNO. AF_01/2021</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</si>
  <si>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</si>
  <si>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</si>
  <si>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</si>
  <si>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</si>
  <si>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</si>
  <si>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</si>
  <si>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</si>
  <si>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</si>
  <si>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</si>
  <si>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</si>
  <si>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</si>
  <si>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</si>
  <si>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</si>
  <si>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</si>
  <si>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</si>
  <si>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</si>
  <si>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</si>
  <si>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</si>
  <si>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</si>
  <si>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</si>
  <si>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</si>
  <si>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</si>
  <si>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</si>
  <si>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</si>
  <si>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</si>
  <si>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</si>
  <si>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</si>
  <si>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</si>
  <si>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</si>
  <si>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</si>
  <si>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</si>
  <si>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</si>
  <si>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</si>
  <si>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</si>
  <si>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 de fibra óptica multimodo 12 fibras</t>
  </si>
  <si>
    <t>Cabos de cobre para comunicação CANbus</t>
  </si>
  <si>
    <t>Cabos de cobre para comunicação padrão RS-485</t>
  </si>
  <si>
    <t>Condulete de alumínio de 2”</t>
  </si>
  <si>
    <t>Cabo de potência, 8,7 kV/15 kV, 95 mm²</t>
  </si>
  <si>
    <t>Cabo de potência, 8,7 kV/15 kV, 240 mm²</t>
  </si>
  <si>
    <t>Distribuidor Interno Óptico Industrial – fornecimento e instalação</t>
  </si>
  <si>
    <t>Eletroduto PEAD 5”</t>
  </si>
  <si>
    <t>Grupo motor-gerador 500 kVA</t>
  </si>
  <si>
    <t>Interruptor duplo para condulete</t>
  </si>
  <si>
    <t>Leito 400x100 mm</t>
  </si>
  <si>
    <t>Leito 600x100 mm</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</si>
  <si>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</si>
  <si>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</si>
  <si>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</si>
  <si>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</si>
  <si>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</si>
  <si>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</si>
  <si>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</si>
  <si>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</si>
  <si>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</si>
  <si>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Caixa de Passagem Subterrânea 300x300x500mm</t>
  </si>
  <si>
    <t>Quadro de transferência automática - QTA</t>
  </si>
  <si>
    <t>Quadro de transferência automática para sistemas auxiliares – QTA-GER</t>
  </si>
  <si>
    <t>Caixa de Passagem Subterrânea 600x600x800mm</t>
  </si>
  <si>
    <t>Sistema de energia ininterrupta</t>
  </si>
  <si>
    <t>Kit terminal para cabo de potência, 8,7 kV/15 kV, 95 mm²</t>
  </si>
  <si>
    <t>Kit terminal para cabo de potência, 8,7 kV/15 kV, 240 mm²</t>
  </si>
  <si>
    <t>Tomada para condulete (20 A)</t>
  </si>
  <si>
    <t>Transformador a seco 2000 kVA</t>
  </si>
  <si>
    <t>Cabo de cobre nu 50 mm²</t>
  </si>
  <si>
    <t>Eletrocentro</t>
  </si>
  <si>
    <t>Haste de aterramento 3/4” x 3 m</t>
  </si>
  <si>
    <t>Leito 800x100 mm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</si>
  <si>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</si>
  <si>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</si>
  <si>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</si>
  <si>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</si>
  <si>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</si>
  <si>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</si>
  <si>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</si>
  <si>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</si>
  <si>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</si>
  <si>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</si>
  <si>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</si>
  <si>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</si>
  <si>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</si>
  <si>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</si>
  <si>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</si>
  <si>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</si>
  <si>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</si>
  <si>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</si>
  <si>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</si>
  <si>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</si>
  <si>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</si>
  <si>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</si>
  <si>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</si>
  <si>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</si>
  <si>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</si>
  <si>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</si>
  <si>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</si>
  <si>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</si>
  <si>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</si>
  <si>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</si>
  <si>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</si>
  <si>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</si>
  <si>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</si>
  <si>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</si>
  <si>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</si>
  <si>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</si>
  <si>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</si>
  <si>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</si>
  <si>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</si>
  <si>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</si>
  <si>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</si>
  <si>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</si>
  <si>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</si>
  <si>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</si>
  <si>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</si>
  <si>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</si>
  <si>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</si>
  <si>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Trilho DIN 35mm</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</si>
  <si>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</si>
  <si>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</si>
  <si>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</si>
  <si>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</si>
  <si>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</si>
  <si>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</si>
  <si>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</si>
  <si>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</si>
  <si>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</si>
  <si>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</si>
  <si>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Spira-duto 1/8</t>
  </si>
  <si>
    <t>Spira-duto 1/4</t>
  </si>
  <si>
    <t>Spira-duto 1/2</t>
  </si>
  <si>
    <t>Spira-duto 3/4</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</si>
  <si>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</si>
  <si>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</si>
  <si>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</si>
  <si>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</si>
  <si>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</si>
  <si>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</si>
  <si>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</si>
  <si>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</si>
  <si>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</si>
  <si>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</si>
  <si>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</si>
  <si>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</si>
  <si>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</si>
  <si>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</si>
  <si>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</si>
  <si>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</si>
  <si>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</si>
  <si>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</si>
  <si>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</si>
  <si>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</si>
  <si>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</si>
  <si>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</si>
  <si>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</si>
  <si>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</si>
  <si>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</si>
  <si>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</si>
  <si>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</si>
  <si>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</si>
  <si>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</si>
  <si>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</si>
  <si>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</si>
  <si>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</si>
  <si>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</si>
  <si>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</si>
  <si>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</si>
  <si>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</si>
  <si>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</si>
  <si>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</si>
  <si>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</si>
  <si>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</si>
  <si>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</si>
  <si>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</si>
  <si>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</si>
  <si>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Ventoinha 120mm</t>
  </si>
  <si>
    <t>Perfil de aço</t>
  </si>
  <si>
    <t>Espuma expansiva corta-fogo</t>
  </si>
  <si>
    <t>Cantoneira</t>
  </si>
  <si>
    <t>Janela de inspeção termográfica 2 polegadas</t>
  </si>
  <si>
    <t>Janela de inspeção termográfica 3 polegadas</t>
  </si>
  <si>
    <t>Janela de inspeção termográfica 4 polegadas</t>
  </si>
  <si>
    <t>Pino-bola para ponto de aterramento temporário</t>
  </si>
  <si>
    <t>Luminária para quadros elétricos</t>
  </si>
  <si>
    <t>Canaleta em alumínio 73mm x 25mm</t>
  </si>
  <si>
    <t>Curva para canaleta em alumínio 73mm x 25mm</t>
  </si>
  <si>
    <t>Porta equipamentos para canaleta de alumínio</t>
  </si>
  <si>
    <t>Adaptador de eletroduto para canaleta em alumínio 73mm x 25mm</t>
  </si>
  <si>
    <t>Tampa terminal para canaleta em alumínio 73mm x 25mm</t>
  </si>
  <si>
    <t>Derivação tipo X para canaleta em alumínio 73mm x 25mm</t>
  </si>
  <si>
    <t>Canaleta em alumínio 53mm x 14mm</t>
  </si>
  <si>
    <t>Curva para canaleta em alumínio 53mm x 14mm</t>
  </si>
  <si>
    <t>Tampa terminal para canaleta em alumínio 53mm x 14mm</t>
  </si>
  <si>
    <t>Adaptador de porta equipamentos para canaleta em alumínio 53mm x 14mm</t>
  </si>
  <si>
    <t>Canaleta em PVC 20mm x 12 mm</t>
  </si>
  <si>
    <t>Acessório para canaleta em PVC 20mm x 12 mm</t>
  </si>
  <si>
    <t>Caixa de sobrepor para canaleta em PVC 20mm x 12 mm</t>
  </si>
  <si>
    <t>Tomada para canaleta em PVC 20mm x 12 mm</t>
  </si>
  <si>
    <t>Interruptor para canaleta em PVC 20mm x 12 mm</t>
  </si>
  <si>
    <t>Pulsador para canaleta em PVC 20mm x 12 mm</t>
  </si>
  <si>
    <t>Módulo cego para canaleta em PVC 20mm x 12 mm</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</si>
  <si>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</si>
  <si>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</si>
  <si>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</si>
  <si>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</si>
  <si>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</si>
  <si>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</si>
  <si>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</si>
  <si>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</si>
  <si>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</si>
  <si>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</si>
  <si>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</si>
  <si>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</si>
  <si>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</si>
  <si>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</si>
  <si>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</si>
  <si>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</si>
  <si>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</si>
  <si>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</si>
  <si>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</si>
  <si>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Gateway Modbus Ethernet/RS485</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</si>
  <si>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</si>
  <si>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</si>
  <si>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</si>
  <si>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</si>
  <si>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</si>
  <si>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</si>
  <si>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</si>
  <si>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</si>
  <si>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</si>
  <si>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</si>
  <si>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</si>
  <si>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</si>
  <si>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</si>
  <si>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</si>
  <si>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</si>
  <si>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</si>
  <si>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</si>
  <si>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</si>
  <si>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</si>
  <si>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</si>
  <si>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</si>
  <si>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</si>
  <si>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</si>
  <si>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</si>
  <si>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</si>
  <si>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</si>
  <si>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</si>
  <si>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</si>
  <si>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</si>
  <si>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</si>
  <si>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</si>
  <si>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</si>
  <si>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</si>
  <si>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</si>
  <si>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</si>
  <si>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</si>
  <si>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</si>
  <si>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</si>
  <si>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</si>
  <si>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</si>
  <si>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</si>
  <si>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</si>
  <si>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</si>
  <si>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</si>
  <si>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</si>
  <si>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</si>
  <si>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</si>
  <si>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</si>
  <si>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</si>
  <si>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</si>
  <si>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</si>
  <si>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</si>
  <si>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</si>
  <si>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</si>
  <si>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</si>
  <si>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</si>
  <si>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</si>
  <si>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</si>
  <si>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3x1,5 mm²</t>
  </si>
  <si>
    <t>Cabo 3x2,5 mm²</t>
  </si>
  <si>
    <t>Cabo 3x4 mm²</t>
  </si>
  <si>
    <t>Cabo 3x6 mm²</t>
  </si>
  <si>
    <t>Cabo PP 2x1 mm²</t>
  </si>
  <si>
    <t>Cabo PP 2x1,5 mm²</t>
  </si>
  <si>
    <t>Cabo PP 2x2,5 mm²</t>
  </si>
  <si>
    <t>Cabo PP 3x1 mm²</t>
  </si>
  <si>
    <t>Cabo PP 3x1,5 mm²</t>
  </si>
  <si>
    <t>Cabo PP 3x2,5 mm²</t>
  </si>
  <si>
    <t>Cabo Blindado 2x0,75mm²</t>
  </si>
  <si>
    <t>Cabo Blindado 2x1mm²</t>
  </si>
  <si>
    <t>Cabo Blindado 2x1,5mm²</t>
  </si>
  <si>
    <t>Cabo Blindado 2x2,5mm²</t>
  </si>
  <si>
    <t>Cabo Blindado 2x4mm²</t>
  </si>
  <si>
    <t>Cabo Blindado 3x0,75mm²</t>
  </si>
  <si>
    <t>Cabo Blindado 3x1,50mm²</t>
  </si>
  <si>
    <t>Cabo Blindado 3x2,50mm²</t>
  </si>
  <si>
    <t>Cabo 4x1 mm²</t>
  </si>
  <si>
    <t>Cabo 5x1 mm²</t>
  </si>
  <si>
    <t>Cabo 7x1 mm²</t>
  </si>
  <si>
    <t>Mufla de média tensão</t>
  </si>
  <si>
    <t>Contator auxiliar AC</t>
  </si>
  <si>
    <t>Contator auxiliar DC</t>
  </si>
  <si>
    <t>Minicontator 12A AC</t>
  </si>
  <si>
    <t>Minicontator 12A DC</t>
  </si>
  <si>
    <t>Minicontator 16A AC</t>
  </si>
  <si>
    <t>Minicontator 16A DC</t>
  </si>
  <si>
    <t>Contator 18A</t>
  </si>
  <si>
    <t>Contator 25A</t>
  </si>
  <si>
    <t>Contator 32A</t>
  </si>
  <si>
    <t>Contator 40A</t>
  </si>
  <si>
    <t>Contator 50A</t>
  </si>
  <si>
    <t>Contator 65A</t>
  </si>
  <si>
    <t>Contator 80A</t>
  </si>
  <si>
    <t>Contator Especial 18A</t>
  </si>
  <si>
    <t>Contator Especial 25A</t>
  </si>
  <si>
    <t>Contator Especial 30A</t>
  </si>
  <si>
    <t>Contator Especial 38A</t>
  </si>
  <si>
    <t>Contator Especial 50A</t>
  </si>
  <si>
    <t>Contator Especial 65A</t>
  </si>
  <si>
    <t>Contator Especial 150A</t>
  </si>
  <si>
    <t>Contator Especial 250A</t>
  </si>
  <si>
    <t>Bloco de contato auxiliar simples</t>
  </si>
  <si>
    <t>Bloco de contato auxiliar duplo</t>
  </si>
  <si>
    <t>Bloco de contato auxiliar quádruplo</t>
  </si>
  <si>
    <t>Relé de sobrecarga para contator até 25A</t>
  </si>
  <si>
    <t>Relé de sobrecarga para contator até 40A</t>
  </si>
  <si>
    <t>Relé de sobrecarga para contator até 80A</t>
  </si>
  <si>
    <t>Capacitor 2,5 kVAr</t>
  </si>
  <si>
    <t>Capacitor 5 kVAr</t>
  </si>
  <si>
    <t>Capacitor 10 kVAr</t>
  </si>
  <si>
    <t>Capacitor 15 kVAr</t>
  </si>
  <si>
    <t>Capacitor 20 kVAr</t>
  </si>
  <si>
    <t>Capacitor 25 kVAr</t>
  </si>
  <si>
    <t>Capacitor 30 kVAr</t>
  </si>
  <si>
    <t>Contator para capacitor 22A</t>
  </si>
  <si>
    <t>Contator para capacitor 30A</t>
  </si>
  <si>
    <t>Contator para capacitor 40A</t>
  </si>
  <si>
    <t>Contator para capacitor 60A</t>
  </si>
  <si>
    <t>Controlador de fator de potência</t>
  </si>
  <si>
    <t>Disjuntor monopolar trilho DIN até 4A</t>
  </si>
  <si>
    <t>Disjuntor monopolar trilho DIN até 6A</t>
  </si>
  <si>
    <t>Disjuntor monopolar trilho DIN até 32A</t>
  </si>
  <si>
    <t>Disjuntor monopolar trilho DIN até 63A</t>
  </si>
  <si>
    <t>Disjuntor bipolar trilho DIN até 4A</t>
  </si>
  <si>
    <t>Disjuntor bipolar trilho DIN até 6A</t>
  </si>
  <si>
    <t>Disjuntor bipolar trilho DIN até 32A</t>
  </si>
  <si>
    <t>Disjuntor tripolar trilho DIN até 4A</t>
  </si>
  <si>
    <t>Disjuntor tripolar trilho DIN até 6A</t>
  </si>
  <si>
    <t>Disjuntor tripolar trilho DIN até 50A</t>
  </si>
  <si>
    <t>Disjuntor tripolar trilho DIN até 63A</t>
  </si>
  <si>
    <t>Disjuntor tripolar trilho DIN até 70A</t>
  </si>
  <si>
    <t>Disjuntor tripolar trilho DIN até 100A</t>
  </si>
  <si>
    <t>Disjuntor monopolar trilho DIN até 6A, 10 kA</t>
  </si>
  <si>
    <t>Disjuntor monopolar trilho DIN até 32A, 10 kA</t>
  </si>
  <si>
    <t>Disjuntor monopolar trilho DIN até 63A, 10 kA</t>
  </si>
  <si>
    <t>Disjuntor bipolar trilho DIN até 6A, 10 kA</t>
  </si>
  <si>
    <t>Disjuntor bipolar trilho DIN até 32A, 10 kA</t>
  </si>
  <si>
    <t>Disjuntor tripolar trilho DIN até 6A, 10kA</t>
  </si>
  <si>
    <t>Disjuntor tripolar trilho DIN até 32A, 10kA</t>
  </si>
  <si>
    <t>Disjuntor tripolar trilho DIN até 63A, 10kA</t>
  </si>
  <si>
    <t>Interruptor diferencial residual bipolar de 25A</t>
  </si>
  <si>
    <t>Interruptor diferencial residual bipolar de 40A</t>
  </si>
  <si>
    <t>Interruptor diferencial residual tetrapolar de 25A</t>
  </si>
  <si>
    <t>Interruptor diferencial residual tetrapolar de 40A</t>
  </si>
  <si>
    <t>Interruptor diferencial residual tetrapolar de 63A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</si>
  <si>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</si>
  <si>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</si>
  <si>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</si>
  <si>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</si>
  <si>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</si>
  <si>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</si>
  <si>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Disjuntor de caixa moldada de 100A / 18kA</t>
  </si>
  <si>
    <t>Disjuntor de caixa moldada de 100A / 36kA</t>
  </si>
  <si>
    <t>Disjuntor de caixa moldada de 100A / 50kA</t>
  </si>
  <si>
    <t>Disjuntor de caixa moldada de 100A / 70kA</t>
  </si>
  <si>
    <t>Disjuntor de caixa moldada de 160A / 18kA</t>
  </si>
  <si>
    <t>Disjuntor de caixa moldada de 160A / 36kA</t>
  </si>
  <si>
    <t>Disjuntor de caixa moldada de 160A / 50kA</t>
  </si>
  <si>
    <t>Disjuntor de caixa moldada de 160A / 70kA</t>
  </si>
  <si>
    <t>Disjuntor de caixa moldada de 250A / 25kA</t>
  </si>
  <si>
    <t>Disjuntor de caixa moldada de 250A / 36kA</t>
  </si>
  <si>
    <t>Disjuntor de caixa moldada de 250A / 50kA</t>
  </si>
  <si>
    <t>Disjuntor de caixa moldada de 250A / 70kA</t>
  </si>
  <si>
    <t>Disjuntor de caixa moldada de 250A / 100kA</t>
  </si>
  <si>
    <t>Disjuntor de caixa moldada de 400A / 36kA</t>
  </si>
  <si>
    <t>Disjuntor de caixa moldada de 400A / 50kA</t>
  </si>
  <si>
    <t>Disjuntor de caixa moldada de 400A / 70kA</t>
  </si>
  <si>
    <t>Disjuntor de caixa moldada de 400A / 100kA</t>
  </si>
  <si>
    <t>Disjuntor de caixa moldada de 630A / 36kA</t>
  </si>
  <si>
    <t>Disjuntor de caixa moldada de 630A / 50kA</t>
  </si>
  <si>
    <t>Disjuntor de caixa moldada de 630A / 70kA</t>
  </si>
  <si>
    <t>Disjuntor de caixa moldada de 630A / 100kA</t>
  </si>
  <si>
    <t>Disjuntor de caixa moldada de 800A / 36kA</t>
  </si>
  <si>
    <t>Disjuntor de caixa moldada de 800A / 50kA</t>
  </si>
  <si>
    <t>Disjuntor de caixa moldada de 800A / 70kA</t>
  </si>
  <si>
    <t>Disjuntor de caixa moldada de 800A / 100kA</t>
  </si>
  <si>
    <t>Disjuntor de caixa aberta de 630A / 50kA</t>
  </si>
  <si>
    <t>Disjuntor de caixa aberta de 800A / 65kA</t>
  </si>
  <si>
    <t>Disjuntor de caixa aberta de 800A / 100kA</t>
  </si>
  <si>
    <t>Disjuntor de caixa aberta de 1000A / 65kA</t>
  </si>
  <si>
    <t>Disjuntor de caixa aberta de 1000A / 100kA</t>
  </si>
  <si>
    <t>Disjuntor de caixa aberta de 1250A / 65kA</t>
  </si>
  <si>
    <t>Disjuntor de caixa aberta de 1250A / 100kA</t>
  </si>
  <si>
    <t>Disjuntor de caixa aberta de 1600A / 65kA</t>
  </si>
  <si>
    <t>Disjuntor de caixa aberta de 1600A / 100kA</t>
  </si>
  <si>
    <t>Disjuntor motor até 25A</t>
  </si>
  <si>
    <t>Disjuntor motor até 40A</t>
  </si>
  <si>
    <t>Eletrocalha 150x50 mm</t>
  </si>
  <si>
    <t>Eletrocalha 400x100 mm</t>
  </si>
  <si>
    <t>Eletrocalha 500x100 mm</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</si>
  <si>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</si>
  <si>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</si>
  <si>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</si>
  <si>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</si>
  <si>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</si>
  <si>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</si>
  <si>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</si>
  <si>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</si>
  <si>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</si>
  <si>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</si>
  <si>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</si>
  <si>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</si>
  <si>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Curva horizontal 90 graus para eletrocalha 50x50 mm</t>
  </si>
  <si>
    <t>Curva vertical 90 graus para eletrocalha 50x50 mm</t>
  </si>
  <si>
    <t>Tê horizontal 90 graus para eletrocalha 50x50 mm</t>
  </si>
  <si>
    <t>Suspensão ômega para eletrocalha 50x50 mm</t>
  </si>
  <si>
    <t>Junção integral (emenda) para eletrocalha_x000D_
 50x50 mm</t>
  </si>
  <si>
    <t>Curva horizontal 90 graus para eletrocalha 100x50 mm</t>
  </si>
  <si>
    <t>Curva vertical 90 graus para eletrocalha 100x50 mm</t>
  </si>
  <si>
    <t>Tê horizontal 90 graus para eletrocalha 100x50 mm</t>
  </si>
  <si>
    <t>Suspensão ômega para eletrocalha 100x50 mm</t>
  </si>
  <si>
    <t>Junção integral (emenda) para eletrocalha 100x50 mm</t>
  </si>
  <si>
    <t>Curva horizontal 90 graus para eletrocalha 150x50 mm</t>
  </si>
  <si>
    <t>Curva vertical 90 graus para eletrocalha 150x50 mm</t>
  </si>
  <si>
    <t>Tê horizontal 90 graus para eletrocalha 150x50 mm</t>
  </si>
  <si>
    <t>Suspensão ômega para eletrocalha 150x50 mm</t>
  </si>
  <si>
    <t>Junção integral (emenda) para eletrocalha_x000D_
 150x50 mm</t>
  </si>
  <si>
    <t>Curva horizontal 90 graus para eletrocalha 200x50 mm</t>
  </si>
  <si>
    <t>Curva vertical 90 graus para eletrocalha 200x50 mm</t>
  </si>
  <si>
    <t>Tê horizontal 90 graus para eletrocalha 200x50 mm</t>
  </si>
  <si>
    <t>Suspensão ômega para eletrocalha 200x50 mm</t>
  </si>
  <si>
    <t>Junção integral (emenda) para eletrocalha 200x50 mm</t>
  </si>
  <si>
    <t>Curva horizontal 90 graus para eletrocalha 200x100 mm</t>
  </si>
  <si>
    <t>Curva vertical 90 graus para eletrocalha 200x100 mm</t>
  </si>
  <si>
    <t>Tê horizontal 90 graus para eletrocalha 200x100 mm</t>
  </si>
  <si>
    <t>Suspensão ômega para eletrocalha 200x100 mm</t>
  </si>
  <si>
    <t>Junção integral (emenda) para eletrocalha 200x100 mm</t>
  </si>
  <si>
    <t>Curva horizontal 90 graus para eletrocalha 300x50 mm</t>
  </si>
  <si>
    <t>Curva vertical 90 graus para eletrocalha 300x50 mm</t>
  </si>
  <si>
    <t>Tê horizontal 90 graus para eletrocalha 300x50 mm</t>
  </si>
  <si>
    <t>Suspensão ômega para eletrocalha 300x50 mm</t>
  </si>
  <si>
    <t>Junção integral (emenda) para eletrocalha 300x50 mm</t>
  </si>
  <si>
    <t>Curva horizontal 90 graus para eletrocalha 300x100 mm</t>
  </si>
  <si>
    <t>Curva vertical 90 graus para eletrocalha 300x100 mm</t>
  </si>
  <si>
    <t>Tê horizontal 90 graus para eletrocalha 300x100 mm</t>
  </si>
  <si>
    <t>Suspensão ômega para eletrocalha 300x100 mm</t>
  </si>
  <si>
    <t>Junção integral (emenda) para eletrocalha 300x100 mm</t>
  </si>
  <si>
    <t>Curva horizontal 90 graus para eletrocalha 400x50 mm</t>
  </si>
  <si>
    <t>Curva vertical 90 graus para eletrocalha 400x50 mm</t>
  </si>
  <si>
    <t>Tê horizontal 90 graus para eletrocalha 400x50 mm</t>
  </si>
  <si>
    <t>Suspensão ômega para eletrocalha 400x50 mm</t>
  </si>
  <si>
    <t>Junção integral (emenda) para eletrocalha 400x50 mm</t>
  </si>
  <si>
    <t>Curva horizontal 90 graus para eletrocalha 400x100 mm</t>
  </si>
  <si>
    <t>Curva vertical 90 graus para eletrocalha 400x100 mm</t>
  </si>
  <si>
    <t>Tê horizontal 90 graus para eletrocalha 400x100 mm</t>
  </si>
  <si>
    <t>Suspensão ômega para eletrocalha 400x100 mm</t>
  </si>
  <si>
    <t>Junção integral (emenda) para eletrocalha 400x100 mm</t>
  </si>
  <si>
    <t>Curva horizontal 90 graus para eletrocalha 500x100 mm</t>
  </si>
  <si>
    <t>Curva vertical 90 graus para eletrocalha 500x100 mm</t>
  </si>
  <si>
    <t>Tê horizontal 90 graus para eletrocalha 500x100 mm</t>
  </si>
  <si>
    <t>Suspensão ômega para eletrocalha 500x100 mm</t>
  </si>
  <si>
    <t>Junção integral (emenda) para eletrocalha 500x100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</si>
  <si>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</si>
  <si>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</si>
  <si>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</si>
  <si>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</si>
  <si>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</si>
  <si>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</si>
  <si>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</si>
  <si>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</si>
  <si>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</si>
  <si>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</si>
  <si>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</si>
  <si>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</si>
  <si>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</si>
  <si>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</si>
  <si>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</si>
  <si>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</si>
  <si>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</si>
  <si>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</si>
  <si>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</si>
  <si>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</si>
  <si>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</si>
  <si>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</si>
  <si>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</si>
  <si>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</si>
  <si>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</si>
  <si>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</si>
  <si>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</si>
  <si>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</si>
  <si>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</si>
  <si>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</si>
  <si>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</si>
  <si>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</si>
  <si>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</si>
  <si>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</si>
  <si>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</si>
  <si>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</si>
  <si>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</si>
  <si>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</si>
  <si>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</si>
  <si>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</si>
  <si>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</si>
  <si>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</si>
  <si>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</si>
  <si>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</si>
  <si>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</si>
  <si>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</si>
  <si>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</si>
  <si>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</si>
  <si>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</si>
  <si>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</si>
  <si>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</si>
  <si>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</si>
  <si>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</si>
  <si>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</si>
  <si>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</si>
  <si>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</si>
  <si>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</si>
  <si>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</si>
  <si>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</si>
  <si>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</si>
  <si>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</si>
  <si>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</si>
  <si>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</si>
  <si>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</si>
  <si>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</si>
  <si>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</si>
  <si>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</si>
  <si>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</si>
  <si>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</si>
  <si>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</si>
  <si>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</si>
  <si>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</si>
  <si>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</si>
  <si>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</si>
  <si>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</si>
  <si>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</si>
  <si>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</si>
  <si>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</si>
  <si>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</si>
  <si>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</si>
  <si>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</si>
  <si>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</si>
  <si>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</si>
  <si>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</si>
  <si>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</si>
  <si>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</si>
  <si>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</si>
  <si>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</si>
  <si>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</si>
  <si>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</si>
  <si>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</si>
  <si>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</si>
  <si>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</si>
  <si>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</si>
  <si>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</si>
  <si>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</si>
  <si>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</si>
  <si>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Fonte industrial 15W</t>
  </si>
  <si>
    <t>Fonte industrial 35W</t>
  </si>
  <si>
    <t>Fonte industrial 60W</t>
  </si>
  <si>
    <t>Fonte industrial 120W</t>
  </si>
  <si>
    <t>Transformador de comando 100VA</t>
  </si>
  <si>
    <t>Transformador de comando 300VA</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</si>
  <si>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</si>
  <si>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</si>
  <si>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</si>
  <si>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</si>
  <si>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</si>
  <si>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</si>
  <si>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</si>
  <si>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</si>
  <si>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</si>
  <si>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</si>
  <si>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</si>
  <si>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</si>
  <si>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</si>
  <si>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</si>
  <si>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</si>
  <si>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</si>
  <si>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</si>
  <si>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</si>
  <si>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</si>
  <si>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</si>
  <si>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</si>
  <si>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</si>
  <si>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LED para poste 20W</t>
  </si>
  <si>
    <t>Luminária LED para poste 30W</t>
  </si>
  <si>
    <t>Luminária LED para poste 60W</t>
  </si>
  <si>
    <t>Luminária LED para poste 90W</t>
  </si>
  <si>
    <t>Luminária LED para poste 120W</t>
  </si>
  <si>
    <t>Luminária LED para poste 150W</t>
  </si>
  <si>
    <t>Luminária LED para poste 210W</t>
  </si>
  <si>
    <t>Luminária LED Wall Washer 36W</t>
  </si>
  <si>
    <t>Luminária LED Wall Washer 72W</t>
  </si>
  <si>
    <t>Luminária tipo balizador de solo</t>
  </si>
  <si>
    <t>Luminária para poste 70W</t>
  </si>
  <si>
    <t>Luminária para poste 250W</t>
  </si>
  <si>
    <t>Luminária para poste 400W</t>
  </si>
  <si>
    <t>Poste reto 3m</t>
  </si>
  <si>
    <t>Poste reto 5m</t>
  </si>
  <si>
    <t>Poste curvo simples 8m</t>
  </si>
  <si>
    <t>Poste curvo simples 12m</t>
  </si>
  <si>
    <t>Poste curvo duplo 8m</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</si>
  <si>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</si>
  <si>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</si>
  <si>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</si>
  <si>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</si>
  <si>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</si>
  <si>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</si>
  <si>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</si>
  <si>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</si>
  <si>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</si>
  <si>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</si>
  <si>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</si>
  <si>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</si>
  <si>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</si>
  <si>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</si>
  <si>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</si>
  <si>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</si>
  <si>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</si>
  <si>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</si>
  <si>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</si>
  <si>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</si>
  <si>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</si>
  <si>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</si>
  <si>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</si>
  <si>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Bulbo 6W</t>
  </si>
  <si>
    <t>Lâmpada LED Bulbo 8W</t>
  </si>
  <si>
    <t>Lâmpada LED Bulbo 9,5W</t>
  </si>
  <si>
    <t>Lâmpada LED Bulbo 12W</t>
  </si>
  <si>
    <t>Lâmpada LED 17W</t>
  </si>
  <si>
    <t>Lâmpada LED 30W</t>
  </si>
  <si>
    <t>Lâmpada LED 40W</t>
  </si>
  <si>
    <t>Lâmpada LED 65W</t>
  </si>
  <si>
    <t>Lâmpada LED 80W</t>
  </si>
  <si>
    <t>Lâmpada LED 100W</t>
  </si>
  <si>
    <t>Lâmpada LED 120W</t>
  </si>
  <si>
    <t>Lâmpada LED Tipo Vela</t>
  </si>
  <si>
    <t>Lâmpada LED Tipo Bolinha</t>
  </si>
  <si>
    <t>Lâmpada LED Tipo R 63</t>
  </si>
  <si>
    <t>Tubo LED T5 7,5W</t>
  </si>
  <si>
    <t>Tubo LED T5 15W</t>
  </si>
  <si>
    <t>Tubo LED T5 26W HO</t>
  </si>
  <si>
    <t>Tubo LED T8 9W</t>
  </si>
  <si>
    <t>Tubo LED T8 18W</t>
  </si>
  <si>
    <t>Tubo LED T8 18W HO</t>
  </si>
  <si>
    <t>Lâmpada fluorescente T5 14W</t>
  </si>
  <si>
    <t>Lâmpada fluorescente T5 28W</t>
  </si>
  <si>
    <t>Lâmpada fluorescente T8 16W</t>
  </si>
  <si>
    <t>Lâmpada fluorescente T8 32W</t>
  </si>
  <si>
    <t>Lâmpada PL 9W</t>
  </si>
  <si>
    <t>Lâmpada PL 26W</t>
  </si>
  <si>
    <t>Lâmpada PL 36W</t>
  </si>
  <si>
    <t>Lâmpada Vapor Metálico 70 W</t>
  </si>
  <si>
    <t>Lâmpada Vapor Metálico 150 W</t>
  </si>
  <si>
    <t>Lâmpada Vapor Metálico 250 W</t>
  </si>
  <si>
    <t>Lâmpada Vapor Metálico 400 W</t>
  </si>
  <si>
    <t>Lâmpada Vapor Metálico 2000 W</t>
  </si>
  <si>
    <t>Lâmpada Halógena 300W</t>
  </si>
  <si>
    <t>Luminária Plafon LED Slim 15 W</t>
  </si>
  <si>
    <t>Luminária Plafon LED Slim 24 W</t>
  </si>
  <si>
    <t>Luminária LED Downlight 14W</t>
  </si>
  <si>
    <t>Luminária LED Downlight 25W</t>
  </si>
  <si>
    <t>Luminária LED Downlight 35W</t>
  </si>
  <si>
    <t>Luminária Hermética 2x14W</t>
  </si>
  <si>
    <t>Luminária Hermética 1x28W</t>
  </si>
  <si>
    <t>Luminária Hermética 2x28W</t>
  </si>
  <si>
    <t>Luminária LED Highbay 60W</t>
  </si>
  <si>
    <t>Luminária LED Highbay 80W</t>
  </si>
  <si>
    <t>Luminária LED Highbay 120W</t>
  </si>
  <si>
    <t>Luminária LED Highbay 150W</t>
  </si>
  <si>
    <t>Luminária LED Highbay 200W</t>
  </si>
  <si>
    <t>Luminária LED Linear 8W</t>
  </si>
  <si>
    <t>Luminária LED Linear 14W</t>
  </si>
  <si>
    <t>Luminária LED Linear 20W</t>
  </si>
  <si>
    <t>Luminária LED Linear tipo calha 16W</t>
  </si>
  <si>
    <t>Luminária LED Linear tipo calha 32W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</si>
  <si>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</si>
  <si>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</si>
  <si>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</si>
  <si>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</si>
  <si>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</si>
  <si>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</si>
  <si>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</si>
  <si>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</si>
  <si>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</si>
  <si>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</si>
  <si>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</si>
  <si>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</si>
  <si>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</si>
  <si>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</si>
  <si>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</si>
  <si>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30W</t>
  </si>
  <si>
    <t>Driver para LED 60W</t>
  </si>
  <si>
    <t>Driver para LED 30W IP65</t>
  </si>
  <si>
    <t>Driver para LED 60W IP65</t>
  </si>
  <si>
    <t>Driver para LED 320W</t>
  </si>
  <si>
    <t>Driver para LED corrente constante 350 mA</t>
  </si>
  <si>
    <t>Driver para LED corrente constante 700 mA</t>
  </si>
  <si>
    <t>Reator para 1 lâmpada fluorescente T5</t>
  </si>
  <si>
    <t>Reator para 2 lâmpadas fluorescentes T5</t>
  </si>
  <si>
    <t>Reator para 1 lâmpada fluorescente T8 16W</t>
  </si>
  <si>
    <t>Reator para 2 lâmpadas fluorescentes T8 16W</t>
  </si>
  <si>
    <t>Reator para 1 lâmpada fluorescente T8 32W</t>
  </si>
  <si>
    <t>Reator para 2 lâmpadas fluorescentes T8 32W</t>
  </si>
  <si>
    <t>Reator para lâmpadas de descarga 70 W</t>
  </si>
  <si>
    <t>Reator para lâmpadas de descarga 150 W</t>
  </si>
  <si>
    <t>Reator para lâmpadas de descarga 250 W</t>
  </si>
  <si>
    <t>Reator para lâmpadas de descarga 400 W</t>
  </si>
  <si>
    <t>Reator para lâmpadas de descarga 2000 W</t>
  </si>
  <si>
    <t>Reator para lâmpada PL até 42W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</si>
  <si>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</si>
  <si>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</si>
  <si>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</si>
  <si>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</si>
  <si>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</si>
  <si>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</si>
  <si>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</si>
  <si>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</si>
  <si>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</si>
  <si>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</si>
  <si>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</si>
  <si>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</si>
  <si>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</si>
  <si>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</si>
  <si>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</si>
  <si>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</si>
  <si>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</si>
  <si>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</si>
  <si>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</si>
  <si>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</si>
  <si>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</si>
  <si>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</si>
  <si>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</si>
  <si>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</si>
  <si>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</si>
  <si>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Caixa de passagem em alumínio 150x150x100mm</t>
  </si>
  <si>
    <t>Caixa de passagem em alumínio 400x400x200mm</t>
  </si>
  <si>
    <t>Caixa de passagem em aço 400x400x150mm</t>
  </si>
  <si>
    <t>Caixa de passagem em PVC 200x200x85mm</t>
  </si>
  <si>
    <t>Abraçadeira tipo D para eletroduto</t>
  </si>
  <si>
    <t>Abraçadeira tipo copo para eletroduto</t>
  </si>
  <si>
    <t>Passa cabo para piso elevado</t>
  </si>
  <si>
    <t>Tampa unha simples metálica para caixas de piso 4x2</t>
  </si>
  <si>
    <t>Tampa unha simples metálica para caixas de piso 4x4</t>
  </si>
  <si>
    <t>Tampa unha dupla metálica para caixas de piso 4x4</t>
  </si>
  <si>
    <t>Caixa de piso 4x2</t>
  </si>
  <si>
    <t>Caixa de piso 4x4</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</si>
  <si>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</si>
  <si>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</si>
  <si>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</si>
  <si>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</si>
  <si>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</si>
  <si>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</si>
  <si>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</si>
  <si>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</si>
  <si>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Suporte para espelho 4x2</t>
  </si>
  <si>
    <t>Suporte para espelho 4x4</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</si>
  <si>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</si>
  <si>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</si>
  <si>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</si>
  <si>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</si>
  <si>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</si>
  <si>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</si>
  <si>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</si>
  <si>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</si>
  <si>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Tomada 10A para móveis</t>
  </si>
  <si>
    <t>Tomada 20A para móveis</t>
  </si>
  <si>
    <t>Módulo tomada 10A de encaixe</t>
  </si>
  <si>
    <t>Módulo tomada 20A de encaixe</t>
  </si>
  <si>
    <t>Módulo campainha</t>
  </si>
  <si>
    <t>Módulo dimmer</t>
  </si>
  <si>
    <t>Curva horizontal 90 graus para leito 400x100 mm</t>
  </si>
  <si>
    <t>Curva vertical 90 graus para leito 400x100 mm</t>
  </si>
  <si>
    <t>Tê horizontal 90 graus para leito 400x100 mm</t>
  </si>
  <si>
    <t>Curva horizontal 90 graus para leito 600x100 mm</t>
  </si>
  <si>
    <t>Curva vertical 90 graus para leito 600x100 mm</t>
  </si>
  <si>
    <t>Tê horizontal 90 graus para leito 600x100 mm</t>
  </si>
  <si>
    <t>Curva horizontal 90 graus para leito 800x100 mm</t>
  </si>
  <si>
    <t>Curva vertical 90 graus para leito 800x100 mm</t>
  </si>
  <si>
    <t>Tê horizontal 90 graus para leito 800x100 mm</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</si>
  <si>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</si>
  <si>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</si>
  <si>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</si>
  <si>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</si>
  <si>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</si>
  <si>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</si>
  <si>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</si>
  <si>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</si>
  <si>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</si>
  <si>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</si>
  <si>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</si>
  <si>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</si>
  <si>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</si>
  <si>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</si>
  <si>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</si>
  <si>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</si>
  <si>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</si>
  <si>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</si>
  <si>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</si>
  <si>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</si>
  <si>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</si>
  <si>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</si>
  <si>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</si>
  <si>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industrial 2500kg</t>
  </si>
  <si>
    <t>Conjunto motor de portão industrial 2200kg</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</si>
  <si>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</si>
  <si>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</si>
  <si>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</si>
  <si>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</si>
  <si>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</si>
  <si>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</si>
  <si>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</si>
  <si>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</si>
  <si>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</si>
  <si>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</si>
  <si>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</si>
  <si>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</si>
  <si>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</si>
  <si>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</si>
  <si>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</si>
  <si>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</si>
  <si>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</si>
  <si>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de comando plástico 300x200x130mm tampa opaca</t>
  </si>
  <si>
    <t>Quadro de comando plástico 300x200x130mm tampa transparente</t>
  </si>
  <si>
    <t>Quadro de comando plástico 300x300x150mm tampa opaca</t>
  </si>
  <si>
    <t>Quadro de comando plástico 300x300x150mm tampa transparente</t>
  </si>
  <si>
    <t>Quadro de comando plástico 450x300x200mm tampa opaca</t>
  </si>
  <si>
    <t>Quadro de comando plástico 450x300x200mm tampa transparente</t>
  </si>
  <si>
    <t>Caixa para montagem 210x185x160mm</t>
  </si>
  <si>
    <t>Quadro 200x200x120</t>
  </si>
  <si>
    <t>Quadro 400x300x200</t>
  </si>
  <si>
    <t>Quadro 400x400x250</t>
  </si>
  <si>
    <t>Quadro 600x400x250</t>
  </si>
  <si>
    <t>Quadro 600x600x250</t>
  </si>
  <si>
    <t>Quadro 800x600x250</t>
  </si>
  <si>
    <t>Quadro 1000x600x300</t>
  </si>
  <si>
    <t>Quadro 1200x800x300</t>
  </si>
  <si>
    <t>Quadro autoportante 1800x600x600</t>
  </si>
  <si>
    <t>Quadro autoportante 1800x800x600</t>
  </si>
  <si>
    <t>Quadro autoportante 2000x600x600</t>
  </si>
  <si>
    <t>Quadro autoportante 2000x800x800</t>
  </si>
  <si>
    <t>Quadro termoplástico para 12 disjuntores</t>
  </si>
  <si>
    <t>Quadro termoplástico para 24 disjuntores</t>
  </si>
  <si>
    <t>Quadro termoplástico para 36 disjuntores</t>
  </si>
  <si>
    <t>Caixa de passagem 80x80x45mm</t>
  </si>
  <si>
    <t>Caixa de passagem 100x100x55mm</t>
  </si>
  <si>
    <t>Caixa de passagem 150x110x70mm</t>
  </si>
  <si>
    <t>Caixa de passagem 170x145x90mm</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</si>
  <si>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</si>
  <si>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</si>
  <si>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</si>
  <si>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</si>
  <si>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</si>
  <si>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</si>
  <si>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</si>
  <si>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</si>
  <si>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</si>
  <si>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</si>
  <si>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</si>
  <si>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</si>
  <si>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</si>
  <si>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</si>
  <si>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</si>
  <si>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</si>
  <si>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</si>
  <si>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</si>
  <si>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</si>
  <si>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</si>
  <si>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</si>
  <si>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</si>
  <si>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</si>
  <si>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</si>
  <si>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</si>
  <si>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</si>
  <si>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</si>
  <si>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</si>
  <si>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</si>
  <si>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</si>
  <si>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</si>
  <si>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</si>
  <si>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</si>
  <si>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</si>
  <si>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</si>
  <si>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</si>
  <si>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</si>
  <si>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</si>
  <si>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</si>
  <si>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</si>
  <si>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</si>
  <si>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</si>
  <si>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</si>
  <si>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</si>
  <si>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</si>
  <si>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</si>
  <si>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</si>
  <si>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</si>
  <si>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</si>
  <si>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</si>
  <si>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</si>
  <si>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</si>
  <si>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</si>
  <si>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</si>
  <si>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</si>
  <si>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</si>
  <si>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</si>
  <si>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</si>
  <si>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</si>
  <si>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</si>
  <si>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</si>
  <si>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Haste de aterramento 5/8 x 2,4 m</t>
  </si>
  <si>
    <t>Haste de aterramento 5/8 x 3 m</t>
  </si>
  <si>
    <t>Haste de aterramento 3/4 x 2,4 m</t>
  </si>
  <si>
    <t>Haste de aterramento 3/4 x 3 m</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</si>
  <si>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</si>
  <si>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</si>
  <si>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</si>
  <si>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</si>
  <si>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</si>
  <si>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</si>
  <si>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</si>
  <si>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</si>
  <si>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</si>
  <si>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Mastro 2m</t>
  </si>
  <si>
    <t>Mastro 3m</t>
  </si>
  <si>
    <t>Mastro 4m</t>
  </si>
  <si>
    <t>Mastro 6m</t>
  </si>
  <si>
    <t>Base para mastro</t>
  </si>
  <si>
    <t>Estaiamento para mastro 1,5m</t>
  </si>
  <si>
    <t>Estaiamento para mastro 2m</t>
  </si>
  <si>
    <t>Estaiamento para mastro 3m</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</si>
  <si>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</si>
  <si>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</si>
  <si>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</si>
  <si>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</si>
  <si>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</si>
  <si>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</si>
  <si>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</si>
  <si>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</si>
  <si>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</si>
  <si>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</si>
  <si>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</si>
  <si>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</si>
  <si>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</si>
  <si>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</si>
  <si>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</si>
  <si>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</si>
  <si>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</si>
  <si>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</si>
  <si>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</si>
  <si>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</si>
  <si>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</si>
  <si>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</si>
  <si>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</si>
  <si>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</si>
  <si>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</si>
  <si>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</si>
  <si>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</si>
  <si>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</si>
  <si>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</si>
  <si>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</si>
  <si>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</si>
  <si>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</si>
  <si>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</si>
  <si>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</si>
  <si>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</si>
  <si>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</si>
  <si>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</si>
  <si>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</si>
  <si>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</si>
  <si>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</si>
  <si>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</si>
  <si>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</si>
  <si>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</si>
  <si>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</si>
  <si>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</si>
  <si>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</si>
  <si>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</si>
  <si>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</si>
  <si>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</si>
  <si>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</si>
  <si>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</si>
  <si>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</si>
  <si>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</si>
  <si>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</si>
  <si>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</si>
  <si>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</si>
  <si>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</si>
  <si>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</si>
  <si>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</si>
  <si>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</si>
  <si>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</si>
  <si>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</si>
  <si>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Placa de sinalização em PVC 2mm</t>
  </si>
  <si>
    <t>Claviculário 20 chaves</t>
  </si>
  <si>
    <t>Autotransformador 300VA</t>
  </si>
  <si>
    <t>Autotransformador 500VA</t>
  </si>
  <si>
    <t>Autotransformador 1000VA</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</si>
  <si>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</si>
  <si>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</si>
  <si>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</si>
  <si>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</si>
  <si>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</si>
  <si>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</si>
  <si>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</si>
  <si>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</si>
  <si>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</si>
  <si>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</si>
  <si>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</si>
  <si>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</si>
  <si>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</si>
  <si>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</si>
  <si>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</si>
  <si>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</si>
  <si>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</si>
  <si>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</si>
  <si>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</si>
  <si>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</si>
  <si>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</si>
  <si>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</si>
  <si>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</si>
  <si>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</si>
  <si>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</si>
  <si>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</si>
  <si>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</si>
  <si>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</si>
  <si>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</si>
  <si>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</si>
  <si>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</si>
  <si>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</si>
  <si>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</si>
  <si>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</si>
  <si>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</si>
  <si>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</si>
  <si>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</si>
  <si>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</si>
  <si>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</si>
  <si>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</si>
  <si>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</si>
  <si>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</si>
  <si>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</si>
  <si>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</si>
  <si>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</si>
  <si>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</si>
  <si>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</si>
  <si>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</si>
  <si>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</si>
  <si>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</si>
  <si>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</si>
  <si>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</si>
  <si>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</si>
  <si>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</si>
  <si>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</si>
  <si>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</si>
  <si>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</si>
  <si>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</si>
  <si>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Grupo motor-gerador 3kVA</t>
  </si>
  <si>
    <t>Grupo motor-gerador 6kVA</t>
  </si>
  <si>
    <t>Ferro de solda 25W</t>
  </si>
  <si>
    <t>Ferro de solda 50W</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</si>
  <si>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</si>
  <si>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</si>
  <si>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</si>
  <si>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</si>
  <si>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</si>
  <si>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</si>
  <si>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</si>
  <si>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</si>
  <si>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</si>
  <si>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</si>
  <si>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</si>
  <si>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</si>
  <si>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</si>
  <si>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</si>
  <si>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</si>
  <si>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</si>
  <si>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</si>
  <si>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</si>
  <si>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</si>
  <si>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</si>
  <si>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</si>
  <si>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</si>
  <si>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</si>
  <si>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</si>
  <si>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</si>
  <si>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</si>
  <si>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</si>
  <si>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</si>
  <si>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</si>
  <si>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</si>
  <si>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</si>
  <si>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</si>
  <si>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</si>
  <si>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</si>
  <si>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</si>
  <si>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</si>
  <si>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</si>
  <si>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</si>
  <si>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</si>
  <si>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</si>
  <si>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</si>
  <si>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</si>
  <si>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</si>
  <si>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</si>
  <si>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</si>
  <si>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</si>
  <si>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</si>
  <si>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</si>
  <si>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</si>
  <si>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</si>
  <si>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</si>
  <si>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</si>
  <si>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</si>
  <si>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</si>
  <si>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</si>
  <si>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</si>
  <si>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</si>
  <si>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</si>
  <si>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</si>
  <si>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</si>
  <si>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</si>
  <si>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tubular até 6mm²</t>
  </si>
  <si>
    <t>Alicate crimpador com catraca para terminal pré-isolado até 6mm²</t>
  </si>
  <si>
    <t>Alicate crimpador manual para terminal pré-isolado até 16mm²</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</si>
  <si>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</si>
  <si>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</si>
  <si>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</si>
  <si>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</si>
  <si>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</si>
  <si>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</si>
  <si>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</si>
  <si>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</si>
  <si>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</si>
  <si>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</si>
  <si>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</si>
  <si>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</si>
  <si>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</si>
  <si>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</si>
  <si>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</si>
  <si>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</si>
  <si>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</si>
  <si>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</si>
  <si>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</si>
  <si>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</si>
  <si>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</si>
  <si>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</si>
  <si>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</si>
  <si>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</si>
  <si>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</si>
  <si>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</si>
  <si>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</si>
  <si>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</si>
  <si>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</si>
  <si>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</si>
  <si>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</si>
  <si>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</si>
  <si>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</si>
  <si>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</si>
  <si>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</si>
  <si>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</si>
  <si>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</si>
  <si>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</si>
  <si>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Marreta oitavada 1000g</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</si>
  <si>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</si>
  <si>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</si>
  <si>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</si>
  <si>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</si>
  <si>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</si>
  <si>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</si>
  <si>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</si>
  <si>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</si>
  <si>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</si>
  <si>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</si>
  <si>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</si>
  <si>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</si>
  <si>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</si>
  <si>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</si>
  <si>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</si>
  <si>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</si>
  <si>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</si>
  <si>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</si>
  <si>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</si>
  <si>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</si>
  <si>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</si>
  <si>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</si>
  <si>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</si>
  <si>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</si>
  <si>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</si>
  <si>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</si>
  <si>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</si>
  <si>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</si>
  <si>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</si>
  <si>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</si>
  <si>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</si>
  <si>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</si>
  <si>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</si>
  <si>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</si>
  <si>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</si>
  <si>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</si>
  <si>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</si>
  <si>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</si>
  <si>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</si>
  <si>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</si>
  <si>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</si>
  <si>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</si>
  <si>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</si>
  <si>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</si>
  <si>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</si>
  <si>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</si>
  <si>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</si>
  <si>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</si>
  <si>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</si>
  <si>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</si>
  <si>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</si>
  <si>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</si>
  <si>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</si>
  <si>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</si>
  <si>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</si>
  <si>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</si>
  <si>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</si>
  <si>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Graute industrializado, fck ≥ 100MPa</t>
  </si>
  <si>
    <t>Armação de aço CA-25 bitola de 16mm</t>
  </si>
  <si>
    <t>Concreto virado em betoneira, fck = 20MPa</t>
  </si>
  <si>
    <t>Furo em concreto de até 40mm de diâmetro</t>
  </si>
  <si>
    <t>Adesivo Estrutural Epóxi Bicomponente – fornecimento e aplicação</t>
  </si>
  <si>
    <t>Estaca escavada manualmente de diâmetro 30cm</t>
  </si>
  <si>
    <t>Arrasamento mecânico de estacas de concreto armado com diâmetros de até 40cm</t>
  </si>
  <si>
    <t>Quadro 400x300x200 mm – fornecimento e instalação</t>
  </si>
  <si>
    <t>Concreto Usinado, fck = 25MPa</t>
  </si>
  <si>
    <t>Estaca escavada mecanicamente - 40cm de diâmetro</t>
  </si>
  <si>
    <t>Armação de aço CA-60 bitolas de 5,0mm a 8,00mm</t>
  </si>
  <si>
    <t>Pavimentação em concreto simples</t>
  </si>
  <si>
    <t>Tubo PVC esgoto ou águas pluviais predial DN 150mm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</si>
  <si>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</si>
  <si>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</si>
  <si>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</si>
  <si>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</si>
  <si>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</si>
  <si>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</si>
  <si>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</si>
  <si>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</si>
  <si>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</si>
  <si>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</si>
  <si>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</si>
  <si>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</si>
  <si>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</si>
  <si>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</si>
  <si>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</si>
  <si>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</si>
  <si>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</si>
  <si>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</si>
  <si>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</si>
  <si>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</si>
  <si>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</si>
  <si>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</si>
  <si>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</si>
  <si>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</si>
  <si>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</si>
  <si>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</si>
  <si>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</si>
  <si>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</si>
  <si>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</si>
  <si>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</si>
  <si>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</si>
  <si>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</si>
  <si>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</si>
  <si>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</si>
  <si>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</si>
  <si>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</si>
  <si>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</si>
  <si>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</si>
  <si>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</si>
  <si>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</si>
  <si>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</si>
  <si>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</si>
  <si>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</si>
  <si>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</si>
  <si>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</si>
  <si>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</si>
  <si>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</si>
  <si>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</si>
  <si>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</si>
  <si>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</si>
  <si>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</si>
  <si>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</si>
  <si>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</si>
  <si>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</si>
  <si>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</si>
  <si>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</si>
  <si>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</si>
  <si>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</si>
  <si>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</si>
  <si>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</si>
  <si>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</si>
  <si>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</si>
  <si>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</si>
  <si>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</si>
  <si>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</si>
  <si>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</si>
  <si>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</si>
  <si>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</si>
  <si>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</si>
  <si>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</si>
  <si>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</si>
  <si>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</si>
  <si>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</si>
  <si>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</si>
  <si>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</si>
  <si>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</si>
  <si>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</si>
  <si>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</si>
  <si>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</si>
  <si>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</si>
  <si>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</si>
  <si>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</si>
  <si>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</si>
  <si>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</si>
  <si>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</si>
  <si>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</si>
  <si>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</si>
  <si>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</si>
  <si>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</si>
  <si>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</si>
  <si>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</si>
  <si>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</si>
  <si>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</si>
  <si>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</si>
  <si>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</si>
  <si>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</si>
  <si>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</si>
  <si>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</si>
  <si>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</si>
  <si>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</si>
  <si>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</si>
  <si>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</si>
  <si>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</si>
  <si>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</si>
  <si>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</si>
  <si>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</si>
  <si>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</si>
  <si>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</si>
  <si>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</si>
  <si>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</si>
  <si>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</si>
  <si>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</si>
  <si>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</si>
  <si>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</si>
  <si>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</si>
  <si>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</si>
  <si>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</si>
  <si>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</si>
  <si>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</si>
  <si>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</si>
  <si>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</si>
  <si>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</si>
  <si>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</si>
  <si>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</si>
  <si>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</si>
  <si>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</si>
  <si>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</si>
  <si>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</si>
  <si>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</si>
  <si>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</si>
  <si>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</si>
  <si>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</si>
  <si>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</si>
  <si>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</si>
  <si>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</si>
  <si>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</si>
  <si>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</si>
  <si>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</si>
  <si>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</si>
  <si>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</si>
  <si>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</si>
  <si>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</si>
  <si>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</si>
  <si>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</si>
  <si>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</si>
  <si>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</si>
  <si>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</si>
  <si>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</si>
  <si>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</si>
  <si>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</si>
  <si>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</si>
  <si>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</si>
  <si>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</si>
  <si>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</si>
  <si>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</si>
  <si>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</si>
  <si>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</si>
  <si>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</si>
  <si>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</si>
  <si>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</si>
  <si>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</si>
  <si>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</si>
  <si>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</si>
  <si>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</si>
  <si>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</si>
  <si>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</si>
  <si>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</si>
  <si>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</si>
  <si>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</si>
  <si>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</si>
  <si>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</si>
  <si>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</si>
  <si>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</si>
  <si>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</si>
  <si>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</si>
  <si>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</si>
  <si>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</si>
  <si>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</si>
  <si>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</si>
  <si>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</si>
  <si>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</si>
  <si>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</si>
  <si>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</si>
  <si>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</si>
  <si>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</si>
  <si>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</si>
  <si>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</si>
  <si>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</si>
  <si>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</si>
  <si>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</si>
  <si>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</si>
  <si>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</si>
  <si>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</si>
  <si>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</si>
  <si>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</si>
  <si>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</si>
  <si>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</si>
  <si>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</si>
  <si>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</si>
  <si>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</si>
  <si>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</si>
  <si>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</si>
  <si>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</si>
  <si>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</si>
  <si>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</si>
  <si>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</si>
  <si>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</si>
  <si>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</si>
  <si>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</si>
  <si>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</si>
  <si>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</si>
  <si>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</si>
  <si>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</si>
  <si>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</si>
  <si>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</si>
  <si>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</si>
  <si>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</si>
  <si>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</si>
  <si>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</si>
  <si>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</si>
  <si>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</si>
  <si>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</si>
  <si>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</si>
  <si>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</si>
  <si>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</si>
  <si>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</si>
  <si>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</si>
  <si>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</si>
  <si>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</si>
  <si>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</si>
  <si>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</si>
  <si>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</si>
  <si>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</si>
  <si>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</si>
  <si>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</si>
  <si>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</si>
  <si>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</si>
  <si>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</si>
  <si>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</si>
  <si>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</si>
  <si>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</si>
  <si>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</si>
  <si>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</si>
  <si>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</si>
  <si>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</si>
  <si>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</si>
  <si>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</si>
  <si>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</si>
  <si>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</si>
  <si>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</si>
  <si>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</si>
  <si>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</si>
  <si>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</si>
  <si>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</si>
  <si>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</si>
  <si>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</si>
  <si>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</si>
  <si>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</si>
  <si>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</si>
  <si>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</si>
  <si>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</si>
  <si>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</si>
  <si>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</si>
  <si>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</si>
  <si>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</si>
  <si>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</si>
  <si>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</si>
  <si>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</si>
  <si>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</si>
  <si>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</si>
  <si>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</si>
  <si>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</si>
  <si>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</si>
  <si>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</si>
  <si>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</si>
  <si>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</si>
  <si>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</si>
  <si>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</si>
  <si>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</si>
  <si>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</si>
  <si>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</si>
  <si>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</si>
  <si>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</si>
  <si>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</si>
  <si>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</si>
  <si>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</si>
  <si>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</si>
  <si>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</si>
  <si>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</si>
  <si>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</si>
  <si>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</si>
  <si>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</si>
  <si>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</si>
  <si>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</si>
  <si>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</si>
  <si>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</si>
  <si>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</si>
  <si>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</si>
  <si>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</si>
  <si>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</si>
  <si>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</si>
  <si>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</si>
  <si>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</si>
  <si>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</si>
  <si>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</si>
  <si>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</si>
  <si>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</si>
  <si>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</si>
  <si>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</si>
  <si>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</si>
  <si>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</si>
  <si>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</si>
  <si>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</si>
  <si>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</si>
  <si>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</si>
  <si>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</si>
  <si>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</si>
  <si>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</si>
  <si>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</si>
  <si>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</si>
  <si>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</si>
  <si>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</si>
  <si>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</si>
  <si>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</si>
  <si>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</si>
  <si>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</si>
  <si>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</si>
  <si>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</si>
  <si>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</si>
  <si>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</si>
  <si>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</si>
  <si>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</si>
  <si>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</si>
  <si>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</si>
  <si>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</si>
  <si>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</si>
  <si>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</si>
  <si>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</si>
  <si>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</si>
  <si>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</si>
  <si>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</si>
  <si>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</si>
  <si>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</si>
  <si>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</si>
  <si>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</si>
  <si>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</si>
  <si>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</si>
  <si>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</si>
  <si>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</si>
  <si>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</si>
  <si>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</si>
  <si>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</si>
  <si>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</si>
  <si>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</si>
  <si>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</si>
  <si>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</si>
  <si>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</si>
  <si>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</si>
  <si>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</si>
  <si>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</si>
  <si>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</si>
  <si>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</si>
  <si>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</si>
  <si>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</si>
  <si>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</si>
  <si>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</si>
  <si>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</si>
  <si>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</si>
  <si>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</si>
  <si>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</si>
  <si>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</si>
  <si>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</si>
  <si>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</si>
  <si>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</si>
  <si>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</si>
  <si>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</si>
  <si>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</si>
  <si>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</si>
  <si>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</si>
  <si>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</si>
  <si>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</si>
  <si>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</si>
  <si>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</si>
  <si>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</si>
  <si>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</si>
  <si>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</si>
  <si>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</si>
  <si>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</si>
  <si>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</si>
  <si>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</si>
  <si>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</si>
  <si>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</si>
  <si>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</si>
  <si>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</si>
  <si>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</si>
  <si>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</si>
  <si>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</si>
  <si>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</si>
  <si>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</si>
  <si>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</si>
  <si>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</si>
  <si>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</si>
  <si>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</si>
  <si>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</si>
  <si>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</si>
  <si>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</si>
  <si>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</si>
  <si>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</si>
  <si>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</si>
  <si>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</si>
  <si>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</si>
  <si>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</si>
  <si>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</si>
  <si>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</si>
  <si>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</si>
  <si>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</si>
  <si>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</si>
  <si>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</si>
  <si>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</si>
  <si>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</si>
  <si>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</si>
  <si>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</si>
  <si>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</si>
  <si>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</si>
  <si>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</si>
  <si>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</si>
  <si>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</si>
  <si>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</si>
  <si>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</si>
  <si>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</si>
  <si>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</si>
  <si>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</si>
  <si>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</si>
  <si>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</si>
  <si>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</si>
  <si>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</si>
  <si>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</si>
  <si>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</si>
  <si>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</si>
  <si>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</si>
  <si>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</si>
  <si>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</si>
  <si>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</si>
  <si>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</si>
  <si>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</si>
  <si>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</si>
  <si>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</si>
  <si>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</si>
  <si>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</si>
  <si>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</si>
  <si>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</si>
  <si>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</si>
  <si>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</si>
  <si>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</si>
  <si>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</si>
  <si>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</si>
  <si>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</si>
  <si>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</si>
  <si>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</si>
  <si>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</si>
  <si>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</si>
  <si>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</si>
  <si>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</si>
  <si>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</si>
  <si>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</si>
  <si>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</si>
  <si>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</si>
  <si>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</si>
  <si>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</si>
  <si>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</si>
  <si>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</si>
  <si>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</si>
  <si>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</si>
  <si>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</si>
  <si>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</si>
  <si>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</si>
  <si>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</si>
  <si>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</si>
  <si>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</si>
  <si>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</si>
  <si>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</si>
  <si>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</si>
  <si>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</si>
  <si>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</si>
  <si>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</si>
  <si>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</si>
  <si>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</si>
  <si>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</si>
  <si>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</si>
  <si>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</si>
  <si>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</si>
  <si>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</si>
  <si>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</si>
  <si>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</si>
  <si>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</si>
  <si>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</si>
  <si>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</si>
  <si>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</si>
  <si>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</si>
  <si>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</si>
  <si>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</si>
  <si>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</si>
  <si>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</si>
  <si>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</si>
  <si>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</si>
  <si>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</si>
  <si>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</si>
  <si>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</si>
  <si>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</si>
  <si>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</si>
  <si>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</si>
  <si>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</si>
  <si>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</si>
  <si>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</si>
  <si>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</si>
  <si>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</si>
  <si>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</si>
  <si>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</si>
  <si>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</si>
  <si>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</si>
  <si>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</si>
  <si>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</si>
  <si>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</si>
  <si>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</si>
  <si>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</si>
  <si>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</si>
  <si>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</si>
  <si>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</si>
  <si>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</si>
  <si>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</si>
  <si>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</si>
  <si>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</si>
  <si>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</si>
  <si>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</si>
  <si>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</si>
  <si>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</si>
  <si>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</si>
  <si>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</si>
  <si>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</si>
  <si>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</si>
  <si>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</si>
  <si>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</si>
  <si>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</si>
  <si>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</si>
  <si>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</si>
  <si>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</si>
  <si>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</si>
  <si>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</si>
  <si>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</si>
  <si>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</si>
  <si>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</si>
  <si>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</si>
  <si>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</si>
  <si>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</si>
  <si>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</si>
  <si>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</si>
  <si>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</si>
  <si>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</si>
  <si>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</si>
  <si>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</si>
  <si>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</si>
  <si>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</si>
  <si>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</si>
  <si>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</si>
  <si>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</si>
  <si>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</si>
  <si>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</si>
  <si>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</si>
  <si>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</si>
  <si>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</si>
  <si>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</si>
  <si>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</si>
  <si>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</si>
  <si>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</si>
  <si>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</si>
  <si>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</si>
  <si>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</si>
  <si>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</si>
  <si>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</si>
  <si>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</si>
  <si>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</si>
  <si>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</si>
  <si>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</si>
  <si>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</si>
  <si>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</si>
  <si>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</si>
  <si>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</si>
  <si>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</si>
  <si>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</si>
  <si>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</si>
  <si>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</si>
  <si>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</si>
  <si>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</si>
  <si>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</si>
  <si>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</si>
  <si>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</si>
  <si>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</si>
  <si>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</si>
  <si>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</si>
  <si>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</si>
  <si>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</si>
  <si>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</si>
  <si>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</si>
  <si>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</si>
  <si>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</si>
  <si>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</si>
  <si>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</si>
  <si>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</si>
  <si>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</si>
  <si>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</si>
  <si>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</si>
  <si>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</si>
  <si>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</si>
  <si>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</si>
  <si>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</si>
  <si>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</si>
  <si>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</si>
  <si>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</si>
  <si>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</si>
  <si>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</si>
  <si>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</si>
  <si>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</si>
  <si>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</si>
  <si>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</si>
  <si>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</si>
  <si>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</si>
  <si>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</si>
  <si>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</si>
  <si>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</si>
  <si>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</si>
  <si>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</si>
  <si>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</si>
  <si>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</si>
  <si>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</si>
  <si>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</si>
  <si>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</si>
  <si>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</si>
  <si>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</si>
  <si>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</si>
  <si>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</si>
  <si>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</si>
  <si>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</si>
  <si>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</si>
  <si>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</si>
  <si>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</si>
  <si>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</si>
  <si>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</si>
  <si>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</si>
  <si>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</si>
  <si>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</si>
  <si>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</si>
  <si>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</si>
  <si>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</si>
  <si>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</si>
  <si>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</si>
  <si>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</si>
  <si>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</si>
  <si>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</si>
  <si>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</si>
  <si>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</si>
  <si>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</si>
  <si>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</si>
  <si>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</si>
  <si>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</si>
  <si>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</si>
  <si>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</si>
  <si>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</si>
  <si>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</si>
  <si>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</si>
  <si>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</si>
  <si>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</si>
  <si>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</si>
  <si>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</si>
  <si>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</si>
  <si>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</si>
  <si>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</si>
  <si>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</si>
  <si>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</si>
  <si>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</si>
  <si>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</si>
  <si>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</si>
  <si>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</si>
  <si>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</si>
  <si>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</si>
  <si>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</si>
  <si>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</si>
  <si>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</si>
  <si>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</si>
  <si>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</si>
  <si>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</si>
  <si>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</si>
  <si>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</si>
  <si>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</si>
  <si>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</si>
  <si>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</si>
  <si>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</si>
  <si>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</si>
  <si>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</si>
  <si>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</si>
  <si>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</si>
  <si>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</si>
  <si>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</si>
  <si>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</si>
  <si>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</si>
  <si>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</si>
  <si>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</si>
  <si>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</si>
  <si>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</si>
  <si>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</si>
  <si>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</si>
  <si>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</si>
  <si>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</si>
  <si>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</si>
  <si>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</si>
  <si>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</si>
  <si>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</si>
  <si>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</si>
  <si>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</si>
  <si>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</si>
  <si>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</si>
  <si>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</si>
  <si>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</si>
  <si>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</si>
  <si>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</si>
  <si>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</si>
  <si>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</si>
  <si>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</si>
  <si>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</si>
  <si>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</si>
  <si>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</si>
  <si>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</si>
  <si>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</si>
  <si>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</si>
  <si>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</si>
  <si>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</si>
  <si>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</si>
  <si>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</si>
  <si>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</si>
  <si>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</si>
  <si>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</si>
  <si>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</si>
  <si>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</si>
  <si>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</si>
  <si>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</si>
  <si>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</si>
  <si>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</si>
  <si>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</si>
  <si>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</si>
  <si>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</si>
  <si>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</si>
  <si>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</si>
  <si>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</si>
  <si>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</si>
  <si>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</si>
  <si>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</si>
  <si>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</si>
  <si>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</si>
  <si>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</si>
  <si>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</si>
  <si>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</si>
  <si>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</si>
  <si>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</si>
  <si>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</si>
  <si>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</si>
  <si>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</si>
  <si>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</si>
  <si>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</si>
  <si>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</si>
  <si>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</si>
  <si>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</si>
  <si>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</si>
  <si>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</si>
  <si>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</si>
  <si>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</si>
  <si>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</si>
  <si>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</si>
  <si>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</si>
  <si>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</si>
  <si>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</si>
  <si>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</si>
  <si>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</si>
  <si>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</si>
  <si>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</si>
  <si>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</si>
  <si>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</si>
  <si>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</si>
  <si>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</si>
  <si>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</si>
  <si>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</si>
  <si>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</si>
  <si>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</si>
  <si>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</si>
  <si>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</si>
  <si>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</si>
  <si>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</si>
  <si>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</si>
  <si>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</si>
  <si>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</si>
  <si>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</si>
  <si>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</si>
  <si>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</si>
  <si>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</si>
  <si>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</si>
  <si>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</si>
  <si>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</si>
  <si>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</si>
  <si>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</si>
  <si>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</si>
  <si>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</si>
  <si>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</si>
  <si>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</si>
  <si>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</si>
  <si>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</si>
  <si>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</si>
  <si>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</si>
  <si>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</si>
  <si>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</si>
  <si>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</si>
  <si>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</si>
  <si>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</si>
  <si>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</si>
  <si>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</si>
  <si>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</si>
  <si>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</si>
  <si>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</si>
  <si>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</si>
  <si>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</si>
  <si>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</si>
  <si>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</si>
  <si>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</si>
  <si>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</si>
  <si>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</si>
  <si>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</si>
  <si>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</si>
  <si>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</si>
  <si>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</si>
  <si>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</si>
  <si>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</si>
  <si>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</si>
  <si>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</si>
  <si>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</si>
  <si>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</si>
  <si>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</si>
  <si>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</si>
  <si>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</si>
  <si>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</si>
  <si>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</si>
  <si>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</si>
  <si>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</si>
  <si>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</si>
  <si>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</si>
  <si>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</si>
  <si>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</si>
  <si>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</si>
  <si>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</si>
  <si>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</si>
  <si>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</si>
  <si>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</si>
  <si>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</si>
  <si>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</si>
  <si>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</si>
  <si>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</si>
  <si>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</si>
  <si>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</si>
  <si>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</si>
  <si>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</si>
  <si>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</si>
  <si>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</si>
  <si>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</si>
  <si>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</si>
  <si>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</si>
  <si>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</si>
  <si>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</si>
  <si>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</si>
  <si>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</si>
  <si>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</si>
  <si>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</si>
  <si>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</si>
  <si>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</si>
  <si>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</si>
  <si>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</si>
  <si>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</si>
  <si>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</si>
  <si>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</si>
  <si>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</si>
  <si>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</si>
  <si>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</si>
  <si>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</si>
  <si>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</si>
  <si>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</si>
  <si>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</si>
  <si>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</si>
  <si>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</si>
  <si>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</si>
  <si>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</si>
  <si>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</si>
  <si>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</si>
  <si>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</si>
  <si>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</si>
  <si>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</si>
  <si>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</si>
  <si>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</si>
  <si>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</si>
  <si>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</si>
  <si>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</si>
  <si>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</si>
  <si>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</si>
  <si>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</si>
  <si>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</si>
  <si>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</si>
  <si>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</si>
  <si>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</si>
  <si>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</si>
  <si>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</si>
  <si>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</si>
  <si>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</si>
  <si>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</si>
  <si>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</si>
  <si>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</si>
  <si>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</si>
  <si>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</si>
  <si>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</si>
  <si>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</si>
  <si>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</si>
  <si>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</si>
  <si>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</si>
  <si>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</si>
  <si>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</si>
  <si>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</si>
  <si>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</si>
  <si>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</si>
  <si>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</si>
  <si>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</si>
  <si>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</si>
  <si>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</si>
  <si>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</si>
  <si>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</si>
  <si>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</si>
  <si>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</si>
  <si>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</si>
  <si>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</si>
  <si>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</si>
  <si>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</si>
  <si>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</si>
  <si>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</si>
  <si>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</si>
  <si>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</si>
  <si>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</si>
  <si>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</si>
  <si>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</si>
  <si>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</si>
  <si>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</si>
  <si>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</si>
  <si>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</si>
  <si>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</si>
  <si>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</si>
  <si>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</si>
  <si>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</si>
  <si>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</si>
  <si>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</si>
  <si>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</si>
  <si>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</si>
  <si>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</si>
  <si>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</si>
  <si>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</si>
  <si>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</si>
  <si>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</si>
  <si>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</si>
  <si>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</si>
  <si>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</si>
  <si>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</si>
  <si>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</si>
  <si>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</si>
  <si>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</si>
  <si>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</si>
  <si>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</si>
  <si>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</si>
  <si>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</si>
  <si>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</si>
  <si>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</si>
  <si>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</si>
  <si>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</si>
  <si>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</si>
  <si>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</si>
  <si>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</si>
  <si>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</si>
  <si>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</si>
  <si>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</si>
  <si>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</si>
  <si>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</si>
  <si>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</si>
  <si>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</si>
  <si>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</si>
  <si>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</si>
  <si>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</si>
  <si>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</si>
  <si>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</si>
  <si>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</si>
  <si>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</si>
  <si>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</si>
  <si>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</si>
  <si>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</si>
  <si>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</si>
  <si>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</si>
  <si>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</si>
  <si>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</si>
  <si>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</si>
  <si>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</si>
  <si>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</si>
  <si>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</si>
  <si>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</si>
  <si>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</si>
  <si>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</si>
  <si>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</si>
  <si>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</si>
  <si>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</si>
  <si>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</si>
  <si>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</si>
  <si>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</si>
  <si>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</si>
  <si>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</si>
  <si>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</si>
  <si>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</si>
  <si>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</si>
  <si>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</si>
  <si>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</si>
  <si>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</si>
  <si>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</si>
  <si>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</si>
  <si>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</si>
  <si>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</si>
  <si>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</si>
  <si>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</si>
  <si>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</si>
  <si>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</si>
  <si>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</si>
  <si>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</si>
  <si>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</si>
  <si>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</si>
  <si>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</si>
  <si>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</si>
  <si>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</si>
  <si>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</si>
  <si>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</si>
  <si>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</si>
  <si>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</si>
  <si>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</si>
  <si>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</si>
  <si>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</si>
  <si>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</si>
  <si>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</si>
  <si>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</si>
  <si>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</si>
  <si>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</si>
  <si>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</si>
  <si>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</si>
  <si>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</si>
  <si>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</si>
  <si>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</si>
  <si>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</si>
  <si>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</si>
  <si>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</si>
  <si>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</si>
  <si>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</si>
  <si>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</si>
  <si>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</si>
  <si>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</si>
  <si>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</si>
  <si>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</si>
  <si>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</si>
  <si>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</si>
  <si>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</si>
  <si>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</si>
  <si>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</si>
  <si>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</si>
  <si>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</si>
  <si>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</si>
  <si>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</si>
  <si>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</si>
  <si>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</si>
  <si>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</si>
  <si>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</si>
  <si>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</si>
  <si>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</si>
  <si>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</si>
  <si>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</si>
  <si>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</si>
  <si>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</si>
  <si>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</si>
  <si>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</si>
  <si>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</si>
  <si>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</si>
  <si>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</si>
  <si>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</si>
  <si>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</si>
  <si>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</si>
  <si>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</si>
  <si>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</si>
  <si>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</si>
  <si>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</si>
  <si>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</si>
  <si>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</si>
  <si>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</si>
  <si>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</si>
  <si>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</si>
  <si>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</si>
  <si>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</si>
  <si>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</si>
  <si>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</si>
  <si>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</si>
  <si>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</si>
  <si>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</si>
  <si>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</si>
  <si>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</si>
  <si>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</si>
  <si>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</si>
  <si>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</si>
  <si>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</si>
  <si>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</si>
  <si>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</si>
  <si>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</si>
  <si>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</si>
  <si>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</si>
  <si>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</si>
  <si>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</si>
  <si>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</si>
  <si>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</si>
  <si>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</si>
  <si>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</si>
  <si>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</si>
  <si>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</si>
  <si>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</si>
  <si>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</si>
  <si>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</si>
  <si>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</si>
  <si>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</si>
  <si>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</si>
  <si>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</si>
  <si>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</si>
  <si>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</si>
  <si>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</si>
  <si>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</si>
  <si>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</si>
  <si>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</si>
  <si>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</si>
  <si>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</si>
  <si>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</si>
  <si>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</si>
  <si>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</si>
  <si>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</si>
  <si>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</si>
  <si>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</si>
  <si>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</si>
  <si>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</si>
  <si>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</si>
  <si>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</si>
  <si>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</si>
  <si>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</si>
  <si>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</si>
  <si>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</si>
  <si>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</si>
  <si>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</si>
  <si>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</si>
  <si>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</si>
  <si>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</si>
  <si>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</si>
  <si>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</si>
  <si>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</si>
  <si>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</si>
  <si>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</si>
  <si>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</si>
  <si>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</si>
  <si>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</si>
  <si>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</si>
  <si>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</si>
  <si>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</si>
  <si>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</si>
  <si>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</si>
  <si>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</si>
  <si>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</si>
  <si>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</si>
  <si>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</si>
  <si>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</si>
  <si>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</si>
  <si>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</si>
  <si>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</si>
  <si>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</si>
  <si>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</si>
  <si>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</si>
  <si>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</si>
  <si>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</si>
  <si>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</si>
  <si>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</si>
  <si>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</si>
  <si>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</si>
  <si>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</si>
  <si>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</si>
  <si>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</si>
  <si>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</si>
  <si>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</si>
  <si>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</si>
  <si>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</si>
  <si>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</si>
  <si>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</si>
  <si>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</si>
  <si>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</si>
  <si>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</si>
  <si>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</si>
  <si>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</si>
  <si>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</si>
  <si>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</si>
  <si>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</si>
  <si>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</si>
  <si>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</si>
  <si>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</si>
  <si>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</si>
  <si>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</si>
  <si>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</si>
  <si>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</si>
  <si>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</si>
  <si>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</si>
  <si>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</si>
  <si>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</si>
  <si>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</si>
  <si>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</si>
  <si>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</si>
  <si>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</si>
  <si>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</si>
  <si>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</si>
  <si>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</si>
  <si>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</si>
  <si>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</si>
  <si>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</si>
  <si>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</si>
  <si>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</si>
  <si>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</si>
  <si>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</si>
  <si>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</si>
  <si>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</si>
  <si>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</si>
  <si>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</si>
  <si>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</si>
  <si>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</si>
  <si>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</si>
  <si>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</si>
  <si>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</si>
  <si>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</si>
  <si>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</si>
  <si>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Leito 800x100 mm (material)</t>
  </si>
  <si>
    <t>Bastão de resgate (depreciação)</t>
  </si>
  <si>
    <t>Cadeado para disjuntores (depreciação)</t>
  </si>
  <si>
    <t>Bloqueio para disjuntores (depreciação)</t>
  </si>
  <si>
    <t>Painel de TV em MDF</t>
  </si>
  <si>
    <t>200 ml</t>
  </si>
  <si>
    <t>25 g</t>
  </si>
  <si>
    <t>mês x equip</t>
  </si>
  <si>
    <t>cm2</t>
  </si>
  <si>
    <t>cm3</t>
  </si>
  <si>
    <t>cj x mês</t>
  </si>
  <si>
    <t>Demolição de forro</t>
  </si>
  <si>
    <t>Remoção de folha de porta e dobradiças / pivôs</t>
  </si>
  <si>
    <t>Suporte intermediário reto para linha de vida</t>
  </si>
  <si>
    <t>Furo em concreto de 40mm até 75mm de diâmetro</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</si>
  <si>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</si>
  <si>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</si>
  <si>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</si>
  <si>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</si>
  <si>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</si>
  <si>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</si>
  <si>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</si>
  <si>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</si>
  <si>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</si>
  <si>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</si>
  <si>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</si>
  <si>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</si>
  <si>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</si>
  <si>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</si>
  <si>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</si>
  <si>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</si>
  <si>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</si>
  <si>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</si>
  <si>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</si>
  <si>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</si>
  <si>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</si>
  <si>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</si>
  <si>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</si>
  <si>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</si>
  <si>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</si>
  <si>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</si>
  <si>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</si>
  <si>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</si>
  <si>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</si>
  <si>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</si>
  <si>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</si>
  <si>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</si>
  <si>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</si>
  <si>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</si>
  <si>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</si>
  <si>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Puxador metálico - diâmetro de 22mm a 25mm</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</si>
  <si>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</si>
  <si>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</si>
  <si>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</si>
  <si>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</si>
  <si>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</si>
  <si>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</si>
  <si>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</si>
  <si>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</si>
  <si>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</si>
  <si>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</si>
  <si>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</si>
  <si>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</si>
  <si>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</si>
  <si>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</si>
  <si>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</si>
  <si>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</si>
  <si>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</si>
  <si>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</si>
  <si>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</si>
  <si>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</si>
  <si>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</si>
  <si>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</si>
  <si>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</si>
  <si>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</si>
  <si>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</si>
  <si>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</si>
  <si>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</si>
  <si>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</si>
  <si>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</si>
  <si>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</si>
  <si>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</si>
  <si>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</si>
  <si>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</si>
  <si>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</si>
  <si>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</si>
  <si>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Tubo multicamadas flexível 20 mm para gás</t>
  </si>
  <si>
    <t>Tubo multicamadas flexível 26 mm para gás</t>
  </si>
  <si>
    <t>Regulador de pressão para gás</t>
  </si>
  <si>
    <t>Subestação Elétrica 13,8-0,38kV, 300 kVA, em poste</t>
  </si>
  <si>
    <t>Limpeza final</t>
  </si>
  <si>
    <t>Tubo PVC soldável água fria DN 25mm</t>
  </si>
  <si>
    <t>Tubo PVC soldável água fria DN 32mm</t>
  </si>
  <si>
    <t>Tubo PVC soldável água fria DN 40mm</t>
  </si>
  <si>
    <t>Tubo PVC soldável água fria DN 50mm</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</si>
  <si>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</si>
  <si>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</si>
  <si>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</si>
  <si>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</si>
  <si>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</si>
  <si>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</si>
  <si>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</si>
  <si>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</si>
  <si>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</si>
  <si>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</si>
  <si>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</si>
  <si>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</si>
  <si>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</si>
  <si>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</si>
  <si>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</si>
  <si>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</si>
  <si>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</si>
  <si>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</si>
  <si>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</si>
  <si>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</si>
  <si>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</si>
  <si>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</si>
  <si>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</si>
  <si>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</si>
  <si>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</si>
  <si>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</si>
  <si>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e=30 mm, instalação em fixadores metálicos existentes (modelo Edifício Principal)</t>
  </si>
  <si>
    <t>Instalação de placas de mármore 30 mm reaproveitadas em fixadores metálicos existentes (modelo Edifício Principal)</t>
  </si>
  <si>
    <t>Porta metálica dupla de giro com dimensões 2,00 m x 2,12 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</si>
  <si>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</si>
  <si>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</si>
  <si>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</si>
  <si>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</si>
  <si>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</si>
  <si>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</si>
  <si>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</si>
  <si>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</si>
  <si>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</si>
  <si>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</si>
  <si>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</si>
  <si>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</si>
  <si>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</si>
  <si>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</si>
  <si>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</si>
  <si>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</si>
  <si>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</si>
  <si>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</si>
  <si>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</si>
  <si>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</si>
  <si>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</si>
  <si>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</si>
  <si>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</si>
  <si>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</si>
  <si>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</si>
  <si>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</si>
  <si>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</si>
  <si>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</si>
  <si>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</si>
  <si>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</si>
  <si>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</si>
  <si>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</si>
  <si>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</si>
  <si>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</si>
  <si>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</si>
  <si>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</si>
  <si>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</si>
  <si>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</si>
  <si>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</si>
  <si>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</si>
  <si>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</si>
  <si>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</si>
  <si>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</si>
  <si>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</si>
  <si>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</si>
  <si>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</si>
  <si>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</si>
  <si>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</si>
  <si>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</si>
  <si>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Engenheiro Eletricista com encargos complementares</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</si>
  <si>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</si>
  <si>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</si>
  <si>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</si>
  <si>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</si>
  <si>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</si>
  <si>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</si>
  <si>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</si>
  <si>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</si>
  <si>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</si>
  <si>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</si>
  <si>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</si>
  <si>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</si>
  <si>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</si>
  <si>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</si>
  <si>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Cabo Ethernet Blindado (material)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</si>
  <si>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</si>
  <si>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</si>
  <si>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</si>
  <si>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</si>
  <si>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</si>
  <si>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</si>
  <si>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</si>
  <si>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</si>
  <si>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</si>
  <si>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</si>
  <si>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</si>
  <si>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</si>
  <si>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</si>
  <si>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</si>
  <si>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</si>
  <si>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</si>
  <si>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</si>
  <si>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Eletrocalha 50x50 mm </t>
  </si>
  <si>
    <t xml:space="preserve">Eletrocalha 100x50 mm </t>
  </si>
  <si>
    <t xml:space="preserve">Eletrocalha 200x50 mm </t>
  </si>
  <si>
    <t xml:space="preserve">Eletrocalha 200x100 mm </t>
  </si>
  <si>
    <t xml:space="preserve">Eletrocalha 300x50 mm </t>
  </si>
  <si>
    <t xml:space="preserve">Eletrocalha 300x100 mm </t>
  </si>
  <si>
    <t xml:space="preserve">Eletrocalha 400x50 mm </t>
  </si>
  <si>
    <t xml:space="preserve">Eletroduto de aço galvanizado de 3” </t>
  </si>
  <si>
    <t xml:space="preserve">Caixa 4x2 de embutir para alvenaria </t>
  </si>
  <si>
    <t xml:space="preserve">Caixa 4x4 de embutir para alvenaria </t>
  </si>
  <si>
    <t xml:space="preserve">Caixa 4x2 para drywall </t>
  </si>
  <si>
    <t xml:space="preserve">Caixa 4x4 para drywall </t>
  </si>
  <si>
    <t xml:space="preserve">Caixa de passagem em alumínio 100x100x50mm </t>
  </si>
  <si>
    <t xml:space="preserve">Caixa de passagem em alumínio 200x200x100mm </t>
  </si>
  <si>
    <t xml:space="preserve">Caixa de passagem em PVC 150x150x75mm </t>
  </si>
  <si>
    <t xml:space="preserve">Caixa para piso elevado </t>
  </si>
  <si>
    <t xml:space="preserve">Tampa cega metálica para caixas de piso 4x2 </t>
  </si>
  <si>
    <t xml:space="preserve">Tampa cega metálica para caixas de piso 4x4 </t>
  </si>
  <si>
    <t xml:space="preserve">Tomada para perfilado e eletrocalha </t>
  </si>
  <si>
    <t xml:space="preserve">Espelho 4x2 </t>
  </si>
  <si>
    <t xml:space="preserve">Espelho 4x4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</si>
  <si>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</si>
  <si>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</si>
  <si>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</si>
  <si>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</si>
  <si>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</si>
  <si>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</si>
  <si>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</si>
  <si>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Leito 400x100 mm </t>
  </si>
  <si>
    <t xml:space="preserve">Leito 600x100 mm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</si>
  <si>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</si>
  <si>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</si>
  <si>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</si>
  <si>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</si>
  <si>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</si>
  <si>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</si>
  <si>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</si>
  <si>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</si>
  <si>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</si>
  <si>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</si>
  <si>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</si>
  <si>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</si>
  <si>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</si>
  <si>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</si>
  <si>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</si>
  <si>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</si>
  <si>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</si>
  <si>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</si>
  <si>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</si>
  <si>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</si>
  <si>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</si>
  <si>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</si>
  <si>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</si>
  <si>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</si>
  <si>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</si>
  <si>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</si>
  <si>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</si>
  <si>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</si>
  <si>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</si>
  <si>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</si>
  <si>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</si>
  <si>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</si>
  <si>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</si>
  <si>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</si>
  <si>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</si>
  <si>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</si>
  <si>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</si>
  <si>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</si>
  <si>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</si>
  <si>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</si>
  <si>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</si>
  <si>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</si>
  <si>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</si>
  <si>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</si>
  <si>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</si>
  <si>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</si>
  <si>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</si>
  <si>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</si>
  <si>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</si>
  <si>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</si>
  <si>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</si>
  <si>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</si>
  <si>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</si>
  <si>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</si>
  <si>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</si>
  <si>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</si>
  <si>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</si>
  <si>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</si>
  <si>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</si>
  <si>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</si>
  <si>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</si>
  <si>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</si>
  <si>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</si>
  <si>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</si>
  <si>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</si>
  <si>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</si>
  <si>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</si>
  <si>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</si>
  <si>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</si>
  <si>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</si>
  <si>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</si>
  <si>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</si>
  <si>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</si>
  <si>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</si>
  <si>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</si>
  <si>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</si>
  <si>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</si>
  <si>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</si>
  <si>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</si>
  <si>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</si>
  <si>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</si>
  <si>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</si>
  <si>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</si>
  <si>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</si>
  <si>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</si>
  <si>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</si>
  <si>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</si>
  <si>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</si>
  <si>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</si>
  <si>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</si>
  <si>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</si>
  <si>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</si>
  <si>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</si>
  <si>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</si>
  <si>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</si>
  <si>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</si>
  <si>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</si>
  <si>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</si>
  <si>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</si>
  <si>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</si>
  <si>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</si>
  <si>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</si>
  <si>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</si>
  <si>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</si>
  <si>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</si>
  <si>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</si>
  <si>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</si>
  <si>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</si>
  <si>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</si>
  <si>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</si>
  <si>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</si>
  <si>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</si>
  <si>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</si>
  <si>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</si>
  <si>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</si>
  <si>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</si>
  <si>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</si>
  <si>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</si>
  <si>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</si>
  <si>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</si>
  <si>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</si>
  <si>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</si>
  <si>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</si>
  <si>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</si>
  <si>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</si>
  <si>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CONTRAPISO EM ARGAMASSA TRAÇO 1:4 (CIMENTO E AREIA), PREPARO MECÂNICO COM BETONEIRA 400 L, APLICADO EM ÁREAS SECAS SOBRE LAJE, ADERIDO, ACABAMENTO NÃO REFORÇADO, ESPESSURA 3CM. AF_07/2021</t>
  </si>
  <si>
    <t>SARRAFO NAO APARELHADO *2,5 X 10* CM, EM MACARANDUBA, ANGELIM OU EQUIVALENTE DA REGIAO - BRUTA</t>
  </si>
  <si>
    <t>TABUA NAO APARELHADA *2,5 X 20* CM, EM MACARANDUBA, ANGELIM OU EQUIVALENTE DA REGIAO - BRUTA</t>
  </si>
  <si>
    <t>FURO PARA TORNEIRA OU OUTROS ACESSORIOS EM BANCADA DE MARMORE/ GRANITO OU OUTRO TIPO DE PEDRA NATURAL</t>
  </si>
  <si>
    <t>ADESIVO ACRILICO DE BASE AQUOSA / COLA DE CONTATO</t>
  </si>
  <si>
    <t>ANEL DE VEDACAO, PVC FLEXIVEL, 100 MM, PARA SAIDA DE BACIA / VASO SANITARIO</t>
  </si>
  <si>
    <t>ADESIVO PLASTICO PARA PVC, FRASCO COM *850* GR</t>
  </si>
  <si>
    <t>SOLUCAO PREPARADORA / LIMPADORA PARA PVC, FRASCO COM 1000 CM3</t>
  </si>
  <si>
    <t>CAIXA SIFONADA, PVC, 150 X *185* X 75 MM, COM GRELHA QUADRADA, BRANCA</t>
  </si>
  <si>
    <t>PASTA LUBRIFICANTE PARA TUBOS E CONEXOES COM JUNTA ELASTICA, EMBALAGEM DE *400* GR (USO EM PVC, ACO, POLIETILENO E OUTROS)</t>
  </si>
  <si>
    <t>CAIXA SIFONADA PVC, 250 X 230 X 75 MM, COM TAMPA CEGA QUADRADA, BRANCA</t>
  </si>
  <si>
    <t>RALO SECO CONICO, PVC, 100 X 40 MM, COM GRELHA REDONDA BRANCA</t>
  </si>
  <si>
    <t>BACIA SANITARIA (VASO) CONVENCIONAL, DE LOUCA BRANCA, SIFAO APARENTE, SAIDA VERTICAL (SEM ASSENTO)</t>
  </si>
  <si>
    <t>LAVATORIO DE LOUCA BRANCA, SUSPENSO (SEM COLUNA), DIMENSOES *40 X 30* CM</t>
  </si>
  <si>
    <t>MICTORIO INDICUDUAL, SIFONADO, LOUCA BRANCA, SEM COMPLEMENTOS</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</si>
  <si>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</si>
  <si>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</si>
  <si>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</si>
  <si>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</si>
  <si>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</si>
  <si>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BACIA SANITARIA (VASO) CONVENCIONAL PARA PCD, SEM FURO FRONTAL, DE LOUCA BRANCA (SEM ASSENTO)</t>
  </si>
  <si>
    <t>ELETRODUTO/DUTO PEAD FLEXIVEL PAREDE SIMPLES, CORRUGACAO HELICOIDAL, COR PRETA, SEM ROSCA, DE 3", PARA CABEAMENTO SUBTERRANEO (NBR 15715)</t>
  </si>
  <si>
    <t>TINTA ACRILICA A BASE DE SOLVENTE, PARA SINALIZACAO HORIZONTAL VIARIA (NBR 11862)</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</si>
  <si>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</si>
  <si>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</si>
  <si>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</si>
  <si>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</si>
  <si>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</si>
  <si>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</si>
  <si>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</si>
  <si>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</si>
  <si>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TELA DE ACO SOLDADA GALVANIZADA/ZINCADA PARA ALVENARIA, FIO D = *1,20 A 1,70* MM, MALHA 15 X 15 MM, (C X L) *50 X 12* CM</t>
  </si>
  <si>
    <t>MEIO-FIO OU GUIA DE CONCRETO PRE-MOLDADO, TIPO CHAPEU PARA BOCA DE LOBO, DIMENSOES *1,20* X 0,15 X 0,30 M</t>
  </si>
  <si>
    <t>SARRAFO NAO APARELHADO *2,5 X 7* CM, EM MACARANDUBA, ANGELIM OU EQUIVALENTE DA REGIAO - BRUTA</t>
  </si>
  <si>
    <t>CAIBRO NAO APARELHADO *7,5 X 7,5* CM, EM MACARANDUBA, ANGELIM OU EQUIVALENTE DA REGIAO - BRUTA</t>
  </si>
  <si>
    <t>ABRACADEIRA EM ACO PARA AMARRACAO DE ELETRODUTOS, TIPO D, COM 1/2" E PARAFUSO DE FIXACAO</t>
  </si>
  <si>
    <t>BATENTE / PORTAL / ADUELA / MARCO EM MADEIRA MACICA COM REBAIXO, E = *3* CM, L = *14* CM, PARA PORTAS DE GIRO DE *60 CM A 120* CM X *210* CM, CEDRINHO / ANGELIM COMERCIAL / TAURI / CURUPIXA / PEROBA / CUMARU OU EQUIVALENTE DA REGIAO (NAO INCLUI ALIZARES)</t>
  </si>
  <si>
    <t>ARGAMASSA COLANTE TIPO AC III</t>
  </si>
  <si>
    <t>PISO TATIL DE ALERTA OU DIRECIONAL, DE BORRACHA, COLORIDO, 25 X 25 CM, E = 12 MM, PARA ARGAMASSA</t>
  </si>
  <si>
    <t>PISO EM GRANILITE, MARMORITE OU GRANITINA, AGREGADO COR PRETO, CINZA, PALHA OU BRANCO, E= *8* MM (INCLUSO EXECUCAO)</t>
  </si>
  <si>
    <t>SELADOR ACRILICO OPACO PREMIUM INTERIOR/EXTERIOR</t>
  </si>
  <si>
    <t>FITA CREPE ROLO DE 25 MM X 50 M</t>
  </si>
  <si>
    <t>DILUENTE EPOXI</t>
  </si>
  <si>
    <t>MICROESFERAS DE VIDRO PARA SINALIZACAO HORIZONTAL VIARIA, TIPO II-A (DROP-ON) - NBR 16184</t>
  </si>
  <si>
    <t>Painel de TV em compensado</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</si>
  <si>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</si>
  <si>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</si>
  <si>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</si>
  <si>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SF-02677</t>
  </si>
  <si>
    <t>SF-02678</t>
  </si>
  <si>
    <t>SF-02679</t>
  </si>
  <si>
    <t>SF-02680</t>
  </si>
  <si>
    <t>SF-02681</t>
  </si>
  <si>
    <t>SF-02682</t>
  </si>
  <si>
    <t>SF-02683</t>
  </si>
  <si>
    <t>SF-02684</t>
  </si>
  <si>
    <t>SF-02685</t>
  </si>
  <si>
    <t>SF-02686</t>
  </si>
  <si>
    <t>SF-02687</t>
  </si>
  <si>
    <t>SF-02688</t>
  </si>
  <si>
    <t>SF-02689</t>
  </si>
  <si>
    <t>SF-02690</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</si>
  <si>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</si>
  <si>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</si>
  <si>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</si>
  <si>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</si>
  <si>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</si>
  <si>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</si>
  <si>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Guarda Corpo metálico com Esquadria para Vidro</t>
  </si>
  <si>
    <t>Guarda Corpo e Corrimão metálicos com Esquadria para Vidro</t>
  </si>
  <si>
    <t>Manutenção on site - Plataforma elevatória vertical para acessibilidade - Bloco 15 (Espaço do Servidor)</t>
  </si>
  <si>
    <t>Estudos Preliminares – Usina Fotovoltaica</t>
  </si>
  <si>
    <t>Anteprojetos – Usina Fotovoltaica</t>
  </si>
  <si>
    <t>Cronograma Físico-Financeiro, Caderno de Encargos e Orçamentos – Usina Fotovoltaica</t>
  </si>
  <si>
    <t>Demolição de revestimento de piso vinílico</t>
  </si>
  <si>
    <t>Remoção de telhas de fibrocimento, metálica ou cerâmica</t>
  </si>
  <si>
    <t>CHAPA DE MDF BRANCO LISO 1 FACE, E = 18 MM, DE *2,75 X 1,85* M</t>
  </si>
  <si>
    <t>CHUMBADOR DE ACO, DIAMETRO 5/8", COMPRIMENTO 6", COM PORCA</t>
  </si>
  <si>
    <t>DILUENTE AGUARRAS</t>
  </si>
  <si>
    <t>DISJUNTOR TIPO DIN/IEC, TRIPOLAR DE 10 ATE 50A</t>
  </si>
  <si>
    <t>MASTRO SIMPLES GALVANIZADO DIAMETRO NOMINAL 2"</t>
  </si>
  <si>
    <t>PRIMER EPOXI / EPOXIDICO</t>
  </si>
  <si>
    <t>TERMINAL A COMPRESSAO EM COBRE ESTANHADO PARA CABO 10 MM2, 1 FURO E 1 COMPRESSAO, PARA PARAFUSO DE FIXACAO M6</t>
  </si>
  <si>
    <t>TUBO ACO CARBONO SEM COSTURA 2 1/2", E = 5,16 MM, SCHEDULE 40 (8,62 KG/M)</t>
  </si>
  <si>
    <t>VALVULA DE ESCOAMENTO PARA TANQUE, EM METAL CROMADO, 1.1/2 ", SEM LADRAO, COM TAMPAO PLASTICO</t>
  </si>
  <si>
    <t>VIDRO LISO INCOLOR 4MM - SEM COLOCACAO</t>
  </si>
  <si>
    <t>ARMAÇÃO VERTICAL DE ALVENARIA ESTRUTURAL; DIÂMETRO DE 10,0 MM. AF_09/2021</t>
  </si>
  <si>
    <t>ARMAÇÃO DE CINTA DE ALVENARIA ESTRUTURAL; DIÂMETRO DE 10,0 MM. AF_09/2021</t>
  </si>
  <si>
    <t>MONTAGEM DE ARMADURA DE ESTACAS, DIÂMETRO = 16,0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</si>
  <si>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</si>
  <si>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</si>
  <si>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</si>
  <si>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</si>
  <si>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</si>
  <si>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</si>
  <si>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</si>
  <si>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</si>
  <si>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</si>
  <si>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</si>
  <si>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</si>
  <si>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</si>
  <si>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COMPENSADO NAVAL - CHAPA/PAINEL EM MADEIRA COMPENSADA PRENSADA, DE 2200 X 1600 MM, E = 20 MM</t>
  </si>
  <si>
    <t>SF-02691</t>
  </si>
  <si>
    <t>SF-02692</t>
  </si>
  <si>
    <t>SF-02693</t>
  </si>
  <si>
    <t>SF-02694</t>
  </si>
  <si>
    <t>SF-02695</t>
  </si>
  <si>
    <t>SF-02696</t>
  </si>
  <si>
    <t>SF-02697</t>
  </si>
  <si>
    <t>SF-02698</t>
  </si>
  <si>
    <t>SF-02699</t>
  </si>
  <si>
    <t>SF-02700</t>
  </si>
  <si>
    <t>SF-02701</t>
  </si>
  <si>
    <t>SF-02702</t>
  </si>
  <si>
    <t>SF-02703</t>
  </si>
  <si>
    <t>Projeto executivo de engenharia elétrica - Sistema de geração de energia elétrica – Bloco 01 (Prodasen)</t>
  </si>
  <si>
    <t>Grupo motor-gerador 230 kVA</t>
  </si>
  <si>
    <t>Unidade de Supervisão, Controle e Automação dos Geradores – Bloco 01 (Prodasen)</t>
  </si>
  <si>
    <t>Manutenção on site – Grupo motor-gerador e instalações associadas do ramal X – Bloco 01 (Prodasen)</t>
  </si>
  <si>
    <t>Projeto executivo – Reforma das fachadas Sudoeste dos Blocos “C G” e Noroeste do Bloco “D” - SQS 309</t>
  </si>
  <si>
    <t>Demolição e descarte de esquadrias em aço e vidros - SQS 309 (Blocos C, D e G)</t>
  </si>
  <si>
    <t>Esquadrias em alumínio - SQS 309 (Blocos C, D e G)</t>
  </si>
  <si>
    <t>Gaiola para revestimento de condensadoras - SQS 309 (Blocos C, D e G)</t>
  </si>
  <si>
    <t>Remoção de pavimento em elementos intertravados de concreto</t>
  </si>
  <si>
    <t>Instalação de pavimentação em elementos intertravados de concreto reaproveitados</t>
  </si>
  <si>
    <t>SF-02704</t>
  </si>
  <si>
    <t>SF-02705</t>
  </si>
  <si>
    <t>SF-02706</t>
  </si>
  <si>
    <t>SF-02707</t>
  </si>
  <si>
    <t>SF-02708</t>
  </si>
  <si>
    <t>SF-02709</t>
  </si>
  <si>
    <t>SF-02710</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</si>
  <si>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</si>
  <si>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</si>
  <si>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</si>
  <si>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</si>
  <si>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</si>
  <si>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</si>
  <si>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</si>
  <si>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</si>
  <si>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</si>
  <si>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</si>
  <si>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</si>
  <si>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</si>
  <si>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</si>
  <si>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</si>
  <si>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</si>
  <si>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</si>
  <si>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</si>
  <si>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</si>
  <si>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</si>
  <si>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</si>
  <si>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</si>
  <si>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</si>
  <si>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</si>
  <si>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</si>
  <si>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</si>
  <si>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</si>
  <si>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</si>
  <si>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</si>
  <si>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</si>
  <si>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</si>
  <si>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</si>
  <si>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</si>
  <si>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</si>
  <si>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</si>
  <si>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</si>
  <si>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</si>
  <si>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</si>
  <si>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</si>
  <si>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SF-02749</t>
  </si>
  <si>
    <t>SF-02750</t>
  </si>
  <si>
    <t>BLOCO CERAMICO / TIJOLO VAZADO PARA ALVENARIA DE VEDACAO, FUROS NA VERTICAL,, 9 X 19 X 39 CM (NBR 15270)</t>
  </si>
  <si>
    <t>BLOCO CERAMICO / TIJOLO VAZADO PARA ALVENARIA DE VEDACAO, 8 FUROS NA HORIZONTAL, DE 9 X 19 X 19 CM (L XA X C)</t>
  </si>
  <si>
    <t>CHAPA/PAINEL DE MADEIRA COMPENSADA PLASTIFICADA (MADEIRITE PLASTIFICADO) PARA FORMA DE CONCRETO, DE 2200 x 1100 MM, E = *17* MM</t>
  </si>
  <si>
    <t>CHAPA/PAINEL DE MADEIRA COMPENSADA RESINADA (MADEIRITE RESINADO ROSA) PARA FORMA DE CONCRETO, DE 2200 x 1100 MM, E = 17 MM</t>
  </si>
  <si>
    <t>GUARNICAO / MOLDURA / ARREMATE DE ACABAMENTO PARA ESQUADRIA, EM ALUMINIO PERFIL 25, ACABAMENTO ANODIZADO BRANCO OU BRILHANTE, PARA 1 FACE</t>
  </si>
  <si>
    <t>JANELA MAXIM AR, EM ALUMINIO PERFIL 25, 60 X 80 CM (A X L), ACABAMENTO BRANCO OU BRILHANTE, BATENTE DE 4 A 5 CM, COM VIDRO, SEM GUARNICAO/ALIZAR</t>
  </si>
  <si>
    <t>MASSA PREMIUM PARA TEXTURA LISA DE BASE ACRILICA, USO INTERNO E EXTERNO</t>
  </si>
  <si>
    <t>RESINA ACRILICA PREMIUM BASE AGUA - COR BRANCA</t>
  </si>
  <si>
    <t>TINTA LATEX ACRILICA PREMIUM, COR BRANCO FOSCO</t>
  </si>
  <si>
    <t>ANEL BORRACHA PARA TUBO ESGOTO PREDIAL, DN 75 MM (NBR 5688)</t>
  </si>
  <si>
    <t>ELETRODUTO/DUTO PEAD FLEXIVEL PAREDE SIMPLES, CORRUGACAO HELICOIDAL, COR PRETA, SEM ROSCA, DE 1 1/4", PARA CABEAMENTO SUBTERRANEO (NBR 15715)</t>
  </si>
  <si>
    <t>LIXA EM FOLHA PARA PAREDE OU MADEIRA, NUMERO 120, COR VERMELHA</t>
  </si>
  <si>
    <t>MASSA ACRILICA PARA SUPERFICIES INTERNAS E EXTERNAS</t>
  </si>
  <si>
    <t>MASSA CORRIDA PARA SUPERFICIES DE AMBIENTES INTERNOS</t>
  </si>
  <si>
    <t>PLACA DE OBRA (PARA CONSTRUCAO CIVIL) EM CHAPA GALVANIZADA *N. 22*, ADESIVADA, DE *2,4 X 1,2* M (SEM POSTES PARA FIXACAO)</t>
  </si>
  <si>
    <t>Disjuntor tripolar trilho DIN até 40A</t>
  </si>
  <si>
    <t>Poste reto 4m para câmera de CFTV</t>
  </si>
  <si>
    <t>Caixa hermética para CFTV</t>
  </si>
  <si>
    <t>POSTE CONICO CONTINUO EM ACO GALVANIZADO, RETO, H = 4 M</t>
  </si>
  <si>
    <t>ALVENARIA DE VEDAÇÃO DE BLOCOS CERÂMICOS FURADOS NA VERTICAL DE 9X19X39 CM (ESPESSURA 9 CM) E ARGAMASSA DE ASSENTAMENTO COM PREPARO EM BETONEIRA. AF_12/2021</t>
  </si>
  <si>
    <t>POLIESTIRENO EXPANDIDO/EPS (ISOPOR), TIPO 2F, BLOCO</t>
  </si>
  <si>
    <t>*Considerando distância Brasília-Sâo Paulo = 1.030 km</t>
  </si>
  <si>
    <t>Projeto executivo de engenharia elétrica – Closets de rede de dados</t>
  </si>
  <si>
    <t>Barramento de equipotencialização local</t>
  </si>
  <si>
    <t>Nobreak de 3 kVA – fornecimento e instalação</t>
  </si>
  <si>
    <t>Quadro elétrico TTA - 6 disjuntores terminais</t>
  </si>
  <si>
    <t>Quadro elétrico TTA - 11 disjuntores terminais</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</si>
  <si>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</si>
  <si>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</si>
  <si>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</si>
  <si>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</si>
  <si>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</si>
  <si>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</si>
  <si>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</si>
  <si>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</si>
  <si>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</si>
  <si>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</si>
  <si>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</si>
  <si>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Bacia conforto (h=44cm) – Linha Acessibilidade</t>
  </si>
  <si>
    <t>Barra de apoio 40cm - Linha Acessibilidade</t>
  </si>
  <si>
    <t>Barra de apoio 70 cm - Linha Acessibilidade</t>
  </si>
  <si>
    <t>Barra de apoio 80 cm - Linha Acessibilidade</t>
  </si>
  <si>
    <t>Barra de apoio lateral fixa 30cm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</si>
  <si>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</si>
  <si>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</si>
  <si>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</si>
  <si>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</si>
  <si>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</si>
  <si>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</si>
  <si>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</si>
  <si>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</si>
  <si>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</si>
  <si>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</si>
  <si>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Prolongador de PVC para Caixa de Gordura - DN300</t>
  </si>
  <si>
    <t>Caixa de hidrante de parede com vidro - 70x50 cm</t>
  </si>
  <si>
    <t>Caixa de inspeção e interligação em PVC</t>
  </si>
  <si>
    <t>Caixa sifonada de PVC DN 150 mm</t>
  </si>
  <si>
    <t>Caixa sifonada de PVC DN 250 mm</t>
  </si>
  <si>
    <t>Carrapeta (vedador) de borracha para torneira</t>
  </si>
  <si>
    <t>Vedante de borracha nitrílica para Carrapetas</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</si>
  <si>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</si>
  <si>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</si>
  <si>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</si>
  <si>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</si>
  <si>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</si>
  <si>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</si>
  <si>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</si>
  <si>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</si>
  <si>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</si>
  <si>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</si>
  <si>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</si>
  <si>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</si>
  <si>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</si>
  <si>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</si>
  <si>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</si>
  <si>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</si>
  <si>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</si>
  <si>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</si>
  <si>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</si>
  <si>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</si>
  <si>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</si>
  <si>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Ligação flexível em PVC - 40cm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</si>
  <si>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</si>
  <si>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</si>
  <si>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</si>
  <si>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</si>
  <si>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</si>
  <si>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</si>
  <si>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</si>
  <si>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</si>
  <si>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</si>
  <si>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</si>
  <si>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</si>
  <si>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</si>
  <si>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</si>
  <si>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</si>
  <si>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</si>
  <si>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</si>
  <si>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</si>
  <si>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</si>
  <si>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</si>
  <si>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</si>
  <si>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Manômetro DN100 (4”) até 150psi - COM glicerina</t>
  </si>
  <si>
    <t>SF-02777</t>
  </si>
  <si>
    <t>Manômetro DN63 (2 1/2”) até 150psi - COM glicerina</t>
  </si>
  <si>
    <t>SF-02778</t>
  </si>
  <si>
    <t>Manômetro DN63 (2 1/2”) até 150psi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</si>
  <si>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</si>
  <si>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</si>
  <si>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</si>
  <si>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</si>
  <si>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</si>
  <si>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</si>
  <si>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</si>
  <si>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</si>
  <si>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</si>
  <si>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</si>
  <si>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</si>
  <si>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</si>
  <si>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</si>
  <si>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</si>
  <si>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</si>
  <si>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</si>
  <si>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</si>
  <si>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</si>
  <si>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</si>
  <si>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</si>
  <si>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</si>
  <si>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</si>
  <si>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</si>
  <si>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</si>
  <si>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</si>
  <si>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</si>
  <si>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</si>
  <si>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</si>
  <si>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</si>
  <si>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</si>
  <si>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</si>
  <si>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</si>
  <si>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</si>
  <si>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</si>
  <si>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</si>
  <si>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</si>
  <si>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</si>
  <si>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</si>
  <si>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</si>
  <si>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</si>
  <si>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</si>
  <si>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</si>
  <si>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</si>
  <si>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</si>
  <si>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</si>
  <si>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</si>
  <si>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</si>
  <si>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</si>
  <si>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</si>
  <si>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</si>
  <si>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</si>
  <si>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</si>
  <si>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</si>
  <si>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</si>
  <si>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</si>
  <si>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</si>
  <si>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</si>
  <si>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</si>
  <si>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</si>
  <si>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</si>
  <si>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</si>
  <si>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</si>
  <si>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</si>
  <si>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</si>
  <si>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</si>
  <si>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</si>
  <si>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</si>
  <si>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</si>
  <si>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</si>
  <si>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</si>
  <si>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</si>
  <si>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</si>
  <si>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</si>
  <si>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</si>
  <si>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</si>
  <si>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</si>
  <si>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</si>
  <si>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</si>
  <si>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</si>
  <si>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</si>
  <si>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</si>
  <si>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</si>
  <si>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</si>
  <si>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</si>
  <si>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</si>
  <si>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</si>
  <si>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</si>
  <si>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Registro Esfera PVC VS Soldável 60mm</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</si>
  <si>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</si>
  <si>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</si>
  <si>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</si>
  <si>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</si>
  <si>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</si>
  <si>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</si>
  <si>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</si>
  <si>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</si>
  <si>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</si>
  <si>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</si>
  <si>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</si>
  <si>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</si>
  <si>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</si>
  <si>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</si>
  <si>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</si>
  <si>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</si>
  <si>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</si>
  <si>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</si>
  <si>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</si>
  <si>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</si>
  <si>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</si>
  <si>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</si>
  <si>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</si>
  <si>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</si>
  <si>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</si>
  <si>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</si>
  <si>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</si>
  <si>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</si>
  <si>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</si>
  <si>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</si>
  <si>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</si>
  <si>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</si>
  <si>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</si>
  <si>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</si>
  <si>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</si>
  <si>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</si>
  <si>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</si>
  <si>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</si>
  <si>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</si>
  <si>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</si>
  <si>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</si>
  <si>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</si>
  <si>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</si>
  <si>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</si>
  <si>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</si>
  <si>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</si>
  <si>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</si>
  <si>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</si>
  <si>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</si>
  <si>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</si>
  <si>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</si>
  <si>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</si>
  <si>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</si>
  <si>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</si>
  <si>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</si>
  <si>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</si>
  <si>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</si>
  <si>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</si>
  <si>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</si>
  <si>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</si>
  <si>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</si>
  <si>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</si>
  <si>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Tubo de cobre classe “E” 22mm</t>
  </si>
  <si>
    <t>SF-02864</t>
  </si>
  <si>
    <t>Tubo de cobre classe “E” 28 mm</t>
  </si>
  <si>
    <t>SF-02865</t>
  </si>
  <si>
    <t>Tubo de cobre classe “E” 42mm</t>
  </si>
  <si>
    <t>SF-02866</t>
  </si>
  <si>
    <t>Tubo de cobre classe “E” 35mm</t>
  </si>
  <si>
    <t>SF-02867</t>
  </si>
  <si>
    <t>Tubo de cobre classe “E” 54mm</t>
  </si>
  <si>
    <t>SF-02868</t>
  </si>
  <si>
    <t>Tubo de cobre classe “E” 66mm</t>
  </si>
  <si>
    <t>SF-02869</t>
  </si>
  <si>
    <t>Tubo de cobre classe “E” 79mm</t>
  </si>
  <si>
    <t>SF-02870</t>
  </si>
  <si>
    <t>Tubo de cobre classe “E” 104mm</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</si>
  <si>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</si>
  <si>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</si>
  <si>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</si>
  <si>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</si>
  <si>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</si>
  <si>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</si>
  <si>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</si>
  <si>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</si>
  <si>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</si>
  <si>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</si>
  <si>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</si>
  <si>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</si>
  <si>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</si>
  <si>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</si>
  <si>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</si>
  <si>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</si>
  <si>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</si>
  <si>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</si>
  <si>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</si>
  <si>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</si>
  <si>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</si>
  <si>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</si>
  <si>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</si>
  <si>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</si>
  <si>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</si>
  <si>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</si>
  <si>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</si>
  <si>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</si>
  <si>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</si>
  <si>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</si>
  <si>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</si>
  <si>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Tubo PVC esgoto ou águas pluviais predial DN 100mm</t>
  </si>
  <si>
    <t>SF-02887</t>
  </si>
  <si>
    <t>SF-02888</t>
  </si>
  <si>
    <t>Tubo PVC esgoto ou águas pluviais predial DN 40 mm</t>
  </si>
  <si>
    <t>SF-02889</t>
  </si>
  <si>
    <t>Tubo PVC esgoto ou águas pluviais predial DN 50mm</t>
  </si>
  <si>
    <t>SF-02890</t>
  </si>
  <si>
    <t>Tubo PVC esgoto ou águas pluviais predial DN 75mm</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</si>
  <si>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</si>
  <si>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</si>
  <si>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</si>
  <si>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</si>
  <si>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</si>
  <si>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</si>
  <si>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</si>
  <si>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</si>
  <si>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</si>
  <si>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</si>
  <si>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</si>
  <si>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</si>
  <si>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</si>
  <si>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</si>
  <si>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</si>
  <si>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</si>
  <si>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</si>
  <si>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Tubo PVC soldável água fria DN 20mm</t>
  </si>
  <si>
    <t>SF-02900</t>
  </si>
  <si>
    <t>SF-02901</t>
  </si>
  <si>
    <t>SF-02902</t>
  </si>
  <si>
    <t>SF-02903</t>
  </si>
  <si>
    <t>SF-02904</t>
  </si>
  <si>
    <t>Tubo PVC soldável água fria DN 60mm</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</si>
  <si>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</si>
  <si>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</si>
  <si>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</si>
  <si>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</si>
  <si>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</si>
  <si>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</si>
  <si>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</si>
  <si>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</si>
  <si>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</si>
  <si>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</si>
  <si>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</si>
  <si>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</si>
  <si>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</si>
  <si>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</si>
  <si>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</si>
  <si>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</si>
  <si>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</si>
  <si>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</si>
  <si>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</si>
  <si>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</si>
  <si>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</si>
  <si>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</si>
  <si>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</si>
  <si>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</si>
  <si>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</si>
  <si>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</si>
  <si>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</si>
  <si>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</si>
  <si>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</si>
  <si>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</si>
  <si>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</si>
  <si>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</si>
  <si>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</si>
  <si>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</si>
  <si>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</si>
  <si>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Válvula de retenção horizontal – PN-25 3/4”</t>
  </si>
  <si>
    <t>SF-02925</t>
  </si>
  <si>
    <t>Válvula de retenção horizontal – PN-25 2”</t>
  </si>
  <si>
    <t>SF-02926</t>
  </si>
  <si>
    <t>Válvula de retenção vertical - 3”</t>
  </si>
  <si>
    <t>SF-02927</t>
  </si>
  <si>
    <t>Válvula de retenção vertical - 4”</t>
  </si>
  <si>
    <t>SF-02928</t>
  </si>
  <si>
    <t>Válvula de retenção vertical - 2”</t>
  </si>
  <si>
    <t>SF-02929</t>
  </si>
  <si>
    <t>Válvula de retenção vertical - 2 1/2”</t>
  </si>
  <si>
    <t>SF-02930</t>
  </si>
  <si>
    <t>Válvula de redutora de pressão vertical/horizontal (governo) - 4”</t>
  </si>
  <si>
    <t>SF-02931</t>
  </si>
  <si>
    <t>SF-02932</t>
  </si>
  <si>
    <t>SF-02933</t>
  </si>
  <si>
    <t>SF-02934</t>
  </si>
  <si>
    <t>Acoplamento Circular PVC 88mm</t>
  </si>
  <si>
    <t>SF-02935</t>
  </si>
  <si>
    <t>Adaptador com Flange e Anel 85mm x 3”</t>
  </si>
  <si>
    <t>SF-02936</t>
  </si>
  <si>
    <t>Adaptador em 90° para filtro cromado 1/2 x 1/4 - Bico fino</t>
  </si>
  <si>
    <t>SF-02937</t>
  </si>
  <si>
    <t>Adaptador em 90° para filtro cromado 1/2 x 3/4</t>
  </si>
  <si>
    <t>SF-02938</t>
  </si>
  <si>
    <t>Adaptador de saída para vaso sanitário - 100mm</t>
  </si>
  <si>
    <t>SF-02939</t>
  </si>
  <si>
    <t>Adaptador JR com anel 100mm - Tubo de Ferro Fundido para PVC</t>
  </si>
  <si>
    <t>SF-02940</t>
  </si>
  <si>
    <t>Adaptador PVC água fria- 60 mm x 2”</t>
  </si>
  <si>
    <t>SF-02941</t>
  </si>
  <si>
    <t>Manilha para Poço – 1,10x0,50x0,05 m</t>
  </si>
  <si>
    <t>SF-02942</t>
  </si>
  <si>
    <t>Adaptador para filtro 3/8 x 1/2 - Rosca macho</t>
  </si>
  <si>
    <t>SF-02943</t>
  </si>
  <si>
    <t>Aquecedor elétrico horizontal – 200L – Linha Residencial</t>
  </si>
  <si>
    <t>SF-02944</t>
  </si>
  <si>
    <t>Válvula Alívio/Segurança 4 Bar- 1/2” para Aquecedor (Boiler)</t>
  </si>
  <si>
    <t>SF-02945</t>
  </si>
  <si>
    <t>Bomba para Hidromassagem Syllent Mb63 1/3Cv Monofásica 220V</t>
  </si>
  <si>
    <t>SF-02946</t>
  </si>
  <si>
    <t>Motobomba Centrífuga Submersível 1cv – trifásica - Ø máx. sólidos ≥ 20mm</t>
  </si>
  <si>
    <t>SF-02947</t>
  </si>
  <si>
    <t>Motobomba Centrífuga Submersível 2cv - trifásica - Ø máx. sólidos ≥ 20mm</t>
  </si>
  <si>
    <t>SF-02948</t>
  </si>
  <si>
    <t>Motobomba Centrífuga Submersível 3cv - trifásica - Ø máx. sólidos ≥ 20mm</t>
  </si>
  <si>
    <t>SF-02949</t>
  </si>
  <si>
    <t>Motobomba Centrífuga Submersível 4cv - trifásica - Ø máx. sólidos ≥ 20mm</t>
  </si>
  <si>
    <t>SF-02950</t>
  </si>
  <si>
    <t>Motobomba Centrífuga Submersível 5cv – trifásica - Ø máx. sólidos ≥ 60mm</t>
  </si>
  <si>
    <t>SF-02951</t>
  </si>
  <si>
    <t>Motobomba Centrífuga Submersível 7,5cv - trifásica - Ø máx. sólidos ≥ 70mm</t>
  </si>
  <si>
    <t>SF-02952</t>
  </si>
  <si>
    <t>Motobomba Centrífuga Submersível 10cv – trifásica - Ø máx. sólidos ≥ 70mm</t>
  </si>
  <si>
    <t>SF-02953</t>
  </si>
  <si>
    <t>Motobomba Centrífuga Submersível 15cv – trifásica - Ø máx. sólidos ≥ 65mm</t>
  </si>
  <si>
    <t>SF-02954</t>
  </si>
  <si>
    <t>Motobomba centrífuga de superfície monoestágio 1,5cv - monofásica</t>
  </si>
  <si>
    <t>SF-02955</t>
  </si>
  <si>
    <t>Motobomba centrífuga de superfície monoestágio 2cv - monofásica</t>
  </si>
  <si>
    <t>SF-02956</t>
  </si>
  <si>
    <t>Motobomba centrífuga de superfície monoestágio 2cv - trifásica - Combate a Incêndio</t>
  </si>
  <si>
    <t>SF-02957</t>
  </si>
  <si>
    <t>Motobomba centrífuga de superfície monoestágio 3cv - trifásica</t>
  </si>
  <si>
    <t>SF-02958</t>
  </si>
  <si>
    <t>Motobomba centrífuga de superfície monoestágio 5cv - trifásica</t>
  </si>
  <si>
    <t>SF-02959</t>
  </si>
  <si>
    <t>Motobomba centrífuga de superfície monoestágio 5cv - trifásica – Combate a Incêndio</t>
  </si>
  <si>
    <t>SF-02960</t>
  </si>
  <si>
    <t>Motobomba centrífuga de superfície monoestágio 7,5cv - trifásica</t>
  </si>
  <si>
    <t>SF-02961</t>
  </si>
  <si>
    <t>Motobomba centrífuga de superfície monoestágio 7,5cv - trifásica – Combate a Incêndio</t>
  </si>
  <si>
    <t>SF-02962</t>
  </si>
  <si>
    <t>Motobomba centrífuga de superfície monoestágio 10cv - trifásica</t>
  </si>
  <si>
    <t>SF-02963</t>
  </si>
  <si>
    <t>Motobomba centrífuga de superfície monoestágio 15cv - trifásica – Combate a Incêndio</t>
  </si>
  <si>
    <t>SF-02964</t>
  </si>
  <si>
    <t>Bomba Centrífuga Mancalizada - 01 estágio - Ø recalque=3” (motor não incluído)</t>
  </si>
  <si>
    <t>SF-02965</t>
  </si>
  <si>
    <t>Bomba Centrífuga Mancalizada - 03 estágios - Ø recalque=3”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</si>
  <si>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</si>
  <si>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</si>
  <si>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</si>
  <si>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</si>
  <si>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</si>
  <si>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</si>
  <si>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</si>
  <si>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</si>
  <si>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</si>
  <si>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Bucha de Redução em CPVC 28 x 22mm</t>
  </si>
  <si>
    <t>SF-02971</t>
  </si>
  <si>
    <t>Bucha T em metal cromado, entrada e saída de 1/2”, regulagem para mangueira fina (1/4” ou 6,5mm)</t>
  </si>
  <si>
    <t>SF-02972</t>
  </si>
  <si>
    <t>Tê 90° rosca fêmea em latão cromado 1/2”</t>
  </si>
  <si>
    <t>SF-02973</t>
  </si>
  <si>
    <t>Plug Galvanizado 4”</t>
  </si>
  <si>
    <t>SF-02974</t>
  </si>
  <si>
    <t>Caixa d’água 1000 Litros</t>
  </si>
  <si>
    <t>SF-02975</t>
  </si>
  <si>
    <t>Canopla para Sprinkler de 1/2”, em latão cromado, diâmetro externo de 6,5cm</t>
  </si>
  <si>
    <t>SF-02976</t>
  </si>
  <si>
    <t>Sprinkler Pendente 1/2” Cromado 68°C, Fator K80 (5,6)</t>
  </si>
  <si>
    <t>SF-02977</t>
  </si>
  <si>
    <t>Cap PVC Soldável 60 mm</t>
  </si>
  <si>
    <t>SF-02978</t>
  </si>
  <si>
    <t>Capa prensável para mangueira 3/4”</t>
  </si>
  <si>
    <t>SF-02979</t>
  </si>
  <si>
    <t>Tê 90° em cobre 22 mm</t>
  </si>
  <si>
    <t>SF-02980</t>
  </si>
  <si>
    <t>Conector em cobre ou bronze 22mm x 3/4” fêmea</t>
  </si>
  <si>
    <t>SF-02981</t>
  </si>
  <si>
    <t>Conector em cobre ou bronze 22mm x 3/4” macho</t>
  </si>
  <si>
    <t>SF-02982</t>
  </si>
  <si>
    <t>Conector em cobre ou bronze 28 mm x 1” macho</t>
  </si>
  <si>
    <t>SF-02983</t>
  </si>
  <si>
    <t>União em Cobre 22mm</t>
  </si>
  <si>
    <t>SF-02984</t>
  </si>
  <si>
    <t>União em Cobre 28mm</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</si>
  <si>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</si>
  <si>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</si>
  <si>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</si>
  <si>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</si>
  <si>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</si>
  <si>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</si>
  <si>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</si>
  <si>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</si>
  <si>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</si>
  <si>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Fita perfurada em aço-carbono - 17x0,40mm - rolo 30m</t>
  </si>
  <si>
    <t>SF-02990</t>
  </si>
  <si>
    <t>Flange PVC soldável água fria DN 60mm</t>
  </si>
  <si>
    <t>SF-02991</t>
  </si>
  <si>
    <t>Flange PVC soldável água fria DN 25mm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</si>
  <si>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</si>
  <si>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</si>
  <si>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</si>
  <si>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</si>
  <si>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</si>
  <si>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</si>
  <si>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</si>
  <si>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</si>
  <si>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</si>
  <si>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Joelho 45° CPVC 28mm – Linha Residencial</t>
  </si>
  <si>
    <t>SF-02997</t>
  </si>
  <si>
    <t>Joelho 45° PVC soldável água fria DN 60mm</t>
  </si>
  <si>
    <t>SF-02998</t>
  </si>
  <si>
    <t>Joelho 45° CPVC 22mm – Linha Residencial</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</si>
  <si>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</si>
  <si>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</si>
  <si>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</si>
  <si>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</si>
  <si>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</si>
  <si>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</si>
  <si>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</si>
  <si>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</si>
  <si>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</si>
  <si>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</si>
  <si>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</si>
  <si>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</si>
  <si>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</si>
  <si>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Joelho 90° em Cobre classe “E” 22mm x 1/2” - rosca fêmea</t>
  </si>
  <si>
    <t>SF-03006</t>
  </si>
  <si>
    <t>Joelho 90° CPVC 22mm – Linha Residencial</t>
  </si>
  <si>
    <t>SF-03007</t>
  </si>
  <si>
    <t>Joelho 90° CPVC 28mm – Linha Residencial</t>
  </si>
  <si>
    <t>SF-03008</t>
  </si>
  <si>
    <t>Joelho 90° PVC soldável água fria DN 60mm</t>
  </si>
  <si>
    <t>SF-03009</t>
  </si>
  <si>
    <t>Tê 90° PVC soldável água fria DN 60mm</t>
  </si>
  <si>
    <t>SF-03010</t>
  </si>
  <si>
    <t>Tê de redução PVC soldável água fria 60 x 50mm</t>
  </si>
  <si>
    <t>SF-03011</t>
  </si>
  <si>
    <t>Joelho em cobre 22mm x 1/2” – rosca fêmea</t>
  </si>
  <si>
    <t>SF-03012</t>
  </si>
  <si>
    <t>Junta Papelão Hidráulico 6” x 1/16”</t>
  </si>
  <si>
    <t>SF-03013</t>
  </si>
  <si>
    <t>Tubo PEAD corrugado para drenagem – Diâmetro 110mm</t>
  </si>
  <si>
    <t>SF-03014</t>
  </si>
  <si>
    <t>Tubo PVC para Calha 88mm</t>
  </si>
  <si>
    <t>SF-03015</t>
  </si>
  <si>
    <t>Luva de Correr PVC esgoto ou águas pluviais predial DN 100mm</t>
  </si>
  <si>
    <t>SF-03016</t>
  </si>
  <si>
    <t>Luva de transição CPVC 1” x 28mm – Linha Residencial</t>
  </si>
  <si>
    <t>SF-03017</t>
  </si>
  <si>
    <t>Luva de transição CPVC 1/2” x 22mm  – Linha Residencial</t>
  </si>
  <si>
    <t>SF-03018</t>
  </si>
  <si>
    <t>Luva de transição CPVC 3/4” x 22mm – Linha Residencial</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</si>
  <si>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</si>
  <si>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</si>
  <si>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</si>
  <si>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</si>
  <si>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</si>
  <si>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</si>
  <si>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</si>
  <si>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</si>
  <si>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</si>
  <si>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</si>
  <si>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</si>
  <si>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</si>
  <si>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</si>
  <si>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Tê 45° (Junção) PVC esgoto ou águas pluviais predial DN 75mm</t>
  </si>
  <si>
    <t>SF-03026</t>
  </si>
  <si>
    <t>União CPVC 22mm – Linha Residencial</t>
  </si>
  <si>
    <t>SF-03027</t>
  </si>
  <si>
    <t>União CPVC 28mm– Linha Residencial</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</si>
  <si>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</si>
  <si>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</si>
  <si>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</si>
  <si>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</si>
  <si>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</si>
  <si>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</si>
  <si>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</si>
  <si>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</si>
  <si>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</si>
  <si>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</si>
  <si>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</si>
  <si>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</si>
  <si>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</si>
  <si>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</si>
  <si>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</si>
  <si>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</si>
  <si>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</si>
  <si>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</si>
  <si>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</si>
  <si>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</si>
  <si>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</si>
  <si>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</si>
  <si>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</si>
  <si>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Tê de redução em aço-carbono galvanizado 2”x1 1/2” – Água Potável e Combate a Incêndio</t>
  </si>
  <si>
    <t>SF-03040</t>
  </si>
  <si>
    <t>Tê 90° CPVC 22mm – Linha Residencial</t>
  </si>
  <si>
    <t>SF-03041</t>
  </si>
  <si>
    <t>Tê 90° CPVC 28mm – Linha Residencial</t>
  </si>
  <si>
    <t>SF-03042</t>
  </si>
  <si>
    <t>Luva CPVC 22mm – Linha Residencial</t>
  </si>
  <si>
    <t>SF-03043</t>
  </si>
  <si>
    <t>Luva CPVC 28mm– Linha Residencial</t>
  </si>
  <si>
    <t>SF-03044</t>
  </si>
  <si>
    <t>Luva PVC roscável para água fria 1 1/2”</t>
  </si>
  <si>
    <t>SF-03045</t>
  </si>
  <si>
    <t>Luva PVC roscável para água fria 2”</t>
  </si>
  <si>
    <t>SF-03046</t>
  </si>
  <si>
    <t>Luva de PVC soldável água fria DN 60mm</t>
  </si>
  <si>
    <t>SF-03047</t>
  </si>
  <si>
    <t>União PVC soldável 60mm</t>
  </si>
  <si>
    <t>SF-03048</t>
  </si>
  <si>
    <t>União PVC soldável 85mm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</si>
  <si>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</si>
  <si>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</si>
  <si>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</si>
  <si>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</si>
  <si>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</si>
  <si>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</si>
  <si>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</si>
  <si>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</si>
  <si>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</si>
  <si>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</si>
  <si>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</si>
  <si>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</si>
  <si>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</si>
  <si>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</si>
  <si>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</si>
  <si>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</si>
  <si>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</si>
  <si>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</si>
  <si>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</si>
  <si>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</si>
  <si>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</si>
  <si>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</si>
  <si>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</si>
  <si>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</si>
  <si>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</si>
  <si>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</si>
  <si>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</si>
  <si>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</si>
  <si>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</si>
  <si>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</si>
  <si>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</si>
  <si>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</si>
  <si>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</si>
  <si>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</si>
  <si>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</si>
  <si>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</si>
  <si>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</si>
  <si>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50mm)</t>
  </si>
  <si>
    <t>SF-03068</t>
  </si>
  <si>
    <t>Jogo de chave cachimbo de nº 6 a 32 mm</t>
  </si>
  <si>
    <t>SF-03069</t>
  </si>
  <si>
    <t>Desentupidora manual 12m</t>
  </si>
  <si>
    <t>SF-03070</t>
  </si>
  <si>
    <t>Desentupidora manual 4m</t>
  </si>
  <si>
    <t>SF-03071</t>
  </si>
  <si>
    <t>Torno de bancada fixo nº 4</t>
  </si>
  <si>
    <t>SF-03072</t>
  </si>
  <si>
    <t>Bomba manual para graxa 500g</t>
  </si>
  <si>
    <t>SF-03073</t>
  </si>
  <si>
    <t>Bomba manual para graxa 5 a 7kg</t>
  </si>
  <si>
    <t>SF-03074</t>
  </si>
  <si>
    <t>Bomba manual para Teste Hidrostático - Vazão 80 L/h - com Manômetro</t>
  </si>
  <si>
    <t>SF-03075</t>
  </si>
  <si>
    <t>Rádio comunicador bidirecional - alcance até 25km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</si>
  <si>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</si>
  <si>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</si>
  <si>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</si>
  <si>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</si>
  <si>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</si>
  <si>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</si>
  <si>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</si>
  <si>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</si>
  <si>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</si>
  <si>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</si>
  <si>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</si>
  <si>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</si>
  <si>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</si>
  <si>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</si>
  <si>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</si>
  <si>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</si>
  <si>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</si>
  <si>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</si>
  <si>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</si>
  <si>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</si>
  <si>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</si>
  <si>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</si>
  <si>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</si>
  <si>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</si>
  <si>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</si>
  <si>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</si>
  <si>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</si>
  <si>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</si>
  <si>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</si>
  <si>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</si>
  <si>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</si>
  <si>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</si>
  <si>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</si>
  <si>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</si>
  <si>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</si>
  <si>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</si>
  <si>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SF-03094</t>
  </si>
  <si>
    <t>Fotômetro para cloro livre e total</t>
  </si>
  <si>
    <t>SF-03095</t>
  </si>
  <si>
    <t>Mangueira de incêndio tipo 2 - engate 2 1/2” - lance 15m</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</si>
  <si>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</si>
  <si>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</si>
  <si>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</si>
  <si>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</si>
  <si>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</si>
  <si>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</si>
  <si>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</si>
  <si>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</si>
  <si>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</si>
  <si>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</si>
  <si>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</si>
  <si>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</si>
  <si>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</si>
  <si>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</si>
  <si>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</si>
  <si>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</si>
  <si>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</si>
  <si>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</si>
  <si>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</si>
  <si>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t>
  </si>
  <si>
    <t>SF-03106</t>
  </si>
  <si>
    <t>Jogo de Cossinete NPT 212 A 4</t>
  </si>
  <si>
    <t>SF-03107</t>
  </si>
  <si>
    <t>Jogo de Cossinete BSPT 1” a 2”</t>
  </si>
  <si>
    <t>SF-03108</t>
  </si>
  <si>
    <t>Selo mecânico tipo 21 - Ø1 1/4” para bombas centrífugas</t>
  </si>
  <si>
    <t>SF-03109</t>
  </si>
  <si>
    <t>Selo mecânico tipo 21 - Ø3/4” para bombas centrífugas</t>
  </si>
  <si>
    <t>SF-03110</t>
  </si>
  <si>
    <t>Selo mecânico tipo 21 - Ø5/8” para bombas centrífugas</t>
  </si>
  <si>
    <t>SF-03111</t>
  </si>
  <si>
    <t>Bucha de redução em ferro galvanizado 3” X 2 1/2”</t>
  </si>
  <si>
    <t>SF-03112</t>
  </si>
  <si>
    <t>Tubo de aço-carbono galvanizado 1 1/2” – Água Potável e Combate a Incêndio</t>
  </si>
  <si>
    <t>SF-03113</t>
  </si>
  <si>
    <t>Tubo de ligação para mictório</t>
  </si>
  <si>
    <t>SF-03114</t>
  </si>
  <si>
    <t>Reagente líquido para fotômetro</t>
  </si>
  <si>
    <t>SF-03115</t>
  </si>
  <si>
    <t>SF-03116</t>
  </si>
  <si>
    <t>SF-03117</t>
  </si>
  <si>
    <t>SF-03118</t>
  </si>
  <si>
    <t>SF-03119</t>
  </si>
  <si>
    <t>SF-03120</t>
  </si>
  <si>
    <t>SF-03121</t>
  </si>
  <si>
    <t>SF-03122</t>
  </si>
  <si>
    <t>SF-03123</t>
  </si>
  <si>
    <t>SF-03124</t>
  </si>
  <si>
    <t>SF-03125</t>
  </si>
  <si>
    <t>SF-03126</t>
  </si>
  <si>
    <t>SF-03127</t>
  </si>
  <si>
    <t>SF-03128</t>
  </si>
  <si>
    <t>SF-03129</t>
  </si>
  <si>
    <t>SF-03130</t>
  </si>
  <si>
    <t>SF-03131</t>
  </si>
  <si>
    <t>SF-03132</t>
  </si>
  <si>
    <t>SF-03133</t>
  </si>
  <si>
    <t>SF-03134</t>
  </si>
  <si>
    <t>SF-03135</t>
  </si>
  <si>
    <t>SF-03136</t>
  </si>
  <si>
    <t>SF-03137</t>
  </si>
  <si>
    <t>SF-03138</t>
  </si>
  <si>
    <t>SF-03139</t>
  </si>
  <si>
    <t>SF-03140</t>
  </si>
  <si>
    <t>SF-03141</t>
  </si>
  <si>
    <t>SF-03142</t>
  </si>
  <si>
    <t>SF-03143</t>
  </si>
  <si>
    <t>SF-03144</t>
  </si>
  <si>
    <t>SF-03145</t>
  </si>
  <si>
    <t>SF-03146</t>
  </si>
  <si>
    <t>SF-03147</t>
  </si>
  <si>
    <t>SF-03148</t>
  </si>
  <si>
    <t>SF-03149</t>
  </si>
  <si>
    <t>SF-03150</t>
  </si>
  <si>
    <t>SF-03151</t>
  </si>
  <si>
    <t>SF-03152</t>
  </si>
  <si>
    <t>SF-03153</t>
  </si>
  <si>
    <t>SF-03154</t>
  </si>
  <si>
    <t>SF-03155</t>
  </si>
  <si>
    <t>SF-03156</t>
  </si>
  <si>
    <t>SF-03157</t>
  </si>
  <si>
    <t>SF-03158</t>
  </si>
  <si>
    <t>SF-03159</t>
  </si>
  <si>
    <t>SF-03160</t>
  </si>
  <si>
    <t>SF-03161</t>
  </si>
  <si>
    <t>SF-03162</t>
  </si>
  <si>
    <t>SF-03163</t>
  </si>
  <si>
    <t>SF-03164</t>
  </si>
  <si>
    <t>SF-03165</t>
  </si>
  <si>
    <t>SF-03166</t>
  </si>
  <si>
    <t>SF-03167</t>
  </si>
  <si>
    <t>SF-03168</t>
  </si>
  <si>
    <t>SF-03169</t>
  </si>
  <si>
    <t>SF-03170</t>
  </si>
  <si>
    <t>SF-03171</t>
  </si>
  <si>
    <t>SF-03172</t>
  </si>
  <si>
    <t>SF-03173</t>
  </si>
  <si>
    <t>SF-03174</t>
  </si>
  <si>
    <t>SF-03175</t>
  </si>
  <si>
    <t>SF-03176</t>
  </si>
  <si>
    <t>SF-03177</t>
  </si>
  <si>
    <t>SF-03178</t>
  </si>
  <si>
    <t>SF-03179</t>
  </si>
  <si>
    <t>SF-03180</t>
  </si>
  <si>
    <t>SF-03181</t>
  </si>
  <si>
    <t>SF-03182</t>
  </si>
  <si>
    <t>SF-03183</t>
  </si>
  <si>
    <t>SF-03184</t>
  </si>
  <si>
    <t>SF-03185</t>
  </si>
  <si>
    <t>SF-03186</t>
  </si>
  <si>
    <t>SF-03187</t>
  </si>
  <si>
    <t>SF-03188</t>
  </si>
  <si>
    <t>SF-03189</t>
  </si>
  <si>
    <t>SF-03190</t>
  </si>
  <si>
    <t>SF-03191</t>
  </si>
  <si>
    <t>SF-03192</t>
  </si>
  <si>
    <t>SF-03193</t>
  </si>
  <si>
    <t>SF-03194</t>
  </si>
  <si>
    <t>SF-03195</t>
  </si>
  <si>
    <t>SF-03196</t>
  </si>
  <si>
    <t>SF-03197</t>
  </si>
  <si>
    <t>SF-03198</t>
  </si>
  <si>
    <t>SF-03199</t>
  </si>
  <si>
    <t>SF-03200</t>
  </si>
  <si>
    <t>ABRACADEIRA EM ACO PARA AMARRACAO DE ELETRODUTOS, TIPO D, COM 3" E PARAFUSO DE FIXACAO</t>
  </si>
  <si>
    <t>ACOPLAMENTO DE CONDUTOR PLUVIAL, EM PVC, DIAMETRO ENTRE 80 E 100 MM, PARA DRENAGEM PREDIAL</t>
  </si>
  <si>
    <t>ADAPTADOR PVC SOLDAVEL CURTO COM BOLSA E ROSCA, 60 MM X 2", PARA AGUA FRIA</t>
  </si>
  <si>
    <t>ADAPTADOR PVC SOLDAVEL, COM FLANGE E ANEL DE VEDACAO, 25 MM X 3/4", PARA CAIXA D'AGUA</t>
  </si>
  <si>
    <t>ADAPTADOR PVC SOLDAVEL, COM FLANGES E ANEL DE VEDACAO, 60 MM X 2", PARA CAIXA D' AGUA</t>
  </si>
  <si>
    <t>ADAPTADOR PVC SOLDAVEL, COM FLANGES LIVRES, 85 MM X 3", PARA CAIXA D' AGUA</t>
  </si>
  <si>
    <t>ALICATE DE CORTE DIAGONAL 6 " COM ISOLAMENTO</t>
  </si>
  <si>
    <t>ANEL BORRACHA PARA TUBO ESGOTO PREDIAL, DN 100 MM (NBR 5688)</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</si>
  <si>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</si>
  <si>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</si>
  <si>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ASSENTO SANITARIO DE PLASTICO, TIPO CONVENCIONAL</t>
  </si>
  <si>
    <t>BARRA DE APOIO RETA, EM ACO INOX POLIDO, COMPRIMENTO 70CM, DIAMETRO MINIMO 3 CM</t>
  </si>
  <si>
    <t>BARRA DE APOIO RETA, EM ACO INOX POLIDO, COMPRIMENTO 80CM, DIAMETRO MINIMO 3 CM</t>
  </si>
  <si>
    <t>BLOCO DE CONCRETO ESTRUTURAL 19 X 19 X 39 CM, FBK 8 MPA (NBR 6136)</t>
  </si>
  <si>
    <t>BLOCO DE VEDACAO DE CONCRETO 19 X 19 X 39 CM (CLASSE C - NBR 6136)</t>
  </si>
  <si>
    <t>BOLSA DE LIGACAO EM PVC FLEXIVEL PARA VASO SANITARIO 1.1/2 " (40 MM)</t>
  </si>
  <si>
    <t>BOTA DE PVC PRETA, CANO MEDIO, SEM FORRO</t>
  </si>
  <si>
    <t>BRACO / CANO PARA CHUVEIRO ELETRICO, EM ALUMINIO, 30 CM X 1/2 "</t>
  </si>
  <si>
    <t>BUCHA DE REDUCAO DE FERRO GALVANIZADO, COM ROSCA BSP, DE 3" X 2 1/2"</t>
  </si>
  <si>
    <t>BUCHA DE REDUCAO, CPVC, SOLDAVEL, 28 X 22 MM, PARA AGUA QUENTE</t>
  </si>
  <si>
    <t>CAIXA D'AGUA EM POLIETILENO 1000 LITROS, COM TAMPA</t>
  </si>
  <si>
    <t>CAIXA DE DESCARGA DE PLASTICO EXTERNA, DE *9* L,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</si>
  <si>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</si>
  <si>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</si>
  <si>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CALHA QUADRADA DE CHAPA DE ACO GALVANIZADA NUM 24, CORTE 50 CM</t>
  </si>
  <si>
    <t>CANOPLA ACABAMENTO CROMADO PARA INSTALACAO DE SPRINKLER, SOB FORRO, 15 MM</t>
  </si>
  <si>
    <t>CAP PVC, SOLDAVEL, 60 MM, PARA AGUA FRIA PREDIAL</t>
  </si>
  <si>
    <t>CARRINHO DE MAO DE ACO CAPACIDADE 50 A 60 L, PNEU COM CAMARA</t>
  </si>
  <si>
    <t>CHUMBADOR, DIAMETRO 1/4" COM PARAFUSO 1/4" X 40 MM</t>
  </si>
  <si>
    <t>CONDULETE DE ALUMINIO TIPO LR, PARA ELETRODUTO ROSCAVEL DE 1 1/2", COM TAMPA CEGA</t>
  </si>
  <si>
    <t>CONDUTOR PLUVIAL, PVC, CIRCULAR, DIAMETRO ENTRE 80 E 100 MM, PARA DRENAGEM PREDIAL</t>
  </si>
  <si>
    <t>CONECTOR BRONZE/LATAO (REF 603) SEM ANEL DE SOLDA, BOLSA X ROSCA F, 22 MM X 3/4"</t>
  </si>
  <si>
    <t>COTOVELO 90 GRAUS DE FERRO GALVANIZADO, COM ROSCA BSP MACHO/FEMEA, DE 1 1/2"</t>
  </si>
  <si>
    <t>CUBA ACO INOX (AISI 304) DE EMBUTIR COM VALVULA 3 1/2 ", DE *40 X 34 X 12* CM</t>
  </si>
  <si>
    <t>CURVA DE PVC, 90 GRAUS, SERIE R, DN 100 MM, PARA ESGOTO OU AGUAS PLUVIAIS PREDIAIS</t>
  </si>
  <si>
    <t>CURVA PVC LONGA 45 GRAUS, 100 MM, PARA ESGOTO PREDIAL</t>
  </si>
  <si>
    <t>CURVA 90 GRAUS DE FERRO GALVANIZADO, COM ROSCA BSP FEMEA, DE 2"</t>
  </si>
  <si>
    <t>CURVA 90 GRAUS DE FERRO GALVANIZADO, COM ROSCA BSP FEMEA, DE 3"</t>
  </si>
  <si>
    <t>DESEMPENADEIRA DE ACO LISA 12 X *25* CM COM CABO FECHADO DE MADEIRA</t>
  </si>
  <si>
    <t>DESEMPENADEIRA PLASTICA LISA *14 X 27* CM</t>
  </si>
  <si>
    <t>ENXADA ESTREITA *25 X 23* CM COM CABO</t>
  </si>
  <si>
    <t>ESCADA DUPLA DE ABRIR EM ALUMINIO, MODELO PINTOR, 8 DEGRAUS</t>
  </si>
  <si>
    <t>ESPATULA DE ACO INOX COM CABO DE MADEIRA, LARGURA 8 CM</t>
  </si>
  <si>
    <t>ESQUADRO DE ACO 12 " (300 MM), CABO DE ALUMINIO</t>
  </si>
  <si>
    <t>FITA METALICA PERFURADA, L = 17 MM, ROLO DE 30 M, CARGA RECOMENDADA = *19* KGF</t>
  </si>
  <si>
    <t>INSTALADOR DE TUBULACOES (TUBOS/EQUIPAMENTOS)</t>
  </si>
  <si>
    <t>JOELHO CPVC, SOLDAVEL, 45 GRAUS, 22 MM, PARA AGUA QUENTE</t>
  </si>
  <si>
    <t>JOELHO CPVC, SOLDAVEL, 45 GRAUS, 28 MM, PARA AGUA QUENTE</t>
  </si>
  <si>
    <t>JOELHO CPVC, SOLDAVEL, 90 GRAUS, 22 MM, PARA AGUA QUENTE</t>
  </si>
  <si>
    <t>JOELHO CPVC, SOLDAVEL, 90 GRAUS, 28 MM, PARA AGUA QUENTE</t>
  </si>
  <si>
    <t>JOELHO PVC, SOLDAVEL, PB, 45 GRAUS, DN 50 MM, PARA ESGOTO PREDIAL</t>
  </si>
  <si>
    <t>JOELHO PVC, SOLDAVEL, 90 GRAUS, 60 MM, PARA AGUA FRIA PREDIAL</t>
  </si>
  <si>
    <t>JOELHO, PVC SOLDAVEL, 45 GRAUS, 60 MM, PARA AGUA FRIA PREDIAL</t>
  </si>
  <si>
    <t>JUNCAO SIMPLES, PVC SERIE R, DN 75 X 75 MM, PARA ESGOTO OU AGUAS PLUVIAIS PREDIAIS</t>
  </si>
  <si>
    <t>LUVA CPVC, SOLDAVEL, 22 MM, PARA AGUA QUENTE PREDIAL</t>
  </si>
  <si>
    <t>LUVA CPVC, SOLDAVEL, 28 MM, PARA AGUA QUENTE PREDIAL</t>
  </si>
  <si>
    <t>LUVA DE CORRER, PVC SERIE R, 100 MM, PARA ESGOTO OU AGUAS PLUVIAIS PREDIAIS</t>
  </si>
  <si>
    <t>LUVA DE TRANSICAO, CPVC, 22 MM X 1/2", PARA AGUA QUENTE</t>
  </si>
  <si>
    <t>LUVA PVC SOLDAVEL, 60 MM, PARA AGUA FRIA PREDIAL</t>
  </si>
  <si>
    <t>MANGUEIRA CRISTAL PARA NIVEL, LISA, PVC TRANSPARENTE, 5/16" X1 MM</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</si>
  <si>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</si>
  <si>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</si>
  <si>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</si>
  <si>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MANTA ASFALTICA ELASTOMERICA EM POLIESTER ALUMINIZADA 3 MM, TIPO III, CLASSE B (NBR 9952)</t>
  </si>
  <si>
    <t>MEIO BLOCO DE VEDACAO DE CONCRETO 9 X 19 X 19 CM (CLASSE C - NBR 6136)</t>
  </si>
  <si>
    <t>MISTURADOR METALICO, BASE PARA CHUVEIRO/BANHEIRA, 1/2 " OU 3/4 ", SOLDAVEL OU ROSCAVEL (NAO INCLUI ACABAMENTOS)</t>
  </si>
  <si>
    <t>NIPLE DE FERRO GALVANIZADO, COM ROSCA BSP, DE 2 1/2"</t>
  </si>
  <si>
    <t>NIPLE DE FERRO GALVANIZADO, COM ROSCA BSP, DE 2"</t>
  </si>
  <si>
    <t>NIPLE DE FERRO GALVANIZADO, COM ROSCA BSP, DE 3"</t>
  </si>
  <si>
    <t>OLEO DIESEL COMBUSTIVEL COMUM</t>
  </si>
  <si>
    <t>PLACA DE SINALIZACAO DE SEGURANCA CONTRA INCENDIO, FOTOLUMINESCENTE, RETANGULAR, *13 X 26* CM, EM PVC *2* MM ANTI-CHAMAS (SIMBOLOS, CORES E PICTOGRAMAS CONFORME NBR 16820)</t>
  </si>
  <si>
    <t>PLUG OU BUJAO DE FERRO GALVANIZADO, DE 4"</t>
  </si>
  <si>
    <t>PRUMO DE CENTRO EM ACO *400* G</t>
  </si>
  <si>
    <t>PRUMO DE PAREDE EM ACO 700 A 750 G</t>
  </si>
  <si>
    <t>RALO FOFO SEMIESFERICO, 100 MM, PARA LAJES/ CALHAS</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</si>
  <si>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</si>
  <si>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</si>
  <si>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</si>
  <si>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</si>
  <si>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</si>
  <si>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</si>
  <si>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</si>
  <si>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</si>
  <si>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</si>
  <si>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</si>
  <si>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</si>
  <si>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</si>
  <si>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</si>
  <si>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</si>
  <si>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</si>
  <si>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</si>
  <si>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</si>
  <si>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SIFAO EM METAL CROMADO PARA TANQUE, 1.1/4 X 1.1/2 "</t>
  </si>
  <si>
    <t>SPRINKLER TIPO PENDENTE, 68 GRAUS CELSIUS (BULBO VERMELHO), ACABAMENTO CROMADO, 1/2" - 15 MM</t>
  </si>
  <si>
    <t>TALHA MANUAL DE CORRENTE, CAPACIDADE DE 2 T COM ELEVACAO DE 3 M</t>
  </si>
  <si>
    <t>TALHADEIRA COM PUNHO DE PROTECAO *20 X 250* MM</t>
  </si>
  <si>
    <t>TE CPVC, SOLDAVEL, 90 GRAUS, 22 MM, PARA AGUA QUENTE PREDIAL</t>
  </si>
  <si>
    <t>TE CPVC, SOLDAVEL, 90 GRAUS, 28 MM, PARA AGUA QUENTE PREDIAL</t>
  </si>
  <si>
    <t>TE DE COBRE (REF 611) SEM ANEL DE SOLDA, BOLSA X BOLSA X BOLSA, 22 MM</t>
  </si>
  <si>
    <t>TE DE FERRO GALVANIZADO, DE 1 1/2"</t>
  </si>
  <si>
    <t>TE DE FERRO GALVANIZADO, DE 1/2"</t>
  </si>
  <si>
    <t>TE DE FERRO GALVANIZADO, DE 2 1/2"</t>
  </si>
  <si>
    <t>TE DE FERRO GALVANIZADO, DE 2"</t>
  </si>
  <si>
    <t>TE DE REDUCAO DE FERRO GALVANIZADO, COM ROSCA BSP, DE 2" X 1 1/2"</t>
  </si>
  <si>
    <t>TE SOLDAVEL, PVC, 90 GRAUS, 60 MM, PARA AGUA FRIA PREDIAL (NBR 5648)</t>
  </si>
  <si>
    <t>TE 45 GRAUS DE FERRO GALVANIZADO, COM ROSCA BSP, DE 2 1/2"</t>
  </si>
  <si>
    <t>TE 45 GRAUS DE FERRO GALVANIZADO, COM ROSCA BSP, DE 2"</t>
  </si>
  <si>
    <t>TE 45 GRAUS DE FERRO GALVANIZADO, COM ROSCA BSP, DE 3"</t>
  </si>
  <si>
    <t>TELA DE ACO SOLDADA GALVANIZADA/ZINCADA PARA ALVENARIA, FIO D = *1,24 MM, MALHA 25 X 25 MM</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</si>
  <si>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</si>
  <si>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</si>
  <si>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</si>
  <si>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</si>
  <si>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</si>
  <si>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</si>
  <si>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</si>
  <si>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</si>
  <si>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</si>
  <si>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</si>
  <si>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</si>
  <si>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</si>
  <si>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</si>
  <si>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</si>
  <si>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</si>
  <si>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</si>
  <si>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PVC SERIE NORMAL, DN 50 MM, PARA ESGOTO PREDIAL (NBR 5688)</t>
  </si>
  <si>
    <t>TUBO PVC SERIE NORMAL, DN 75 MM, PARA ESGOTO PREDIAL (NBR 5688)</t>
  </si>
  <si>
    <t>TUBO PVC, ROSCAVEL, 1", AGUA FRIA PREDIAL</t>
  </si>
  <si>
    <t>TUBO PVC, ROSCAVEL, 3", AGUA FRIA PREDIAL</t>
  </si>
  <si>
    <t>TUBO PVC, SOLDAVEL, DN 100 MM, AGUA FRIA (NBR-5648)</t>
  </si>
  <si>
    <t>TUBO PVC, SOLDAVEL, DN 20 MM, AGUA FRIA (NBR-5648)</t>
  </si>
  <si>
    <t>TUBO PVC, SOLDAVEL, DN 25 MM, AGUA FRIA (NBR-5648)</t>
  </si>
  <si>
    <t>TUBO PVC, SOLDAVEL, DN 32 MM, AGUA FRIA (NBR-5648)</t>
  </si>
  <si>
    <t>TUBO PVC, SOLDAVEL, DN 40 MM, AGUA FRIA (NBR-5648)</t>
  </si>
  <si>
    <t>TUBO PVC, SOLDAVEL, DN 60 MM, AGUA FRIA (NBR-5648)</t>
  </si>
  <si>
    <t>TUBO PVC, SOLDAVEL, DN 75 MM, AGUA FRIA (NBR-5648)</t>
  </si>
  <si>
    <t>TUBO PVC, SOLDAVEL, DN 85 MM, AGUA FRIA (NBR-5648)</t>
  </si>
  <si>
    <t>UNIAO DE FERRO GALVANIZADO, COM ASSENTO CONICO DE BRONZE, DE 1 1/4"</t>
  </si>
  <si>
    <t>UNIAO DE FERRO GALVANIZADO, COM ROSCA BSP, COM ASSENTO PLANO, DE 1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</si>
  <si>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</si>
  <si>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</si>
  <si>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</si>
  <si>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</si>
  <si>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</si>
  <si>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</si>
  <si>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</si>
  <si>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</si>
  <si>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</si>
  <si>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</si>
  <si>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</si>
  <si>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</si>
  <si>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</si>
  <si>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</si>
  <si>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</si>
  <si>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</si>
  <si>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</si>
  <si>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</si>
  <si>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</si>
  <si>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ACETILENO (RECARGA DE GAS ACETILENO PARA CILINDRO DE CONJUNTO OXICORTE GRANDE) NAO INCLUI TROCA/MANUTENCAO DO CILINDRO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</si>
  <si>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</si>
  <si>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</si>
  <si>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</si>
  <si>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</si>
  <si>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</si>
  <si>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400 X 600 MM (COM INSCRICAO EM RELEVO DO TIPO DE REDE)</t>
  </si>
  <si>
    <t>LANÇAMENTO COM USO DE BALDES, ADENSAMENTO E ACABAMENTO DE CONCRETO EM ESTRUTURAS. AF_02/2022</t>
  </si>
  <si>
    <t>CAIXA DE GORDURA EM PVC, DIAMETRO MINIMO 300 MM, DIAMETRO DE SAIDA 100 MM, CAPACIDADE APROXIMADA 18 LITROS, COM TAMPA E CESTO</t>
  </si>
  <si>
    <t>POSTE CONICO CONTINUO EM ACO GALVANIZADO, RETO, FLANGEADO, H = 3 M, DIAMETRO INFERIOR = *95* MM</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</si>
  <si>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</si>
  <si>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</si>
  <si>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</si>
  <si>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</si>
  <si>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</si>
  <si>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</si>
  <si>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</si>
  <si>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</si>
  <si>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ROSCAVEL, 1 1/2", AGUA FRIA PREDIAL</t>
  </si>
  <si>
    <t>TUBO PVC, ROSCAVEL, 2 1/2", AGUA FRIA PREDIAL</t>
  </si>
  <si>
    <t>TUBO PVC, ROSCAVEL, 2", PARA AGUA FRIA PREDIAL</t>
  </si>
  <si>
    <t>TUBO PVC SERIE NORMAL, DN 150 MM, PARA ESGOTO PREDIAL (NBR 5688)</t>
  </si>
  <si>
    <t>TUBO PVC SERIE NORMAL, DN 40 MM, PARA ESGOTO PREDIAL (NBR 5688)</t>
  </si>
  <si>
    <t>TUBO PVC ROSCAVEL, 3/4", AGUA FRIA PREDIAL</t>
  </si>
  <si>
    <t>TUBO PVC, ROSCAVEL, 4", AGUA FRIA PREDIAL</t>
  </si>
  <si>
    <t>TUBO PVC, ROSCAVEL, 6", AGUA FRIA PREDIAL</t>
  </si>
  <si>
    <t>LUVA PVC, ROSCAVEL, 1 1/2", AGUA FRIA PREDIAL</t>
  </si>
  <si>
    <t>LUVA PVC, ROSCAVEL, 2", AGUA FRIA PREDIAL</t>
  </si>
  <si>
    <t>UNIAO PVC, SOLDAVEL, 60 MM, PARA AGUA FRIA PREDIAL</t>
  </si>
  <si>
    <t>UNIAO PVC, SOLDAVEL, 85 MM, PARA AGUA FRIA PREDIAL</t>
  </si>
  <si>
    <t>TUBO ACO GALVANIZADO COM COSTURA, CLASSE LEVE, DN 40 MM ( 1 1/2"), E = 3,00 MM, *3,48* KG/M (NBR 5580)</t>
  </si>
  <si>
    <t>Bota de segurança com biqueira</t>
  </si>
  <si>
    <t>Bota solado de borracha</t>
  </si>
  <si>
    <t>Avental de raspa de couro para soldador - tipo barbeiro</t>
  </si>
  <si>
    <t>Capacete de segurança - Aba Total</t>
  </si>
  <si>
    <t>Colete Refletivo</t>
  </si>
  <si>
    <t>Crachá com foto</t>
  </si>
  <si>
    <t>Creme protetor para as mãos</t>
  </si>
  <si>
    <t>Fita Zebrada</t>
  </si>
  <si>
    <t>Luva de PVC forrada - 36cm</t>
  </si>
  <si>
    <t>Máscara para solda em polipropileno - visor fixo com lente</t>
  </si>
  <si>
    <t>Sistema modular para proteção de máquinas e equipamentos</t>
  </si>
  <si>
    <t>Manutenção on site – Grupo motor-gerador e instalações associadas - Bloco 2 do Senado Federal (Interlegis)</t>
  </si>
  <si>
    <t>Grupo motor-gerador 140 kVA</t>
  </si>
  <si>
    <t>Projeto executivo de engenharia elétrica - Sistema de geração de energia elétrica – Bloco 02 (Interlegis)</t>
  </si>
  <si>
    <t>Ar-condicionado fancolete hidrônico dutado 0,58 TR (7000 BTU/h)</t>
  </si>
  <si>
    <t>Grelha para retorno quadrada 225x225 mm</t>
  </si>
  <si>
    <t>Ar-condicionado fancolete hidrônico dutado 1,5 TR</t>
  </si>
  <si>
    <t>Bomba Centrífuga Mancalizada, 02 estágios, Potência 25cv (motor não incluído)</t>
  </si>
  <si>
    <t>Vestimenta tipo macacão para saneamento com botas e luvas</t>
  </si>
  <si>
    <t>Instalação de quadros elétricos ou de telecomunicações</t>
  </si>
  <si>
    <t>Grelha para retorno de ar com lâminas fixas e registro, 225 mm x 225 mm</t>
  </si>
  <si>
    <t>Instalação de forro metálico reaproveitado</t>
  </si>
  <si>
    <t>Condulete de alumínio de 3"</t>
  </si>
  <si>
    <t>Painel de automação para sistema de revezamento entre equipamentos de climatização split</t>
  </si>
  <si>
    <t>Manutenção periódica – Sistema de geração de energia de emergência do Senado</t>
  </si>
  <si>
    <t>Manutenção periódica – Sistema de geração de energia de emergência do Bloco 01 (Prodasen) – Ramal X</t>
  </si>
  <si>
    <t>Manutenção periódica – Sistema de geração de energia de emergência do Bloco 01 (Prodasen) – Ramal Y</t>
  </si>
  <si>
    <t>Manutenção periódica – Sistema de geração de energia de emergência do Bloco 02 (Interlegis)</t>
  </si>
  <si>
    <t>Tratamento contínuo da água do sistema de arrefecimento externo do Sistema de geração de energia de emergência do Senado</t>
  </si>
  <si>
    <t>Manutenção corretiva – Sistema de geração de energia de emergência do Senado</t>
  </si>
  <si>
    <t>Manutenção corretiva – Sistema de geração de energia de emergência do Bloco 01 (Prodasen) – Ramal X</t>
  </si>
  <si>
    <t>Manutenção corretiva – Sistema de geração de energia de emergência do Bloco 01 (Prodasen) – Ramal Y</t>
  </si>
  <si>
    <t>Manutenção corretiva – Sistema de geração de energia de emergência do Bloco 02 (Interlegis)</t>
  </si>
  <si>
    <t>Análise físico-química e espectrométrica de óleo lubrificante de grupo motor-gerador</t>
  </si>
  <si>
    <t>Revisão em bancada de bicos injetores de motor MTU 16V4000</t>
  </si>
  <si>
    <t>Revisão em bancada de bicos injetores de motor Cummins NTA 855 G</t>
  </si>
  <si>
    <t>Revisão em bancada de bicos injetores de motor Cummins NTA 855 G5</t>
  </si>
  <si>
    <t>Revisão em bancada de bicos injetores de motor Mercedes-Benz OM 447 LA</t>
  </si>
  <si>
    <t>Revisão em bancada de bomba injetora de motor Cummins NTA 855 G</t>
  </si>
  <si>
    <t>Revisão em bancada de bomba injetora de motor Cummins NTA 855 G5</t>
  </si>
  <si>
    <t>Revisão em bancada de bomba injetora de motor Mercedes-Benz OM 447 LA</t>
  </si>
  <si>
    <t>Revisão em bancada de motor de partida de motor Cummins NTA 855 G</t>
  </si>
  <si>
    <t>Revisão em bancada de motor de partida de motor Cummins NTA 855 G5</t>
  </si>
  <si>
    <t>Revisão em bancada de motor de partida de motor Mercedes-Benz OM 447 LA</t>
  </si>
  <si>
    <t>Filtro de óleo para motor MTU 16V4000</t>
  </si>
  <si>
    <t>Filtro de combustível para motor MTU 16V4000</t>
  </si>
  <si>
    <t>Filtro de ar para motor MTU 16V4000</t>
  </si>
  <si>
    <t>Fluido de arrefecimento para motor MTU 16V4000</t>
  </si>
  <si>
    <t>litro</t>
  </si>
  <si>
    <t>Filtro de óleo para motor Cummins NTA 855 G</t>
  </si>
  <si>
    <t>Filtro de óleo para motor Cummins NTA 855 G5</t>
  </si>
  <si>
    <t>Filtro de combustível para motor Cummins NTA 855</t>
  </si>
  <si>
    <t>Filtro de ar para motor Cummins NTA 855 G</t>
  </si>
  <si>
    <t>Filtro de ar para motor Cummins NTA 855 G5</t>
  </si>
  <si>
    <t>Filtro de fluido de arrefecimento para motor Cummins NTA 855 G</t>
  </si>
  <si>
    <t>Filtro de fluido de arrefecimento para motor Cummins NTA 855 G5</t>
  </si>
  <si>
    <t>Fluido de arrefecimento para motor Cummins NTA 855</t>
  </si>
  <si>
    <t>Correia do alternador do motor Cummins NTA 855 G</t>
  </si>
  <si>
    <t>Correia do alternador do motor Cummins NTA 855 G5</t>
  </si>
  <si>
    <t>Correia da bomba d’água do motor Cummins NTA 855 G</t>
  </si>
  <si>
    <t>Correia da bomba d’água do motor Cummins NTA 855 G5</t>
  </si>
  <si>
    <t>Correia do ventilador do motor Cummins NTA 855 G</t>
  </si>
  <si>
    <t>Correia do ventilador do motor Cummins NTA 855 G5</t>
  </si>
  <si>
    <t>Bico injetor para motor Cummins NTA 855</t>
  </si>
  <si>
    <t>Solenoide de corte de combustível para motor Cummins NTA 855</t>
  </si>
  <si>
    <t>Bomba de fluido de arrefecimento para motor Cummins NTA 855</t>
  </si>
  <si>
    <t>Filtro de óleo para motor Mercedes-Benz OM 447 LA</t>
  </si>
  <si>
    <t>Filtro de combustível para motor Mercedes-Benz OM 447 LA</t>
  </si>
  <si>
    <t>Filtro de ar para motor Mercedes-Benz OM 447 LA</t>
  </si>
  <si>
    <t>Fluido de arrefecimento para motor Mercedes-Benz OM 447 LA</t>
  </si>
  <si>
    <t>Correia do alternador/bomba d’água do motor Mercedes-Benz OM 447 LA</t>
  </si>
  <si>
    <t>Correia do ventilador do motor Mercedes-Benz OM 447 LA</t>
  </si>
  <si>
    <t>Bico injetor para motor Mercedes-Benz OM 447 LA</t>
  </si>
  <si>
    <t>Solenoide de corte de combustível para motor Mercedes-Benz OM 447 LA</t>
  </si>
  <si>
    <t>Bomba de fluido de arrefecimento para motor Mercedes-Benz OM 447 LA</t>
  </si>
  <si>
    <t>Elemento filtrante (papelão linter) para filtro prensa de óleo diesel</t>
  </si>
  <si>
    <t>Correia industrial B-174</t>
  </si>
  <si>
    <t>Estabilizador de óleo diesel</t>
  </si>
  <si>
    <t>Bateria 12 V / 150 Ah para grupo motor-gerador</t>
  </si>
  <si>
    <t>Óleo lubrificante 15W-40 API CI-4</t>
  </si>
  <si>
    <t>Sensor de rotação</t>
  </si>
  <si>
    <t>Sensor de temperatura PT-100</t>
  </si>
  <si>
    <t>Sensor de temperatura resistivo</t>
  </si>
  <si>
    <t>Sensor de pressão</t>
  </si>
  <si>
    <t>Interruptor de pressão de óleo</t>
  </si>
  <si>
    <t>Sensor de nível de fluido de arrefecimento</t>
  </si>
  <si>
    <t>Conjunto de pré-aquecimento 1500 W</t>
  </si>
  <si>
    <t>Carregador de baterias 24V para grupo motor-gerador</t>
  </si>
  <si>
    <t>Mangueira SAE 100 R6 3/8”</t>
  </si>
  <si>
    <t>Mangueira SAE 100 R6 1/2”</t>
  </si>
  <si>
    <t>SF-03201</t>
  </si>
  <si>
    <t>Mangueira SAE 100 R6 5/8”</t>
  </si>
  <si>
    <t>SF-03202</t>
  </si>
  <si>
    <t>Mangueira SAE 100 R6 3/4”</t>
  </si>
  <si>
    <t>SF-03203</t>
  </si>
  <si>
    <t>Cotovelo BSP 1 1/2” para filtro de óleo diesel</t>
  </si>
  <si>
    <t>SF-03204</t>
  </si>
  <si>
    <t>Válvula Gaveta Fecho Rápido 1 1/2” para filtro de óleo diesel</t>
  </si>
  <si>
    <t>SF-03205</t>
  </si>
  <si>
    <t>Chave boia para filtro de óleo diesel</t>
  </si>
  <si>
    <t>SF-03206</t>
  </si>
  <si>
    <t>União BSP 1 1/2” para filtro de óleo diesel</t>
  </si>
  <si>
    <t>SF-03207</t>
  </si>
  <si>
    <t>Tubo de aço-carbono 1 1/2” - Filtro de óleo diesel</t>
  </si>
  <si>
    <t>SF-03208</t>
  </si>
  <si>
    <t>SF-03209</t>
  </si>
  <si>
    <t>Projeto executivo de engenharia elétrica – Sistema de bombas do Bloco 1</t>
  </si>
  <si>
    <t>SF-03210</t>
  </si>
  <si>
    <t>Quadro de transferência automática para sistema de bombas do Bloco 1</t>
  </si>
  <si>
    <t>SF-03211</t>
  </si>
  <si>
    <t>Painel para acionamento de bombas do sistema de drenagem de águas pluviais do Bloco 1</t>
  </si>
  <si>
    <t>SF-03212</t>
  </si>
  <si>
    <t>Painel para acionamento de bombas do sistema de esgoto do Bloco 1</t>
  </si>
  <si>
    <t>SF-03213</t>
  </si>
  <si>
    <t>SF-03214</t>
  </si>
  <si>
    <t>Bloco vazado de concreto simples com 02 furos (19x19x39 - Classe A)</t>
  </si>
  <si>
    <t>SF-03215</t>
  </si>
  <si>
    <t>Bloco vazado de concreto simples tipo canaleta (19x19x39 - Classe A)</t>
  </si>
  <si>
    <t>SF-03216</t>
  </si>
  <si>
    <t>Bloco vazado de concreto simples tipo compensador A (19x19x9 - Classe A)</t>
  </si>
  <si>
    <t>SF-03217</t>
  </si>
  <si>
    <t>Bloco vazado de concreto simples tipo compensador A (19x19x9 - Classe C)</t>
  </si>
  <si>
    <t>SF-03218</t>
  </si>
  <si>
    <t>Coroa diamantada completa - comprimento &gt; 40cm, 75mm ≤ Ø &lt; 100mm</t>
  </si>
  <si>
    <t>SF-03219</t>
  </si>
  <si>
    <t>Coroa diamantada completa - comprimento &gt; 40cm, 50mm ≤ Ø &lt; 75mm</t>
  </si>
  <si>
    <t>SF-03220</t>
  </si>
  <si>
    <t>Graute industrializado, 50 MPa ≤ fck ≤ 60 Mpa</t>
  </si>
  <si>
    <t>SF-03221</t>
  </si>
  <si>
    <t>Tela metálica para reboco</t>
  </si>
  <si>
    <t>SF-03222</t>
  </si>
  <si>
    <t>Vergalhão Ca-60 Diâmetro 4,2 mm</t>
  </si>
  <si>
    <t>SF-03223</t>
  </si>
  <si>
    <t>Vermiculita Expandida</t>
  </si>
  <si>
    <t>25 kg</t>
  </si>
  <si>
    <t>100 L</t>
  </si>
  <si>
    <t>Bloco de concreto tipo canaleta 19 x 19 x 39 cm</t>
  </si>
  <si>
    <t>Vermiculita expandida</t>
  </si>
  <si>
    <t>FIBRA DE POLIPROPILENO P/ CONCRETO DOSADO EM CENTRAL FILAMENTOS - TECNOLOGIA "CRACKSTOP"</t>
  </si>
  <si>
    <t>BLOCO DE VEDACAO TIPO CANALETA DE CONCRETO 19 X 19 X 39 CM (CLASSE C - NBR 6136)</t>
  </si>
  <si>
    <t>SF-03224</t>
  </si>
  <si>
    <t>SF-03225</t>
  </si>
  <si>
    <t>SF-03226</t>
  </si>
  <si>
    <t>SF-03227</t>
  </si>
  <si>
    <t>SF-03228</t>
  </si>
  <si>
    <t>SF-03229</t>
  </si>
  <si>
    <t>SF-03230</t>
  </si>
  <si>
    <t>SF-03231</t>
  </si>
  <si>
    <t>Redução 26 mm x 20mm para tubo PEX para gás – GLP</t>
  </si>
  <si>
    <t>Tubo de sistema PEX multicamada flexível 20 mm para gás</t>
  </si>
  <si>
    <t>Tubo de sistema PEX multicamada flexível 26 mm para gás</t>
  </si>
  <si>
    <t>Conector Macho 20mm  x 1/2" para tubo PEX para gás - GLP</t>
  </si>
  <si>
    <t>Conector Macho 26mm  x 3/4” para tubo PEX para gás - GLP</t>
  </si>
  <si>
    <t>Cotovelo Macho 20mm X 1/2” para tubo PEX para gás - GLP</t>
  </si>
  <si>
    <t>Tê Fêmea 26mm X 3/4” para tubo PEX para gás - GLP</t>
  </si>
  <si>
    <t>Kit de ferramentas para tubo PEX - GLP</t>
  </si>
  <si>
    <t>SF-03232</t>
  </si>
  <si>
    <t>SF-03233</t>
  </si>
  <si>
    <t>SF-03234</t>
  </si>
  <si>
    <t>SF-03235</t>
  </si>
  <si>
    <t>SF-03236</t>
  </si>
  <si>
    <t>SF-03237</t>
  </si>
  <si>
    <t>SF-03238</t>
  </si>
  <si>
    <t>SF-03239</t>
  </si>
  <si>
    <t>SF-03240</t>
  </si>
  <si>
    <t>SF-03241</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</si>
  <si>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</si>
  <si>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</si>
  <si>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</si>
  <si>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</si>
  <si>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</si>
  <si>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</si>
  <si>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</si>
  <si>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</si>
  <si>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</si>
  <si>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</si>
  <si>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</si>
  <si>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</si>
  <si>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</si>
  <si>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</si>
  <si>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</si>
  <si>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</si>
  <si>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</si>
  <si>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</si>
  <si>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SF-03260</t>
  </si>
  <si>
    <t>SF-03261</t>
  </si>
  <si>
    <t>SF-03262</t>
  </si>
  <si>
    <t>SF-03263</t>
  </si>
  <si>
    <t>SF-03264</t>
  </si>
  <si>
    <t>SF-03265</t>
  </si>
  <si>
    <t>SF-03266</t>
  </si>
  <si>
    <t>SF-03267</t>
  </si>
  <si>
    <t>SF-03268</t>
  </si>
  <si>
    <t>SF-03269</t>
  </si>
  <si>
    <t>SF-03270</t>
  </si>
  <si>
    <t>SF-03271</t>
  </si>
  <si>
    <t>SF-03272</t>
  </si>
  <si>
    <t>SF-03273</t>
  </si>
  <si>
    <t>Adaptador fixo rosca macho PEX gás Ø 26 mm x 3/4</t>
  </si>
  <si>
    <t>Luva redução PEX gás Ø 26 mm x 20 mm</t>
  </si>
  <si>
    <t>Tê rosca fêmea PEX gás Ø 26 mm x 3/4"</t>
  </si>
  <si>
    <t>Mármore Branco Especial</t>
  </si>
  <si>
    <t>Fluido de arrefecimento diluído para motor MTU 16V4000</t>
  </si>
  <si>
    <t>Fluido de arrefecimento diluído para motor Cummins NTA 855</t>
  </si>
  <si>
    <t>Fluido de arrefecimento diluído para motor Mercedes-Benz OM 447 LA</t>
  </si>
  <si>
    <t>Água destilada/desmineralizada/desionizada/ultrafiltrada</t>
  </si>
  <si>
    <t>Tubo quadrado em metalon - 50x50 - chapa 16</t>
  </si>
  <si>
    <t>Lâmina de madeira - freijó</t>
  </si>
  <si>
    <t>ELETRODUTO/DUTO PEAD FLEXIVEL PAREDE SIMPLES, CORRUGACAO HELICOIDAL, COR PRETA, SEM ROSCA, DE 1 1/2", PARA CABEAMENTO SUBTERRANEO (NBR 15715)</t>
  </si>
  <si>
    <t>ELETRODUTO/DUTO PEAD FLEXIVEL PAREDE SIMPLES, CORRUGACAO HELICOIDAL, COR PRETA, SEM ROSCA, DE 4", PARA CABEAMENTO SUBTERRANEO (NBR 15715)</t>
  </si>
  <si>
    <t>LUMINARIA DE LED PARA ILUMINACAO PUBLICA, DE 138 W ATE 180 W, INVOLUCRO EM ALUMINIO OU ACO INOX</t>
  </si>
  <si>
    <t>LUMINARIA DE LED PARA ILUMINACAO PUBLICA, DE 181 W ATE 239 W, INVOLUCRO EM ALUMINIO OU ACO INOX</t>
  </si>
  <si>
    <t>POSTE DE CONCRETO ARMADO DE SECAO CIRCULAR, EXTENSAO DE 11,00 M, RESISTENCIA DE 200 A 300 DAN, TIPO C-14</t>
  </si>
  <si>
    <t>POSTE DE CONCRETO ARMADO DE SECAO CIRCULAR, EXTENSAO DE 9,00 M, RESISTENCIA DE 200 A 300 DAN, TIPO C-14</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</si>
  <si>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</si>
  <si>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</si>
  <si>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</si>
  <si>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</si>
  <si>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</si>
  <si>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</si>
  <si>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</si>
  <si>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</si>
  <si>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Tela mosquiteiro em aço galvanizado, malha 14, fio 31</t>
  </si>
  <si>
    <t>Pastilha de porcelana (2 x 2 cm) – Fornecimento e instalação</t>
  </si>
  <si>
    <t>Projeto Executivo para Central Fotovoltaica de Minigeração de Energia Elétrica - Bloco 14</t>
  </si>
  <si>
    <t>Fornecimento e Instalação de Central de Minigeração de Energia Elétrica Fotovoltaica Bloco 14</t>
  </si>
  <si>
    <t>Eletroduto de PEAD de 4"</t>
  </si>
  <si>
    <t>Assistência Técnica e Manutenção de Central de Minigeração de Energia Elétrica Fotovoltaica Distribuída - Bloco 14</t>
  </si>
  <si>
    <t>Laudo de estabilidade estrutural - Bloco 14</t>
  </si>
  <si>
    <t>Projeto de adaptação/modificação/reforço da estrutura e suas fundações para os novos usos - Bloco 14</t>
  </si>
  <si>
    <t>PASTILHA CERAMICA/PORCELANA, REVEST INT/EXT E PISCINA, CORES BRANCA OU FRIAS, SOLIDAS, SEM MESCLAGEM/MISTURA, ACABAMENTO LISO *2,5 X 2,5* CM</t>
  </si>
  <si>
    <t>Suporte para luminária de poste triplo</t>
  </si>
  <si>
    <t>Remoção de poste de iluminação</t>
  </si>
  <si>
    <t>Remoção de braço de iluminação</t>
  </si>
  <si>
    <t>Cabo 3x10mm²</t>
  </si>
  <si>
    <t>Luminária LED para poste 230W</t>
  </si>
  <si>
    <t>Projeto Executivo de Iluminação Viária</t>
  </si>
  <si>
    <t>Poste de Concreto Circular L=9m</t>
  </si>
  <si>
    <t>Poste de Concreto Circular L=12m</t>
  </si>
  <si>
    <t>Quadro elétrico tipo PTTA/TTA para uso ao tempo</t>
  </si>
  <si>
    <t>Eletroduto PEAD 1 1/2”(40mm)</t>
  </si>
  <si>
    <t>SUPORTE PARA 3 PÉTALAS PARA LUMINÁRIA DE ILUMINAÇÃO PÚBLICA</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</si>
  <si>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</si>
  <si>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</si>
  <si>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</si>
  <si>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</si>
  <si>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</si>
  <si>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</si>
  <si>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</si>
  <si>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</si>
  <si>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</si>
  <si>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Cabo de cobre multipolar, classe 5, isolação em EPR, 0,6/1 kV, 3x6,0mm² resistente a chama, livre de halogênios</t>
  </si>
  <si>
    <t>SUPORTE PARA 1 PÉTALA PARA LUMINÁRIA DE ILUMINAÇÃO PÚBLICA</t>
  </si>
  <si>
    <t>SUPORTE PARA 4 PÉTALAS PARA LUMINÁRIA DE ILUMINAÇÃO PÚBLICA</t>
  </si>
  <si>
    <t>Suporte para luminária de poste quádruplo</t>
  </si>
  <si>
    <t>SISAL EM FIBRA / ESTOPA SISAL PARA GESSO</t>
  </si>
  <si>
    <t>LUVA DE AÇO GALVANIZADO PARA ELETRODUTO Ø 20 MM - 3/4"</t>
  </si>
  <si>
    <t>LUVA DE AÇO GALVANIZADO PARA ELETRODUTO Ø 25 MM - 1"</t>
  </si>
  <si>
    <t>LUVA DE AÇO GALVANIZADO PARA ELETRODUTO Ø 32 MM - 1 1/4"</t>
  </si>
  <si>
    <t>LUVA DE AÇO GALVANIZADO PARA ELETRODUTO Ø 40 MM - 1 1/2"</t>
  </si>
  <si>
    <t>ARP para fornecimento de serviços comuns de engenharia - 2023</t>
  </si>
  <si>
    <t>Quadro elétrico TTA (18 disjuntores terminais)</t>
  </si>
  <si>
    <t>Condulete de alumínio de 3/4’’</t>
  </si>
  <si>
    <t>Condulete de alumínio de 2’’</t>
  </si>
  <si>
    <t>Ar-condicionado split dutado 24.000 BTU/h</t>
  </si>
  <si>
    <t>Cerâmica para revestimento de PAREDES de superfícies internas</t>
  </si>
  <si>
    <t>Cerâmica para revestimento de pisos de superfícies internas</t>
  </si>
  <si>
    <t>Cerâmica de linha industrial para revestimento de PISOS E PAREDES de superfícies internas e externas</t>
  </si>
  <si>
    <t>Cortina de Linho Sintético – Linha Residencial</t>
  </si>
  <si>
    <t>Forro de Cortina em Microfibra  – Linha Residencial</t>
  </si>
  <si>
    <t>Trilho Duplo em Alumínio para Cortinas – Linha Residencial</t>
  </si>
  <si>
    <t>Trilho Triplo em Alumínio para Cortinas – Linha Residencial</t>
  </si>
  <si>
    <t>Trilho Simples em Alumínio para Cortinas – Linha Residencial</t>
  </si>
  <si>
    <t>Varão Duplo Cromado para Cortinas – Linha Residencial</t>
  </si>
  <si>
    <t>Cortina tipo Blecaute – Linha Residencial</t>
  </si>
  <si>
    <t>MONTAGEM DE ARMADURA DE ESTACAS, DIÂMETRO = 16,0 MM. AF_09/2021_P</t>
  </si>
  <si>
    <t>LOCACAO DE ANDAIME METALICO TIPO FACHADEIRO, LARGURA DE 1,20 M X ALTURA DE 2,0 M POR PAINEL,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</si>
  <si>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</si>
  <si>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Data: Outubro de 2022</t>
  </si>
  <si>
    <t>Quadro elétrico tipo TTA completo, para uso externo, com 18 disjuntores terminais, contemplando disjuntores, DPS, DR, etc., conforme especificação</t>
  </si>
  <si>
    <t>Cerâmica Gail Industrial linha Gressit 300x300x9mm, 240x116x9mm ou 300x147x9mm cor 1001 – Bege ou similares</t>
  </si>
  <si>
    <t>Cerâmica esmaltada (G-Glazed), acetinado, retificada ou não retificada, fabricante Eliane, modelo Cargo Plus White AC 45x45cm, ou similares</t>
  </si>
  <si>
    <t>Cerâmica esmaltada (G-Glazed), brilho ou acetinado, retificada ou não retificada, fabricante Eliane, modelo Branco Piscina, 20x20, fabricante Portobello, modelo Idea Bianco ou Antartida, 30x60, fabricante Biancogres, modelo Tradizione, 32x60, ou similares</t>
  </si>
  <si>
    <t>CONDULETE DE ALUMINIO TIPO X, PARA ELETRODUTO ROSCAVEL DE 3/4", COM TAMPA CEGA</t>
  </si>
  <si>
    <t>Argamassa autonivelante para preparação/regularização de contrapiso</t>
  </si>
  <si>
    <t>GRUPO</t>
  </si>
  <si>
    <t>Grupo 01</t>
  </si>
  <si>
    <t>Grupo 03</t>
  </si>
  <si>
    <t>Grupo 04</t>
  </si>
  <si>
    <t>Grupo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</si>
</sst>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R$&quot;\ * #,##0.00_-;\-&quot;R$&quot;\ * #,##0.00_-;_-&quot;R$&quot;\ * &quot;-&quot;??_-;_-@_-"/>
    <numFmt numFmtId="43" formatCode="_-* #,##0.00_-;\-* #,##0.00_-;_-* &quot;-&quot;??_-;_-@_-"/>
    <numFmt numFmtId="164" formatCode="_-&quot;R$&quot;* #,##0.00_-;\-&quot;R$&quot;* #,##0.00_-;_-&quot;R$&quot;* &quot;-&quot;??_-;_-@_-"/>
    <numFmt numFmtId="165" formatCode="_(* #,##0.00_);_(* \(#,##0.00\);_(* \-??_);_(@_)"/>
    <numFmt numFmtId="166" formatCode="_(&quot;R$&quot;* #,##0.00_);_(&quot;R$&quot;* \(#,##0.00\);_(&quot;R$&quot;* &quot;-&quot;??_);_(@_)"/>
    <numFmt numFmtId="167" formatCode="0.0000"/>
    <numFmt numFmtId="168" formatCode="#,##0.0000"/>
    <numFmt numFmtId="169" formatCode="_(* #,##0.00_);_(* \(#,##0.00\);_(* &quot;-&quot;??_);_(@_)"/>
    <numFmt numFmtId="170" formatCode="#,##0.0000000"/>
    <numFmt numFmtId="171" formatCode="&quot;Data-base SINAPI&quot;\ mm/yyyy"/>
    <numFmt numFmtId="172" formatCode="#,##0.00;;"/>
    <numFmt numFmtId="173" formatCode="#,##0;;"/>
    <numFmt numFmtId="174" formatCode="&quot;R$&quot;\ #,##0.00;[Red]&quot;R$&quot;\ #,##0.00"/>
    <numFmt numFmtId="175" formatCode="_([$R$ -416]* #,##0.00_);_([$R$ -416]* \(#,##0.00\);_([$R$ -416]* &quot;-&quot;??_);_(@_)"/>
  </numFmts>
  <fonts count="34"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b/>
      <u/>
      <sz val="11"/>
      <color theme="10"/>
      <name val="Calibri"/>
      <family val="2"/>
      <scheme val="minor"/>
    </font>
    <font>
      <sz val="10"/>
      <name val="Arial"/>
      <family val="2"/>
    </font>
    <font>
      <u/>
      <sz val="10"/>
      <color indexed="12"/>
      <name val="Arial"/>
      <family val="2"/>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s>
  <cellStyleXfs count="5538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5" fontId="2" fillId="0" borderId="0" applyFont="0" applyFill="0" applyAlignment="0" applyProtection="0"/>
    <xf numFmtId="166" fontId="2" fillId="0" borderId="0" applyFont="0" applyFill="0" applyBorder="0" applyAlignment="0" applyProtection="0"/>
    <xf numFmtId="0" fontId="9" fillId="0" borderId="0" applyNumberFormat="0" applyFill="0" applyBorder="0" applyAlignment="0" applyProtection="0"/>
    <xf numFmtId="0" fontId="32" fillId="0" borderId="0">
      <protection locked="0"/>
    </xf>
    <xf numFmtId="169" fontId="2" fillId="0" borderId="0" applyFont="0" applyFill="0" applyBorder="0" applyAlignment="0" applyProtection="0"/>
    <xf numFmtId="9" fontId="2" fillId="0" borderId="0" applyFont="0" applyFill="0" applyBorder="0" applyAlignment="0" applyProtection="0"/>
    <xf numFmtId="0" fontId="2" fillId="0" borderId="0"/>
    <xf numFmtId="0" fontId="33" fillId="0" borderId="0" applyNumberFormat="0" applyFill="0" applyBorder="0" applyAlignment="0" applyProtection="0">
      <alignment vertical="top"/>
      <protection locked="0"/>
    </xf>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0" fontId="2" fillId="0" borderId="0"/>
    <xf numFmtId="175" fontId="2" fillId="0" borderId="0"/>
    <xf numFmtId="0" fontId="2" fillId="0" borderId="0"/>
    <xf numFmtId="0" fontId="2" fillId="0" borderId="0">
      <protection locked="0"/>
    </xf>
    <xf numFmtId="175"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protection locked="0"/>
    </xf>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27">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alignment wrapText="1"/>
    </xf>
    <xf numFmtId="0" fontId="10" fillId="4" borderId="0" xfId="0" applyFont="1" applyFill="1" applyAlignment="1">
      <alignment horizontal="centerContinuous" vertical="distributed"/>
    </xf>
    <xf numFmtId="167"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7"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7" fontId="15" fillId="0" borderId="0" xfId="0" applyNumberFormat="1" applyFont="1" applyAlignment="1">
      <alignment horizontal="centerContinuous" vertical="center" wrapText="1"/>
    </xf>
    <xf numFmtId="0" fontId="20" fillId="0" borderId="0" xfId="0" applyFont="1" applyAlignment="1">
      <alignment vertical="center" wrapText="1"/>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167" fontId="17" fillId="4" borderId="12" xfId="0" applyNumberFormat="1"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0" borderId="14" xfId="0" applyFont="1" applyBorder="1" applyAlignment="1">
      <alignment horizontal="center" vertical="center" wrapText="1"/>
    </xf>
    <xf numFmtId="2" fontId="22" fillId="4" borderId="12" xfId="0" applyNumberFormat="1" applyFont="1" applyFill="1" applyBorder="1" applyAlignment="1">
      <alignment horizontal="center" vertical="center" wrapText="1"/>
    </xf>
    <xf numFmtId="0" fontId="3" fillId="0" borderId="10" xfId="3" applyFont="1" applyBorder="1" applyAlignment="1">
      <alignment horizontal="center" vertical="center" wrapText="1"/>
    </xf>
    <xf numFmtId="167" fontId="3" fillId="0" borderId="10" xfId="3" applyNumberFormat="1" applyFont="1" applyBorder="1" applyAlignment="1">
      <alignment vertical="center" wrapText="1"/>
    </xf>
    <xf numFmtId="0" fontId="3" fillId="0" borderId="10" xfId="3" applyFont="1" applyBorder="1" applyAlignment="1">
      <alignment vertical="center" wrapText="1"/>
    </xf>
    <xf numFmtId="0" fontId="3" fillId="0" borderId="6" xfId="3" applyFont="1" applyBorder="1" applyAlignment="1">
      <alignment vertical="center" wrapText="1"/>
    </xf>
    <xf numFmtId="0" fontId="3" fillId="0" borderId="0" xfId="3" applyFont="1" applyAlignment="1">
      <alignment vertical="center" wrapText="1"/>
    </xf>
    <xf numFmtId="166"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6" fontId="2" fillId="0" borderId="0" xfId="5" applyFont="1" applyBorder="1" applyAlignment="1" applyProtection="1">
      <alignment horizontal="center" vertical="center" wrapText="1"/>
    </xf>
    <xf numFmtId="166" fontId="2" fillId="0" borderId="18"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6" fontId="7" fillId="5" borderId="18" xfId="5" applyFont="1" applyFill="1" applyBorder="1" applyAlignment="1" applyProtection="1">
      <alignment horizontal="center" vertical="center" wrapText="1"/>
    </xf>
    <xf numFmtId="166" fontId="7" fillId="0" borderId="0" xfId="5" applyFont="1" applyFill="1" applyBorder="1" applyAlignment="1" applyProtection="1">
      <alignment horizontal="center" vertical="center" wrapText="1"/>
    </xf>
    <xf numFmtId="0" fontId="3" fillId="0" borderId="5" xfId="3" applyFont="1" applyBorder="1" applyAlignment="1">
      <alignment horizontal="center" vertical="center" wrapText="1"/>
    </xf>
    <xf numFmtId="166" fontId="3" fillId="0" borderId="10" xfId="3" applyNumberFormat="1" applyFont="1" applyBorder="1" applyAlignment="1">
      <alignment vertical="center" wrapText="1"/>
    </xf>
    <xf numFmtId="166" fontId="2" fillId="0" borderId="0" xfId="5" applyFont="1" applyFill="1" applyBorder="1" applyAlignment="1" applyProtection="1">
      <alignment vertical="center" wrapText="1"/>
    </xf>
    <xf numFmtId="166" fontId="7" fillId="0" borderId="18" xfId="5" applyFont="1" applyFill="1" applyBorder="1" applyAlignment="1" applyProtection="1">
      <alignment horizontal="center" vertical="center" wrapText="1"/>
    </xf>
    <xf numFmtId="166" fontId="3" fillId="0" borderId="18" xfId="5" applyFont="1" applyFill="1" applyBorder="1" applyAlignment="1" applyProtection="1">
      <alignment horizontal="center" vertical="center" wrapText="1"/>
    </xf>
    <xf numFmtId="166" fontId="3" fillId="0" borderId="0" xfId="5" applyFont="1" applyFill="1" applyBorder="1" applyAlignment="1" applyProtection="1">
      <alignment horizontal="center" vertical="center" wrapText="1"/>
    </xf>
    <xf numFmtId="169" fontId="2" fillId="0" borderId="0" xfId="0" applyNumberFormat="1" applyFont="1" applyAlignment="1">
      <alignment horizontal="center" vertical="center" wrapText="1"/>
    </xf>
    <xf numFmtId="0" fontId="3" fillId="0" borderId="0" xfId="0" applyFont="1" applyAlignment="1">
      <alignment horizontal="center" vertical="center" wrapText="1"/>
    </xf>
    <xf numFmtId="166" fontId="3" fillId="0" borderId="10"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166" fontId="2" fillId="0" borderId="0" xfId="5" applyFont="1" applyBorder="1" applyAlignment="1" applyProtection="1">
      <alignment horizontal="center" vertical="center"/>
    </xf>
    <xf numFmtId="0" fontId="2" fillId="0" borderId="4" xfId="0" applyFont="1" applyBorder="1" applyAlignment="1">
      <alignment horizontal="center" vertical="center" wrapText="1"/>
    </xf>
    <xf numFmtId="166" fontId="5" fillId="0" borderId="18" xfId="5" applyFont="1" applyBorder="1" applyAlignment="1" applyProtection="1">
      <alignment horizontal="center" vertical="center" wrapText="1"/>
    </xf>
    <xf numFmtId="166" fontId="5" fillId="0" borderId="0" xfId="5" applyFont="1" applyFill="1" applyBorder="1" applyAlignment="1" applyProtection="1">
      <alignment horizontal="center" vertical="center" wrapText="1"/>
    </xf>
    <xf numFmtId="0" fontId="3" fillId="0" borderId="0" xfId="0" applyFont="1" applyAlignment="1">
      <alignment vertical="center" wrapText="1"/>
    </xf>
    <xf numFmtId="167" fontId="3" fillId="0" borderId="0" xfId="0" applyNumberFormat="1" applyFont="1" applyAlignment="1">
      <alignment vertical="center" wrapText="1"/>
    </xf>
    <xf numFmtId="166" fontId="3" fillId="0" borderId="0" xfId="0" applyNumberFormat="1" applyFont="1" applyAlignment="1">
      <alignment vertical="center" wrapText="1"/>
    </xf>
    <xf numFmtId="0" fontId="3" fillId="0" borderId="18" xfId="0" applyFont="1" applyBorder="1" applyAlignment="1">
      <alignment vertical="center" wrapText="1"/>
    </xf>
    <xf numFmtId="0" fontId="2" fillId="0" borderId="18" xfId="0" applyFont="1" applyBorder="1"/>
    <xf numFmtId="4" fontId="2" fillId="0" borderId="18"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7" fontId="2" fillId="0" borderId="4" xfId="0" applyNumberFormat="1" applyFont="1" applyBorder="1" applyAlignment="1">
      <alignment horizontal="center" vertical="center" wrapText="1"/>
    </xf>
    <xf numFmtId="166" fontId="2" fillId="0" borderId="4" xfId="5" applyFont="1" applyFill="1" applyBorder="1" applyAlignment="1" applyProtection="1">
      <alignment horizontal="center" vertical="center" wrapText="1"/>
    </xf>
    <xf numFmtId="166" fontId="2" fillId="0" borderId="4" xfId="5" applyFont="1" applyBorder="1" applyAlignment="1" applyProtection="1">
      <alignment horizontal="center" vertical="center" wrapText="1"/>
    </xf>
    <xf numFmtId="166" fontId="2" fillId="0" borderId="20" xfId="5" applyFont="1" applyFill="1" applyBorder="1" applyAlignment="1" applyProtection="1">
      <alignment horizontal="center" vertical="center" wrapText="1"/>
    </xf>
    <xf numFmtId="167" fontId="3" fillId="0" borderId="4" xfId="3" applyNumberFormat="1" applyFont="1" applyBorder="1" applyAlignment="1">
      <alignment vertical="center" wrapText="1"/>
    </xf>
    <xf numFmtId="0" fontId="3" fillId="0" borderId="4" xfId="3" applyFont="1" applyBorder="1" applyAlignment="1">
      <alignment vertical="center" wrapText="1"/>
    </xf>
    <xf numFmtId="0" fontId="3" fillId="0" borderId="20" xfId="3" applyFont="1" applyBorder="1" applyAlignment="1">
      <alignment vertical="center" wrapText="1"/>
    </xf>
    <xf numFmtId="166" fontId="2" fillId="0" borderId="18" xfId="5" applyFont="1" applyBorder="1" applyAlignment="1" applyProtection="1">
      <alignment horizontal="center" vertical="center"/>
    </xf>
    <xf numFmtId="166" fontId="2" fillId="0" borderId="0" xfId="5" applyFont="1" applyFill="1" applyBorder="1" applyAlignment="1" applyProtection="1">
      <alignment horizontal="center" vertical="center"/>
    </xf>
    <xf numFmtId="166" fontId="2" fillId="0" borderId="0" xfId="0" applyNumberFormat="1" applyFont="1" applyAlignment="1">
      <alignment horizontal="center" vertical="center" wrapText="1"/>
    </xf>
    <xf numFmtId="166" fontId="2" fillId="0" borderId="4" xfId="5" applyFont="1" applyBorder="1" applyAlignment="1" applyProtection="1">
      <alignment horizontal="center" vertical="center"/>
    </xf>
    <xf numFmtId="166" fontId="2" fillId="0" borderId="20" xfId="5" applyFont="1" applyBorder="1" applyAlignment="1" applyProtection="1">
      <alignment horizontal="center" vertical="center"/>
    </xf>
    <xf numFmtId="0" fontId="3" fillId="0" borderId="10" xfId="3" applyFont="1" applyBorder="1" applyAlignment="1">
      <alignment horizontal="center" vertical="center"/>
    </xf>
    <xf numFmtId="0" fontId="2" fillId="0" borderId="0" xfId="3" applyAlignment="1">
      <alignment vertical="center"/>
    </xf>
    <xf numFmtId="0" fontId="2" fillId="0" borderId="4" xfId="0" applyFont="1" applyBorder="1" applyAlignment="1">
      <alignment horizontal="center" vertical="center"/>
    </xf>
    <xf numFmtId="0" fontId="10" fillId="4"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4" fillId="0" borderId="4" xfId="0" applyFont="1" applyBorder="1" applyAlignment="1">
      <alignment vertical="center" wrapText="1"/>
    </xf>
    <xf numFmtId="0" fontId="25" fillId="0" borderId="4" xfId="0" applyFont="1" applyBorder="1" applyAlignment="1">
      <alignment vertical="center" wrapText="1"/>
    </xf>
    <xf numFmtId="0" fontId="25" fillId="0" borderId="0" xfId="0" applyFont="1" applyAlignment="1">
      <alignment vertical="center" wrapText="1"/>
    </xf>
    <xf numFmtId="168" fontId="24" fillId="0" borderId="4" xfId="0" applyNumberFormat="1" applyFont="1" applyBorder="1" applyAlignment="1">
      <alignment vertical="center" wrapText="1"/>
    </xf>
    <xf numFmtId="168" fontId="22" fillId="4" borderId="12" xfId="0" applyNumberFormat="1" applyFont="1" applyFill="1" applyBorder="1" applyAlignment="1">
      <alignment horizontal="center" vertical="center" wrapText="1"/>
    </xf>
    <xf numFmtId="0" fontId="3" fillId="0" borderId="4" xfId="3" applyFont="1" applyBorder="1" applyAlignment="1">
      <alignment horizontal="center" vertical="center" wrapText="1"/>
    </xf>
    <xf numFmtId="170" fontId="3" fillId="0" borderId="4" xfId="3" applyNumberFormat="1" applyFont="1" applyBorder="1" applyAlignment="1">
      <alignment vertical="center" wrapText="1"/>
    </xf>
    <xf numFmtId="170" fontId="2" fillId="0" borderId="0" xfId="3" applyNumberFormat="1" applyAlignment="1">
      <alignment vertical="center" wrapText="1"/>
    </xf>
    <xf numFmtId="170" fontId="2" fillId="0" borderId="0" xfId="0" applyNumberFormat="1" applyFont="1" applyAlignment="1">
      <alignment horizontal="center" vertical="center" wrapText="1"/>
    </xf>
    <xf numFmtId="170" fontId="3" fillId="0" borderId="10" xfId="3" applyNumberFormat="1" applyFont="1" applyBorder="1" applyAlignment="1">
      <alignment vertical="center" wrapText="1"/>
    </xf>
    <xf numFmtId="166" fontId="0" fillId="0" borderId="0" xfId="0" applyNumberFormat="1"/>
    <xf numFmtId="170" fontId="2" fillId="0" borderId="4" xfId="0" applyNumberFormat="1" applyFont="1" applyBorder="1" applyAlignment="1">
      <alignment horizontal="center" vertical="center" wrapText="1"/>
    </xf>
    <xf numFmtId="166" fontId="0" fillId="0" borderId="0" xfId="0" applyNumberFormat="1" applyAlignment="1">
      <alignment horizontal="center" vertical="center"/>
    </xf>
    <xf numFmtId="166" fontId="2" fillId="0" borderId="0" xfId="5" applyFont="1" applyFill="1" applyBorder="1" applyAlignment="1">
      <alignment vertical="center" wrapText="1"/>
    </xf>
    <xf numFmtId="166" fontId="2" fillId="0" borderId="0" xfId="5" applyFont="1" applyFill="1" applyBorder="1" applyAlignment="1">
      <alignment horizontal="center" vertical="center" wrapText="1"/>
    </xf>
    <xf numFmtId="166" fontId="0" fillId="0" borderId="0" xfId="0" applyNumberFormat="1" applyProtection="1">
      <protection locked="0"/>
    </xf>
    <xf numFmtId="166" fontId="2" fillId="0" borderId="18"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10" fillId="4" borderId="0" xfId="0" applyFont="1" applyFill="1" applyAlignment="1">
      <alignment horizontal="centerContinuous"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4" xfId="0" applyFont="1" applyFill="1" applyBorder="1" applyAlignment="1" applyProtection="1">
      <alignment horizontal="center" vertical="center" wrapText="1"/>
      <protection locked="0"/>
    </xf>
    <xf numFmtId="0" fontId="27" fillId="6" borderId="4" xfId="0" applyFont="1" applyFill="1" applyBorder="1" applyAlignment="1" applyProtection="1">
      <alignment vertical="center" wrapText="1"/>
      <protection locked="0"/>
    </xf>
    <xf numFmtId="171" fontId="27" fillId="6" borderId="4" xfId="0" applyNumberFormat="1" applyFont="1" applyFill="1" applyBorder="1" applyAlignment="1" applyProtection="1">
      <alignment horizontal="centerContinuous" vertical="center" wrapText="1"/>
      <protection locked="0"/>
    </xf>
    <xf numFmtId="0" fontId="27" fillId="6" borderId="4" xfId="0" applyFont="1" applyFill="1" applyBorder="1" applyAlignment="1" applyProtection="1">
      <alignment horizontal="centerContinuous" vertical="center" wrapText="1"/>
      <protection locked="0"/>
    </xf>
    <xf numFmtId="3" fontId="2" fillId="0" borderId="7" xfId="4" applyNumberFormat="1" applyFont="1" applyFill="1" applyBorder="1" applyAlignment="1" applyProtection="1">
      <alignment horizontal="center" vertical="center" wrapText="1"/>
      <protection locked="0"/>
    </xf>
    <xf numFmtId="49" fontId="2" fillId="0" borderId="8" xfId="4" applyNumberFormat="1" applyFont="1" applyFill="1" applyBorder="1" applyAlignment="1" applyProtection="1">
      <alignment horizontal="left" vertical="center" wrapText="1"/>
      <protection locked="0"/>
    </xf>
    <xf numFmtId="4" fontId="2" fillId="0" borderId="8"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4"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9" xfId="0" applyNumberFormat="1" applyFont="1" applyBorder="1" applyAlignment="1" applyProtection="1">
      <alignment horizontal="center" vertical="center"/>
      <protection locked="0"/>
    </xf>
    <xf numFmtId="0" fontId="25" fillId="0" borderId="4" xfId="0" applyFont="1" applyBorder="1" applyAlignment="1">
      <alignment vertical="center"/>
    </xf>
    <xf numFmtId="0" fontId="17" fillId="4" borderId="2" xfId="0" applyFont="1" applyFill="1" applyBorder="1" applyAlignment="1">
      <alignment horizontal="center" vertical="center"/>
    </xf>
    <xf numFmtId="169"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171" fontId="21" fillId="6" borderId="4" xfId="0" applyNumberFormat="1" applyFont="1" applyFill="1" applyBorder="1" applyAlignment="1">
      <alignment horizontal="left" vertical="center" wrapText="1"/>
    </xf>
    <xf numFmtId="166" fontId="2" fillId="0" borderId="8" xfId="5" applyFont="1" applyFill="1" applyBorder="1" applyAlignment="1" applyProtection="1">
      <alignment vertical="center" wrapText="1"/>
    </xf>
    <xf numFmtId="166" fontId="2" fillId="0" borderId="8" xfId="5" applyFont="1" applyFill="1" applyBorder="1" applyAlignment="1" applyProtection="1">
      <alignment horizontal="right" vertical="center" wrapText="1"/>
    </xf>
    <xf numFmtId="10" fontId="2" fillId="0" borderId="8" xfId="2" applyNumberFormat="1" applyFont="1" applyFill="1" applyBorder="1" applyAlignment="1" applyProtection="1">
      <alignment horizontal="center" vertical="center" wrapText="1"/>
    </xf>
    <xf numFmtId="166" fontId="2" fillId="0" borderId="8" xfId="5" applyFont="1" applyFill="1" applyBorder="1" applyAlignment="1" applyProtection="1">
      <alignment horizontal="center" vertical="center" wrapText="1"/>
    </xf>
    <xf numFmtId="174" fontId="28" fillId="2" borderId="0" xfId="1" applyNumberFormat="1" applyFont="1" applyFill="1" applyBorder="1" applyAlignment="1" applyProtection="1">
      <alignment horizontal="right" wrapText="1"/>
    </xf>
    <xf numFmtId="10" fontId="28" fillId="2" borderId="22" xfId="2" applyNumberFormat="1" applyFont="1" applyFill="1" applyBorder="1" applyAlignment="1" applyProtection="1">
      <alignment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5"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0" fillId="4" borderId="0" xfId="5" applyNumberFormat="1" applyFont="1" applyFill="1" applyBorder="1" applyAlignment="1" applyProtection="1">
      <alignment horizontal="center" vertical="center" wrapText="1"/>
    </xf>
    <xf numFmtId="168" fontId="30" fillId="4" borderId="0" xfId="5" applyNumberFormat="1" applyFont="1" applyFill="1" applyBorder="1" applyAlignment="1" applyProtection="1">
      <alignment horizontal="center" vertical="center" wrapText="1"/>
    </xf>
    <xf numFmtId="169" fontId="2" fillId="0" borderId="4" xfId="0" applyNumberFormat="1" applyFont="1" applyBorder="1" applyAlignment="1">
      <alignment horizontal="center" vertical="center" wrapText="1"/>
    </xf>
    <xf numFmtId="0" fontId="3" fillId="0" borderId="19" xfId="3" applyFont="1" applyBorder="1" applyAlignment="1">
      <alignment horizontal="center" vertical="center" wrapText="1"/>
    </xf>
    <xf numFmtId="0" fontId="20" fillId="0" borderId="0" xfId="0" applyFont="1" applyAlignment="1">
      <alignment vertical="center"/>
    </xf>
    <xf numFmtId="0" fontId="17" fillId="4" borderId="12" xfId="0" applyFont="1" applyFill="1" applyBorder="1" applyAlignment="1">
      <alignment horizontal="center" vertical="center"/>
    </xf>
    <xf numFmtId="0" fontId="31" fillId="0" borderId="0" xfId="6" applyFont="1" applyAlignment="1">
      <alignment horizontal="center" vertical="center" wrapText="1"/>
    </xf>
    <xf numFmtId="0" fontId="2" fillId="0" borderId="4" xfId="0" applyFont="1" applyBorder="1" applyAlignment="1">
      <alignment wrapText="1"/>
    </xf>
    <xf numFmtId="166" fontId="3" fillId="0" borderId="20" xfId="5" applyFont="1" applyFill="1" applyBorder="1" applyAlignment="1" applyProtection="1">
      <alignment horizontal="center" vertical="center" wrapText="1"/>
    </xf>
    <xf numFmtId="0" fontId="17" fillId="4" borderId="1"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wrapText="1"/>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0" fontId="0" fillId="0" borderId="0" xfId="0" applyProtection="1"/>
    <xf numFmtId="3" fontId="2" fillId="0" borderId="7" xfId="4" applyNumberFormat="1" applyFont="1" applyFill="1" applyBorder="1" applyAlignment="1" applyProtection="1">
      <alignment horizontal="center" vertical="center" wrapText="1"/>
    </xf>
    <xf numFmtId="49" fontId="2" fillId="0" borderId="8" xfId="4" applyNumberFormat="1" applyFont="1" applyFill="1" applyBorder="1" applyAlignment="1" applyProtection="1">
      <alignment horizontal="left" vertical="center" wrapText="1"/>
    </xf>
    <xf numFmtId="4" fontId="2" fillId="0" borderId="8" xfId="4" applyNumberFormat="1" applyFont="1" applyFill="1" applyBorder="1" applyAlignment="1" applyProtection="1">
      <alignment horizontal="center" vertical="center" wrapText="1"/>
    </xf>
    <xf numFmtId="172" fontId="21" fillId="2" borderId="21" xfId="0" applyNumberFormat="1" applyFont="1" applyFill="1" applyBorder="1" applyAlignment="1" applyProtection="1">
      <alignment vertical="center" wrapText="1"/>
    </xf>
    <xf numFmtId="49" fontId="21" fillId="2" borderId="22" xfId="0" applyNumberFormat="1" applyFont="1" applyFill="1" applyBorder="1" applyAlignment="1" applyProtection="1">
      <alignment vertical="center" wrapText="1"/>
    </xf>
    <xf numFmtId="172" fontId="21" fillId="2" borderId="22" xfId="0" applyNumberFormat="1" applyFont="1" applyFill="1" applyBorder="1" applyAlignment="1" applyProtection="1">
      <alignment vertical="center" wrapText="1"/>
    </xf>
    <xf numFmtId="172" fontId="28" fillId="2" borderId="22" xfId="0" applyNumberFormat="1" applyFont="1" applyFill="1" applyBorder="1" applyAlignment="1" applyProtection="1">
      <alignment vertical="center" wrapText="1"/>
    </xf>
    <xf numFmtId="10" fontId="2" fillId="2" borderId="23" xfId="2" applyNumberFormat="1" applyFont="1" applyFill="1" applyBorder="1" applyAlignment="1" applyProtection="1">
      <alignment horizontal="center" vertical="center" wrapText="1"/>
    </xf>
    <xf numFmtId="166" fontId="2" fillId="2" borderId="23" xfId="5" applyFont="1" applyFill="1" applyBorder="1" applyAlignment="1" applyProtection="1">
      <alignment horizontal="center" vertical="center" wrapText="1"/>
    </xf>
    <xf numFmtId="173" fontId="28" fillId="2" borderId="21" xfId="0" applyNumberFormat="1" applyFont="1" applyFill="1" applyBorder="1" applyAlignment="1" applyProtection="1">
      <alignment horizontal="center" wrapText="1"/>
    </xf>
    <xf numFmtId="172" fontId="28" fillId="2" borderId="22" xfId="0" applyNumberFormat="1" applyFont="1" applyFill="1" applyBorder="1" applyAlignment="1" applyProtection="1">
      <alignment wrapText="1"/>
    </xf>
    <xf numFmtId="172" fontId="28" fillId="2" borderId="22" xfId="0" applyNumberFormat="1" applyFont="1" applyFill="1" applyBorder="1" applyAlignment="1" applyProtection="1">
      <alignment horizontal="centerContinuous" wrapText="1"/>
    </xf>
    <xf numFmtId="172" fontId="28" fillId="2" borderId="22" xfId="0" applyNumberFormat="1" applyFont="1" applyFill="1" applyBorder="1" applyAlignment="1" applyProtection="1">
      <alignment horizontal="center" wrapText="1"/>
    </xf>
    <xf numFmtId="172" fontId="28" fillId="2" borderId="5" xfId="0" applyNumberFormat="1" applyFont="1" applyFill="1" applyBorder="1" applyAlignment="1" applyProtection="1">
      <alignment wrapText="1"/>
    </xf>
    <xf numFmtId="172" fontId="28" fillId="2" borderId="10" xfId="0" applyNumberFormat="1" applyFont="1" applyFill="1" applyBorder="1" applyAlignment="1" applyProtection="1">
      <alignment wrapText="1"/>
    </xf>
    <xf numFmtId="172" fontId="28" fillId="2" borderId="10" xfId="0" applyNumberFormat="1" applyFont="1" applyFill="1" applyBorder="1" applyAlignment="1" applyProtection="1">
      <alignment horizontal="centerContinuous" wrapText="1"/>
    </xf>
    <xf numFmtId="172" fontId="28" fillId="2" borderId="5" xfId="0" applyNumberFormat="1" applyFont="1" applyFill="1" applyBorder="1" applyAlignment="1" applyProtection="1">
      <alignment horizontal="center" wrapText="1"/>
    </xf>
    <xf numFmtId="172" fontId="28" fillId="2" borderId="5" xfId="0" applyNumberFormat="1" applyFont="1" applyFill="1" applyBorder="1" applyAlignment="1" applyProtection="1">
      <alignment horizontal="centerContinuous" wrapText="1"/>
    </xf>
    <xf numFmtId="166" fontId="2" fillId="0" borderId="8" xfId="5" applyFont="1" applyFill="1" applyBorder="1" applyAlignment="1" applyProtection="1">
      <alignment vertical="center" wrapText="1"/>
      <protection locked="0"/>
    </xf>
    <xf numFmtId="43" fontId="17" fillId="4" borderId="3" xfId="1" applyFont="1" applyFill="1" applyBorder="1" applyAlignment="1" applyProtection="1">
      <alignment horizontal="center" vertical="center" wrapText="1"/>
    </xf>
    <xf numFmtId="166" fontId="2" fillId="0" borderId="9" xfId="5" applyFont="1" applyFill="1" applyBorder="1" applyAlignment="1" applyProtection="1">
      <alignment horizontal="right" vertical="center" wrapText="1"/>
    </xf>
    <xf numFmtId="166" fontId="2" fillId="2" borderId="18" xfId="5" applyFont="1" applyFill="1" applyBorder="1" applyAlignment="1" applyProtection="1">
      <alignment horizontal="right" vertical="center" wrapText="1"/>
    </xf>
    <xf numFmtId="174" fontId="28" fillId="2" borderId="20" xfId="1" applyNumberFormat="1" applyFont="1" applyFill="1" applyBorder="1" applyAlignment="1" applyProtection="1">
      <alignment horizontal="right" wrapText="1"/>
    </xf>
    <xf numFmtId="0" fontId="17" fillId="4" borderId="5" xfId="0" applyFont="1" applyFill="1" applyBorder="1" applyAlignment="1" applyProtection="1">
      <alignment horizontal="centerContinuous" vertical="center"/>
    </xf>
    <xf numFmtId="0" fontId="17" fillId="4" borderId="6" xfId="0" applyFont="1" applyFill="1" applyBorder="1" applyAlignment="1" applyProtection="1">
      <alignment horizontal="centerContinuous" vertical="center"/>
    </xf>
    <xf numFmtId="0" fontId="29" fillId="0" borderId="25" xfId="0" applyFont="1" applyBorder="1" applyAlignment="1" applyProtection="1">
      <alignment horizontal="center" vertical="center"/>
    </xf>
    <xf numFmtId="0" fontId="27" fillId="0" borderId="0" xfId="0" applyFont="1" applyAlignment="1" applyProtection="1">
      <alignment horizontal="center" vertical="center"/>
    </xf>
    <xf numFmtId="0" fontId="21" fillId="0" borderId="27" xfId="0" applyFont="1" applyBorder="1" applyAlignment="1" applyProtection="1">
      <alignment horizontal="center" vertical="center"/>
    </xf>
    <xf numFmtId="0" fontId="11" fillId="0" borderId="9" xfId="0" applyFont="1" applyBorder="1" applyAlignment="1" applyProtection="1">
      <alignment horizontal="center" vertical="center"/>
    </xf>
    <xf numFmtId="0" fontId="22" fillId="0" borderId="7" xfId="0" applyFont="1" applyBorder="1" applyAlignment="1" applyProtection="1">
      <alignment horizontal="center" vertical="center"/>
    </xf>
    <xf numFmtId="0" fontId="2" fillId="0" borderId="18" xfId="0" applyFont="1" applyBorder="1" applyAlignment="1" applyProtection="1">
      <alignment vertical="center"/>
    </xf>
    <xf numFmtId="0" fontId="2" fillId="0" borderId="0" xfId="0" applyFont="1" applyAlignment="1" applyProtection="1">
      <alignment horizontal="center" vertical="center"/>
    </xf>
    <xf numFmtId="0" fontId="3" fillId="4" borderId="21" xfId="0" applyFont="1" applyFill="1" applyBorder="1" applyAlignment="1" applyProtection="1">
      <alignment horizontal="center" vertical="center" wrapText="1"/>
    </xf>
    <xf numFmtId="10" fontId="3" fillId="4" borderId="29" xfId="0" applyNumberFormat="1" applyFont="1" applyFill="1" applyBorder="1" applyAlignment="1" applyProtection="1">
      <alignment horizontal="center" vertical="center"/>
    </xf>
    <xf numFmtId="0" fontId="3" fillId="4" borderId="19" xfId="0" applyFont="1" applyFill="1" applyBorder="1" applyAlignment="1" applyProtection="1">
      <alignment horizontal="center" vertical="center"/>
    </xf>
    <xf numFmtId="0" fontId="2" fillId="0" borderId="15" xfId="0" applyFont="1" applyBorder="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Alignment="1" applyProtection="1">
      <alignment horizontal="center"/>
    </xf>
    <xf numFmtId="0" fontId="2" fillId="0" borderId="0" xfId="0" applyFont="1" applyBorder="1" applyAlignment="1" applyProtection="1">
      <alignment vertical="center"/>
    </xf>
    <xf numFmtId="3" fontId="3" fillId="0" borderId="16" xfId="3" applyNumberFormat="1" applyFont="1" applyBorder="1" applyAlignment="1">
      <alignment horizontal="center" vertical="center"/>
    </xf>
    <xf numFmtId="0" fontId="3" fillId="0" borderId="15" xfId="3" applyFont="1" applyBorder="1" applyAlignment="1">
      <alignment horizontal="center" vertical="center"/>
    </xf>
    <xf numFmtId="0" fontId="3" fillId="0" borderId="17" xfId="3" applyFont="1" applyBorder="1" applyAlignment="1">
      <alignment horizontal="center" vertical="center" wrapText="1"/>
    </xf>
    <xf numFmtId="0" fontId="3" fillId="0" borderId="0" xfId="3" applyFont="1" applyAlignment="1">
      <alignment horizontal="center" vertical="center" wrapText="1"/>
    </xf>
    <xf numFmtId="0" fontId="3" fillId="0" borderId="4" xfId="3" applyFont="1" applyBorder="1" applyAlignment="1">
      <alignment horizontal="center" vertical="center" wrapText="1"/>
    </xf>
    <xf numFmtId="3" fontId="3" fillId="0" borderId="15" xfId="3" applyNumberFormat="1" applyFont="1" applyBorder="1" applyAlignment="1">
      <alignment horizontal="center" vertical="center"/>
    </xf>
    <xf numFmtId="3" fontId="3" fillId="0" borderId="19" xfId="3" applyNumberFormat="1" applyFont="1" applyBorder="1" applyAlignment="1">
      <alignment horizontal="center" vertical="center"/>
    </xf>
    <xf numFmtId="0" fontId="3" fillId="0" borderId="19" xfId="3" applyFont="1" applyBorder="1" applyAlignment="1">
      <alignment horizontal="center" vertical="center"/>
    </xf>
    <xf numFmtId="0" fontId="3" fillId="3" borderId="17" xfId="3" applyFont="1" applyFill="1" applyBorder="1" applyAlignment="1">
      <alignment horizontal="center" vertical="center" wrapText="1"/>
    </xf>
    <xf numFmtId="0" fontId="3" fillId="3" borderId="0" xfId="3" applyFont="1" applyFill="1" applyAlignment="1">
      <alignment horizontal="center" vertical="center" wrapText="1"/>
    </xf>
    <xf numFmtId="0" fontId="3" fillId="3" borderId="4" xfId="3" applyFont="1" applyFill="1" applyBorder="1" applyAlignment="1">
      <alignment horizontal="center" vertical="center" wrapText="1"/>
    </xf>
    <xf numFmtId="3" fontId="3" fillId="0" borderId="16" xfId="3" applyNumberFormat="1" applyFont="1" applyBorder="1" applyAlignment="1">
      <alignment horizontal="center" vertical="center" wrapText="1"/>
    </xf>
    <xf numFmtId="0" fontId="3" fillId="0" borderId="15" xfId="3" applyFont="1" applyBorder="1" applyAlignment="1">
      <alignment horizontal="center" vertical="center" wrapText="1"/>
    </xf>
    <xf numFmtId="0" fontId="15" fillId="0" borderId="0" xfId="0" applyFont="1" applyAlignment="1">
      <alignment horizontal="center" vertical="center" wrapText="1"/>
    </xf>
    <xf numFmtId="0" fontId="3" fillId="0" borderId="16" xfId="3" applyFont="1" applyBorder="1" applyAlignment="1">
      <alignment horizontal="center" vertical="center" wrapText="1"/>
    </xf>
    <xf numFmtId="0" fontId="3" fillId="0" borderId="19" xfId="3" applyFont="1" applyBorder="1" applyAlignment="1">
      <alignment horizontal="center" vertical="center" wrapText="1"/>
    </xf>
    <xf numFmtId="0" fontId="11" fillId="0" borderId="24" xfId="0" applyFont="1" applyBorder="1" applyAlignment="1" applyProtection="1">
      <alignment horizontal="center" vertical="center" wrapText="1"/>
    </xf>
    <xf numFmtId="0" fontId="11" fillId="0" borderId="26" xfId="0" applyFont="1" applyBorder="1" applyAlignment="1" applyProtection="1">
      <alignment horizontal="center" vertical="center" wrapText="1"/>
    </xf>
    <xf numFmtId="0" fontId="11" fillId="0" borderId="28" xfId="0" applyFont="1" applyBorder="1" applyAlignment="1" applyProtection="1">
      <alignment horizontal="center" vertical="center" wrapText="1"/>
    </xf>
    <xf numFmtId="0" fontId="16" fillId="0" borderId="0" xfId="0" applyFont="1" applyAlignment="1" applyProtection="1">
      <alignment horizontal="left"/>
    </xf>
    <xf numFmtId="0" fontId="0" fillId="0" borderId="0" xfId="0" applyAlignment="1">
      <alignment horizontal="center"/>
    </xf>
    <xf numFmtId="0" fontId="0" fillId="0" borderId="0" xfId="0" applyAlignment="1">
      <alignment horizontal="center" vertical="center"/>
    </xf>
    <xf numFmtId="0" fontId="0" fillId="0" borderId="0" xfId="0" applyAlignment="1" applyProtection="1">
      <alignment horizontal="center" vertical="center"/>
    </xf>
    <xf numFmtId="171" fontId="21" fillId="6" borderId="0" xfId="0" applyNumberFormat="1" applyFont="1" applyFill="1" applyBorder="1" applyAlignment="1">
      <alignment horizontal="left" vertical="center" wrapText="1"/>
    </xf>
    <xf numFmtId="166" fontId="2" fillId="0" borderId="0" xfId="5" applyFont="1" applyFill="1" applyBorder="1" applyAlignment="1" applyProtection="1">
      <alignment horizontal="right" vertical="center" wrapText="1"/>
    </xf>
  </cellXfs>
  <cellStyles count="55389">
    <cellStyle name="Cancel" xfId="27" xr:uid="{00000000-0005-0000-0000-000000000000}"/>
    <cellStyle name="Hiperlink" xfId="6" builtinId="8"/>
    <cellStyle name="Hiperlink 2" xfId="11" xr:uid="{00000000-0005-0000-0000-000002000000}"/>
    <cellStyle name="Moeda 10" xfId="29204" xr:uid="{00000000-0005-0000-0000-000004000000}"/>
    <cellStyle name="Moeda 11" xfId="30395" xr:uid="{00000000-0005-0000-0000-000005000000}"/>
    <cellStyle name="Moeda 12" xfId="4193" xr:uid="{00000000-0005-0000-0000-000006000000}"/>
    <cellStyle name="Moeda 13" xfId="55386" xr:uid="{00000000-0005-0000-0000-000007000000}"/>
    <cellStyle name="Moeda 14" xfId="55388" xr:uid="{00000000-0005-0000-0000-000008000000}"/>
    <cellStyle name="Moeda 2" xfId="5" xr:uid="{00000000-0005-0000-0000-000009000000}"/>
    <cellStyle name="Moeda 2 2" xfId="29205" xr:uid="{00000000-0005-0000-0000-00000A000000}"/>
    <cellStyle name="Moeda 2 2 2" xfId="55384" xr:uid="{00000000-0005-0000-0000-00000B000000}"/>
    <cellStyle name="Moeda 2 2 4 3 3 2" xfId="7986" xr:uid="{00000000-0005-0000-0000-00000C000000}"/>
    <cellStyle name="Moeda 2 2 4 3 3 2 2" xfId="14375" xr:uid="{00000000-0005-0000-0000-00000D000000}"/>
    <cellStyle name="Moeda 2 2 4 3 3 2 2 2" xfId="40568" xr:uid="{00000000-0005-0000-0000-00000E000000}"/>
    <cellStyle name="Moeda 2 2 4 3 3 2 3" xfId="34182" xr:uid="{00000000-0005-0000-0000-00000F000000}"/>
    <cellStyle name="Moeda 2 2 4 3 3 3" xfId="6285" xr:uid="{00000000-0005-0000-0000-000010000000}"/>
    <cellStyle name="Moeda 2 2 4 3 3 3 2" xfId="32481" xr:uid="{00000000-0005-0000-0000-000011000000}"/>
    <cellStyle name="Moeda 2 2 4 3 3 4" xfId="12674" xr:uid="{00000000-0005-0000-0000-000012000000}"/>
    <cellStyle name="Moeda 2 2 4 3 3 4 2" xfId="38867" xr:uid="{00000000-0005-0000-0000-000013000000}"/>
    <cellStyle name="Moeda 2 2 4 3 4" xfId="6069" xr:uid="{00000000-0005-0000-0000-000014000000}"/>
    <cellStyle name="Moeda 2 2 4 3 4 2" xfId="7769" xr:uid="{00000000-0005-0000-0000-000015000000}"/>
    <cellStyle name="Moeda 2 2 4 3 4 2 2" xfId="14158" xr:uid="{00000000-0005-0000-0000-000016000000}"/>
    <cellStyle name="Moeda 2 2 4 3 4 2 2 2" xfId="40351" xr:uid="{00000000-0005-0000-0000-000017000000}"/>
    <cellStyle name="Moeda 2 2 4 3 4 2 3" xfId="33965" xr:uid="{00000000-0005-0000-0000-000018000000}"/>
    <cellStyle name="Moeda 2 2 4 3 4 3" xfId="12457" xr:uid="{00000000-0005-0000-0000-000019000000}"/>
    <cellStyle name="Moeda 2 2 4 3 4 3 2" xfId="38650" xr:uid="{00000000-0005-0000-0000-00001A000000}"/>
    <cellStyle name="Moeda 2 2 4 3 4 4" xfId="32265" xr:uid="{00000000-0005-0000-0000-00001B000000}"/>
    <cellStyle name="Moeda 2 2 4 3 5" xfId="6394" xr:uid="{00000000-0005-0000-0000-00001C000000}"/>
    <cellStyle name="Moeda 2 2 4 3 5 2" xfId="12783" xr:uid="{00000000-0005-0000-0000-00001D000000}"/>
    <cellStyle name="Moeda 2 2 4 3 5 2 2" xfId="38976" xr:uid="{00000000-0005-0000-0000-00001E000000}"/>
    <cellStyle name="Moeda 2 2 4 3 5 3" xfId="32590" xr:uid="{00000000-0005-0000-0000-00001F000000}"/>
    <cellStyle name="Moeda 2 2 4 3 6" xfId="4691" xr:uid="{00000000-0005-0000-0000-000020000000}"/>
    <cellStyle name="Moeda 2 2 4 3 6 2" xfId="30891" xr:uid="{00000000-0005-0000-0000-000021000000}"/>
    <cellStyle name="Moeda 2 2 4 3 7" xfId="11082" xr:uid="{00000000-0005-0000-0000-000022000000}"/>
    <cellStyle name="Moeda 2 2 4 3 7 2" xfId="37275" xr:uid="{00000000-0005-0000-0000-000023000000}"/>
    <cellStyle name="Moeda 2 2 4 4" xfId="4300" xr:uid="{00000000-0005-0000-0000-000024000000}"/>
    <cellStyle name="Moeda 2 2 4 4 2" xfId="7701" xr:uid="{00000000-0005-0000-0000-000025000000}"/>
    <cellStyle name="Moeda 2 2 4 4 2 2" xfId="14090" xr:uid="{00000000-0005-0000-0000-000026000000}"/>
    <cellStyle name="Moeda 2 2 4 4 2 2 2" xfId="40283" xr:uid="{00000000-0005-0000-0000-000027000000}"/>
    <cellStyle name="Moeda 2 2 4 4 2 3" xfId="33897" xr:uid="{00000000-0005-0000-0000-000028000000}"/>
    <cellStyle name="Moeda 2 2 4 4 3" xfId="6001" xr:uid="{00000000-0005-0000-0000-000029000000}"/>
    <cellStyle name="Moeda 2 2 4 4 3 2" xfId="32197" xr:uid="{00000000-0005-0000-0000-00002A000000}"/>
    <cellStyle name="Moeda 2 2 4 4 4" xfId="12389" xr:uid="{00000000-0005-0000-0000-00002B000000}"/>
    <cellStyle name="Moeda 2 2 4 4 4 2" xfId="38582" xr:uid="{00000000-0005-0000-0000-00002C000000}"/>
    <cellStyle name="Moeda 2 2 4 4 5" xfId="30500" xr:uid="{00000000-0005-0000-0000-00002D000000}"/>
    <cellStyle name="Moeda 2 2 4 5" xfId="4408" xr:uid="{00000000-0005-0000-0000-00002E000000}"/>
    <cellStyle name="Moeda 2 2 4 5 2" xfId="7810" xr:uid="{00000000-0005-0000-0000-00002F000000}"/>
    <cellStyle name="Moeda 2 2 4 5 2 2" xfId="14199" xr:uid="{00000000-0005-0000-0000-000030000000}"/>
    <cellStyle name="Moeda 2 2 4 5 2 2 2" xfId="40392" xr:uid="{00000000-0005-0000-0000-000031000000}"/>
    <cellStyle name="Moeda 2 2 4 5 2 3" xfId="34006" xr:uid="{00000000-0005-0000-0000-000032000000}"/>
    <cellStyle name="Moeda 2 2 4 5 3" xfId="6110" xr:uid="{00000000-0005-0000-0000-000033000000}"/>
    <cellStyle name="Moeda 2 2 4 5 3 2" xfId="32306" xr:uid="{00000000-0005-0000-0000-000034000000}"/>
    <cellStyle name="Moeda 2 2 4 5 4" xfId="12498" xr:uid="{00000000-0005-0000-0000-000035000000}"/>
    <cellStyle name="Moeda 2 2 4 5 4 2" xfId="38691" xr:uid="{00000000-0005-0000-0000-000036000000}"/>
    <cellStyle name="Moeda 2 2 4 5 5" xfId="30608" xr:uid="{00000000-0005-0000-0000-000037000000}"/>
    <cellStyle name="Moeda 2 2 4 6" xfId="4516" xr:uid="{00000000-0005-0000-0000-000038000000}"/>
    <cellStyle name="Moeda 2 2 4 6 2" xfId="7918" xr:uid="{00000000-0005-0000-0000-000039000000}"/>
    <cellStyle name="Moeda 2 2 4 6 2 2" xfId="14307" xr:uid="{00000000-0005-0000-0000-00003A000000}"/>
    <cellStyle name="Moeda 2 2 4 6 2 2 2" xfId="40500" xr:uid="{00000000-0005-0000-0000-00003B000000}"/>
    <cellStyle name="Moeda 2 2 4 6 2 3" xfId="34114" xr:uid="{00000000-0005-0000-0000-00003C000000}"/>
    <cellStyle name="Moeda 2 2 4 6 3" xfId="6217" xr:uid="{00000000-0005-0000-0000-00003D000000}"/>
    <cellStyle name="Moeda 2 2 4 6 3 2" xfId="32413" xr:uid="{00000000-0005-0000-0000-00003E000000}"/>
    <cellStyle name="Moeda 2 2 4 6 4" xfId="12606" xr:uid="{00000000-0005-0000-0000-00003F000000}"/>
    <cellStyle name="Moeda 2 2 4 6 4 2" xfId="38799" xr:uid="{00000000-0005-0000-0000-000040000000}"/>
    <cellStyle name="Moeda 2 2 4 6 5" xfId="30716" xr:uid="{00000000-0005-0000-0000-000041000000}"/>
    <cellStyle name="Moeda 2 2 4 7" xfId="5924" xr:uid="{00000000-0005-0000-0000-000042000000}"/>
    <cellStyle name="Moeda 2 2 4 7 2" xfId="7624" xr:uid="{00000000-0005-0000-0000-000043000000}"/>
    <cellStyle name="Moeda 2 2 4 7 2 2" xfId="14013" xr:uid="{00000000-0005-0000-0000-000044000000}"/>
    <cellStyle name="Moeda 2 2 4 7 2 2 2" xfId="40206" xr:uid="{00000000-0005-0000-0000-000045000000}"/>
    <cellStyle name="Moeda 2 2 4 7 2 3" xfId="33820" xr:uid="{00000000-0005-0000-0000-000046000000}"/>
    <cellStyle name="Moeda 2 2 4 7 3" xfId="12312" xr:uid="{00000000-0005-0000-0000-000047000000}"/>
    <cellStyle name="Moeda 2 2 4 7 3 2" xfId="38505" xr:uid="{00000000-0005-0000-0000-000048000000}"/>
    <cellStyle name="Moeda 2 2 4 7 4" xfId="32120" xr:uid="{00000000-0005-0000-0000-000049000000}"/>
    <cellStyle name="Moeda 2 2 4 8" xfId="6326" xr:uid="{00000000-0005-0000-0000-00004A000000}"/>
    <cellStyle name="Moeda 2 2 4 8 2" xfId="12715" xr:uid="{00000000-0005-0000-0000-00004B000000}"/>
    <cellStyle name="Moeda 2 2 4 8 2 2" xfId="38908" xr:uid="{00000000-0005-0000-0000-00004C000000}"/>
    <cellStyle name="Moeda 2 2 4 8 3" xfId="32522" xr:uid="{00000000-0005-0000-0000-00004D000000}"/>
    <cellStyle name="Moeda 2 2 4 9" xfId="8018" xr:uid="{00000000-0005-0000-0000-00004E000000}"/>
    <cellStyle name="Moeda 2 2 4 9 2" xfId="14407" xr:uid="{00000000-0005-0000-0000-00004F000000}"/>
    <cellStyle name="Moeda 2 2 4 9 2 2" xfId="40600" xr:uid="{00000000-0005-0000-0000-000050000000}"/>
    <cellStyle name="Moeda 2 2 4 9 3" xfId="34214" xr:uid="{00000000-0005-0000-0000-000051000000}"/>
    <cellStyle name="Moeda 2 2 5" xfId="4208" xr:uid="{00000000-0005-0000-0000-000052000000}"/>
    <cellStyle name="Moeda 2 2 5 2" xfId="4284" xr:uid="{00000000-0005-0000-0000-000053000000}"/>
    <cellStyle name="Moeda 2 2 5 2 2" xfId="7685" xr:uid="{00000000-0005-0000-0000-000054000000}"/>
    <cellStyle name="Moeda 2 2 5 2 2 2" xfId="14074" xr:uid="{00000000-0005-0000-0000-000055000000}"/>
    <cellStyle name="Moeda 2 2 5 2 2 2 2" xfId="40267" xr:uid="{00000000-0005-0000-0000-000056000000}"/>
    <cellStyle name="Moeda 2 2 5 2 2 3" xfId="33881" xr:uid="{00000000-0005-0000-0000-000057000000}"/>
    <cellStyle name="Moeda 2 2 5 2 3" xfId="5985" xr:uid="{00000000-0005-0000-0000-000058000000}"/>
    <cellStyle name="Moeda 2 2 5 2 3 2" xfId="32181" xr:uid="{00000000-0005-0000-0000-000059000000}"/>
    <cellStyle name="Moeda 2 2 5 2 4" xfId="12373" xr:uid="{00000000-0005-0000-0000-00005A000000}"/>
    <cellStyle name="Moeda 2 2 5 2 4 2" xfId="38566" xr:uid="{00000000-0005-0000-0000-00005B000000}"/>
    <cellStyle name="Moeda 2 2 5 2 5" xfId="30484" xr:uid="{00000000-0005-0000-0000-00005C000000}"/>
    <cellStyle name="Moeda 2 2 5 3" xfId="4392" xr:uid="{00000000-0005-0000-0000-00005D000000}"/>
    <cellStyle name="Moeda 2 2 5 3 2" xfId="7794" xr:uid="{00000000-0005-0000-0000-00005E000000}"/>
    <cellStyle name="Moeda 2 2 5 3 2 2" xfId="14183" xr:uid="{00000000-0005-0000-0000-00005F000000}"/>
    <cellStyle name="Moeda 2 2 5 3 2 2 2" xfId="40376" xr:uid="{00000000-0005-0000-0000-000060000000}"/>
    <cellStyle name="Moeda 2 2 5 3 2 3" xfId="33990" xr:uid="{00000000-0005-0000-0000-000061000000}"/>
    <cellStyle name="Moeda 2 2 5 3 3" xfId="6094" xr:uid="{00000000-0005-0000-0000-000062000000}"/>
    <cellStyle name="Moeda 2 2 5 3 3 2" xfId="32290" xr:uid="{00000000-0005-0000-0000-000063000000}"/>
    <cellStyle name="Moeda 2 2 5 3 4" xfId="12482" xr:uid="{00000000-0005-0000-0000-000064000000}"/>
    <cellStyle name="Moeda 2 2 5 3 4 2" xfId="38675" xr:uid="{00000000-0005-0000-0000-000065000000}"/>
    <cellStyle name="Moeda 2 2 5 3 5" xfId="30592" xr:uid="{00000000-0005-0000-0000-000066000000}"/>
    <cellStyle name="Moeda 2 2 5 4" xfId="4500" xr:uid="{00000000-0005-0000-0000-000067000000}"/>
    <cellStyle name="Moeda 2 2 5 4 2" xfId="7902" xr:uid="{00000000-0005-0000-0000-000068000000}"/>
    <cellStyle name="Moeda 2 2 5 4 2 2" xfId="14291" xr:uid="{00000000-0005-0000-0000-000069000000}"/>
    <cellStyle name="Moeda 2 2 5 4 2 2 2" xfId="40484" xr:uid="{00000000-0005-0000-0000-00006A000000}"/>
    <cellStyle name="Moeda 2 2 5 4 2 3" xfId="34098" xr:uid="{00000000-0005-0000-0000-00006B000000}"/>
    <cellStyle name="Moeda 2 2 5 4 3" xfId="6201" xr:uid="{00000000-0005-0000-0000-00006C000000}"/>
    <cellStyle name="Moeda 2 2 5 4 3 2" xfId="32397" xr:uid="{00000000-0005-0000-0000-00006D000000}"/>
    <cellStyle name="Moeda 2 2 5 4 4" xfId="12590" xr:uid="{00000000-0005-0000-0000-00006E000000}"/>
    <cellStyle name="Moeda 2 2 5 4 4 2" xfId="38783" xr:uid="{00000000-0005-0000-0000-00006F000000}"/>
    <cellStyle name="Moeda 2 2 5 4 5" xfId="30700" xr:uid="{00000000-0005-0000-0000-000070000000}"/>
    <cellStyle name="Moeda 2 2 5 5" xfId="5909" xr:uid="{00000000-0005-0000-0000-000071000000}"/>
    <cellStyle name="Moeda 2 2 5 5 2" xfId="7608" xr:uid="{00000000-0005-0000-0000-000072000000}"/>
    <cellStyle name="Moeda 2 2 5 5 2 2" xfId="13997" xr:uid="{00000000-0005-0000-0000-000073000000}"/>
    <cellStyle name="Moeda 2 2 5 5 2 2 2" xfId="40190" xr:uid="{00000000-0005-0000-0000-000074000000}"/>
    <cellStyle name="Moeda 2 2 5 5 2 3" xfId="33804" xr:uid="{00000000-0005-0000-0000-000075000000}"/>
    <cellStyle name="Moeda 2 2 5 5 3" xfId="12296" xr:uid="{00000000-0005-0000-0000-000076000000}"/>
    <cellStyle name="Moeda 2 2 5 5 3 2" xfId="38489" xr:uid="{00000000-0005-0000-0000-000077000000}"/>
    <cellStyle name="Moeda 2 2 5 5 4" xfId="32105" xr:uid="{00000000-0005-0000-0000-000078000000}"/>
    <cellStyle name="Moeda 2 2 5 6" xfId="6310" xr:uid="{00000000-0005-0000-0000-000079000000}"/>
    <cellStyle name="Moeda 2 2 5 6 2" xfId="12699" xr:uid="{00000000-0005-0000-0000-00007A000000}"/>
    <cellStyle name="Moeda 2 2 5 6 2 2" xfId="38892" xr:uid="{00000000-0005-0000-0000-00007B000000}"/>
    <cellStyle name="Moeda 2 2 5 6 3" xfId="32506" xr:uid="{00000000-0005-0000-0000-00007C000000}"/>
    <cellStyle name="Moeda 2 2 5 7" xfId="4608" xr:uid="{00000000-0005-0000-0000-00007D000000}"/>
    <cellStyle name="Moeda 2 2 5 7 2" xfId="30808" xr:uid="{00000000-0005-0000-0000-00007E000000}"/>
    <cellStyle name="Moeda 2 2 5 8" xfId="10999" xr:uid="{00000000-0005-0000-0000-00007F000000}"/>
    <cellStyle name="Moeda 2 2 5 8 2" xfId="37192" xr:uid="{00000000-0005-0000-0000-000080000000}"/>
    <cellStyle name="Moeda 2 2 5 9" xfId="30408" xr:uid="{00000000-0005-0000-0000-000081000000}"/>
    <cellStyle name="Moeda 2 2 6" xfId="4243" xr:uid="{00000000-0005-0000-0000-000082000000}"/>
    <cellStyle name="Moeda 2 2 6 2" xfId="4320" xr:uid="{00000000-0005-0000-0000-000083000000}"/>
    <cellStyle name="Moeda 2 2 6 2 2" xfId="7721" xr:uid="{00000000-0005-0000-0000-000084000000}"/>
    <cellStyle name="Moeda 2 2 6 2 2 2" xfId="14110" xr:uid="{00000000-0005-0000-0000-000085000000}"/>
    <cellStyle name="Moeda 2 2 6 2 2 2 2" xfId="40303" xr:uid="{00000000-0005-0000-0000-000086000000}"/>
    <cellStyle name="Moeda 2 2 6 2 2 3" xfId="33917" xr:uid="{00000000-0005-0000-0000-000087000000}"/>
    <cellStyle name="Moeda 2 2 6 2 3" xfId="6021" xr:uid="{00000000-0005-0000-0000-000088000000}"/>
    <cellStyle name="Moeda 2 2 6 2 3 2" xfId="32217" xr:uid="{00000000-0005-0000-0000-000089000000}"/>
    <cellStyle name="Moeda 2 2 6 2 4" xfId="12409" xr:uid="{00000000-0005-0000-0000-00008A000000}"/>
    <cellStyle name="Moeda 2 2 6 2 4 2" xfId="38602" xr:uid="{00000000-0005-0000-0000-00008B000000}"/>
    <cellStyle name="Moeda 2 2 6 2 5" xfId="30520" xr:uid="{00000000-0005-0000-0000-00008C000000}"/>
    <cellStyle name="Moeda 2 2 6 3" xfId="4428" xr:uid="{00000000-0005-0000-0000-00008D000000}"/>
    <cellStyle name="Moeda 2 2 6 3 2" xfId="7830" xr:uid="{00000000-0005-0000-0000-00008E000000}"/>
    <cellStyle name="Moeda 2 2 6 3 2 2" xfId="14219" xr:uid="{00000000-0005-0000-0000-00008F000000}"/>
    <cellStyle name="Moeda 2 2 6 3 2 2 2" xfId="40412" xr:uid="{00000000-0005-0000-0000-000090000000}"/>
    <cellStyle name="Moeda 2 2 6 3 2 3" xfId="34026" xr:uid="{00000000-0005-0000-0000-000091000000}"/>
    <cellStyle name="Moeda 2 2 6 3 3" xfId="6130" xr:uid="{00000000-0005-0000-0000-000092000000}"/>
    <cellStyle name="Moeda 2 2 6 3 3 2" xfId="32326" xr:uid="{00000000-0005-0000-0000-000093000000}"/>
    <cellStyle name="Moeda 2 2 6 3 4" xfId="12518" xr:uid="{00000000-0005-0000-0000-000094000000}"/>
    <cellStyle name="Moeda 2 2 6 3 4 2" xfId="38711" xr:uid="{00000000-0005-0000-0000-000095000000}"/>
    <cellStyle name="Moeda 2 2 6 3 5" xfId="30628" xr:uid="{00000000-0005-0000-0000-000096000000}"/>
    <cellStyle name="Moeda 2 2 6 4" xfId="4536" xr:uid="{00000000-0005-0000-0000-000097000000}"/>
    <cellStyle name="Moeda 2 2 6 4 2" xfId="7938" xr:uid="{00000000-0005-0000-0000-000098000000}"/>
    <cellStyle name="Moeda 2 2 6 4 2 2" xfId="14327" xr:uid="{00000000-0005-0000-0000-000099000000}"/>
    <cellStyle name="Moeda 2 2 6 4 2 2 2" xfId="40520" xr:uid="{00000000-0005-0000-0000-00009A000000}"/>
    <cellStyle name="Moeda 2 2 6 4 2 3" xfId="34134" xr:uid="{00000000-0005-0000-0000-00009B000000}"/>
    <cellStyle name="Moeda 2 2 6 4 3" xfId="6237" xr:uid="{00000000-0005-0000-0000-00009C000000}"/>
    <cellStyle name="Moeda 2 2 6 4 3 2" xfId="32433" xr:uid="{00000000-0005-0000-0000-00009D000000}"/>
    <cellStyle name="Moeda 2 2 6 4 4" xfId="12626" xr:uid="{00000000-0005-0000-0000-00009E000000}"/>
    <cellStyle name="Moeda 2 2 6 4 4 2" xfId="38819" xr:uid="{00000000-0005-0000-0000-00009F000000}"/>
    <cellStyle name="Moeda 2 2 6 4 5" xfId="30736" xr:uid="{00000000-0005-0000-0000-0000A0000000}"/>
    <cellStyle name="Moeda 2 2 6 5" xfId="5944" xr:uid="{00000000-0005-0000-0000-0000A1000000}"/>
    <cellStyle name="Moeda 2 2 6 5 2" xfId="7644" xr:uid="{00000000-0005-0000-0000-0000A2000000}"/>
    <cellStyle name="Moeda 2 2 6 5 2 2" xfId="14033" xr:uid="{00000000-0005-0000-0000-0000A3000000}"/>
    <cellStyle name="Moeda 2 2 6 5 2 2 2" xfId="40226" xr:uid="{00000000-0005-0000-0000-0000A4000000}"/>
    <cellStyle name="Moeda 2 2 6 5 2 3" xfId="33840" xr:uid="{00000000-0005-0000-0000-0000A5000000}"/>
    <cellStyle name="Moeda 2 2 6 5 3" xfId="12332" xr:uid="{00000000-0005-0000-0000-0000A6000000}"/>
    <cellStyle name="Moeda 2 2 6 5 3 2" xfId="38525" xr:uid="{00000000-0005-0000-0000-0000A7000000}"/>
    <cellStyle name="Moeda 2 2 6 5 4" xfId="32140" xr:uid="{00000000-0005-0000-0000-0000A8000000}"/>
    <cellStyle name="Moeda 2 2 6 6" xfId="6346" xr:uid="{00000000-0005-0000-0000-0000A9000000}"/>
    <cellStyle name="Moeda 2 2 6 6 2" xfId="12735" xr:uid="{00000000-0005-0000-0000-0000AA000000}"/>
    <cellStyle name="Moeda 2 2 6 6 2 2" xfId="38928" xr:uid="{00000000-0005-0000-0000-0000AB000000}"/>
    <cellStyle name="Moeda 2 2 6 6 3" xfId="32542" xr:uid="{00000000-0005-0000-0000-0000AC000000}"/>
    <cellStyle name="Moeda 2 2 6 7" xfId="4643" xr:uid="{00000000-0005-0000-0000-0000AD000000}"/>
    <cellStyle name="Moeda 2 2 6 7 2" xfId="30843" xr:uid="{00000000-0005-0000-0000-0000AE000000}"/>
    <cellStyle name="Moeda 2 2 6 8" xfId="11034" xr:uid="{00000000-0005-0000-0000-0000AF000000}"/>
    <cellStyle name="Moeda 2 2 6 8 2" xfId="37227" xr:uid="{00000000-0005-0000-0000-0000B0000000}"/>
    <cellStyle name="Moeda 2 2 6 9" xfId="30443" xr:uid="{00000000-0005-0000-0000-0000B1000000}"/>
    <cellStyle name="Moeda 2 2 7" xfId="4352" xr:uid="{00000000-0005-0000-0000-0000B2000000}"/>
    <cellStyle name="Moeda 2 2 7 2" xfId="4460" xr:uid="{00000000-0005-0000-0000-0000B3000000}"/>
    <cellStyle name="Moeda 2 2 7 2 2" xfId="7862" xr:uid="{00000000-0005-0000-0000-0000B4000000}"/>
    <cellStyle name="Moeda 2 2 7 2 2 2" xfId="14251" xr:uid="{00000000-0005-0000-0000-0000B5000000}"/>
    <cellStyle name="Moeda 2 2 7 2 2 2 2" xfId="40444" xr:uid="{00000000-0005-0000-0000-0000B6000000}"/>
    <cellStyle name="Moeda 2 2 7 2 2 3" xfId="34058" xr:uid="{00000000-0005-0000-0000-0000B7000000}"/>
    <cellStyle name="Moeda 2 2 7 2 3" xfId="6161" xr:uid="{00000000-0005-0000-0000-0000B8000000}"/>
    <cellStyle name="Moeda 2 2 7 2 3 2" xfId="32357" xr:uid="{00000000-0005-0000-0000-0000B9000000}"/>
    <cellStyle name="Moeda 2 2 7 2 4" xfId="12550" xr:uid="{00000000-0005-0000-0000-0000BA000000}"/>
    <cellStyle name="Moeda 2 2 7 2 4 2" xfId="38743" xr:uid="{00000000-0005-0000-0000-0000BB000000}"/>
    <cellStyle name="Moeda 2 2 7 2 5" xfId="30660" xr:uid="{00000000-0005-0000-0000-0000BC000000}"/>
    <cellStyle name="Moeda 2 2 7 3" xfId="4568" xr:uid="{00000000-0005-0000-0000-0000BD000000}"/>
    <cellStyle name="Moeda 2 2 7 3 2" xfId="7970" xr:uid="{00000000-0005-0000-0000-0000BE000000}"/>
    <cellStyle name="Moeda 2 2 7 3 2 2" xfId="14359" xr:uid="{00000000-0005-0000-0000-0000BF000000}"/>
    <cellStyle name="Moeda 2 2 7 3 2 2 2" xfId="40552" xr:uid="{00000000-0005-0000-0000-0000C0000000}"/>
    <cellStyle name="Moeda 2 2 7 3 2 3" xfId="34166" xr:uid="{00000000-0005-0000-0000-0000C1000000}"/>
    <cellStyle name="Moeda 2 2 7 3 3" xfId="6269" xr:uid="{00000000-0005-0000-0000-0000C2000000}"/>
    <cellStyle name="Moeda 2 2 7 3 3 2" xfId="32465" xr:uid="{00000000-0005-0000-0000-0000C3000000}"/>
    <cellStyle name="Moeda 2 2 7 3 4" xfId="12658" xr:uid="{00000000-0005-0000-0000-0000C4000000}"/>
    <cellStyle name="Moeda 2 2 7 3 4 2" xfId="38851" xr:uid="{00000000-0005-0000-0000-0000C5000000}"/>
    <cellStyle name="Moeda 2 2 7 3 5" xfId="30768" xr:uid="{00000000-0005-0000-0000-0000C6000000}"/>
    <cellStyle name="Moeda 2 2 7 4" xfId="6053" xr:uid="{00000000-0005-0000-0000-0000C7000000}"/>
    <cellStyle name="Moeda 2 2 7 4 2" xfId="7753" xr:uid="{00000000-0005-0000-0000-0000C8000000}"/>
    <cellStyle name="Moeda 2 2 7 4 2 2" xfId="14142" xr:uid="{00000000-0005-0000-0000-0000C9000000}"/>
    <cellStyle name="Moeda 2 2 7 4 2 2 2" xfId="40335" xr:uid="{00000000-0005-0000-0000-0000CA000000}"/>
    <cellStyle name="Moeda 2 2 7 4 2 3" xfId="33949" xr:uid="{00000000-0005-0000-0000-0000CB000000}"/>
    <cellStyle name="Moeda 2 2 7 4 3" xfId="12441" xr:uid="{00000000-0005-0000-0000-0000CC000000}"/>
    <cellStyle name="Moeda 2 2 7 4 3 2" xfId="38634" xr:uid="{00000000-0005-0000-0000-0000CD000000}"/>
    <cellStyle name="Moeda 2 2 7 4 4" xfId="32249" xr:uid="{00000000-0005-0000-0000-0000CE000000}"/>
    <cellStyle name="Moeda 2 2 7 5" xfId="6378" xr:uid="{00000000-0005-0000-0000-0000CF000000}"/>
    <cellStyle name="Moeda 2 2 7 5 2" xfId="12767" xr:uid="{00000000-0005-0000-0000-0000D0000000}"/>
    <cellStyle name="Moeda 2 2 7 5 2 2" xfId="38960" xr:uid="{00000000-0005-0000-0000-0000D1000000}"/>
    <cellStyle name="Moeda 2 2 7 5 3" xfId="32574" xr:uid="{00000000-0005-0000-0000-0000D2000000}"/>
    <cellStyle name="Moeda 2 2 7 6" xfId="4675" xr:uid="{00000000-0005-0000-0000-0000D3000000}"/>
    <cellStyle name="Moeda 2 2 7 6 2" xfId="30875" xr:uid="{00000000-0005-0000-0000-0000D4000000}"/>
    <cellStyle name="Moeda 2 2 7 7" xfId="11066" xr:uid="{00000000-0005-0000-0000-0000D5000000}"/>
    <cellStyle name="Moeda 2 2 7 7 2" xfId="37259" xr:uid="{00000000-0005-0000-0000-0000D6000000}"/>
    <cellStyle name="Moeda 2 2 7 8" xfId="30552" xr:uid="{00000000-0005-0000-0000-0000D7000000}"/>
    <cellStyle name="Moeda 2 2 8" xfId="4764" xr:uid="{00000000-0005-0000-0000-0000D8000000}"/>
    <cellStyle name="Moeda 2 2 8 2" xfId="6465" xr:uid="{00000000-0005-0000-0000-0000D9000000}"/>
    <cellStyle name="Moeda 2 2 8 2 2" xfId="12854" xr:uid="{00000000-0005-0000-0000-0000DA000000}"/>
    <cellStyle name="Moeda 2 2 8 2 2 2" xfId="39047" xr:uid="{00000000-0005-0000-0000-0000DB000000}"/>
    <cellStyle name="Moeda 2 2 8 2 3" xfId="32661" xr:uid="{00000000-0005-0000-0000-0000DC000000}"/>
    <cellStyle name="Moeda 2 2 8 3" xfId="11153" xr:uid="{00000000-0005-0000-0000-0000DD000000}"/>
    <cellStyle name="Moeda 2 2 8 3 2" xfId="37346" xr:uid="{00000000-0005-0000-0000-0000DE000000}"/>
    <cellStyle name="Moeda 2 2 8 4" xfId="30962" xr:uid="{00000000-0005-0000-0000-0000DF000000}"/>
    <cellStyle name="Moeda 2 2 9" xfId="8002" xr:uid="{00000000-0005-0000-0000-0000E0000000}"/>
    <cellStyle name="Moeda 2 2 9 2" xfId="14391" xr:uid="{00000000-0005-0000-0000-0000E1000000}"/>
    <cellStyle name="Moeda 2 2 9 2 2" xfId="40584" xr:uid="{00000000-0005-0000-0000-0000E2000000}"/>
    <cellStyle name="Moeda 2 2 9 3" xfId="34198" xr:uid="{00000000-0005-0000-0000-0000E3000000}"/>
    <cellStyle name="Moeda 2 3" xfId="301" xr:uid="{00000000-0005-0000-0000-0000E4000000}"/>
    <cellStyle name="Moeda 2 3 10" xfId="4598" xr:uid="{00000000-0005-0000-0000-0000E5000000}"/>
    <cellStyle name="Moeda 2 3 10 2" xfId="30798" xr:uid="{00000000-0005-0000-0000-0000E6000000}"/>
    <cellStyle name="Moeda 2 3 11" xfId="10989" xr:uid="{00000000-0005-0000-0000-0000E7000000}"/>
    <cellStyle name="Moeda 2 3 11 2" xfId="37182" xr:uid="{00000000-0005-0000-0000-0000E8000000}"/>
    <cellStyle name="Moeda 2 3 12" xfId="29295" xr:uid="{00000000-0005-0000-0000-0000E9000000}"/>
    <cellStyle name="Moeda 2 3 2" xfId="1998" xr:uid="{00000000-0005-0000-0000-0000EA000000}"/>
    <cellStyle name="Moeda 2 3 2 10" xfId="29783" xr:uid="{00000000-0005-0000-0000-0000EB000000}"/>
    <cellStyle name="Moeda 2 3 2 2" xfId="4238" xr:uid="{00000000-0005-0000-0000-0000EC000000}"/>
    <cellStyle name="Moeda 2 3 2 2 2" xfId="7639" xr:uid="{00000000-0005-0000-0000-0000ED000000}"/>
    <cellStyle name="Moeda 2 3 2 2 2 2" xfId="14028" xr:uid="{00000000-0005-0000-0000-0000EE000000}"/>
    <cellStyle name="Moeda 2 3 2 2 2 2 2" xfId="40221" xr:uid="{00000000-0005-0000-0000-0000EF000000}"/>
    <cellStyle name="Moeda 2 3 2 2 2 3" xfId="33835" xr:uid="{00000000-0005-0000-0000-0000F0000000}"/>
    <cellStyle name="Moeda 2 3 2 2 3" xfId="5939" xr:uid="{00000000-0005-0000-0000-0000F1000000}"/>
    <cellStyle name="Moeda 2 3 2 2 3 2" xfId="32135" xr:uid="{00000000-0005-0000-0000-0000F2000000}"/>
    <cellStyle name="Moeda 2 3 2 2 4" xfId="12327" xr:uid="{00000000-0005-0000-0000-0000F3000000}"/>
    <cellStyle name="Moeda 2 3 2 2 4 2" xfId="38520" xr:uid="{00000000-0005-0000-0000-0000F4000000}"/>
    <cellStyle name="Moeda 2 3 2 2 5" xfId="30438" xr:uid="{00000000-0005-0000-0000-0000F5000000}"/>
    <cellStyle name="Moeda 2 3 2 3" xfId="4315" xr:uid="{00000000-0005-0000-0000-0000F6000000}"/>
    <cellStyle name="Moeda 2 3 2 3 2" xfId="7716" xr:uid="{00000000-0005-0000-0000-0000F7000000}"/>
    <cellStyle name="Moeda 2 3 2 3 2 2" xfId="14105" xr:uid="{00000000-0005-0000-0000-0000F8000000}"/>
    <cellStyle name="Moeda 2 3 2 3 2 2 2" xfId="40298" xr:uid="{00000000-0005-0000-0000-0000F9000000}"/>
    <cellStyle name="Moeda 2 3 2 3 2 3" xfId="33912" xr:uid="{00000000-0005-0000-0000-0000FA000000}"/>
    <cellStyle name="Moeda 2 3 2 3 3" xfId="6016" xr:uid="{00000000-0005-0000-0000-0000FB000000}"/>
    <cellStyle name="Moeda 2 3 2 3 3 2" xfId="32212" xr:uid="{00000000-0005-0000-0000-0000FC000000}"/>
    <cellStyle name="Moeda 2 3 2 3 4" xfId="12404" xr:uid="{00000000-0005-0000-0000-0000FD000000}"/>
    <cellStyle name="Moeda 2 3 2 3 4 2" xfId="38597" xr:uid="{00000000-0005-0000-0000-0000FE000000}"/>
    <cellStyle name="Moeda 2 3 2 3 5" xfId="30515" xr:uid="{00000000-0005-0000-0000-0000FF000000}"/>
    <cellStyle name="Moeda 2 3 2 4" xfId="4423" xr:uid="{00000000-0005-0000-0000-000000010000}"/>
    <cellStyle name="Moeda 2 3 2 4 2" xfId="7825" xr:uid="{00000000-0005-0000-0000-000001010000}"/>
    <cellStyle name="Moeda 2 3 2 4 2 2" xfId="14214" xr:uid="{00000000-0005-0000-0000-000002010000}"/>
    <cellStyle name="Moeda 2 3 2 4 2 2 2" xfId="40407" xr:uid="{00000000-0005-0000-0000-000003010000}"/>
    <cellStyle name="Moeda 2 3 2 4 2 3" xfId="34021" xr:uid="{00000000-0005-0000-0000-000004010000}"/>
    <cellStyle name="Moeda 2 3 2 4 3" xfId="6125" xr:uid="{00000000-0005-0000-0000-000005010000}"/>
    <cellStyle name="Moeda 2 3 2 4 3 2" xfId="32321" xr:uid="{00000000-0005-0000-0000-000006010000}"/>
    <cellStyle name="Moeda 2 3 2 4 4" xfId="12513" xr:uid="{00000000-0005-0000-0000-000007010000}"/>
    <cellStyle name="Moeda 2 3 2 4 4 2" xfId="38706" xr:uid="{00000000-0005-0000-0000-000008010000}"/>
    <cellStyle name="Moeda 2 3 2 4 5" xfId="30623" xr:uid="{00000000-0005-0000-0000-000009010000}"/>
    <cellStyle name="Moeda 2 3 2 5" xfId="4531" xr:uid="{00000000-0005-0000-0000-00000A010000}"/>
    <cellStyle name="Moeda 2 3 2 5 2" xfId="7933" xr:uid="{00000000-0005-0000-0000-00000B010000}"/>
    <cellStyle name="Moeda 2 3 2 5 2 2" xfId="14322" xr:uid="{00000000-0005-0000-0000-00000C010000}"/>
    <cellStyle name="Moeda 2 3 2 5 2 2 2" xfId="40515" xr:uid="{00000000-0005-0000-0000-00000D010000}"/>
    <cellStyle name="Moeda 2 3 2 5 2 3" xfId="34129" xr:uid="{00000000-0005-0000-0000-00000E010000}"/>
    <cellStyle name="Moeda 2 3 2 5 3" xfId="6232" xr:uid="{00000000-0005-0000-0000-00000F010000}"/>
    <cellStyle name="Moeda 2 3 2 5 3 2" xfId="32428" xr:uid="{00000000-0005-0000-0000-000010010000}"/>
    <cellStyle name="Moeda 2 3 2 5 4" xfId="12621" xr:uid="{00000000-0005-0000-0000-000011010000}"/>
    <cellStyle name="Moeda 2 3 2 5 4 2" xfId="38814" xr:uid="{00000000-0005-0000-0000-000012010000}"/>
    <cellStyle name="Moeda 2 3 2 5 5" xfId="30731" xr:uid="{00000000-0005-0000-0000-000013010000}"/>
    <cellStyle name="Moeda 2 3 2 6" xfId="5285" xr:uid="{00000000-0005-0000-0000-000014010000}"/>
    <cellStyle name="Moeda 2 3 2 6 2" xfId="6984" xr:uid="{00000000-0005-0000-0000-000015010000}"/>
    <cellStyle name="Moeda 2 3 2 6 2 2" xfId="13373" xr:uid="{00000000-0005-0000-0000-000016010000}"/>
    <cellStyle name="Moeda 2 3 2 6 2 2 2" xfId="39566" xr:uid="{00000000-0005-0000-0000-000017010000}"/>
    <cellStyle name="Moeda 2 3 2 6 2 3" xfId="33180" xr:uid="{00000000-0005-0000-0000-000018010000}"/>
    <cellStyle name="Moeda 2 3 2 6 3" xfId="11672" xr:uid="{00000000-0005-0000-0000-000019010000}"/>
    <cellStyle name="Moeda 2 3 2 6 3 2" xfId="37865" xr:uid="{00000000-0005-0000-0000-00001A010000}"/>
    <cellStyle name="Moeda 2 3 2 6 4" xfId="31481" xr:uid="{00000000-0005-0000-0000-00001B010000}"/>
    <cellStyle name="Moeda 2 3 2 7" xfId="6341" xr:uid="{00000000-0005-0000-0000-00001C010000}"/>
    <cellStyle name="Moeda 2 3 2 7 2" xfId="12730" xr:uid="{00000000-0005-0000-0000-00001D010000}"/>
    <cellStyle name="Moeda 2 3 2 7 2 2" xfId="38923" xr:uid="{00000000-0005-0000-0000-00001E010000}"/>
    <cellStyle name="Moeda 2 3 2 7 3" xfId="32537" xr:uid="{00000000-0005-0000-0000-00001F010000}"/>
    <cellStyle name="Moeda 2 3 2 8" xfId="4638" xr:uid="{00000000-0005-0000-0000-000020010000}"/>
    <cellStyle name="Moeda 2 3 2 8 2" xfId="30838" xr:uid="{00000000-0005-0000-0000-000021010000}"/>
    <cellStyle name="Moeda 2 3 2 9" xfId="11029" xr:uid="{00000000-0005-0000-0000-000022010000}"/>
    <cellStyle name="Moeda 2 3 2 9 2" xfId="37222" xr:uid="{00000000-0005-0000-0000-000023010000}"/>
    <cellStyle name="Moeda 2 3 3" xfId="4202" xr:uid="{00000000-0005-0000-0000-000024010000}"/>
    <cellStyle name="Moeda 2 3 3 2" xfId="4278" xr:uid="{00000000-0005-0000-0000-000025010000}"/>
    <cellStyle name="Moeda 2 3 3 2 2" xfId="7679" xr:uid="{00000000-0005-0000-0000-000026010000}"/>
    <cellStyle name="Moeda 2 3 3 2 2 2" xfId="14068" xr:uid="{00000000-0005-0000-0000-000027010000}"/>
    <cellStyle name="Moeda 2 3 3 2 2 2 2" xfId="40261" xr:uid="{00000000-0005-0000-0000-000028010000}"/>
    <cellStyle name="Moeda 2 3 3 2 2 3" xfId="33875" xr:uid="{00000000-0005-0000-0000-000029010000}"/>
    <cellStyle name="Moeda 2 3 3 2 3" xfId="5979" xr:uid="{00000000-0005-0000-0000-00002A010000}"/>
    <cellStyle name="Moeda 2 3 3 2 3 2" xfId="32175" xr:uid="{00000000-0005-0000-0000-00002B010000}"/>
    <cellStyle name="Moeda 2 3 3 2 4" xfId="12367" xr:uid="{00000000-0005-0000-0000-00002C010000}"/>
    <cellStyle name="Moeda 2 3 3 2 4 2" xfId="38560" xr:uid="{00000000-0005-0000-0000-00002D010000}"/>
    <cellStyle name="Moeda 2 3 3 2 5" xfId="30478" xr:uid="{00000000-0005-0000-0000-00002E010000}"/>
    <cellStyle name="Moeda 2 3 3 3" xfId="4386" xr:uid="{00000000-0005-0000-0000-00002F010000}"/>
    <cellStyle name="Moeda 2 3 3 3 2" xfId="7788" xr:uid="{00000000-0005-0000-0000-000030010000}"/>
    <cellStyle name="Moeda 2 3 3 3 2 2" xfId="14177" xr:uid="{00000000-0005-0000-0000-000031010000}"/>
    <cellStyle name="Moeda 2 3 3 3 2 2 2" xfId="40370" xr:uid="{00000000-0005-0000-0000-000032010000}"/>
    <cellStyle name="Moeda 2 3 3 3 2 3" xfId="33984" xr:uid="{00000000-0005-0000-0000-000033010000}"/>
    <cellStyle name="Moeda 2 3 3 3 3" xfId="6088" xr:uid="{00000000-0005-0000-0000-000034010000}"/>
    <cellStyle name="Moeda 2 3 3 3 3 2" xfId="32284" xr:uid="{00000000-0005-0000-0000-000035010000}"/>
    <cellStyle name="Moeda 2 3 3 3 4" xfId="12476" xr:uid="{00000000-0005-0000-0000-000036010000}"/>
    <cellStyle name="Moeda 2 3 3 3 4 2" xfId="38669" xr:uid="{00000000-0005-0000-0000-000037010000}"/>
    <cellStyle name="Moeda 2 3 3 3 5" xfId="30586" xr:uid="{00000000-0005-0000-0000-000038010000}"/>
    <cellStyle name="Moeda 2 3 3 4" xfId="4494" xr:uid="{00000000-0005-0000-0000-000039010000}"/>
    <cellStyle name="Moeda 2 3 3 4 2" xfId="7896" xr:uid="{00000000-0005-0000-0000-00003A010000}"/>
    <cellStyle name="Moeda 2 3 3 4 2 2" xfId="14285" xr:uid="{00000000-0005-0000-0000-00003B010000}"/>
    <cellStyle name="Moeda 2 3 3 4 2 2 2" xfId="40478" xr:uid="{00000000-0005-0000-0000-00003C010000}"/>
    <cellStyle name="Moeda 2 3 3 4 2 3" xfId="34092" xr:uid="{00000000-0005-0000-0000-00003D010000}"/>
    <cellStyle name="Moeda 2 3 3 4 3" xfId="6195" xr:uid="{00000000-0005-0000-0000-00003E010000}"/>
    <cellStyle name="Moeda 2 3 3 4 3 2" xfId="32391" xr:uid="{00000000-0005-0000-0000-00003F010000}"/>
    <cellStyle name="Moeda 2 3 3 4 4" xfId="12584" xr:uid="{00000000-0005-0000-0000-000040010000}"/>
    <cellStyle name="Moeda 2 3 3 4 4 2" xfId="38777" xr:uid="{00000000-0005-0000-0000-000041010000}"/>
    <cellStyle name="Moeda 2 3 3 4 5" xfId="30694" xr:uid="{00000000-0005-0000-0000-000042010000}"/>
    <cellStyle name="Moeda 2 3 3 5" xfId="5903" xr:uid="{00000000-0005-0000-0000-000043010000}"/>
    <cellStyle name="Moeda 2 3 3 5 2" xfId="7602" xr:uid="{00000000-0005-0000-0000-000044010000}"/>
    <cellStyle name="Moeda 2 3 3 5 2 2" xfId="13991" xr:uid="{00000000-0005-0000-0000-000045010000}"/>
    <cellStyle name="Moeda 2 3 3 5 2 2 2" xfId="40184" xr:uid="{00000000-0005-0000-0000-000046010000}"/>
    <cellStyle name="Moeda 2 3 3 5 2 3" xfId="33798" xr:uid="{00000000-0005-0000-0000-000047010000}"/>
    <cellStyle name="Moeda 2 3 3 5 3" xfId="12290" xr:uid="{00000000-0005-0000-0000-000048010000}"/>
    <cellStyle name="Moeda 2 3 3 5 3 2" xfId="38483" xr:uid="{00000000-0005-0000-0000-000049010000}"/>
    <cellStyle name="Moeda 2 3 3 5 4" xfId="32099" xr:uid="{00000000-0005-0000-0000-00004A010000}"/>
    <cellStyle name="Moeda 2 3 3 6" xfId="6304" xr:uid="{00000000-0005-0000-0000-00004B010000}"/>
    <cellStyle name="Moeda 2 3 3 6 2" xfId="12693" xr:uid="{00000000-0005-0000-0000-00004C010000}"/>
    <cellStyle name="Moeda 2 3 3 6 2 2" xfId="38886" xr:uid="{00000000-0005-0000-0000-00004D010000}"/>
    <cellStyle name="Moeda 2 3 3 6 3" xfId="32500" xr:uid="{00000000-0005-0000-0000-00004E010000}"/>
    <cellStyle name="Moeda 2 3 3 7" xfId="4602" xr:uid="{00000000-0005-0000-0000-00004F010000}"/>
    <cellStyle name="Moeda 2 3 3 7 2" xfId="30802" xr:uid="{00000000-0005-0000-0000-000050010000}"/>
    <cellStyle name="Moeda 2 3 3 8" xfId="10993" xr:uid="{00000000-0005-0000-0000-000051010000}"/>
    <cellStyle name="Moeda 2 3 3 8 2" xfId="37186" xr:uid="{00000000-0005-0000-0000-000052010000}"/>
    <cellStyle name="Moeda 2 3 3 9" xfId="30402" xr:uid="{00000000-0005-0000-0000-000053010000}"/>
    <cellStyle name="Moeda 2 3 4" xfId="4196" xr:uid="{00000000-0005-0000-0000-000054010000}"/>
    <cellStyle name="Moeda 2 3 4 2" xfId="7598" xr:uid="{00000000-0005-0000-0000-000055010000}"/>
    <cellStyle name="Moeda 2 3 4 2 2" xfId="13987" xr:uid="{00000000-0005-0000-0000-000056010000}"/>
    <cellStyle name="Moeda 2 3 4 2 2 2" xfId="40180" xr:uid="{00000000-0005-0000-0000-000057010000}"/>
    <cellStyle name="Moeda 2 3 4 2 3" xfId="33794" xr:uid="{00000000-0005-0000-0000-000058010000}"/>
    <cellStyle name="Moeda 2 3 4 3" xfId="5899" xr:uid="{00000000-0005-0000-0000-000059010000}"/>
    <cellStyle name="Moeda 2 3 4 3 2" xfId="32095" xr:uid="{00000000-0005-0000-0000-00005A010000}"/>
    <cellStyle name="Moeda 2 3 4 4" xfId="12286" xr:uid="{00000000-0005-0000-0000-00005B010000}"/>
    <cellStyle name="Moeda 2 3 4 4 2" xfId="38479" xr:uid="{00000000-0005-0000-0000-00005C010000}"/>
    <cellStyle name="Moeda 2 3 4 5" xfId="30398" xr:uid="{00000000-0005-0000-0000-00005D010000}"/>
    <cellStyle name="Moeda 2 3 5" xfId="4274" xr:uid="{00000000-0005-0000-0000-00005E010000}"/>
    <cellStyle name="Moeda 2 3 5 2" xfId="7675" xr:uid="{00000000-0005-0000-0000-00005F010000}"/>
    <cellStyle name="Moeda 2 3 5 2 2" xfId="14064" xr:uid="{00000000-0005-0000-0000-000060010000}"/>
    <cellStyle name="Moeda 2 3 5 2 2 2" xfId="40257" xr:uid="{00000000-0005-0000-0000-000061010000}"/>
    <cellStyle name="Moeda 2 3 5 2 3" xfId="33871" xr:uid="{00000000-0005-0000-0000-000062010000}"/>
    <cellStyle name="Moeda 2 3 5 3" xfId="5975" xr:uid="{00000000-0005-0000-0000-000063010000}"/>
    <cellStyle name="Moeda 2 3 5 3 2" xfId="32171" xr:uid="{00000000-0005-0000-0000-000064010000}"/>
    <cellStyle name="Moeda 2 3 5 4" xfId="12363" xr:uid="{00000000-0005-0000-0000-000065010000}"/>
    <cellStyle name="Moeda 2 3 5 4 2" xfId="38556" xr:uid="{00000000-0005-0000-0000-000066010000}"/>
    <cellStyle name="Moeda 2 3 5 5" xfId="30474" xr:uid="{00000000-0005-0000-0000-000067010000}"/>
    <cellStyle name="Moeda 2 3 6" xfId="4382" xr:uid="{00000000-0005-0000-0000-000068010000}"/>
    <cellStyle name="Moeda 2 3 6 2" xfId="7784" xr:uid="{00000000-0005-0000-0000-000069010000}"/>
    <cellStyle name="Moeda 2 3 6 2 2" xfId="14173" xr:uid="{00000000-0005-0000-0000-00006A010000}"/>
    <cellStyle name="Moeda 2 3 6 2 2 2" xfId="40366" xr:uid="{00000000-0005-0000-0000-00006B010000}"/>
    <cellStyle name="Moeda 2 3 6 2 3" xfId="33980" xr:uid="{00000000-0005-0000-0000-00006C010000}"/>
    <cellStyle name="Moeda 2 3 6 3" xfId="6084" xr:uid="{00000000-0005-0000-0000-00006D010000}"/>
    <cellStyle name="Moeda 2 3 6 3 2" xfId="32280" xr:uid="{00000000-0005-0000-0000-00006E010000}"/>
    <cellStyle name="Moeda 2 3 6 4" xfId="12472" xr:uid="{00000000-0005-0000-0000-00006F010000}"/>
    <cellStyle name="Moeda 2 3 6 4 2" xfId="38665" xr:uid="{00000000-0005-0000-0000-000070010000}"/>
    <cellStyle name="Moeda 2 3 6 5" xfId="30582" xr:uid="{00000000-0005-0000-0000-000071010000}"/>
    <cellStyle name="Moeda 2 3 7" xfId="4490" xr:uid="{00000000-0005-0000-0000-000072010000}"/>
    <cellStyle name="Moeda 2 3 7 2" xfId="7892" xr:uid="{00000000-0005-0000-0000-000073010000}"/>
    <cellStyle name="Moeda 2 3 7 2 2" xfId="14281" xr:uid="{00000000-0005-0000-0000-000074010000}"/>
    <cellStyle name="Moeda 2 3 7 2 2 2" xfId="40474" xr:uid="{00000000-0005-0000-0000-000075010000}"/>
    <cellStyle name="Moeda 2 3 7 2 3" xfId="34088" xr:uid="{00000000-0005-0000-0000-000076010000}"/>
    <cellStyle name="Moeda 2 3 7 3" xfId="6191" xr:uid="{00000000-0005-0000-0000-000077010000}"/>
    <cellStyle name="Moeda 2 3 7 3 2" xfId="32387" xr:uid="{00000000-0005-0000-0000-000078010000}"/>
    <cellStyle name="Moeda 2 3 7 4" xfId="12580" xr:uid="{00000000-0005-0000-0000-000079010000}"/>
    <cellStyle name="Moeda 2 3 7 4 2" xfId="38773" xr:uid="{00000000-0005-0000-0000-00007A010000}"/>
    <cellStyle name="Moeda 2 3 7 5" xfId="30690" xr:uid="{00000000-0005-0000-0000-00007B010000}"/>
    <cellStyle name="Moeda 2 3 8" xfId="4795" xr:uid="{00000000-0005-0000-0000-00007C010000}"/>
    <cellStyle name="Moeda 2 3 8 2" xfId="6496" xr:uid="{00000000-0005-0000-0000-00007D010000}"/>
    <cellStyle name="Moeda 2 3 8 2 2" xfId="12885" xr:uid="{00000000-0005-0000-0000-00007E010000}"/>
    <cellStyle name="Moeda 2 3 8 2 2 2" xfId="39078" xr:uid="{00000000-0005-0000-0000-00007F010000}"/>
    <cellStyle name="Moeda 2 3 8 2 3" xfId="32692" xr:uid="{00000000-0005-0000-0000-000080010000}"/>
    <cellStyle name="Moeda 2 3 8 3" xfId="11184" xr:uid="{00000000-0005-0000-0000-000081010000}"/>
    <cellStyle name="Moeda 2 3 8 3 2" xfId="37377" xr:uid="{00000000-0005-0000-0000-000082010000}"/>
    <cellStyle name="Moeda 2 3 8 4" xfId="30993" xr:uid="{00000000-0005-0000-0000-000083010000}"/>
    <cellStyle name="Moeda 2 3 9" xfId="6300" xr:uid="{00000000-0005-0000-0000-000084010000}"/>
    <cellStyle name="Moeda 2 3 9 2" xfId="12689" xr:uid="{00000000-0005-0000-0000-000085010000}"/>
    <cellStyle name="Moeda 2 3 9 2 2" xfId="38882" xr:uid="{00000000-0005-0000-0000-000086010000}"/>
    <cellStyle name="Moeda 2 3 9 3" xfId="32496" xr:uid="{00000000-0005-0000-0000-000087010000}"/>
    <cellStyle name="Moeda 2 4" xfId="649" xr:uid="{00000000-0005-0000-0000-000088010000}"/>
    <cellStyle name="Moeda 2 4 2" xfId="8263" xr:uid="{00000000-0005-0000-0000-000089010000}"/>
    <cellStyle name="Moeda 2 4 2 2" xfId="26477" xr:uid="{00000000-0005-0000-0000-00008A010000}"/>
    <cellStyle name="Moeda 2 4 2 3" xfId="20563" xr:uid="{00000000-0005-0000-0000-00008B010000}"/>
    <cellStyle name="Moeda 2 4 3" xfId="23520" xr:uid="{00000000-0005-0000-0000-00008C010000}"/>
    <cellStyle name="Moeda 2 4 4" xfId="17606" xr:uid="{00000000-0005-0000-0000-00008D010000}"/>
    <cellStyle name="Moeda 2 5" xfId="55383" xr:uid="{00000000-0005-0000-0000-00008E010000}"/>
    <cellStyle name="Moeda 2 6" xfId="29203" xr:uid="{00000000-0005-0000-0000-00008F010000}"/>
    <cellStyle name="Moeda 3" xfId="114" xr:uid="{00000000-0005-0000-0000-000090010000}"/>
    <cellStyle name="Moeda 3 10" xfId="4275" xr:uid="{00000000-0005-0000-0000-000091010000}"/>
    <cellStyle name="Moeda 3 10 2" xfId="7676" xr:uid="{00000000-0005-0000-0000-000092010000}"/>
    <cellStyle name="Moeda 3 10 2 2" xfId="14065" xr:uid="{00000000-0005-0000-0000-000093010000}"/>
    <cellStyle name="Moeda 3 10 2 2 2" xfId="40258" xr:uid="{00000000-0005-0000-0000-000094010000}"/>
    <cellStyle name="Moeda 3 10 2 3" xfId="33872" xr:uid="{00000000-0005-0000-0000-000095010000}"/>
    <cellStyle name="Moeda 3 10 3" xfId="5976" xr:uid="{00000000-0005-0000-0000-000096010000}"/>
    <cellStyle name="Moeda 3 10 3 2" xfId="32172" xr:uid="{00000000-0005-0000-0000-000097010000}"/>
    <cellStyle name="Moeda 3 10 4" xfId="12364" xr:uid="{00000000-0005-0000-0000-000098010000}"/>
    <cellStyle name="Moeda 3 10 4 2" xfId="38557" xr:uid="{00000000-0005-0000-0000-000099010000}"/>
    <cellStyle name="Moeda 3 10 5" xfId="30475" xr:uid="{00000000-0005-0000-0000-00009A010000}"/>
    <cellStyle name="Moeda 3 11" xfId="4383" xr:uid="{00000000-0005-0000-0000-00009B010000}"/>
    <cellStyle name="Moeda 3 11 2" xfId="7785" xr:uid="{00000000-0005-0000-0000-00009C010000}"/>
    <cellStyle name="Moeda 3 11 2 2" xfId="14174" xr:uid="{00000000-0005-0000-0000-00009D010000}"/>
    <cellStyle name="Moeda 3 11 2 2 2" xfId="40367" xr:uid="{00000000-0005-0000-0000-00009E010000}"/>
    <cellStyle name="Moeda 3 11 2 3" xfId="33981" xr:uid="{00000000-0005-0000-0000-00009F010000}"/>
    <cellStyle name="Moeda 3 11 3" xfId="6085" xr:uid="{00000000-0005-0000-0000-0000A0010000}"/>
    <cellStyle name="Moeda 3 11 3 2" xfId="32281" xr:uid="{00000000-0005-0000-0000-0000A1010000}"/>
    <cellStyle name="Moeda 3 11 4" xfId="12473" xr:uid="{00000000-0005-0000-0000-0000A2010000}"/>
    <cellStyle name="Moeda 3 11 4 2" xfId="38666" xr:uid="{00000000-0005-0000-0000-0000A3010000}"/>
    <cellStyle name="Moeda 3 11 5" xfId="30583" xr:uid="{00000000-0005-0000-0000-0000A4010000}"/>
    <cellStyle name="Moeda 3 12" xfId="4491" xr:uid="{00000000-0005-0000-0000-0000A5010000}"/>
    <cellStyle name="Moeda 3 12 2" xfId="7893" xr:uid="{00000000-0005-0000-0000-0000A6010000}"/>
    <cellStyle name="Moeda 3 12 2 2" xfId="14282" xr:uid="{00000000-0005-0000-0000-0000A7010000}"/>
    <cellStyle name="Moeda 3 12 2 2 2" xfId="40475" xr:uid="{00000000-0005-0000-0000-0000A8010000}"/>
    <cellStyle name="Moeda 3 12 2 3" xfId="34089" xr:uid="{00000000-0005-0000-0000-0000A9010000}"/>
    <cellStyle name="Moeda 3 12 3" xfId="6192" xr:uid="{00000000-0005-0000-0000-0000AA010000}"/>
    <cellStyle name="Moeda 3 12 3 2" xfId="32388" xr:uid="{00000000-0005-0000-0000-0000AB010000}"/>
    <cellStyle name="Moeda 3 12 4" xfId="12581" xr:uid="{00000000-0005-0000-0000-0000AC010000}"/>
    <cellStyle name="Moeda 3 12 4 2" xfId="38774" xr:uid="{00000000-0005-0000-0000-0000AD010000}"/>
    <cellStyle name="Moeda 3 12 5" xfId="30691" xr:uid="{00000000-0005-0000-0000-0000AE010000}"/>
    <cellStyle name="Moeda 3 13" xfId="4735" xr:uid="{00000000-0005-0000-0000-0000AF010000}"/>
    <cellStyle name="Moeda 3 13 2" xfId="6436" xr:uid="{00000000-0005-0000-0000-0000B0010000}"/>
    <cellStyle name="Moeda 3 13 2 2" xfId="12825" xr:uid="{00000000-0005-0000-0000-0000B1010000}"/>
    <cellStyle name="Moeda 3 13 2 2 2" xfId="39018" xr:uid="{00000000-0005-0000-0000-0000B2010000}"/>
    <cellStyle name="Moeda 3 13 2 3" xfId="32632" xr:uid="{00000000-0005-0000-0000-0000B3010000}"/>
    <cellStyle name="Moeda 3 13 3" xfId="11124" xr:uid="{00000000-0005-0000-0000-0000B4010000}"/>
    <cellStyle name="Moeda 3 13 3 2" xfId="37317" xr:uid="{00000000-0005-0000-0000-0000B5010000}"/>
    <cellStyle name="Moeda 3 13 4" xfId="30933" xr:uid="{00000000-0005-0000-0000-0000B6010000}"/>
    <cellStyle name="Moeda 3 14" xfId="6301" xr:uid="{00000000-0005-0000-0000-0000B7010000}"/>
    <cellStyle name="Moeda 3 14 2" xfId="12690" xr:uid="{00000000-0005-0000-0000-0000B8010000}"/>
    <cellStyle name="Moeda 3 14 2 2" xfId="38883" xr:uid="{00000000-0005-0000-0000-0000B9010000}"/>
    <cellStyle name="Moeda 3 14 3" xfId="32497" xr:uid="{00000000-0005-0000-0000-0000BA010000}"/>
    <cellStyle name="Moeda 3 15" xfId="8003" xr:uid="{00000000-0005-0000-0000-0000BB010000}"/>
    <cellStyle name="Moeda 3 15 2" xfId="14392" xr:uid="{00000000-0005-0000-0000-0000BC010000}"/>
    <cellStyle name="Moeda 3 15 2 2" xfId="40585" xr:uid="{00000000-0005-0000-0000-0000BD010000}"/>
    <cellStyle name="Moeda 3 15 3" xfId="34199" xr:uid="{00000000-0005-0000-0000-0000BE010000}"/>
    <cellStyle name="Moeda 3 16" xfId="4599" xr:uid="{00000000-0005-0000-0000-0000BF010000}"/>
    <cellStyle name="Moeda 3 16 2" xfId="30799" xr:uid="{00000000-0005-0000-0000-0000C0010000}"/>
    <cellStyle name="Moeda 3 17" xfId="10990" xr:uid="{00000000-0005-0000-0000-0000C1010000}"/>
    <cellStyle name="Moeda 3 17 2" xfId="37183" xr:uid="{00000000-0005-0000-0000-0000C2010000}"/>
    <cellStyle name="Moeda 3 18" xfId="29206" xr:uid="{00000000-0005-0000-0000-0000C3010000}"/>
    <cellStyle name="Moeda 3 19" xfId="29236" xr:uid="{00000000-0005-0000-0000-0000C4010000}"/>
    <cellStyle name="Moeda 3 2" xfId="207" xr:uid="{00000000-0005-0000-0000-0000C5010000}"/>
    <cellStyle name="Moeda 3 2 10" xfId="8008" xr:uid="{00000000-0005-0000-0000-0000C6010000}"/>
    <cellStyle name="Moeda 3 2 10 2" xfId="14397" xr:uid="{00000000-0005-0000-0000-0000C7010000}"/>
    <cellStyle name="Moeda 3 2 10 2 2" xfId="40590" xr:uid="{00000000-0005-0000-0000-0000C8010000}"/>
    <cellStyle name="Moeda 3 2 10 3" xfId="34204" xr:uid="{00000000-0005-0000-0000-0000C9010000}"/>
    <cellStyle name="Moeda 3 2 11" xfId="4614" xr:uid="{00000000-0005-0000-0000-0000CA010000}"/>
    <cellStyle name="Moeda 3 2 11 2" xfId="30814" xr:uid="{00000000-0005-0000-0000-0000CB010000}"/>
    <cellStyle name="Moeda 3 2 12" xfId="11005" xr:uid="{00000000-0005-0000-0000-0000CC010000}"/>
    <cellStyle name="Moeda 3 2 12 2" xfId="37198" xr:uid="{00000000-0005-0000-0000-0000CD010000}"/>
    <cellStyle name="Moeda 3 2 13" xfId="29266" xr:uid="{00000000-0005-0000-0000-0000CE010000}"/>
    <cellStyle name="Moeda 3 2 2" xfId="2000" xr:uid="{00000000-0005-0000-0000-0000CF010000}"/>
    <cellStyle name="Moeda 3 2 2 10" xfId="4629" xr:uid="{00000000-0005-0000-0000-0000D0010000}"/>
    <cellStyle name="Moeda 3 2 2 10 2" xfId="30829" xr:uid="{00000000-0005-0000-0000-0000D1010000}"/>
    <cellStyle name="Moeda 3 2 2 11" xfId="11020" xr:uid="{00000000-0005-0000-0000-0000D2010000}"/>
    <cellStyle name="Moeda 3 2 2 11 2" xfId="37213" xr:uid="{00000000-0005-0000-0000-0000D3010000}"/>
    <cellStyle name="Moeda 3 2 2 12" xfId="29785" xr:uid="{00000000-0005-0000-0000-0000D4010000}"/>
    <cellStyle name="Moeda 3 2 2 2" xfId="4264" xr:uid="{00000000-0005-0000-0000-0000D5010000}"/>
    <cellStyle name="Moeda 3 2 2 2 2" xfId="4341" xr:uid="{00000000-0005-0000-0000-0000D6010000}"/>
    <cellStyle name="Moeda 3 2 2 2 2 2" xfId="7742" xr:uid="{00000000-0005-0000-0000-0000D7010000}"/>
    <cellStyle name="Moeda 3 2 2 2 2 2 2" xfId="14131" xr:uid="{00000000-0005-0000-0000-0000D8010000}"/>
    <cellStyle name="Moeda 3 2 2 2 2 2 2 2" xfId="40324" xr:uid="{00000000-0005-0000-0000-0000D9010000}"/>
    <cellStyle name="Moeda 3 2 2 2 2 2 3" xfId="33938" xr:uid="{00000000-0005-0000-0000-0000DA010000}"/>
    <cellStyle name="Moeda 3 2 2 2 2 3" xfId="6042" xr:uid="{00000000-0005-0000-0000-0000DB010000}"/>
    <cellStyle name="Moeda 3 2 2 2 2 3 2" xfId="32238" xr:uid="{00000000-0005-0000-0000-0000DC010000}"/>
    <cellStyle name="Moeda 3 2 2 2 2 4" xfId="12430" xr:uid="{00000000-0005-0000-0000-0000DD010000}"/>
    <cellStyle name="Moeda 3 2 2 2 2 4 2" xfId="38623" xr:uid="{00000000-0005-0000-0000-0000DE010000}"/>
    <cellStyle name="Moeda 3 2 2 2 2 5" xfId="30541" xr:uid="{00000000-0005-0000-0000-0000DF010000}"/>
    <cellStyle name="Moeda 3 2 2 2 3" xfId="4449" xr:uid="{00000000-0005-0000-0000-0000E0010000}"/>
    <cellStyle name="Moeda 3 2 2 2 3 2" xfId="7851" xr:uid="{00000000-0005-0000-0000-0000E1010000}"/>
    <cellStyle name="Moeda 3 2 2 2 3 2 2" xfId="14240" xr:uid="{00000000-0005-0000-0000-0000E2010000}"/>
    <cellStyle name="Moeda 3 2 2 2 3 2 2 2" xfId="40433" xr:uid="{00000000-0005-0000-0000-0000E3010000}"/>
    <cellStyle name="Moeda 3 2 2 2 3 2 3" xfId="34047" xr:uid="{00000000-0005-0000-0000-0000E4010000}"/>
    <cellStyle name="Moeda 3 2 2 2 3 3" xfId="6151" xr:uid="{00000000-0005-0000-0000-0000E5010000}"/>
    <cellStyle name="Moeda 3 2 2 2 3 3 2" xfId="32347" xr:uid="{00000000-0005-0000-0000-0000E6010000}"/>
    <cellStyle name="Moeda 3 2 2 2 3 4" xfId="12539" xr:uid="{00000000-0005-0000-0000-0000E7010000}"/>
    <cellStyle name="Moeda 3 2 2 2 3 4 2" xfId="38732" xr:uid="{00000000-0005-0000-0000-0000E8010000}"/>
    <cellStyle name="Moeda 3 2 2 2 3 5" xfId="30649" xr:uid="{00000000-0005-0000-0000-0000E9010000}"/>
    <cellStyle name="Moeda 3 2 2 2 4" xfId="4557" xr:uid="{00000000-0005-0000-0000-0000EA010000}"/>
    <cellStyle name="Moeda 3 2 2 2 4 2" xfId="7959" xr:uid="{00000000-0005-0000-0000-0000EB010000}"/>
    <cellStyle name="Moeda 3 2 2 2 4 2 2" xfId="14348" xr:uid="{00000000-0005-0000-0000-0000EC010000}"/>
    <cellStyle name="Moeda 3 2 2 2 4 2 2 2" xfId="40541" xr:uid="{00000000-0005-0000-0000-0000ED010000}"/>
    <cellStyle name="Moeda 3 2 2 2 4 2 3" xfId="34155" xr:uid="{00000000-0005-0000-0000-0000EE010000}"/>
    <cellStyle name="Moeda 3 2 2 2 4 3" xfId="6258" xr:uid="{00000000-0005-0000-0000-0000EF010000}"/>
    <cellStyle name="Moeda 3 2 2 2 4 3 2" xfId="32454" xr:uid="{00000000-0005-0000-0000-0000F0010000}"/>
    <cellStyle name="Moeda 3 2 2 2 4 4" xfId="12647" xr:uid="{00000000-0005-0000-0000-0000F1010000}"/>
    <cellStyle name="Moeda 3 2 2 2 4 4 2" xfId="38840" xr:uid="{00000000-0005-0000-0000-0000F2010000}"/>
    <cellStyle name="Moeda 3 2 2 2 4 5" xfId="30757" xr:uid="{00000000-0005-0000-0000-0000F3010000}"/>
    <cellStyle name="Moeda 3 2 2 2 5" xfId="5965" xr:uid="{00000000-0005-0000-0000-0000F4010000}"/>
    <cellStyle name="Moeda 3 2 2 2 5 2" xfId="7665" xr:uid="{00000000-0005-0000-0000-0000F5010000}"/>
    <cellStyle name="Moeda 3 2 2 2 5 2 2" xfId="14054" xr:uid="{00000000-0005-0000-0000-0000F6010000}"/>
    <cellStyle name="Moeda 3 2 2 2 5 2 2 2" xfId="40247" xr:uid="{00000000-0005-0000-0000-0000F7010000}"/>
    <cellStyle name="Moeda 3 2 2 2 5 2 3" xfId="33861" xr:uid="{00000000-0005-0000-0000-0000F8010000}"/>
    <cellStyle name="Moeda 3 2 2 2 5 3" xfId="12353" xr:uid="{00000000-0005-0000-0000-0000F9010000}"/>
    <cellStyle name="Moeda 3 2 2 2 5 3 2" xfId="38546" xr:uid="{00000000-0005-0000-0000-0000FA010000}"/>
    <cellStyle name="Moeda 3 2 2 2 5 4" xfId="32161" xr:uid="{00000000-0005-0000-0000-0000FB010000}"/>
    <cellStyle name="Moeda 3 2 2 2 6" xfId="6367" xr:uid="{00000000-0005-0000-0000-0000FC010000}"/>
    <cellStyle name="Moeda 3 2 2 2 6 2" xfId="12756" xr:uid="{00000000-0005-0000-0000-0000FD010000}"/>
    <cellStyle name="Moeda 3 2 2 2 6 2 2" xfId="38949" xr:uid="{00000000-0005-0000-0000-0000FE010000}"/>
    <cellStyle name="Moeda 3 2 2 2 6 3" xfId="32563" xr:uid="{00000000-0005-0000-0000-0000FF010000}"/>
    <cellStyle name="Moeda 3 2 2 2 7" xfId="4664" xr:uid="{00000000-0005-0000-0000-000000020000}"/>
    <cellStyle name="Moeda 3 2 2 2 7 2" xfId="30864" xr:uid="{00000000-0005-0000-0000-000001020000}"/>
    <cellStyle name="Moeda 3 2 2 2 8" xfId="11055" xr:uid="{00000000-0005-0000-0000-000002020000}"/>
    <cellStyle name="Moeda 3 2 2 2 8 2" xfId="37248" xr:uid="{00000000-0005-0000-0000-000003020000}"/>
    <cellStyle name="Moeda 3 2 2 2 9" xfId="30464" xr:uid="{00000000-0005-0000-0000-000004020000}"/>
    <cellStyle name="Moeda 3 2 2 3" xfId="4229" xr:uid="{00000000-0005-0000-0000-000005020000}"/>
    <cellStyle name="Moeda 3 2 2 3 2" xfId="4373" xr:uid="{00000000-0005-0000-0000-000006020000}"/>
    <cellStyle name="Moeda 3 2 2 3 2 2" xfId="7775" xr:uid="{00000000-0005-0000-0000-000007020000}"/>
    <cellStyle name="Moeda 3 2 2 3 2 2 2" xfId="14164" xr:uid="{00000000-0005-0000-0000-000008020000}"/>
    <cellStyle name="Moeda 3 2 2 3 2 2 2 2" xfId="40357" xr:uid="{00000000-0005-0000-0000-000009020000}"/>
    <cellStyle name="Moeda 3 2 2 3 2 2 3" xfId="33971" xr:uid="{00000000-0005-0000-0000-00000A020000}"/>
    <cellStyle name="Moeda 3 2 2 3 2 3" xfId="6075" xr:uid="{00000000-0005-0000-0000-00000B020000}"/>
    <cellStyle name="Moeda 3 2 2 3 2 3 2" xfId="32271" xr:uid="{00000000-0005-0000-0000-00000C020000}"/>
    <cellStyle name="Moeda 3 2 2 3 2 4" xfId="12463" xr:uid="{00000000-0005-0000-0000-00000D020000}"/>
    <cellStyle name="Moeda 3 2 2 3 2 4 2" xfId="38656" xr:uid="{00000000-0005-0000-0000-00000E020000}"/>
    <cellStyle name="Moeda 3 2 2 3 2 5" xfId="30573" xr:uid="{00000000-0005-0000-0000-00000F020000}"/>
    <cellStyle name="Moeda 3 2 2 3 3" xfId="4481" xr:uid="{00000000-0005-0000-0000-000010020000}"/>
    <cellStyle name="Moeda 3 2 2 3 3 2" xfId="7883" xr:uid="{00000000-0005-0000-0000-000011020000}"/>
    <cellStyle name="Moeda 3 2 2 3 3 2 2" xfId="14272" xr:uid="{00000000-0005-0000-0000-000012020000}"/>
    <cellStyle name="Moeda 3 2 2 3 3 2 2 2" xfId="40465" xr:uid="{00000000-0005-0000-0000-000013020000}"/>
    <cellStyle name="Moeda 3 2 2 3 3 2 3" xfId="34079" xr:uid="{00000000-0005-0000-0000-000014020000}"/>
    <cellStyle name="Moeda 3 2 2 3 3 3" xfId="6182" xr:uid="{00000000-0005-0000-0000-000015020000}"/>
    <cellStyle name="Moeda 3 2 2 3 3 3 2" xfId="32378" xr:uid="{00000000-0005-0000-0000-000016020000}"/>
    <cellStyle name="Moeda 3 2 2 3 3 4" xfId="12571" xr:uid="{00000000-0005-0000-0000-000017020000}"/>
    <cellStyle name="Moeda 3 2 2 3 3 4 2" xfId="38764" xr:uid="{00000000-0005-0000-0000-000018020000}"/>
    <cellStyle name="Moeda 3 2 2 3 3 5" xfId="30681" xr:uid="{00000000-0005-0000-0000-000019020000}"/>
    <cellStyle name="Moeda 3 2 2 3 4" xfId="4589" xr:uid="{00000000-0005-0000-0000-00001A020000}"/>
    <cellStyle name="Moeda 3 2 2 3 4 2" xfId="7992" xr:uid="{00000000-0005-0000-0000-00001B020000}"/>
    <cellStyle name="Moeda 3 2 2 3 4 2 2" xfId="14381" xr:uid="{00000000-0005-0000-0000-00001C020000}"/>
    <cellStyle name="Moeda 3 2 2 3 4 2 2 2" xfId="40574" xr:uid="{00000000-0005-0000-0000-00001D020000}"/>
    <cellStyle name="Moeda 3 2 2 3 4 2 3" xfId="34188" xr:uid="{00000000-0005-0000-0000-00001E020000}"/>
    <cellStyle name="Moeda 3 2 2 3 4 3" xfId="6291" xr:uid="{00000000-0005-0000-0000-00001F020000}"/>
    <cellStyle name="Moeda 3 2 2 3 4 3 2" xfId="32487" xr:uid="{00000000-0005-0000-0000-000020020000}"/>
    <cellStyle name="Moeda 3 2 2 3 4 4" xfId="12680" xr:uid="{00000000-0005-0000-0000-000021020000}"/>
    <cellStyle name="Moeda 3 2 2 3 4 4 2" xfId="38873" xr:uid="{00000000-0005-0000-0000-000022020000}"/>
    <cellStyle name="Moeda 3 2 2 3 4 5" xfId="30789" xr:uid="{00000000-0005-0000-0000-000023020000}"/>
    <cellStyle name="Moeda 3 2 2 3 5" xfId="5930" xr:uid="{00000000-0005-0000-0000-000024020000}"/>
    <cellStyle name="Moeda 3 2 2 3 5 2" xfId="7630" xr:uid="{00000000-0005-0000-0000-000025020000}"/>
    <cellStyle name="Moeda 3 2 2 3 5 2 2" xfId="14019" xr:uid="{00000000-0005-0000-0000-000026020000}"/>
    <cellStyle name="Moeda 3 2 2 3 5 2 2 2" xfId="40212" xr:uid="{00000000-0005-0000-0000-000027020000}"/>
    <cellStyle name="Moeda 3 2 2 3 5 2 3" xfId="33826" xr:uid="{00000000-0005-0000-0000-000028020000}"/>
    <cellStyle name="Moeda 3 2 2 3 5 3" xfId="12318" xr:uid="{00000000-0005-0000-0000-000029020000}"/>
    <cellStyle name="Moeda 3 2 2 3 5 3 2" xfId="38511" xr:uid="{00000000-0005-0000-0000-00002A020000}"/>
    <cellStyle name="Moeda 3 2 2 3 5 4" xfId="32126" xr:uid="{00000000-0005-0000-0000-00002B020000}"/>
    <cellStyle name="Moeda 3 2 2 3 6" xfId="6400" xr:uid="{00000000-0005-0000-0000-00002C020000}"/>
    <cellStyle name="Moeda 3 2 2 3 6 2" xfId="12789" xr:uid="{00000000-0005-0000-0000-00002D020000}"/>
    <cellStyle name="Moeda 3 2 2 3 6 2 2" xfId="38982" xr:uid="{00000000-0005-0000-0000-00002E020000}"/>
    <cellStyle name="Moeda 3 2 2 3 6 3" xfId="32596" xr:uid="{00000000-0005-0000-0000-00002F020000}"/>
    <cellStyle name="Moeda 3 2 2 3 7" xfId="4697" xr:uid="{00000000-0005-0000-0000-000030020000}"/>
    <cellStyle name="Moeda 3 2 2 3 7 2" xfId="30897" xr:uid="{00000000-0005-0000-0000-000031020000}"/>
    <cellStyle name="Moeda 3 2 2 3 8" xfId="11088" xr:uid="{00000000-0005-0000-0000-000032020000}"/>
    <cellStyle name="Moeda 3 2 2 3 8 2" xfId="37281" xr:uid="{00000000-0005-0000-0000-000033020000}"/>
    <cellStyle name="Moeda 3 2 2 3 9" xfId="30429" xr:uid="{00000000-0005-0000-0000-000034020000}"/>
    <cellStyle name="Moeda 3 2 2 4" xfId="4306" xr:uid="{00000000-0005-0000-0000-000035020000}"/>
    <cellStyle name="Moeda 3 2 2 4 2" xfId="7707" xr:uid="{00000000-0005-0000-0000-000036020000}"/>
    <cellStyle name="Moeda 3 2 2 4 2 2" xfId="14096" xr:uid="{00000000-0005-0000-0000-000037020000}"/>
    <cellStyle name="Moeda 3 2 2 4 2 2 2" xfId="40289" xr:uid="{00000000-0005-0000-0000-000038020000}"/>
    <cellStyle name="Moeda 3 2 2 4 2 3" xfId="33903" xr:uid="{00000000-0005-0000-0000-000039020000}"/>
    <cellStyle name="Moeda 3 2 2 4 3" xfId="6007" xr:uid="{00000000-0005-0000-0000-00003A020000}"/>
    <cellStyle name="Moeda 3 2 2 4 3 2" xfId="32203" xr:uid="{00000000-0005-0000-0000-00003B020000}"/>
    <cellStyle name="Moeda 3 2 2 4 4" xfId="12395" xr:uid="{00000000-0005-0000-0000-00003C020000}"/>
    <cellStyle name="Moeda 3 2 2 4 4 2" xfId="38588" xr:uid="{00000000-0005-0000-0000-00003D020000}"/>
    <cellStyle name="Moeda 3 2 2 4 5" xfId="30506" xr:uid="{00000000-0005-0000-0000-00003E020000}"/>
    <cellStyle name="Moeda 3 2 2 5" xfId="4414" xr:uid="{00000000-0005-0000-0000-00003F020000}"/>
    <cellStyle name="Moeda 3 2 2 5 2" xfId="7816" xr:uid="{00000000-0005-0000-0000-000040020000}"/>
    <cellStyle name="Moeda 3 2 2 5 2 2" xfId="14205" xr:uid="{00000000-0005-0000-0000-000041020000}"/>
    <cellStyle name="Moeda 3 2 2 5 2 2 2" xfId="40398" xr:uid="{00000000-0005-0000-0000-000042020000}"/>
    <cellStyle name="Moeda 3 2 2 5 2 3" xfId="34012" xr:uid="{00000000-0005-0000-0000-000043020000}"/>
    <cellStyle name="Moeda 3 2 2 5 3" xfId="6116" xr:uid="{00000000-0005-0000-0000-000044020000}"/>
    <cellStyle name="Moeda 3 2 2 5 3 2" xfId="32312" xr:uid="{00000000-0005-0000-0000-000045020000}"/>
    <cellStyle name="Moeda 3 2 2 5 4" xfId="12504" xr:uid="{00000000-0005-0000-0000-000046020000}"/>
    <cellStyle name="Moeda 3 2 2 5 4 2" xfId="38697" xr:uid="{00000000-0005-0000-0000-000047020000}"/>
    <cellStyle name="Moeda 3 2 2 5 5" xfId="30614" xr:uid="{00000000-0005-0000-0000-000048020000}"/>
    <cellStyle name="Moeda 3 2 2 6" xfId="4522" xr:uid="{00000000-0005-0000-0000-000049020000}"/>
    <cellStyle name="Moeda 3 2 2 6 2" xfId="7924" xr:uid="{00000000-0005-0000-0000-00004A020000}"/>
    <cellStyle name="Moeda 3 2 2 6 2 2" xfId="14313" xr:uid="{00000000-0005-0000-0000-00004B020000}"/>
    <cellStyle name="Moeda 3 2 2 6 2 2 2" xfId="40506" xr:uid="{00000000-0005-0000-0000-00004C020000}"/>
    <cellStyle name="Moeda 3 2 2 6 2 3" xfId="34120" xr:uid="{00000000-0005-0000-0000-00004D020000}"/>
    <cellStyle name="Moeda 3 2 2 6 3" xfId="6223" xr:uid="{00000000-0005-0000-0000-00004E020000}"/>
    <cellStyle name="Moeda 3 2 2 6 3 2" xfId="32419" xr:uid="{00000000-0005-0000-0000-00004F020000}"/>
    <cellStyle name="Moeda 3 2 2 6 4" xfId="12612" xr:uid="{00000000-0005-0000-0000-000050020000}"/>
    <cellStyle name="Moeda 3 2 2 6 4 2" xfId="38805" xr:uid="{00000000-0005-0000-0000-000051020000}"/>
    <cellStyle name="Moeda 3 2 2 6 5" xfId="30722" xr:uid="{00000000-0005-0000-0000-000052020000}"/>
    <cellStyle name="Moeda 3 2 2 7" xfId="5287" xr:uid="{00000000-0005-0000-0000-000053020000}"/>
    <cellStyle name="Moeda 3 2 2 7 2" xfId="6986" xr:uid="{00000000-0005-0000-0000-000054020000}"/>
    <cellStyle name="Moeda 3 2 2 7 2 2" xfId="13375" xr:uid="{00000000-0005-0000-0000-000055020000}"/>
    <cellStyle name="Moeda 3 2 2 7 2 2 2" xfId="39568" xr:uid="{00000000-0005-0000-0000-000056020000}"/>
    <cellStyle name="Moeda 3 2 2 7 2 3" xfId="33182" xr:uid="{00000000-0005-0000-0000-000057020000}"/>
    <cellStyle name="Moeda 3 2 2 7 3" xfId="11674" xr:uid="{00000000-0005-0000-0000-000058020000}"/>
    <cellStyle name="Moeda 3 2 2 7 3 2" xfId="37867" xr:uid="{00000000-0005-0000-0000-000059020000}"/>
    <cellStyle name="Moeda 3 2 2 7 4" xfId="31483" xr:uid="{00000000-0005-0000-0000-00005A020000}"/>
    <cellStyle name="Moeda 3 2 2 8" xfId="6332" xr:uid="{00000000-0005-0000-0000-00005B020000}"/>
    <cellStyle name="Moeda 3 2 2 8 2" xfId="12721" xr:uid="{00000000-0005-0000-0000-00005C020000}"/>
    <cellStyle name="Moeda 3 2 2 8 2 2" xfId="38914" xr:uid="{00000000-0005-0000-0000-00005D020000}"/>
    <cellStyle name="Moeda 3 2 2 8 3" xfId="32528" xr:uid="{00000000-0005-0000-0000-00005E020000}"/>
    <cellStyle name="Moeda 3 2 2 9" xfId="8024" xr:uid="{00000000-0005-0000-0000-00005F020000}"/>
    <cellStyle name="Moeda 3 2 2 9 2" xfId="14413" xr:uid="{00000000-0005-0000-0000-000060020000}"/>
    <cellStyle name="Moeda 3 2 2 9 2 2" xfId="40606" xr:uid="{00000000-0005-0000-0000-000061020000}"/>
    <cellStyle name="Moeda 3 2 2 9 3" xfId="34220" xr:uid="{00000000-0005-0000-0000-000062020000}"/>
    <cellStyle name="Moeda 3 2 3" xfId="4249" xr:uid="{00000000-0005-0000-0000-000063020000}"/>
    <cellStyle name="Moeda 3 2 3 2" xfId="4326" xr:uid="{00000000-0005-0000-0000-000064020000}"/>
    <cellStyle name="Moeda 3 2 3 2 2" xfId="7727" xr:uid="{00000000-0005-0000-0000-000065020000}"/>
    <cellStyle name="Moeda 3 2 3 2 2 2" xfId="14116" xr:uid="{00000000-0005-0000-0000-000066020000}"/>
    <cellStyle name="Moeda 3 2 3 2 2 2 2" xfId="40309" xr:uid="{00000000-0005-0000-0000-000067020000}"/>
    <cellStyle name="Moeda 3 2 3 2 2 3" xfId="33923" xr:uid="{00000000-0005-0000-0000-000068020000}"/>
    <cellStyle name="Moeda 3 2 3 2 3" xfId="6027" xr:uid="{00000000-0005-0000-0000-000069020000}"/>
    <cellStyle name="Moeda 3 2 3 2 3 2" xfId="32223" xr:uid="{00000000-0005-0000-0000-00006A020000}"/>
    <cellStyle name="Moeda 3 2 3 2 4" xfId="12415" xr:uid="{00000000-0005-0000-0000-00006B020000}"/>
    <cellStyle name="Moeda 3 2 3 2 4 2" xfId="38608" xr:uid="{00000000-0005-0000-0000-00006C020000}"/>
    <cellStyle name="Moeda 3 2 3 2 5" xfId="30526" xr:uid="{00000000-0005-0000-0000-00006D020000}"/>
    <cellStyle name="Moeda 3 2 3 3" xfId="4434" xr:uid="{00000000-0005-0000-0000-00006E020000}"/>
    <cellStyle name="Moeda 3 2 3 3 2" xfId="7836" xr:uid="{00000000-0005-0000-0000-00006F020000}"/>
    <cellStyle name="Moeda 3 2 3 3 2 2" xfId="14225" xr:uid="{00000000-0005-0000-0000-000070020000}"/>
    <cellStyle name="Moeda 3 2 3 3 2 2 2" xfId="40418" xr:uid="{00000000-0005-0000-0000-000071020000}"/>
    <cellStyle name="Moeda 3 2 3 3 2 3" xfId="34032" xr:uid="{00000000-0005-0000-0000-000072020000}"/>
    <cellStyle name="Moeda 3 2 3 3 3" xfId="6136" xr:uid="{00000000-0005-0000-0000-000073020000}"/>
    <cellStyle name="Moeda 3 2 3 3 3 2" xfId="32332" xr:uid="{00000000-0005-0000-0000-000074020000}"/>
    <cellStyle name="Moeda 3 2 3 3 4" xfId="12524" xr:uid="{00000000-0005-0000-0000-000075020000}"/>
    <cellStyle name="Moeda 3 2 3 3 4 2" xfId="38717" xr:uid="{00000000-0005-0000-0000-000076020000}"/>
    <cellStyle name="Moeda 3 2 3 3 5" xfId="30634" xr:uid="{00000000-0005-0000-0000-000077020000}"/>
    <cellStyle name="Moeda 3 2 3 4" xfId="4542" xr:uid="{00000000-0005-0000-0000-000078020000}"/>
    <cellStyle name="Moeda 3 2 3 4 2" xfId="7944" xr:uid="{00000000-0005-0000-0000-000079020000}"/>
    <cellStyle name="Moeda 3 2 3 4 2 2" xfId="14333" xr:uid="{00000000-0005-0000-0000-00007A020000}"/>
    <cellStyle name="Moeda 3 2 3 4 2 2 2" xfId="40526" xr:uid="{00000000-0005-0000-0000-00007B020000}"/>
    <cellStyle name="Moeda 3 2 3 4 2 3" xfId="34140" xr:uid="{00000000-0005-0000-0000-00007C020000}"/>
    <cellStyle name="Moeda 3 2 3 4 3" xfId="6243" xr:uid="{00000000-0005-0000-0000-00007D020000}"/>
    <cellStyle name="Moeda 3 2 3 4 3 2" xfId="32439" xr:uid="{00000000-0005-0000-0000-00007E020000}"/>
    <cellStyle name="Moeda 3 2 3 4 4" xfId="12632" xr:uid="{00000000-0005-0000-0000-00007F020000}"/>
    <cellStyle name="Moeda 3 2 3 4 4 2" xfId="38825" xr:uid="{00000000-0005-0000-0000-000080020000}"/>
    <cellStyle name="Moeda 3 2 3 4 5" xfId="30742" xr:uid="{00000000-0005-0000-0000-000081020000}"/>
    <cellStyle name="Moeda 3 2 3 5" xfId="5950" xr:uid="{00000000-0005-0000-0000-000082020000}"/>
    <cellStyle name="Moeda 3 2 3 5 2" xfId="7650" xr:uid="{00000000-0005-0000-0000-000083020000}"/>
    <cellStyle name="Moeda 3 2 3 5 2 2" xfId="14039" xr:uid="{00000000-0005-0000-0000-000084020000}"/>
    <cellStyle name="Moeda 3 2 3 5 2 2 2" xfId="40232" xr:uid="{00000000-0005-0000-0000-000085020000}"/>
    <cellStyle name="Moeda 3 2 3 5 2 3" xfId="33846" xr:uid="{00000000-0005-0000-0000-000086020000}"/>
    <cellStyle name="Moeda 3 2 3 5 3" xfId="12338" xr:uid="{00000000-0005-0000-0000-000087020000}"/>
    <cellStyle name="Moeda 3 2 3 5 3 2" xfId="38531" xr:uid="{00000000-0005-0000-0000-000088020000}"/>
    <cellStyle name="Moeda 3 2 3 5 4" xfId="32146" xr:uid="{00000000-0005-0000-0000-000089020000}"/>
    <cellStyle name="Moeda 3 2 3 6" xfId="6352" xr:uid="{00000000-0005-0000-0000-00008A020000}"/>
    <cellStyle name="Moeda 3 2 3 6 2" xfId="12741" xr:uid="{00000000-0005-0000-0000-00008B020000}"/>
    <cellStyle name="Moeda 3 2 3 6 2 2" xfId="38934" xr:uid="{00000000-0005-0000-0000-00008C020000}"/>
    <cellStyle name="Moeda 3 2 3 6 3" xfId="32548" xr:uid="{00000000-0005-0000-0000-00008D020000}"/>
    <cellStyle name="Moeda 3 2 3 7" xfId="4649" xr:uid="{00000000-0005-0000-0000-00008E020000}"/>
    <cellStyle name="Moeda 3 2 3 7 2" xfId="30849" xr:uid="{00000000-0005-0000-0000-00008F020000}"/>
    <cellStyle name="Moeda 3 2 3 8" xfId="11040" xr:uid="{00000000-0005-0000-0000-000090020000}"/>
    <cellStyle name="Moeda 3 2 3 8 2" xfId="37233" xr:uid="{00000000-0005-0000-0000-000091020000}"/>
    <cellStyle name="Moeda 3 2 3 9" xfId="30449" xr:uid="{00000000-0005-0000-0000-000092020000}"/>
    <cellStyle name="Moeda 3 2 4" xfId="4214" xr:uid="{00000000-0005-0000-0000-000093020000}"/>
    <cellStyle name="Moeda 3 2 4 2" xfId="4358" xr:uid="{00000000-0005-0000-0000-000094020000}"/>
    <cellStyle name="Moeda 3 2 4 2 2" xfId="7759" xr:uid="{00000000-0005-0000-0000-000095020000}"/>
    <cellStyle name="Moeda 3 2 4 2 2 2" xfId="14148" xr:uid="{00000000-0005-0000-0000-000096020000}"/>
    <cellStyle name="Moeda 3 2 4 2 2 2 2" xfId="40341" xr:uid="{00000000-0005-0000-0000-000097020000}"/>
    <cellStyle name="Moeda 3 2 4 2 2 3" xfId="33955" xr:uid="{00000000-0005-0000-0000-000098020000}"/>
    <cellStyle name="Moeda 3 2 4 2 3" xfId="6059" xr:uid="{00000000-0005-0000-0000-000099020000}"/>
    <cellStyle name="Moeda 3 2 4 2 3 2" xfId="32255" xr:uid="{00000000-0005-0000-0000-00009A020000}"/>
    <cellStyle name="Moeda 3 2 4 2 4" xfId="12447" xr:uid="{00000000-0005-0000-0000-00009B020000}"/>
    <cellStyle name="Moeda 3 2 4 2 4 2" xfId="38640" xr:uid="{00000000-0005-0000-0000-00009C020000}"/>
    <cellStyle name="Moeda 3 2 4 2 5" xfId="30558" xr:uid="{00000000-0005-0000-0000-00009D020000}"/>
    <cellStyle name="Moeda 3 2 4 3" xfId="4466" xr:uid="{00000000-0005-0000-0000-00009E020000}"/>
    <cellStyle name="Moeda 3 2 4 3 2" xfId="7868" xr:uid="{00000000-0005-0000-0000-00009F020000}"/>
    <cellStyle name="Moeda 3 2 4 3 2 2" xfId="14257" xr:uid="{00000000-0005-0000-0000-0000A0020000}"/>
    <cellStyle name="Moeda 3 2 4 3 2 2 2" xfId="40450" xr:uid="{00000000-0005-0000-0000-0000A1020000}"/>
    <cellStyle name="Moeda 3 2 4 3 2 3" xfId="34064" xr:uid="{00000000-0005-0000-0000-0000A2020000}"/>
    <cellStyle name="Moeda 3 2 4 3 3" xfId="6167" xr:uid="{00000000-0005-0000-0000-0000A3020000}"/>
    <cellStyle name="Moeda 3 2 4 3 3 2" xfId="32363" xr:uid="{00000000-0005-0000-0000-0000A4020000}"/>
    <cellStyle name="Moeda 3 2 4 3 4" xfId="12556" xr:uid="{00000000-0005-0000-0000-0000A5020000}"/>
    <cellStyle name="Moeda 3 2 4 3 4 2" xfId="38749" xr:uid="{00000000-0005-0000-0000-0000A6020000}"/>
    <cellStyle name="Moeda 3 2 4 3 5" xfId="30666" xr:uid="{00000000-0005-0000-0000-0000A7020000}"/>
    <cellStyle name="Moeda 3 2 4 4" xfId="4574" xr:uid="{00000000-0005-0000-0000-0000A8020000}"/>
    <cellStyle name="Moeda 3 2 4 4 2" xfId="7976" xr:uid="{00000000-0005-0000-0000-0000A9020000}"/>
    <cellStyle name="Moeda 3 2 4 4 2 2" xfId="14365" xr:uid="{00000000-0005-0000-0000-0000AA020000}"/>
    <cellStyle name="Moeda 3 2 4 4 2 2 2" xfId="40558" xr:uid="{00000000-0005-0000-0000-0000AB020000}"/>
    <cellStyle name="Moeda 3 2 4 4 2 3" xfId="34172" xr:uid="{00000000-0005-0000-0000-0000AC020000}"/>
    <cellStyle name="Moeda 3 2 4 4 3" xfId="6275" xr:uid="{00000000-0005-0000-0000-0000AD020000}"/>
    <cellStyle name="Moeda 3 2 4 4 3 2" xfId="32471" xr:uid="{00000000-0005-0000-0000-0000AE020000}"/>
    <cellStyle name="Moeda 3 2 4 4 4" xfId="12664" xr:uid="{00000000-0005-0000-0000-0000AF020000}"/>
    <cellStyle name="Moeda 3 2 4 4 4 2" xfId="38857" xr:uid="{00000000-0005-0000-0000-0000B0020000}"/>
    <cellStyle name="Moeda 3 2 4 4 5" xfId="30774" xr:uid="{00000000-0005-0000-0000-0000B1020000}"/>
    <cellStyle name="Moeda 3 2 4 5" xfId="5914" xr:uid="{00000000-0005-0000-0000-0000B2020000}"/>
    <cellStyle name="Moeda 3 2 4 5 2" xfId="7614" xr:uid="{00000000-0005-0000-0000-0000B3020000}"/>
    <cellStyle name="Moeda 3 2 4 5 2 2" xfId="14003" xr:uid="{00000000-0005-0000-0000-0000B4020000}"/>
    <cellStyle name="Moeda 3 2 4 5 2 2 2" xfId="40196" xr:uid="{00000000-0005-0000-0000-0000B5020000}"/>
    <cellStyle name="Moeda 3 2 4 5 2 3" xfId="33810" xr:uid="{00000000-0005-0000-0000-0000B6020000}"/>
    <cellStyle name="Moeda 3 2 4 5 3" xfId="12302" xr:uid="{00000000-0005-0000-0000-0000B7020000}"/>
    <cellStyle name="Moeda 3 2 4 5 3 2" xfId="38495" xr:uid="{00000000-0005-0000-0000-0000B8020000}"/>
    <cellStyle name="Moeda 3 2 4 5 4" xfId="32110" xr:uid="{00000000-0005-0000-0000-0000B9020000}"/>
    <cellStyle name="Moeda 3 2 4 6" xfId="6384" xr:uid="{00000000-0005-0000-0000-0000BA020000}"/>
    <cellStyle name="Moeda 3 2 4 6 2" xfId="12773" xr:uid="{00000000-0005-0000-0000-0000BB020000}"/>
    <cellStyle name="Moeda 3 2 4 6 2 2" xfId="38966" xr:uid="{00000000-0005-0000-0000-0000BC020000}"/>
    <cellStyle name="Moeda 3 2 4 6 3" xfId="32580" xr:uid="{00000000-0005-0000-0000-0000BD020000}"/>
    <cellStyle name="Moeda 3 2 4 7" xfId="4681" xr:uid="{00000000-0005-0000-0000-0000BE020000}"/>
    <cellStyle name="Moeda 3 2 4 7 2" xfId="30881" xr:uid="{00000000-0005-0000-0000-0000BF020000}"/>
    <cellStyle name="Moeda 3 2 4 8" xfId="11072" xr:uid="{00000000-0005-0000-0000-0000C0020000}"/>
    <cellStyle name="Moeda 3 2 4 8 2" xfId="37265" xr:uid="{00000000-0005-0000-0000-0000C1020000}"/>
    <cellStyle name="Moeda 3 2 4 9" xfId="30414" xr:uid="{00000000-0005-0000-0000-0000C2020000}"/>
    <cellStyle name="Moeda 3 2 5" xfId="4290" xr:uid="{00000000-0005-0000-0000-0000C3020000}"/>
    <cellStyle name="Moeda 3 2 5 2" xfId="7691" xr:uid="{00000000-0005-0000-0000-0000C4020000}"/>
    <cellStyle name="Moeda 3 2 5 2 2" xfId="14080" xr:uid="{00000000-0005-0000-0000-0000C5020000}"/>
    <cellStyle name="Moeda 3 2 5 2 2 2" xfId="40273" xr:uid="{00000000-0005-0000-0000-0000C6020000}"/>
    <cellStyle name="Moeda 3 2 5 2 3" xfId="33887" xr:uid="{00000000-0005-0000-0000-0000C7020000}"/>
    <cellStyle name="Moeda 3 2 5 3" xfId="5991" xr:uid="{00000000-0005-0000-0000-0000C8020000}"/>
    <cellStyle name="Moeda 3 2 5 3 2" xfId="32187" xr:uid="{00000000-0005-0000-0000-0000C9020000}"/>
    <cellStyle name="Moeda 3 2 5 4" xfId="12379" xr:uid="{00000000-0005-0000-0000-0000CA020000}"/>
    <cellStyle name="Moeda 3 2 5 4 2" xfId="38572" xr:uid="{00000000-0005-0000-0000-0000CB020000}"/>
    <cellStyle name="Moeda 3 2 5 5" xfId="30490" xr:uid="{00000000-0005-0000-0000-0000CC020000}"/>
    <cellStyle name="Moeda 3 2 6" xfId="4398" xr:uid="{00000000-0005-0000-0000-0000CD020000}"/>
    <cellStyle name="Moeda 3 2 6 2" xfId="7800" xr:uid="{00000000-0005-0000-0000-0000CE020000}"/>
    <cellStyle name="Moeda 3 2 6 2 2" xfId="14189" xr:uid="{00000000-0005-0000-0000-0000CF020000}"/>
    <cellStyle name="Moeda 3 2 6 2 2 2" xfId="40382" xr:uid="{00000000-0005-0000-0000-0000D0020000}"/>
    <cellStyle name="Moeda 3 2 6 2 3" xfId="33996" xr:uid="{00000000-0005-0000-0000-0000D1020000}"/>
    <cellStyle name="Moeda 3 2 6 3" xfId="6100" xr:uid="{00000000-0005-0000-0000-0000D2020000}"/>
    <cellStyle name="Moeda 3 2 6 3 2" xfId="32296" xr:uid="{00000000-0005-0000-0000-0000D3020000}"/>
    <cellStyle name="Moeda 3 2 6 4" xfId="12488" xr:uid="{00000000-0005-0000-0000-0000D4020000}"/>
    <cellStyle name="Moeda 3 2 6 4 2" xfId="38681" xr:uid="{00000000-0005-0000-0000-0000D5020000}"/>
    <cellStyle name="Moeda 3 2 6 5" xfId="30598" xr:uid="{00000000-0005-0000-0000-0000D6020000}"/>
    <cellStyle name="Moeda 3 2 7" xfId="4506" xr:uid="{00000000-0005-0000-0000-0000D7020000}"/>
    <cellStyle name="Moeda 3 2 7 2" xfId="7908" xr:uid="{00000000-0005-0000-0000-0000D8020000}"/>
    <cellStyle name="Moeda 3 2 7 2 2" xfId="14297" xr:uid="{00000000-0005-0000-0000-0000D9020000}"/>
    <cellStyle name="Moeda 3 2 7 2 2 2" xfId="40490" xr:uid="{00000000-0005-0000-0000-0000DA020000}"/>
    <cellStyle name="Moeda 3 2 7 2 3" xfId="34104" xr:uid="{00000000-0005-0000-0000-0000DB020000}"/>
    <cellStyle name="Moeda 3 2 7 3" xfId="6207" xr:uid="{00000000-0005-0000-0000-0000DC020000}"/>
    <cellStyle name="Moeda 3 2 7 3 2" xfId="32403" xr:uid="{00000000-0005-0000-0000-0000DD020000}"/>
    <cellStyle name="Moeda 3 2 7 4" xfId="12596" xr:uid="{00000000-0005-0000-0000-0000DE020000}"/>
    <cellStyle name="Moeda 3 2 7 4 2" xfId="38789" xr:uid="{00000000-0005-0000-0000-0000DF020000}"/>
    <cellStyle name="Moeda 3 2 7 5" xfId="30706" xr:uid="{00000000-0005-0000-0000-0000E0020000}"/>
    <cellStyle name="Moeda 3 2 8" xfId="4766" xr:uid="{00000000-0005-0000-0000-0000E1020000}"/>
    <cellStyle name="Moeda 3 2 8 2" xfId="6467" xr:uid="{00000000-0005-0000-0000-0000E2020000}"/>
    <cellStyle name="Moeda 3 2 8 2 2" xfId="12856" xr:uid="{00000000-0005-0000-0000-0000E3020000}"/>
    <cellStyle name="Moeda 3 2 8 2 2 2" xfId="39049" xr:uid="{00000000-0005-0000-0000-0000E4020000}"/>
    <cellStyle name="Moeda 3 2 8 2 3" xfId="32663" xr:uid="{00000000-0005-0000-0000-0000E5020000}"/>
    <cellStyle name="Moeda 3 2 8 3" xfId="11155" xr:uid="{00000000-0005-0000-0000-0000E6020000}"/>
    <cellStyle name="Moeda 3 2 8 3 2" xfId="37348" xr:uid="{00000000-0005-0000-0000-0000E7020000}"/>
    <cellStyle name="Moeda 3 2 8 4" xfId="30964" xr:uid="{00000000-0005-0000-0000-0000E8020000}"/>
    <cellStyle name="Moeda 3 2 9" xfId="6316" xr:uid="{00000000-0005-0000-0000-0000E9020000}"/>
    <cellStyle name="Moeda 3 2 9 2" xfId="12705" xr:uid="{00000000-0005-0000-0000-0000EA020000}"/>
    <cellStyle name="Moeda 3 2 9 2 2" xfId="38898" xr:uid="{00000000-0005-0000-0000-0000EB020000}"/>
    <cellStyle name="Moeda 3 2 9 3" xfId="32512" xr:uid="{00000000-0005-0000-0000-0000EC020000}"/>
    <cellStyle name="Moeda 3 3" xfId="303" xr:uid="{00000000-0005-0000-0000-0000ED020000}"/>
    <cellStyle name="Moeda 3 3 10" xfId="8013" xr:uid="{00000000-0005-0000-0000-0000EE020000}"/>
    <cellStyle name="Moeda 3 3 10 2" xfId="14402" xr:uid="{00000000-0005-0000-0000-0000EF020000}"/>
    <cellStyle name="Moeda 3 3 10 2 2" xfId="40595" xr:uid="{00000000-0005-0000-0000-0000F0020000}"/>
    <cellStyle name="Moeda 3 3 10 3" xfId="34209" xr:uid="{00000000-0005-0000-0000-0000F1020000}"/>
    <cellStyle name="Moeda 3 3 11" xfId="4619" xr:uid="{00000000-0005-0000-0000-0000F2020000}"/>
    <cellStyle name="Moeda 3 3 11 2" xfId="30819" xr:uid="{00000000-0005-0000-0000-0000F3020000}"/>
    <cellStyle name="Moeda 3 3 12" xfId="11010" xr:uid="{00000000-0005-0000-0000-0000F4020000}"/>
    <cellStyle name="Moeda 3 3 12 2" xfId="37203" xr:uid="{00000000-0005-0000-0000-0000F5020000}"/>
    <cellStyle name="Moeda 3 3 13" xfId="29297" xr:uid="{00000000-0005-0000-0000-0000F6020000}"/>
    <cellStyle name="Moeda 3 3 2" xfId="4234" xr:uid="{00000000-0005-0000-0000-0000F7020000}"/>
    <cellStyle name="Moeda 3 3 2 10" xfId="4634" xr:uid="{00000000-0005-0000-0000-0000F8020000}"/>
    <cellStyle name="Moeda 3 3 2 10 2" xfId="30834" xr:uid="{00000000-0005-0000-0000-0000F9020000}"/>
    <cellStyle name="Moeda 3 3 2 11" xfId="11025" xr:uid="{00000000-0005-0000-0000-0000FA020000}"/>
    <cellStyle name="Moeda 3 3 2 11 2" xfId="37218" xr:uid="{00000000-0005-0000-0000-0000FB020000}"/>
    <cellStyle name="Moeda 3 3 2 12" xfId="30434" xr:uid="{00000000-0005-0000-0000-0000FC020000}"/>
    <cellStyle name="Moeda 3 3 2 2" xfId="4269" xr:uid="{00000000-0005-0000-0000-0000FD020000}"/>
    <cellStyle name="Moeda 3 3 2 2 2" xfId="4346" xr:uid="{00000000-0005-0000-0000-0000FE020000}"/>
    <cellStyle name="Moeda 3 3 2 2 2 2" xfId="7747" xr:uid="{00000000-0005-0000-0000-0000FF020000}"/>
    <cellStyle name="Moeda 3 3 2 2 2 2 2" xfId="14136" xr:uid="{00000000-0005-0000-0000-000000030000}"/>
    <cellStyle name="Moeda 3 3 2 2 2 2 2 2" xfId="40329" xr:uid="{00000000-0005-0000-0000-000001030000}"/>
    <cellStyle name="Moeda 3 3 2 2 2 2 3" xfId="33943" xr:uid="{00000000-0005-0000-0000-000002030000}"/>
    <cellStyle name="Moeda 3 3 2 2 2 3" xfId="6047" xr:uid="{00000000-0005-0000-0000-000003030000}"/>
    <cellStyle name="Moeda 3 3 2 2 2 3 2" xfId="32243" xr:uid="{00000000-0005-0000-0000-000004030000}"/>
    <cellStyle name="Moeda 3 3 2 2 2 4" xfId="12435" xr:uid="{00000000-0005-0000-0000-000005030000}"/>
    <cellStyle name="Moeda 3 3 2 2 2 4 2" xfId="38628" xr:uid="{00000000-0005-0000-0000-000006030000}"/>
    <cellStyle name="Moeda 3 3 2 2 2 5" xfId="30546" xr:uid="{00000000-0005-0000-0000-000007030000}"/>
    <cellStyle name="Moeda 3 3 2 2 3" xfId="4454" xr:uid="{00000000-0005-0000-0000-000008030000}"/>
    <cellStyle name="Moeda 3 3 2 2 3 2" xfId="7856" xr:uid="{00000000-0005-0000-0000-000009030000}"/>
    <cellStyle name="Moeda 3 3 2 2 3 2 2" xfId="14245" xr:uid="{00000000-0005-0000-0000-00000A030000}"/>
    <cellStyle name="Moeda 3 3 2 2 3 2 2 2" xfId="40438" xr:uid="{00000000-0005-0000-0000-00000B030000}"/>
    <cellStyle name="Moeda 3 3 2 2 3 2 3" xfId="34052" xr:uid="{00000000-0005-0000-0000-00000C030000}"/>
    <cellStyle name="Moeda 3 3 2 2 3 3" xfId="30654" xr:uid="{00000000-0005-0000-0000-00000D030000}"/>
    <cellStyle name="Moeda 3 3 2 2 3 4" xfId="12544" xr:uid="{00000000-0005-0000-0000-00000E030000}"/>
    <cellStyle name="Moeda 3 3 2 2 3 4 2" xfId="38737" xr:uid="{00000000-0005-0000-0000-00000F030000}"/>
    <cellStyle name="Moeda 3 3 2 2 4" xfId="4562" xr:uid="{00000000-0005-0000-0000-000010030000}"/>
    <cellStyle name="Moeda 3 3 2 2 4 2" xfId="7964" xr:uid="{00000000-0005-0000-0000-000011030000}"/>
    <cellStyle name="Moeda 3 3 2 2 4 2 2" xfId="14353" xr:uid="{00000000-0005-0000-0000-000012030000}"/>
    <cellStyle name="Moeda 3 3 2 2 4 2 2 2" xfId="40546" xr:uid="{00000000-0005-0000-0000-000013030000}"/>
    <cellStyle name="Moeda 3 3 2 2 4 2 3" xfId="34160" xr:uid="{00000000-0005-0000-0000-000014030000}"/>
    <cellStyle name="Moeda 3 3 2 2 4 3" xfId="6263" xr:uid="{00000000-0005-0000-0000-000015030000}"/>
    <cellStyle name="Moeda 3 3 2 2 4 3 2" xfId="32459" xr:uid="{00000000-0005-0000-0000-000016030000}"/>
    <cellStyle name="Moeda 3 3 2 2 4 4" xfId="12652" xr:uid="{00000000-0005-0000-0000-000017030000}"/>
    <cellStyle name="Moeda 3 3 2 2 4 4 2" xfId="38845" xr:uid="{00000000-0005-0000-0000-000018030000}"/>
    <cellStyle name="Moeda 3 3 2 2 4 5" xfId="30762" xr:uid="{00000000-0005-0000-0000-000019030000}"/>
    <cellStyle name="Moeda 3 3 2 2 5" xfId="5970" xr:uid="{00000000-0005-0000-0000-00001A030000}"/>
    <cellStyle name="Moeda 3 3 2 2 5 2" xfId="7670" xr:uid="{00000000-0005-0000-0000-00001B030000}"/>
    <cellStyle name="Moeda 3 3 2 2 5 2 2" xfId="14059" xr:uid="{00000000-0005-0000-0000-00001C030000}"/>
    <cellStyle name="Moeda 3 3 2 2 5 2 2 2" xfId="40252" xr:uid="{00000000-0005-0000-0000-00001D030000}"/>
    <cellStyle name="Moeda 3 3 2 2 5 2 3" xfId="33866" xr:uid="{00000000-0005-0000-0000-00001E030000}"/>
    <cellStyle name="Moeda 3 3 2 2 5 3" xfId="12358" xr:uid="{00000000-0005-0000-0000-00001F030000}"/>
    <cellStyle name="Moeda 3 3 2 2 5 3 2" xfId="38551" xr:uid="{00000000-0005-0000-0000-000020030000}"/>
    <cellStyle name="Moeda 3 3 2 2 5 4" xfId="32166" xr:uid="{00000000-0005-0000-0000-000021030000}"/>
    <cellStyle name="Moeda 3 3 2 2 6" xfId="6372" xr:uid="{00000000-0005-0000-0000-000022030000}"/>
    <cellStyle name="Moeda 3 3 2 2 6 2" xfId="12761" xr:uid="{00000000-0005-0000-0000-000023030000}"/>
    <cellStyle name="Moeda 3 3 2 2 6 2 2" xfId="38954" xr:uid="{00000000-0005-0000-0000-000024030000}"/>
    <cellStyle name="Moeda 3 3 2 2 6 3" xfId="32568" xr:uid="{00000000-0005-0000-0000-000025030000}"/>
    <cellStyle name="Moeda 3 3 2 2 7" xfId="4669" xr:uid="{00000000-0005-0000-0000-000026030000}"/>
    <cellStyle name="Moeda 3 3 2 2 7 2" xfId="30869" xr:uid="{00000000-0005-0000-0000-000027030000}"/>
    <cellStyle name="Moeda 3 3 2 2 8" xfId="11060" xr:uid="{00000000-0005-0000-0000-000028030000}"/>
    <cellStyle name="Moeda 3 3 2 2 8 2" xfId="37253" xr:uid="{00000000-0005-0000-0000-000029030000}"/>
    <cellStyle name="Moeda 3 3 2 2 9" xfId="30469" xr:uid="{00000000-0005-0000-0000-00002A030000}"/>
    <cellStyle name="Moeda 3 3 2 3" xfId="4378" xr:uid="{00000000-0005-0000-0000-00002B030000}"/>
    <cellStyle name="Moeda 3 3 2 3 2" xfId="4486" xr:uid="{00000000-0005-0000-0000-00002C030000}"/>
    <cellStyle name="Moeda 3 3 2 3 2 2" xfId="7888" xr:uid="{00000000-0005-0000-0000-00002D030000}"/>
    <cellStyle name="Moeda 3 3 2 3 2 2 2" xfId="14277" xr:uid="{00000000-0005-0000-0000-00002E030000}"/>
    <cellStyle name="Moeda 3 3 2 3 2 2 2 2" xfId="40470" xr:uid="{00000000-0005-0000-0000-00002F030000}"/>
    <cellStyle name="Moeda 3 3 2 3 2 2 3" xfId="34084" xr:uid="{00000000-0005-0000-0000-000030030000}"/>
    <cellStyle name="Moeda 3 3 2 3 2 3" xfId="6187" xr:uid="{00000000-0005-0000-0000-000031030000}"/>
    <cellStyle name="Moeda 3 3 2 3 2 3 2" xfId="32383" xr:uid="{00000000-0005-0000-0000-000032030000}"/>
    <cellStyle name="Moeda 3 3 2 3 2 4" xfId="12576" xr:uid="{00000000-0005-0000-0000-000033030000}"/>
    <cellStyle name="Moeda 3 3 2 3 2 4 2" xfId="38769" xr:uid="{00000000-0005-0000-0000-000034030000}"/>
    <cellStyle name="Moeda 3 3 2 3 2 5" xfId="30686" xr:uid="{00000000-0005-0000-0000-000035030000}"/>
    <cellStyle name="Moeda 3 3 2 3 3" xfId="4594" xr:uid="{00000000-0005-0000-0000-000036030000}"/>
    <cellStyle name="Moeda 3 3 2 3 3 2" xfId="7997" xr:uid="{00000000-0005-0000-0000-000037030000}"/>
    <cellStyle name="Moeda 3 3 2 3 3 2 2" xfId="14386" xr:uid="{00000000-0005-0000-0000-000038030000}"/>
    <cellStyle name="Moeda 3 3 2 3 3 2 2 2" xfId="40579" xr:uid="{00000000-0005-0000-0000-000039030000}"/>
    <cellStyle name="Moeda 3 3 2 3 3 2 3" xfId="34193" xr:uid="{00000000-0005-0000-0000-00003A030000}"/>
    <cellStyle name="Moeda 3 3 2 3 3 3" xfId="6296" xr:uid="{00000000-0005-0000-0000-00003B030000}"/>
    <cellStyle name="Moeda 3 3 2 3 3 3 2" xfId="32492" xr:uid="{00000000-0005-0000-0000-00003C030000}"/>
    <cellStyle name="Moeda 3 3 2 3 3 4" xfId="12685" xr:uid="{00000000-0005-0000-0000-00003D030000}"/>
    <cellStyle name="Moeda 3 3 2 3 3 4 2" xfId="38878" xr:uid="{00000000-0005-0000-0000-00003E030000}"/>
    <cellStyle name="Moeda 3 3 2 3 3 5" xfId="30794" xr:uid="{00000000-0005-0000-0000-00003F030000}"/>
    <cellStyle name="Moeda 3 3 2 3 4" xfId="6080" xr:uid="{00000000-0005-0000-0000-000040030000}"/>
    <cellStyle name="Moeda 3 3 2 3 4 2" xfId="7780" xr:uid="{00000000-0005-0000-0000-000041030000}"/>
    <cellStyle name="Moeda 3 3 2 3 4 2 2" xfId="14169" xr:uid="{00000000-0005-0000-0000-000042030000}"/>
    <cellStyle name="Moeda 3 3 2 3 4 2 2 2" xfId="40362" xr:uid="{00000000-0005-0000-0000-000043030000}"/>
    <cellStyle name="Moeda 3 3 2 3 4 2 3" xfId="33976" xr:uid="{00000000-0005-0000-0000-000044030000}"/>
    <cellStyle name="Moeda 3 3 2 3 4 3" xfId="12468" xr:uid="{00000000-0005-0000-0000-000045030000}"/>
    <cellStyle name="Moeda 3 3 2 3 4 3 2" xfId="38661" xr:uid="{00000000-0005-0000-0000-000046030000}"/>
    <cellStyle name="Moeda 3 3 2 3 4 4" xfId="32276" xr:uid="{00000000-0005-0000-0000-000047030000}"/>
    <cellStyle name="Moeda 3 3 2 3 5" xfId="6405" xr:uid="{00000000-0005-0000-0000-000048030000}"/>
    <cellStyle name="Moeda 3 3 2 3 5 2" xfId="12794" xr:uid="{00000000-0005-0000-0000-000049030000}"/>
    <cellStyle name="Moeda 3 3 2 3 5 2 2" xfId="38987" xr:uid="{00000000-0005-0000-0000-00004A030000}"/>
    <cellStyle name="Moeda 3 3 2 3 5 3" xfId="32601" xr:uid="{00000000-0005-0000-0000-00004B030000}"/>
    <cellStyle name="Moeda 3 3 2 3 6" xfId="4702" xr:uid="{00000000-0005-0000-0000-00004C030000}"/>
    <cellStyle name="Moeda 3 3 2 3 6 2" xfId="30902" xr:uid="{00000000-0005-0000-0000-00004D030000}"/>
    <cellStyle name="Moeda 3 3 2 3 7" xfId="11093" xr:uid="{00000000-0005-0000-0000-00004E030000}"/>
    <cellStyle name="Moeda 3 3 2 3 7 2" xfId="37286" xr:uid="{00000000-0005-0000-0000-00004F030000}"/>
    <cellStyle name="Moeda 3 3 2 3 8" xfId="30578" xr:uid="{00000000-0005-0000-0000-000050030000}"/>
    <cellStyle name="Moeda 3 3 2 4" xfId="4311" xr:uid="{00000000-0005-0000-0000-000051030000}"/>
    <cellStyle name="Moeda 3 3 2 4 2" xfId="7712" xr:uid="{00000000-0005-0000-0000-000052030000}"/>
    <cellStyle name="Moeda 3 3 2 4 2 2" xfId="14101" xr:uid="{00000000-0005-0000-0000-000053030000}"/>
    <cellStyle name="Moeda 3 3 2 4 2 2 2" xfId="40294" xr:uid="{00000000-0005-0000-0000-000054030000}"/>
    <cellStyle name="Moeda 3 3 2 4 2 3" xfId="33908" xr:uid="{00000000-0005-0000-0000-000055030000}"/>
    <cellStyle name="Moeda 3 3 2 4 3" xfId="6012" xr:uid="{00000000-0005-0000-0000-000056030000}"/>
    <cellStyle name="Moeda 3 3 2 4 3 2" xfId="32208" xr:uid="{00000000-0005-0000-0000-000057030000}"/>
    <cellStyle name="Moeda 3 3 2 4 4" xfId="12400" xr:uid="{00000000-0005-0000-0000-000058030000}"/>
    <cellStyle name="Moeda 3 3 2 4 4 2" xfId="38593" xr:uid="{00000000-0005-0000-0000-000059030000}"/>
    <cellStyle name="Moeda 3 3 2 4 5" xfId="30511" xr:uid="{00000000-0005-0000-0000-00005A030000}"/>
    <cellStyle name="Moeda 3 3 2 5" xfId="4419" xr:uid="{00000000-0005-0000-0000-00005B030000}"/>
    <cellStyle name="Moeda 3 3 2 5 2" xfId="7821" xr:uid="{00000000-0005-0000-0000-00005C030000}"/>
    <cellStyle name="Moeda 3 3 2 5 2 2" xfId="14210" xr:uid="{00000000-0005-0000-0000-00005D030000}"/>
    <cellStyle name="Moeda 3 3 2 5 2 2 2" xfId="40403" xr:uid="{00000000-0005-0000-0000-00005E030000}"/>
    <cellStyle name="Moeda 3 3 2 5 2 3" xfId="34017" xr:uid="{00000000-0005-0000-0000-00005F030000}"/>
    <cellStyle name="Moeda 3 3 2 5 3" xfId="6121" xr:uid="{00000000-0005-0000-0000-000060030000}"/>
    <cellStyle name="Moeda 3 3 2 5 3 2" xfId="32317" xr:uid="{00000000-0005-0000-0000-000061030000}"/>
    <cellStyle name="Moeda 3 3 2 5 4" xfId="12509" xr:uid="{00000000-0005-0000-0000-000062030000}"/>
    <cellStyle name="Moeda 3 3 2 5 4 2" xfId="38702" xr:uid="{00000000-0005-0000-0000-000063030000}"/>
    <cellStyle name="Moeda 3 3 2 5 5" xfId="30619" xr:uid="{00000000-0005-0000-0000-000064030000}"/>
    <cellStyle name="Moeda 3 3 2 6" xfId="4527" xr:uid="{00000000-0005-0000-0000-000065030000}"/>
    <cellStyle name="Moeda 3 3 2 6 2" xfId="7929" xr:uid="{00000000-0005-0000-0000-000066030000}"/>
    <cellStyle name="Moeda 3 3 2 6 2 2" xfId="14318" xr:uid="{00000000-0005-0000-0000-000067030000}"/>
    <cellStyle name="Moeda 3 3 2 6 2 2 2" xfId="40511" xr:uid="{00000000-0005-0000-0000-000068030000}"/>
    <cellStyle name="Moeda 3 3 2 6 2 3" xfId="34125" xr:uid="{00000000-0005-0000-0000-000069030000}"/>
    <cellStyle name="Moeda 3 3 2 6 3" xfId="6228" xr:uid="{00000000-0005-0000-0000-00006A030000}"/>
    <cellStyle name="Moeda 3 3 2 6 3 2" xfId="32424" xr:uid="{00000000-0005-0000-0000-00006B030000}"/>
    <cellStyle name="Moeda 3 3 2 6 4" xfId="12617" xr:uid="{00000000-0005-0000-0000-00006C030000}"/>
    <cellStyle name="Moeda 3 3 2 6 4 2" xfId="38810" xr:uid="{00000000-0005-0000-0000-00006D030000}"/>
    <cellStyle name="Moeda 3 3 2 6 5" xfId="30727" xr:uid="{00000000-0005-0000-0000-00006E030000}"/>
    <cellStyle name="Moeda 3 3 2 7" xfId="5935" xr:uid="{00000000-0005-0000-0000-00006F030000}"/>
    <cellStyle name="Moeda 3 3 2 7 2" xfId="7635" xr:uid="{00000000-0005-0000-0000-000070030000}"/>
    <cellStyle name="Moeda 3 3 2 7 2 2" xfId="14024" xr:uid="{00000000-0005-0000-0000-000071030000}"/>
    <cellStyle name="Moeda 3 3 2 7 2 2 2" xfId="40217" xr:uid="{00000000-0005-0000-0000-000072030000}"/>
    <cellStyle name="Moeda 3 3 2 7 2 3" xfId="33831" xr:uid="{00000000-0005-0000-0000-000073030000}"/>
    <cellStyle name="Moeda 3 3 2 7 3" xfId="12323" xr:uid="{00000000-0005-0000-0000-000074030000}"/>
    <cellStyle name="Moeda 3 3 2 7 3 2" xfId="38516" xr:uid="{00000000-0005-0000-0000-000075030000}"/>
    <cellStyle name="Moeda 3 3 2 7 4" xfId="32131" xr:uid="{00000000-0005-0000-0000-000076030000}"/>
    <cellStyle name="Moeda 3 3 2 8" xfId="6337" xr:uid="{00000000-0005-0000-0000-000077030000}"/>
    <cellStyle name="Moeda 3 3 2 8 2" xfId="12726" xr:uid="{00000000-0005-0000-0000-000078030000}"/>
    <cellStyle name="Moeda 3 3 2 8 2 2" xfId="38919" xr:uid="{00000000-0005-0000-0000-000079030000}"/>
    <cellStyle name="Moeda 3 3 2 8 3" xfId="32533" xr:uid="{00000000-0005-0000-0000-00007A030000}"/>
    <cellStyle name="Moeda 3 3 2 9" xfId="8029" xr:uid="{00000000-0005-0000-0000-00007B030000}"/>
    <cellStyle name="Moeda 3 3 2 9 2" xfId="14418" xr:uid="{00000000-0005-0000-0000-00007C030000}"/>
    <cellStyle name="Moeda 3 3 2 9 2 2" xfId="40611" xr:uid="{00000000-0005-0000-0000-00007D030000}"/>
    <cellStyle name="Moeda 3 3 2 9 3" xfId="34225" xr:uid="{00000000-0005-0000-0000-00007E030000}"/>
    <cellStyle name="Moeda 3 3 3" xfId="4254" xr:uid="{00000000-0005-0000-0000-00007F030000}"/>
    <cellStyle name="Moeda 3 3 3 2" xfId="4331" xr:uid="{00000000-0005-0000-0000-000080030000}"/>
    <cellStyle name="Moeda 3 3 3 2 2" xfId="7732" xr:uid="{00000000-0005-0000-0000-000081030000}"/>
    <cellStyle name="Moeda 3 3 3 2 2 2" xfId="14121" xr:uid="{00000000-0005-0000-0000-000082030000}"/>
    <cellStyle name="Moeda 3 3 3 2 2 2 2" xfId="40314" xr:uid="{00000000-0005-0000-0000-000083030000}"/>
    <cellStyle name="Moeda 3 3 3 2 2 3" xfId="33928" xr:uid="{00000000-0005-0000-0000-000084030000}"/>
    <cellStyle name="Moeda 3 3 3 2 3" xfId="6032" xr:uid="{00000000-0005-0000-0000-000085030000}"/>
    <cellStyle name="Moeda 3 3 3 2 3 2" xfId="32228" xr:uid="{00000000-0005-0000-0000-000086030000}"/>
    <cellStyle name="Moeda 3 3 3 2 4" xfId="12420" xr:uid="{00000000-0005-0000-0000-000087030000}"/>
    <cellStyle name="Moeda 3 3 3 2 4 2" xfId="38613" xr:uid="{00000000-0005-0000-0000-000088030000}"/>
    <cellStyle name="Moeda 3 3 3 2 5" xfId="30531" xr:uid="{00000000-0005-0000-0000-000089030000}"/>
    <cellStyle name="Moeda 3 3 3 3" xfId="4439" xr:uid="{00000000-0005-0000-0000-00008A030000}"/>
    <cellStyle name="Moeda 3 3 3 3 2" xfId="7841" xr:uid="{00000000-0005-0000-0000-00008B030000}"/>
    <cellStyle name="Moeda 3 3 3 3 2 2" xfId="14230" xr:uid="{00000000-0005-0000-0000-00008C030000}"/>
    <cellStyle name="Moeda 3 3 3 3 2 2 2" xfId="40423" xr:uid="{00000000-0005-0000-0000-00008D030000}"/>
    <cellStyle name="Moeda 3 3 3 3 2 3" xfId="34037" xr:uid="{00000000-0005-0000-0000-00008E030000}"/>
    <cellStyle name="Moeda 3 3 3 3 3" xfId="6141" xr:uid="{00000000-0005-0000-0000-00008F030000}"/>
    <cellStyle name="Moeda 3 3 3 3 3 2" xfId="32337" xr:uid="{00000000-0005-0000-0000-000090030000}"/>
    <cellStyle name="Moeda 3 3 3 3 4" xfId="12529" xr:uid="{00000000-0005-0000-0000-000091030000}"/>
    <cellStyle name="Moeda 3 3 3 3 4 2" xfId="38722" xr:uid="{00000000-0005-0000-0000-000092030000}"/>
    <cellStyle name="Moeda 3 3 3 3 5" xfId="30639" xr:uid="{00000000-0005-0000-0000-000093030000}"/>
    <cellStyle name="Moeda 3 3 3 4" xfId="4547" xr:uid="{00000000-0005-0000-0000-000094030000}"/>
    <cellStyle name="Moeda 3 3 3 4 2" xfId="7949" xr:uid="{00000000-0005-0000-0000-000095030000}"/>
    <cellStyle name="Moeda 3 3 3 4 2 2" xfId="14338" xr:uid="{00000000-0005-0000-0000-000096030000}"/>
    <cellStyle name="Moeda 3 3 3 4 2 2 2" xfId="40531" xr:uid="{00000000-0005-0000-0000-000097030000}"/>
    <cellStyle name="Moeda 3 3 3 4 2 3" xfId="34145" xr:uid="{00000000-0005-0000-0000-000098030000}"/>
    <cellStyle name="Moeda 3 3 3 4 3" xfId="6248" xr:uid="{00000000-0005-0000-0000-000099030000}"/>
    <cellStyle name="Moeda 3 3 3 4 3 2" xfId="32444" xr:uid="{00000000-0005-0000-0000-00009A030000}"/>
    <cellStyle name="Moeda 3 3 3 4 4" xfId="12637" xr:uid="{00000000-0005-0000-0000-00009B030000}"/>
    <cellStyle name="Moeda 3 3 3 4 4 2" xfId="38830" xr:uid="{00000000-0005-0000-0000-00009C030000}"/>
    <cellStyle name="Moeda 3 3 3 4 5" xfId="30747" xr:uid="{00000000-0005-0000-0000-00009D030000}"/>
    <cellStyle name="Moeda 3 3 3 5" xfId="5955" xr:uid="{00000000-0005-0000-0000-00009E030000}"/>
    <cellStyle name="Moeda 3 3 3 5 2" xfId="7655" xr:uid="{00000000-0005-0000-0000-00009F030000}"/>
    <cellStyle name="Moeda 3 3 3 5 2 2" xfId="14044" xr:uid="{00000000-0005-0000-0000-0000A0030000}"/>
    <cellStyle name="Moeda 3 3 3 5 2 2 2" xfId="40237" xr:uid="{00000000-0005-0000-0000-0000A1030000}"/>
    <cellStyle name="Moeda 3 3 3 5 2 3" xfId="33851" xr:uid="{00000000-0005-0000-0000-0000A2030000}"/>
    <cellStyle name="Moeda 3 3 3 5 3" xfId="12343" xr:uid="{00000000-0005-0000-0000-0000A3030000}"/>
    <cellStyle name="Moeda 3 3 3 5 3 2" xfId="38536" xr:uid="{00000000-0005-0000-0000-0000A4030000}"/>
    <cellStyle name="Moeda 3 3 3 5 4" xfId="32151" xr:uid="{00000000-0005-0000-0000-0000A5030000}"/>
    <cellStyle name="Moeda 3 3 3 6" xfId="6357" xr:uid="{00000000-0005-0000-0000-0000A6030000}"/>
    <cellStyle name="Moeda 3 3 3 6 2" xfId="12746" xr:uid="{00000000-0005-0000-0000-0000A7030000}"/>
    <cellStyle name="Moeda 3 3 3 6 2 2" xfId="38939" xr:uid="{00000000-0005-0000-0000-0000A8030000}"/>
    <cellStyle name="Moeda 3 3 3 6 3" xfId="32553" xr:uid="{00000000-0005-0000-0000-0000A9030000}"/>
    <cellStyle name="Moeda 3 3 3 7" xfId="4654" xr:uid="{00000000-0005-0000-0000-0000AA030000}"/>
    <cellStyle name="Moeda 3 3 3 7 2" xfId="30854" xr:uid="{00000000-0005-0000-0000-0000AB030000}"/>
    <cellStyle name="Moeda 3 3 3 8" xfId="11045" xr:uid="{00000000-0005-0000-0000-0000AC030000}"/>
    <cellStyle name="Moeda 3 3 3 8 2" xfId="37238" xr:uid="{00000000-0005-0000-0000-0000AD030000}"/>
    <cellStyle name="Moeda 3 3 3 9" xfId="30454" xr:uid="{00000000-0005-0000-0000-0000AE030000}"/>
    <cellStyle name="Moeda 3 3 4" xfId="4219" xr:uid="{00000000-0005-0000-0000-0000AF030000}"/>
    <cellStyle name="Moeda 3 3 4 2" xfId="4363" xr:uid="{00000000-0005-0000-0000-0000B0030000}"/>
    <cellStyle name="Moeda 3 3 4 2 2" xfId="7764" xr:uid="{00000000-0005-0000-0000-0000B1030000}"/>
    <cellStyle name="Moeda 3 3 4 2 2 2" xfId="14153" xr:uid="{00000000-0005-0000-0000-0000B2030000}"/>
    <cellStyle name="Moeda 3 3 4 2 2 2 2" xfId="40346" xr:uid="{00000000-0005-0000-0000-0000B3030000}"/>
    <cellStyle name="Moeda 3 3 4 2 2 3" xfId="33960" xr:uid="{00000000-0005-0000-0000-0000B4030000}"/>
    <cellStyle name="Moeda 3 3 4 2 3" xfId="6064" xr:uid="{00000000-0005-0000-0000-0000B5030000}"/>
    <cellStyle name="Moeda 3 3 4 2 3 2" xfId="32260" xr:uid="{00000000-0005-0000-0000-0000B6030000}"/>
    <cellStyle name="Moeda 3 3 4 2 4" xfId="12452" xr:uid="{00000000-0005-0000-0000-0000B7030000}"/>
    <cellStyle name="Moeda 3 3 4 2 4 2" xfId="38645" xr:uid="{00000000-0005-0000-0000-0000B8030000}"/>
    <cellStyle name="Moeda 3 3 4 2 5" xfId="30563" xr:uid="{00000000-0005-0000-0000-0000B9030000}"/>
    <cellStyle name="Moeda 3 3 4 3" xfId="4471" xr:uid="{00000000-0005-0000-0000-0000BA030000}"/>
    <cellStyle name="Moeda 3 3 4 3 2" xfId="7873" xr:uid="{00000000-0005-0000-0000-0000BB030000}"/>
    <cellStyle name="Moeda 3 3 4 3 2 2" xfId="14262" xr:uid="{00000000-0005-0000-0000-0000BC030000}"/>
    <cellStyle name="Moeda 3 3 4 3 2 2 2" xfId="40455" xr:uid="{00000000-0005-0000-0000-0000BD030000}"/>
    <cellStyle name="Moeda 3 3 4 3 2 3" xfId="34069" xr:uid="{00000000-0005-0000-0000-0000BE030000}"/>
    <cellStyle name="Moeda 3 3 4 3 3" xfId="6172" xr:uid="{00000000-0005-0000-0000-0000BF030000}"/>
    <cellStyle name="Moeda 3 3 4 3 3 2" xfId="32368" xr:uid="{00000000-0005-0000-0000-0000C0030000}"/>
    <cellStyle name="Moeda 3 3 4 3 4" xfId="12561" xr:uid="{00000000-0005-0000-0000-0000C1030000}"/>
    <cellStyle name="Moeda 3 3 4 3 4 2" xfId="38754" xr:uid="{00000000-0005-0000-0000-0000C2030000}"/>
    <cellStyle name="Moeda 3 3 4 3 5" xfId="30671" xr:uid="{00000000-0005-0000-0000-0000C3030000}"/>
    <cellStyle name="Moeda 3 3 4 4" xfId="4579" xr:uid="{00000000-0005-0000-0000-0000C4030000}"/>
    <cellStyle name="Moeda 3 3 4 4 2" xfId="7981" xr:uid="{00000000-0005-0000-0000-0000C5030000}"/>
    <cellStyle name="Moeda 3 3 4 4 2 2" xfId="14370" xr:uid="{00000000-0005-0000-0000-0000C6030000}"/>
    <cellStyle name="Moeda 3 3 4 4 2 2 2" xfId="40563" xr:uid="{00000000-0005-0000-0000-0000C7030000}"/>
    <cellStyle name="Moeda 3 3 4 4 2 3" xfId="34177" xr:uid="{00000000-0005-0000-0000-0000C8030000}"/>
    <cellStyle name="Moeda 3 3 4 4 3" xfId="6280" xr:uid="{00000000-0005-0000-0000-0000C9030000}"/>
    <cellStyle name="Moeda 3 3 4 4 3 2" xfId="32476" xr:uid="{00000000-0005-0000-0000-0000CA030000}"/>
    <cellStyle name="Moeda 3 3 4 4 4" xfId="12669" xr:uid="{00000000-0005-0000-0000-0000CB030000}"/>
    <cellStyle name="Moeda 3 3 4 4 4 2" xfId="38862" xr:uid="{00000000-0005-0000-0000-0000CC030000}"/>
    <cellStyle name="Moeda 3 3 4 4 5" xfId="30779" xr:uid="{00000000-0005-0000-0000-0000CD030000}"/>
    <cellStyle name="Moeda 3 3 4 5" xfId="5919" xr:uid="{00000000-0005-0000-0000-0000CE030000}"/>
    <cellStyle name="Moeda 3 3 4 5 2" xfId="7619" xr:uid="{00000000-0005-0000-0000-0000CF030000}"/>
    <cellStyle name="Moeda 3 3 4 5 2 2" xfId="14008" xr:uid="{00000000-0005-0000-0000-0000D0030000}"/>
    <cellStyle name="Moeda 3 3 4 5 2 2 2" xfId="40201" xr:uid="{00000000-0005-0000-0000-0000D1030000}"/>
    <cellStyle name="Moeda 3 3 4 5 2 3" xfId="33815" xr:uid="{00000000-0005-0000-0000-0000D2030000}"/>
    <cellStyle name="Moeda 3 3 4 5 3" xfId="12307" xr:uid="{00000000-0005-0000-0000-0000D3030000}"/>
    <cellStyle name="Moeda 3 3 4 5 3 2" xfId="38500" xr:uid="{00000000-0005-0000-0000-0000D4030000}"/>
    <cellStyle name="Moeda 3 3 4 5 4" xfId="32115" xr:uid="{00000000-0005-0000-0000-0000D5030000}"/>
    <cellStyle name="Moeda 3 3 4 6" xfId="6389" xr:uid="{00000000-0005-0000-0000-0000D6030000}"/>
    <cellStyle name="Moeda 3 3 4 6 2" xfId="12778" xr:uid="{00000000-0005-0000-0000-0000D7030000}"/>
    <cellStyle name="Moeda 3 3 4 6 2 2" xfId="38971" xr:uid="{00000000-0005-0000-0000-0000D8030000}"/>
    <cellStyle name="Moeda 3 3 4 6 3" xfId="32585" xr:uid="{00000000-0005-0000-0000-0000D9030000}"/>
    <cellStyle name="Moeda 3 3 4 7" xfId="4686" xr:uid="{00000000-0005-0000-0000-0000DA030000}"/>
    <cellStyle name="Moeda 3 3 4 7 2" xfId="30886" xr:uid="{00000000-0005-0000-0000-0000DB030000}"/>
    <cellStyle name="Moeda 3 3 4 8" xfId="11077" xr:uid="{00000000-0005-0000-0000-0000DC030000}"/>
    <cellStyle name="Moeda 3 3 4 8 2" xfId="37270" xr:uid="{00000000-0005-0000-0000-0000DD030000}"/>
    <cellStyle name="Moeda 3 3 4 9" xfId="30419" xr:uid="{00000000-0005-0000-0000-0000DE030000}"/>
    <cellStyle name="Moeda 3 3 5" xfId="4295" xr:uid="{00000000-0005-0000-0000-0000DF030000}"/>
    <cellStyle name="Moeda 3 3 5 2" xfId="7696" xr:uid="{00000000-0005-0000-0000-0000E0030000}"/>
    <cellStyle name="Moeda 3 3 5 2 2" xfId="14085" xr:uid="{00000000-0005-0000-0000-0000E1030000}"/>
    <cellStyle name="Moeda 3 3 5 2 2 2" xfId="40278" xr:uid="{00000000-0005-0000-0000-0000E2030000}"/>
    <cellStyle name="Moeda 3 3 5 2 3" xfId="33892" xr:uid="{00000000-0005-0000-0000-0000E3030000}"/>
    <cellStyle name="Moeda 3 3 5 3" xfId="5996" xr:uid="{00000000-0005-0000-0000-0000E4030000}"/>
    <cellStyle name="Moeda 3 3 5 3 2" xfId="32192" xr:uid="{00000000-0005-0000-0000-0000E5030000}"/>
    <cellStyle name="Moeda 3 3 5 4" xfId="12384" xr:uid="{00000000-0005-0000-0000-0000E6030000}"/>
    <cellStyle name="Moeda 3 3 5 4 2" xfId="38577" xr:uid="{00000000-0005-0000-0000-0000E7030000}"/>
    <cellStyle name="Moeda 3 3 5 5" xfId="30495" xr:uid="{00000000-0005-0000-0000-0000E8030000}"/>
    <cellStyle name="Moeda 3 3 6" xfId="4403" xr:uid="{00000000-0005-0000-0000-0000E9030000}"/>
    <cellStyle name="Moeda 3 3 6 2" xfId="7805" xr:uid="{00000000-0005-0000-0000-0000EA030000}"/>
    <cellStyle name="Moeda 3 3 6 2 2" xfId="14194" xr:uid="{00000000-0005-0000-0000-0000EB030000}"/>
    <cellStyle name="Moeda 3 3 6 2 2 2" xfId="40387" xr:uid="{00000000-0005-0000-0000-0000EC030000}"/>
    <cellStyle name="Moeda 3 3 6 2 3" xfId="34001" xr:uid="{00000000-0005-0000-0000-0000ED030000}"/>
    <cellStyle name="Moeda 3 3 6 3" xfId="6105" xr:uid="{00000000-0005-0000-0000-0000EE030000}"/>
    <cellStyle name="Moeda 3 3 6 3 2" xfId="32301" xr:uid="{00000000-0005-0000-0000-0000EF030000}"/>
    <cellStyle name="Moeda 3 3 6 4" xfId="12493" xr:uid="{00000000-0005-0000-0000-0000F0030000}"/>
    <cellStyle name="Moeda 3 3 6 4 2" xfId="38686" xr:uid="{00000000-0005-0000-0000-0000F1030000}"/>
    <cellStyle name="Moeda 3 3 6 5" xfId="30603" xr:uid="{00000000-0005-0000-0000-0000F2030000}"/>
    <cellStyle name="Moeda 3 3 7" xfId="4511" xr:uid="{00000000-0005-0000-0000-0000F3030000}"/>
    <cellStyle name="Moeda 3 3 7 2" xfId="7913" xr:uid="{00000000-0005-0000-0000-0000F4030000}"/>
    <cellStyle name="Moeda 3 3 7 2 2" xfId="14302" xr:uid="{00000000-0005-0000-0000-0000F5030000}"/>
    <cellStyle name="Moeda 3 3 7 2 2 2" xfId="40495" xr:uid="{00000000-0005-0000-0000-0000F6030000}"/>
    <cellStyle name="Moeda 3 3 7 2 3" xfId="34109" xr:uid="{00000000-0005-0000-0000-0000F7030000}"/>
    <cellStyle name="Moeda 3 3 7 3" xfId="6212" xr:uid="{00000000-0005-0000-0000-0000F8030000}"/>
    <cellStyle name="Moeda 3 3 7 3 2" xfId="32408" xr:uid="{00000000-0005-0000-0000-0000F9030000}"/>
    <cellStyle name="Moeda 3 3 7 4" xfId="12601" xr:uid="{00000000-0005-0000-0000-0000FA030000}"/>
    <cellStyle name="Moeda 3 3 7 4 2" xfId="38794" xr:uid="{00000000-0005-0000-0000-0000FB030000}"/>
    <cellStyle name="Moeda 3 3 7 5" xfId="30711" xr:uid="{00000000-0005-0000-0000-0000FC030000}"/>
    <cellStyle name="Moeda 3 3 8" xfId="4797" xr:uid="{00000000-0005-0000-0000-0000FD030000}"/>
    <cellStyle name="Moeda 3 3 8 2" xfId="6498" xr:uid="{00000000-0005-0000-0000-0000FE030000}"/>
    <cellStyle name="Moeda 3 3 8 2 2" xfId="12887" xr:uid="{00000000-0005-0000-0000-0000FF030000}"/>
    <cellStyle name="Moeda 3 3 8 2 2 2" xfId="39080" xr:uid="{00000000-0005-0000-0000-000000040000}"/>
    <cellStyle name="Moeda 3 3 8 2 3" xfId="32694" xr:uid="{00000000-0005-0000-0000-000001040000}"/>
    <cellStyle name="Moeda 3 3 8 3" xfId="11186" xr:uid="{00000000-0005-0000-0000-000002040000}"/>
    <cellStyle name="Moeda 3 3 8 3 2" xfId="37379" xr:uid="{00000000-0005-0000-0000-000003040000}"/>
    <cellStyle name="Moeda 3 3 8 4" xfId="30995" xr:uid="{00000000-0005-0000-0000-000004040000}"/>
    <cellStyle name="Moeda 3 3 9" xfId="6321" xr:uid="{00000000-0005-0000-0000-000005040000}"/>
    <cellStyle name="Moeda 3 3 9 2" xfId="12710" xr:uid="{00000000-0005-0000-0000-000006040000}"/>
    <cellStyle name="Moeda 3 3 9 2 2" xfId="38903" xr:uid="{00000000-0005-0000-0000-000007040000}"/>
    <cellStyle name="Moeda 3 3 9 3" xfId="32517" xr:uid="{00000000-0005-0000-0000-000008040000}"/>
    <cellStyle name="Moeda 3 4" xfId="650" xr:uid="{00000000-0005-0000-0000-000009040000}"/>
    <cellStyle name="Moeda 3 4 10" xfId="4624" xr:uid="{00000000-0005-0000-0000-00000A040000}"/>
    <cellStyle name="Moeda 3 4 10 2" xfId="30824" xr:uid="{00000000-0005-0000-0000-00000B040000}"/>
    <cellStyle name="Moeda 3 4 11" xfId="11015" xr:uid="{00000000-0005-0000-0000-00000C040000}"/>
    <cellStyle name="Moeda 3 4 11 2" xfId="37208" xr:uid="{00000000-0005-0000-0000-00000D040000}"/>
    <cellStyle name="Moeda 3 4 2" xfId="4259" xr:uid="{00000000-0005-0000-0000-00000E040000}"/>
    <cellStyle name="Moeda 3 4 2 2" xfId="4336" xr:uid="{00000000-0005-0000-0000-00000F040000}"/>
    <cellStyle name="Moeda 3 4 2 2 2" xfId="7737" xr:uid="{00000000-0005-0000-0000-000010040000}"/>
    <cellStyle name="Moeda 3 4 2 2 2 2" xfId="14126" xr:uid="{00000000-0005-0000-0000-000011040000}"/>
    <cellStyle name="Moeda 3 4 2 2 2 2 2" xfId="40319" xr:uid="{00000000-0005-0000-0000-000012040000}"/>
    <cellStyle name="Moeda 3 4 2 2 2 3" xfId="33933" xr:uid="{00000000-0005-0000-0000-000013040000}"/>
    <cellStyle name="Moeda 3 4 2 2 3" xfId="6037" xr:uid="{00000000-0005-0000-0000-000014040000}"/>
    <cellStyle name="Moeda 3 4 2 2 3 2" xfId="32233" xr:uid="{00000000-0005-0000-0000-000015040000}"/>
    <cellStyle name="Moeda 3 4 2 2 4" xfId="12425" xr:uid="{00000000-0005-0000-0000-000016040000}"/>
    <cellStyle name="Moeda 3 4 2 2 4 2" xfId="38618" xr:uid="{00000000-0005-0000-0000-000017040000}"/>
    <cellStyle name="Moeda 3 4 2 2 5" xfId="30536" xr:uid="{00000000-0005-0000-0000-000018040000}"/>
    <cellStyle name="Moeda 3 4 2 3" xfId="4444" xr:uid="{00000000-0005-0000-0000-000019040000}"/>
    <cellStyle name="Moeda 3 4 2 3 2" xfId="7846" xr:uid="{00000000-0005-0000-0000-00001A040000}"/>
    <cellStyle name="Moeda 3 4 2 3 2 2" xfId="14235" xr:uid="{00000000-0005-0000-0000-00001B040000}"/>
    <cellStyle name="Moeda 3 4 2 3 2 2 2" xfId="40428" xr:uid="{00000000-0005-0000-0000-00001C040000}"/>
    <cellStyle name="Moeda 3 4 2 3 2 3" xfId="34042" xr:uid="{00000000-0005-0000-0000-00001D040000}"/>
    <cellStyle name="Moeda 3 4 2 3 3" xfId="6146" xr:uid="{00000000-0005-0000-0000-00001E040000}"/>
    <cellStyle name="Moeda 3 4 2 3 3 2" xfId="32342" xr:uid="{00000000-0005-0000-0000-00001F040000}"/>
    <cellStyle name="Moeda 3 4 2 3 4" xfId="12534" xr:uid="{00000000-0005-0000-0000-000020040000}"/>
    <cellStyle name="Moeda 3 4 2 3 4 2" xfId="38727" xr:uid="{00000000-0005-0000-0000-000021040000}"/>
    <cellStyle name="Moeda 3 4 2 3 5" xfId="30644" xr:uid="{00000000-0005-0000-0000-000022040000}"/>
    <cellStyle name="Moeda 3 4 2 4" xfId="4552" xr:uid="{00000000-0005-0000-0000-000023040000}"/>
    <cellStyle name="Moeda 3 4 2 4 2" xfId="7954" xr:uid="{00000000-0005-0000-0000-000024040000}"/>
    <cellStyle name="Moeda 3 4 2 4 2 2" xfId="14343" xr:uid="{00000000-0005-0000-0000-000025040000}"/>
    <cellStyle name="Moeda 3 4 2 4 2 2 2" xfId="40536" xr:uid="{00000000-0005-0000-0000-000026040000}"/>
    <cellStyle name="Moeda 3 4 2 4 2 3" xfId="34150" xr:uid="{00000000-0005-0000-0000-000027040000}"/>
    <cellStyle name="Moeda 3 4 2 4 3" xfId="6253" xr:uid="{00000000-0005-0000-0000-000028040000}"/>
    <cellStyle name="Moeda 3 4 2 4 3 2" xfId="32449" xr:uid="{00000000-0005-0000-0000-000029040000}"/>
    <cellStyle name="Moeda 3 4 2 4 4" xfId="12642" xr:uid="{00000000-0005-0000-0000-00002A040000}"/>
    <cellStyle name="Moeda 3 4 2 4 4 2" xfId="38835" xr:uid="{00000000-0005-0000-0000-00002B040000}"/>
    <cellStyle name="Moeda 3 4 2 4 5" xfId="30752" xr:uid="{00000000-0005-0000-0000-00002C040000}"/>
    <cellStyle name="Moeda 3 4 2 5" xfId="5960" xr:uid="{00000000-0005-0000-0000-00002D040000}"/>
    <cellStyle name="Moeda 3 4 2 5 2" xfId="7660" xr:uid="{00000000-0005-0000-0000-00002E040000}"/>
    <cellStyle name="Moeda 3 4 2 5 2 2" xfId="14049" xr:uid="{00000000-0005-0000-0000-00002F040000}"/>
    <cellStyle name="Moeda 3 4 2 5 2 2 2" xfId="40242" xr:uid="{00000000-0005-0000-0000-000030040000}"/>
    <cellStyle name="Moeda 3 4 2 5 2 3" xfId="33856" xr:uid="{00000000-0005-0000-0000-000031040000}"/>
    <cellStyle name="Moeda 3 4 2 5 3" xfId="12348" xr:uid="{00000000-0005-0000-0000-000032040000}"/>
    <cellStyle name="Moeda 3 4 2 5 3 2" xfId="38541" xr:uid="{00000000-0005-0000-0000-000033040000}"/>
    <cellStyle name="Moeda 3 4 2 5 4" xfId="32156" xr:uid="{00000000-0005-0000-0000-000034040000}"/>
    <cellStyle name="Moeda 3 4 2 6" xfId="6362" xr:uid="{00000000-0005-0000-0000-000035040000}"/>
    <cellStyle name="Moeda 3 4 2 6 2" xfId="12751" xr:uid="{00000000-0005-0000-0000-000036040000}"/>
    <cellStyle name="Moeda 3 4 2 6 2 2" xfId="38944" xr:uid="{00000000-0005-0000-0000-000037040000}"/>
    <cellStyle name="Moeda 3 4 2 6 3" xfId="32558" xr:uid="{00000000-0005-0000-0000-000038040000}"/>
    <cellStyle name="Moeda 3 4 2 7" xfId="4659" xr:uid="{00000000-0005-0000-0000-000039040000}"/>
    <cellStyle name="Moeda 3 4 2 7 2" xfId="30859" xr:uid="{00000000-0005-0000-0000-00003A040000}"/>
    <cellStyle name="Moeda 3 4 2 8" xfId="11050" xr:uid="{00000000-0005-0000-0000-00003B040000}"/>
    <cellStyle name="Moeda 3 4 2 8 2" xfId="37243" xr:uid="{00000000-0005-0000-0000-00003C040000}"/>
    <cellStyle name="Moeda 3 4 2 9" xfId="30459" xr:uid="{00000000-0005-0000-0000-00003D040000}"/>
    <cellStyle name="Moeda 3 4 3" xfId="4224" xr:uid="{00000000-0005-0000-0000-00003E040000}"/>
    <cellStyle name="Moeda 3 4 3 2" xfId="4368" xr:uid="{00000000-0005-0000-0000-00003F040000}"/>
    <cellStyle name="Moeda 3 4 3 2 2" xfId="7770" xr:uid="{00000000-0005-0000-0000-000040040000}"/>
    <cellStyle name="Moeda 3 4 3 2 2 2" xfId="14159" xr:uid="{00000000-0005-0000-0000-000041040000}"/>
    <cellStyle name="Moeda 3 4 3 2 2 2 2" xfId="40352" xr:uid="{00000000-0005-0000-0000-000042040000}"/>
    <cellStyle name="Moeda 3 4 3 2 2 3" xfId="33966" xr:uid="{00000000-0005-0000-0000-000043040000}"/>
    <cellStyle name="Moeda 3 4 3 2 3" xfId="6070" xr:uid="{00000000-0005-0000-0000-000044040000}"/>
    <cellStyle name="Moeda 3 4 3 2 3 2" xfId="32266" xr:uid="{00000000-0005-0000-0000-000045040000}"/>
    <cellStyle name="Moeda 3 4 3 2 4" xfId="12458" xr:uid="{00000000-0005-0000-0000-000046040000}"/>
    <cellStyle name="Moeda 3 4 3 2 4 2" xfId="38651" xr:uid="{00000000-0005-0000-0000-000047040000}"/>
    <cellStyle name="Moeda 3 4 3 2 5" xfId="30568" xr:uid="{00000000-0005-0000-0000-000048040000}"/>
    <cellStyle name="Moeda 3 4 3 3" xfId="4476" xr:uid="{00000000-0005-0000-0000-000049040000}"/>
    <cellStyle name="Moeda 3 4 3 3 2" xfId="7878" xr:uid="{00000000-0005-0000-0000-00004A040000}"/>
    <cellStyle name="Moeda 3 4 3 3 2 2" xfId="14267" xr:uid="{00000000-0005-0000-0000-00004B040000}"/>
    <cellStyle name="Moeda 3 4 3 3 2 2 2" xfId="40460" xr:uid="{00000000-0005-0000-0000-00004C040000}"/>
    <cellStyle name="Moeda 3 4 3 3 2 3" xfId="34074" xr:uid="{00000000-0005-0000-0000-00004D040000}"/>
    <cellStyle name="Moeda 3 4 3 3 3" xfId="6177" xr:uid="{00000000-0005-0000-0000-00004E040000}"/>
    <cellStyle name="Moeda 3 4 3 3 3 2" xfId="32373" xr:uid="{00000000-0005-0000-0000-00004F040000}"/>
    <cellStyle name="Moeda 3 4 3 3 4" xfId="12566" xr:uid="{00000000-0005-0000-0000-000050040000}"/>
    <cellStyle name="Moeda 3 4 3 3 4 2" xfId="38759" xr:uid="{00000000-0005-0000-0000-000051040000}"/>
    <cellStyle name="Moeda 3 4 3 3 5" xfId="30676" xr:uid="{00000000-0005-0000-0000-000052040000}"/>
    <cellStyle name="Moeda 3 4 3 4" xfId="4584" xr:uid="{00000000-0005-0000-0000-000053040000}"/>
    <cellStyle name="Moeda 3 4 3 4 2" xfId="7987" xr:uid="{00000000-0005-0000-0000-000054040000}"/>
    <cellStyle name="Moeda 3 4 3 4 2 2" xfId="14376" xr:uid="{00000000-0005-0000-0000-000055040000}"/>
    <cellStyle name="Moeda 3 4 3 4 2 2 2" xfId="40569" xr:uid="{00000000-0005-0000-0000-000056040000}"/>
    <cellStyle name="Moeda 3 4 3 4 2 3" xfId="34183" xr:uid="{00000000-0005-0000-0000-000057040000}"/>
    <cellStyle name="Moeda 3 4 3 4 3" xfId="6286" xr:uid="{00000000-0005-0000-0000-000058040000}"/>
    <cellStyle name="Moeda 3 4 3 4 3 2" xfId="32482" xr:uid="{00000000-0005-0000-0000-000059040000}"/>
    <cellStyle name="Moeda 3 4 3 4 4" xfId="12675" xr:uid="{00000000-0005-0000-0000-00005A040000}"/>
    <cellStyle name="Moeda 3 4 3 4 4 2" xfId="38868" xr:uid="{00000000-0005-0000-0000-00005B040000}"/>
    <cellStyle name="Moeda 3 4 3 4 5" xfId="30784" xr:uid="{00000000-0005-0000-0000-00005C040000}"/>
    <cellStyle name="Moeda 3 4 3 5" xfId="5925" xr:uid="{00000000-0005-0000-0000-00005D040000}"/>
    <cellStyle name="Moeda 3 4 3 5 2" xfId="7625" xr:uid="{00000000-0005-0000-0000-00005E040000}"/>
    <cellStyle name="Moeda 3 4 3 5 2 2" xfId="14014" xr:uid="{00000000-0005-0000-0000-00005F040000}"/>
    <cellStyle name="Moeda 3 4 3 5 2 2 2" xfId="40207" xr:uid="{00000000-0005-0000-0000-000060040000}"/>
    <cellStyle name="Moeda 3 4 3 5 2 3" xfId="33821" xr:uid="{00000000-0005-0000-0000-000061040000}"/>
    <cellStyle name="Moeda 3 4 3 5 3" xfId="12313" xr:uid="{00000000-0005-0000-0000-000062040000}"/>
    <cellStyle name="Moeda 3 4 3 5 3 2" xfId="38506" xr:uid="{00000000-0005-0000-0000-000063040000}"/>
    <cellStyle name="Moeda 3 4 3 5 4" xfId="32121" xr:uid="{00000000-0005-0000-0000-000064040000}"/>
    <cellStyle name="Moeda 3 4 3 6" xfId="6395" xr:uid="{00000000-0005-0000-0000-000065040000}"/>
    <cellStyle name="Moeda 3 4 3 6 2" xfId="12784" xr:uid="{00000000-0005-0000-0000-000066040000}"/>
    <cellStyle name="Moeda 3 4 3 6 2 2" xfId="38977" xr:uid="{00000000-0005-0000-0000-000067040000}"/>
    <cellStyle name="Moeda 3 4 3 6 3" xfId="32591" xr:uid="{00000000-0005-0000-0000-000068040000}"/>
    <cellStyle name="Moeda 3 4 3 7" xfId="4692" xr:uid="{00000000-0005-0000-0000-000069040000}"/>
    <cellStyle name="Moeda 3 4 3 7 2" xfId="30892" xr:uid="{00000000-0005-0000-0000-00006A040000}"/>
    <cellStyle name="Moeda 3 4 3 8" xfId="11083" xr:uid="{00000000-0005-0000-0000-00006B040000}"/>
    <cellStyle name="Moeda 3 4 3 8 2" xfId="37276" xr:uid="{00000000-0005-0000-0000-00006C040000}"/>
    <cellStyle name="Moeda 3 4 3 9" xfId="30424" xr:uid="{00000000-0005-0000-0000-00006D040000}"/>
    <cellStyle name="Moeda 3 4 4" xfId="4301" xr:uid="{00000000-0005-0000-0000-00006E040000}"/>
    <cellStyle name="Moeda 3 4 4 2" xfId="7702" xr:uid="{00000000-0005-0000-0000-00006F040000}"/>
    <cellStyle name="Moeda 3 4 4 2 2" xfId="14091" xr:uid="{00000000-0005-0000-0000-000070040000}"/>
    <cellStyle name="Moeda 3 4 4 2 2 2" xfId="40284" xr:uid="{00000000-0005-0000-0000-000071040000}"/>
    <cellStyle name="Moeda 3 4 4 2 3" xfId="33898" xr:uid="{00000000-0005-0000-0000-000072040000}"/>
    <cellStyle name="Moeda 3 4 4 3" xfId="6002" xr:uid="{00000000-0005-0000-0000-000073040000}"/>
    <cellStyle name="Moeda 3 4 4 3 2" xfId="32198" xr:uid="{00000000-0005-0000-0000-000074040000}"/>
    <cellStyle name="Moeda 3 4 4 4" xfId="12390" xr:uid="{00000000-0005-0000-0000-000075040000}"/>
    <cellStyle name="Moeda 3 4 4 4 2" xfId="38583" xr:uid="{00000000-0005-0000-0000-000076040000}"/>
    <cellStyle name="Moeda 3 4 4 5" xfId="30501" xr:uid="{00000000-0005-0000-0000-000077040000}"/>
    <cellStyle name="Moeda 3 4 5" xfId="4409" xr:uid="{00000000-0005-0000-0000-000078040000}"/>
    <cellStyle name="Moeda 3 4 5 2" xfId="7811" xr:uid="{00000000-0005-0000-0000-000079040000}"/>
    <cellStyle name="Moeda 3 4 5 2 2" xfId="14200" xr:uid="{00000000-0005-0000-0000-00007A040000}"/>
    <cellStyle name="Moeda 3 4 5 2 2 2" xfId="40393" xr:uid="{00000000-0005-0000-0000-00007B040000}"/>
    <cellStyle name="Moeda 3 4 5 2 3" xfId="34007" xr:uid="{00000000-0005-0000-0000-00007C040000}"/>
    <cellStyle name="Moeda 3 4 5 3" xfId="6111" xr:uid="{00000000-0005-0000-0000-00007D040000}"/>
    <cellStyle name="Moeda 3 4 5 3 2" xfId="32307" xr:uid="{00000000-0005-0000-0000-00007E040000}"/>
    <cellStyle name="Moeda 3 4 5 4" xfId="12499" xr:uid="{00000000-0005-0000-0000-00007F040000}"/>
    <cellStyle name="Moeda 3 4 5 4 2" xfId="38692" xr:uid="{00000000-0005-0000-0000-000080040000}"/>
    <cellStyle name="Moeda 3 4 5 5" xfId="30609" xr:uid="{00000000-0005-0000-0000-000081040000}"/>
    <cellStyle name="Moeda 3 4 6" xfId="4517" xr:uid="{00000000-0005-0000-0000-000082040000}"/>
    <cellStyle name="Moeda 3 4 6 2" xfId="7919" xr:uid="{00000000-0005-0000-0000-000083040000}"/>
    <cellStyle name="Moeda 3 4 6 2 2" xfId="14308" xr:uid="{00000000-0005-0000-0000-000084040000}"/>
    <cellStyle name="Moeda 3 4 6 2 2 2" xfId="40501" xr:uid="{00000000-0005-0000-0000-000085040000}"/>
    <cellStyle name="Moeda 3 4 6 2 3" xfId="34115" xr:uid="{00000000-0005-0000-0000-000086040000}"/>
    <cellStyle name="Moeda 3 4 6 3" xfId="6218" xr:uid="{00000000-0005-0000-0000-000087040000}"/>
    <cellStyle name="Moeda 3 4 6 3 2" xfId="32414" xr:uid="{00000000-0005-0000-0000-000088040000}"/>
    <cellStyle name="Moeda 3 4 6 4" xfId="12607" xr:uid="{00000000-0005-0000-0000-000089040000}"/>
    <cellStyle name="Moeda 3 4 6 4 2" xfId="38800" xr:uid="{00000000-0005-0000-0000-00008A040000}"/>
    <cellStyle name="Moeda 3 4 6 5" xfId="30717" xr:uid="{00000000-0005-0000-0000-00008B040000}"/>
    <cellStyle name="Moeda 3 4 7" xfId="4886" xr:uid="{00000000-0005-0000-0000-00008C040000}"/>
    <cellStyle name="Moeda 3 4 7 2" xfId="8264" xr:uid="{00000000-0005-0000-0000-00008D040000}"/>
    <cellStyle name="Moeda 3 4 7 2 2" xfId="26478" xr:uid="{00000000-0005-0000-0000-00008E040000}"/>
    <cellStyle name="Moeda 3 4 7 2 3" xfId="20564" xr:uid="{00000000-0005-0000-0000-00008F040000}"/>
    <cellStyle name="Moeda 3 4 7 3" xfId="23521" xr:uid="{00000000-0005-0000-0000-000090040000}"/>
    <cellStyle name="Moeda 3 4 7 4" xfId="17607" xr:uid="{00000000-0005-0000-0000-000091040000}"/>
    <cellStyle name="Moeda 3 4 8" xfId="6327" xr:uid="{00000000-0005-0000-0000-000092040000}"/>
    <cellStyle name="Moeda 3 4 8 2" xfId="12716" xr:uid="{00000000-0005-0000-0000-000093040000}"/>
    <cellStyle name="Moeda 3 4 8 2 2" xfId="38909" xr:uid="{00000000-0005-0000-0000-000094040000}"/>
    <cellStyle name="Moeda 3 4 8 3" xfId="32523" xr:uid="{00000000-0005-0000-0000-000095040000}"/>
    <cellStyle name="Moeda 3 4 9" xfId="8019" xr:uid="{00000000-0005-0000-0000-000096040000}"/>
    <cellStyle name="Moeda 3 4 9 2" xfId="14408" xr:uid="{00000000-0005-0000-0000-000097040000}"/>
    <cellStyle name="Moeda 3 4 9 2 2" xfId="40601" xr:uid="{00000000-0005-0000-0000-000098040000}"/>
    <cellStyle name="Moeda 3 4 9 3" xfId="34215" xr:uid="{00000000-0005-0000-0000-000099040000}"/>
    <cellStyle name="Moeda 3 5" xfId="4209" xr:uid="{00000000-0005-0000-0000-00009A040000}"/>
    <cellStyle name="Moeda 3 5 2" xfId="4285" xr:uid="{00000000-0005-0000-0000-00009B040000}"/>
    <cellStyle name="Moeda 3 5 2 2" xfId="7686" xr:uid="{00000000-0005-0000-0000-00009C040000}"/>
    <cellStyle name="Moeda 3 5 2 2 2" xfId="14075" xr:uid="{00000000-0005-0000-0000-00009D040000}"/>
    <cellStyle name="Moeda 3 5 2 2 2 2" xfId="40268" xr:uid="{00000000-0005-0000-0000-00009E040000}"/>
    <cellStyle name="Moeda 3 5 2 2 3" xfId="33882" xr:uid="{00000000-0005-0000-0000-00009F040000}"/>
    <cellStyle name="Moeda 3 5 2 3" xfId="5986" xr:uid="{00000000-0005-0000-0000-0000A0040000}"/>
    <cellStyle name="Moeda 3 5 2 3 2" xfId="32182" xr:uid="{00000000-0005-0000-0000-0000A1040000}"/>
    <cellStyle name="Moeda 3 5 2 4" xfId="12374" xr:uid="{00000000-0005-0000-0000-0000A2040000}"/>
    <cellStyle name="Moeda 3 5 2 4 2" xfId="38567" xr:uid="{00000000-0005-0000-0000-0000A3040000}"/>
    <cellStyle name="Moeda 3 5 2 5" xfId="30485" xr:uid="{00000000-0005-0000-0000-0000A4040000}"/>
    <cellStyle name="Moeda 3 5 3" xfId="4393" xr:uid="{00000000-0005-0000-0000-0000A5040000}"/>
    <cellStyle name="Moeda 3 5 3 2" xfId="7795" xr:uid="{00000000-0005-0000-0000-0000A6040000}"/>
    <cellStyle name="Moeda 3 5 3 2 2" xfId="14184" xr:uid="{00000000-0005-0000-0000-0000A7040000}"/>
    <cellStyle name="Moeda 3 5 3 2 2 2" xfId="40377" xr:uid="{00000000-0005-0000-0000-0000A8040000}"/>
    <cellStyle name="Moeda 3 5 3 2 3" xfId="33991" xr:uid="{00000000-0005-0000-0000-0000A9040000}"/>
    <cellStyle name="Moeda 3 5 3 3" xfId="6095" xr:uid="{00000000-0005-0000-0000-0000AA040000}"/>
    <cellStyle name="Moeda 3 5 3 3 2" xfId="32291" xr:uid="{00000000-0005-0000-0000-0000AB040000}"/>
    <cellStyle name="Moeda 3 5 3 4" xfId="12483" xr:uid="{00000000-0005-0000-0000-0000AC040000}"/>
    <cellStyle name="Moeda 3 5 3 4 2" xfId="38676" xr:uid="{00000000-0005-0000-0000-0000AD040000}"/>
    <cellStyle name="Moeda 3 5 3 5" xfId="30593" xr:uid="{00000000-0005-0000-0000-0000AE040000}"/>
    <cellStyle name="Moeda 3 5 4" xfId="4501" xr:uid="{00000000-0005-0000-0000-0000AF040000}"/>
    <cellStyle name="Moeda 3 5 4 2" xfId="7903" xr:uid="{00000000-0005-0000-0000-0000B0040000}"/>
    <cellStyle name="Moeda 3 5 4 2 2" xfId="14292" xr:uid="{00000000-0005-0000-0000-0000B1040000}"/>
    <cellStyle name="Moeda 3 5 4 2 2 2" xfId="40485" xr:uid="{00000000-0005-0000-0000-0000B2040000}"/>
    <cellStyle name="Moeda 3 5 4 2 3" xfId="34099" xr:uid="{00000000-0005-0000-0000-0000B3040000}"/>
    <cellStyle name="Moeda 3 5 4 3" xfId="6202" xr:uid="{00000000-0005-0000-0000-0000B4040000}"/>
    <cellStyle name="Moeda 3 5 4 3 2" xfId="32398" xr:uid="{00000000-0005-0000-0000-0000B5040000}"/>
    <cellStyle name="Moeda 3 5 4 4" xfId="12591" xr:uid="{00000000-0005-0000-0000-0000B6040000}"/>
    <cellStyle name="Moeda 3 5 4 4 2" xfId="38784" xr:uid="{00000000-0005-0000-0000-0000B7040000}"/>
    <cellStyle name="Moeda 3 5 4 5" xfId="30701" xr:uid="{00000000-0005-0000-0000-0000B8040000}"/>
    <cellStyle name="Moeda 3 5 5" xfId="5910" xr:uid="{00000000-0005-0000-0000-0000B9040000}"/>
    <cellStyle name="Moeda 3 5 5 2" xfId="7609" xr:uid="{00000000-0005-0000-0000-0000BA040000}"/>
    <cellStyle name="Moeda 3 5 5 2 2" xfId="13998" xr:uid="{00000000-0005-0000-0000-0000BB040000}"/>
    <cellStyle name="Moeda 3 5 5 2 2 2" xfId="40191" xr:uid="{00000000-0005-0000-0000-0000BC040000}"/>
    <cellStyle name="Moeda 3 5 5 2 3" xfId="33805" xr:uid="{00000000-0005-0000-0000-0000BD040000}"/>
    <cellStyle name="Moeda 3 5 5 3" xfId="12297" xr:uid="{00000000-0005-0000-0000-0000BE040000}"/>
    <cellStyle name="Moeda 3 5 5 3 2" xfId="38490" xr:uid="{00000000-0005-0000-0000-0000BF040000}"/>
    <cellStyle name="Moeda 3 5 5 4" xfId="32106" xr:uid="{00000000-0005-0000-0000-0000C0040000}"/>
    <cellStyle name="Moeda 3 5 6" xfId="6311" xr:uid="{00000000-0005-0000-0000-0000C1040000}"/>
    <cellStyle name="Moeda 3 5 6 2" xfId="12700" xr:uid="{00000000-0005-0000-0000-0000C2040000}"/>
    <cellStyle name="Moeda 3 5 6 2 2" xfId="38893" xr:uid="{00000000-0005-0000-0000-0000C3040000}"/>
    <cellStyle name="Moeda 3 5 6 3" xfId="32507" xr:uid="{00000000-0005-0000-0000-0000C4040000}"/>
    <cellStyle name="Moeda 3 5 7" xfId="4609" xr:uid="{00000000-0005-0000-0000-0000C5040000}"/>
    <cellStyle name="Moeda 3 5 7 2" xfId="30809" xr:uid="{00000000-0005-0000-0000-0000C6040000}"/>
    <cellStyle name="Moeda 3 5 8" xfId="11000" xr:uid="{00000000-0005-0000-0000-0000C7040000}"/>
    <cellStyle name="Moeda 3 5 8 2" xfId="37193" xr:uid="{00000000-0005-0000-0000-0000C8040000}"/>
    <cellStyle name="Moeda 3 5 9" xfId="30409" xr:uid="{00000000-0005-0000-0000-0000C9040000}"/>
    <cellStyle name="Moeda 3 6" xfId="4239" xr:uid="{00000000-0005-0000-0000-0000CA040000}"/>
    <cellStyle name="Moeda 3 6 2" xfId="4316" xr:uid="{00000000-0005-0000-0000-0000CB040000}"/>
    <cellStyle name="Moeda 3 6 2 2" xfId="7717" xr:uid="{00000000-0005-0000-0000-0000CC040000}"/>
    <cellStyle name="Moeda 3 6 2 2 2" xfId="14106" xr:uid="{00000000-0005-0000-0000-0000CD040000}"/>
    <cellStyle name="Moeda 3 6 2 2 2 2" xfId="40299" xr:uid="{00000000-0005-0000-0000-0000CE040000}"/>
    <cellStyle name="Moeda 3 6 2 2 3" xfId="33913" xr:uid="{00000000-0005-0000-0000-0000CF040000}"/>
    <cellStyle name="Moeda 3 6 2 3" xfId="6017" xr:uid="{00000000-0005-0000-0000-0000D0040000}"/>
    <cellStyle name="Moeda 3 6 2 3 2" xfId="32213" xr:uid="{00000000-0005-0000-0000-0000D1040000}"/>
    <cellStyle name="Moeda 3 6 2 4" xfId="12405" xr:uid="{00000000-0005-0000-0000-0000D2040000}"/>
    <cellStyle name="Moeda 3 6 2 4 2" xfId="38598" xr:uid="{00000000-0005-0000-0000-0000D3040000}"/>
    <cellStyle name="Moeda 3 6 2 5" xfId="30516" xr:uid="{00000000-0005-0000-0000-0000D4040000}"/>
    <cellStyle name="Moeda 3 6 3" xfId="4424" xr:uid="{00000000-0005-0000-0000-0000D5040000}"/>
    <cellStyle name="Moeda 3 6 3 2" xfId="7826" xr:uid="{00000000-0005-0000-0000-0000D6040000}"/>
    <cellStyle name="Moeda 3 6 3 2 2" xfId="14215" xr:uid="{00000000-0005-0000-0000-0000D7040000}"/>
    <cellStyle name="Moeda 3 6 3 2 2 2" xfId="40408" xr:uid="{00000000-0005-0000-0000-0000D8040000}"/>
    <cellStyle name="Moeda 3 6 3 2 3" xfId="34022" xr:uid="{00000000-0005-0000-0000-0000D9040000}"/>
    <cellStyle name="Moeda 3 6 3 3" xfId="6126" xr:uid="{00000000-0005-0000-0000-0000DA040000}"/>
    <cellStyle name="Moeda 3 6 3 3 2" xfId="32322" xr:uid="{00000000-0005-0000-0000-0000DB040000}"/>
    <cellStyle name="Moeda 3 6 3 4" xfId="12514" xr:uid="{00000000-0005-0000-0000-0000DC040000}"/>
    <cellStyle name="Moeda 3 6 3 4 2" xfId="38707" xr:uid="{00000000-0005-0000-0000-0000DD040000}"/>
    <cellStyle name="Moeda 3 6 3 5" xfId="30624" xr:uid="{00000000-0005-0000-0000-0000DE040000}"/>
    <cellStyle name="Moeda 3 6 4" xfId="4532" xr:uid="{00000000-0005-0000-0000-0000DF040000}"/>
    <cellStyle name="Moeda 3 6 4 2" xfId="7934" xr:uid="{00000000-0005-0000-0000-0000E0040000}"/>
    <cellStyle name="Moeda 3 6 4 2 2" xfId="14323" xr:uid="{00000000-0005-0000-0000-0000E1040000}"/>
    <cellStyle name="Moeda 3 6 4 2 2 2" xfId="40516" xr:uid="{00000000-0005-0000-0000-0000E2040000}"/>
    <cellStyle name="Moeda 3 6 4 2 3" xfId="34130" xr:uid="{00000000-0005-0000-0000-0000E3040000}"/>
    <cellStyle name="Moeda 3 6 4 3" xfId="6233" xr:uid="{00000000-0005-0000-0000-0000E4040000}"/>
    <cellStyle name="Moeda 3 6 4 3 2" xfId="32429" xr:uid="{00000000-0005-0000-0000-0000E5040000}"/>
    <cellStyle name="Moeda 3 6 4 4" xfId="12622" xr:uid="{00000000-0005-0000-0000-0000E6040000}"/>
    <cellStyle name="Moeda 3 6 4 4 2" xfId="38815" xr:uid="{00000000-0005-0000-0000-0000E7040000}"/>
    <cellStyle name="Moeda 3 6 4 5" xfId="30732" xr:uid="{00000000-0005-0000-0000-0000E8040000}"/>
    <cellStyle name="Moeda 3 6 5" xfId="5940" xr:uid="{00000000-0005-0000-0000-0000E9040000}"/>
    <cellStyle name="Moeda 3 6 5 2" xfId="7640" xr:uid="{00000000-0005-0000-0000-0000EA040000}"/>
    <cellStyle name="Moeda 3 6 5 2 2" xfId="14029" xr:uid="{00000000-0005-0000-0000-0000EB040000}"/>
    <cellStyle name="Moeda 3 6 5 2 2 2" xfId="40222" xr:uid="{00000000-0005-0000-0000-0000EC040000}"/>
    <cellStyle name="Moeda 3 6 5 2 3" xfId="33836" xr:uid="{00000000-0005-0000-0000-0000ED040000}"/>
    <cellStyle name="Moeda 3 6 5 3" xfId="12328" xr:uid="{00000000-0005-0000-0000-0000EE040000}"/>
    <cellStyle name="Moeda 3 6 5 3 2" xfId="38521" xr:uid="{00000000-0005-0000-0000-0000EF040000}"/>
    <cellStyle name="Moeda 3 6 5 4" xfId="32136" xr:uid="{00000000-0005-0000-0000-0000F0040000}"/>
    <cellStyle name="Moeda 3 6 6" xfId="6342" xr:uid="{00000000-0005-0000-0000-0000F1040000}"/>
    <cellStyle name="Moeda 3 6 6 2" xfId="12731" xr:uid="{00000000-0005-0000-0000-0000F2040000}"/>
    <cellStyle name="Moeda 3 6 6 2 2" xfId="38924" xr:uid="{00000000-0005-0000-0000-0000F3040000}"/>
    <cellStyle name="Moeda 3 6 6 3" xfId="32538" xr:uid="{00000000-0005-0000-0000-0000F4040000}"/>
    <cellStyle name="Moeda 3 6 7" xfId="4639" xr:uid="{00000000-0005-0000-0000-0000F5040000}"/>
    <cellStyle name="Moeda 3 6 7 2" xfId="30839" xr:uid="{00000000-0005-0000-0000-0000F6040000}"/>
    <cellStyle name="Moeda 3 6 8" xfId="11030" xr:uid="{00000000-0005-0000-0000-0000F7040000}"/>
    <cellStyle name="Moeda 3 6 8 2" xfId="37223" xr:uid="{00000000-0005-0000-0000-0000F8040000}"/>
    <cellStyle name="Moeda 3 6 9" xfId="30439" xr:uid="{00000000-0005-0000-0000-0000F9040000}"/>
    <cellStyle name="Moeda 3 7" xfId="4203" xr:uid="{00000000-0005-0000-0000-0000FA040000}"/>
    <cellStyle name="Moeda 3 7 2" xfId="4279" xr:uid="{00000000-0005-0000-0000-0000FB040000}"/>
    <cellStyle name="Moeda 3 7 2 2" xfId="7680" xr:uid="{00000000-0005-0000-0000-0000FC040000}"/>
    <cellStyle name="Moeda 3 7 2 2 2" xfId="14069" xr:uid="{00000000-0005-0000-0000-0000FD040000}"/>
    <cellStyle name="Moeda 3 7 2 2 2 2" xfId="40262" xr:uid="{00000000-0005-0000-0000-0000FE040000}"/>
    <cellStyle name="Moeda 3 7 2 2 3" xfId="33876" xr:uid="{00000000-0005-0000-0000-0000FF040000}"/>
    <cellStyle name="Moeda 3 7 2 3" xfId="5980" xr:uid="{00000000-0005-0000-0000-000000050000}"/>
    <cellStyle name="Moeda 3 7 2 3 2" xfId="32176" xr:uid="{00000000-0005-0000-0000-000001050000}"/>
    <cellStyle name="Moeda 3 7 2 4" xfId="12368" xr:uid="{00000000-0005-0000-0000-000002050000}"/>
    <cellStyle name="Moeda 3 7 2 4 2" xfId="38561" xr:uid="{00000000-0005-0000-0000-000003050000}"/>
    <cellStyle name="Moeda 3 7 2 5" xfId="30479" xr:uid="{00000000-0005-0000-0000-000004050000}"/>
    <cellStyle name="Moeda 3 7 3" xfId="4387" xr:uid="{00000000-0005-0000-0000-000005050000}"/>
    <cellStyle name="Moeda 3 7 3 2" xfId="7789" xr:uid="{00000000-0005-0000-0000-000006050000}"/>
    <cellStyle name="Moeda 3 7 3 2 2" xfId="14178" xr:uid="{00000000-0005-0000-0000-000007050000}"/>
    <cellStyle name="Moeda 3 7 3 2 2 2" xfId="40371" xr:uid="{00000000-0005-0000-0000-000008050000}"/>
    <cellStyle name="Moeda 3 7 3 2 3" xfId="33985" xr:uid="{00000000-0005-0000-0000-000009050000}"/>
    <cellStyle name="Moeda 3 7 3 3" xfId="6089" xr:uid="{00000000-0005-0000-0000-00000A050000}"/>
    <cellStyle name="Moeda 3 7 3 3 2" xfId="32285" xr:uid="{00000000-0005-0000-0000-00000B050000}"/>
    <cellStyle name="Moeda 3 7 3 4" xfId="12477" xr:uid="{00000000-0005-0000-0000-00000C050000}"/>
    <cellStyle name="Moeda 3 7 3 4 2" xfId="38670" xr:uid="{00000000-0005-0000-0000-00000D050000}"/>
    <cellStyle name="Moeda 3 7 3 5" xfId="30587" xr:uid="{00000000-0005-0000-0000-00000E050000}"/>
    <cellStyle name="Moeda 3 7 4" xfId="4495" xr:uid="{00000000-0005-0000-0000-00000F050000}"/>
    <cellStyle name="Moeda 3 7 4 2" xfId="7897" xr:uid="{00000000-0005-0000-0000-000010050000}"/>
    <cellStyle name="Moeda 3 7 4 2 2" xfId="14286" xr:uid="{00000000-0005-0000-0000-000011050000}"/>
    <cellStyle name="Moeda 3 7 4 2 2 2" xfId="40479" xr:uid="{00000000-0005-0000-0000-000012050000}"/>
    <cellStyle name="Moeda 3 7 4 2 3" xfId="34093" xr:uid="{00000000-0005-0000-0000-000013050000}"/>
    <cellStyle name="Moeda 3 7 4 3" xfId="6196" xr:uid="{00000000-0005-0000-0000-000014050000}"/>
    <cellStyle name="Moeda 3 7 4 3 2" xfId="32392" xr:uid="{00000000-0005-0000-0000-000015050000}"/>
    <cellStyle name="Moeda 3 7 4 4" xfId="12585" xr:uid="{00000000-0005-0000-0000-000016050000}"/>
    <cellStyle name="Moeda 3 7 4 4 2" xfId="38778" xr:uid="{00000000-0005-0000-0000-000017050000}"/>
    <cellStyle name="Moeda 3 7 4 5" xfId="30695" xr:uid="{00000000-0005-0000-0000-000018050000}"/>
    <cellStyle name="Moeda 3 7 5" xfId="5904" xr:uid="{00000000-0005-0000-0000-000019050000}"/>
    <cellStyle name="Moeda 3 7 5 2" xfId="7603" xr:uid="{00000000-0005-0000-0000-00001A050000}"/>
    <cellStyle name="Moeda 3 7 5 2 2" xfId="13992" xr:uid="{00000000-0005-0000-0000-00001B050000}"/>
    <cellStyle name="Moeda 3 7 5 2 2 2" xfId="40185" xr:uid="{00000000-0005-0000-0000-00001C050000}"/>
    <cellStyle name="Moeda 3 7 5 2 3" xfId="33799" xr:uid="{00000000-0005-0000-0000-00001D050000}"/>
    <cellStyle name="Moeda 3 7 5 3" xfId="12291" xr:uid="{00000000-0005-0000-0000-00001E050000}"/>
    <cellStyle name="Moeda 3 7 5 3 2" xfId="38484" xr:uid="{00000000-0005-0000-0000-00001F050000}"/>
    <cellStyle name="Moeda 3 7 5 4" xfId="32100" xr:uid="{00000000-0005-0000-0000-000020050000}"/>
    <cellStyle name="Moeda 3 7 6" xfId="6305" xr:uid="{00000000-0005-0000-0000-000021050000}"/>
    <cellStyle name="Moeda 3 7 6 2" xfId="12694" xr:uid="{00000000-0005-0000-0000-000022050000}"/>
    <cellStyle name="Moeda 3 7 6 2 2" xfId="38887" xr:uid="{00000000-0005-0000-0000-000023050000}"/>
    <cellStyle name="Moeda 3 7 6 3" xfId="32501" xr:uid="{00000000-0005-0000-0000-000024050000}"/>
    <cellStyle name="Moeda 3 7 7" xfId="4603" xr:uid="{00000000-0005-0000-0000-000025050000}"/>
    <cellStyle name="Moeda 3 7 7 2" xfId="30803" xr:uid="{00000000-0005-0000-0000-000026050000}"/>
    <cellStyle name="Moeda 3 7 8" xfId="10994" xr:uid="{00000000-0005-0000-0000-000027050000}"/>
    <cellStyle name="Moeda 3 7 8 2" xfId="37187" xr:uid="{00000000-0005-0000-0000-000028050000}"/>
    <cellStyle name="Moeda 3 7 9" xfId="30403" xr:uid="{00000000-0005-0000-0000-000029050000}"/>
    <cellStyle name="Moeda 3 8" xfId="4244" xr:uid="{00000000-0005-0000-0000-00002A050000}"/>
    <cellStyle name="Moeda 3 8 2" xfId="4321" xr:uid="{00000000-0005-0000-0000-00002B050000}"/>
    <cellStyle name="Moeda 3 8 2 2" xfId="7722" xr:uid="{00000000-0005-0000-0000-00002C050000}"/>
    <cellStyle name="Moeda 3 8 2 2 2" xfId="14111" xr:uid="{00000000-0005-0000-0000-00002D050000}"/>
    <cellStyle name="Moeda 3 8 2 2 2 2" xfId="40304" xr:uid="{00000000-0005-0000-0000-00002E050000}"/>
    <cellStyle name="Moeda 3 8 2 2 3" xfId="33918" xr:uid="{00000000-0005-0000-0000-00002F050000}"/>
    <cellStyle name="Moeda 3 8 2 3" xfId="6022" xr:uid="{00000000-0005-0000-0000-000030050000}"/>
    <cellStyle name="Moeda 3 8 2 3 2" xfId="32218" xr:uid="{00000000-0005-0000-0000-000031050000}"/>
    <cellStyle name="Moeda 3 8 2 4" xfId="12410" xr:uid="{00000000-0005-0000-0000-000032050000}"/>
    <cellStyle name="Moeda 3 8 2 4 2" xfId="38603" xr:uid="{00000000-0005-0000-0000-000033050000}"/>
    <cellStyle name="Moeda 3 8 2 5" xfId="30521" xr:uid="{00000000-0005-0000-0000-000034050000}"/>
    <cellStyle name="Moeda 3 8 3" xfId="4429" xr:uid="{00000000-0005-0000-0000-000035050000}"/>
    <cellStyle name="Moeda 3 8 3 2" xfId="7831" xr:uid="{00000000-0005-0000-0000-000036050000}"/>
    <cellStyle name="Moeda 3 8 3 2 2" xfId="14220" xr:uid="{00000000-0005-0000-0000-000037050000}"/>
    <cellStyle name="Moeda 3 8 3 2 2 2" xfId="40413" xr:uid="{00000000-0005-0000-0000-000038050000}"/>
    <cellStyle name="Moeda 3 8 3 2 3" xfId="34027" xr:uid="{00000000-0005-0000-0000-000039050000}"/>
    <cellStyle name="Moeda 3 8 3 3" xfId="6131" xr:uid="{00000000-0005-0000-0000-00003A050000}"/>
    <cellStyle name="Moeda 3 8 3 3 2" xfId="32327" xr:uid="{00000000-0005-0000-0000-00003B050000}"/>
    <cellStyle name="Moeda 3 8 3 4" xfId="12519" xr:uid="{00000000-0005-0000-0000-00003C050000}"/>
    <cellStyle name="Moeda 3 8 3 4 2" xfId="38712" xr:uid="{00000000-0005-0000-0000-00003D050000}"/>
    <cellStyle name="Moeda 3 8 3 5" xfId="30629" xr:uid="{00000000-0005-0000-0000-00003E050000}"/>
    <cellStyle name="Moeda 3 8 4" xfId="4537" xr:uid="{00000000-0005-0000-0000-00003F050000}"/>
    <cellStyle name="Moeda 3 8 4 2" xfId="7939" xr:uid="{00000000-0005-0000-0000-000040050000}"/>
    <cellStyle name="Moeda 3 8 4 2 2" xfId="14328" xr:uid="{00000000-0005-0000-0000-000041050000}"/>
    <cellStyle name="Moeda 3 8 4 2 2 2" xfId="40521" xr:uid="{00000000-0005-0000-0000-000042050000}"/>
    <cellStyle name="Moeda 3 8 4 2 3" xfId="34135" xr:uid="{00000000-0005-0000-0000-000043050000}"/>
    <cellStyle name="Moeda 3 8 4 3" xfId="6238" xr:uid="{00000000-0005-0000-0000-000044050000}"/>
    <cellStyle name="Moeda 3 8 4 3 2" xfId="32434" xr:uid="{00000000-0005-0000-0000-000045050000}"/>
    <cellStyle name="Moeda 3 8 4 4" xfId="12627" xr:uid="{00000000-0005-0000-0000-000046050000}"/>
    <cellStyle name="Moeda 3 8 4 4 2" xfId="38820" xr:uid="{00000000-0005-0000-0000-000047050000}"/>
    <cellStyle name="Moeda 3 8 4 5" xfId="30737" xr:uid="{00000000-0005-0000-0000-000048050000}"/>
    <cellStyle name="Moeda 3 8 5" xfId="5945" xr:uid="{00000000-0005-0000-0000-000049050000}"/>
    <cellStyle name="Moeda 3 8 5 2" xfId="7645" xr:uid="{00000000-0005-0000-0000-00004A050000}"/>
    <cellStyle name="Moeda 3 8 5 2 2" xfId="14034" xr:uid="{00000000-0005-0000-0000-00004B050000}"/>
    <cellStyle name="Moeda 3 8 5 2 2 2" xfId="40227" xr:uid="{00000000-0005-0000-0000-00004C050000}"/>
    <cellStyle name="Moeda 3 8 5 2 3" xfId="33841" xr:uid="{00000000-0005-0000-0000-00004D050000}"/>
    <cellStyle name="Moeda 3 8 5 3" xfId="12333" xr:uid="{00000000-0005-0000-0000-00004E050000}"/>
    <cellStyle name="Moeda 3 8 5 3 2" xfId="38526" xr:uid="{00000000-0005-0000-0000-00004F050000}"/>
    <cellStyle name="Moeda 3 8 5 4" xfId="32141" xr:uid="{00000000-0005-0000-0000-000050050000}"/>
    <cellStyle name="Moeda 3 8 6" xfId="6347" xr:uid="{00000000-0005-0000-0000-000051050000}"/>
    <cellStyle name="Moeda 3 8 6 2" xfId="12736" xr:uid="{00000000-0005-0000-0000-000052050000}"/>
    <cellStyle name="Moeda 3 8 6 2 2" xfId="38929" xr:uid="{00000000-0005-0000-0000-000053050000}"/>
    <cellStyle name="Moeda 3 8 6 3" xfId="32543" xr:uid="{00000000-0005-0000-0000-000054050000}"/>
    <cellStyle name="Moeda 3 8 7" xfId="4644" xr:uid="{00000000-0005-0000-0000-000055050000}"/>
    <cellStyle name="Moeda 3 8 7 2" xfId="30844" xr:uid="{00000000-0005-0000-0000-000056050000}"/>
    <cellStyle name="Moeda 3 8 8" xfId="11035" xr:uid="{00000000-0005-0000-0000-000057050000}"/>
    <cellStyle name="Moeda 3 8 8 2" xfId="37228" xr:uid="{00000000-0005-0000-0000-000058050000}"/>
    <cellStyle name="Moeda 3 8 9" xfId="30444" xr:uid="{00000000-0005-0000-0000-000059050000}"/>
    <cellStyle name="Moeda 3 9" xfId="4197" xr:uid="{00000000-0005-0000-0000-00005A050000}"/>
    <cellStyle name="Moeda 3 9 2" xfId="4353" xr:uid="{00000000-0005-0000-0000-00005B050000}"/>
    <cellStyle name="Moeda 3 9 2 2" xfId="7754" xr:uid="{00000000-0005-0000-0000-00005C050000}"/>
    <cellStyle name="Moeda 3 9 2 2 2" xfId="14143" xr:uid="{00000000-0005-0000-0000-00005D050000}"/>
    <cellStyle name="Moeda 3 9 2 2 2 2" xfId="40336" xr:uid="{00000000-0005-0000-0000-00005E050000}"/>
    <cellStyle name="Moeda 3 9 2 2 3" xfId="33950" xr:uid="{00000000-0005-0000-0000-00005F050000}"/>
    <cellStyle name="Moeda 3 9 2 3" xfId="6054" xr:uid="{00000000-0005-0000-0000-000060050000}"/>
    <cellStyle name="Moeda 3 9 2 3 2" xfId="32250" xr:uid="{00000000-0005-0000-0000-000061050000}"/>
    <cellStyle name="Moeda 3 9 2 4" xfId="12442" xr:uid="{00000000-0005-0000-0000-000062050000}"/>
    <cellStyle name="Moeda 3 9 2 4 2" xfId="38635" xr:uid="{00000000-0005-0000-0000-000063050000}"/>
    <cellStyle name="Moeda 3 9 2 5" xfId="30553" xr:uid="{00000000-0005-0000-0000-000064050000}"/>
    <cellStyle name="Moeda 3 9 3" xfId="4461" xr:uid="{00000000-0005-0000-0000-000065050000}"/>
    <cellStyle name="Moeda 3 9 3 2" xfId="7863" xr:uid="{00000000-0005-0000-0000-000066050000}"/>
    <cellStyle name="Moeda 3 9 3 2 2" xfId="14252" xr:uid="{00000000-0005-0000-0000-000067050000}"/>
    <cellStyle name="Moeda 3 9 3 2 2 2" xfId="40445" xr:uid="{00000000-0005-0000-0000-000068050000}"/>
    <cellStyle name="Moeda 3 9 3 2 3" xfId="34059" xr:uid="{00000000-0005-0000-0000-000069050000}"/>
    <cellStyle name="Moeda 3 9 3 3" xfId="6162" xr:uid="{00000000-0005-0000-0000-00006A050000}"/>
    <cellStyle name="Moeda 3 9 3 3 2" xfId="32358" xr:uid="{00000000-0005-0000-0000-00006B050000}"/>
    <cellStyle name="Moeda 3 9 3 4" xfId="12551" xr:uid="{00000000-0005-0000-0000-00006C050000}"/>
    <cellStyle name="Moeda 3 9 3 4 2" xfId="38744" xr:uid="{00000000-0005-0000-0000-00006D050000}"/>
    <cellStyle name="Moeda 3 9 3 5" xfId="30661" xr:uid="{00000000-0005-0000-0000-00006E050000}"/>
    <cellStyle name="Moeda 3 9 4" xfId="4569" xr:uid="{00000000-0005-0000-0000-00006F050000}"/>
    <cellStyle name="Moeda 3 9 4 2" xfId="7971" xr:uid="{00000000-0005-0000-0000-000070050000}"/>
    <cellStyle name="Moeda 3 9 4 2 2" xfId="14360" xr:uid="{00000000-0005-0000-0000-000071050000}"/>
    <cellStyle name="Moeda 3 9 4 2 2 2" xfId="40553" xr:uid="{00000000-0005-0000-0000-000072050000}"/>
    <cellStyle name="Moeda 3 9 4 2 3" xfId="34167" xr:uid="{00000000-0005-0000-0000-000073050000}"/>
    <cellStyle name="Moeda 3 9 4 3" xfId="6270" xr:uid="{00000000-0005-0000-0000-000074050000}"/>
    <cellStyle name="Moeda 3 9 4 3 2" xfId="32466" xr:uid="{00000000-0005-0000-0000-000075050000}"/>
    <cellStyle name="Moeda 3 9 4 4" xfId="12659" xr:uid="{00000000-0005-0000-0000-000076050000}"/>
    <cellStyle name="Moeda 3 9 4 4 2" xfId="38852" xr:uid="{00000000-0005-0000-0000-000077050000}"/>
    <cellStyle name="Moeda 3 9 4 5" xfId="30769" xr:uid="{00000000-0005-0000-0000-000078050000}"/>
    <cellStyle name="Moeda 3 9 5" xfId="5900" xr:uid="{00000000-0005-0000-0000-000079050000}"/>
    <cellStyle name="Moeda 3 9 5 2" xfId="7599" xr:uid="{00000000-0005-0000-0000-00007A050000}"/>
    <cellStyle name="Moeda 3 9 5 2 2" xfId="13988" xr:uid="{00000000-0005-0000-0000-00007B050000}"/>
    <cellStyle name="Moeda 3 9 5 2 2 2" xfId="40181" xr:uid="{00000000-0005-0000-0000-00007C050000}"/>
    <cellStyle name="Moeda 3 9 5 2 3" xfId="33795" xr:uid="{00000000-0005-0000-0000-00007D050000}"/>
    <cellStyle name="Moeda 3 9 5 3" xfId="12287" xr:uid="{00000000-0005-0000-0000-00007E050000}"/>
    <cellStyle name="Moeda 3 9 5 3 2" xfId="38480" xr:uid="{00000000-0005-0000-0000-00007F050000}"/>
    <cellStyle name="Moeda 3 9 5 4" xfId="32096" xr:uid="{00000000-0005-0000-0000-000080050000}"/>
    <cellStyle name="Moeda 3 9 6" xfId="6379" xr:uid="{00000000-0005-0000-0000-000081050000}"/>
    <cellStyle name="Moeda 3 9 6 2" xfId="12768" xr:uid="{00000000-0005-0000-0000-000082050000}"/>
    <cellStyle name="Moeda 3 9 6 2 2" xfId="38961" xr:uid="{00000000-0005-0000-0000-000083050000}"/>
    <cellStyle name="Moeda 3 9 6 3" xfId="32575" xr:uid="{00000000-0005-0000-0000-000084050000}"/>
    <cellStyle name="Moeda 3 9 7" xfId="4676" xr:uid="{00000000-0005-0000-0000-000085050000}"/>
    <cellStyle name="Moeda 3 9 7 2" xfId="30876" xr:uid="{00000000-0005-0000-0000-000086050000}"/>
    <cellStyle name="Moeda 3 9 8" xfId="11067" xr:uid="{00000000-0005-0000-0000-000087050000}"/>
    <cellStyle name="Moeda 3 9 8 2" xfId="37260" xr:uid="{00000000-0005-0000-0000-000088050000}"/>
    <cellStyle name="Moeda 3 9 9" xfId="30399" xr:uid="{00000000-0005-0000-0000-000089050000}"/>
    <cellStyle name="Moeda 4" xfId="203" xr:uid="{00000000-0005-0000-0000-00008A050000}"/>
    <cellStyle name="Moeda 4 10" xfId="8006" xr:uid="{00000000-0005-0000-0000-00008B050000}"/>
    <cellStyle name="Moeda 4 10 2" xfId="14395" xr:uid="{00000000-0005-0000-0000-00008C050000}"/>
    <cellStyle name="Moeda 4 10 2 2" xfId="40588" xr:uid="{00000000-0005-0000-0000-00008D050000}"/>
    <cellStyle name="Moeda 4 10 3" xfId="34202" xr:uid="{00000000-0005-0000-0000-00008E050000}"/>
    <cellStyle name="Moeda 4 11" xfId="4612" xr:uid="{00000000-0005-0000-0000-00008F050000}"/>
    <cellStyle name="Moeda 4 11 2" xfId="30812" xr:uid="{00000000-0005-0000-0000-000090050000}"/>
    <cellStyle name="Moeda 4 12" xfId="11003" xr:uid="{00000000-0005-0000-0000-000091050000}"/>
    <cellStyle name="Moeda 4 12 2" xfId="37196" xr:uid="{00000000-0005-0000-0000-000092050000}"/>
    <cellStyle name="Moeda 4 13" xfId="29262" xr:uid="{00000000-0005-0000-0000-000093050000}"/>
    <cellStyle name="Moeda 4 2" xfId="1995" xr:uid="{00000000-0005-0000-0000-000094050000}"/>
    <cellStyle name="Moeda 4 2 10" xfId="4627" xr:uid="{00000000-0005-0000-0000-000095050000}"/>
    <cellStyle name="Moeda 4 2 10 2" xfId="30827" xr:uid="{00000000-0005-0000-0000-000096050000}"/>
    <cellStyle name="Moeda 4 2 11" xfId="11018" xr:uid="{00000000-0005-0000-0000-000097050000}"/>
    <cellStyle name="Moeda 4 2 11 2" xfId="37211" xr:uid="{00000000-0005-0000-0000-000098050000}"/>
    <cellStyle name="Moeda 4 2 12" xfId="29780" xr:uid="{00000000-0005-0000-0000-000099050000}"/>
    <cellStyle name="Moeda 4 2 2" xfId="4262" xr:uid="{00000000-0005-0000-0000-00009A050000}"/>
    <cellStyle name="Moeda 4 2 2 2" xfId="4339" xr:uid="{00000000-0005-0000-0000-00009B050000}"/>
    <cellStyle name="Moeda 4 2 2 2 2" xfId="7740" xr:uid="{00000000-0005-0000-0000-00009C050000}"/>
    <cellStyle name="Moeda 4 2 2 2 2 2" xfId="14129" xr:uid="{00000000-0005-0000-0000-00009D050000}"/>
    <cellStyle name="Moeda 4 2 2 2 2 2 2" xfId="40322" xr:uid="{00000000-0005-0000-0000-00009E050000}"/>
    <cellStyle name="Moeda 4 2 2 2 2 3" xfId="33936" xr:uid="{00000000-0005-0000-0000-00009F050000}"/>
    <cellStyle name="Moeda 4 2 2 2 3" xfId="6040" xr:uid="{00000000-0005-0000-0000-0000A0050000}"/>
    <cellStyle name="Moeda 4 2 2 2 3 2" xfId="32236" xr:uid="{00000000-0005-0000-0000-0000A1050000}"/>
    <cellStyle name="Moeda 4 2 2 2 4" xfId="12428" xr:uid="{00000000-0005-0000-0000-0000A2050000}"/>
    <cellStyle name="Moeda 4 2 2 2 4 2" xfId="38621" xr:uid="{00000000-0005-0000-0000-0000A3050000}"/>
    <cellStyle name="Moeda 4 2 2 2 5" xfId="30539" xr:uid="{00000000-0005-0000-0000-0000A4050000}"/>
    <cellStyle name="Moeda 4 2 2 3" xfId="4447" xr:uid="{00000000-0005-0000-0000-0000A5050000}"/>
    <cellStyle name="Moeda 4 2 2 3 2" xfId="7849" xr:uid="{00000000-0005-0000-0000-0000A6050000}"/>
    <cellStyle name="Moeda 4 2 2 3 2 2" xfId="14238" xr:uid="{00000000-0005-0000-0000-0000A7050000}"/>
    <cellStyle name="Moeda 4 2 2 3 2 2 2" xfId="40431" xr:uid="{00000000-0005-0000-0000-0000A8050000}"/>
    <cellStyle name="Moeda 4 2 2 3 2 3" xfId="34045" xr:uid="{00000000-0005-0000-0000-0000A9050000}"/>
    <cellStyle name="Moeda 4 2 2 3 3" xfId="6149" xr:uid="{00000000-0005-0000-0000-0000AA050000}"/>
    <cellStyle name="Moeda 4 2 2 3 3 2" xfId="32345" xr:uid="{00000000-0005-0000-0000-0000AB050000}"/>
    <cellStyle name="Moeda 4 2 2 3 4" xfId="12537" xr:uid="{00000000-0005-0000-0000-0000AC050000}"/>
    <cellStyle name="Moeda 4 2 2 3 4 2" xfId="38730" xr:uid="{00000000-0005-0000-0000-0000AD050000}"/>
    <cellStyle name="Moeda 4 2 2 3 5" xfId="30647" xr:uid="{00000000-0005-0000-0000-0000AE050000}"/>
    <cellStyle name="Moeda 4 2 2 4" xfId="4555" xr:uid="{00000000-0005-0000-0000-0000AF050000}"/>
    <cellStyle name="Moeda 4 2 2 4 2" xfId="7957" xr:uid="{00000000-0005-0000-0000-0000B0050000}"/>
    <cellStyle name="Moeda 4 2 2 4 2 2" xfId="14346" xr:uid="{00000000-0005-0000-0000-0000B1050000}"/>
    <cellStyle name="Moeda 4 2 2 4 2 2 2" xfId="40539" xr:uid="{00000000-0005-0000-0000-0000B2050000}"/>
    <cellStyle name="Moeda 4 2 2 4 2 3" xfId="34153" xr:uid="{00000000-0005-0000-0000-0000B3050000}"/>
    <cellStyle name="Moeda 4 2 2 4 3" xfId="6256" xr:uid="{00000000-0005-0000-0000-0000B4050000}"/>
    <cellStyle name="Moeda 4 2 2 4 3 2" xfId="32452" xr:uid="{00000000-0005-0000-0000-0000B5050000}"/>
    <cellStyle name="Moeda 4 2 2 4 4" xfId="12645" xr:uid="{00000000-0005-0000-0000-0000B6050000}"/>
    <cellStyle name="Moeda 4 2 2 4 4 2" xfId="38838" xr:uid="{00000000-0005-0000-0000-0000B7050000}"/>
    <cellStyle name="Moeda 4 2 2 4 5" xfId="30755" xr:uid="{00000000-0005-0000-0000-0000B8050000}"/>
    <cellStyle name="Moeda 4 2 2 5" xfId="5963" xr:uid="{00000000-0005-0000-0000-0000B9050000}"/>
    <cellStyle name="Moeda 4 2 2 5 2" xfId="7663" xr:uid="{00000000-0005-0000-0000-0000BA050000}"/>
    <cellStyle name="Moeda 4 2 2 5 2 2" xfId="14052" xr:uid="{00000000-0005-0000-0000-0000BB050000}"/>
    <cellStyle name="Moeda 4 2 2 5 2 2 2" xfId="40245" xr:uid="{00000000-0005-0000-0000-0000BC050000}"/>
    <cellStyle name="Moeda 4 2 2 5 2 3" xfId="33859" xr:uid="{00000000-0005-0000-0000-0000BD050000}"/>
    <cellStyle name="Moeda 4 2 2 5 3" xfId="12351" xr:uid="{00000000-0005-0000-0000-0000BE050000}"/>
    <cellStyle name="Moeda 4 2 2 5 3 2" xfId="38544" xr:uid="{00000000-0005-0000-0000-0000BF050000}"/>
    <cellStyle name="Moeda 4 2 2 5 4" xfId="32159" xr:uid="{00000000-0005-0000-0000-0000C0050000}"/>
    <cellStyle name="Moeda 4 2 2 6" xfId="6365" xr:uid="{00000000-0005-0000-0000-0000C1050000}"/>
    <cellStyle name="Moeda 4 2 2 6 2" xfId="12754" xr:uid="{00000000-0005-0000-0000-0000C2050000}"/>
    <cellStyle name="Moeda 4 2 2 6 2 2" xfId="38947" xr:uid="{00000000-0005-0000-0000-0000C3050000}"/>
    <cellStyle name="Moeda 4 2 2 6 3" xfId="32561" xr:uid="{00000000-0005-0000-0000-0000C4050000}"/>
    <cellStyle name="Moeda 4 2 2 7" xfId="4662" xr:uid="{00000000-0005-0000-0000-0000C5050000}"/>
    <cellStyle name="Moeda 4 2 2 7 2" xfId="30862" xr:uid="{00000000-0005-0000-0000-0000C6050000}"/>
    <cellStyle name="Moeda 4 2 2 8" xfId="11053" xr:uid="{00000000-0005-0000-0000-0000C7050000}"/>
    <cellStyle name="Moeda 4 2 2 8 2" xfId="37246" xr:uid="{00000000-0005-0000-0000-0000C8050000}"/>
    <cellStyle name="Moeda 4 2 2 9" xfId="30462" xr:uid="{00000000-0005-0000-0000-0000C9050000}"/>
    <cellStyle name="Moeda 4 2 3" xfId="4227" xr:uid="{00000000-0005-0000-0000-0000CA050000}"/>
    <cellStyle name="Moeda 4 2 3 2" xfId="4371" xr:uid="{00000000-0005-0000-0000-0000CB050000}"/>
    <cellStyle name="Moeda 4 2 3 2 2" xfId="7773" xr:uid="{00000000-0005-0000-0000-0000CC050000}"/>
    <cellStyle name="Moeda 4 2 3 2 2 2" xfId="14162" xr:uid="{00000000-0005-0000-0000-0000CD050000}"/>
    <cellStyle name="Moeda 4 2 3 2 2 2 2" xfId="40355" xr:uid="{00000000-0005-0000-0000-0000CE050000}"/>
    <cellStyle name="Moeda 4 2 3 2 2 3" xfId="33969" xr:uid="{00000000-0005-0000-0000-0000CF050000}"/>
    <cellStyle name="Moeda 4 2 3 2 3" xfId="6073" xr:uid="{00000000-0005-0000-0000-0000D0050000}"/>
    <cellStyle name="Moeda 4 2 3 2 3 2" xfId="32269" xr:uid="{00000000-0005-0000-0000-0000D1050000}"/>
    <cellStyle name="Moeda 4 2 3 2 4" xfId="12461" xr:uid="{00000000-0005-0000-0000-0000D2050000}"/>
    <cellStyle name="Moeda 4 2 3 2 4 2" xfId="38654" xr:uid="{00000000-0005-0000-0000-0000D3050000}"/>
    <cellStyle name="Moeda 4 2 3 2 5" xfId="30571" xr:uid="{00000000-0005-0000-0000-0000D4050000}"/>
    <cellStyle name="Moeda 4 2 3 3" xfId="4479" xr:uid="{00000000-0005-0000-0000-0000D5050000}"/>
    <cellStyle name="Moeda 4 2 3 3 2" xfId="7881" xr:uid="{00000000-0005-0000-0000-0000D6050000}"/>
    <cellStyle name="Moeda 4 2 3 3 2 2" xfId="14270" xr:uid="{00000000-0005-0000-0000-0000D7050000}"/>
    <cellStyle name="Moeda 4 2 3 3 2 2 2" xfId="40463" xr:uid="{00000000-0005-0000-0000-0000D8050000}"/>
    <cellStyle name="Moeda 4 2 3 3 2 3" xfId="34077" xr:uid="{00000000-0005-0000-0000-0000D9050000}"/>
    <cellStyle name="Moeda 4 2 3 3 3" xfId="6180" xr:uid="{00000000-0005-0000-0000-0000DA050000}"/>
    <cellStyle name="Moeda 4 2 3 3 3 2" xfId="32376" xr:uid="{00000000-0005-0000-0000-0000DB050000}"/>
    <cellStyle name="Moeda 4 2 3 3 4" xfId="12569" xr:uid="{00000000-0005-0000-0000-0000DC050000}"/>
    <cellStyle name="Moeda 4 2 3 3 4 2" xfId="38762" xr:uid="{00000000-0005-0000-0000-0000DD050000}"/>
    <cellStyle name="Moeda 4 2 3 3 5" xfId="30679" xr:uid="{00000000-0005-0000-0000-0000DE050000}"/>
    <cellStyle name="Moeda 4 2 3 4" xfId="4587" xr:uid="{00000000-0005-0000-0000-0000DF050000}"/>
    <cellStyle name="Moeda 4 2 3 4 2" xfId="7990" xr:uid="{00000000-0005-0000-0000-0000E0050000}"/>
    <cellStyle name="Moeda 4 2 3 4 2 2" xfId="14379" xr:uid="{00000000-0005-0000-0000-0000E1050000}"/>
    <cellStyle name="Moeda 4 2 3 4 2 2 2" xfId="40572" xr:uid="{00000000-0005-0000-0000-0000E2050000}"/>
    <cellStyle name="Moeda 4 2 3 4 2 3" xfId="34186" xr:uid="{00000000-0005-0000-0000-0000E3050000}"/>
    <cellStyle name="Moeda 4 2 3 4 3" xfId="6289" xr:uid="{00000000-0005-0000-0000-0000E4050000}"/>
    <cellStyle name="Moeda 4 2 3 4 3 2" xfId="32485" xr:uid="{00000000-0005-0000-0000-0000E5050000}"/>
    <cellStyle name="Moeda 4 2 3 4 4" xfId="12678" xr:uid="{00000000-0005-0000-0000-0000E6050000}"/>
    <cellStyle name="Moeda 4 2 3 4 4 2" xfId="38871" xr:uid="{00000000-0005-0000-0000-0000E7050000}"/>
    <cellStyle name="Moeda 4 2 3 4 5" xfId="30787" xr:uid="{00000000-0005-0000-0000-0000E8050000}"/>
    <cellStyle name="Moeda 4 2 3 5" xfId="5928" xr:uid="{00000000-0005-0000-0000-0000E9050000}"/>
    <cellStyle name="Moeda 4 2 3 5 2" xfId="7628" xr:uid="{00000000-0005-0000-0000-0000EA050000}"/>
    <cellStyle name="Moeda 4 2 3 5 2 2" xfId="14017" xr:uid="{00000000-0005-0000-0000-0000EB050000}"/>
    <cellStyle name="Moeda 4 2 3 5 2 2 2" xfId="40210" xr:uid="{00000000-0005-0000-0000-0000EC050000}"/>
    <cellStyle name="Moeda 4 2 3 5 2 3" xfId="33824" xr:uid="{00000000-0005-0000-0000-0000ED050000}"/>
    <cellStyle name="Moeda 4 2 3 5 3" xfId="12316" xr:uid="{00000000-0005-0000-0000-0000EE050000}"/>
    <cellStyle name="Moeda 4 2 3 5 3 2" xfId="38509" xr:uid="{00000000-0005-0000-0000-0000EF050000}"/>
    <cellStyle name="Moeda 4 2 3 5 4" xfId="32124" xr:uid="{00000000-0005-0000-0000-0000F0050000}"/>
    <cellStyle name="Moeda 4 2 3 6" xfId="6398" xr:uid="{00000000-0005-0000-0000-0000F1050000}"/>
    <cellStyle name="Moeda 4 2 3 6 2" xfId="12787" xr:uid="{00000000-0005-0000-0000-0000F2050000}"/>
    <cellStyle name="Moeda 4 2 3 6 2 2" xfId="38980" xr:uid="{00000000-0005-0000-0000-0000F3050000}"/>
    <cellStyle name="Moeda 4 2 3 6 3" xfId="32594" xr:uid="{00000000-0005-0000-0000-0000F4050000}"/>
    <cellStyle name="Moeda 4 2 3 7" xfId="4695" xr:uid="{00000000-0005-0000-0000-0000F5050000}"/>
    <cellStyle name="Moeda 4 2 3 7 2" xfId="30895" xr:uid="{00000000-0005-0000-0000-0000F6050000}"/>
    <cellStyle name="Moeda 4 2 3 8" xfId="11086" xr:uid="{00000000-0005-0000-0000-0000F7050000}"/>
    <cellStyle name="Moeda 4 2 3 8 2" xfId="37279" xr:uid="{00000000-0005-0000-0000-0000F8050000}"/>
    <cellStyle name="Moeda 4 2 3 9" xfId="30427" xr:uid="{00000000-0005-0000-0000-0000F9050000}"/>
    <cellStyle name="Moeda 4 2 4" xfId="4304" xr:uid="{00000000-0005-0000-0000-0000FA050000}"/>
    <cellStyle name="Moeda 4 2 4 2" xfId="7705" xr:uid="{00000000-0005-0000-0000-0000FB050000}"/>
    <cellStyle name="Moeda 4 2 4 2 2" xfId="14094" xr:uid="{00000000-0005-0000-0000-0000FC050000}"/>
    <cellStyle name="Moeda 4 2 4 2 2 2" xfId="40287" xr:uid="{00000000-0005-0000-0000-0000FD050000}"/>
    <cellStyle name="Moeda 4 2 4 2 3" xfId="33901" xr:uid="{00000000-0005-0000-0000-0000FE050000}"/>
    <cellStyle name="Moeda 4 2 4 3" xfId="6005" xr:uid="{00000000-0005-0000-0000-0000FF050000}"/>
    <cellStyle name="Moeda 4 2 4 3 2" xfId="32201" xr:uid="{00000000-0005-0000-0000-000000060000}"/>
    <cellStyle name="Moeda 4 2 4 4" xfId="12393" xr:uid="{00000000-0005-0000-0000-000001060000}"/>
    <cellStyle name="Moeda 4 2 4 4 2" xfId="38586" xr:uid="{00000000-0005-0000-0000-000002060000}"/>
    <cellStyle name="Moeda 4 2 4 5" xfId="30504" xr:uid="{00000000-0005-0000-0000-000003060000}"/>
    <cellStyle name="Moeda 4 2 5" xfId="4412" xr:uid="{00000000-0005-0000-0000-000004060000}"/>
    <cellStyle name="Moeda 4 2 5 2" xfId="7814" xr:uid="{00000000-0005-0000-0000-000005060000}"/>
    <cellStyle name="Moeda 4 2 5 2 2" xfId="14203" xr:uid="{00000000-0005-0000-0000-000006060000}"/>
    <cellStyle name="Moeda 4 2 5 2 2 2" xfId="40396" xr:uid="{00000000-0005-0000-0000-000007060000}"/>
    <cellStyle name="Moeda 4 2 5 2 3" xfId="34010" xr:uid="{00000000-0005-0000-0000-000008060000}"/>
    <cellStyle name="Moeda 4 2 5 3" xfId="6114" xr:uid="{00000000-0005-0000-0000-000009060000}"/>
    <cellStyle name="Moeda 4 2 5 3 2" xfId="32310" xr:uid="{00000000-0005-0000-0000-00000A060000}"/>
    <cellStyle name="Moeda 4 2 5 4" xfId="12502" xr:uid="{00000000-0005-0000-0000-00000B060000}"/>
    <cellStyle name="Moeda 4 2 5 4 2" xfId="38695" xr:uid="{00000000-0005-0000-0000-00000C060000}"/>
    <cellStyle name="Moeda 4 2 5 5" xfId="30612" xr:uid="{00000000-0005-0000-0000-00000D060000}"/>
    <cellStyle name="Moeda 4 2 6" xfId="4520" xr:uid="{00000000-0005-0000-0000-00000E060000}"/>
    <cellStyle name="Moeda 4 2 6 2" xfId="7922" xr:uid="{00000000-0005-0000-0000-00000F060000}"/>
    <cellStyle name="Moeda 4 2 6 2 2" xfId="14311" xr:uid="{00000000-0005-0000-0000-000010060000}"/>
    <cellStyle name="Moeda 4 2 6 2 2 2" xfId="40504" xr:uid="{00000000-0005-0000-0000-000011060000}"/>
    <cellStyle name="Moeda 4 2 6 2 3" xfId="34118" xr:uid="{00000000-0005-0000-0000-000012060000}"/>
    <cellStyle name="Moeda 4 2 6 3" xfId="6221" xr:uid="{00000000-0005-0000-0000-000013060000}"/>
    <cellStyle name="Moeda 4 2 6 3 2" xfId="32417" xr:uid="{00000000-0005-0000-0000-000014060000}"/>
    <cellStyle name="Moeda 4 2 6 4" xfId="12610" xr:uid="{00000000-0005-0000-0000-000015060000}"/>
    <cellStyle name="Moeda 4 2 6 4 2" xfId="38803" xr:uid="{00000000-0005-0000-0000-000016060000}"/>
    <cellStyle name="Moeda 4 2 6 5" xfId="30720" xr:uid="{00000000-0005-0000-0000-000017060000}"/>
    <cellStyle name="Moeda 4 2 7" xfId="5282" xr:uid="{00000000-0005-0000-0000-000018060000}"/>
    <cellStyle name="Moeda 4 2 7 2" xfId="6981" xr:uid="{00000000-0005-0000-0000-000019060000}"/>
    <cellStyle name="Moeda 4 2 7 2 2" xfId="13370" xr:uid="{00000000-0005-0000-0000-00001A060000}"/>
    <cellStyle name="Moeda 4 2 7 2 2 2" xfId="39563" xr:uid="{00000000-0005-0000-0000-00001B060000}"/>
    <cellStyle name="Moeda 4 2 7 2 3" xfId="33177" xr:uid="{00000000-0005-0000-0000-00001C060000}"/>
    <cellStyle name="Moeda 4 2 7 3" xfId="11669" xr:uid="{00000000-0005-0000-0000-00001D060000}"/>
    <cellStyle name="Moeda 4 2 7 3 2" xfId="37862" xr:uid="{00000000-0005-0000-0000-00001E060000}"/>
    <cellStyle name="Moeda 4 2 7 4" xfId="31478" xr:uid="{00000000-0005-0000-0000-00001F060000}"/>
    <cellStyle name="Moeda 4 2 8" xfId="6330" xr:uid="{00000000-0005-0000-0000-000020060000}"/>
    <cellStyle name="Moeda 4 2 8 2" xfId="12719" xr:uid="{00000000-0005-0000-0000-000021060000}"/>
    <cellStyle name="Moeda 4 2 8 2 2" xfId="38912" xr:uid="{00000000-0005-0000-0000-000022060000}"/>
    <cellStyle name="Moeda 4 2 8 3" xfId="32526" xr:uid="{00000000-0005-0000-0000-000023060000}"/>
    <cellStyle name="Moeda 4 2 9" xfId="8022" xr:uid="{00000000-0005-0000-0000-000024060000}"/>
    <cellStyle name="Moeda 4 2 9 2" xfId="14411" xr:uid="{00000000-0005-0000-0000-000025060000}"/>
    <cellStyle name="Moeda 4 2 9 2 2" xfId="40604" xr:uid="{00000000-0005-0000-0000-000026060000}"/>
    <cellStyle name="Moeda 4 2 9 3" xfId="34218" xr:uid="{00000000-0005-0000-0000-000027060000}"/>
    <cellStyle name="Moeda 4 3" xfId="4247" xr:uid="{00000000-0005-0000-0000-000028060000}"/>
    <cellStyle name="Moeda 4 3 2" xfId="4324" xr:uid="{00000000-0005-0000-0000-000029060000}"/>
    <cellStyle name="Moeda 4 3 2 2" xfId="7725" xr:uid="{00000000-0005-0000-0000-00002A060000}"/>
    <cellStyle name="Moeda 4 3 2 2 2" xfId="14114" xr:uid="{00000000-0005-0000-0000-00002B060000}"/>
    <cellStyle name="Moeda 4 3 2 2 2 2" xfId="40307" xr:uid="{00000000-0005-0000-0000-00002C060000}"/>
    <cellStyle name="Moeda 4 3 2 2 3" xfId="33921" xr:uid="{00000000-0005-0000-0000-00002D060000}"/>
    <cellStyle name="Moeda 4 3 2 3" xfId="6025" xr:uid="{00000000-0005-0000-0000-00002E060000}"/>
    <cellStyle name="Moeda 4 3 2 3 2" xfId="32221" xr:uid="{00000000-0005-0000-0000-00002F060000}"/>
    <cellStyle name="Moeda 4 3 2 4" xfId="12413" xr:uid="{00000000-0005-0000-0000-000030060000}"/>
    <cellStyle name="Moeda 4 3 2 4 2" xfId="38606" xr:uid="{00000000-0005-0000-0000-000031060000}"/>
    <cellStyle name="Moeda 4 3 2 5" xfId="30524" xr:uid="{00000000-0005-0000-0000-000032060000}"/>
    <cellStyle name="Moeda 4 3 3" xfId="4432" xr:uid="{00000000-0005-0000-0000-000033060000}"/>
    <cellStyle name="Moeda 4 3 3 2" xfId="7834" xr:uid="{00000000-0005-0000-0000-000034060000}"/>
    <cellStyle name="Moeda 4 3 3 2 2" xfId="14223" xr:uid="{00000000-0005-0000-0000-000035060000}"/>
    <cellStyle name="Moeda 4 3 3 2 2 2" xfId="40416" xr:uid="{00000000-0005-0000-0000-000036060000}"/>
    <cellStyle name="Moeda 4 3 3 2 3" xfId="34030" xr:uid="{00000000-0005-0000-0000-000037060000}"/>
    <cellStyle name="Moeda 4 3 3 3" xfId="6134" xr:uid="{00000000-0005-0000-0000-000038060000}"/>
    <cellStyle name="Moeda 4 3 3 3 2" xfId="32330" xr:uid="{00000000-0005-0000-0000-000039060000}"/>
    <cellStyle name="Moeda 4 3 3 4" xfId="12522" xr:uid="{00000000-0005-0000-0000-00003A060000}"/>
    <cellStyle name="Moeda 4 3 3 4 2" xfId="38715" xr:uid="{00000000-0005-0000-0000-00003B060000}"/>
    <cellStyle name="Moeda 4 3 3 5" xfId="30632" xr:uid="{00000000-0005-0000-0000-00003C060000}"/>
    <cellStyle name="Moeda 4 3 4" xfId="4540" xr:uid="{00000000-0005-0000-0000-00003D060000}"/>
    <cellStyle name="Moeda 4 3 4 2" xfId="7942" xr:uid="{00000000-0005-0000-0000-00003E060000}"/>
    <cellStyle name="Moeda 4 3 4 2 2" xfId="14331" xr:uid="{00000000-0005-0000-0000-00003F060000}"/>
    <cellStyle name="Moeda 4 3 4 2 2 2" xfId="40524" xr:uid="{00000000-0005-0000-0000-000040060000}"/>
    <cellStyle name="Moeda 4 3 4 2 3" xfId="34138" xr:uid="{00000000-0005-0000-0000-000041060000}"/>
    <cellStyle name="Moeda 4 3 4 3" xfId="6241" xr:uid="{00000000-0005-0000-0000-000042060000}"/>
    <cellStyle name="Moeda 4 3 4 3 2" xfId="32437" xr:uid="{00000000-0005-0000-0000-000043060000}"/>
    <cellStyle name="Moeda 4 3 4 4" xfId="12630" xr:uid="{00000000-0005-0000-0000-000044060000}"/>
    <cellStyle name="Moeda 4 3 4 4 2" xfId="38823" xr:uid="{00000000-0005-0000-0000-000045060000}"/>
    <cellStyle name="Moeda 4 3 4 5" xfId="30740" xr:uid="{00000000-0005-0000-0000-000046060000}"/>
    <cellStyle name="Moeda 4 3 5" xfId="5948" xr:uid="{00000000-0005-0000-0000-000047060000}"/>
    <cellStyle name="Moeda 4 3 5 2" xfId="7648" xr:uid="{00000000-0005-0000-0000-000048060000}"/>
    <cellStyle name="Moeda 4 3 5 2 2" xfId="14037" xr:uid="{00000000-0005-0000-0000-000049060000}"/>
    <cellStyle name="Moeda 4 3 5 2 2 2" xfId="40230" xr:uid="{00000000-0005-0000-0000-00004A060000}"/>
    <cellStyle name="Moeda 4 3 5 2 3" xfId="33844" xr:uid="{00000000-0005-0000-0000-00004B060000}"/>
    <cellStyle name="Moeda 4 3 5 3" xfId="12336" xr:uid="{00000000-0005-0000-0000-00004C060000}"/>
    <cellStyle name="Moeda 4 3 5 3 2" xfId="38529" xr:uid="{00000000-0005-0000-0000-00004D060000}"/>
    <cellStyle name="Moeda 4 3 5 4" xfId="32144" xr:uid="{00000000-0005-0000-0000-00004E060000}"/>
    <cellStyle name="Moeda 4 3 6" xfId="6350" xr:uid="{00000000-0005-0000-0000-00004F060000}"/>
    <cellStyle name="Moeda 4 3 6 2" xfId="12739" xr:uid="{00000000-0005-0000-0000-000050060000}"/>
    <cellStyle name="Moeda 4 3 6 2 2" xfId="38932" xr:uid="{00000000-0005-0000-0000-000051060000}"/>
    <cellStyle name="Moeda 4 3 6 3" xfId="32546" xr:uid="{00000000-0005-0000-0000-000052060000}"/>
    <cellStyle name="Moeda 4 3 7" xfId="4647" xr:uid="{00000000-0005-0000-0000-000053060000}"/>
    <cellStyle name="Moeda 4 3 7 2" xfId="30847" xr:uid="{00000000-0005-0000-0000-000054060000}"/>
    <cellStyle name="Moeda 4 3 8" xfId="11038" xr:uid="{00000000-0005-0000-0000-000055060000}"/>
    <cellStyle name="Moeda 4 3 8 2" xfId="37231" xr:uid="{00000000-0005-0000-0000-000056060000}"/>
    <cellStyle name="Moeda 4 3 9" xfId="30447" xr:uid="{00000000-0005-0000-0000-000057060000}"/>
    <cellStyle name="Moeda 4 4" xfId="4212" xr:uid="{00000000-0005-0000-0000-000058060000}"/>
    <cellStyle name="Moeda 4 4 2" xfId="4356" xr:uid="{00000000-0005-0000-0000-000059060000}"/>
    <cellStyle name="Moeda 4 4 2 2" xfId="7757" xr:uid="{00000000-0005-0000-0000-00005A060000}"/>
    <cellStyle name="Moeda 4 4 2 2 2" xfId="14146" xr:uid="{00000000-0005-0000-0000-00005B060000}"/>
    <cellStyle name="Moeda 4 4 2 2 2 2" xfId="40339" xr:uid="{00000000-0005-0000-0000-00005C060000}"/>
    <cellStyle name="Moeda 4 4 2 2 3" xfId="33953" xr:uid="{00000000-0005-0000-0000-00005D060000}"/>
    <cellStyle name="Moeda 4 4 2 3" xfId="6057" xr:uid="{00000000-0005-0000-0000-00005E060000}"/>
    <cellStyle name="Moeda 4 4 2 3 2" xfId="32253" xr:uid="{00000000-0005-0000-0000-00005F060000}"/>
    <cellStyle name="Moeda 4 4 2 4" xfId="12445" xr:uid="{00000000-0005-0000-0000-000060060000}"/>
    <cellStyle name="Moeda 4 4 2 4 2" xfId="38638" xr:uid="{00000000-0005-0000-0000-000061060000}"/>
    <cellStyle name="Moeda 4 4 2 5" xfId="30556" xr:uid="{00000000-0005-0000-0000-000062060000}"/>
    <cellStyle name="Moeda 4 4 3" xfId="4464" xr:uid="{00000000-0005-0000-0000-000063060000}"/>
    <cellStyle name="Moeda 4 4 3 2" xfId="7866" xr:uid="{00000000-0005-0000-0000-000064060000}"/>
    <cellStyle name="Moeda 4 4 3 2 2" xfId="14255" xr:uid="{00000000-0005-0000-0000-000065060000}"/>
    <cellStyle name="Moeda 4 4 3 2 2 2" xfId="40448" xr:uid="{00000000-0005-0000-0000-000066060000}"/>
    <cellStyle name="Moeda 4 4 3 2 3" xfId="34062" xr:uid="{00000000-0005-0000-0000-000067060000}"/>
    <cellStyle name="Moeda 4 4 3 3" xfId="6165" xr:uid="{00000000-0005-0000-0000-000068060000}"/>
    <cellStyle name="Moeda 4 4 3 3 2" xfId="32361" xr:uid="{00000000-0005-0000-0000-000069060000}"/>
    <cellStyle name="Moeda 4 4 3 4" xfId="12554" xr:uid="{00000000-0005-0000-0000-00006A060000}"/>
    <cellStyle name="Moeda 4 4 3 4 2" xfId="38747" xr:uid="{00000000-0005-0000-0000-00006B060000}"/>
    <cellStyle name="Moeda 4 4 3 5" xfId="30664" xr:uid="{00000000-0005-0000-0000-00006C060000}"/>
    <cellStyle name="Moeda 4 4 4" xfId="4572" xr:uid="{00000000-0005-0000-0000-00006D060000}"/>
    <cellStyle name="Moeda 4 4 4 2" xfId="7974" xr:uid="{00000000-0005-0000-0000-00006E060000}"/>
    <cellStyle name="Moeda 4 4 4 2 2" xfId="14363" xr:uid="{00000000-0005-0000-0000-00006F060000}"/>
    <cellStyle name="Moeda 4 4 4 2 2 2" xfId="40556" xr:uid="{00000000-0005-0000-0000-000070060000}"/>
    <cellStyle name="Moeda 4 4 4 2 3" xfId="34170" xr:uid="{00000000-0005-0000-0000-000071060000}"/>
    <cellStyle name="Moeda 4 4 4 3" xfId="6273" xr:uid="{00000000-0005-0000-0000-000072060000}"/>
    <cellStyle name="Moeda 4 4 4 3 2" xfId="32469" xr:uid="{00000000-0005-0000-0000-000073060000}"/>
    <cellStyle name="Moeda 4 4 4 4" xfId="12662" xr:uid="{00000000-0005-0000-0000-000074060000}"/>
    <cellStyle name="Moeda 4 4 4 4 2" xfId="38855" xr:uid="{00000000-0005-0000-0000-000075060000}"/>
    <cellStyle name="Moeda 4 4 4 5" xfId="30772" xr:uid="{00000000-0005-0000-0000-000076060000}"/>
    <cellStyle name="Moeda 4 4 5" xfId="30412" xr:uid="{00000000-0005-0000-0000-000077060000}"/>
    <cellStyle name="Moeda 4 4 5 2" xfId="7612" xr:uid="{00000000-0005-0000-0000-000078060000}"/>
    <cellStyle name="Moeda 4 4 5 2 2" xfId="14001" xr:uid="{00000000-0005-0000-0000-000079060000}"/>
    <cellStyle name="Moeda 4 4 5 2 2 2" xfId="40194" xr:uid="{00000000-0005-0000-0000-00007A060000}"/>
    <cellStyle name="Moeda 4 4 5 2 3" xfId="33808" xr:uid="{00000000-0005-0000-0000-00007B060000}"/>
    <cellStyle name="Moeda 4 4 5 3" xfId="12300" xr:uid="{00000000-0005-0000-0000-00007C060000}"/>
    <cellStyle name="Moeda 4 4 5 3 2" xfId="38493" xr:uid="{00000000-0005-0000-0000-00007D060000}"/>
    <cellStyle name="Moeda 4 4 6" xfId="6382" xr:uid="{00000000-0005-0000-0000-00007E060000}"/>
    <cellStyle name="Moeda 4 4 6 2" xfId="12771" xr:uid="{00000000-0005-0000-0000-00007F060000}"/>
    <cellStyle name="Moeda 4 4 6 2 2" xfId="38964" xr:uid="{00000000-0005-0000-0000-000080060000}"/>
    <cellStyle name="Moeda 4 4 6 3" xfId="32578" xr:uid="{00000000-0005-0000-0000-000081060000}"/>
    <cellStyle name="Moeda 4 4 7" xfId="4679" xr:uid="{00000000-0005-0000-0000-000082060000}"/>
    <cellStyle name="Moeda 4 4 7 2" xfId="30879" xr:uid="{00000000-0005-0000-0000-000083060000}"/>
    <cellStyle name="Moeda 4 4 8" xfId="11070" xr:uid="{00000000-0005-0000-0000-000084060000}"/>
    <cellStyle name="Moeda 4 4 8 2" xfId="37263" xr:uid="{00000000-0005-0000-0000-000085060000}"/>
    <cellStyle name="Moeda 4 5" xfId="4288" xr:uid="{00000000-0005-0000-0000-000086060000}"/>
    <cellStyle name="Moeda 4 5 2" xfId="7689" xr:uid="{00000000-0005-0000-0000-000087060000}"/>
    <cellStyle name="Moeda 4 5 2 2" xfId="14078" xr:uid="{00000000-0005-0000-0000-000088060000}"/>
    <cellStyle name="Moeda 4 5 2 2 2" xfId="40271" xr:uid="{00000000-0005-0000-0000-000089060000}"/>
    <cellStyle name="Moeda 4 5 2 3" xfId="33885" xr:uid="{00000000-0005-0000-0000-00008A060000}"/>
    <cellStyle name="Moeda 4 5 3" xfId="5989" xr:uid="{00000000-0005-0000-0000-00008B060000}"/>
    <cellStyle name="Moeda 4 5 3 2" xfId="32185" xr:uid="{00000000-0005-0000-0000-00008C060000}"/>
    <cellStyle name="Moeda 4 5 4" xfId="12377" xr:uid="{00000000-0005-0000-0000-00008D060000}"/>
    <cellStyle name="Moeda 4 5 4 2" xfId="38570" xr:uid="{00000000-0005-0000-0000-00008E060000}"/>
    <cellStyle name="Moeda 4 5 5" xfId="30488" xr:uid="{00000000-0005-0000-0000-00008F060000}"/>
    <cellStyle name="Moeda 4 6" xfId="4396" xr:uid="{00000000-0005-0000-0000-000090060000}"/>
    <cellStyle name="Moeda 4 6 2" xfId="7798" xr:uid="{00000000-0005-0000-0000-000091060000}"/>
    <cellStyle name="Moeda 4 6 2 2" xfId="14187" xr:uid="{00000000-0005-0000-0000-000092060000}"/>
    <cellStyle name="Moeda 4 6 2 2 2" xfId="40380" xr:uid="{00000000-0005-0000-0000-000093060000}"/>
    <cellStyle name="Moeda 4 6 2 3" xfId="33994" xr:uid="{00000000-0005-0000-0000-000094060000}"/>
    <cellStyle name="Moeda 4 6 3" xfId="6098" xr:uid="{00000000-0005-0000-0000-000095060000}"/>
    <cellStyle name="Moeda 4 6 3 2" xfId="32294" xr:uid="{00000000-0005-0000-0000-000096060000}"/>
    <cellStyle name="Moeda 4 6 4" xfId="12486" xr:uid="{00000000-0005-0000-0000-000097060000}"/>
    <cellStyle name="Moeda 4 6 4 2" xfId="38679" xr:uid="{00000000-0005-0000-0000-000098060000}"/>
    <cellStyle name="Moeda 4 6 5" xfId="30596" xr:uid="{00000000-0005-0000-0000-000099060000}"/>
    <cellStyle name="Moeda 4 7" xfId="4504" xr:uid="{00000000-0005-0000-0000-00009A060000}"/>
    <cellStyle name="Moeda 4 7 2" xfId="7906" xr:uid="{00000000-0005-0000-0000-00009B060000}"/>
    <cellStyle name="Moeda 4 7 2 2" xfId="14295" xr:uid="{00000000-0005-0000-0000-00009C060000}"/>
    <cellStyle name="Moeda 4 7 2 2 2" xfId="40488" xr:uid="{00000000-0005-0000-0000-00009D060000}"/>
    <cellStyle name="Moeda 4 7 2 3" xfId="34102" xr:uid="{00000000-0005-0000-0000-00009E060000}"/>
    <cellStyle name="Moeda 4 7 3" xfId="6205" xr:uid="{00000000-0005-0000-0000-00009F060000}"/>
    <cellStyle name="Moeda 4 7 3 2" xfId="32401" xr:uid="{00000000-0005-0000-0000-0000A0060000}"/>
    <cellStyle name="Moeda 4 7 4" xfId="12594" xr:uid="{00000000-0005-0000-0000-0000A1060000}"/>
    <cellStyle name="Moeda 4 7 4 2" xfId="38787" xr:uid="{00000000-0005-0000-0000-0000A2060000}"/>
    <cellStyle name="Moeda 4 7 5" xfId="30704" xr:uid="{00000000-0005-0000-0000-0000A3060000}"/>
    <cellStyle name="Moeda 4 8" xfId="4761" xr:uid="{00000000-0005-0000-0000-0000A4060000}"/>
    <cellStyle name="Moeda 4 8 2" xfId="6462" xr:uid="{00000000-0005-0000-0000-0000A5060000}"/>
    <cellStyle name="Moeda 4 8 2 2" xfId="12851" xr:uid="{00000000-0005-0000-0000-0000A6060000}"/>
    <cellStyle name="Moeda 4 8 2 2 2" xfId="39044" xr:uid="{00000000-0005-0000-0000-0000A7060000}"/>
    <cellStyle name="Moeda 4 8 2 3" xfId="32658" xr:uid="{00000000-0005-0000-0000-0000A8060000}"/>
    <cellStyle name="Moeda 4 8 3" xfId="11150" xr:uid="{00000000-0005-0000-0000-0000A9060000}"/>
    <cellStyle name="Moeda 4 8 3 2" xfId="37343" xr:uid="{00000000-0005-0000-0000-0000AA060000}"/>
    <cellStyle name="Moeda 4 8 4" xfId="30959" xr:uid="{00000000-0005-0000-0000-0000AB060000}"/>
    <cellStyle name="Moeda 4 9" xfId="6314" xr:uid="{00000000-0005-0000-0000-0000AC060000}"/>
    <cellStyle name="Moeda 4 9 2" xfId="12703" xr:uid="{00000000-0005-0000-0000-0000AD060000}"/>
    <cellStyle name="Moeda 4 9 2 2" xfId="38896" xr:uid="{00000000-0005-0000-0000-0000AE060000}"/>
    <cellStyle name="Moeda 4 9 3" xfId="32510" xr:uid="{00000000-0005-0000-0000-0000AF060000}"/>
    <cellStyle name="Moeda 5" xfId="109" xr:uid="{00000000-0005-0000-0000-0000B0060000}"/>
    <cellStyle name="Moeda 5 10" xfId="8011" xr:uid="{00000000-0005-0000-0000-0000B1060000}"/>
    <cellStyle name="Moeda 5 10 2" xfId="14400" xr:uid="{00000000-0005-0000-0000-0000B2060000}"/>
    <cellStyle name="Moeda 5 10 2 2" xfId="40593" xr:uid="{00000000-0005-0000-0000-0000B3060000}"/>
    <cellStyle name="Moeda 5 10 3" xfId="34207" xr:uid="{00000000-0005-0000-0000-0000B4060000}"/>
    <cellStyle name="Moeda 5 11" xfId="4617" xr:uid="{00000000-0005-0000-0000-0000B5060000}"/>
    <cellStyle name="Moeda 5 11 2" xfId="30817" xr:uid="{00000000-0005-0000-0000-0000B6060000}"/>
    <cellStyle name="Moeda 5 12" xfId="11008" xr:uid="{00000000-0005-0000-0000-0000B7060000}"/>
    <cellStyle name="Moeda 5 12 2" xfId="37201" xr:uid="{00000000-0005-0000-0000-0000B8060000}"/>
    <cellStyle name="Moeda 5 13" xfId="29232" xr:uid="{00000000-0005-0000-0000-0000B9060000}"/>
    <cellStyle name="Moeda 5 2" xfId="298" xr:uid="{00000000-0005-0000-0000-0000BA060000}"/>
    <cellStyle name="Moeda 5 2 10" xfId="4632" xr:uid="{00000000-0005-0000-0000-0000BB060000}"/>
    <cellStyle name="Moeda 5 2 10 2" xfId="30832" xr:uid="{00000000-0005-0000-0000-0000BC060000}"/>
    <cellStyle name="Moeda 5 2 11" xfId="11023" xr:uid="{00000000-0005-0000-0000-0000BD060000}"/>
    <cellStyle name="Moeda 5 2 11 2" xfId="37216" xr:uid="{00000000-0005-0000-0000-0000BE060000}"/>
    <cellStyle name="Moeda 5 2 12" xfId="29292" xr:uid="{00000000-0005-0000-0000-0000BF060000}"/>
    <cellStyle name="Moeda 5 2 2" xfId="4267" xr:uid="{00000000-0005-0000-0000-0000C0060000}"/>
    <cellStyle name="Moeda 5 2 2 2" xfId="4344" xr:uid="{00000000-0005-0000-0000-0000C1060000}"/>
    <cellStyle name="Moeda 5 2 2 2 2" xfId="7745" xr:uid="{00000000-0005-0000-0000-0000C2060000}"/>
    <cellStyle name="Moeda 5 2 2 2 2 2" xfId="14134" xr:uid="{00000000-0005-0000-0000-0000C3060000}"/>
    <cellStyle name="Moeda 5 2 2 2 2 2 2" xfId="40327" xr:uid="{00000000-0005-0000-0000-0000C4060000}"/>
    <cellStyle name="Moeda 5 2 2 2 2 3" xfId="33941" xr:uid="{00000000-0005-0000-0000-0000C5060000}"/>
    <cellStyle name="Moeda 5 2 2 2 3" xfId="6045" xr:uid="{00000000-0005-0000-0000-0000C6060000}"/>
    <cellStyle name="Moeda 5 2 2 2 3 2" xfId="32241" xr:uid="{00000000-0005-0000-0000-0000C7060000}"/>
    <cellStyle name="Moeda 5 2 2 2 4" xfId="12433" xr:uid="{00000000-0005-0000-0000-0000C8060000}"/>
    <cellStyle name="Moeda 5 2 2 2 4 2" xfId="38626" xr:uid="{00000000-0005-0000-0000-0000C9060000}"/>
    <cellStyle name="Moeda 5 2 2 2 5" xfId="30544" xr:uid="{00000000-0005-0000-0000-0000CA060000}"/>
    <cellStyle name="Moeda 5 2 2 3" xfId="4452" xr:uid="{00000000-0005-0000-0000-0000CB060000}"/>
    <cellStyle name="Moeda 5 2 2 3 2" xfId="7854" xr:uid="{00000000-0005-0000-0000-0000CC060000}"/>
    <cellStyle name="Moeda 5 2 2 3 2 2" xfId="14243" xr:uid="{00000000-0005-0000-0000-0000CD060000}"/>
    <cellStyle name="Moeda 5 2 2 3 2 2 2" xfId="40436" xr:uid="{00000000-0005-0000-0000-0000CE060000}"/>
    <cellStyle name="Moeda 5 2 2 3 2 3" xfId="34050" xr:uid="{00000000-0005-0000-0000-0000CF060000}"/>
    <cellStyle name="Moeda 5 2 2 3 3" xfId="6154" xr:uid="{00000000-0005-0000-0000-0000D0060000}"/>
    <cellStyle name="Moeda 5 2 2 3 3 2" xfId="32350" xr:uid="{00000000-0005-0000-0000-0000D1060000}"/>
    <cellStyle name="Moeda 5 2 2 3 4" xfId="12542" xr:uid="{00000000-0005-0000-0000-0000D2060000}"/>
    <cellStyle name="Moeda 5 2 2 3 4 2" xfId="38735" xr:uid="{00000000-0005-0000-0000-0000D3060000}"/>
    <cellStyle name="Moeda 5 2 2 3 5" xfId="30652" xr:uid="{00000000-0005-0000-0000-0000D4060000}"/>
    <cellStyle name="Moeda 5 2 2 4" xfId="4560" xr:uid="{00000000-0005-0000-0000-0000D5060000}"/>
    <cellStyle name="Moeda 5 2 2 4 2" xfId="7962" xr:uid="{00000000-0005-0000-0000-0000D6060000}"/>
    <cellStyle name="Moeda 5 2 2 4 2 2" xfId="14351" xr:uid="{00000000-0005-0000-0000-0000D7060000}"/>
    <cellStyle name="Moeda 5 2 2 4 2 2 2" xfId="40544" xr:uid="{00000000-0005-0000-0000-0000D8060000}"/>
    <cellStyle name="Moeda 5 2 2 4 2 3" xfId="34158" xr:uid="{00000000-0005-0000-0000-0000D9060000}"/>
    <cellStyle name="Moeda 5 2 2 4 3" xfId="6261" xr:uid="{00000000-0005-0000-0000-0000DA060000}"/>
    <cellStyle name="Moeda 5 2 2 4 3 2" xfId="32457" xr:uid="{00000000-0005-0000-0000-0000DB060000}"/>
    <cellStyle name="Moeda 5 2 2 4 4" xfId="12650" xr:uid="{00000000-0005-0000-0000-0000DC060000}"/>
    <cellStyle name="Moeda 5 2 2 4 4 2" xfId="38843" xr:uid="{00000000-0005-0000-0000-0000DD060000}"/>
    <cellStyle name="Moeda 5 2 2 4 5" xfId="30760" xr:uid="{00000000-0005-0000-0000-0000DE060000}"/>
    <cellStyle name="Moeda 5 2 2 5" xfId="5968" xr:uid="{00000000-0005-0000-0000-0000DF060000}"/>
    <cellStyle name="Moeda 5 2 2 5 2" xfId="7668" xr:uid="{00000000-0005-0000-0000-0000E0060000}"/>
    <cellStyle name="Moeda 5 2 2 5 2 2" xfId="14057" xr:uid="{00000000-0005-0000-0000-0000E1060000}"/>
    <cellStyle name="Moeda 5 2 2 5 2 2 2" xfId="40250" xr:uid="{00000000-0005-0000-0000-0000E2060000}"/>
    <cellStyle name="Moeda 5 2 2 5 2 3" xfId="33864" xr:uid="{00000000-0005-0000-0000-0000E3060000}"/>
    <cellStyle name="Moeda 5 2 2 5 3" xfId="12356" xr:uid="{00000000-0005-0000-0000-0000E4060000}"/>
    <cellStyle name="Moeda 5 2 2 5 3 2" xfId="38549" xr:uid="{00000000-0005-0000-0000-0000E5060000}"/>
    <cellStyle name="Moeda 5 2 2 5 4" xfId="32164" xr:uid="{00000000-0005-0000-0000-0000E6060000}"/>
    <cellStyle name="Moeda 5 2 2 6" xfId="6370" xr:uid="{00000000-0005-0000-0000-0000E7060000}"/>
    <cellStyle name="Moeda 5 2 2 6 2" xfId="12759" xr:uid="{00000000-0005-0000-0000-0000E8060000}"/>
    <cellStyle name="Moeda 5 2 2 6 2 2" xfId="38952" xr:uid="{00000000-0005-0000-0000-0000E9060000}"/>
    <cellStyle name="Moeda 5 2 2 6 3" xfId="32566" xr:uid="{00000000-0005-0000-0000-0000EA060000}"/>
    <cellStyle name="Moeda 5 2 2 7" xfId="4667" xr:uid="{00000000-0005-0000-0000-0000EB060000}"/>
    <cellStyle name="Moeda 5 2 2 7 2" xfId="30867" xr:uid="{00000000-0005-0000-0000-0000EC060000}"/>
    <cellStyle name="Moeda 5 2 2 8" xfId="11058" xr:uid="{00000000-0005-0000-0000-0000ED060000}"/>
    <cellStyle name="Moeda 5 2 2 8 2" xfId="37251" xr:uid="{00000000-0005-0000-0000-0000EE060000}"/>
    <cellStyle name="Moeda 5 2 2 9" xfId="30467" xr:uid="{00000000-0005-0000-0000-0000EF060000}"/>
    <cellStyle name="Moeda 5 2 3" xfId="4232" xr:uid="{00000000-0005-0000-0000-0000F0060000}"/>
    <cellStyle name="Moeda 5 2 3 2" xfId="4376" xr:uid="{00000000-0005-0000-0000-0000F1060000}"/>
    <cellStyle name="Moeda 5 2 3 2 2" xfId="7778" xr:uid="{00000000-0005-0000-0000-0000F2060000}"/>
    <cellStyle name="Moeda 5 2 3 2 2 2" xfId="14167" xr:uid="{00000000-0005-0000-0000-0000F3060000}"/>
    <cellStyle name="Moeda 5 2 3 2 2 2 2" xfId="40360" xr:uid="{00000000-0005-0000-0000-0000F4060000}"/>
    <cellStyle name="Moeda 5 2 3 2 2 3" xfId="33974" xr:uid="{00000000-0005-0000-0000-0000F5060000}"/>
    <cellStyle name="Moeda 5 2 3 2 3" xfId="6078" xr:uid="{00000000-0005-0000-0000-0000F6060000}"/>
    <cellStyle name="Moeda 5 2 3 2 3 2" xfId="32274" xr:uid="{00000000-0005-0000-0000-0000F7060000}"/>
    <cellStyle name="Moeda 5 2 3 2 4" xfId="12466" xr:uid="{00000000-0005-0000-0000-0000F8060000}"/>
    <cellStyle name="Moeda 5 2 3 2 4 2" xfId="38659" xr:uid="{00000000-0005-0000-0000-0000F9060000}"/>
    <cellStyle name="Moeda 5 2 3 2 5" xfId="30576" xr:uid="{00000000-0005-0000-0000-0000FA060000}"/>
    <cellStyle name="Moeda 5 2 3 3" xfId="4484" xr:uid="{00000000-0005-0000-0000-0000FB060000}"/>
    <cellStyle name="Moeda 5 2 3 3 2" xfId="7886" xr:uid="{00000000-0005-0000-0000-0000FC060000}"/>
    <cellStyle name="Moeda 5 2 3 3 2 2" xfId="14275" xr:uid="{00000000-0005-0000-0000-0000FD060000}"/>
    <cellStyle name="Moeda 5 2 3 3 2 2 2" xfId="40468" xr:uid="{00000000-0005-0000-0000-0000FE060000}"/>
    <cellStyle name="Moeda 5 2 3 3 2 3" xfId="34082" xr:uid="{00000000-0005-0000-0000-0000FF060000}"/>
    <cellStyle name="Moeda 5 2 3 3 3" xfId="6185" xr:uid="{00000000-0005-0000-0000-000000070000}"/>
    <cellStyle name="Moeda 5 2 3 3 3 2" xfId="32381" xr:uid="{00000000-0005-0000-0000-000001070000}"/>
    <cellStyle name="Moeda 5 2 3 3 4" xfId="12574" xr:uid="{00000000-0005-0000-0000-000002070000}"/>
    <cellStyle name="Moeda 5 2 3 3 4 2" xfId="38767" xr:uid="{00000000-0005-0000-0000-000003070000}"/>
    <cellStyle name="Moeda 5 2 3 3 5" xfId="30684" xr:uid="{00000000-0005-0000-0000-000004070000}"/>
    <cellStyle name="Moeda 5 2 3 4" xfId="4592" xr:uid="{00000000-0005-0000-0000-000005070000}"/>
    <cellStyle name="Moeda 5 2 3 4 2" xfId="7995" xr:uid="{00000000-0005-0000-0000-000006070000}"/>
    <cellStyle name="Moeda 5 2 3 4 2 2" xfId="14384" xr:uid="{00000000-0005-0000-0000-000007070000}"/>
    <cellStyle name="Moeda 5 2 3 4 2 2 2" xfId="40577" xr:uid="{00000000-0005-0000-0000-000008070000}"/>
    <cellStyle name="Moeda 5 2 3 4 2 3" xfId="34191" xr:uid="{00000000-0005-0000-0000-000009070000}"/>
    <cellStyle name="Moeda 5 2 3 4 3" xfId="6294" xr:uid="{00000000-0005-0000-0000-00000A070000}"/>
    <cellStyle name="Moeda 5 2 3 4 3 2" xfId="32490" xr:uid="{00000000-0005-0000-0000-00000B070000}"/>
    <cellStyle name="Moeda 5 2 3 4 4" xfId="12683" xr:uid="{00000000-0005-0000-0000-00000C070000}"/>
    <cellStyle name="Moeda 5 2 3 4 4 2" xfId="38876" xr:uid="{00000000-0005-0000-0000-00000D070000}"/>
    <cellStyle name="Moeda 5 2 3 4 5" xfId="30792" xr:uid="{00000000-0005-0000-0000-00000E070000}"/>
    <cellStyle name="Moeda 5 2 3 5" xfId="5933" xr:uid="{00000000-0005-0000-0000-00000F070000}"/>
    <cellStyle name="Moeda 5 2 3 5 2" xfId="7633" xr:uid="{00000000-0005-0000-0000-000010070000}"/>
    <cellStyle name="Moeda 5 2 3 5 2 2" xfId="14022" xr:uid="{00000000-0005-0000-0000-000011070000}"/>
    <cellStyle name="Moeda 5 2 3 5 2 2 2" xfId="40215" xr:uid="{00000000-0005-0000-0000-000012070000}"/>
    <cellStyle name="Moeda 5 2 3 5 2 3" xfId="33829" xr:uid="{00000000-0005-0000-0000-000013070000}"/>
    <cellStyle name="Moeda 5 2 3 5 3" xfId="12321" xr:uid="{00000000-0005-0000-0000-000014070000}"/>
    <cellStyle name="Moeda 5 2 3 5 3 2" xfId="38514" xr:uid="{00000000-0005-0000-0000-000015070000}"/>
    <cellStyle name="Moeda 5 2 3 5 4" xfId="32129" xr:uid="{00000000-0005-0000-0000-000016070000}"/>
    <cellStyle name="Moeda 5 2 3 6" xfId="6403" xr:uid="{00000000-0005-0000-0000-000017070000}"/>
    <cellStyle name="Moeda 5 2 3 6 2" xfId="12792" xr:uid="{00000000-0005-0000-0000-000018070000}"/>
    <cellStyle name="Moeda 5 2 3 6 2 2" xfId="38985" xr:uid="{00000000-0005-0000-0000-000019070000}"/>
    <cellStyle name="Moeda 5 2 3 6 3" xfId="32599" xr:uid="{00000000-0005-0000-0000-00001A070000}"/>
    <cellStyle name="Moeda 5 2 3 7" xfId="4700" xr:uid="{00000000-0005-0000-0000-00001B070000}"/>
    <cellStyle name="Moeda 5 2 3 7 2" xfId="30900" xr:uid="{00000000-0005-0000-0000-00001C070000}"/>
    <cellStyle name="Moeda 5 2 3 8" xfId="11091" xr:uid="{00000000-0005-0000-0000-00001D070000}"/>
    <cellStyle name="Moeda 5 2 3 8 2" xfId="37284" xr:uid="{00000000-0005-0000-0000-00001E070000}"/>
    <cellStyle name="Moeda 5 2 3 9" xfId="30432" xr:uid="{00000000-0005-0000-0000-00001F070000}"/>
    <cellStyle name="Moeda 5 2 4" xfId="4309" xr:uid="{00000000-0005-0000-0000-000020070000}"/>
    <cellStyle name="Moeda 5 2 4 2" xfId="7710" xr:uid="{00000000-0005-0000-0000-000021070000}"/>
    <cellStyle name="Moeda 5 2 4 2 2" xfId="14099" xr:uid="{00000000-0005-0000-0000-000022070000}"/>
    <cellStyle name="Moeda 5 2 4 2 2 2" xfId="40292" xr:uid="{00000000-0005-0000-0000-000023070000}"/>
    <cellStyle name="Moeda 5 2 4 2 3" xfId="33906" xr:uid="{00000000-0005-0000-0000-000024070000}"/>
    <cellStyle name="Moeda 5 2 4 3" xfId="6010" xr:uid="{00000000-0005-0000-0000-000025070000}"/>
    <cellStyle name="Moeda 5 2 4 3 2" xfId="32206" xr:uid="{00000000-0005-0000-0000-000026070000}"/>
    <cellStyle name="Moeda 5 2 4 4" xfId="12398" xr:uid="{00000000-0005-0000-0000-000027070000}"/>
    <cellStyle name="Moeda 5 2 4 4 2" xfId="38591" xr:uid="{00000000-0005-0000-0000-000028070000}"/>
    <cellStyle name="Moeda 5 2 4 5" xfId="30509" xr:uid="{00000000-0005-0000-0000-000029070000}"/>
    <cellStyle name="Moeda 5 2 5" xfId="4417" xr:uid="{00000000-0005-0000-0000-00002A070000}"/>
    <cellStyle name="Moeda 5 2 5 2" xfId="7819" xr:uid="{00000000-0005-0000-0000-00002B070000}"/>
    <cellStyle name="Moeda 5 2 5 2 2" xfId="14208" xr:uid="{00000000-0005-0000-0000-00002C070000}"/>
    <cellStyle name="Moeda 5 2 5 2 2 2" xfId="40401" xr:uid="{00000000-0005-0000-0000-00002D070000}"/>
    <cellStyle name="Moeda 5 2 5 2 3" xfId="34015" xr:uid="{00000000-0005-0000-0000-00002E070000}"/>
    <cellStyle name="Moeda 5 2 5 3" xfId="6119" xr:uid="{00000000-0005-0000-0000-00002F070000}"/>
    <cellStyle name="Moeda 5 2 5 3 2" xfId="32315" xr:uid="{00000000-0005-0000-0000-000030070000}"/>
    <cellStyle name="Moeda 5 2 5 4" xfId="12507" xr:uid="{00000000-0005-0000-0000-000031070000}"/>
    <cellStyle name="Moeda 5 2 5 4 2" xfId="38700" xr:uid="{00000000-0005-0000-0000-000032070000}"/>
    <cellStyle name="Moeda 5 2 5 5" xfId="30617" xr:uid="{00000000-0005-0000-0000-000033070000}"/>
    <cellStyle name="Moeda 5 2 6" xfId="4525" xr:uid="{00000000-0005-0000-0000-000034070000}"/>
    <cellStyle name="Moeda 5 2 6 2" xfId="7927" xr:uid="{00000000-0005-0000-0000-000035070000}"/>
    <cellStyle name="Moeda 5 2 6 2 2" xfId="14316" xr:uid="{00000000-0005-0000-0000-000036070000}"/>
    <cellStyle name="Moeda 5 2 6 2 2 2" xfId="40509" xr:uid="{00000000-0005-0000-0000-000037070000}"/>
    <cellStyle name="Moeda 5 2 6 2 3" xfId="34123" xr:uid="{00000000-0005-0000-0000-000038070000}"/>
    <cellStyle name="Moeda 5 2 6 3" xfId="6226" xr:uid="{00000000-0005-0000-0000-000039070000}"/>
    <cellStyle name="Moeda 5 2 6 3 2" xfId="32422" xr:uid="{00000000-0005-0000-0000-00003A070000}"/>
    <cellStyle name="Moeda 5 2 6 4" xfId="12615" xr:uid="{00000000-0005-0000-0000-00003B070000}"/>
    <cellStyle name="Moeda 5 2 6 4 2" xfId="38808" xr:uid="{00000000-0005-0000-0000-00003C070000}"/>
    <cellStyle name="Moeda 5 2 6 5" xfId="30725" xr:uid="{00000000-0005-0000-0000-00003D070000}"/>
    <cellStyle name="Moeda 5 2 7" xfId="4792" xr:uid="{00000000-0005-0000-0000-00003E070000}"/>
    <cellStyle name="Moeda 5 2 7 2" xfId="6493" xr:uid="{00000000-0005-0000-0000-00003F070000}"/>
    <cellStyle name="Moeda 5 2 7 2 2" xfId="12882" xr:uid="{00000000-0005-0000-0000-000040070000}"/>
    <cellStyle name="Moeda 5 2 7 2 2 2" xfId="39075" xr:uid="{00000000-0005-0000-0000-000041070000}"/>
    <cellStyle name="Moeda 5 2 7 2 3" xfId="32689" xr:uid="{00000000-0005-0000-0000-000042070000}"/>
    <cellStyle name="Moeda 5 2 7 3" xfId="11181" xr:uid="{00000000-0005-0000-0000-000043070000}"/>
    <cellStyle name="Moeda 5 2 7 3 2" xfId="37374" xr:uid="{00000000-0005-0000-0000-000044070000}"/>
    <cellStyle name="Moeda 5 2 7 4" xfId="30990" xr:uid="{00000000-0005-0000-0000-000045070000}"/>
    <cellStyle name="Moeda 5 2 8" xfId="6335" xr:uid="{00000000-0005-0000-0000-000046070000}"/>
    <cellStyle name="Moeda 5 2 8 2" xfId="12724" xr:uid="{00000000-0005-0000-0000-000047070000}"/>
    <cellStyle name="Moeda 5 2 8 2 2" xfId="38917" xr:uid="{00000000-0005-0000-0000-000048070000}"/>
    <cellStyle name="Moeda 5 2 8 3" xfId="32531" xr:uid="{00000000-0005-0000-0000-000049070000}"/>
    <cellStyle name="Moeda 5 2 9" xfId="8027" xr:uid="{00000000-0005-0000-0000-00004A070000}"/>
    <cellStyle name="Moeda 5 2 9 2" xfId="14416" xr:uid="{00000000-0005-0000-0000-00004B070000}"/>
    <cellStyle name="Moeda 5 2 9 2 2" xfId="40609" xr:uid="{00000000-0005-0000-0000-00004C070000}"/>
    <cellStyle name="Moeda 5 2 9 3" xfId="34223" xr:uid="{00000000-0005-0000-0000-00004D070000}"/>
    <cellStyle name="Moeda 5 3" xfId="391" xr:uid="{00000000-0005-0000-0000-00004E070000}"/>
    <cellStyle name="Moeda 5 3 10" xfId="29320" xr:uid="{00000000-0005-0000-0000-00004F070000}"/>
    <cellStyle name="Moeda 5 3 2" xfId="4252" xr:uid="{00000000-0005-0000-0000-000050070000}"/>
    <cellStyle name="Moeda 5 3 2 2" xfId="7653" xr:uid="{00000000-0005-0000-0000-000051070000}"/>
    <cellStyle name="Moeda 5 3 2 2 2" xfId="14042" xr:uid="{00000000-0005-0000-0000-000052070000}"/>
    <cellStyle name="Moeda 5 3 2 2 2 2" xfId="40235" xr:uid="{00000000-0005-0000-0000-000053070000}"/>
    <cellStyle name="Moeda 5 3 2 2 3" xfId="33849" xr:uid="{00000000-0005-0000-0000-000054070000}"/>
    <cellStyle name="Moeda 5 3 2 3" xfId="5953" xr:uid="{00000000-0005-0000-0000-000055070000}"/>
    <cellStyle name="Moeda 5 3 2 3 2" xfId="32149" xr:uid="{00000000-0005-0000-0000-000056070000}"/>
    <cellStyle name="Moeda 5 3 2 4" xfId="12341" xr:uid="{00000000-0005-0000-0000-000057070000}"/>
    <cellStyle name="Moeda 5 3 2 4 2" xfId="38534" xr:uid="{00000000-0005-0000-0000-000058070000}"/>
    <cellStyle name="Moeda 5 3 2 5" xfId="30452" xr:uid="{00000000-0005-0000-0000-000059070000}"/>
    <cellStyle name="Moeda 5 3 3" xfId="4329" xr:uid="{00000000-0005-0000-0000-00005A070000}"/>
    <cellStyle name="Moeda 5 3 3 2" xfId="7730" xr:uid="{00000000-0005-0000-0000-00005B070000}"/>
    <cellStyle name="Moeda 5 3 3 2 2" xfId="14119" xr:uid="{00000000-0005-0000-0000-00005C070000}"/>
    <cellStyle name="Moeda 5 3 3 2 2 2" xfId="40312" xr:uid="{00000000-0005-0000-0000-00005D070000}"/>
    <cellStyle name="Moeda 5 3 3 2 3" xfId="33926" xr:uid="{00000000-0005-0000-0000-00005E070000}"/>
    <cellStyle name="Moeda 5 3 3 3" xfId="6030" xr:uid="{00000000-0005-0000-0000-00005F070000}"/>
    <cellStyle name="Moeda 5 3 3 3 2" xfId="32226" xr:uid="{00000000-0005-0000-0000-000060070000}"/>
    <cellStyle name="Moeda 5 3 3 4" xfId="12418" xr:uid="{00000000-0005-0000-0000-000061070000}"/>
    <cellStyle name="Moeda 5 3 3 4 2" xfId="38611" xr:uid="{00000000-0005-0000-0000-000062070000}"/>
    <cellStyle name="Moeda 5 3 3 5" xfId="30529" xr:uid="{00000000-0005-0000-0000-000063070000}"/>
    <cellStyle name="Moeda 5 3 4" xfId="4437" xr:uid="{00000000-0005-0000-0000-000064070000}"/>
    <cellStyle name="Moeda 5 3 4 2" xfId="7839" xr:uid="{00000000-0005-0000-0000-000065070000}"/>
    <cellStyle name="Moeda 5 3 4 2 2" xfId="14228" xr:uid="{00000000-0005-0000-0000-000066070000}"/>
    <cellStyle name="Moeda 5 3 4 2 2 2" xfId="40421" xr:uid="{00000000-0005-0000-0000-000067070000}"/>
    <cellStyle name="Moeda 5 3 4 2 3" xfId="34035" xr:uid="{00000000-0005-0000-0000-000068070000}"/>
    <cellStyle name="Moeda 5 3 4 3" xfId="6139" xr:uid="{00000000-0005-0000-0000-000069070000}"/>
    <cellStyle name="Moeda 5 3 4 3 2" xfId="32335" xr:uid="{00000000-0005-0000-0000-00006A070000}"/>
    <cellStyle name="Moeda 5 3 4 4" xfId="12527" xr:uid="{00000000-0005-0000-0000-00006B070000}"/>
    <cellStyle name="Moeda 5 3 4 4 2" xfId="38720" xr:uid="{00000000-0005-0000-0000-00006C070000}"/>
    <cellStyle name="Moeda 5 3 4 5" xfId="30637" xr:uid="{00000000-0005-0000-0000-00006D070000}"/>
    <cellStyle name="Moeda 5 3 5" xfId="4545" xr:uid="{00000000-0005-0000-0000-00006E070000}"/>
    <cellStyle name="Moeda 5 3 5 2" xfId="7947" xr:uid="{00000000-0005-0000-0000-00006F070000}"/>
    <cellStyle name="Moeda 5 3 5 2 2" xfId="14336" xr:uid="{00000000-0005-0000-0000-000070070000}"/>
    <cellStyle name="Moeda 5 3 5 2 2 2" xfId="40529" xr:uid="{00000000-0005-0000-0000-000071070000}"/>
    <cellStyle name="Moeda 5 3 5 2 3" xfId="34143" xr:uid="{00000000-0005-0000-0000-000072070000}"/>
    <cellStyle name="Moeda 5 3 5 3" xfId="6246" xr:uid="{00000000-0005-0000-0000-000073070000}"/>
    <cellStyle name="Moeda 5 3 5 3 2" xfId="32442" xr:uid="{00000000-0005-0000-0000-000074070000}"/>
    <cellStyle name="Moeda 5 3 5 4" xfId="12635" xr:uid="{00000000-0005-0000-0000-000075070000}"/>
    <cellStyle name="Moeda 5 3 5 4 2" xfId="38828" xr:uid="{00000000-0005-0000-0000-000076070000}"/>
    <cellStyle name="Moeda 5 3 5 5" xfId="30745" xr:uid="{00000000-0005-0000-0000-000077070000}"/>
    <cellStyle name="Moeda 5 3 6" xfId="4820" xr:uid="{00000000-0005-0000-0000-000078070000}"/>
    <cellStyle name="Moeda 5 3 6 2" xfId="6521" xr:uid="{00000000-0005-0000-0000-000079070000}"/>
    <cellStyle name="Moeda 5 3 6 2 2" xfId="12910" xr:uid="{00000000-0005-0000-0000-00007A070000}"/>
    <cellStyle name="Moeda 5 3 6 2 2 2" xfId="39103" xr:uid="{00000000-0005-0000-0000-00007B070000}"/>
    <cellStyle name="Moeda 5 3 6 2 3" xfId="32717" xr:uid="{00000000-0005-0000-0000-00007C070000}"/>
    <cellStyle name="Moeda 5 3 6 3" xfId="11209" xr:uid="{00000000-0005-0000-0000-00007D070000}"/>
    <cellStyle name="Moeda 5 3 6 3 2" xfId="37402" xr:uid="{00000000-0005-0000-0000-00007E070000}"/>
    <cellStyle name="Moeda 5 3 6 4" xfId="31018" xr:uid="{00000000-0005-0000-0000-00007F070000}"/>
    <cellStyle name="Moeda 5 3 7" xfId="6355" xr:uid="{00000000-0005-0000-0000-000080070000}"/>
    <cellStyle name="Moeda 5 3 7 2" xfId="12744" xr:uid="{00000000-0005-0000-0000-000081070000}"/>
    <cellStyle name="Moeda 5 3 7 2 2" xfId="38937" xr:uid="{00000000-0005-0000-0000-000082070000}"/>
    <cellStyle name="Moeda 5 3 7 3" xfId="32551" xr:uid="{00000000-0005-0000-0000-000083070000}"/>
    <cellStyle name="Moeda 5 3 8" xfId="4652" xr:uid="{00000000-0005-0000-0000-000084070000}"/>
    <cellStyle name="Moeda 5 3 8 2" xfId="30852" xr:uid="{00000000-0005-0000-0000-000085070000}"/>
    <cellStyle name="Moeda 5 3 9" xfId="11043" xr:uid="{00000000-0005-0000-0000-000086070000}"/>
    <cellStyle name="Moeda 5 3 9 2" xfId="37236" xr:uid="{00000000-0005-0000-0000-000087070000}"/>
    <cellStyle name="Moeda 5 4" xfId="4217" xr:uid="{00000000-0005-0000-0000-000088070000}"/>
    <cellStyle name="Moeda 5 4 2" xfId="4361" xr:uid="{00000000-0005-0000-0000-000089070000}"/>
    <cellStyle name="Moeda 5 4 2 2" xfId="7762" xr:uid="{00000000-0005-0000-0000-00008A070000}"/>
    <cellStyle name="Moeda 5 4 2 2 2" xfId="14151" xr:uid="{00000000-0005-0000-0000-00008B070000}"/>
    <cellStyle name="Moeda 5 4 2 2 2 2" xfId="40344" xr:uid="{00000000-0005-0000-0000-00008C070000}"/>
    <cellStyle name="Moeda 5 4 2 2 3" xfId="33958" xr:uid="{00000000-0005-0000-0000-00008D070000}"/>
    <cellStyle name="Moeda 5 4 2 3" xfId="6062" xr:uid="{00000000-0005-0000-0000-00008E070000}"/>
    <cellStyle name="Moeda 5 4 2 3 2" xfId="32258" xr:uid="{00000000-0005-0000-0000-00008F070000}"/>
    <cellStyle name="Moeda 5 4 2 4" xfId="12450" xr:uid="{00000000-0005-0000-0000-000090070000}"/>
    <cellStyle name="Moeda 5 4 2 4 2" xfId="38643" xr:uid="{00000000-0005-0000-0000-000091070000}"/>
    <cellStyle name="Moeda 5 4 2 5" xfId="30561" xr:uid="{00000000-0005-0000-0000-000092070000}"/>
    <cellStyle name="Moeda 5 4 3" xfId="4469" xr:uid="{00000000-0005-0000-0000-000093070000}"/>
    <cellStyle name="Moeda 5 4 3 2" xfId="7871" xr:uid="{00000000-0005-0000-0000-000094070000}"/>
    <cellStyle name="Moeda 5 4 3 2 2" xfId="14260" xr:uid="{00000000-0005-0000-0000-000095070000}"/>
    <cellStyle name="Moeda 5 4 3 2 2 2" xfId="40453" xr:uid="{00000000-0005-0000-0000-000096070000}"/>
    <cellStyle name="Moeda 5 4 3 2 3" xfId="34067" xr:uid="{00000000-0005-0000-0000-000097070000}"/>
    <cellStyle name="Moeda 5 4 3 3" xfId="6170" xr:uid="{00000000-0005-0000-0000-000098070000}"/>
    <cellStyle name="Moeda 5 4 3 3 2" xfId="32366" xr:uid="{00000000-0005-0000-0000-000099070000}"/>
    <cellStyle name="Moeda 5 4 3 4" xfId="12559" xr:uid="{00000000-0005-0000-0000-00009A070000}"/>
    <cellStyle name="Moeda 5 4 3 4 2" xfId="38752" xr:uid="{00000000-0005-0000-0000-00009B070000}"/>
    <cellStyle name="Moeda 5 4 3 5" xfId="30669" xr:uid="{00000000-0005-0000-0000-00009C070000}"/>
    <cellStyle name="Moeda 5 4 4" xfId="4577" xr:uid="{00000000-0005-0000-0000-00009D070000}"/>
    <cellStyle name="Moeda 5 4 4 2" xfId="7979" xr:uid="{00000000-0005-0000-0000-00009E070000}"/>
    <cellStyle name="Moeda 5 4 4 2 2" xfId="14368" xr:uid="{00000000-0005-0000-0000-00009F070000}"/>
    <cellStyle name="Moeda 5 4 4 2 2 2" xfId="40561" xr:uid="{00000000-0005-0000-0000-0000A0070000}"/>
    <cellStyle name="Moeda 5 4 4 2 3" xfId="34175" xr:uid="{00000000-0005-0000-0000-0000A1070000}"/>
    <cellStyle name="Moeda 5 4 4 3" xfId="6278" xr:uid="{00000000-0005-0000-0000-0000A2070000}"/>
    <cellStyle name="Moeda 5 4 4 3 2" xfId="32474" xr:uid="{00000000-0005-0000-0000-0000A3070000}"/>
    <cellStyle name="Moeda 5 4 4 4" xfId="12667" xr:uid="{00000000-0005-0000-0000-0000A4070000}"/>
    <cellStyle name="Moeda 5 4 4 4 2" xfId="38860" xr:uid="{00000000-0005-0000-0000-0000A5070000}"/>
    <cellStyle name="Moeda 5 4 4 5" xfId="30777" xr:uid="{00000000-0005-0000-0000-0000A6070000}"/>
    <cellStyle name="Moeda 5 4 5" xfId="5917" xr:uid="{00000000-0005-0000-0000-0000A7070000}"/>
    <cellStyle name="Moeda 5 4 5 2" xfId="7617" xr:uid="{00000000-0005-0000-0000-0000A8070000}"/>
    <cellStyle name="Moeda 5 4 5 2 2" xfId="14006" xr:uid="{00000000-0005-0000-0000-0000A9070000}"/>
    <cellStyle name="Moeda 5 4 5 2 2 2" xfId="40199" xr:uid="{00000000-0005-0000-0000-0000AA070000}"/>
    <cellStyle name="Moeda 5 4 5 2 3" xfId="33813" xr:uid="{00000000-0005-0000-0000-0000AB070000}"/>
    <cellStyle name="Moeda 5 4 5 3" xfId="12305" xr:uid="{00000000-0005-0000-0000-0000AC070000}"/>
    <cellStyle name="Moeda 5 4 5 3 2" xfId="38498" xr:uid="{00000000-0005-0000-0000-0000AD070000}"/>
    <cellStyle name="Moeda 5 4 5 4" xfId="32113" xr:uid="{00000000-0005-0000-0000-0000AE070000}"/>
    <cellStyle name="Moeda 5 4 6" xfId="6387" xr:uid="{00000000-0005-0000-0000-0000AF070000}"/>
    <cellStyle name="Moeda 5 4 6 2" xfId="12776" xr:uid="{00000000-0005-0000-0000-0000B0070000}"/>
    <cellStyle name="Moeda 5 4 6 2 2" xfId="38969" xr:uid="{00000000-0005-0000-0000-0000B1070000}"/>
    <cellStyle name="Moeda 5 4 6 3" xfId="32583" xr:uid="{00000000-0005-0000-0000-0000B2070000}"/>
    <cellStyle name="Moeda 5 4 7" xfId="4684" xr:uid="{00000000-0005-0000-0000-0000B3070000}"/>
    <cellStyle name="Moeda 5 4 7 2" xfId="30884" xr:uid="{00000000-0005-0000-0000-0000B4070000}"/>
    <cellStyle name="Moeda 5 4 8" xfId="11075" xr:uid="{00000000-0005-0000-0000-0000B5070000}"/>
    <cellStyle name="Moeda 5 4 8 2" xfId="37268" xr:uid="{00000000-0005-0000-0000-0000B6070000}"/>
    <cellStyle name="Moeda 5 4 9" xfId="30417" xr:uid="{00000000-0005-0000-0000-0000B7070000}"/>
    <cellStyle name="Moeda 5 5" xfId="4293" xr:uid="{00000000-0005-0000-0000-0000B8070000}"/>
    <cellStyle name="Moeda 5 5 2" xfId="7694" xr:uid="{00000000-0005-0000-0000-0000B9070000}"/>
    <cellStyle name="Moeda 5 5 2 2" xfId="14083" xr:uid="{00000000-0005-0000-0000-0000BA070000}"/>
    <cellStyle name="Moeda 5 5 2 2 2" xfId="40276" xr:uid="{00000000-0005-0000-0000-0000BB070000}"/>
    <cellStyle name="Moeda 5 5 2 3" xfId="33890" xr:uid="{00000000-0005-0000-0000-0000BC070000}"/>
    <cellStyle name="Moeda 5 5 3" xfId="5994" xr:uid="{00000000-0005-0000-0000-0000BD070000}"/>
    <cellStyle name="Moeda 5 5 3 2" xfId="32190" xr:uid="{00000000-0005-0000-0000-0000BE070000}"/>
    <cellStyle name="Moeda 5 5 4" xfId="12382" xr:uid="{00000000-0005-0000-0000-0000BF070000}"/>
    <cellStyle name="Moeda 5 5 4 2" xfId="38575" xr:uid="{00000000-0005-0000-0000-0000C0070000}"/>
    <cellStyle name="Moeda 5 5 5" xfId="30493" xr:uid="{00000000-0005-0000-0000-0000C1070000}"/>
    <cellStyle name="Moeda 5 6" xfId="4401" xr:uid="{00000000-0005-0000-0000-0000C2070000}"/>
    <cellStyle name="Moeda 5 6 2" xfId="7803" xr:uid="{00000000-0005-0000-0000-0000C3070000}"/>
    <cellStyle name="Moeda 5 6 2 2" xfId="14192" xr:uid="{00000000-0005-0000-0000-0000C4070000}"/>
    <cellStyle name="Moeda 5 6 2 2 2" xfId="40385" xr:uid="{00000000-0005-0000-0000-0000C5070000}"/>
    <cellStyle name="Moeda 5 6 2 3" xfId="33999" xr:uid="{00000000-0005-0000-0000-0000C6070000}"/>
    <cellStyle name="Moeda 5 6 3" xfId="6103" xr:uid="{00000000-0005-0000-0000-0000C7070000}"/>
    <cellStyle name="Moeda 5 6 3 2" xfId="32299" xr:uid="{00000000-0005-0000-0000-0000C8070000}"/>
    <cellStyle name="Moeda 5 6 4" xfId="12491" xr:uid="{00000000-0005-0000-0000-0000C9070000}"/>
    <cellStyle name="Moeda 5 6 4 2" xfId="38684" xr:uid="{00000000-0005-0000-0000-0000CA070000}"/>
    <cellStyle name="Moeda 5 6 5" xfId="30601" xr:uid="{00000000-0005-0000-0000-0000CB070000}"/>
    <cellStyle name="Moeda 5 7" xfId="4509" xr:uid="{00000000-0005-0000-0000-0000CC070000}"/>
    <cellStyle name="Moeda 5 7 2" xfId="7911" xr:uid="{00000000-0005-0000-0000-0000CD070000}"/>
    <cellStyle name="Moeda 5 7 2 2" xfId="14300" xr:uid="{00000000-0005-0000-0000-0000CE070000}"/>
    <cellStyle name="Moeda 5 7 2 2 2" xfId="40493" xr:uid="{00000000-0005-0000-0000-0000CF070000}"/>
    <cellStyle name="Moeda 5 7 2 3" xfId="34107" xr:uid="{00000000-0005-0000-0000-0000D0070000}"/>
    <cellStyle name="Moeda 5 7 3" xfId="6210" xr:uid="{00000000-0005-0000-0000-0000D1070000}"/>
    <cellStyle name="Moeda 5 7 3 2" xfId="32406" xr:uid="{00000000-0005-0000-0000-0000D2070000}"/>
    <cellStyle name="Moeda 5 7 4" xfId="12599" xr:uid="{00000000-0005-0000-0000-0000D3070000}"/>
    <cellStyle name="Moeda 5 7 4 2" xfId="38792" xr:uid="{00000000-0005-0000-0000-0000D4070000}"/>
    <cellStyle name="Moeda 5 7 5" xfId="30709" xr:uid="{00000000-0005-0000-0000-0000D5070000}"/>
    <cellStyle name="Moeda 5 8" xfId="4731" xr:uid="{00000000-0005-0000-0000-0000D6070000}"/>
    <cellStyle name="Moeda 5 8 2" xfId="6433" xr:uid="{00000000-0005-0000-0000-0000D7070000}"/>
    <cellStyle name="Moeda 5 8 2 2" xfId="12822" xr:uid="{00000000-0005-0000-0000-0000D8070000}"/>
    <cellStyle name="Moeda 5 8 2 2 2" xfId="39015" xr:uid="{00000000-0005-0000-0000-0000D9070000}"/>
    <cellStyle name="Moeda 5 8 2 3" xfId="32629" xr:uid="{00000000-0005-0000-0000-0000DA070000}"/>
    <cellStyle name="Moeda 5 8 3" xfId="11121" xr:uid="{00000000-0005-0000-0000-0000DB070000}"/>
    <cellStyle name="Moeda 5 8 3 2" xfId="37314" xr:uid="{00000000-0005-0000-0000-0000DC070000}"/>
    <cellStyle name="Moeda 5 8 4" xfId="30930" xr:uid="{00000000-0005-0000-0000-0000DD070000}"/>
    <cellStyle name="Moeda 5 9" xfId="6319" xr:uid="{00000000-0005-0000-0000-0000DE070000}"/>
    <cellStyle name="Moeda 5 9 2" xfId="12708" xr:uid="{00000000-0005-0000-0000-0000DF070000}"/>
    <cellStyle name="Moeda 5 9 2 2" xfId="38901" xr:uid="{00000000-0005-0000-0000-0000E0070000}"/>
    <cellStyle name="Moeda 5 9 3" xfId="32515" xr:uid="{00000000-0005-0000-0000-0000E1070000}"/>
    <cellStyle name="Moeda 6" xfId="648" xr:uid="{00000000-0005-0000-0000-0000E2070000}"/>
    <cellStyle name="Moeda 6 10" xfId="4622" xr:uid="{00000000-0005-0000-0000-0000E3070000}"/>
    <cellStyle name="Moeda 6 10 2" xfId="30822" xr:uid="{00000000-0005-0000-0000-0000E4070000}"/>
    <cellStyle name="Moeda 6 11" xfId="11013" xr:uid="{00000000-0005-0000-0000-0000E5070000}"/>
    <cellStyle name="Moeda 6 11 2" xfId="37206" xr:uid="{00000000-0005-0000-0000-0000E6070000}"/>
    <cellStyle name="Moeda 6 2" xfId="4257" xr:uid="{00000000-0005-0000-0000-0000E7070000}"/>
    <cellStyle name="Moeda 6 2 2" xfId="4334" xr:uid="{00000000-0005-0000-0000-0000E8070000}"/>
    <cellStyle name="Moeda 6 2 2 2" xfId="7735" xr:uid="{00000000-0005-0000-0000-0000E9070000}"/>
    <cellStyle name="Moeda 6 2 2 2 2" xfId="14124" xr:uid="{00000000-0005-0000-0000-0000EA070000}"/>
    <cellStyle name="Moeda 6 2 2 2 2 2" xfId="40317" xr:uid="{00000000-0005-0000-0000-0000EB070000}"/>
    <cellStyle name="Moeda 6 2 2 2 3" xfId="33931" xr:uid="{00000000-0005-0000-0000-0000EC070000}"/>
    <cellStyle name="Moeda 6 2 2 3" xfId="6035" xr:uid="{00000000-0005-0000-0000-0000ED070000}"/>
    <cellStyle name="Moeda 6 2 2 3 2" xfId="32231" xr:uid="{00000000-0005-0000-0000-0000EE070000}"/>
    <cellStyle name="Moeda 6 2 2 4" xfId="12423" xr:uid="{00000000-0005-0000-0000-0000EF070000}"/>
    <cellStyle name="Moeda 6 2 2 4 2" xfId="38616" xr:uid="{00000000-0005-0000-0000-0000F0070000}"/>
    <cellStyle name="Moeda 6 2 2 5" xfId="30534" xr:uid="{00000000-0005-0000-0000-0000F1070000}"/>
    <cellStyle name="Moeda 6 2 3" xfId="4442" xr:uid="{00000000-0005-0000-0000-0000F2070000}"/>
    <cellStyle name="Moeda 6 2 3 2" xfId="7844" xr:uid="{00000000-0005-0000-0000-0000F3070000}"/>
    <cellStyle name="Moeda 6 2 3 2 2" xfId="14233" xr:uid="{00000000-0005-0000-0000-0000F4070000}"/>
    <cellStyle name="Moeda 6 2 3 2 2 2" xfId="40426" xr:uid="{00000000-0005-0000-0000-0000F5070000}"/>
    <cellStyle name="Moeda 6 2 3 2 3" xfId="34040" xr:uid="{00000000-0005-0000-0000-0000F6070000}"/>
    <cellStyle name="Moeda 6 2 3 3" xfId="6144" xr:uid="{00000000-0005-0000-0000-0000F7070000}"/>
    <cellStyle name="Moeda 6 2 3 3 2" xfId="32340" xr:uid="{00000000-0005-0000-0000-0000F8070000}"/>
    <cellStyle name="Moeda 6 2 3 4" xfId="12532" xr:uid="{00000000-0005-0000-0000-0000F9070000}"/>
    <cellStyle name="Moeda 6 2 3 4 2" xfId="38725" xr:uid="{00000000-0005-0000-0000-0000FA070000}"/>
    <cellStyle name="Moeda 6 2 3 5" xfId="30642" xr:uid="{00000000-0005-0000-0000-0000FB070000}"/>
    <cellStyle name="Moeda 6 2 4" xfId="4550" xr:uid="{00000000-0005-0000-0000-0000FC070000}"/>
    <cellStyle name="Moeda 6 2 4 2" xfId="7952" xr:uid="{00000000-0005-0000-0000-0000FD070000}"/>
    <cellStyle name="Moeda 6 2 4 2 2" xfId="14341" xr:uid="{00000000-0005-0000-0000-0000FE070000}"/>
    <cellStyle name="Moeda 6 2 4 2 2 2" xfId="40534" xr:uid="{00000000-0005-0000-0000-0000FF070000}"/>
    <cellStyle name="Moeda 6 2 4 2 3" xfId="34148" xr:uid="{00000000-0005-0000-0000-000000080000}"/>
    <cellStyle name="Moeda 6 2 4 3" xfId="6251" xr:uid="{00000000-0005-0000-0000-000001080000}"/>
    <cellStyle name="Moeda 6 2 4 3 2" xfId="32447" xr:uid="{00000000-0005-0000-0000-000002080000}"/>
    <cellStyle name="Moeda 6 2 4 4" xfId="12640" xr:uid="{00000000-0005-0000-0000-000003080000}"/>
    <cellStyle name="Moeda 6 2 4 4 2" xfId="38833" xr:uid="{00000000-0005-0000-0000-000004080000}"/>
    <cellStyle name="Moeda 6 2 4 5" xfId="30750" xr:uid="{00000000-0005-0000-0000-000005080000}"/>
    <cellStyle name="Moeda 6 2 5" xfId="5958" xr:uid="{00000000-0005-0000-0000-000006080000}"/>
    <cellStyle name="Moeda 6 2 5 2" xfId="7658" xr:uid="{00000000-0005-0000-0000-000007080000}"/>
    <cellStyle name="Moeda 6 2 5 2 2" xfId="14047" xr:uid="{00000000-0005-0000-0000-000008080000}"/>
    <cellStyle name="Moeda 6 2 5 2 2 2" xfId="40240" xr:uid="{00000000-0005-0000-0000-000009080000}"/>
    <cellStyle name="Moeda 6 2 5 2 3" xfId="33854" xr:uid="{00000000-0005-0000-0000-00000A080000}"/>
    <cellStyle name="Moeda 6 2 5 3" xfId="12346" xr:uid="{00000000-0005-0000-0000-00000B080000}"/>
    <cellStyle name="Moeda 6 2 5 3 2" xfId="38539" xr:uid="{00000000-0005-0000-0000-00000C080000}"/>
    <cellStyle name="Moeda 6 2 5 4" xfId="32154" xr:uid="{00000000-0005-0000-0000-00000D080000}"/>
    <cellStyle name="Moeda 6 2 6" xfId="6360" xr:uid="{00000000-0005-0000-0000-00000E080000}"/>
    <cellStyle name="Moeda 6 2 6 2" xfId="12749" xr:uid="{00000000-0005-0000-0000-00000F080000}"/>
    <cellStyle name="Moeda 6 2 6 2 2" xfId="38942" xr:uid="{00000000-0005-0000-0000-000010080000}"/>
    <cellStyle name="Moeda 6 2 6 3" xfId="32556" xr:uid="{00000000-0005-0000-0000-000011080000}"/>
    <cellStyle name="Moeda 6 2 7" xfId="4657" xr:uid="{00000000-0005-0000-0000-000012080000}"/>
    <cellStyle name="Moeda 6 2 7 2" xfId="30857" xr:uid="{00000000-0005-0000-0000-000013080000}"/>
    <cellStyle name="Moeda 6 2 8" xfId="11048" xr:uid="{00000000-0005-0000-0000-000014080000}"/>
    <cellStyle name="Moeda 6 2 8 2" xfId="37241" xr:uid="{00000000-0005-0000-0000-000015080000}"/>
    <cellStyle name="Moeda 6 2 9" xfId="30457" xr:uid="{00000000-0005-0000-0000-000016080000}"/>
    <cellStyle name="Moeda 6 3" xfId="4222" xr:uid="{00000000-0005-0000-0000-000017080000}"/>
    <cellStyle name="Moeda 6 3 2" xfId="4366" xr:uid="{00000000-0005-0000-0000-000018080000}"/>
    <cellStyle name="Moeda 6 3 2 2" xfId="7767" xr:uid="{00000000-0005-0000-0000-000019080000}"/>
    <cellStyle name="Moeda 6 3 2 2 2" xfId="14156" xr:uid="{00000000-0005-0000-0000-00001A080000}"/>
    <cellStyle name="Moeda 6 3 2 2 2 2" xfId="40349" xr:uid="{00000000-0005-0000-0000-00001B080000}"/>
    <cellStyle name="Moeda 6 3 2 2 3" xfId="33963" xr:uid="{00000000-0005-0000-0000-00001C080000}"/>
    <cellStyle name="Moeda 6 3 2 3" xfId="6067" xr:uid="{00000000-0005-0000-0000-00001D080000}"/>
    <cellStyle name="Moeda 6 3 2 3 2" xfId="32263" xr:uid="{00000000-0005-0000-0000-00001E080000}"/>
    <cellStyle name="Moeda 6 3 2 4" xfId="12455" xr:uid="{00000000-0005-0000-0000-00001F080000}"/>
    <cellStyle name="Moeda 6 3 2 4 2" xfId="38648" xr:uid="{00000000-0005-0000-0000-000020080000}"/>
    <cellStyle name="Moeda 6 3 2 5" xfId="30566" xr:uid="{00000000-0005-0000-0000-000021080000}"/>
    <cellStyle name="Moeda 6 3 3" xfId="4474" xr:uid="{00000000-0005-0000-0000-000022080000}"/>
    <cellStyle name="Moeda 6 3 3 2" xfId="7876" xr:uid="{00000000-0005-0000-0000-000023080000}"/>
    <cellStyle name="Moeda 6 3 3 2 2" xfId="14265" xr:uid="{00000000-0005-0000-0000-000024080000}"/>
    <cellStyle name="Moeda 6 3 3 2 2 2" xfId="40458" xr:uid="{00000000-0005-0000-0000-000025080000}"/>
    <cellStyle name="Moeda 6 3 3 2 3" xfId="34072" xr:uid="{00000000-0005-0000-0000-000026080000}"/>
    <cellStyle name="Moeda 6 3 3 3" xfId="6175" xr:uid="{00000000-0005-0000-0000-000027080000}"/>
    <cellStyle name="Moeda 6 3 3 3 2" xfId="32371" xr:uid="{00000000-0005-0000-0000-000028080000}"/>
    <cellStyle name="Moeda 6 3 3 4" xfId="12564" xr:uid="{00000000-0005-0000-0000-000029080000}"/>
    <cellStyle name="Moeda 6 3 3 4 2" xfId="38757" xr:uid="{00000000-0005-0000-0000-00002A080000}"/>
    <cellStyle name="Moeda 6 3 3 5" xfId="30674" xr:uid="{00000000-0005-0000-0000-00002B080000}"/>
    <cellStyle name="Moeda 6 3 4" xfId="4582" xr:uid="{00000000-0005-0000-0000-00002C080000}"/>
    <cellStyle name="Moeda 6 3 4 2" xfId="7984" xr:uid="{00000000-0005-0000-0000-00002D080000}"/>
    <cellStyle name="Moeda 6 3 4 2 2" xfId="14373" xr:uid="{00000000-0005-0000-0000-00002E080000}"/>
    <cellStyle name="Moeda 6 3 4 2 2 2" xfId="40566" xr:uid="{00000000-0005-0000-0000-00002F080000}"/>
    <cellStyle name="Moeda 6 3 4 2 3" xfId="34180" xr:uid="{00000000-0005-0000-0000-000030080000}"/>
    <cellStyle name="Moeda 6 3 4 3" xfId="6283" xr:uid="{00000000-0005-0000-0000-000031080000}"/>
    <cellStyle name="Moeda 6 3 4 3 2" xfId="32479" xr:uid="{00000000-0005-0000-0000-000032080000}"/>
    <cellStyle name="Moeda 6 3 4 4" xfId="12672" xr:uid="{00000000-0005-0000-0000-000033080000}"/>
    <cellStyle name="Moeda 6 3 4 4 2" xfId="38865" xr:uid="{00000000-0005-0000-0000-000034080000}"/>
    <cellStyle name="Moeda 6 3 4 5" xfId="30782" xr:uid="{00000000-0005-0000-0000-000035080000}"/>
    <cellStyle name="Moeda 6 3 5" xfId="5922" xr:uid="{00000000-0005-0000-0000-000036080000}"/>
    <cellStyle name="Moeda 6 3 5 2" xfId="7622" xr:uid="{00000000-0005-0000-0000-000037080000}"/>
    <cellStyle name="Moeda 6 3 5 2 2" xfId="14011" xr:uid="{00000000-0005-0000-0000-000038080000}"/>
    <cellStyle name="Moeda 6 3 5 2 2 2" xfId="40204" xr:uid="{00000000-0005-0000-0000-000039080000}"/>
    <cellStyle name="Moeda 6 3 5 2 3" xfId="33818" xr:uid="{00000000-0005-0000-0000-00003A080000}"/>
    <cellStyle name="Moeda 6 3 5 3" xfId="12310" xr:uid="{00000000-0005-0000-0000-00003B080000}"/>
    <cellStyle name="Moeda 6 3 5 3 2" xfId="38503" xr:uid="{00000000-0005-0000-0000-00003C080000}"/>
    <cellStyle name="Moeda 6 3 5 4" xfId="32118" xr:uid="{00000000-0005-0000-0000-00003D080000}"/>
    <cellStyle name="Moeda 6 3 6" xfId="6392" xr:uid="{00000000-0005-0000-0000-00003E080000}"/>
    <cellStyle name="Moeda 6 3 6 2" xfId="12781" xr:uid="{00000000-0005-0000-0000-00003F080000}"/>
    <cellStyle name="Moeda 6 3 6 2 2" xfId="38974" xr:uid="{00000000-0005-0000-0000-000040080000}"/>
    <cellStyle name="Moeda 6 3 6 3" xfId="32588" xr:uid="{00000000-0005-0000-0000-000041080000}"/>
    <cellStyle name="Moeda 6 3 7" xfId="4689" xr:uid="{00000000-0005-0000-0000-000042080000}"/>
    <cellStyle name="Moeda 6 3 7 2" xfId="30889" xr:uid="{00000000-0005-0000-0000-000043080000}"/>
    <cellStyle name="Moeda 6 3 8" xfId="11080" xr:uid="{00000000-0005-0000-0000-000044080000}"/>
    <cellStyle name="Moeda 6 3 8 2" xfId="37273" xr:uid="{00000000-0005-0000-0000-000045080000}"/>
    <cellStyle name="Moeda 6 3 9" xfId="30422" xr:uid="{00000000-0005-0000-0000-000046080000}"/>
    <cellStyle name="Moeda 6 4" xfId="4298" xr:uid="{00000000-0005-0000-0000-000047080000}"/>
    <cellStyle name="Moeda 6 4 2" xfId="7699" xr:uid="{00000000-0005-0000-0000-000048080000}"/>
    <cellStyle name="Moeda 6 4 2 2" xfId="14088" xr:uid="{00000000-0005-0000-0000-000049080000}"/>
    <cellStyle name="Moeda 6 4 2 2 2" xfId="40281" xr:uid="{00000000-0005-0000-0000-00004A080000}"/>
    <cellStyle name="Moeda 6 4 2 3" xfId="33895" xr:uid="{00000000-0005-0000-0000-00004B080000}"/>
    <cellStyle name="Moeda 6 4 3" xfId="5999" xr:uid="{00000000-0005-0000-0000-00004C080000}"/>
    <cellStyle name="Moeda 6 4 3 2" xfId="32195" xr:uid="{00000000-0005-0000-0000-00004D080000}"/>
    <cellStyle name="Moeda 6 4 4" xfId="12387" xr:uid="{00000000-0005-0000-0000-00004E080000}"/>
    <cellStyle name="Moeda 6 4 4 2" xfId="38580" xr:uid="{00000000-0005-0000-0000-00004F080000}"/>
    <cellStyle name="Moeda 6 4 5" xfId="30498" xr:uid="{00000000-0005-0000-0000-000050080000}"/>
    <cellStyle name="Moeda 6 5" xfId="4406" xr:uid="{00000000-0005-0000-0000-000051080000}"/>
    <cellStyle name="Moeda 6 5 2" xfId="7808" xr:uid="{00000000-0005-0000-0000-000052080000}"/>
    <cellStyle name="Moeda 6 5 2 2" xfId="14197" xr:uid="{00000000-0005-0000-0000-000053080000}"/>
    <cellStyle name="Moeda 6 5 2 2 2" xfId="40390" xr:uid="{00000000-0005-0000-0000-000054080000}"/>
    <cellStyle name="Moeda 6 5 2 3" xfId="34004" xr:uid="{00000000-0005-0000-0000-000055080000}"/>
    <cellStyle name="Moeda 6 5 3" xfId="6108" xr:uid="{00000000-0005-0000-0000-000056080000}"/>
    <cellStyle name="Moeda 6 5 3 2" xfId="32304" xr:uid="{00000000-0005-0000-0000-000057080000}"/>
    <cellStyle name="Moeda 6 5 4" xfId="12496" xr:uid="{00000000-0005-0000-0000-000058080000}"/>
    <cellStyle name="Moeda 6 5 4 2" xfId="38689" xr:uid="{00000000-0005-0000-0000-000059080000}"/>
    <cellStyle name="Moeda 6 5 5" xfId="30606" xr:uid="{00000000-0005-0000-0000-00005A080000}"/>
    <cellStyle name="Moeda 6 6" xfId="4514" xr:uid="{00000000-0005-0000-0000-00005B080000}"/>
    <cellStyle name="Moeda 6 6 2" xfId="7916" xr:uid="{00000000-0005-0000-0000-00005C080000}"/>
    <cellStyle name="Moeda 6 6 2 2" xfId="14305" xr:uid="{00000000-0005-0000-0000-00005D080000}"/>
    <cellStyle name="Moeda 6 6 2 2 2" xfId="40498" xr:uid="{00000000-0005-0000-0000-00005E080000}"/>
    <cellStyle name="Moeda 6 6 2 3" xfId="34112" xr:uid="{00000000-0005-0000-0000-00005F080000}"/>
    <cellStyle name="Moeda 6 6 3" xfId="6215" xr:uid="{00000000-0005-0000-0000-000060080000}"/>
    <cellStyle name="Moeda 6 6 3 2" xfId="32411" xr:uid="{00000000-0005-0000-0000-000061080000}"/>
    <cellStyle name="Moeda 6 6 4" xfId="12604" xr:uid="{00000000-0005-0000-0000-000062080000}"/>
    <cellStyle name="Moeda 6 6 4 2" xfId="38797" xr:uid="{00000000-0005-0000-0000-000063080000}"/>
    <cellStyle name="Moeda 6 6 5" xfId="30714" xr:uid="{00000000-0005-0000-0000-000064080000}"/>
    <cellStyle name="Moeda 6 7" xfId="4885" xr:uid="{00000000-0005-0000-0000-000065080000}"/>
    <cellStyle name="Moeda 6 7 2" xfId="8262" xr:uid="{00000000-0005-0000-0000-000066080000}"/>
    <cellStyle name="Moeda 6 7 2 2" xfId="26476" xr:uid="{00000000-0005-0000-0000-000067080000}"/>
    <cellStyle name="Moeda 6 7 2 3" xfId="20562" xr:uid="{00000000-0005-0000-0000-000068080000}"/>
    <cellStyle name="Moeda 6 7 3" xfId="23519" xr:uid="{00000000-0005-0000-0000-000069080000}"/>
    <cellStyle name="Moeda 6 7 4" xfId="17605" xr:uid="{00000000-0005-0000-0000-00006A080000}"/>
    <cellStyle name="Moeda 6 8" xfId="6324" xr:uid="{00000000-0005-0000-0000-00006B080000}"/>
    <cellStyle name="Moeda 6 8 2" xfId="12713" xr:uid="{00000000-0005-0000-0000-00006C080000}"/>
    <cellStyle name="Moeda 6 8 2 2" xfId="38906" xr:uid="{00000000-0005-0000-0000-00006D080000}"/>
    <cellStyle name="Moeda 6 8 3" xfId="32520" xr:uid="{00000000-0005-0000-0000-00006E080000}"/>
    <cellStyle name="Moeda 6 9" xfId="8016" xr:uid="{00000000-0005-0000-0000-00006F080000}"/>
    <cellStyle name="Moeda 6 9 2" xfId="14405" xr:uid="{00000000-0005-0000-0000-000070080000}"/>
    <cellStyle name="Moeda 6 9 2 2" xfId="40598" xr:uid="{00000000-0005-0000-0000-000071080000}"/>
    <cellStyle name="Moeda 6 9 3" xfId="34212" xr:uid="{00000000-0005-0000-0000-000072080000}"/>
    <cellStyle name="Moeda 7" xfId="4205" xr:uid="{00000000-0005-0000-0000-000073080000}"/>
    <cellStyle name="Moeda 7 2" xfId="4281" xr:uid="{00000000-0005-0000-0000-000074080000}"/>
    <cellStyle name="Moeda 7 2 2" xfId="7682" xr:uid="{00000000-0005-0000-0000-000075080000}"/>
    <cellStyle name="Moeda 7 2 2 2" xfId="14071" xr:uid="{00000000-0005-0000-0000-000076080000}"/>
    <cellStyle name="Moeda 7 2 2 2 2" xfId="40264" xr:uid="{00000000-0005-0000-0000-000077080000}"/>
    <cellStyle name="Moeda 7 2 2 3" xfId="33878" xr:uid="{00000000-0005-0000-0000-000078080000}"/>
    <cellStyle name="Moeda 7 2 3" xfId="5982" xr:uid="{00000000-0005-0000-0000-000079080000}"/>
    <cellStyle name="Moeda 7 2 3 2" xfId="32178" xr:uid="{00000000-0005-0000-0000-00007A080000}"/>
    <cellStyle name="Moeda 7 2 4" xfId="12370" xr:uid="{00000000-0005-0000-0000-00007B080000}"/>
    <cellStyle name="Moeda 7 2 4 2" xfId="38563" xr:uid="{00000000-0005-0000-0000-00007C080000}"/>
    <cellStyle name="Moeda 7 2 5" xfId="30481" xr:uid="{00000000-0005-0000-0000-00007D080000}"/>
    <cellStyle name="Moeda 7 3" xfId="4389" xr:uid="{00000000-0005-0000-0000-00007E080000}"/>
    <cellStyle name="Moeda 7 3 2" xfId="7791" xr:uid="{00000000-0005-0000-0000-00007F080000}"/>
    <cellStyle name="Moeda 7 3 2 2" xfId="14180" xr:uid="{00000000-0005-0000-0000-000080080000}"/>
    <cellStyle name="Moeda 7 3 2 2 2" xfId="40373" xr:uid="{00000000-0005-0000-0000-000081080000}"/>
    <cellStyle name="Moeda 7 3 2 3" xfId="33987" xr:uid="{00000000-0005-0000-0000-000082080000}"/>
    <cellStyle name="Moeda 7 3 3" xfId="6091" xr:uid="{00000000-0005-0000-0000-000083080000}"/>
    <cellStyle name="Moeda 7 3 3 2" xfId="32287" xr:uid="{00000000-0005-0000-0000-000084080000}"/>
    <cellStyle name="Moeda 7 3 4" xfId="12479" xr:uid="{00000000-0005-0000-0000-000085080000}"/>
    <cellStyle name="Moeda 7 3 4 2" xfId="38672" xr:uid="{00000000-0005-0000-0000-000086080000}"/>
    <cellStyle name="Moeda 7 3 5" xfId="30589" xr:uid="{00000000-0005-0000-0000-000087080000}"/>
    <cellStyle name="Moeda 7 4" xfId="4497" xr:uid="{00000000-0005-0000-0000-000088080000}"/>
    <cellStyle name="Moeda 7 4 2" xfId="7899" xr:uid="{00000000-0005-0000-0000-000089080000}"/>
    <cellStyle name="Moeda 7 4 2 2" xfId="14288" xr:uid="{00000000-0005-0000-0000-00008A080000}"/>
    <cellStyle name="Moeda 7 4 2 2 2" xfId="40481" xr:uid="{00000000-0005-0000-0000-00008B080000}"/>
    <cellStyle name="Moeda 7 4 2 3" xfId="34095" xr:uid="{00000000-0005-0000-0000-00008C080000}"/>
    <cellStyle name="Moeda 7 4 3" xfId="6198" xr:uid="{00000000-0005-0000-0000-00008D080000}"/>
    <cellStyle name="Moeda 7 4 3 2" xfId="32394" xr:uid="{00000000-0005-0000-0000-00008E080000}"/>
    <cellStyle name="Moeda 7 4 4" xfId="12587" xr:uid="{00000000-0005-0000-0000-00008F080000}"/>
    <cellStyle name="Moeda 7 4 4 2" xfId="38780" xr:uid="{00000000-0005-0000-0000-000090080000}"/>
    <cellStyle name="Moeda 7 4 5" xfId="30697" xr:uid="{00000000-0005-0000-0000-000091080000}"/>
    <cellStyle name="Moeda 7 5" xfId="5906" xr:uid="{00000000-0005-0000-0000-000092080000}"/>
    <cellStyle name="Moeda 7 5 2" xfId="7605" xr:uid="{00000000-0005-0000-0000-000093080000}"/>
    <cellStyle name="Moeda 7 5 2 2" xfId="13994" xr:uid="{00000000-0005-0000-0000-000094080000}"/>
    <cellStyle name="Moeda 7 5 2 2 2" xfId="40187" xr:uid="{00000000-0005-0000-0000-000095080000}"/>
    <cellStyle name="Moeda 7 5 2 3" xfId="33801" xr:uid="{00000000-0005-0000-0000-000096080000}"/>
    <cellStyle name="Moeda 7 5 3" xfId="12293" xr:uid="{00000000-0005-0000-0000-000097080000}"/>
    <cellStyle name="Moeda 7 5 3 2" xfId="38486" xr:uid="{00000000-0005-0000-0000-000098080000}"/>
    <cellStyle name="Moeda 7 5 4" xfId="32102" xr:uid="{00000000-0005-0000-0000-000099080000}"/>
    <cellStyle name="Moeda 7 6" xfId="6307" xr:uid="{00000000-0005-0000-0000-00009A080000}"/>
    <cellStyle name="Moeda 7 6 2" xfId="12696" xr:uid="{00000000-0005-0000-0000-00009B080000}"/>
    <cellStyle name="Moeda 7 6 2 2" xfId="38889" xr:uid="{00000000-0005-0000-0000-00009C080000}"/>
    <cellStyle name="Moeda 7 6 3" xfId="32503" xr:uid="{00000000-0005-0000-0000-00009D080000}"/>
    <cellStyle name="Moeda 7 7" xfId="4605" xr:uid="{00000000-0005-0000-0000-00009E080000}"/>
    <cellStyle name="Moeda 7 7 2" xfId="30805" xr:uid="{00000000-0005-0000-0000-00009F080000}"/>
    <cellStyle name="Moeda 7 8" xfId="10996" xr:uid="{00000000-0005-0000-0000-0000A0080000}"/>
    <cellStyle name="Moeda 7 8 2" xfId="37189" xr:uid="{00000000-0005-0000-0000-0000A1080000}"/>
    <cellStyle name="Moeda 7 9" xfId="30405" xr:uid="{00000000-0005-0000-0000-0000A2080000}"/>
    <cellStyle name="Moeda 8" xfId="4241" xr:uid="{00000000-0005-0000-0000-0000A3080000}"/>
    <cellStyle name="Moeda 8 2" xfId="4318" xr:uid="{00000000-0005-0000-0000-0000A4080000}"/>
    <cellStyle name="Moeda 8 2 2" xfId="7719" xr:uid="{00000000-0005-0000-0000-0000A5080000}"/>
    <cellStyle name="Moeda 8 2 2 2" xfId="14108" xr:uid="{00000000-0005-0000-0000-0000A6080000}"/>
    <cellStyle name="Moeda 8 2 2 2 2" xfId="40301" xr:uid="{00000000-0005-0000-0000-0000A7080000}"/>
    <cellStyle name="Moeda 8 2 2 3" xfId="33915" xr:uid="{00000000-0005-0000-0000-0000A8080000}"/>
    <cellStyle name="Moeda 8 2 3" xfId="6019" xr:uid="{00000000-0005-0000-0000-0000A9080000}"/>
    <cellStyle name="Moeda 8 2 3 2" xfId="32215" xr:uid="{00000000-0005-0000-0000-0000AA080000}"/>
    <cellStyle name="Moeda 8 2 4" xfId="12407" xr:uid="{00000000-0005-0000-0000-0000AB080000}"/>
    <cellStyle name="Moeda 8 2 4 2" xfId="38600" xr:uid="{00000000-0005-0000-0000-0000AC080000}"/>
    <cellStyle name="Moeda 8 2 5" xfId="30518" xr:uid="{00000000-0005-0000-0000-0000AD080000}"/>
    <cellStyle name="Moeda 8 3" xfId="4426" xr:uid="{00000000-0005-0000-0000-0000AE080000}"/>
    <cellStyle name="Moeda 8 3 2" xfId="7828" xr:uid="{00000000-0005-0000-0000-0000AF080000}"/>
    <cellStyle name="Moeda 8 3 2 2" xfId="14217" xr:uid="{00000000-0005-0000-0000-0000B0080000}"/>
    <cellStyle name="Moeda 8 3 2 2 2" xfId="40410" xr:uid="{00000000-0005-0000-0000-0000B1080000}"/>
    <cellStyle name="Moeda 8 3 2 3" xfId="34024" xr:uid="{00000000-0005-0000-0000-0000B2080000}"/>
    <cellStyle name="Moeda 8 3 3" xfId="6128" xr:uid="{00000000-0005-0000-0000-0000B3080000}"/>
    <cellStyle name="Moeda 8 3 3 2" xfId="32324" xr:uid="{00000000-0005-0000-0000-0000B4080000}"/>
    <cellStyle name="Moeda 8 3 4" xfId="12516" xr:uid="{00000000-0005-0000-0000-0000B5080000}"/>
    <cellStyle name="Moeda 8 3 4 2" xfId="38709" xr:uid="{00000000-0005-0000-0000-0000B6080000}"/>
    <cellStyle name="Moeda 8 3 5" xfId="30626" xr:uid="{00000000-0005-0000-0000-0000B7080000}"/>
    <cellStyle name="Moeda 8 4" xfId="4534" xr:uid="{00000000-0005-0000-0000-0000B8080000}"/>
    <cellStyle name="Moeda 8 4 2" xfId="7936" xr:uid="{00000000-0005-0000-0000-0000B9080000}"/>
    <cellStyle name="Moeda 8 4 2 2" xfId="14325" xr:uid="{00000000-0005-0000-0000-0000BA080000}"/>
    <cellStyle name="Moeda 8 4 2 2 2" xfId="40518" xr:uid="{00000000-0005-0000-0000-0000BB080000}"/>
    <cellStyle name="Moeda 8 4 2 3" xfId="34132" xr:uid="{00000000-0005-0000-0000-0000BC080000}"/>
    <cellStyle name="Moeda 8 4 3" xfId="6235" xr:uid="{00000000-0005-0000-0000-0000BD080000}"/>
    <cellStyle name="Moeda 8 4 3 2" xfId="32431" xr:uid="{00000000-0005-0000-0000-0000BE080000}"/>
    <cellStyle name="Moeda 8 4 4" xfId="12624" xr:uid="{00000000-0005-0000-0000-0000BF080000}"/>
    <cellStyle name="Moeda 8 4 4 2" xfId="38817" xr:uid="{00000000-0005-0000-0000-0000C0080000}"/>
    <cellStyle name="Moeda 8 4 5" xfId="30734" xr:uid="{00000000-0005-0000-0000-0000C1080000}"/>
    <cellStyle name="Moeda 8 5" xfId="5942" xr:uid="{00000000-0005-0000-0000-0000C2080000}"/>
    <cellStyle name="Moeda 8 5 2" xfId="7642" xr:uid="{00000000-0005-0000-0000-0000C3080000}"/>
    <cellStyle name="Moeda 8 5 2 2" xfId="14031" xr:uid="{00000000-0005-0000-0000-0000C4080000}"/>
    <cellStyle name="Moeda 8 5 2 2 2" xfId="40224" xr:uid="{00000000-0005-0000-0000-0000C5080000}"/>
    <cellStyle name="Moeda 8 5 2 3" xfId="33838" xr:uid="{00000000-0005-0000-0000-0000C6080000}"/>
    <cellStyle name="Moeda 8 5 3" xfId="12330" xr:uid="{00000000-0005-0000-0000-0000C7080000}"/>
    <cellStyle name="Moeda 8 5 3 2" xfId="38523" xr:uid="{00000000-0005-0000-0000-0000C8080000}"/>
    <cellStyle name="Moeda 8 5 4" xfId="32138" xr:uid="{00000000-0005-0000-0000-0000C9080000}"/>
    <cellStyle name="Moeda 8 6" xfId="6344" xr:uid="{00000000-0005-0000-0000-0000CA080000}"/>
    <cellStyle name="Moeda 8 6 2" xfId="12733" xr:uid="{00000000-0005-0000-0000-0000CB080000}"/>
    <cellStyle name="Moeda 8 6 2 2" xfId="38926" xr:uid="{00000000-0005-0000-0000-0000CC080000}"/>
    <cellStyle name="Moeda 8 6 3" xfId="32540" xr:uid="{00000000-0005-0000-0000-0000CD080000}"/>
    <cellStyle name="Moeda 8 7" xfId="4641" xr:uid="{00000000-0005-0000-0000-0000CE080000}"/>
    <cellStyle name="Moeda 8 7 2" xfId="30841" xr:uid="{00000000-0005-0000-0000-0000CF080000}"/>
    <cellStyle name="Moeda 8 8" xfId="11032" xr:uid="{00000000-0005-0000-0000-0000D0080000}"/>
    <cellStyle name="Moeda 8 8 2" xfId="37225" xr:uid="{00000000-0005-0000-0000-0000D1080000}"/>
    <cellStyle name="Moeda 8 9" xfId="30441" xr:uid="{00000000-0005-0000-0000-0000D2080000}"/>
    <cellStyle name="Moeda 9" xfId="4272" xr:uid="{00000000-0005-0000-0000-0000D3080000}"/>
    <cellStyle name="Moeda 9 2" xfId="4349" xr:uid="{00000000-0005-0000-0000-0000D4080000}"/>
    <cellStyle name="Moeda 9 2 2" xfId="7750" xr:uid="{00000000-0005-0000-0000-0000D5080000}"/>
    <cellStyle name="Moeda 9 2 2 2" xfId="14139" xr:uid="{00000000-0005-0000-0000-0000D6080000}"/>
    <cellStyle name="Moeda 9 2 2 2 2" xfId="40332" xr:uid="{00000000-0005-0000-0000-0000D7080000}"/>
    <cellStyle name="Moeda 9 2 2 3" xfId="33946" xr:uid="{00000000-0005-0000-0000-0000D8080000}"/>
    <cellStyle name="Moeda 9 2 3" xfId="6050" xr:uid="{00000000-0005-0000-0000-0000D9080000}"/>
    <cellStyle name="Moeda 9 2 3 2" xfId="32246" xr:uid="{00000000-0005-0000-0000-0000DA080000}"/>
    <cellStyle name="Moeda 9 2 4" xfId="12438" xr:uid="{00000000-0005-0000-0000-0000DB080000}"/>
    <cellStyle name="Moeda 9 2 4 2" xfId="38631" xr:uid="{00000000-0005-0000-0000-0000DC080000}"/>
    <cellStyle name="Moeda 9 2 5" xfId="30549" xr:uid="{00000000-0005-0000-0000-0000DD080000}"/>
    <cellStyle name="Moeda 9 3" xfId="4457" xr:uid="{00000000-0005-0000-0000-0000DE080000}"/>
    <cellStyle name="Moeda 9 3 2" xfId="7859" xr:uid="{00000000-0005-0000-0000-0000DF080000}"/>
    <cellStyle name="Moeda 9 3 2 2" xfId="14248" xr:uid="{00000000-0005-0000-0000-0000E0080000}"/>
    <cellStyle name="Moeda 9 3 2 2 2" xfId="40441" xr:uid="{00000000-0005-0000-0000-0000E1080000}"/>
    <cellStyle name="Moeda 9 3 2 3" xfId="34055" xr:uid="{00000000-0005-0000-0000-0000E2080000}"/>
    <cellStyle name="Moeda 9 3 3" xfId="6158" xr:uid="{00000000-0005-0000-0000-0000E3080000}"/>
    <cellStyle name="Moeda 9 3 3 2" xfId="32354" xr:uid="{00000000-0005-0000-0000-0000E4080000}"/>
    <cellStyle name="Moeda 9 3 4" xfId="12547" xr:uid="{00000000-0005-0000-0000-0000E5080000}"/>
    <cellStyle name="Moeda 9 3 4 2" xfId="38740" xr:uid="{00000000-0005-0000-0000-0000E6080000}"/>
    <cellStyle name="Moeda 9 3 5" xfId="30657" xr:uid="{00000000-0005-0000-0000-0000E7080000}"/>
    <cellStyle name="Moeda 9 4" xfId="4565" xr:uid="{00000000-0005-0000-0000-0000E8080000}"/>
    <cellStyle name="Moeda 9 4 2" xfId="7967" xr:uid="{00000000-0005-0000-0000-0000E9080000}"/>
    <cellStyle name="Moeda 9 4 2 2" xfId="14356" xr:uid="{00000000-0005-0000-0000-0000EA080000}"/>
    <cellStyle name="Moeda 9 4 2 2 2" xfId="40549" xr:uid="{00000000-0005-0000-0000-0000EB080000}"/>
    <cellStyle name="Moeda 9 4 2 3" xfId="34163" xr:uid="{00000000-0005-0000-0000-0000EC080000}"/>
    <cellStyle name="Moeda 9 4 3" xfId="6266" xr:uid="{00000000-0005-0000-0000-0000ED080000}"/>
    <cellStyle name="Moeda 9 4 3 2" xfId="32462" xr:uid="{00000000-0005-0000-0000-0000EE080000}"/>
    <cellStyle name="Moeda 9 4 4" xfId="12655" xr:uid="{00000000-0005-0000-0000-0000EF080000}"/>
    <cellStyle name="Moeda 9 4 4 2" xfId="38848" xr:uid="{00000000-0005-0000-0000-0000F0080000}"/>
    <cellStyle name="Moeda 9 4 5" xfId="30765" xr:uid="{00000000-0005-0000-0000-0000F1080000}"/>
    <cellStyle name="Moeda 9 5" xfId="5973" xr:uid="{00000000-0005-0000-0000-0000F2080000}"/>
    <cellStyle name="Moeda 9 5 2" xfId="7673" xr:uid="{00000000-0005-0000-0000-0000F3080000}"/>
    <cellStyle name="Moeda 9 5 2 2" xfId="14062" xr:uid="{00000000-0005-0000-0000-0000F4080000}"/>
    <cellStyle name="Moeda 9 5 2 2 2" xfId="40255" xr:uid="{00000000-0005-0000-0000-0000F5080000}"/>
    <cellStyle name="Moeda 9 5 2 3" xfId="33869" xr:uid="{00000000-0005-0000-0000-0000F6080000}"/>
    <cellStyle name="Moeda 9 5 3" xfId="12361" xr:uid="{00000000-0005-0000-0000-0000F7080000}"/>
    <cellStyle name="Moeda 9 5 3 2" xfId="38554" xr:uid="{00000000-0005-0000-0000-0000F8080000}"/>
    <cellStyle name="Moeda 9 5 4" xfId="32169" xr:uid="{00000000-0005-0000-0000-0000F9080000}"/>
    <cellStyle name="Moeda 9 6" xfId="6375" xr:uid="{00000000-0005-0000-0000-0000FA080000}"/>
    <cellStyle name="Moeda 9 6 2" xfId="12764" xr:uid="{00000000-0005-0000-0000-0000FB080000}"/>
    <cellStyle name="Moeda 9 6 2 2" xfId="38957" xr:uid="{00000000-0005-0000-0000-0000FC080000}"/>
    <cellStyle name="Moeda 9 6 3" xfId="32571" xr:uid="{00000000-0005-0000-0000-0000FD080000}"/>
    <cellStyle name="Moeda 9 7" xfId="4672" xr:uid="{00000000-0005-0000-0000-0000FE080000}"/>
    <cellStyle name="Moeda 9 7 2" xfId="30872" xr:uid="{00000000-0005-0000-0000-0000FF080000}"/>
    <cellStyle name="Moeda 9 8" xfId="11063" xr:uid="{00000000-0005-0000-0000-000000090000}"/>
    <cellStyle name="Moeda 9 8 2" xfId="37256" xr:uid="{00000000-0005-0000-0000-000001090000}"/>
    <cellStyle name="Moeda 9 9" xfId="30472" xr:uid="{00000000-0005-0000-0000-000002090000}"/>
    <cellStyle name="Normal" xfId="0" builtinId="0"/>
    <cellStyle name="Normal 2" xfId="7" xr:uid="{00000000-0005-0000-0000-000004090000}"/>
    <cellStyle name="Normal 2 2" xfId="15" xr:uid="{00000000-0005-0000-0000-000005090000}"/>
    <cellStyle name="Normal 2 2 2" xfId="16" xr:uid="{00000000-0005-0000-0000-000006090000}"/>
    <cellStyle name="Normal 2 2 3" xfId="4198" xr:uid="{00000000-0005-0000-0000-000007090000}"/>
    <cellStyle name="Normal 2 2 4" xfId="4706" xr:uid="{00000000-0005-0000-0000-000008090000}"/>
    <cellStyle name="Normal 2 3" xfId="17" xr:uid="{00000000-0005-0000-0000-000009090000}"/>
    <cellStyle name="Normal 2 4" xfId="112" xr:uid="{00000000-0005-0000-0000-00000A090000}"/>
    <cellStyle name="Normal 2 4 2" xfId="4199" xr:uid="{00000000-0005-0000-0000-00000B090000}"/>
    <cellStyle name="Normal 2 4 3" xfId="4733" xr:uid="{00000000-0005-0000-0000-00000C090000}"/>
    <cellStyle name="Normal 2 5" xfId="10" xr:uid="{00000000-0005-0000-0000-00000D090000}"/>
    <cellStyle name="Normal 3" xfId="18" xr:uid="{00000000-0005-0000-0000-00000E090000}"/>
    <cellStyle name="Normal 4" xfId="19" xr:uid="{00000000-0005-0000-0000-00000F090000}"/>
    <cellStyle name="Normal 4 10" xfId="77" xr:uid="{00000000-0005-0000-0000-000010090000}"/>
    <cellStyle name="Normal 4 10 10" xfId="2580" xr:uid="{00000000-0005-0000-0000-000011090000}"/>
    <cellStyle name="Normal 4 10 11" xfId="3107" xr:uid="{00000000-0005-0000-0000-000012090000}"/>
    <cellStyle name="Normal 4 10 12" xfId="3634" xr:uid="{00000000-0005-0000-0000-000013090000}"/>
    <cellStyle name="Normal 4 10 2" xfId="171" xr:uid="{00000000-0005-0000-0000-000014090000}"/>
    <cellStyle name="Normal 4 10 2 2" xfId="444" xr:uid="{00000000-0005-0000-0000-000015090000}"/>
    <cellStyle name="Normal 4 10 2 2 2" xfId="1963" xr:uid="{00000000-0005-0000-0000-000016090000}"/>
    <cellStyle name="Normal 4 10 2 2 3" xfId="2493" xr:uid="{00000000-0005-0000-0000-000017090000}"/>
    <cellStyle name="Normal 4 10 2 2 4" xfId="3020" xr:uid="{00000000-0005-0000-0000-000018090000}"/>
    <cellStyle name="Normal 4 10 2 2 5" xfId="3547" xr:uid="{00000000-0005-0000-0000-000019090000}"/>
    <cellStyle name="Normal 4 10 2 2 6" xfId="4074" xr:uid="{00000000-0005-0000-0000-00001A090000}"/>
    <cellStyle name="Normal 4 10 2 3" xfId="917" xr:uid="{00000000-0005-0000-0000-00001B090000}"/>
    <cellStyle name="Normal 4 10 2 4" xfId="1268" xr:uid="{00000000-0005-0000-0000-00001C090000}"/>
    <cellStyle name="Normal 4 10 2 5" xfId="1703" xr:uid="{00000000-0005-0000-0000-00001D090000}"/>
    <cellStyle name="Normal 4 10 2 6" xfId="2233" xr:uid="{00000000-0005-0000-0000-00001E090000}"/>
    <cellStyle name="Normal 4 10 2 7" xfId="2760" xr:uid="{00000000-0005-0000-0000-00001F090000}"/>
    <cellStyle name="Normal 4 10 2 8" xfId="3287" xr:uid="{00000000-0005-0000-0000-000020090000}"/>
    <cellStyle name="Normal 4 10 2 9" xfId="3814" xr:uid="{00000000-0005-0000-0000-000021090000}"/>
    <cellStyle name="Normal 4 10 3" xfId="266" xr:uid="{00000000-0005-0000-0000-000022090000}"/>
    <cellStyle name="Normal 4 10 3 2" xfId="529" xr:uid="{00000000-0005-0000-0000-000023090000}"/>
    <cellStyle name="Normal 4 10 3 3" xfId="826" xr:uid="{00000000-0005-0000-0000-000024090000}"/>
    <cellStyle name="Normal 4 10 3 4" xfId="1177" xr:uid="{00000000-0005-0000-0000-000025090000}"/>
    <cellStyle name="Normal 4 10 3 5" xfId="1612" xr:uid="{00000000-0005-0000-0000-000026090000}"/>
    <cellStyle name="Normal 4 10 3 6" xfId="2142" xr:uid="{00000000-0005-0000-0000-000027090000}"/>
    <cellStyle name="Normal 4 10 3 7" xfId="2669" xr:uid="{00000000-0005-0000-0000-000028090000}"/>
    <cellStyle name="Normal 4 10 3 8" xfId="3196" xr:uid="{00000000-0005-0000-0000-000029090000}"/>
    <cellStyle name="Normal 4 10 3 9" xfId="3723" xr:uid="{00000000-0005-0000-0000-00002A090000}"/>
    <cellStyle name="Normal 4 10 4" xfId="359" xr:uid="{00000000-0005-0000-0000-00002B090000}"/>
    <cellStyle name="Normal 4 10 4 2" xfId="1004" xr:uid="{00000000-0005-0000-0000-00002C090000}"/>
    <cellStyle name="Normal 4 10 4 3" xfId="1355" xr:uid="{00000000-0005-0000-0000-00002D090000}"/>
    <cellStyle name="Normal 4 10 4 4" xfId="1790" xr:uid="{00000000-0005-0000-0000-00002E090000}"/>
    <cellStyle name="Normal 4 10 4 5" xfId="2320" xr:uid="{00000000-0005-0000-0000-00002F090000}"/>
    <cellStyle name="Normal 4 10 4 6" xfId="2847" xr:uid="{00000000-0005-0000-0000-000030090000}"/>
    <cellStyle name="Normal 4 10 4 7" xfId="3374" xr:uid="{00000000-0005-0000-0000-000031090000}"/>
    <cellStyle name="Normal 4 10 4 8" xfId="3901" xr:uid="{00000000-0005-0000-0000-000032090000}"/>
    <cellStyle name="Normal 4 10 5" xfId="616" xr:uid="{00000000-0005-0000-0000-000033090000}"/>
    <cellStyle name="Normal 4 10 5 2" xfId="1439" xr:uid="{00000000-0005-0000-0000-000034090000}"/>
    <cellStyle name="Normal 4 10 5 3" xfId="1874" xr:uid="{00000000-0005-0000-0000-000035090000}"/>
    <cellStyle name="Normal 4 10 5 4" xfId="2404" xr:uid="{00000000-0005-0000-0000-000036090000}"/>
    <cellStyle name="Normal 4 10 5 5" xfId="2931" xr:uid="{00000000-0005-0000-0000-000037090000}"/>
    <cellStyle name="Normal 4 10 5 6" xfId="3458" xr:uid="{00000000-0005-0000-0000-000038090000}"/>
    <cellStyle name="Normal 4 10 5 7" xfId="3985" xr:uid="{00000000-0005-0000-0000-000039090000}"/>
    <cellStyle name="Normal 4 10 6" xfId="737" xr:uid="{00000000-0005-0000-0000-00003A090000}"/>
    <cellStyle name="Normal 4 10 6 2" xfId="4161" xr:uid="{00000000-0005-0000-0000-00003B090000}"/>
    <cellStyle name="Normal 4 10 7" xfId="1088" xr:uid="{00000000-0005-0000-0000-00003C090000}"/>
    <cellStyle name="Normal 4 10 8" xfId="1523" xr:uid="{00000000-0005-0000-0000-00003D090000}"/>
    <cellStyle name="Normal 4 10 9" xfId="2053" xr:uid="{00000000-0005-0000-0000-00003E090000}"/>
    <cellStyle name="Normal 4 11" xfId="85" xr:uid="{00000000-0005-0000-0000-00003F090000}"/>
    <cellStyle name="Normal 4 11 10" xfId="2588" xr:uid="{00000000-0005-0000-0000-000040090000}"/>
    <cellStyle name="Normal 4 11 11" xfId="3115" xr:uid="{00000000-0005-0000-0000-000041090000}"/>
    <cellStyle name="Normal 4 11 12" xfId="3642" xr:uid="{00000000-0005-0000-0000-000042090000}"/>
    <cellStyle name="Normal 4 11 2" xfId="179" xr:uid="{00000000-0005-0000-0000-000043090000}"/>
    <cellStyle name="Normal 4 11 2 2" xfId="452" xr:uid="{00000000-0005-0000-0000-000044090000}"/>
    <cellStyle name="Normal 4 11 2 2 2" xfId="1971" xr:uid="{00000000-0005-0000-0000-000045090000}"/>
    <cellStyle name="Normal 4 11 2 2 3" xfId="2501" xr:uid="{00000000-0005-0000-0000-000046090000}"/>
    <cellStyle name="Normal 4 11 2 2 4" xfId="3028" xr:uid="{00000000-0005-0000-0000-000047090000}"/>
    <cellStyle name="Normal 4 11 2 2 5" xfId="3555" xr:uid="{00000000-0005-0000-0000-000048090000}"/>
    <cellStyle name="Normal 4 11 2 2 6" xfId="4082" xr:uid="{00000000-0005-0000-0000-000049090000}"/>
    <cellStyle name="Normal 4 11 2 3" xfId="925" xr:uid="{00000000-0005-0000-0000-00004A090000}"/>
    <cellStyle name="Normal 4 11 2 4" xfId="1276" xr:uid="{00000000-0005-0000-0000-00004B090000}"/>
    <cellStyle name="Normal 4 11 2 5" xfId="1711" xr:uid="{00000000-0005-0000-0000-00004C090000}"/>
    <cellStyle name="Normal 4 11 2 6" xfId="2241" xr:uid="{00000000-0005-0000-0000-00004D090000}"/>
    <cellStyle name="Normal 4 11 2 7" xfId="2768" xr:uid="{00000000-0005-0000-0000-00004E090000}"/>
    <cellStyle name="Normal 4 11 2 8" xfId="3295" xr:uid="{00000000-0005-0000-0000-00004F090000}"/>
    <cellStyle name="Normal 4 11 2 9" xfId="3822" xr:uid="{00000000-0005-0000-0000-000050090000}"/>
    <cellStyle name="Normal 4 11 3" xfId="274" xr:uid="{00000000-0005-0000-0000-000051090000}"/>
    <cellStyle name="Normal 4 11 3 2" xfId="537" xr:uid="{00000000-0005-0000-0000-000052090000}"/>
    <cellStyle name="Normal 4 11 3 3" xfId="834" xr:uid="{00000000-0005-0000-0000-000053090000}"/>
    <cellStyle name="Normal 4 11 3 4" xfId="1185" xr:uid="{00000000-0005-0000-0000-000054090000}"/>
    <cellStyle name="Normal 4 11 3 5" xfId="1620" xr:uid="{00000000-0005-0000-0000-000055090000}"/>
    <cellStyle name="Normal 4 11 3 6" xfId="2150" xr:uid="{00000000-0005-0000-0000-000056090000}"/>
    <cellStyle name="Normal 4 11 3 7" xfId="2677" xr:uid="{00000000-0005-0000-0000-000057090000}"/>
    <cellStyle name="Normal 4 11 3 8" xfId="3204" xr:uid="{00000000-0005-0000-0000-000058090000}"/>
    <cellStyle name="Normal 4 11 3 9" xfId="3731" xr:uid="{00000000-0005-0000-0000-000059090000}"/>
    <cellStyle name="Normal 4 11 4" xfId="367" xr:uid="{00000000-0005-0000-0000-00005A090000}"/>
    <cellStyle name="Normal 4 11 4 2" xfId="1012" xr:uid="{00000000-0005-0000-0000-00005B090000}"/>
    <cellStyle name="Normal 4 11 4 3" xfId="1363" xr:uid="{00000000-0005-0000-0000-00005C090000}"/>
    <cellStyle name="Normal 4 11 4 4" xfId="1798" xr:uid="{00000000-0005-0000-0000-00005D090000}"/>
    <cellStyle name="Normal 4 11 4 5" xfId="2328" xr:uid="{00000000-0005-0000-0000-00005E090000}"/>
    <cellStyle name="Normal 4 11 4 6" xfId="2855" xr:uid="{00000000-0005-0000-0000-00005F090000}"/>
    <cellStyle name="Normal 4 11 4 7" xfId="3382" xr:uid="{00000000-0005-0000-0000-000060090000}"/>
    <cellStyle name="Normal 4 11 4 8" xfId="3909" xr:uid="{00000000-0005-0000-0000-000061090000}"/>
    <cellStyle name="Normal 4 11 5" xfId="624" xr:uid="{00000000-0005-0000-0000-000062090000}"/>
    <cellStyle name="Normal 4 11 5 2" xfId="1447" xr:uid="{00000000-0005-0000-0000-000063090000}"/>
    <cellStyle name="Normal 4 11 5 3" xfId="1882" xr:uid="{00000000-0005-0000-0000-000064090000}"/>
    <cellStyle name="Normal 4 11 5 4" xfId="2412" xr:uid="{00000000-0005-0000-0000-000065090000}"/>
    <cellStyle name="Normal 4 11 5 5" xfId="2939" xr:uid="{00000000-0005-0000-0000-000066090000}"/>
    <cellStyle name="Normal 4 11 5 6" xfId="3466" xr:uid="{00000000-0005-0000-0000-000067090000}"/>
    <cellStyle name="Normal 4 11 5 7" xfId="3993" xr:uid="{00000000-0005-0000-0000-000068090000}"/>
    <cellStyle name="Normal 4 11 6" xfId="745" xr:uid="{00000000-0005-0000-0000-000069090000}"/>
    <cellStyle name="Normal 4 11 6 2" xfId="4169" xr:uid="{00000000-0005-0000-0000-00006A090000}"/>
    <cellStyle name="Normal 4 11 7" xfId="1096" xr:uid="{00000000-0005-0000-0000-00006B090000}"/>
    <cellStyle name="Normal 4 11 8" xfId="1531" xr:uid="{00000000-0005-0000-0000-00006C090000}"/>
    <cellStyle name="Normal 4 11 9" xfId="2061" xr:uid="{00000000-0005-0000-0000-00006D090000}"/>
    <cellStyle name="Normal 4 12" xfId="93" xr:uid="{00000000-0005-0000-0000-00006E090000}"/>
    <cellStyle name="Normal 4 12 10" xfId="2596" xr:uid="{00000000-0005-0000-0000-00006F090000}"/>
    <cellStyle name="Normal 4 12 11" xfId="3123" xr:uid="{00000000-0005-0000-0000-000070090000}"/>
    <cellStyle name="Normal 4 12 12" xfId="3650" xr:uid="{00000000-0005-0000-0000-000071090000}"/>
    <cellStyle name="Normal 4 12 2" xfId="187" xr:uid="{00000000-0005-0000-0000-000072090000}"/>
    <cellStyle name="Normal 4 12 2 2" xfId="460" xr:uid="{00000000-0005-0000-0000-000073090000}"/>
    <cellStyle name="Normal 4 12 2 2 2" xfId="1979" xr:uid="{00000000-0005-0000-0000-000074090000}"/>
    <cellStyle name="Normal 4 12 2 2 3" xfId="2509" xr:uid="{00000000-0005-0000-0000-000075090000}"/>
    <cellStyle name="Normal 4 12 2 2 4" xfId="3036" xr:uid="{00000000-0005-0000-0000-000076090000}"/>
    <cellStyle name="Normal 4 12 2 2 5" xfId="3563" xr:uid="{00000000-0005-0000-0000-000077090000}"/>
    <cellStyle name="Normal 4 12 2 2 6" xfId="4090" xr:uid="{00000000-0005-0000-0000-000078090000}"/>
    <cellStyle name="Normal 4 12 2 3" xfId="933" xr:uid="{00000000-0005-0000-0000-000079090000}"/>
    <cellStyle name="Normal 4 12 2 4" xfId="1284" xr:uid="{00000000-0005-0000-0000-00007A090000}"/>
    <cellStyle name="Normal 4 12 2 5" xfId="1719" xr:uid="{00000000-0005-0000-0000-00007B090000}"/>
    <cellStyle name="Normal 4 12 2 6" xfId="2249" xr:uid="{00000000-0005-0000-0000-00007C090000}"/>
    <cellStyle name="Normal 4 12 2 7" xfId="2776" xr:uid="{00000000-0005-0000-0000-00007D090000}"/>
    <cellStyle name="Normal 4 12 2 8" xfId="3303" xr:uid="{00000000-0005-0000-0000-00007E090000}"/>
    <cellStyle name="Normal 4 12 2 9" xfId="3830" xr:uid="{00000000-0005-0000-0000-00007F090000}"/>
    <cellStyle name="Normal 4 12 3" xfId="282" xr:uid="{00000000-0005-0000-0000-000080090000}"/>
    <cellStyle name="Normal 4 12 3 2" xfId="545" xr:uid="{00000000-0005-0000-0000-000081090000}"/>
    <cellStyle name="Normal 4 12 3 3" xfId="842" xr:uid="{00000000-0005-0000-0000-000082090000}"/>
    <cellStyle name="Normal 4 12 3 4" xfId="1193" xr:uid="{00000000-0005-0000-0000-000083090000}"/>
    <cellStyle name="Normal 4 12 3 5" xfId="1628" xr:uid="{00000000-0005-0000-0000-000084090000}"/>
    <cellStyle name="Normal 4 12 3 6" xfId="2158" xr:uid="{00000000-0005-0000-0000-000085090000}"/>
    <cellStyle name="Normal 4 12 3 7" xfId="2685" xr:uid="{00000000-0005-0000-0000-000086090000}"/>
    <cellStyle name="Normal 4 12 3 8" xfId="3212" xr:uid="{00000000-0005-0000-0000-000087090000}"/>
    <cellStyle name="Normal 4 12 3 9" xfId="3739" xr:uid="{00000000-0005-0000-0000-000088090000}"/>
    <cellStyle name="Normal 4 12 4" xfId="375" xr:uid="{00000000-0005-0000-0000-000089090000}"/>
    <cellStyle name="Normal 4 12 4 2" xfId="1020" xr:uid="{00000000-0005-0000-0000-00008A090000}"/>
    <cellStyle name="Normal 4 12 4 3" xfId="1371" xr:uid="{00000000-0005-0000-0000-00008B090000}"/>
    <cellStyle name="Normal 4 12 4 4" xfId="1806" xr:uid="{00000000-0005-0000-0000-00008C090000}"/>
    <cellStyle name="Normal 4 12 4 5" xfId="2336" xr:uid="{00000000-0005-0000-0000-00008D090000}"/>
    <cellStyle name="Normal 4 12 4 6" xfId="2863" xr:uid="{00000000-0005-0000-0000-00008E090000}"/>
    <cellStyle name="Normal 4 12 4 7" xfId="3390" xr:uid="{00000000-0005-0000-0000-00008F090000}"/>
    <cellStyle name="Normal 4 12 4 8" xfId="3917" xr:uid="{00000000-0005-0000-0000-000090090000}"/>
    <cellStyle name="Normal 4 12 5" xfId="632" xr:uid="{00000000-0005-0000-0000-000091090000}"/>
    <cellStyle name="Normal 4 12 5 2" xfId="1455" xr:uid="{00000000-0005-0000-0000-000092090000}"/>
    <cellStyle name="Normal 4 12 5 3" xfId="1890" xr:uid="{00000000-0005-0000-0000-000093090000}"/>
    <cellStyle name="Normal 4 12 5 4" xfId="2420" xr:uid="{00000000-0005-0000-0000-000094090000}"/>
    <cellStyle name="Normal 4 12 5 5" xfId="2947" xr:uid="{00000000-0005-0000-0000-000095090000}"/>
    <cellStyle name="Normal 4 12 5 6" xfId="3474" xr:uid="{00000000-0005-0000-0000-000096090000}"/>
    <cellStyle name="Normal 4 12 5 7" xfId="4001" xr:uid="{00000000-0005-0000-0000-000097090000}"/>
    <cellStyle name="Normal 4 12 6" xfId="753" xr:uid="{00000000-0005-0000-0000-000098090000}"/>
    <cellStyle name="Normal 4 12 6 2" xfId="4177" xr:uid="{00000000-0005-0000-0000-000099090000}"/>
    <cellStyle name="Normal 4 12 7" xfId="1104" xr:uid="{00000000-0005-0000-0000-00009A090000}"/>
    <cellStyle name="Normal 4 12 8" xfId="1539" xr:uid="{00000000-0005-0000-0000-00009B090000}"/>
    <cellStyle name="Normal 4 12 9" xfId="2069" xr:uid="{00000000-0005-0000-0000-00009C090000}"/>
    <cellStyle name="Normal 4 13" xfId="101" xr:uid="{00000000-0005-0000-0000-00009D090000}"/>
    <cellStyle name="Normal 4 13 10" xfId="2604" xr:uid="{00000000-0005-0000-0000-00009E090000}"/>
    <cellStyle name="Normal 4 13 11" xfId="3131" xr:uid="{00000000-0005-0000-0000-00009F090000}"/>
    <cellStyle name="Normal 4 13 12" xfId="3658" xr:uid="{00000000-0005-0000-0000-0000A0090000}"/>
    <cellStyle name="Normal 4 13 2" xfId="195" xr:uid="{00000000-0005-0000-0000-0000A1090000}"/>
    <cellStyle name="Normal 4 13 2 2" xfId="468" xr:uid="{00000000-0005-0000-0000-0000A2090000}"/>
    <cellStyle name="Normal 4 13 2 2 2" xfId="1987" xr:uid="{00000000-0005-0000-0000-0000A3090000}"/>
    <cellStyle name="Normal 4 13 2 2 3" xfId="2517" xr:uid="{00000000-0005-0000-0000-0000A4090000}"/>
    <cellStyle name="Normal 4 13 2 2 4" xfId="3044" xr:uid="{00000000-0005-0000-0000-0000A5090000}"/>
    <cellStyle name="Normal 4 13 2 2 5" xfId="3571" xr:uid="{00000000-0005-0000-0000-0000A6090000}"/>
    <cellStyle name="Normal 4 13 2 2 6" xfId="4098" xr:uid="{00000000-0005-0000-0000-0000A7090000}"/>
    <cellStyle name="Normal 4 13 2 3" xfId="941" xr:uid="{00000000-0005-0000-0000-0000A8090000}"/>
    <cellStyle name="Normal 4 13 2 4" xfId="1292" xr:uid="{00000000-0005-0000-0000-0000A9090000}"/>
    <cellStyle name="Normal 4 13 2 5" xfId="1727" xr:uid="{00000000-0005-0000-0000-0000AA090000}"/>
    <cellStyle name="Normal 4 13 2 6" xfId="2257" xr:uid="{00000000-0005-0000-0000-0000AB090000}"/>
    <cellStyle name="Normal 4 13 2 7" xfId="2784" xr:uid="{00000000-0005-0000-0000-0000AC090000}"/>
    <cellStyle name="Normal 4 13 2 8" xfId="3311" xr:uid="{00000000-0005-0000-0000-0000AD090000}"/>
    <cellStyle name="Normal 4 13 2 9" xfId="3838" xr:uid="{00000000-0005-0000-0000-0000AE090000}"/>
    <cellStyle name="Normal 4 13 3" xfId="290" xr:uid="{00000000-0005-0000-0000-0000AF090000}"/>
    <cellStyle name="Normal 4 13 3 2" xfId="553" xr:uid="{00000000-0005-0000-0000-0000B0090000}"/>
    <cellStyle name="Normal 4 13 3 3" xfId="850" xr:uid="{00000000-0005-0000-0000-0000B1090000}"/>
    <cellStyle name="Normal 4 13 3 4" xfId="1201" xr:uid="{00000000-0005-0000-0000-0000B2090000}"/>
    <cellStyle name="Normal 4 13 3 5" xfId="1636" xr:uid="{00000000-0005-0000-0000-0000B3090000}"/>
    <cellStyle name="Normal 4 13 3 6" xfId="2166" xr:uid="{00000000-0005-0000-0000-0000B4090000}"/>
    <cellStyle name="Normal 4 13 3 7" xfId="2693" xr:uid="{00000000-0005-0000-0000-0000B5090000}"/>
    <cellStyle name="Normal 4 13 3 8" xfId="3220" xr:uid="{00000000-0005-0000-0000-0000B6090000}"/>
    <cellStyle name="Normal 4 13 3 9" xfId="3747" xr:uid="{00000000-0005-0000-0000-0000B7090000}"/>
    <cellStyle name="Normal 4 13 4" xfId="383" xr:uid="{00000000-0005-0000-0000-0000B8090000}"/>
    <cellStyle name="Normal 4 13 4 2" xfId="1028" xr:uid="{00000000-0005-0000-0000-0000B9090000}"/>
    <cellStyle name="Normal 4 13 4 3" xfId="1379" xr:uid="{00000000-0005-0000-0000-0000BA090000}"/>
    <cellStyle name="Normal 4 13 4 4" xfId="1814" xr:uid="{00000000-0005-0000-0000-0000BB090000}"/>
    <cellStyle name="Normal 4 13 4 5" xfId="2344" xr:uid="{00000000-0005-0000-0000-0000BC090000}"/>
    <cellStyle name="Normal 4 13 4 6" xfId="2871" xr:uid="{00000000-0005-0000-0000-0000BD090000}"/>
    <cellStyle name="Normal 4 13 4 7" xfId="3398" xr:uid="{00000000-0005-0000-0000-0000BE090000}"/>
    <cellStyle name="Normal 4 13 4 8" xfId="3925" xr:uid="{00000000-0005-0000-0000-0000BF090000}"/>
    <cellStyle name="Normal 4 13 5" xfId="640" xr:uid="{00000000-0005-0000-0000-0000C0090000}"/>
    <cellStyle name="Normal 4 13 5 2" xfId="1463" xr:uid="{00000000-0005-0000-0000-0000C1090000}"/>
    <cellStyle name="Normal 4 13 5 3" xfId="1898" xr:uid="{00000000-0005-0000-0000-0000C2090000}"/>
    <cellStyle name="Normal 4 13 5 4" xfId="2428" xr:uid="{00000000-0005-0000-0000-0000C3090000}"/>
    <cellStyle name="Normal 4 13 5 5" xfId="2955" xr:uid="{00000000-0005-0000-0000-0000C4090000}"/>
    <cellStyle name="Normal 4 13 5 6" xfId="3482" xr:uid="{00000000-0005-0000-0000-0000C5090000}"/>
    <cellStyle name="Normal 4 13 5 7" xfId="4009" xr:uid="{00000000-0005-0000-0000-0000C6090000}"/>
    <cellStyle name="Normal 4 13 6" xfId="761" xr:uid="{00000000-0005-0000-0000-0000C7090000}"/>
    <cellStyle name="Normal 4 13 6 2" xfId="4185" xr:uid="{00000000-0005-0000-0000-0000C8090000}"/>
    <cellStyle name="Normal 4 13 7" xfId="1112" xr:uid="{00000000-0005-0000-0000-0000C9090000}"/>
    <cellStyle name="Normal 4 13 8" xfId="1547" xr:uid="{00000000-0005-0000-0000-0000CA090000}"/>
    <cellStyle name="Normal 4 13 9" xfId="2077" xr:uid="{00000000-0005-0000-0000-0000CB090000}"/>
    <cellStyle name="Normal 4 14" xfId="33" xr:uid="{00000000-0005-0000-0000-0000CC090000}"/>
    <cellStyle name="Normal 4 14 10" xfId="2536" xr:uid="{00000000-0005-0000-0000-0000CD090000}"/>
    <cellStyle name="Normal 4 14 11" xfId="3063" xr:uid="{00000000-0005-0000-0000-0000CE090000}"/>
    <cellStyle name="Normal 4 14 12" xfId="3590" xr:uid="{00000000-0005-0000-0000-0000CF090000}"/>
    <cellStyle name="Normal 4 14 2" xfId="127" xr:uid="{00000000-0005-0000-0000-0000D0090000}"/>
    <cellStyle name="Normal 4 14 2 2" xfId="400" xr:uid="{00000000-0005-0000-0000-0000D1090000}"/>
    <cellStyle name="Normal 4 14 2 2 2" xfId="1919" xr:uid="{00000000-0005-0000-0000-0000D2090000}"/>
    <cellStyle name="Normal 4 14 2 2 3" xfId="2449" xr:uid="{00000000-0005-0000-0000-0000D3090000}"/>
    <cellStyle name="Normal 4 14 2 2 4" xfId="2976" xr:uid="{00000000-0005-0000-0000-0000D4090000}"/>
    <cellStyle name="Normal 4 14 2 2 5" xfId="3503" xr:uid="{00000000-0005-0000-0000-0000D5090000}"/>
    <cellStyle name="Normal 4 14 2 2 6" xfId="4030" xr:uid="{00000000-0005-0000-0000-0000D6090000}"/>
    <cellStyle name="Normal 4 14 2 3" xfId="873" xr:uid="{00000000-0005-0000-0000-0000D7090000}"/>
    <cellStyle name="Normal 4 14 2 4" xfId="1224" xr:uid="{00000000-0005-0000-0000-0000D8090000}"/>
    <cellStyle name="Normal 4 14 2 5" xfId="1659" xr:uid="{00000000-0005-0000-0000-0000D9090000}"/>
    <cellStyle name="Normal 4 14 2 6" xfId="2189" xr:uid="{00000000-0005-0000-0000-0000DA090000}"/>
    <cellStyle name="Normal 4 14 2 7" xfId="2716" xr:uid="{00000000-0005-0000-0000-0000DB090000}"/>
    <cellStyle name="Normal 4 14 2 8" xfId="3243" xr:uid="{00000000-0005-0000-0000-0000DC090000}"/>
    <cellStyle name="Normal 4 14 2 9" xfId="3770" xr:uid="{00000000-0005-0000-0000-0000DD090000}"/>
    <cellStyle name="Normal 4 14 3" xfId="222" xr:uid="{00000000-0005-0000-0000-0000DE090000}"/>
    <cellStyle name="Normal 4 14 3 2" xfId="485" xr:uid="{00000000-0005-0000-0000-0000DF090000}"/>
    <cellStyle name="Normal 4 14 3 3" xfId="782" xr:uid="{00000000-0005-0000-0000-0000E0090000}"/>
    <cellStyle name="Normal 4 14 3 4" xfId="1133" xr:uid="{00000000-0005-0000-0000-0000E1090000}"/>
    <cellStyle name="Normal 4 14 3 5" xfId="1568" xr:uid="{00000000-0005-0000-0000-0000E2090000}"/>
    <cellStyle name="Normal 4 14 3 6" xfId="2098" xr:uid="{00000000-0005-0000-0000-0000E3090000}"/>
    <cellStyle name="Normal 4 14 3 7" xfId="2625" xr:uid="{00000000-0005-0000-0000-0000E4090000}"/>
    <cellStyle name="Normal 4 14 3 8" xfId="3152" xr:uid="{00000000-0005-0000-0000-0000E5090000}"/>
    <cellStyle name="Normal 4 14 3 9" xfId="3679" xr:uid="{00000000-0005-0000-0000-0000E6090000}"/>
    <cellStyle name="Normal 4 14 4" xfId="315" xr:uid="{00000000-0005-0000-0000-0000E7090000}"/>
    <cellStyle name="Normal 4 14 4 2" xfId="960" xr:uid="{00000000-0005-0000-0000-0000E8090000}"/>
    <cellStyle name="Normal 4 14 4 3" xfId="1311" xr:uid="{00000000-0005-0000-0000-0000E9090000}"/>
    <cellStyle name="Normal 4 14 4 4" xfId="1746" xr:uid="{00000000-0005-0000-0000-0000EA090000}"/>
    <cellStyle name="Normal 4 14 4 5" xfId="2276" xr:uid="{00000000-0005-0000-0000-0000EB090000}"/>
    <cellStyle name="Normal 4 14 4 6" xfId="2803" xr:uid="{00000000-0005-0000-0000-0000EC090000}"/>
    <cellStyle name="Normal 4 14 4 7" xfId="3330" xr:uid="{00000000-0005-0000-0000-0000ED090000}"/>
    <cellStyle name="Normal 4 14 4 8" xfId="3857" xr:uid="{00000000-0005-0000-0000-0000EE090000}"/>
    <cellStyle name="Normal 4 14 5" xfId="572" xr:uid="{00000000-0005-0000-0000-0000EF090000}"/>
    <cellStyle name="Normal 4 14 5 2" xfId="1395" xr:uid="{00000000-0005-0000-0000-0000F0090000}"/>
    <cellStyle name="Normal 4 14 5 3" xfId="1830" xr:uid="{00000000-0005-0000-0000-0000F1090000}"/>
    <cellStyle name="Normal 4 14 5 4" xfId="2360" xr:uid="{00000000-0005-0000-0000-0000F2090000}"/>
    <cellStyle name="Normal 4 14 5 5" xfId="2887" xr:uid="{00000000-0005-0000-0000-0000F3090000}"/>
    <cellStyle name="Normal 4 14 5 6" xfId="3414" xr:uid="{00000000-0005-0000-0000-0000F4090000}"/>
    <cellStyle name="Normal 4 14 5 7" xfId="3941" xr:uid="{00000000-0005-0000-0000-0000F5090000}"/>
    <cellStyle name="Normal 4 14 6" xfId="693" xr:uid="{00000000-0005-0000-0000-0000F6090000}"/>
    <cellStyle name="Normal 4 14 6 2" xfId="4117" xr:uid="{00000000-0005-0000-0000-0000F7090000}"/>
    <cellStyle name="Normal 4 14 7" xfId="1044" xr:uid="{00000000-0005-0000-0000-0000F8090000}"/>
    <cellStyle name="Normal 4 14 8" xfId="1479" xr:uid="{00000000-0005-0000-0000-0000F9090000}"/>
    <cellStyle name="Normal 4 14 9" xfId="2009" xr:uid="{00000000-0005-0000-0000-0000FA090000}"/>
    <cellStyle name="Normal 4 15" xfId="105" xr:uid="{00000000-0005-0000-0000-0000FB090000}"/>
    <cellStyle name="Normal 4 15 10" xfId="2608" xr:uid="{00000000-0005-0000-0000-0000FC090000}"/>
    <cellStyle name="Normal 4 15 11" xfId="3135" xr:uid="{00000000-0005-0000-0000-0000FD090000}"/>
    <cellStyle name="Normal 4 15 12" xfId="3662" xr:uid="{00000000-0005-0000-0000-0000FE090000}"/>
    <cellStyle name="Normal 4 15 2" xfId="199" xr:uid="{00000000-0005-0000-0000-0000FF090000}"/>
    <cellStyle name="Normal 4 15 2 2" xfId="472" xr:uid="{00000000-0005-0000-0000-0000000A0000}"/>
    <cellStyle name="Normal 4 15 2 2 2" xfId="1991" xr:uid="{00000000-0005-0000-0000-0000010A0000}"/>
    <cellStyle name="Normal 4 15 2 2 3" xfId="2521" xr:uid="{00000000-0005-0000-0000-0000020A0000}"/>
    <cellStyle name="Normal 4 15 2 2 4" xfId="3048" xr:uid="{00000000-0005-0000-0000-0000030A0000}"/>
    <cellStyle name="Normal 4 15 2 2 5" xfId="3575" xr:uid="{00000000-0005-0000-0000-0000040A0000}"/>
    <cellStyle name="Normal 4 15 2 2 6" xfId="4102" xr:uid="{00000000-0005-0000-0000-0000050A0000}"/>
    <cellStyle name="Normal 4 15 2 3" xfId="945" xr:uid="{00000000-0005-0000-0000-0000060A0000}"/>
    <cellStyle name="Normal 4 15 2 4" xfId="1296" xr:uid="{00000000-0005-0000-0000-0000070A0000}"/>
    <cellStyle name="Normal 4 15 2 5" xfId="1731" xr:uid="{00000000-0005-0000-0000-0000080A0000}"/>
    <cellStyle name="Normal 4 15 2 6" xfId="2261" xr:uid="{00000000-0005-0000-0000-0000090A0000}"/>
    <cellStyle name="Normal 4 15 2 7" xfId="2788" xr:uid="{00000000-0005-0000-0000-00000A0A0000}"/>
    <cellStyle name="Normal 4 15 2 8" xfId="3315" xr:uid="{00000000-0005-0000-0000-00000B0A0000}"/>
    <cellStyle name="Normal 4 15 2 9" xfId="3842" xr:uid="{00000000-0005-0000-0000-00000C0A0000}"/>
    <cellStyle name="Normal 4 15 3" xfId="294" xr:uid="{00000000-0005-0000-0000-00000D0A0000}"/>
    <cellStyle name="Normal 4 15 3 2" xfId="557" xr:uid="{00000000-0005-0000-0000-00000E0A0000}"/>
    <cellStyle name="Normal 4 15 3 3" xfId="854" xr:uid="{00000000-0005-0000-0000-00000F0A0000}"/>
    <cellStyle name="Normal 4 15 3 4" xfId="1205" xr:uid="{00000000-0005-0000-0000-0000100A0000}"/>
    <cellStyle name="Normal 4 15 3 5" xfId="1640" xr:uid="{00000000-0005-0000-0000-0000110A0000}"/>
    <cellStyle name="Normal 4 15 3 6" xfId="2170" xr:uid="{00000000-0005-0000-0000-0000120A0000}"/>
    <cellStyle name="Normal 4 15 3 7" xfId="2697" xr:uid="{00000000-0005-0000-0000-0000130A0000}"/>
    <cellStyle name="Normal 4 15 3 8" xfId="3224" xr:uid="{00000000-0005-0000-0000-0000140A0000}"/>
    <cellStyle name="Normal 4 15 3 9" xfId="3751" xr:uid="{00000000-0005-0000-0000-0000150A0000}"/>
    <cellStyle name="Normal 4 15 4" xfId="387" xr:uid="{00000000-0005-0000-0000-0000160A0000}"/>
    <cellStyle name="Normal 4 15 4 2" xfId="1032" xr:uid="{00000000-0005-0000-0000-0000170A0000}"/>
    <cellStyle name="Normal 4 15 4 3" xfId="1383" xr:uid="{00000000-0005-0000-0000-0000180A0000}"/>
    <cellStyle name="Normal 4 15 4 4" xfId="1818" xr:uid="{00000000-0005-0000-0000-0000190A0000}"/>
    <cellStyle name="Normal 4 15 4 5" xfId="2348" xr:uid="{00000000-0005-0000-0000-00001A0A0000}"/>
    <cellStyle name="Normal 4 15 4 6" xfId="2875" xr:uid="{00000000-0005-0000-0000-00001B0A0000}"/>
    <cellStyle name="Normal 4 15 4 7" xfId="3402" xr:uid="{00000000-0005-0000-0000-00001C0A0000}"/>
    <cellStyle name="Normal 4 15 4 8" xfId="3929" xr:uid="{00000000-0005-0000-0000-00001D0A0000}"/>
    <cellStyle name="Normal 4 15 5" xfId="644" xr:uid="{00000000-0005-0000-0000-00001E0A0000}"/>
    <cellStyle name="Normal 4 15 5 2" xfId="1467" xr:uid="{00000000-0005-0000-0000-00001F0A0000}"/>
    <cellStyle name="Normal 4 15 5 3" xfId="1902" xr:uid="{00000000-0005-0000-0000-0000200A0000}"/>
    <cellStyle name="Normal 4 15 5 4" xfId="2432" xr:uid="{00000000-0005-0000-0000-0000210A0000}"/>
    <cellStyle name="Normal 4 15 5 5" xfId="2959" xr:uid="{00000000-0005-0000-0000-0000220A0000}"/>
    <cellStyle name="Normal 4 15 5 6" xfId="3486" xr:uid="{00000000-0005-0000-0000-0000230A0000}"/>
    <cellStyle name="Normal 4 15 5 7" xfId="4013" xr:uid="{00000000-0005-0000-0000-0000240A0000}"/>
    <cellStyle name="Normal 4 15 6" xfId="765" xr:uid="{00000000-0005-0000-0000-0000250A0000}"/>
    <cellStyle name="Normal 4 15 6 2" xfId="4189" xr:uid="{00000000-0005-0000-0000-0000260A0000}"/>
    <cellStyle name="Normal 4 15 7" xfId="1116" xr:uid="{00000000-0005-0000-0000-0000270A0000}"/>
    <cellStyle name="Normal 4 15 8" xfId="1551" xr:uid="{00000000-0005-0000-0000-0000280A0000}"/>
    <cellStyle name="Normal 4 15 9" xfId="2081" xr:uid="{00000000-0005-0000-0000-0000290A0000}"/>
    <cellStyle name="Normal 4 16" xfId="116" xr:uid="{00000000-0005-0000-0000-00002A0A0000}"/>
    <cellStyle name="Normal 4 16 2" xfId="392" xr:uid="{00000000-0005-0000-0000-00002B0A0000}"/>
    <cellStyle name="Normal 4 16 2 2" xfId="1908" xr:uid="{00000000-0005-0000-0000-00002C0A0000}"/>
    <cellStyle name="Normal 4 16 2 3" xfId="2438" xr:uid="{00000000-0005-0000-0000-00002D0A0000}"/>
    <cellStyle name="Normal 4 16 2 4" xfId="2965" xr:uid="{00000000-0005-0000-0000-00002E0A0000}"/>
    <cellStyle name="Normal 4 16 2 5" xfId="3492" xr:uid="{00000000-0005-0000-0000-00002F0A0000}"/>
    <cellStyle name="Normal 4 16 2 6" xfId="4019" xr:uid="{00000000-0005-0000-0000-0000300A0000}"/>
    <cellStyle name="Normal 4 16 3" xfId="862" xr:uid="{00000000-0005-0000-0000-0000310A0000}"/>
    <cellStyle name="Normal 4 16 4" xfId="1213" xr:uid="{00000000-0005-0000-0000-0000320A0000}"/>
    <cellStyle name="Normal 4 16 5" xfId="1648" xr:uid="{00000000-0005-0000-0000-0000330A0000}"/>
    <cellStyle name="Normal 4 16 6" xfId="2178" xr:uid="{00000000-0005-0000-0000-0000340A0000}"/>
    <cellStyle name="Normal 4 16 7" xfId="2705" xr:uid="{00000000-0005-0000-0000-0000350A0000}"/>
    <cellStyle name="Normal 4 16 8" xfId="3232" xr:uid="{00000000-0005-0000-0000-0000360A0000}"/>
    <cellStyle name="Normal 4 16 9" xfId="3759" xr:uid="{00000000-0005-0000-0000-0000370A0000}"/>
    <cellStyle name="Normal 4 17" xfId="211" xr:uid="{00000000-0005-0000-0000-0000380A0000}"/>
    <cellStyle name="Normal 4 17 2" xfId="477" xr:uid="{00000000-0005-0000-0000-0000390A0000}"/>
    <cellStyle name="Normal 4 17 3" xfId="771" xr:uid="{00000000-0005-0000-0000-00003A0A0000}"/>
    <cellStyle name="Normal 4 17 4" xfId="1122" xr:uid="{00000000-0005-0000-0000-00003B0A0000}"/>
    <cellStyle name="Normal 4 17 5" xfId="1557" xr:uid="{00000000-0005-0000-0000-00003C0A0000}"/>
    <cellStyle name="Normal 4 17 6" xfId="2087" xr:uid="{00000000-0005-0000-0000-00003D0A0000}"/>
    <cellStyle name="Normal 4 17 7" xfId="2614" xr:uid="{00000000-0005-0000-0000-00003E0A0000}"/>
    <cellStyle name="Normal 4 17 8" xfId="3141" xr:uid="{00000000-0005-0000-0000-00003F0A0000}"/>
    <cellStyle name="Normal 4 17 9" xfId="3668" xr:uid="{00000000-0005-0000-0000-0000400A0000}"/>
    <cellStyle name="Normal 4 18" xfId="307" xr:uid="{00000000-0005-0000-0000-0000410A0000}"/>
    <cellStyle name="Normal 4 18 2" xfId="952" xr:uid="{00000000-0005-0000-0000-0000420A0000}"/>
    <cellStyle name="Normal 4 18 3" xfId="1303" xr:uid="{00000000-0005-0000-0000-0000430A0000}"/>
    <cellStyle name="Normal 4 18 4" xfId="1738" xr:uid="{00000000-0005-0000-0000-0000440A0000}"/>
    <cellStyle name="Normal 4 18 5" xfId="2268" xr:uid="{00000000-0005-0000-0000-0000450A0000}"/>
    <cellStyle name="Normal 4 18 6" xfId="2795" xr:uid="{00000000-0005-0000-0000-0000460A0000}"/>
    <cellStyle name="Normal 4 18 7" xfId="3322" xr:uid="{00000000-0005-0000-0000-0000470A0000}"/>
    <cellStyle name="Normal 4 18 8" xfId="3849" xr:uid="{00000000-0005-0000-0000-0000480A0000}"/>
    <cellStyle name="Normal 4 19" xfId="564" xr:uid="{00000000-0005-0000-0000-0000490A0000}"/>
    <cellStyle name="Normal 4 19 2" xfId="1387" xr:uid="{00000000-0005-0000-0000-00004A0A0000}"/>
    <cellStyle name="Normal 4 19 3" xfId="1822" xr:uid="{00000000-0005-0000-0000-00004B0A0000}"/>
    <cellStyle name="Normal 4 19 4" xfId="2352" xr:uid="{00000000-0005-0000-0000-00004C0A0000}"/>
    <cellStyle name="Normal 4 19 5" xfId="2879" xr:uid="{00000000-0005-0000-0000-00004D0A0000}"/>
    <cellStyle name="Normal 4 19 6" xfId="3406" xr:uid="{00000000-0005-0000-0000-00004E0A0000}"/>
    <cellStyle name="Normal 4 19 7" xfId="3933" xr:uid="{00000000-0005-0000-0000-00004F0A0000}"/>
    <cellStyle name="Normal 4 2" xfId="29" xr:uid="{00000000-0005-0000-0000-0000500A0000}"/>
    <cellStyle name="Normal 4 2 10" xfId="311" xr:uid="{00000000-0005-0000-0000-0000510A0000}"/>
    <cellStyle name="Normal 4 2 10 2" xfId="956" xr:uid="{00000000-0005-0000-0000-0000520A0000}"/>
    <cellStyle name="Normal 4 2 10 3" xfId="1307" xr:uid="{00000000-0005-0000-0000-0000530A0000}"/>
    <cellStyle name="Normal 4 2 10 4" xfId="1742" xr:uid="{00000000-0005-0000-0000-0000540A0000}"/>
    <cellStyle name="Normal 4 2 10 5" xfId="2272" xr:uid="{00000000-0005-0000-0000-0000550A0000}"/>
    <cellStyle name="Normal 4 2 10 6" xfId="2799" xr:uid="{00000000-0005-0000-0000-0000560A0000}"/>
    <cellStyle name="Normal 4 2 10 7" xfId="3326" xr:uid="{00000000-0005-0000-0000-0000570A0000}"/>
    <cellStyle name="Normal 4 2 10 8" xfId="3853" xr:uid="{00000000-0005-0000-0000-0000580A0000}"/>
    <cellStyle name="Normal 4 2 11" xfId="568" xr:uid="{00000000-0005-0000-0000-0000590A0000}"/>
    <cellStyle name="Normal 4 2 11 2" xfId="1391" xr:uid="{00000000-0005-0000-0000-00005A0A0000}"/>
    <cellStyle name="Normal 4 2 11 3" xfId="1826" xr:uid="{00000000-0005-0000-0000-00005B0A0000}"/>
    <cellStyle name="Normal 4 2 11 4" xfId="2356" xr:uid="{00000000-0005-0000-0000-00005C0A0000}"/>
    <cellStyle name="Normal 4 2 11 5" xfId="2883" xr:uid="{00000000-0005-0000-0000-00005D0A0000}"/>
    <cellStyle name="Normal 4 2 11 6" xfId="3410" xr:uid="{00000000-0005-0000-0000-00005E0A0000}"/>
    <cellStyle name="Normal 4 2 11 7" xfId="3937" xr:uid="{00000000-0005-0000-0000-00005F0A0000}"/>
    <cellStyle name="Normal 4 2 12" xfId="689" xr:uid="{00000000-0005-0000-0000-0000600A0000}"/>
    <cellStyle name="Normal 4 2 12 2" xfId="4113" xr:uid="{00000000-0005-0000-0000-0000610A0000}"/>
    <cellStyle name="Normal 4 2 13" xfId="1040" xr:uid="{00000000-0005-0000-0000-0000620A0000}"/>
    <cellStyle name="Normal 4 2 14" xfId="1475" xr:uid="{00000000-0005-0000-0000-0000630A0000}"/>
    <cellStyle name="Normal 4 2 15" xfId="2005" xr:uid="{00000000-0005-0000-0000-0000640A0000}"/>
    <cellStyle name="Normal 4 2 16" xfId="2532" xr:uid="{00000000-0005-0000-0000-0000650A0000}"/>
    <cellStyle name="Normal 4 2 17" xfId="3059" xr:uid="{00000000-0005-0000-0000-0000660A0000}"/>
    <cellStyle name="Normal 4 2 18" xfId="3586" xr:uid="{00000000-0005-0000-0000-0000670A0000}"/>
    <cellStyle name="Normal 4 2 2" xfId="65" xr:uid="{00000000-0005-0000-0000-0000680A0000}"/>
    <cellStyle name="Normal 4 2 2 10" xfId="2568" xr:uid="{00000000-0005-0000-0000-0000690A0000}"/>
    <cellStyle name="Normal 4 2 2 11" xfId="3095" xr:uid="{00000000-0005-0000-0000-00006A0A0000}"/>
    <cellStyle name="Normal 4 2 2 12" xfId="3622" xr:uid="{00000000-0005-0000-0000-00006B0A0000}"/>
    <cellStyle name="Normal 4 2 2 2" xfId="159" xr:uid="{00000000-0005-0000-0000-00006C0A0000}"/>
    <cellStyle name="Normal 4 2 2 2 2" xfId="432" xr:uid="{00000000-0005-0000-0000-00006D0A0000}"/>
    <cellStyle name="Normal 4 2 2 2 2 2" xfId="1951" xr:uid="{00000000-0005-0000-0000-00006E0A0000}"/>
    <cellStyle name="Normal 4 2 2 2 2 3" xfId="2481" xr:uid="{00000000-0005-0000-0000-00006F0A0000}"/>
    <cellStyle name="Normal 4 2 2 2 2 4" xfId="3008" xr:uid="{00000000-0005-0000-0000-0000700A0000}"/>
    <cellStyle name="Normal 4 2 2 2 2 5" xfId="3535" xr:uid="{00000000-0005-0000-0000-0000710A0000}"/>
    <cellStyle name="Normal 4 2 2 2 2 6" xfId="4062" xr:uid="{00000000-0005-0000-0000-0000720A0000}"/>
    <cellStyle name="Normal 4 2 2 2 3" xfId="905" xr:uid="{00000000-0005-0000-0000-0000730A0000}"/>
    <cellStyle name="Normal 4 2 2 2 4" xfId="1256" xr:uid="{00000000-0005-0000-0000-0000740A0000}"/>
    <cellStyle name="Normal 4 2 2 2 5" xfId="1691" xr:uid="{00000000-0005-0000-0000-0000750A0000}"/>
    <cellStyle name="Normal 4 2 2 2 6" xfId="2221" xr:uid="{00000000-0005-0000-0000-0000760A0000}"/>
    <cellStyle name="Normal 4 2 2 2 7" xfId="2748" xr:uid="{00000000-0005-0000-0000-0000770A0000}"/>
    <cellStyle name="Normal 4 2 2 2 8" xfId="3275" xr:uid="{00000000-0005-0000-0000-0000780A0000}"/>
    <cellStyle name="Normal 4 2 2 2 9" xfId="3802" xr:uid="{00000000-0005-0000-0000-0000790A0000}"/>
    <cellStyle name="Normal 4 2 2 3" xfId="254" xr:uid="{00000000-0005-0000-0000-00007A0A0000}"/>
    <cellStyle name="Normal 4 2 2 3 2" xfId="517" xr:uid="{00000000-0005-0000-0000-00007B0A0000}"/>
    <cellStyle name="Normal 4 2 2 3 3" xfId="814" xr:uid="{00000000-0005-0000-0000-00007C0A0000}"/>
    <cellStyle name="Normal 4 2 2 3 4" xfId="1165" xr:uid="{00000000-0005-0000-0000-00007D0A0000}"/>
    <cellStyle name="Normal 4 2 2 3 5" xfId="1600" xr:uid="{00000000-0005-0000-0000-00007E0A0000}"/>
    <cellStyle name="Normal 4 2 2 3 6" xfId="2130" xr:uid="{00000000-0005-0000-0000-00007F0A0000}"/>
    <cellStyle name="Normal 4 2 2 3 7" xfId="2657" xr:uid="{00000000-0005-0000-0000-0000800A0000}"/>
    <cellStyle name="Normal 4 2 2 3 8" xfId="3184" xr:uid="{00000000-0005-0000-0000-0000810A0000}"/>
    <cellStyle name="Normal 4 2 2 3 9" xfId="3711" xr:uid="{00000000-0005-0000-0000-0000820A0000}"/>
    <cellStyle name="Normal 4 2 2 4" xfId="347" xr:uid="{00000000-0005-0000-0000-0000830A0000}"/>
    <cellStyle name="Normal 4 2 2 4 2" xfId="992" xr:uid="{00000000-0005-0000-0000-0000840A0000}"/>
    <cellStyle name="Normal 4 2 2 4 3" xfId="1343" xr:uid="{00000000-0005-0000-0000-0000850A0000}"/>
    <cellStyle name="Normal 4 2 2 4 4" xfId="1778" xr:uid="{00000000-0005-0000-0000-0000860A0000}"/>
    <cellStyle name="Normal 4 2 2 4 5" xfId="2308" xr:uid="{00000000-0005-0000-0000-0000870A0000}"/>
    <cellStyle name="Normal 4 2 2 4 6" xfId="2835" xr:uid="{00000000-0005-0000-0000-0000880A0000}"/>
    <cellStyle name="Normal 4 2 2 4 7" xfId="3362" xr:uid="{00000000-0005-0000-0000-0000890A0000}"/>
    <cellStyle name="Normal 4 2 2 4 8" xfId="3889" xr:uid="{00000000-0005-0000-0000-00008A0A0000}"/>
    <cellStyle name="Normal 4 2 2 5" xfId="604" xr:uid="{00000000-0005-0000-0000-00008B0A0000}"/>
    <cellStyle name="Normal 4 2 2 5 2" xfId="1427" xr:uid="{00000000-0005-0000-0000-00008C0A0000}"/>
    <cellStyle name="Normal 4 2 2 5 3" xfId="1862" xr:uid="{00000000-0005-0000-0000-00008D0A0000}"/>
    <cellStyle name="Normal 4 2 2 5 4" xfId="2392" xr:uid="{00000000-0005-0000-0000-00008E0A0000}"/>
    <cellStyle name="Normal 4 2 2 5 5" xfId="2919" xr:uid="{00000000-0005-0000-0000-00008F0A0000}"/>
    <cellStyle name="Normal 4 2 2 5 6" xfId="3446" xr:uid="{00000000-0005-0000-0000-0000900A0000}"/>
    <cellStyle name="Normal 4 2 2 5 7" xfId="3973" xr:uid="{00000000-0005-0000-0000-0000910A0000}"/>
    <cellStyle name="Normal 4 2 2 6" xfId="725" xr:uid="{00000000-0005-0000-0000-0000920A0000}"/>
    <cellStyle name="Normal 4 2 2 6 2" xfId="4149" xr:uid="{00000000-0005-0000-0000-0000930A0000}"/>
    <cellStyle name="Normal 4 2 2 7" xfId="1076" xr:uid="{00000000-0005-0000-0000-0000940A0000}"/>
    <cellStyle name="Normal 4 2 2 8" xfId="1511" xr:uid="{00000000-0005-0000-0000-0000950A0000}"/>
    <cellStyle name="Normal 4 2 2 9" xfId="2041" xr:uid="{00000000-0005-0000-0000-0000960A0000}"/>
    <cellStyle name="Normal 4 2 3" xfId="73" xr:uid="{00000000-0005-0000-0000-0000970A0000}"/>
    <cellStyle name="Normal 4 2 3 10" xfId="2576" xr:uid="{00000000-0005-0000-0000-0000980A0000}"/>
    <cellStyle name="Normal 4 2 3 11" xfId="3103" xr:uid="{00000000-0005-0000-0000-0000990A0000}"/>
    <cellStyle name="Normal 4 2 3 12" xfId="3630" xr:uid="{00000000-0005-0000-0000-00009A0A0000}"/>
    <cellStyle name="Normal 4 2 3 2" xfId="167" xr:uid="{00000000-0005-0000-0000-00009B0A0000}"/>
    <cellStyle name="Normal 4 2 3 2 2" xfId="440" xr:uid="{00000000-0005-0000-0000-00009C0A0000}"/>
    <cellStyle name="Normal 4 2 3 2 2 2" xfId="1959" xr:uid="{00000000-0005-0000-0000-00009D0A0000}"/>
    <cellStyle name="Normal 4 2 3 2 2 3" xfId="2489" xr:uid="{00000000-0005-0000-0000-00009E0A0000}"/>
    <cellStyle name="Normal 4 2 3 2 2 4" xfId="3016" xr:uid="{00000000-0005-0000-0000-00009F0A0000}"/>
    <cellStyle name="Normal 4 2 3 2 2 5" xfId="3543" xr:uid="{00000000-0005-0000-0000-0000A00A0000}"/>
    <cellStyle name="Normal 4 2 3 2 2 6" xfId="4070" xr:uid="{00000000-0005-0000-0000-0000A10A0000}"/>
    <cellStyle name="Normal 4 2 3 2 3" xfId="913" xr:uid="{00000000-0005-0000-0000-0000A20A0000}"/>
    <cellStyle name="Normal 4 2 3 2 4" xfId="1264" xr:uid="{00000000-0005-0000-0000-0000A30A0000}"/>
    <cellStyle name="Normal 4 2 3 2 5" xfId="1699" xr:uid="{00000000-0005-0000-0000-0000A40A0000}"/>
    <cellStyle name="Normal 4 2 3 2 6" xfId="2229" xr:uid="{00000000-0005-0000-0000-0000A50A0000}"/>
    <cellStyle name="Normal 4 2 3 2 7" xfId="2756" xr:uid="{00000000-0005-0000-0000-0000A60A0000}"/>
    <cellStyle name="Normal 4 2 3 2 8" xfId="3283" xr:uid="{00000000-0005-0000-0000-0000A70A0000}"/>
    <cellStyle name="Normal 4 2 3 2 9" xfId="3810" xr:uid="{00000000-0005-0000-0000-0000A80A0000}"/>
    <cellStyle name="Normal 4 2 3 3" xfId="262" xr:uid="{00000000-0005-0000-0000-0000A90A0000}"/>
    <cellStyle name="Normal 4 2 3 3 2" xfId="525" xr:uid="{00000000-0005-0000-0000-0000AA0A0000}"/>
    <cellStyle name="Normal 4 2 3 3 3" xfId="822" xr:uid="{00000000-0005-0000-0000-0000AB0A0000}"/>
    <cellStyle name="Normal 4 2 3 3 4" xfId="1173" xr:uid="{00000000-0005-0000-0000-0000AC0A0000}"/>
    <cellStyle name="Normal 4 2 3 3 5" xfId="1608" xr:uid="{00000000-0005-0000-0000-0000AD0A0000}"/>
    <cellStyle name="Normal 4 2 3 3 6" xfId="2138" xr:uid="{00000000-0005-0000-0000-0000AE0A0000}"/>
    <cellStyle name="Normal 4 2 3 3 7" xfId="2665" xr:uid="{00000000-0005-0000-0000-0000AF0A0000}"/>
    <cellStyle name="Normal 4 2 3 3 8" xfId="3192" xr:uid="{00000000-0005-0000-0000-0000B00A0000}"/>
    <cellStyle name="Normal 4 2 3 3 9" xfId="3719" xr:uid="{00000000-0005-0000-0000-0000B10A0000}"/>
    <cellStyle name="Normal 4 2 3 4" xfId="355" xr:uid="{00000000-0005-0000-0000-0000B20A0000}"/>
    <cellStyle name="Normal 4 2 3 4 2" xfId="1000" xr:uid="{00000000-0005-0000-0000-0000B30A0000}"/>
    <cellStyle name="Normal 4 2 3 4 3" xfId="1351" xr:uid="{00000000-0005-0000-0000-0000B40A0000}"/>
    <cellStyle name="Normal 4 2 3 4 4" xfId="1786" xr:uid="{00000000-0005-0000-0000-0000B50A0000}"/>
    <cellStyle name="Normal 4 2 3 4 5" xfId="2316" xr:uid="{00000000-0005-0000-0000-0000B60A0000}"/>
    <cellStyle name="Normal 4 2 3 4 6" xfId="2843" xr:uid="{00000000-0005-0000-0000-0000B70A0000}"/>
    <cellStyle name="Normal 4 2 3 4 7" xfId="3370" xr:uid="{00000000-0005-0000-0000-0000B80A0000}"/>
    <cellStyle name="Normal 4 2 3 4 8" xfId="3897" xr:uid="{00000000-0005-0000-0000-0000B90A0000}"/>
    <cellStyle name="Normal 4 2 3 5" xfId="612" xr:uid="{00000000-0005-0000-0000-0000BA0A0000}"/>
    <cellStyle name="Normal 4 2 3 5 2" xfId="1435" xr:uid="{00000000-0005-0000-0000-0000BB0A0000}"/>
    <cellStyle name="Normal 4 2 3 5 3" xfId="1870" xr:uid="{00000000-0005-0000-0000-0000BC0A0000}"/>
    <cellStyle name="Normal 4 2 3 5 4" xfId="2400" xr:uid="{00000000-0005-0000-0000-0000BD0A0000}"/>
    <cellStyle name="Normal 4 2 3 5 5" xfId="2927" xr:uid="{00000000-0005-0000-0000-0000BE0A0000}"/>
    <cellStyle name="Normal 4 2 3 5 6" xfId="3454" xr:uid="{00000000-0005-0000-0000-0000BF0A0000}"/>
    <cellStyle name="Normal 4 2 3 5 7" xfId="3981" xr:uid="{00000000-0005-0000-0000-0000C00A0000}"/>
    <cellStyle name="Normal 4 2 3 6" xfId="733" xr:uid="{00000000-0005-0000-0000-0000C10A0000}"/>
    <cellStyle name="Normal 4 2 3 6 2" xfId="4157" xr:uid="{00000000-0005-0000-0000-0000C20A0000}"/>
    <cellStyle name="Normal 4 2 3 7" xfId="1084" xr:uid="{00000000-0005-0000-0000-0000C30A0000}"/>
    <cellStyle name="Normal 4 2 3 8" xfId="1519" xr:uid="{00000000-0005-0000-0000-0000C40A0000}"/>
    <cellStyle name="Normal 4 2 3 9" xfId="2049" xr:uid="{00000000-0005-0000-0000-0000C50A0000}"/>
    <cellStyle name="Normal 4 2 4" xfId="81" xr:uid="{00000000-0005-0000-0000-0000C60A0000}"/>
    <cellStyle name="Normal 4 2 4 10" xfId="2584" xr:uid="{00000000-0005-0000-0000-0000C70A0000}"/>
    <cellStyle name="Normal 4 2 4 11" xfId="3111" xr:uid="{00000000-0005-0000-0000-0000C80A0000}"/>
    <cellStyle name="Normal 4 2 4 12" xfId="3638" xr:uid="{00000000-0005-0000-0000-0000C90A0000}"/>
    <cellStyle name="Normal 4 2 4 2" xfId="175" xr:uid="{00000000-0005-0000-0000-0000CA0A0000}"/>
    <cellStyle name="Normal 4 2 4 2 2" xfId="448" xr:uid="{00000000-0005-0000-0000-0000CB0A0000}"/>
    <cellStyle name="Normal 4 2 4 2 2 2" xfId="1967" xr:uid="{00000000-0005-0000-0000-0000CC0A0000}"/>
    <cellStyle name="Normal 4 2 4 2 2 3" xfId="2497" xr:uid="{00000000-0005-0000-0000-0000CD0A0000}"/>
    <cellStyle name="Normal 4 2 4 2 2 4" xfId="3024" xr:uid="{00000000-0005-0000-0000-0000CE0A0000}"/>
    <cellStyle name="Normal 4 2 4 2 2 5" xfId="3551" xr:uid="{00000000-0005-0000-0000-0000CF0A0000}"/>
    <cellStyle name="Normal 4 2 4 2 2 6" xfId="4078" xr:uid="{00000000-0005-0000-0000-0000D00A0000}"/>
    <cellStyle name="Normal 4 2 4 2 3" xfId="921" xr:uid="{00000000-0005-0000-0000-0000D10A0000}"/>
    <cellStyle name="Normal 4 2 4 2 4" xfId="1272" xr:uid="{00000000-0005-0000-0000-0000D20A0000}"/>
    <cellStyle name="Normal 4 2 4 2 5" xfId="1707" xr:uid="{00000000-0005-0000-0000-0000D30A0000}"/>
    <cellStyle name="Normal 4 2 4 2 6" xfId="2237" xr:uid="{00000000-0005-0000-0000-0000D40A0000}"/>
    <cellStyle name="Normal 4 2 4 2 7" xfId="2764" xr:uid="{00000000-0005-0000-0000-0000D50A0000}"/>
    <cellStyle name="Normal 4 2 4 2 8" xfId="3291" xr:uid="{00000000-0005-0000-0000-0000D60A0000}"/>
    <cellStyle name="Normal 4 2 4 2 9" xfId="3818" xr:uid="{00000000-0005-0000-0000-0000D70A0000}"/>
    <cellStyle name="Normal 4 2 4 3" xfId="270" xr:uid="{00000000-0005-0000-0000-0000D80A0000}"/>
    <cellStyle name="Normal 4 2 4 3 2" xfId="533" xr:uid="{00000000-0005-0000-0000-0000D90A0000}"/>
    <cellStyle name="Normal 4 2 4 3 3" xfId="830" xr:uid="{00000000-0005-0000-0000-0000DA0A0000}"/>
    <cellStyle name="Normal 4 2 4 3 4" xfId="1181" xr:uid="{00000000-0005-0000-0000-0000DB0A0000}"/>
    <cellStyle name="Normal 4 2 4 3 5" xfId="1616" xr:uid="{00000000-0005-0000-0000-0000DC0A0000}"/>
    <cellStyle name="Normal 4 2 4 3 6" xfId="2146" xr:uid="{00000000-0005-0000-0000-0000DD0A0000}"/>
    <cellStyle name="Normal 4 2 4 3 7" xfId="2673" xr:uid="{00000000-0005-0000-0000-0000DE0A0000}"/>
    <cellStyle name="Normal 4 2 4 3 8" xfId="3200" xr:uid="{00000000-0005-0000-0000-0000DF0A0000}"/>
    <cellStyle name="Normal 4 2 4 3 9" xfId="3727" xr:uid="{00000000-0005-0000-0000-0000E00A0000}"/>
    <cellStyle name="Normal 4 2 4 4" xfId="363" xr:uid="{00000000-0005-0000-0000-0000E10A0000}"/>
    <cellStyle name="Normal 4 2 4 4 2" xfId="1008" xr:uid="{00000000-0005-0000-0000-0000E20A0000}"/>
    <cellStyle name="Normal 4 2 4 4 3" xfId="1359" xr:uid="{00000000-0005-0000-0000-0000E30A0000}"/>
    <cellStyle name="Normal 4 2 4 4 4" xfId="1794" xr:uid="{00000000-0005-0000-0000-0000E40A0000}"/>
    <cellStyle name="Normal 4 2 4 4 5" xfId="2324" xr:uid="{00000000-0005-0000-0000-0000E50A0000}"/>
    <cellStyle name="Normal 4 2 4 4 6" xfId="2851" xr:uid="{00000000-0005-0000-0000-0000E60A0000}"/>
    <cellStyle name="Normal 4 2 4 4 7" xfId="3378" xr:uid="{00000000-0005-0000-0000-0000E70A0000}"/>
    <cellStyle name="Normal 4 2 4 4 8" xfId="3905" xr:uid="{00000000-0005-0000-0000-0000E80A0000}"/>
    <cellStyle name="Normal 4 2 4 5" xfId="620" xr:uid="{00000000-0005-0000-0000-0000E90A0000}"/>
    <cellStyle name="Normal 4 2 4 5 2" xfId="1443" xr:uid="{00000000-0005-0000-0000-0000EA0A0000}"/>
    <cellStyle name="Normal 4 2 4 5 3" xfId="1878" xr:uid="{00000000-0005-0000-0000-0000EB0A0000}"/>
    <cellStyle name="Normal 4 2 4 5 4" xfId="2408" xr:uid="{00000000-0005-0000-0000-0000EC0A0000}"/>
    <cellStyle name="Normal 4 2 4 5 5" xfId="2935" xr:uid="{00000000-0005-0000-0000-0000ED0A0000}"/>
    <cellStyle name="Normal 4 2 4 5 6" xfId="3462" xr:uid="{00000000-0005-0000-0000-0000EE0A0000}"/>
    <cellStyle name="Normal 4 2 4 5 7" xfId="3989" xr:uid="{00000000-0005-0000-0000-0000EF0A0000}"/>
    <cellStyle name="Normal 4 2 4 6" xfId="741" xr:uid="{00000000-0005-0000-0000-0000F00A0000}"/>
    <cellStyle name="Normal 4 2 4 6 2" xfId="4165" xr:uid="{00000000-0005-0000-0000-0000F10A0000}"/>
    <cellStyle name="Normal 4 2 4 7" xfId="1092" xr:uid="{00000000-0005-0000-0000-0000F20A0000}"/>
    <cellStyle name="Normal 4 2 4 8" xfId="1527" xr:uid="{00000000-0005-0000-0000-0000F30A0000}"/>
    <cellStyle name="Normal 4 2 4 9" xfId="2057" xr:uid="{00000000-0005-0000-0000-0000F40A0000}"/>
    <cellStyle name="Normal 4 2 5" xfId="89" xr:uid="{00000000-0005-0000-0000-0000F50A0000}"/>
    <cellStyle name="Normal 4 2 5 10" xfId="2592" xr:uid="{00000000-0005-0000-0000-0000F60A0000}"/>
    <cellStyle name="Normal 4 2 5 11" xfId="3119" xr:uid="{00000000-0005-0000-0000-0000F70A0000}"/>
    <cellStyle name="Normal 4 2 5 12" xfId="3646" xr:uid="{00000000-0005-0000-0000-0000F80A0000}"/>
    <cellStyle name="Normal 4 2 5 2" xfId="183" xr:uid="{00000000-0005-0000-0000-0000F90A0000}"/>
    <cellStyle name="Normal 4 2 5 2 2" xfId="456" xr:uid="{00000000-0005-0000-0000-0000FA0A0000}"/>
    <cellStyle name="Normal 4 2 5 2 2 2" xfId="1975" xr:uid="{00000000-0005-0000-0000-0000FB0A0000}"/>
    <cellStyle name="Normal 4 2 5 2 2 3" xfId="2505" xr:uid="{00000000-0005-0000-0000-0000FC0A0000}"/>
    <cellStyle name="Normal 4 2 5 2 2 4" xfId="3032" xr:uid="{00000000-0005-0000-0000-0000FD0A0000}"/>
    <cellStyle name="Normal 4 2 5 2 2 5" xfId="3559" xr:uid="{00000000-0005-0000-0000-0000FE0A0000}"/>
    <cellStyle name="Normal 4 2 5 2 2 6" xfId="4086" xr:uid="{00000000-0005-0000-0000-0000FF0A0000}"/>
    <cellStyle name="Normal 4 2 5 2 3" xfId="929" xr:uid="{00000000-0005-0000-0000-0000000B0000}"/>
    <cellStyle name="Normal 4 2 5 2 4" xfId="1280" xr:uid="{00000000-0005-0000-0000-0000010B0000}"/>
    <cellStyle name="Normal 4 2 5 2 5" xfId="1715" xr:uid="{00000000-0005-0000-0000-0000020B0000}"/>
    <cellStyle name="Normal 4 2 5 2 6" xfId="2245" xr:uid="{00000000-0005-0000-0000-0000030B0000}"/>
    <cellStyle name="Normal 4 2 5 2 7" xfId="2772" xr:uid="{00000000-0005-0000-0000-0000040B0000}"/>
    <cellStyle name="Normal 4 2 5 2 8" xfId="3299" xr:uid="{00000000-0005-0000-0000-0000050B0000}"/>
    <cellStyle name="Normal 4 2 5 2 9" xfId="3826" xr:uid="{00000000-0005-0000-0000-0000060B0000}"/>
    <cellStyle name="Normal 4 2 5 3" xfId="278" xr:uid="{00000000-0005-0000-0000-0000070B0000}"/>
    <cellStyle name="Normal 4 2 5 3 2" xfId="541" xr:uid="{00000000-0005-0000-0000-0000080B0000}"/>
    <cellStyle name="Normal 4 2 5 3 3" xfId="838" xr:uid="{00000000-0005-0000-0000-0000090B0000}"/>
    <cellStyle name="Normal 4 2 5 3 4" xfId="1189" xr:uid="{00000000-0005-0000-0000-00000A0B0000}"/>
    <cellStyle name="Normal 4 2 5 3 5" xfId="1624" xr:uid="{00000000-0005-0000-0000-00000B0B0000}"/>
    <cellStyle name="Normal 4 2 5 3 6" xfId="2154" xr:uid="{00000000-0005-0000-0000-00000C0B0000}"/>
    <cellStyle name="Normal 4 2 5 3 7" xfId="2681" xr:uid="{00000000-0005-0000-0000-00000D0B0000}"/>
    <cellStyle name="Normal 4 2 5 3 8" xfId="3208" xr:uid="{00000000-0005-0000-0000-00000E0B0000}"/>
    <cellStyle name="Normal 4 2 5 3 9" xfId="3735" xr:uid="{00000000-0005-0000-0000-00000F0B0000}"/>
    <cellStyle name="Normal 4 2 5 4" xfId="371" xr:uid="{00000000-0005-0000-0000-0000100B0000}"/>
    <cellStyle name="Normal 4 2 5 4 2" xfId="1016" xr:uid="{00000000-0005-0000-0000-0000110B0000}"/>
    <cellStyle name="Normal 4 2 5 4 3" xfId="1367" xr:uid="{00000000-0005-0000-0000-0000120B0000}"/>
    <cellStyle name="Normal 4 2 5 4 4" xfId="1802" xr:uid="{00000000-0005-0000-0000-0000130B0000}"/>
    <cellStyle name="Normal 4 2 5 4 5" xfId="2332" xr:uid="{00000000-0005-0000-0000-0000140B0000}"/>
    <cellStyle name="Normal 4 2 5 4 6" xfId="2859" xr:uid="{00000000-0005-0000-0000-0000150B0000}"/>
    <cellStyle name="Normal 4 2 5 4 7" xfId="3386" xr:uid="{00000000-0005-0000-0000-0000160B0000}"/>
    <cellStyle name="Normal 4 2 5 4 8" xfId="3913" xr:uid="{00000000-0005-0000-0000-0000170B0000}"/>
    <cellStyle name="Normal 4 2 5 5" xfId="628" xr:uid="{00000000-0005-0000-0000-0000180B0000}"/>
    <cellStyle name="Normal 4 2 5 5 2" xfId="1451" xr:uid="{00000000-0005-0000-0000-0000190B0000}"/>
    <cellStyle name="Normal 4 2 5 5 3" xfId="1886" xr:uid="{00000000-0005-0000-0000-00001A0B0000}"/>
    <cellStyle name="Normal 4 2 5 5 4" xfId="2416" xr:uid="{00000000-0005-0000-0000-00001B0B0000}"/>
    <cellStyle name="Normal 4 2 5 5 5" xfId="2943" xr:uid="{00000000-0005-0000-0000-00001C0B0000}"/>
    <cellStyle name="Normal 4 2 5 5 6" xfId="3470" xr:uid="{00000000-0005-0000-0000-00001D0B0000}"/>
    <cellStyle name="Normal 4 2 5 5 7" xfId="3997" xr:uid="{00000000-0005-0000-0000-00001E0B0000}"/>
    <cellStyle name="Normal 4 2 5 6" xfId="749" xr:uid="{00000000-0005-0000-0000-00001F0B0000}"/>
    <cellStyle name="Normal 4 2 5 6 2" xfId="4173" xr:uid="{00000000-0005-0000-0000-0000200B0000}"/>
    <cellStyle name="Normal 4 2 5 7" xfId="1100" xr:uid="{00000000-0005-0000-0000-0000210B0000}"/>
    <cellStyle name="Normal 4 2 5 8" xfId="1535" xr:uid="{00000000-0005-0000-0000-0000220B0000}"/>
    <cellStyle name="Normal 4 2 5 9" xfId="2065" xr:uid="{00000000-0005-0000-0000-0000230B0000}"/>
    <cellStyle name="Normal 4 2 6" xfId="97" xr:uid="{00000000-0005-0000-0000-0000240B0000}"/>
    <cellStyle name="Normal 4 2 6 10" xfId="2600" xr:uid="{00000000-0005-0000-0000-0000250B0000}"/>
    <cellStyle name="Normal 4 2 6 11" xfId="3127" xr:uid="{00000000-0005-0000-0000-0000260B0000}"/>
    <cellStyle name="Normal 4 2 6 12" xfId="3654" xr:uid="{00000000-0005-0000-0000-0000270B0000}"/>
    <cellStyle name="Normal 4 2 6 2" xfId="191" xr:uid="{00000000-0005-0000-0000-0000280B0000}"/>
    <cellStyle name="Normal 4 2 6 2 2" xfId="464" xr:uid="{00000000-0005-0000-0000-0000290B0000}"/>
    <cellStyle name="Normal 4 2 6 2 2 2" xfId="1983" xr:uid="{00000000-0005-0000-0000-00002A0B0000}"/>
    <cellStyle name="Normal 4 2 6 2 2 3" xfId="2513" xr:uid="{00000000-0005-0000-0000-00002B0B0000}"/>
    <cellStyle name="Normal 4 2 6 2 2 4" xfId="3040" xr:uid="{00000000-0005-0000-0000-00002C0B0000}"/>
    <cellStyle name="Normal 4 2 6 2 2 5" xfId="3567" xr:uid="{00000000-0005-0000-0000-00002D0B0000}"/>
    <cellStyle name="Normal 4 2 6 2 2 6" xfId="4094" xr:uid="{00000000-0005-0000-0000-00002E0B0000}"/>
    <cellStyle name="Normal 4 2 6 2 3" xfId="937" xr:uid="{00000000-0005-0000-0000-00002F0B0000}"/>
    <cellStyle name="Normal 4 2 6 2 4" xfId="1288" xr:uid="{00000000-0005-0000-0000-0000300B0000}"/>
    <cellStyle name="Normal 4 2 6 2 5" xfId="1723" xr:uid="{00000000-0005-0000-0000-0000310B0000}"/>
    <cellStyle name="Normal 4 2 6 2 6" xfId="2253" xr:uid="{00000000-0005-0000-0000-0000320B0000}"/>
    <cellStyle name="Normal 4 2 6 2 7" xfId="2780" xr:uid="{00000000-0005-0000-0000-0000330B0000}"/>
    <cellStyle name="Normal 4 2 6 2 8" xfId="3307" xr:uid="{00000000-0005-0000-0000-0000340B0000}"/>
    <cellStyle name="Normal 4 2 6 2 9" xfId="3834" xr:uid="{00000000-0005-0000-0000-0000350B0000}"/>
    <cellStyle name="Normal 4 2 6 3" xfId="286" xr:uid="{00000000-0005-0000-0000-0000360B0000}"/>
    <cellStyle name="Normal 4 2 6 3 2" xfId="549" xr:uid="{00000000-0005-0000-0000-0000370B0000}"/>
    <cellStyle name="Normal 4 2 6 3 3" xfId="846" xr:uid="{00000000-0005-0000-0000-0000380B0000}"/>
    <cellStyle name="Normal 4 2 6 3 4" xfId="1197" xr:uid="{00000000-0005-0000-0000-0000390B0000}"/>
    <cellStyle name="Normal 4 2 6 3 5" xfId="1632" xr:uid="{00000000-0005-0000-0000-00003A0B0000}"/>
    <cellStyle name="Normal 4 2 6 3 6" xfId="2162" xr:uid="{00000000-0005-0000-0000-00003B0B0000}"/>
    <cellStyle name="Normal 4 2 6 3 7" xfId="2689" xr:uid="{00000000-0005-0000-0000-00003C0B0000}"/>
    <cellStyle name="Normal 4 2 6 3 8" xfId="3216" xr:uid="{00000000-0005-0000-0000-00003D0B0000}"/>
    <cellStyle name="Normal 4 2 6 3 9" xfId="3743" xr:uid="{00000000-0005-0000-0000-00003E0B0000}"/>
    <cellStyle name="Normal 4 2 6 4" xfId="379" xr:uid="{00000000-0005-0000-0000-00003F0B0000}"/>
    <cellStyle name="Normal 4 2 6 4 2" xfId="1024" xr:uid="{00000000-0005-0000-0000-0000400B0000}"/>
    <cellStyle name="Normal 4 2 6 4 3" xfId="1375" xr:uid="{00000000-0005-0000-0000-0000410B0000}"/>
    <cellStyle name="Normal 4 2 6 4 4" xfId="1810" xr:uid="{00000000-0005-0000-0000-0000420B0000}"/>
    <cellStyle name="Normal 4 2 6 4 5" xfId="2340" xr:uid="{00000000-0005-0000-0000-0000430B0000}"/>
    <cellStyle name="Normal 4 2 6 4 6" xfId="2867" xr:uid="{00000000-0005-0000-0000-0000440B0000}"/>
    <cellStyle name="Normal 4 2 6 4 7" xfId="3394" xr:uid="{00000000-0005-0000-0000-0000450B0000}"/>
    <cellStyle name="Normal 4 2 6 4 8" xfId="3921" xr:uid="{00000000-0005-0000-0000-0000460B0000}"/>
    <cellStyle name="Normal 4 2 6 5" xfId="636" xr:uid="{00000000-0005-0000-0000-0000470B0000}"/>
    <cellStyle name="Normal 4 2 6 5 2" xfId="1459" xr:uid="{00000000-0005-0000-0000-0000480B0000}"/>
    <cellStyle name="Normal 4 2 6 5 3" xfId="1894" xr:uid="{00000000-0005-0000-0000-0000490B0000}"/>
    <cellStyle name="Normal 4 2 6 5 4" xfId="2424" xr:uid="{00000000-0005-0000-0000-00004A0B0000}"/>
    <cellStyle name="Normal 4 2 6 5 5" xfId="2951" xr:uid="{00000000-0005-0000-0000-00004B0B0000}"/>
    <cellStyle name="Normal 4 2 6 5 6" xfId="3478" xr:uid="{00000000-0005-0000-0000-00004C0B0000}"/>
    <cellStyle name="Normal 4 2 6 5 7" xfId="4005" xr:uid="{00000000-0005-0000-0000-00004D0B0000}"/>
    <cellStyle name="Normal 4 2 6 6" xfId="757" xr:uid="{00000000-0005-0000-0000-00004E0B0000}"/>
    <cellStyle name="Normal 4 2 6 6 2" xfId="4181" xr:uid="{00000000-0005-0000-0000-00004F0B0000}"/>
    <cellStyle name="Normal 4 2 6 7" xfId="1108" xr:uid="{00000000-0005-0000-0000-0000500B0000}"/>
    <cellStyle name="Normal 4 2 6 8" xfId="1543" xr:uid="{00000000-0005-0000-0000-0000510B0000}"/>
    <cellStyle name="Normal 4 2 6 9" xfId="2073" xr:uid="{00000000-0005-0000-0000-0000520B0000}"/>
    <cellStyle name="Normal 4 2 7" xfId="37" xr:uid="{00000000-0005-0000-0000-0000530B0000}"/>
    <cellStyle name="Normal 4 2 7 10" xfId="2540" xr:uid="{00000000-0005-0000-0000-0000540B0000}"/>
    <cellStyle name="Normal 4 2 7 11" xfId="3067" xr:uid="{00000000-0005-0000-0000-0000550B0000}"/>
    <cellStyle name="Normal 4 2 7 12" xfId="3594" xr:uid="{00000000-0005-0000-0000-0000560B0000}"/>
    <cellStyle name="Normal 4 2 7 2" xfId="131" xr:uid="{00000000-0005-0000-0000-0000570B0000}"/>
    <cellStyle name="Normal 4 2 7 2 2" xfId="404" xr:uid="{00000000-0005-0000-0000-0000580B0000}"/>
    <cellStyle name="Normal 4 2 7 2 2 2" xfId="1923" xr:uid="{00000000-0005-0000-0000-0000590B0000}"/>
    <cellStyle name="Normal 4 2 7 2 2 3" xfId="2453" xr:uid="{00000000-0005-0000-0000-00005A0B0000}"/>
    <cellStyle name="Normal 4 2 7 2 2 4" xfId="2980" xr:uid="{00000000-0005-0000-0000-00005B0B0000}"/>
    <cellStyle name="Normal 4 2 7 2 2 5" xfId="3507" xr:uid="{00000000-0005-0000-0000-00005C0B0000}"/>
    <cellStyle name="Normal 4 2 7 2 2 6" xfId="4034" xr:uid="{00000000-0005-0000-0000-00005D0B0000}"/>
    <cellStyle name="Normal 4 2 7 2 3" xfId="877" xr:uid="{00000000-0005-0000-0000-00005E0B0000}"/>
    <cellStyle name="Normal 4 2 7 2 4" xfId="1228" xr:uid="{00000000-0005-0000-0000-00005F0B0000}"/>
    <cellStyle name="Normal 4 2 7 2 5" xfId="1663" xr:uid="{00000000-0005-0000-0000-0000600B0000}"/>
    <cellStyle name="Normal 4 2 7 2 6" xfId="2193" xr:uid="{00000000-0005-0000-0000-0000610B0000}"/>
    <cellStyle name="Normal 4 2 7 2 7" xfId="2720" xr:uid="{00000000-0005-0000-0000-0000620B0000}"/>
    <cellStyle name="Normal 4 2 7 2 8" xfId="3247" xr:uid="{00000000-0005-0000-0000-0000630B0000}"/>
    <cellStyle name="Normal 4 2 7 2 9" xfId="3774" xr:uid="{00000000-0005-0000-0000-0000640B0000}"/>
    <cellStyle name="Normal 4 2 7 3" xfId="226" xr:uid="{00000000-0005-0000-0000-0000650B0000}"/>
    <cellStyle name="Normal 4 2 7 3 2" xfId="489" xr:uid="{00000000-0005-0000-0000-0000660B0000}"/>
    <cellStyle name="Normal 4 2 7 3 3" xfId="786" xr:uid="{00000000-0005-0000-0000-0000670B0000}"/>
    <cellStyle name="Normal 4 2 7 3 4" xfId="1137" xr:uid="{00000000-0005-0000-0000-0000680B0000}"/>
    <cellStyle name="Normal 4 2 7 3 5" xfId="1572" xr:uid="{00000000-0005-0000-0000-0000690B0000}"/>
    <cellStyle name="Normal 4 2 7 3 6" xfId="2102" xr:uid="{00000000-0005-0000-0000-00006A0B0000}"/>
    <cellStyle name="Normal 4 2 7 3 7" xfId="2629" xr:uid="{00000000-0005-0000-0000-00006B0B0000}"/>
    <cellStyle name="Normal 4 2 7 3 8" xfId="3156" xr:uid="{00000000-0005-0000-0000-00006C0B0000}"/>
    <cellStyle name="Normal 4 2 7 3 9" xfId="3683" xr:uid="{00000000-0005-0000-0000-00006D0B0000}"/>
    <cellStyle name="Normal 4 2 7 4" xfId="319" xr:uid="{00000000-0005-0000-0000-00006E0B0000}"/>
    <cellStyle name="Normal 4 2 7 4 2" xfId="964" xr:uid="{00000000-0005-0000-0000-00006F0B0000}"/>
    <cellStyle name="Normal 4 2 7 4 3" xfId="1315" xr:uid="{00000000-0005-0000-0000-0000700B0000}"/>
    <cellStyle name="Normal 4 2 7 4 4" xfId="1750" xr:uid="{00000000-0005-0000-0000-0000710B0000}"/>
    <cellStyle name="Normal 4 2 7 4 5" xfId="2280" xr:uid="{00000000-0005-0000-0000-0000720B0000}"/>
    <cellStyle name="Normal 4 2 7 4 6" xfId="2807" xr:uid="{00000000-0005-0000-0000-0000730B0000}"/>
    <cellStyle name="Normal 4 2 7 4 7" xfId="3334" xr:uid="{00000000-0005-0000-0000-0000740B0000}"/>
    <cellStyle name="Normal 4 2 7 4 8" xfId="3861" xr:uid="{00000000-0005-0000-0000-0000750B0000}"/>
    <cellStyle name="Normal 4 2 7 5" xfId="576" xr:uid="{00000000-0005-0000-0000-0000760B0000}"/>
    <cellStyle name="Normal 4 2 7 5 2" xfId="1399" xr:uid="{00000000-0005-0000-0000-0000770B0000}"/>
    <cellStyle name="Normal 4 2 7 5 3" xfId="1834" xr:uid="{00000000-0005-0000-0000-0000780B0000}"/>
    <cellStyle name="Normal 4 2 7 5 4" xfId="2364" xr:uid="{00000000-0005-0000-0000-0000790B0000}"/>
    <cellStyle name="Normal 4 2 7 5 5" xfId="2891" xr:uid="{00000000-0005-0000-0000-00007A0B0000}"/>
    <cellStyle name="Normal 4 2 7 5 6" xfId="3418" xr:uid="{00000000-0005-0000-0000-00007B0B0000}"/>
    <cellStyle name="Normal 4 2 7 5 7" xfId="3945" xr:uid="{00000000-0005-0000-0000-00007C0B0000}"/>
    <cellStyle name="Normal 4 2 7 6" xfId="697" xr:uid="{00000000-0005-0000-0000-00007D0B0000}"/>
    <cellStyle name="Normal 4 2 7 6 2" xfId="4121" xr:uid="{00000000-0005-0000-0000-00007E0B0000}"/>
    <cellStyle name="Normal 4 2 7 7" xfId="1048" xr:uid="{00000000-0005-0000-0000-00007F0B0000}"/>
    <cellStyle name="Normal 4 2 7 8" xfId="1483" xr:uid="{00000000-0005-0000-0000-0000800B0000}"/>
    <cellStyle name="Normal 4 2 7 9" xfId="2013" xr:uid="{00000000-0005-0000-0000-0000810B0000}"/>
    <cellStyle name="Normal 4 2 8" xfId="123" xr:uid="{00000000-0005-0000-0000-0000820B0000}"/>
    <cellStyle name="Normal 4 2 8 2" xfId="396" xr:uid="{00000000-0005-0000-0000-0000830B0000}"/>
    <cellStyle name="Normal 4 2 8 2 2" xfId="1915" xr:uid="{00000000-0005-0000-0000-0000840B0000}"/>
    <cellStyle name="Normal 4 2 8 2 3" xfId="2445" xr:uid="{00000000-0005-0000-0000-0000850B0000}"/>
    <cellStyle name="Normal 4 2 8 2 4" xfId="2972" xr:uid="{00000000-0005-0000-0000-0000860B0000}"/>
    <cellStyle name="Normal 4 2 8 2 5" xfId="3499" xr:uid="{00000000-0005-0000-0000-0000870B0000}"/>
    <cellStyle name="Normal 4 2 8 2 6" xfId="4026" xr:uid="{00000000-0005-0000-0000-0000880B0000}"/>
    <cellStyle name="Normal 4 2 8 3" xfId="869" xr:uid="{00000000-0005-0000-0000-0000890B0000}"/>
    <cellStyle name="Normal 4 2 8 4" xfId="1220" xr:uid="{00000000-0005-0000-0000-00008A0B0000}"/>
    <cellStyle name="Normal 4 2 8 5" xfId="1655" xr:uid="{00000000-0005-0000-0000-00008B0B0000}"/>
    <cellStyle name="Normal 4 2 8 6" xfId="2185" xr:uid="{00000000-0005-0000-0000-00008C0B0000}"/>
    <cellStyle name="Normal 4 2 8 7" xfId="2712" xr:uid="{00000000-0005-0000-0000-00008D0B0000}"/>
    <cellStyle name="Normal 4 2 8 8" xfId="3239" xr:uid="{00000000-0005-0000-0000-00008E0B0000}"/>
    <cellStyle name="Normal 4 2 8 9" xfId="3766" xr:uid="{00000000-0005-0000-0000-00008F0B0000}"/>
    <cellStyle name="Normal 4 2 9" xfId="218" xr:uid="{00000000-0005-0000-0000-0000900B0000}"/>
    <cellStyle name="Normal 4 2 9 2" xfId="481" xr:uid="{00000000-0005-0000-0000-0000910B0000}"/>
    <cellStyle name="Normal 4 2 9 3" xfId="778" xr:uid="{00000000-0005-0000-0000-0000920B0000}"/>
    <cellStyle name="Normal 4 2 9 4" xfId="1129" xr:uid="{00000000-0005-0000-0000-0000930B0000}"/>
    <cellStyle name="Normal 4 2 9 5" xfId="1564" xr:uid="{00000000-0005-0000-0000-0000940B0000}"/>
    <cellStyle name="Normal 4 2 9 6" xfId="2094" xr:uid="{00000000-0005-0000-0000-0000950B0000}"/>
    <cellStyle name="Normal 4 2 9 7" xfId="2621" xr:uid="{00000000-0005-0000-0000-0000960B0000}"/>
    <cellStyle name="Normal 4 2 9 8" xfId="3148" xr:uid="{00000000-0005-0000-0000-0000970B0000}"/>
    <cellStyle name="Normal 4 2 9 9" xfId="3675" xr:uid="{00000000-0005-0000-0000-0000980B0000}"/>
    <cellStyle name="Normal 4 20" xfId="685" xr:uid="{00000000-0005-0000-0000-0000990B0000}"/>
    <cellStyle name="Normal 4 20 2" xfId="4109" xr:uid="{00000000-0005-0000-0000-00009A0B0000}"/>
    <cellStyle name="Normal 4 21" xfId="1036" xr:uid="{00000000-0005-0000-0000-00009B0B0000}"/>
    <cellStyle name="Normal 4 22" xfId="1471" xr:uid="{00000000-0005-0000-0000-00009C0B0000}"/>
    <cellStyle name="Normal 4 23" xfId="2001" xr:uid="{00000000-0005-0000-0000-00009D0B0000}"/>
    <cellStyle name="Normal 4 24" xfId="2528" xr:uid="{00000000-0005-0000-0000-00009E0B0000}"/>
    <cellStyle name="Normal 4 25" xfId="3055" xr:uid="{00000000-0005-0000-0000-00009F0B0000}"/>
    <cellStyle name="Normal 4 26" xfId="3582" xr:uid="{00000000-0005-0000-0000-0000A00B0000}"/>
    <cellStyle name="Normal 4 3" xfId="41" xr:uid="{00000000-0005-0000-0000-0000A10B0000}"/>
    <cellStyle name="Normal 4 3 10" xfId="2544" xr:uid="{00000000-0005-0000-0000-0000A20B0000}"/>
    <cellStyle name="Normal 4 3 11" xfId="3071" xr:uid="{00000000-0005-0000-0000-0000A30B0000}"/>
    <cellStyle name="Normal 4 3 12" xfId="3598" xr:uid="{00000000-0005-0000-0000-0000A40B0000}"/>
    <cellStyle name="Normal 4 3 2" xfId="135" xr:uid="{00000000-0005-0000-0000-0000A50B0000}"/>
    <cellStyle name="Normal 4 3 2 2" xfId="408" xr:uid="{00000000-0005-0000-0000-0000A60B0000}"/>
    <cellStyle name="Normal 4 3 2 2 2" xfId="1927" xr:uid="{00000000-0005-0000-0000-0000A70B0000}"/>
    <cellStyle name="Normal 4 3 2 2 3" xfId="2457" xr:uid="{00000000-0005-0000-0000-0000A80B0000}"/>
    <cellStyle name="Normal 4 3 2 2 4" xfId="2984" xr:uid="{00000000-0005-0000-0000-0000A90B0000}"/>
    <cellStyle name="Normal 4 3 2 2 5" xfId="3511" xr:uid="{00000000-0005-0000-0000-0000AA0B0000}"/>
    <cellStyle name="Normal 4 3 2 2 6" xfId="4038" xr:uid="{00000000-0005-0000-0000-0000AB0B0000}"/>
    <cellStyle name="Normal 4 3 2 3" xfId="881" xr:uid="{00000000-0005-0000-0000-0000AC0B0000}"/>
    <cellStyle name="Normal 4 3 2 4" xfId="1232" xr:uid="{00000000-0005-0000-0000-0000AD0B0000}"/>
    <cellStyle name="Normal 4 3 2 5" xfId="1667" xr:uid="{00000000-0005-0000-0000-0000AE0B0000}"/>
    <cellStyle name="Normal 4 3 2 6" xfId="2197" xr:uid="{00000000-0005-0000-0000-0000AF0B0000}"/>
    <cellStyle name="Normal 4 3 2 7" xfId="2724" xr:uid="{00000000-0005-0000-0000-0000B00B0000}"/>
    <cellStyle name="Normal 4 3 2 8" xfId="3251" xr:uid="{00000000-0005-0000-0000-0000B10B0000}"/>
    <cellStyle name="Normal 4 3 2 9" xfId="3778" xr:uid="{00000000-0005-0000-0000-0000B20B0000}"/>
    <cellStyle name="Normal 4 3 3" xfId="230" xr:uid="{00000000-0005-0000-0000-0000B30B0000}"/>
    <cellStyle name="Normal 4 3 3 2" xfId="493" xr:uid="{00000000-0005-0000-0000-0000B40B0000}"/>
    <cellStyle name="Normal 4 3 3 3" xfId="790" xr:uid="{00000000-0005-0000-0000-0000B50B0000}"/>
    <cellStyle name="Normal 4 3 3 4" xfId="1141" xr:uid="{00000000-0005-0000-0000-0000B60B0000}"/>
    <cellStyle name="Normal 4 3 3 5" xfId="1576" xr:uid="{00000000-0005-0000-0000-0000B70B0000}"/>
    <cellStyle name="Normal 4 3 3 6" xfId="2106" xr:uid="{00000000-0005-0000-0000-0000B80B0000}"/>
    <cellStyle name="Normal 4 3 3 7" xfId="2633" xr:uid="{00000000-0005-0000-0000-0000B90B0000}"/>
    <cellStyle name="Normal 4 3 3 8" xfId="3160" xr:uid="{00000000-0005-0000-0000-0000BA0B0000}"/>
    <cellStyle name="Normal 4 3 3 9" xfId="3687" xr:uid="{00000000-0005-0000-0000-0000BB0B0000}"/>
    <cellStyle name="Normal 4 3 4" xfId="323" xr:uid="{00000000-0005-0000-0000-0000BC0B0000}"/>
    <cellStyle name="Normal 4 3 4 2" xfId="968" xr:uid="{00000000-0005-0000-0000-0000BD0B0000}"/>
    <cellStyle name="Normal 4 3 4 3" xfId="1319" xr:uid="{00000000-0005-0000-0000-0000BE0B0000}"/>
    <cellStyle name="Normal 4 3 4 4" xfId="1754" xr:uid="{00000000-0005-0000-0000-0000BF0B0000}"/>
    <cellStyle name="Normal 4 3 4 5" xfId="2284" xr:uid="{00000000-0005-0000-0000-0000C00B0000}"/>
    <cellStyle name="Normal 4 3 4 6" xfId="2811" xr:uid="{00000000-0005-0000-0000-0000C10B0000}"/>
    <cellStyle name="Normal 4 3 4 7" xfId="3338" xr:uid="{00000000-0005-0000-0000-0000C20B0000}"/>
    <cellStyle name="Normal 4 3 4 8" xfId="3865" xr:uid="{00000000-0005-0000-0000-0000C30B0000}"/>
    <cellStyle name="Normal 4 3 5" xfId="580" xr:uid="{00000000-0005-0000-0000-0000C40B0000}"/>
    <cellStyle name="Normal 4 3 5 2" xfId="1403" xr:uid="{00000000-0005-0000-0000-0000C50B0000}"/>
    <cellStyle name="Normal 4 3 5 3" xfId="1838" xr:uid="{00000000-0005-0000-0000-0000C60B0000}"/>
    <cellStyle name="Normal 4 3 5 4" xfId="2368" xr:uid="{00000000-0005-0000-0000-0000C70B0000}"/>
    <cellStyle name="Normal 4 3 5 5" xfId="2895" xr:uid="{00000000-0005-0000-0000-0000C80B0000}"/>
    <cellStyle name="Normal 4 3 5 6" xfId="3422" xr:uid="{00000000-0005-0000-0000-0000C90B0000}"/>
    <cellStyle name="Normal 4 3 5 7" xfId="3949" xr:uid="{00000000-0005-0000-0000-0000CA0B0000}"/>
    <cellStyle name="Normal 4 3 6" xfId="701" xr:uid="{00000000-0005-0000-0000-0000CB0B0000}"/>
    <cellStyle name="Normal 4 3 6 2" xfId="4125" xr:uid="{00000000-0005-0000-0000-0000CC0B0000}"/>
    <cellStyle name="Normal 4 3 7" xfId="1052" xr:uid="{00000000-0005-0000-0000-0000CD0B0000}"/>
    <cellStyle name="Normal 4 3 8" xfId="1487" xr:uid="{00000000-0005-0000-0000-0000CE0B0000}"/>
    <cellStyle name="Normal 4 3 9" xfId="2017" xr:uid="{00000000-0005-0000-0000-0000CF0B0000}"/>
    <cellStyle name="Normal 4 4" xfId="45" xr:uid="{00000000-0005-0000-0000-0000D00B0000}"/>
    <cellStyle name="Normal 4 4 10" xfId="2548" xr:uid="{00000000-0005-0000-0000-0000D10B0000}"/>
    <cellStyle name="Normal 4 4 11" xfId="3075" xr:uid="{00000000-0005-0000-0000-0000D20B0000}"/>
    <cellStyle name="Normal 4 4 12" xfId="3602" xr:uid="{00000000-0005-0000-0000-0000D30B0000}"/>
    <cellStyle name="Normal 4 4 2" xfId="139" xr:uid="{00000000-0005-0000-0000-0000D40B0000}"/>
    <cellStyle name="Normal 4 4 2 2" xfId="412" xr:uid="{00000000-0005-0000-0000-0000D50B0000}"/>
    <cellStyle name="Normal 4 4 2 2 2" xfId="1931" xr:uid="{00000000-0005-0000-0000-0000D60B0000}"/>
    <cellStyle name="Normal 4 4 2 2 3" xfId="2461" xr:uid="{00000000-0005-0000-0000-0000D70B0000}"/>
    <cellStyle name="Normal 4 4 2 2 4" xfId="2988" xr:uid="{00000000-0005-0000-0000-0000D80B0000}"/>
    <cellStyle name="Normal 4 4 2 2 5" xfId="3515" xr:uid="{00000000-0005-0000-0000-0000D90B0000}"/>
    <cellStyle name="Normal 4 4 2 2 6" xfId="4042" xr:uid="{00000000-0005-0000-0000-0000DA0B0000}"/>
    <cellStyle name="Normal 4 4 2 3" xfId="885" xr:uid="{00000000-0005-0000-0000-0000DB0B0000}"/>
    <cellStyle name="Normal 4 4 2 4" xfId="1236" xr:uid="{00000000-0005-0000-0000-0000DC0B0000}"/>
    <cellStyle name="Normal 4 4 2 5" xfId="1671" xr:uid="{00000000-0005-0000-0000-0000DD0B0000}"/>
    <cellStyle name="Normal 4 4 2 6" xfId="2201" xr:uid="{00000000-0005-0000-0000-0000DE0B0000}"/>
    <cellStyle name="Normal 4 4 2 7" xfId="2728" xr:uid="{00000000-0005-0000-0000-0000DF0B0000}"/>
    <cellStyle name="Normal 4 4 2 8" xfId="3255" xr:uid="{00000000-0005-0000-0000-0000E00B0000}"/>
    <cellStyle name="Normal 4 4 2 9" xfId="3782" xr:uid="{00000000-0005-0000-0000-0000E10B0000}"/>
    <cellStyle name="Normal 4 4 3" xfId="234" xr:uid="{00000000-0005-0000-0000-0000E20B0000}"/>
    <cellStyle name="Normal 4 4 3 2" xfId="497" xr:uid="{00000000-0005-0000-0000-0000E30B0000}"/>
    <cellStyle name="Normal 4 4 3 3" xfId="794" xr:uid="{00000000-0005-0000-0000-0000E40B0000}"/>
    <cellStyle name="Normal 4 4 3 4" xfId="1145" xr:uid="{00000000-0005-0000-0000-0000E50B0000}"/>
    <cellStyle name="Normal 4 4 3 5" xfId="1580" xr:uid="{00000000-0005-0000-0000-0000E60B0000}"/>
    <cellStyle name="Normal 4 4 3 6" xfId="2110" xr:uid="{00000000-0005-0000-0000-0000E70B0000}"/>
    <cellStyle name="Normal 4 4 3 7" xfId="2637" xr:uid="{00000000-0005-0000-0000-0000E80B0000}"/>
    <cellStyle name="Normal 4 4 3 8" xfId="3164" xr:uid="{00000000-0005-0000-0000-0000E90B0000}"/>
    <cellStyle name="Normal 4 4 3 9" xfId="3691" xr:uid="{00000000-0005-0000-0000-0000EA0B0000}"/>
    <cellStyle name="Normal 4 4 4" xfId="327" xr:uid="{00000000-0005-0000-0000-0000EB0B0000}"/>
    <cellStyle name="Normal 4 4 4 2" xfId="972" xr:uid="{00000000-0005-0000-0000-0000EC0B0000}"/>
    <cellStyle name="Normal 4 4 4 3" xfId="1323" xr:uid="{00000000-0005-0000-0000-0000ED0B0000}"/>
    <cellStyle name="Normal 4 4 4 4" xfId="1758" xr:uid="{00000000-0005-0000-0000-0000EE0B0000}"/>
    <cellStyle name="Normal 4 4 4 5" xfId="2288" xr:uid="{00000000-0005-0000-0000-0000EF0B0000}"/>
    <cellStyle name="Normal 4 4 4 6" xfId="2815" xr:uid="{00000000-0005-0000-0000-0000F00B0000}"/>
    <cellStyle name="Normal 4 4 4 7" xfId="3342" xr:uid="{00000000-0005-0000-0000-0000F10B0000}"/>
    <cellStyle name="Normal 4 4 4 8" xfId="3869" xr:uid="{00000000-0005-0000-0000-0000F20B0000}"/>
    <cellStyle name="Normal 4 4 5" xfId="584" xr:uid="{00000000-0005-0000-0000-0000F30B0000}"/>
    <cellStyle name="Normal 4 4 5 2" xfId="1407" xr:uid="{00000000-0005-0000-0000-0000F40B0000}"/>
    <cellStyle name="Normal 4 4 5 3" xfId="1842" xr:uid="{00000000-0005-0000-0000-0000F50B0000}"/>
    <cellStyle name="Normal 4 4 5 4" xfId="2372" xr:uid="{00000000-0005-0000-0000-0000F60B0000}"/>
    <cellStyle name="Normal 4 4 5 5" xfId="2899" xr:uid="{00000000-0005-0000-0000-0000F70B0000}"/>
    <cellStyle name="Normal 4 4 5 6" xfId="3426" xr:uid="{00000000-0005-0000-0000-0000F80B0000}"/>
    <cellStyle name="Normal 4 4 5 7" xfId="3953" xr:uid="{00000000-0005-0000-0000-0000F90B0000}"/>
    <cellStyle name="Normal 4 4 6" xfId="705" xr:uid="{00000000-0005-0000-0000-0000FA0B0000}"/>
    <cellStyle name="Normal 4 4 6 2" xfId="4129" xr:uid="{00000000-0005-0000-0000-0000FB0B0000}"/>
    <cellStyle name="Normal 4 4 7" xfId="1056" xr:uid="{00000000-0005-0000-0000-0000FC0B0000}"/>
    <cellStyle name="Normal 4 4 8" xfId="1491" xr:uid="{00000000-0005-0000-0000-0000FD0B0000}"/>
    <cellStyle name="Normal 4 4 9" xfId="2021" xr:uid="{00000000-0005-0000-0000-0000FE0B0000}"/>
    <cellStyle name="Normal 4 5" xfId="49" xr:uid="{00000000-0005-0000-0000-0000FF0B0000}"/>
    <cellStyle name="Normal 4 5 10" xfId="2552" xr:uid="{00000000-0005-0000-0000-0000000C0000}"/>
    <cellStyle name="Normal 4 5 11" xfId="3079" xr:uid="{00000000-0005-0000-0000-0000010C0000}"/>
    <cellStyle name="Normal 4 5 12" xfId="3606" xr:uid="{00000000-0005-0000-0000-0000020C0000}"/>
    <cellStyle name="Normal 4 5 2" xfId="143" xr:uid="{00000000-0005-0000-0000-0000030C0000}"/>
    <cellStyle name="Normal 4 5 2 2" xfId="416" xr:uid="{00000000-0005-0000-0000-0000040C0000}"/>
    <cellStyle name="Normal 4 5 2 2 2" xfId="1935" xr:uid="{00000000-0005-0000-0000-0000050C0000}"/>
    <cellStyle name="Normal 4 5 2 2 3" xfId="2465" xr:uid="{00000000-0005-0000-0000-0000060C0000}"/>
    <cellStyle name="Normal 4 5 2 2 4" xfId="2992" xr:uid="{00000000-0005-0000-0000-0000070C0000}"/>
    <cellStyle name="Normal 4 5 2 2 5" xfId="3519" xr:uid="{00000000-0005-0000-0000-0000080C0000}"/>
    <cellStyle name="Normal 4 5 2 2 6" xfId="4046" xr:uid="{00000000-0005-0000-0000-0000090C0000}"/>
    <cellStyle name="Normal 4 5 2 3" xfId="889" xr:uid="{00000000-0005-0000-0000-00000A0C0000}"/>
    <cellStyle name="Normal 4 5 2 4" xfId="1240" xr:uid="{00000000-0005-0000-0000-00000B0C0000}"/>
    <cellStyle name="Normal 4 5 2 5" xfId="1675" xr:uid="{00000000-0005-0000-0000-00000C0C0000}"/>
    <cellStyle name="Normal 4 5 2 6" xfId="2205" xr:uid="{00000000-0005-0000-0000-00000D0C0000}"/>
    <cellStyle name="Normal 4 5 2 7" xfId="2732" xr:uid="{00000000-0005-0000-0000-00000E0C0000}"/>
    <cellStyle name="Normal 4 5 2 8" xfId="3259" xr:uid="{00000000-0005-0000-0000-00000F0C0000}"/>
    <cellStyle name="Normal 4 5 2 9" xfId="3786" xr:uid="{00000000-0005-0000-0000-0000100C0000}"/>
    <cellStyle name="Normal 4 5 3" xfId="238" xr:uid="{00000000-0005-0000-0000-0000110C0000}"/>
    <cellStyle name="Normal 4 5 3 2" xfId="501" xr:uid="{00000000-0005-0000-0000-0000120C0000}"/>
    <cellStyle name="Normal 4 5 3 3" xfId="798" xr:uid="{00000000-0005-0000-0000-0000130C0000}"/>
    <cellStyle name="Normal 4 5 3 4" xfId="1149" xr:uid="{00000000-0005-0000-0000-0000140C0000}"/>
    <cellStyle name="Normal 4 5 3 5" xfId="1584" xr:uid="{00000000-0005-0000-0000-0000150C0000}"/>
    <cellStyle name="Normal 4 5 3 6" xfId="2114" xr:uid="{00000000-0005-0000-0000-0000160C0000}"/>
    <cellStyle name="Normal 4 5 3 7" xfId="2641" xr:uid="{00000000-0005-0000-0000-0000170C0000}"/>
    <cellStyle name="Normal 4 5 3 8" xfId="3168" xr:uid="{00000000-0005-0000-0000-0000180C0000}"/>
    <cellStyle name="Normal 4 5 3 9" xfId="3695" xr:uid="{00000000-0005-0000-0000-0000190C0000}"/>
    <cellStyle name="Normal 4 5 4" xfId="331" xr:uid="{00000000-0005-0000-0000-00001A0C0000}"/>
    <cellStyle name="Normal 4 5 4 2" xfId="976" xr:uid="{00000000-0005-0000-0000-00001B0C0000}"/>
    <cellStyle name="Normal 4 5 4 3" xfId="1327" xr:uid="{00000000-0005-0000-0000-00001C0C0000}"/>
    <cellStyle name="Normal 4 5 4 4" xfId="1762" xr:uid="{00000000-0005-0000-0000-00001D0C0000}"/>
    <cellStyle name="Normal 4 5 4 5" xfId="2292" xr:uid="{00000000-0005-0000-0000-00001E0C0000}"/>
    <cellStyle name="Normal 4 5 4 6" xfId="2819" xr:uid="{00000000-0005-0000-0000-00001F0C0000}"/>
    <cellStyle name="Normal 4 5 4 7" xfId="3346" xr:uid="{00000000-0005-0000-0000-0000200C0000}"/>
    <cellStyle name="Normal 4 5 4 8" xfId="3873" xr:uid="{00000000-0005-0000-0000-0000210C0000}"/>
    <cellStyle name="Normal 4 5 5" xfId="588" xr:uid="{00000000-0005-0000-0000-0000220C0000}"/>
    <cellStyle name="Normal 4 5 5 2" xfId="1411" xr:uid="{00000000-0005-0000-0000-0000230C0000}"/>
    <cellStyle name="Normal 4 5 5 3" xfId="1846" xr:uid="{00000000-0005-0000-0000-0000240C0000}"/>
    <cellStyle name="Normal 4 5 5 4" xfId="2376" xr:uid="{00000000-0005-0000-0000-0000250C0000}"/>
    <cellStyle name="Normal 4 5 5 5" xfId="2903" xr:uid="{00000000-0005-0000-0000-0000260C0000}"/>
    <cellStyle name="Normal 4 5 5 6" xfId="3430" xr:uid="{00000000-0005-0000-0000-0000270C0000}"/>
    <cellStyle name="Normal 4 5 5 7" xfId="3957" xr:uid="{00000000-0005-0000-0000-0000280C0000}"/>
    <cellStyle name="Normal 4 5 6" xfId="709" xr:uid="{00000000-0005-0000-0000-0000290C0000}"/>
    <cellStyle name="Normal 4 5 6 2" xfId="4133" xr:uid="{00000000-0005-0000-0000-00002A0C0000}"/>
    <cellStyle name="Normal 4 5 7" xfId="1060" xr:uid="{00000000-0005-0000-0000-00002B0C0000}"/>
    <cellStyle name="Normal 4 5 8" xfId="1495" xr:uid="{00000000-0005-0000-0000-00002C0C0000}"/>
    <cellStyle name="Normal 4 5 9" xfId="2025" xr:uid="{00000000-0005-0000-0000-00002D0C0000}"/>
    <cellStyle name="Normal 4 6" xfId="53" xr:uid="{00000000-0005-0000-0000-00002E0C0000}"/>
    <cellStyle name="Normal 4 6 10" xfId="2556" xr:uid="{00000000-0005-0000-0000-00002F0C0000}"/>
    <cellStyle name="Normal 4 6 11" xfId="3083" xr:uid="{00000000-0005-0000-0000-0000300C0000}"/>
    <cellStyle name="Normal 4 6 12" xfId="3610" xr:uid="{00000000-0005-0000-0000-0000310C0000}"/>
    <cellStyle name="Normal 4 6 2" xfId="147" xr:uid="{00000000-0005-0000-0000-0000320C0000}"/>
    <cellStyle name="Normal 4 6 2 2" xfId="420" xr:uid="{00000000-0005-0000-0000-0000330C0000}"/>
    <cellStyle name="Normal 4 6 2 2 2" xfId="1939" xr:uid="{00000000-0005-0000-0000-0000340C0000}"/>
    <cellStyle name="Normal 4 6 2 2 3" xfId="2469" xr:uid="{00000000-0005-0000-0000-0000350C0000}"/>
    <cellStyle name="Normal 4 6 2 2 4" xfId="2996" xr:uid="{00000000-0005-0000-0000-0000360C0000}"/>
    <cellStyle name="Normal 4 6 2 2 5" xfId="3523" xr:uid="{00000000-0005-0000-0000-0000370C0000}"/>
    <cellStyle name="Normal 4 6 2 2 6" xfId="4050" xr:uid="{00000000-0005-0000-0000-0000380C0000}"/>
    <cellStyle name="Normal 4 6 2 3" xfId="893" xr:uid="{00000000-0005-0000-0000-0000390C0000}"/>
    <cellStyle name="Normal 4 6 2 4" xfId="1244" xr:uid="{00000000-0005-0000-0000-00003A0C0000}"/>
    <cellStyle name="Normal 4 6 2 5" xfId="1679" xr:uid="{00000000-0005-0000-0000-00003B0C0000}"/>
    <cellStyle name="Normal 4 6 2 6" xfId="2209" xr:uid="{00000000-0005-0000-0000-00003C0C0000}"/>
    <cellStyle name="Normal 4 6 2 7" xfId="2736" xr:uid="{00000000-0005-0000-0000-00003D0C0000}"/>
    <cellStyle name="Normal 4 6 2 8" xfId="3263" xr:uid="{00000000-0005-0000-0000-00003E0C0000}"/>
    <cellStyle name="Normal 4 6 2 9" xfId="3790" xr:uid="{00000000-0005-0000-0000-00003F0C0000}"/>
    <cellStyle name="Normal 4 6 3" xfId="242" xr:uid="{00000000-0005-0000-0000-0000400C0000}"/>
    <cellStyle name="Normal 4 6 3 2" xfId="505" xr:uid="{00000000-0005-0000-0000-0000410C0000}"/>
    <cellStyle name="Normal 4 6 3 3" xfId="802" xr:uid="{00000000-0005-0000-0000-0000420C0000}"/>
    <cellStyle name="Normal 4 6 3 4" xfId="1153" xr:uid="{00000000-0005-0000-0000-0000430C0000}"/>
    <cellStyle name="Normal 4 6 3 5" xfId="1588" xr:uid="{00000000-0005-0000-0000-0000440C0000}"/>
    <cellStyle name="Normal 4 6 3 6" xfId="2118" xr:uid="{00000000-0005-0000-0000-0000450C0000}"/>
    <cellStyle name="Normal 4 6 3 7" xfId="2645" xr:uid="{00000000-0005-0000-0000-0000460C0000}"/>
    <cellStyle name="Normal 4 6 3 8" xfId="3172" xr:uid="{00000000-0005-0000-0000-0000470C0000}"/>
    <cellStyle name="Normal 4 6 3 9" xfId="3699" xr:uid="{00000000-0005-0000-0000-0000480C0000}"/>
    <cellStyle name="Normal 4 6 4" xfId="335" xr:uid="{00000000-0005-0000-0000-0000490C0000}"/>
    <cellStyle name="Normal 4 6 4 2" xfId="980" xr:uid="{00000000-0005-0000-0000-00004A0C0000}"/>
    <cellStyle name="Normal 4 6 4 3" xfId="1331" xr:uid="{00000000-0005-0000-0000-00004B0C0000}"/>
    <cellStyle name="Normal 4 6 4 4" xfId="1766" xr:uid="{00000000-0005-0000-0000-00004C0C0000}"/>
    <cellStyle name="Normal 4 6 4 5" xfId="2296" xr:uid="{00000000-0005-0000-0000-00004D0C0000}"/>
    <cellStyle name="Normal 4 6 4 6" xfId="2823" xr:uid="{00000000-0005-0000-0000-00004E0C0000}"/>
    <cellStyle name="Normal 4 6 4 7" xfId="3350" xr:uid="{00000000-0005-0000-0000-00004F0C0000}"/>
    <cellStyle name="Normal 4 6 4 8" xfId="3877" xr:uid="{00000000-0005-0000-0000-0000500C0000}"/>
    <cellStyle name="Normal 4 6 5" xfId="592" xr:uid="{00000000-0005-0000-0000-0000510C0000}"/>
    <cellStyle name="Normal 4 6 5 2" xfId="1415" xr:uid="{00000000-0005-0000-0000-0000520C0000}"/>
    <cellStyle name="Normal 4 6 5 3" xfId="1850" xr:uid="{00000000-0005-0000-0000-0000530C0000}"/>
    <cellStyle name="Normal 4 6 5 4" xfId="2380" xr:uid="{00000000-0005-0000-0000-0000540C0000}"/>
    <cellStyle name="Normal 4 6 5 5" xfId="2907" xr:uid="{00000000-0005-0000-0000-0000550C0000}"/>
    <cellStyle name="Normal 4 6 5 6" xfId="3434" xr:uid="{00000000-0005-0000-0000-0000560C0000}"/>
    <cellStyle name="Normal 4 6 5 7" xfId="3961" xr:uid="{00000000-0005-0000-0000-0000570C0000}"/>
    <cellStyle name="Normal 4 6 6" xfId="713" xr:uid="{00000000-0005-0000-0000-0000580C0000}"/>
    <cellStyle name="Normal 4 6 6 2" xfId="4137" xr:uid="{00000000-0005-0000-0000-0000590C0000}"/>
    <cellStyle name="Normal 4 6 7" xfId="1064" xr:uid="{00000000-0005-0000-0000-00005A0C0000}"/>
    <cellStyle name="Normal 4 6 8" xfId="1499" xr:uid="{00000000-0005-0000-0000-00005B0C0000}"/>
    <cellStyle name="Normal 4 6 9" xfId="2029" xr:uid="{00000000-0005-0000-0000-00005C0C0000}"/>
    <cellStyle name="Normal 4 7" xfId="57" xr:uid="{00000000-0005-0000-0000-00005D0C0000}"/>
    <cellStyle name="Normal 4 7 10" xfId="2560" xr:uid="{00000000-0005-0000-0000-00005E0C0000}"/>
    <cellStyle name="Normal 4 7 11" xfId="3087" xr:uid="{00000000-0005-0000-0000-00005F0C0000}"/>
    <cellStyle name="Normal 4 7 12" xfId="3614" xr:uid="{00000000-0005-0000-0000-0000600C0000}"/>
    <cellStyle name="Normal 4 7 2" xfId="151" xr:uid="{00000000-0005-0000-0000-0000610C0000}"/>
    <cellStyle name="Normal 4 7 2 2" xfId="424" xr:uid="{00000000-0005-0000-0000-0000620C0000}"/>
    <cellStyle name="Normal 4 7 2 2 2" xfId="1943" xr:uid="{00000000-0005-0000-0000-0000630C0000}"/>
    <cellStyle name="Normal 4 7 2 2 3" xfId="2473" xr:uid="{00000000-0005-0000-0000-0000640C0000}"/>
    <cellStyle name="Normal 4 7 2 2 4" xfId="3000" xr:uid="{00000000-0005-0000-0000-0000650C0000}"/>
    <cellStyle name="Normal 4 7 2 2 5" xfId="3527" xr:uid="{00000000-0005-0000-0000-0000660C0000}"/>
    <cellStyle name="Normal 4 7 2 2 6" xfId="4054" xr:uid="{00000000-0005-0000-0000-0000670C0000}"/>
    <cellStyle name="Normal 4 7 2 3" xfId="897" xr:uid="{00000000-0005-0000-0000-0000680C0000}"/>
    <cellStyle name="Normal 4 7 2 4" xfId="1248" xr:uid="{00000000-0005-0000-0000-0000690C0000}"/>
    <cellStyle name="Normal 4 7 2 5" xfId="1683" xr:uid="{00000000-0005-0000-0000-00006A0C0000}"/>
    <cellStyle name="Normal 4 7 2 6" xfId="2213" xr:uid="{00000000-0005-0000-0000-00006B0C0000}"/>
    <cellStyle name="Normal 4 7 2 7" xfId="2740" xr:uid="{00000000-0005-0000-0000-00006C0C0000}"/>
    <cellStyle name="Normal 4 7 2 8" xfId="3267" xr:uid="{00000000-0005-0000-0000-00006D0C0000}"/>
    <cellStyle name="Normal 4 7 2 9" xfId="3794" xr:uid="{00000000-0005-0000-0000-00006E0C0000}"/>
    <cellStyle name="Normal 4 7 3" xfId="246" xr:uid="{00000000-0005-0000-0000-00006F0C0000}"/>
    <cellStyle name="Normal 4 7 3 2" xfId="509" xr:uid="{00000000-0005-0000-0000-0000700C0000}"/>
    <cellStyle name="Normal 4 7 3 3" xfId="806" xr:uid="{00000000-0005-0000-0000-0000710C0000}"/>
    <cellStyle name="Normal 4 7 3 4" xfId="1157" xr:uid="{00000000-0005-0000-0000-0000720C0000}"/>
    <cellStyle name="Normal 4 7 3 5" xfId="1592" xr:uid="{00000000-0005-0000-0000-0000730C0000}"/>
    <cellStyle name="Normal 4 7 3 6" xfId="2122" xr:uid="{00000000-0005-0000-0000-0000740C0000}"/>
    <cellStyle name="Normal 4 7 3 7" xfId="2649" xr:uid="{00000000-0005-0000-0000-0000750C0000}"/>
    <cellStyle name="Normal 4 7 3 8" xfId="3176" xr:uid="{00000000-0005-0000-0000-0000760C0000}"/>
    <cellStyle name="Normal 4 7 3 9" xfId="3703" xr:uid="{00000000-0005-0000-0000-0000770C0000}"/>
    <cellStyle name="Normal 4 7 4" xfId="339" xr:uid="{00000000-0005-0000-0000-0000780C0000}"/>
    <cellStyle name="Normal 4 7 4 2" xfId="984" xr:uid="{00000000-0005-0000-0000-0000790C0000}"/>
    <cellStyle name="Normal 4 7 4 3" xfId="1335" xr:uid="{00000000-0005-0000-0000-00007A0C0000}"/>
    <cellStyle name="Normal 4 7 4 4" xfId="1770" xr:uid="{00000000-0005-0000-0000-00007B0C0000}"/>
    <cellStyle name="Normal 4 7 4 5" xfId="2300" xr:uid="{00000000-0005-0000-0000-00007C0C0000}"/>
    <cellStyle name="Normal 4 7 4 6" xfId="2827" xr:uid="{00000000-0005-0000-0000-00007D0C0000}"/>
    <cellStyle name="Normal 4 7 4 7" xfId="3354" xr:uid="{00000000-0005-0000-0000-00007E0C0000}"/>
    <cellStyle name="Normal 4 7 4 8" xfId="3881" xr:uid="{00000000-0005-0000-0000-00007F0C0000}"/>
    <cellStyle name="Normal 4 7 5" xfId="596" xr:uid="{00000000-0005-0000-0000-0000800C0000}"/>
    <cellStyle name="Normal 4 7 5 2" xfId="1419" xr:uid="{00000000-0005-0000-0000-0000810C0000}"/>
    <cellStyle name="Normal 4 7 5 3" xfId="1854" xr:uid="{00000000-0005-0000-0000-0000820C0000}"/>
    <cellStyle name="Normal 4 7 5 4" xfId="2384" xr:uid="{00000000-0005-0000-0000-0000830C0000}"/>
    <cellStyle name="Normal 4 7 5 5" xfId="2911" xr:uid="{00000000-0005-0000-0000-0000840C0000}"/>
    <cellStyle name="Normal 4 7 5 6" xfId="3438" xr:uid="{00000000-0005-0000-0000-0000850C0000}"/>
    <cellStyle name="Normal 4 7 5 7" xfId="3965" xr:uid="{00000000-0005-0000-0000-0000860C0000}"/>
    <cellStyle name="Normal 4 7 6" xfId="717" xr:uid="{00000000-0005-0000-0000-0000870C0000}"/>
    <cellStyle name="Normal 4 7 6 2" xfId="4141" xr:uid="{00000000-0005-0000-0000-0000880C0000}"/>
    <cellStyle name="Normal 4 7 7" xfId="1068" xr:uid="{00000000-0005-0000-0000-0000890C0000}"/>
    <cellStyle name="Normal 4 7 8" xfId="1503" xr:uid="{00000000-0005-0000-0000-00008A0C0000}"/>
    <cellStyle name="Normal 4 7 9" xfId="2033" xr:uid="{00000000-0005-0000-0000-00008B0C0000}"/>
    <cellStyle name="Normal 4 8" xfId="61" xr:uid="{00000000-0005-0000-0000-00008C0C0000}"/>
    <cellStyle name="Normal 4 8 10" xfId="2564" xr:uid="{00000000-0005-0000-0000-00008D0C0000}"/>
    <cellStyle name="Normal 4 8 11" xfId="3091" xr:uid="{00000000-0005-0000-0000-00008E0C0000}"/>
    <cellStyle name="Normal 4 8 12" xfId="3618" xr:uid="{00000000-0005-0000-0000-00008F0C0000}"/>
    <cellStyle name="Normal 4 8 2" xfId="155" xr:uid="{00000000-0005-0000-0000-0000900C0000}"/>
    <cellStyle name="Normal 4 8 2 2" xfId="428" xr:uid="{00000000-0005-0000-0000-0000910C0000}"/>
    <cellStyle name="Normal 4 8 2 2 2" xfId="1947" xr:uid="{00000000-0005-0000-0000-0000920C0000}"/>
    <cellStyle name="Normal 4 8 2 2 3" xfId="2477" xr:uid="{00000000-0005-0000-0000-0000930C0000}"/>
    <cellStyle name="Normal 4 8 2 2 4" xfId="3004" xr:uid="{00000000-0005-0000-0000-0000940C0000}"/>
    <cellStyle name="Normal 4 8 2 2 5" xfId="3531" xr:uid="{00000000-0005-0000-0000-0000950C0000}"/>
    <cellStyle name="Normal 4 8 2 2 6" xfId="4058" xr:uid="{00000000-0005-0000-0000-0000960C0000}"/>
    <cellStyle name="Normal 4 8 2 3" xfId="901" xr:uid="{00000000-0005-0000-0000-0000970C0000}"/>
    <cellStyle name="Normal 4 8 2 4" xfId="1252" xr:uid="{00000000-0005-0000-0000-0000980C0000}"/>
    <cellStyle name="Normal 4 8 2 5" xfId="1687" xr:uid="{00000000-0005-0000-0000-0000990C0000}"/>
    <cellStyle name="Normal 4 8 2 6" xfId="2217" xr:uid="{00000000-0005-0000-0000-00009A0C0000}"/>
    <cellStyle name="Normal 4 8 2 7" xfId="2744" xr:uid="{00000000-0005-0000-0000-00009B0C0000}"/>
    <cellStyle name="Normal 4 8 2 8" xfId="3271" xr:uid="{00000000-0005-0000-0000-00009C0C0000}"/>
    <cellStyle name="Normal 4 8 2 9" xfId="3798" xr:uid="{00000000-0005-0000-0000-00009D0C0000}"/>
    <cellStyle name="Normal 4 8 3" xfId="250" xr:uid="{00000000-0005-0000-0000-00009E0C0000}"/>
    <cellStyle name="Normal 4 8 3 2" xfId="513" xr:uid="{00000000-0005-0000-0000-00009F0C0000}"/>
    <cellStyle name="Normal 4 8 3 3" xfId="810" xr:uid="{00000000-0005-0000-0000-0000A00C0000}"/>
    <cellStyle name="Normal 4 8 3 4" xfId="1161" xr:uid="{00000000-0005-0000-0000-0000A10C0000}"/>
    <cellStyle name="Normal 4 8 3 5" xfId="1596" xr:uid="{00000000-0005-0000-0000-0000A20C0000}"/>
    <cellStyle name="Normal 4 8 3 6" xfId="2126" xr:uid="{00000000-0005-0000-0000-0000A30C0000}"/>
    <cellStyle name="Normal 4 8 3 7" xfId="2653" xr:uid="{00000000-0005-0000-0000-0000A40C0000}"/>
    <cellStyle name="Normal 4 8 3 8" xfId="3180" xr:uid="{00000000-0005-0000-0000-0000A50C0000}"/>
    <cellStyle name="Normal 4 8 3 9" xfId="3707" xr:uid="{00000000-0005-0000-0000-0000A60C0000}"/>
    <cellStyle name="Normal 4 8 4" xfId="343" xr:uid="{00000000-0005-0000-0000-0000A70C0000}"/>
    <cellStyle name="Normal 4 8 4 2" xfId="988" xr:uid="{00000000-0005-0000-0000-0000A80C0000}"/>
    <cellStyle name="Normal 4 8 4 3" xfId="1339" xr:uid="{00000000-0005-0000-0000-0000A90C0000}"/>
    <cellStyle name="Normal 4 8 4 4" xfId="1774" xr:uid="{00000000-0005-0000-0000-0000AA0C0000}"/>
    <cellStyle name="Normal 4 8 4 5" xfId="2304" xr:uid="{00000000-0005-0000-0000-0000AB0C0000}"/>
    <cellStyle name="Normal 4 8 4 6" xfId="2831" xr:uid="{00000000-0005-0000-0000-0000AC0C0000}"/>
    <cellStyle name="Normal 4 8 4 7" xfId="3358" xr:uid="{00000000-0005-0000-0000-0000AD0C0000}"/>
    <cellStyle name="Normal 4 8 4 8" xfId="3885" xr:uid="{00000000-0005-0000-0000-0000AE0C0000}"/>
    <cellStyle name="Normal 4 8 5" xfId="600" xr:uid="{00000000-0005-0000-0000-0000AF0C0000}"/>
    <cellStyle name="Normal 4 8 5 2" xfId="1423" xr:uid="{00000000-0005-0000-0000-0000B00C0000}"/>
    <cellStyle name="Normal 4 8 5 3" xfId="1858" xr:uid="{00000000-0005-0000-0000-0000B10C0000}"/>
    <cellStyle name="Normal 4 8 5 4" xfId="2388" xr:uid="{00000000-0005-0000-0000-0000B20C0000}"/>
    <cellStyle name="Normal 4 8 5 5" xfId="2915" xr:uid="{00000000-0005-0000-0000-0000B30C0000}"/>
    <cellStyle name="Normal 4 8 5 6" xfId="3442" xr:uid="{00000000-0005-0000-0000-0000B40C0000}"/>
    <cellStyle name="Normal 4 8 5 7" xfId="3969" xr:uid="{00000000-0005-0000-0000-0000B50C0000}"/>
    <cellStyle name="Normal 4 8 6" xfId="721" xr:uid="{00000000-0005-0000-0000-0000B60C0000}"/>
    <cellStyle name="Normal 4 8 6 2" xfId="4145" xr:uid="{00000000-0005-0000-0000-0000B70C0000}"/>
    <cellStyle name="Normal 4 8 7" xfId="1072" xr:uid="{00000000-0005-0000-0000-0000B80C0000}"/>
    <cellStyle name="Normal 4 8 8" xfId="1507" xr:uid="{00000000-0005-0000-0000-0000B90C0000}"/>
    <cellStyle name="Normal 4 8 9" xfId="2037" xr:uid="{00000000-0005-0000-0000-0000BA0C0000}"/>
    <cellStyle name="Normal 4 9" xfId="69" xr:uid="{00000000-0005-0000-0000-0000BB0C0000}"/>
    <cellStyle name="Normal 4 9 10" xfId="2572" xr:uid="{00000000-0005-0000-0000-0000BC0C0000}"/>
    <cellStyle name="Normal 4 9 11" xfId="3099" xr:uid="{00000000-0005-0000-0000-0000BD0C0000}"/>
    <cellStyle name="Normal 4 9 12" xfId="3626" xr:uid="{00000000-0005-0000-0000-0000BE0C0000}"/>
    <cellStyle name="Normal 4 9 2" xfId="163" xr:uid="{00000000-0005-0000-0000-0000BF0C0000}"/>
    <cellStyle name="Normal 4 9 2 2" xfId="436" xr:uid="{00000000-0005-0000-0000-0000C00C0000}"/>
    <cellStyle name="Normal 4 9 2 2 2" xfId="1955" xr:uid="{00000000-0005-0000-0000-0000C10C0000}"/>
    <cellStyle name="Normal 4 9 2 2 3" xfId="2485" xr:uid="{00000000-0005-0000-0000-0000C20C0000}"/>
    <cellStyle name="Normal 4 9 2 2 4" xfId="3012" xr:uid="{00000000-0005-0000-0000-0000C30C0000}"/>
    <cellStyle name="Normal 4 9 2 2 5" xfId="3539" xr:uid="{00000000-0005-0000-0000-0000C40C0000}"/>
    <cellStyle name="Normal 4 9 2 2 6" xfId="4066" xr:uid="{00000000-0005-0000-0000-0000C50C0000}"/>
    <cellStyle name="Normal 4 9 2 3" xfId="909" xr:uid="{00000000-0005-0000-0000-0000C60C0000}"/>
    <cellStyle name="Normal 4 9 2 4" xfId="1260" xr:uid="{00000000-0005-0000-0000-0000C70C0000}"/>
    <cellStyle name="Normal 4 9 2 5" xfId="1695" xr:uid="{00000000-0005-0000-0000-0000C80C0000}"/>
    <cellStyle name="Normal 4 9 2 6" xfId="2225" xr:uid="{00000000-0005-0000-0000-0000C90C0000}"/>
    <cellStyle name="Normal 4 9 2 7" xfId="2752" xr:uid="{00000000-0005-0000-0000-0000CA0C0000}"/>
    <cellStyle name="Normal 4 9 2 8" xfId="3279" xr:uid="{00000000-0005-0000-0000-0000CB0C0000}"/>
    <cellStyle name="Normal 4 9 2 9" xfId="3806" xr:uid="{00000000-0005-0000-0000-0000CC0C0000}"/>
    <cellStyle name="Normal 4 9 3" xfId="258" xr:uid="{00000000-0005-0000-0000-0000CD0C0000}"/>
    <cellStyle name="Normal 4 9 3 2" xfId="521" xr:uid="{00000000-0005-0000-0000-0000CE0C0000}"/>
    <cellStyle name="Normal 4 9 3 3" xfId="818" xr:uid="{00000000-0005-0000-0000-0000CF0C0000}"/>
    <cellStyle name="Normal 4 9 3 4" xfId="1169" xr:uid="{00000000-0005-0000-0000-0000D00C0000}"/>
    <cellStyle name="Normal 4 9 3 5" xfId="1604" xr:uid="{00000000-0005-0000-0000-0000D10C0000}"/>
    <cellStyle name="Normal 4 9 3 6" xfId="2134" xr:uid="{00000000-0005-0000-0000-0000D20C0000}"/>
    <cellStyle name="Normal 4 9 3 7" xfId="2661" xr:uid="{00000000-0005-0000-0000-0000D30C0000}"/>
    <cellStyle name="Normal 4 9 3 8" xfId="3188" xr:uid="{00000000-0005-0000-0000-0000D40C0000}"/>
    <cellStyle name="Normal 4 9 3 9" xfId="3715" xr:uid="{00000000-0005-0000-0000-0000D50C0000}"/>
    <cellStyle name="Normal 4 9 4" xfId="351" xr:uid="{00000000-0005-0000-0000-0000D60C0000}"/>
    <cellStyle name="Normal 4 9 4 2" xfId="996" xr:uid="{00000000-0005-0000-0000-0000D70C0000}"/>
    <cellStyle name="Normal 4 9 4 3" xfId="1347" xr:uid="{00000000-0005-0000-0000-0000D80C0000}"/>
    <cellStyle name="Normal 4 9 4 4" xfId="1782" xr:uid="{00000000-0005-0000-0000-0000D90C0000}"/>
    <cellStyle name="Normal 4 9 4 5" xfId="2312" xr:uid="{00000000-0005-0000-0000-0000DA0C0000}"/>
    <cellStyle name="Normal 4 9 4 6" xfId="2839" xr:uid="{00000000-0005-0000-0000-0000DB0C0000}"/>
    <cellStyle name="Normal 4 9 4 7" xfId="3366" xr:uid="{00000000-0005-0000-0000-0000DC0C0000}"/>
    <cellStyle name="Normal 4 9 4 8" xfId="3893" xr:uid="{00000000-0005-0000-0000-0000DD0C0000}"/>
    <cellStyle name="Normal 4 9 5" xfId="608" xr:uid="{00000000-0005-0000-0000-0000DE0C0000}"/>
    <cellStyle name="Normal 4 9 5 2" xfId="1431" xr:uid="{00000000-0005-0000-0000-0000DF0C0000}"/>
    <cellStyle name="Normal 4 9 5 3" xfId="1866" xr:uid="{00000000-0005-0000-0000-0000E00C0000}"/>
    <cellStyle name="Normal 4 9 5 4" xfId="2396" xr:uid="{00000000-0005-0000-0000-0000E10C0000}"/>
    <cellStyle name="Normal 4 9 5 5" xfId="2923" xr:uid="{00000000-0005-0000-0000-0000E20C0000}"/>
    <cellStyle name="Normal 4 9 5 6" xfId="3450" xr:uid="{00000000-0005-0000-0000-0000E30C0000}"/>
    <cellStyle name="Normal 4 9 5 7" xfId="3977" xr:uid="{00000000-0005-0000-0000-0000E40C0000}"/>
    <cellStyle name="Normal 4 9 6" xfId="729" xr:uid="{00000000-0005-0000-0000-0000E50C0000}"/>
    <cellStyle name="Normal 4 9 6 2" xfId="4153" xr:uid="{00000000-0005-0000-0000-0000E60C0000}"/>
    <cellStyle name="Normal 4 9 7" xfId="1080" xr:uid="{00000000-0005-0000-0000-0000E70C0000}"/>
    <cellStyle name="Normal 4 9 8" xfId="1515" xr:uid="{00000000-0005-0000-0000-0000E80C0000}"/>
    <cellStyle name="Normal 4 9 9" xfId="2045" xr:uid="{00000000-0005-0000-0000-0000E90C0000}"/>
    <cellStyle name="Normal 5" xfId="28" xr:uid="{00000000-0005-0000-0000-0000EA0C0000}"/>
    <cellStyle name="Normal 5 10" xfId="80" xr:uid="{00000000-0005-0000-0000-0000EB0C0000}"/>
    <cellStyle name="Normal 5 10 10" xfId="2583" xr:uid="{00000000-0005-0000-0000-0000EC0C0000}"/>
    <cellStyle name="Normal 5 10 11" xfId="3110" xr:uid="{00000000-0005-0000-0000-0000ED0C0000}"/>
    <cellStyle name="Normal 5 10 12" xfId="3637" xr:uid="{00000000-0005-0000-0000-0000EE0C0000}"/>
    <cellStyle name="Normal 5 10 2" xfId="174" xr:uid="{00000000-0005-0000-0000-0000EF0C0000}"/>
    <cellStyle name="Normal 5 10 2 2" xfId="447" xr:uid="{00000000-0005-0000-0000-0000F00C0000}"/>
    <cellStyle name="Normal 5 10 2 2 2" xfId="1966" xr:uid="{00000000-0005-0000-0000-0000F10C0000}"/>
    <cellStyle name="Normal 5 10 2 2 3" xfId="2496" xr:uid="{00000000-0005-0000-0000-0000F20C0000}"/>
    <cellStyle name="Normal 5 10 2 2 4" xfId="3023" xr:uid="{00000000-0005-0000-0000-0000F30C0000}"/>
    <cellStyle name="Normal 5 10 2 2 5" xfId="3550" xr:uid="{00000000-0005-0000-0000-0000F40C0000}"/>
    <cellStyle name="Normal 5 10 2 2 6" xfId="4077" xr:uid="{00000000-0005-0000-0000-0000F50C0000}"/>
    <cellStyle name="Normal 5 10 2 3" xfId="920" xr:uid="{00000000-0005-0000-0000-0000F60C0000}"/>
    <cellStyle name="Normal 5 10 2 4" xfId="1271" xr:uid="{00000000-0005-0000-0000-0000F70C0000}"/>
    <cellStyle name="Normal 5 10 2 5" xfId="1706" xr:uid="{00000000-0005-0000-0000-0000F80C0000}"/>
    <cellStyle name="Normal 5 10 2 6" xfId="2236" xr:uid="{00000000-0005-0000-0000-0000F90C0000}"/>
    <cellStyle name="Normal 5 10 2 7" xfId="2763" xr:uid="{00000000-0005-0000-0000-0000FA0C0000}"/>
    <cellStyle name="Normal 5 10 2 8" xfId="3290" xr:uid="{00000000-0005-0000-0000-0000FB0C0000}"/>
    <cellStyle name="Normal 5 10 2 9" xfId="3817" xr:uid="{00000000-0005-0000-0000-0000FC0C0000}"/>
    <cellStyle name="Normal 5 10 3" xfId="269" xr:uid="{00000000-0005-0000-0000-0000FD0C0000}"/>
    <cellStyle name="Normal 5 10 3 2" xfId="532" xr:uid="{00000000-0005-0000-0000-0000FE0C0000}"/>
    <cellStyle name="Normal 5 10 3 3" xfId="829" xr:uid="{00000000-0005-0000-0000-0000FF0C0000}"/>
    <cellStyle name="Normal 5 10 3 4" xfId="1180" xr:uid="{00000000-0005-0000-0000-0000000D0000}"/>
    <cellStyle name="Normal 5 10 3 5" xfId="1615" xr:uid="{00000000-0005-0000-0000-0000010D0000}"/>
    <cellStyle name="Normal 5 10 3 6" xfId="2145" xr:uid="{00000000-0005-0000-0000-0000020D0000}"/>
    <cellStyle name="Normal 5 10 3 7" xfId="2672" xr:uid="{00000000-0005-0000-0000-0000030D0000}"/>
    <cellStyle name="Normal 5 10 3 8" xfId="3199" xr:uid="{00000000-0005-0000-0000-0000040D0000}"/>
    <cellStyle name="Normal 5 10 3 9" xfId="3726" xr:uid="{00000000-0005-0000-0000-0000050D0000}"/>
    <cellStyle name="Normal 5 10 4" xfId="362" xr:uid="{00000000-0005-0000-0000-0000060D0000}"/>
    <cellStyle name="Normal 5 10 4 2" xfId="1007" xr:uid="{00000000-0005-0000-0000-0000070D0000}"/>
    <cellStyle name="Normal 5 10 4 3" xfId="1358" xr:uid="{00000000-0005-0000-0000-0000080D0000}"/>
    <cellStyle name="Normal 5 10 4 4" xfId="1793" xr:uid="{00000000-0005-0000-0000-0000090D0000}"/>
    <cellStyle name="Normal 5 10 4 5" xfId="2323" xr:uid="{00000000-0005-0000-0000-00000A0D0000}"/>
    <cellStyle name="Normal 5 10 4 6" xfId="2850" xr:uid="{00000000-0005-0000-0000-00000B0D0000}"/>
    <cellStyle name="Normal 5 10 4 7" xfId="3377" xr:uid="{00000000-0005-0000-0000-00000C0D0000}"/>
    <cellStyle name="Normal 5 10 4 8" xfId="3904" xr:uid="{00000000-0005-0000-0000-00000D0D0000}"/>
    <cellStyle name="Normal 5 10 5" xfId="619" xr:uid="{00000000-0005-0000-0000-00000E0D0000}"/>
    <cellStyle name="Normal 5 10 5 2" xfId="1442" xr:uid="{00000000-0005-0000-0000-00000F0D0000}"/>
    <cellStyle name="Normal 5 10 5 3" xfId="1877" xr:uid="{00000000-0005-0000-0000-0000100D0000}"/>
    <cellStyle name="Normal 5 10 5 4" xfId="2407" xr:uid="{00000000-0005-0000-0000-0000110D0000}"/>
    <cellStyle name="Normal 5 10 5 5" xfId="2934" xr:uid="{00000000-0005-0000-0000-0000120D0000}"/>
    <cellStyle name="Normal 5 10 5 6" xfId="3461" xr:uid="{00000000-0005-0000-0000-0000130D0000}"/>
    <cellStyle name="Normal 5 10 5 7" xfId="3988" xr:uid="{00000000-0005-0000-0000-0000140D0000}"/>
    <cellStyle name="Normal 5 10 6" xfId="740" xr:uid="{00000000-0005-0000-0000-0000150D0000}"/>
    <cellStyle name="Normal 5 10 6 2" xfId="4164" xr:uid="{00000000-0005-0000-0000-0000160D0000}"/>
    <cellStyle name="Normal 5 10 7" xfId="1091" xr:uid="{00000000-0005-0000-0000-0000170D0000}"/>
    <cellStyle name="Normal 5 10 8" xfId="1526" xr:uid="{00000000-0005-0000-0000-0000180D0000}"/>
    <cellStyle name="Normal 5 10 9" xfId="2056" xr:uid="{00000000-0005-0000-0000-0000190D0000}"/>
    <cellStyle name="Normal 5 11" xfId="88" xr:uid="{00000000-0005-0000-0000-00001A0D0000}"/>
    <cellStyle name="Normal 5 11 10" xfId="2591" xr:uid="{00000000-0005-0000-0000-00001B0D0000}"/>
    <cellStyle name="Normal 5 11 11" xfId="3118" xr:uid="{00000000-0005-0000-0000-00001C0D0000}"/>
    <cellStyle name="Normal 5 11 12" xfId="3645" xr:uid="{00000000-0005-0000-0000-00001D0D0000}"/>
    <cellStyle name="Normal 5 11 2" xfId="182" xr:uid="{00000000-0005-0000-0000-00001E0D0000}"/>
    <cellStyle name="Normal 5 11 2 2" xfId="455" xr:uid="{00000000-0005-0000-0000-00001F0D0000}"/>
    <cellStyle name="Normal 5 11 2 2 2" xfId="1974" xr:uid="{00000000-0005-0000-0000-0000200D0000}"/>
    <cellStyle name="Normal 5 11 2 2 3" xfId="2504" xr:uid="{00000000-0005-0000-0000-0000210D0000}"/>
    <cellStyle name="Normal 5 11 2 2 4" xfId="3031" xr:uid="{00000000-0005-0000-0000-0000220D0000}"/>
    <cellStyle name="Normal 5 11 2 2 5" xfId="3558" xr:uid="{00000000-0005-0000-0000-0000230D0000}"/>
    <cellStyle name="Normal 5 11 2 2 6" xfId="4085" xr:uid="{00000000-0005-0000-0000-0000240D0000}"/>
    <cellStyle name="Normal 5 11 2 3" xfId="928" xr:uid="{00000000-0005-0000-0000-0000250D0000}"/>
    <cellStyle name="Normal 5 11 2 4" xfId="1279" xr:uid="{00000000-0005-0000-0000-0000260D0000}"/>
    <cellStyle name="Normal 5 11 2 5" xfId="1714" xr:uid="{00000000-0005-0000-0000-0000270D0000}"/>
    <cellStyle name="Normal 5 11 2 6" xfId="2244" xr:uid="{00000000-0005-0000-0000-0000280D0000}"/>
    <cellStyle name="Normal 5 11 2 7" xfId="2771" xr:uid="{00000000-0005-0000-0000-0000290D0000}"/>
    <cellStyle name="Normal 5 11 2 8" xfId="3298" xr:uid="{00000000-0005-0000-0000-00002A0D0000}"/>
    <cellStyle name="Normal 5 11 2 9" xfId="3825" xr:uid="{00000000-0005-0000-0000-00002B0D0000}"/>
    <cellStyle name="Normal 5 11 3" xfId="277" xr:uid="{00000000-0005-0000-0000-00002C0D0000}"/>
    <cellStyle name="Normal 5 11 3 2" xfId="540" xr:uid="{00000000-0005-0000-0000-00002D0D0000}"/>
    <cellStyle name="Normal 5 11 3 3" xfId="837" xr:uid="{00000000-0005-0000-0000-00002E0D0000}"/>
    <cellStyle name="Normal 5 11 3 4" xfId="1188" xr:uid="{00000000-0005-0000-0000-00002F0D0000}"/>
    <cellStyle name="Normal 5 11 3 5" xfId="1623" xr:uid="{00000000-0005-0000-0000-0000300D0000}"/>
    <cellStyle name="Normal 5 11 3 6" xfId="2153" xr:uid="{00000000-0005-0000-0000-0000310D0000}"/>
    <cellStyle name="Normal 5 11 3 7" xfId="2680" xr:uid="{00000000-0005-0000-0000-0000320D0000}"/>
    <cellStyle name="Normal 5 11 3 8" xfId="3207" xr:uid="{00000000-0005-0000-0000-0000330D0000}"/>
    <cellStyle name="Normal 5 11 3 9" xfId="3734" xr:uid="{00000000-0005-0000-0000-0000340D0000}"/>
    <cellStyle name="Normal 5 11 4" xfId="370" xr:uid="{00000000-0005-0000-0000-0000350D0000}"/>
    <cellStyle name="Normal 5 11 4 2" xfId="1015" xr:uid="{00000000-0005-0000-0000-0000360D0000}"/>
    <cellStyle name="Normal 5 11 4 3" xfId="1366" xr:uid="{00000000-0005-0000-0000-0000370D0000}"/>
    <cellStyle name="Normal 5 11 4 4" xfId="1801" xr:uid="{00000000-0005-0000-0000-0000380D0000}"/>
    <cellStyle name="Normal 5 11 4 5" xfId="2331" xr:uid="{00000000-0005-0000-0000-0000390D0000}"/>
    <cellStyle name="Normal 5 11 4 6" xfId="2858" xr:uid="{00000000-0005-0000-0000-00003A0D0000}"/>
    <cellStyle name="Normal 5 11 4 7" xfId="3385" xr:uid="{00000000-0005-0000-0000-00003B0D0000}"/>
    <cellStyle name="Normal 5 11 4 8" xfId="3912" xr:uid="{00000000-0005-0000-0000-00003C0D0000}"/>
    <cellStyle name="Normal 5 11 5" xfId="627" xr:uid="{00000000-0005-0000-0000-00003D0D0000}"/>
    <cellStyle name="Normal 5 11 5 2" xfId="1450" xr:uid="{00000000-0005-0000-0000-00003E0D0000}"/>
    <cellStyle name="Normal 5 11 5 3" xfId="1885" xr:uid="{00000000-0005-0000-0000-00003F0D0000}"/>
    <cellStyle name="Normal 5 11 5 4" xfId="2415" xr:uid="{00000000-0005-0000-0000-0000400D0000}"/>
    <cellStyle name="Normal 5 11 5 5" xfId="2942" xr:uid="{00000000-0005-0000-0000-0000410D0000}"/>
    <cellStyle name="Normal 5 11 5 6" xfId="3469" xr:uid="{00000000-0005-0000-0000-0000420D0000}"/>
    <cellStyle name="Normal 5 11 5 7" xfId="3996" xr:uid="{00000000-0005-0000-0000-0000430D0000}"/>
    <cellStyle name="Normal 5 11 6" xfId="748" xr:uid="{00000000-0005-0000-0000-0000440D0000}"/>
    <cellStyle name="Normal 5 11 6 2" xfId="4172" xr:uid="{00000000-0005-0000-0000-0000450D0000}"/>
    <cellStyle name="Normal 5 11 7" xfId="1099" xr:uid="{00000000-0005-0000-0000-0000460D0000}"/>
    <cellStyle name="Normal 5 11 8" xfId="1534" xr:uid="{00000000-0005-0000-0000-0000470D0000}"/>
    <cellStyle name="Normal 5 11 9" xfId="2064" xr:uid="{00000000-0005-0000-0000-0000480D0000}"/>
    <cellStyle name="Normal 5 12" xfId="96" xr:uid="{00000000-0005-0000-0000-0000490D0000}"/>
    <cellStyle name="Normal 5 12 10" xfId="2599" xr:uid="{00000000-0005-0000-0000-00004A0D0000}"/>
    <cellStyle name="Normal 5 12 11" xfId="3126" xr:uid="{00000000-0005-0000-0000-00004B0D0000}"/>
    <cellStyle name="Normal 5 12 12" xfId="3653" xr:uid="{00000000-0005-0000-0000-00004C0D0000}"/>
    <cellStyle name="Normal 5 12 2" xfId="190" xr:uid="{00000000-0005-0000-0000-00004D0D0000}"/>
    <cellStyle name="Normal 5 12 2 2" xfId="463" xr:uid="{00000000-0005-0000-0000-00004E0D0000}"/>
    <cellStyle name="Normal 5 12 2 2 2" xfId="1982" xr:uid="{00000000-0005-0000-0000-00004F0D0000}"/>
    <cellStyle name="Normal 5 12 2 2 3" xfId="2512" xr:uid="{00000000-0005-0000-0000-0000500D0000}"/>
    <cellStyle name="Normal 5 12 2 2 4" xfId="3039" xr:uid="{00000000-0005-0000-0000-0000510D0000}"/>
    <cellStyle name="Normal 5 12 2 2 5" xfId="3566" xr:uid="{00000000-0005-0000-0000-0000520D0000}"/>
    <cellStyle name="Normal 5 12 2 2 6" xfId="4093" xr:uid="{00000000-0005-0000-0000-0000530D0000}"/>
    <cellStyle name="Normal 5 12 2 3" xfId="936" xr:uid="{00000000-0005-0000-0000-0000540D0000}"/>
    <cellStyle name="Normal 5 12 2 4" xfId="1287" xr:uid="{00000000-0005-0000-0000-0000550D0000}"/>
    <cellStyle name="Normal 5 12 2 5" xfId="1722" xr:uid="{00000000-0005-0000-0000-0000560D0000}"/>
    <cellStyle name="Normal 5 12 2 6" xfId="2252" xr:uid="{00000000-0005-0000-0000-0000570D0000}"/>
    <cellStyle name="Normal 5 12 2 7" xfId="2779" xr:uid="{00000000-0005-0000-0000-0000580D0000}"/>
    <cellStyle name="Normal 5 12 2 8" xfId="3306" xr:uid="{00000000-0005-0000-0000-0000590D0000}"/>
    <cellStyle name="Normal 5 12 2 9" xfId="3833" xr:uid="{00000000-0005-0000-0000-00005A0D0000}"/>
    <cellStyle name="Normal 5 12 3" xfId="285" xr:uid="{00000000-0005-0000-0000-00005B0D0000}"/>
    <cellStyle name="Normal 5 12 3 2" xfId="548" xr:uid="{00000000-0005-0000-0000-00005C0D0000}"/>
    <cellStyle name="Normal 5 12 3 3" xfId="845" xr:uid="{00000000-0005-0000-0000-00005D0D0000}"/>
    <cellStyle name="Normal 5 12 3 4" xfId="1196" xr:uid="{00000000-0005-0000-0000-00005E0D0000}"/>
    <cellStyle name="Normal 5 12 3 5" xfId="1631" xr:uid="{00000000-0005-0000-0000-00005F0D0000}"/>
    <cellStyle name="Normal 5 12 3 6" xfId="2161" xr:uid="{00000000-0005-0000-0000-0000600D0000}"/>
    <cellStyle name="Normal 5 12 3 7" xfId="2688" xr:uid="{00000000-0005-0000-0000-0000610D0000}"/>
    <cellStyle name="Normal 5 12 3 8" xfId="3215" xr:uid="{00000000-0005-0000-0000-0000620D0000}"/>
    <cellStyle name="Normal 5 12 3 9" xfId="3742" xr:uid="{00000000-0005-0000-0000-0000630D0000}"/>
    <cellStyle name="Normal 5 12 4" xfId="378" xr:uid="{00000000-0005-0000-0000-0000640D0000}"/>
    <cellStyle name="Normal 5 12 4 2" xfId="1023" xr:uid="{00000000-0005-0000-0000-0000650D0000}"/>
    <cellStyle name="Normal 5 12 4 3" xfId="1374" xr:uid="{00000000-0005-0000-0000-0000660D0000}"/>
    <cellStyle name="Normal 5 12 4 4" xfId="1809" xr:uid="{00000000-0005-0000-0000-0000670D0000}"/>
    <cellStyle name="Normal 5 12 4 5" xfId="2339" xr:uid="{00000000-0005-0000-0000-0000680D0000}"/>
    <cellStyle name="Normal 5 12 4 6" xfId="2866" xr:uid="{00000000-0005-0000-0000-0000690D0000}"/>
    <cellStyle name="Normal 5 12 4 7" xfId="3393" xr:uid="{00000000-0005-0000-0000-00006A0D0000}"/>
    <cellStyle name="Normal 5 12 4 8" xfId="3920" xr:uid="{00000000-0005-0000-0000-00006B0D0000}"/>
    <cellStyle name="Normal 5 12 5" xfId="635" xr:uid="{00000000-0005-0000-0000-00006C0D0000}"/>
    <cellStyle name="Normal 5 12 5 2" xfId="1458" xr:uid="{00000000-0005-0000-0000-00006D0D0000}"/>
    <cellStyle name="Normal 5 12 5 3" xfId="1893" xr:uid="{00000000-0005-0000-0000-00006E0D0000}"/>
    <cellStyle name="Normal 5 12 5 4" xfId="2423" xr:uid="{00000000-0005-0000-0000-00006F0D0000}"/>
    <cellStyle name="Normal 5 12 5 5" xfId="2950" xr:uid="{00000000-0005-0000-0000-0000700D0000}"/>
    <cellStyle name="Normal 5 12 5 6" xfId="3477" xr:uid="{00000000-0005-0000-0000-0000710D0000}"/>
    <cellStyle name="Normal 5 12 5 7" xfId="4004" xr:uid="{00000000-0005-0000-0000-0000720D0000}"/>
    <cellStyle name="Normal 5 12 6" xfId="756" xr:uid="{00000000-0005-0000-0000-0000730D0000}"/>
    <cellStyle name="Normal 5 12 6 2" xfId="4180" xr:uid="{00000000-0005-0000-0000-0000740D0000}"/>
    <cellStyle name="Normal 5 12 7" xfId="1107" xr:uid="{00000000-0005-0000-0000-0000750D0000}"/>
    <cellStyle name="Normal 5 12 8" xfId="1542" xr:uid="{00000000-0005-0000-0000-0000760D0000}"/>
    <cellStyle name="Normal 5 12 9" xfId="2072" xr:uid="{00000000-0005-0000-0000-0000770D0000}"/>
    <cellStyle name="Normal 5 13" xfId="104" xr:uid="{00000000-0005-0000-0000-0000780D0000}"/>
    <cellStyle name="Normal 5 13 10" xfId="2607" xr:uid="{00000000-0005-0000-0000-0000790D0000}"/>
    <cellStyle name="Normal 5 13 11" xfId="3134" xr:uid="{00000000-0005-0000-0000-00007A0D0000}"/>
    <cellStyle name="Normal 5 13 12" xfId="3661" xr:uid="{00000000-0005-0000-0000-00007B0D0000}"/>
    <cellStyle name="Normal 5 13 2" xfId="198" xr:uid="{00000000-0005-0000-0000-00007C0D0000}"/>
    <cellStyle name="Normal 5 13 2 2" xfId="471" xr:uid="{00000000-0005-0000-0000-00007D0D0000}"/>
    <cellStyle name="Normal 5 13 2 2 2" xfId="1990" xr:uid="{00000000-0005-0000-0000-00007E0D0000}"/>
    <cellStyle name="Normal 5 13 2 2 3" xfId="2520" xr:uid="{00000000-0005-0000-0000-00007F0D0000}"/>
    <cellStyle name="Normal 5 13 2 2 4" xfId="3047" xr:uid="{00000000-0005-0000-0000-0000800D0000}"/>
    <cellStyle name="Normal 5 13 2 2 5" xfId="3574" xr:uid="{00000000-0005-0000-0000-0000810D0000}"/>
    <cellStyle name="Normal 5 13 2 2 6" xfId="4101" xr:uid="{00000000-0005-0000-0000-0000820D0000}"/>
    <cellStyle name="Normal 5 13 2 3" xfId="944" xr:uid="{00000000-0005-0000-0000-0000830D0000}"/>
    <cellStyle name="Normal 5 13 2 4" xfId="1295" xr:uid="{00000000-0005-0000-0000-0000840D0000}"/>
    <cellStyle name="Normal 5 13 2 5" xfId="1730" xr:uid="{00000000-0005-0000-0000-0000850D0000}"/>
    <cellStyle name="Normal 5 13 2 6" xfId="2260" xr:uid="{00000000-0005-0000-0000-0000860D0000}"/>
    <cellStyle name="Normal 5 13 2 7" xfId="2787" xr:uid="{00000000-0005-0000-0000-0000870D0000}"/>
    <cellStyle name="Normal 5 13 2 8" xfId="3314" xr:uid="{00000000-0005-0000-0000-0000880D0000}"/>
    <cellStyle name="Normal 5 13 2 9" xfId="3841" xr:uid="{00000000-0005-0000-0000-0000890D0000}"/>
    <cellStyle name="Normal 5 13 3" xfId="293" xr:uid="{00000000-0005-0000-0000-00008A0D0000}"/>
    <cellStyle name="Normal 5 13 3 2" xfId="556" xr:uid="{00000000-0005-0000-0000-00008B0D0000}"/>
    <cellStyle name="Normal 5 13 3 3" xfId="853" xr:uid="{00000000-0005-0000-0000-00008C0D0000}"/>
    <cellStyle name="Normal 5 13 3 4" xfId="1204" xr:uid="{00000000-0005-0000-0000-00008D0D0000}"/>
    <cellStyle name="Normal 5 13 3 5" xfId="1639" xr:uid="{00000000-0005-0000-0000-00008E0D0000}"/>
    <cellStyle name="Normal 5 13 3 6" xfId="2169" xr:uid="{00000000-0005-0000-0000-00008F0D0000}"/>
    <cellStyle name="Normal 5 13 3 7" xfId="2696" xr:uid="{00000000-0005-0000-0000-0000900D0000}"/>
    <cellStyle name="Normal 5 13 3 8" xfId="3223" xr:uid="{00000000-0005-0000-0000-0000910D0000}"/>
    <cellStyle name="Normal 5 13 3 9" xfId="3750" xr:uid="{00000000-0005-0000-0000-0000920D0000}"/>
    <cellStyle name="Normal 5 13 4" xfId="386" xr:uid="{00000000-0005-0000-0000-0000930D0000}"/>
    <cellStyle name="Normal 5 13 4 2" xfId="1031" xr:uid="{00000000-0005-0000-0000-0000940D0000}"/>
    <cellStyle name="Normal 5 13 4 3" xfId="1382" xr:uid="{00000000-0005-0000-0000-0000950D0000}"/>
    <cellStyle name="Normal 5 13 4 4" xfId="1817" xr:uid="{00000000-0005-0000-0000-0000960D0000}"/>
    <cellStyle name="Normal 5 13 4 5" xfId="2347" xr:uid="{00000000-0005-0000-0000-0000970D0000}"/>
    <cellStyle name="Normal 5 13 4 6" xfId="2874" xr:uid="{00000000-0005-0000-0000-0000980D0000}"/>
    <cellStyle name="Normal 5 13 4 7" xfId="3401" xr:uid="{00000000-0005-0000-0000-0000990D0000}"/>
    <cellStyle name="Normal 5 13 4 8" xfId="3928" xr:uid="{00000000-0005-0000-0000-00009A0D0000}"/>
    <cellStyle name="Normal 5 13 5" xfId="643" xr:uid="{00000000-0005-0000-0000-00009B0D0000}"/>
    <cellStyle name="Normal 5 13 5 2" xfId="1466" xr:uid="{00000000-0005-0000-0000-00009C0D0000}"/>
    <cellStyle name="Normal 5 13 5 3" xfId="1901" xr:uid="{00000000-0005-0000-0000-00009D0D0000}"/>
    <cellStyle name="Normal 5 13 5 4" xfId="2431" xr:uid="{00000000-0005-0000-0000-00009E0D0000}"/>
    <cellStyle name="Normal 5 13 5 5" xfId="2958" xr:uid="{00000000-0005-0000-0000-00009F0D0000}"/>
    <cellStyle name="Normal 5 13 5 6" xfId="3485" xr:uid="{00000000-0005-0000-0000-0000A00D0000}"/>
    <cellStyle name="Normal 5 13 5 7" xfId="4012" xr:uid="{00000000-0005-0000-0000-0000A10D0000}"/>
    <cellStyle name="Normal 5 13 6" xfId="764" xr:uid="{00000000-0005-0000-0000-0000A20D0000}"/>
    <cellStyle name="Normal 5 13 6 2" xfId="4188" xr:uid="{00000000-0005-0000-0000-0000A30D0000}"/>
    <cellStyle name="Normal 5 13 7" xfId="1115" xr:uid="{00000000-0005-0000-0000-0000A40D0000}"/>
    <cellStyle name="Normal 5 13 8" xfId="1550" xr:uid="{00000000-0005-0000-0000-0000A50D0000}"/>
    <cellStyle name="Normal 5 13 9" xfId="2080" xr:uid="{00000000-0005-0000-0000-0000A60D0000}"/>
    <cellStyle name="Normal 5 14" xfId="36" xr:uid="{00000000-0005-0000-0000-0000A70D0000}"/>
    <cellStyle name="Normal 5 14 10" xfId="2539" xr:uid="{00000000-0005-0000-0000-0000A80D0000}"/>
    <cellStyle name="Normal 5 14 11" xfId="3066" xr:uid="{00000000-0005-0000-0000-0000A90D0000}"/>
    <cellStyle name="Normal 5 14 12" xfId="3593" xr:uid="{00000000-0005-0000-0000-0000AA0D0000}"/>
    <cellStyle name="Normal 5 14 2" xfId="130" xr:uid="{00000000-0005-0000-0000-0000AB0D0000}"/>
    <cellStyle name="Normal 5 14 2 2" xfId="403" xr:uid="{00000000-0005-0000-0000-0000AC0D0000}"/>
    <cellStyle name="Normal 5 14 2 2 2" xfId="1922" xr:uid="{00000000-0005-0000-0000-0000AD0D0000}"/>
    <cellStyle name="Normal 5 14 2 2 3" xfId="2452" xr:uid="{00000000-0005-0000-0000-0000AE0D0000}"/>
    <cellStyle name="Normal 5 14 2 2 4" xfId="2979" xr:uid="{00000000-0005-0000-0000-0000AF0D0000}"/>
    <cellStyle name="Normal 5 14 2 2 5" xfId="3506" xr:uid="{00000000-0005-0000-0000-0000B00D0000}"/>
    <cellStyle name="Normal 5 14 2 2 6" xfId="4033" xr:uid="{00000000-0005-0000-0000-0000B10D0000}"/>
    <cellStyle name="Normal 5 14 2 3" xfId="876" xr:uid="{00000000-0005-0000-0000-0000B20D0000}"/>
    <cellStyle name="Normal 5 14 2 4" xfId="1227" xr:uid="{00000000-0005-0000-0000-0000B30D0000}"/>
    <cellStyle name="Normal 5 14 2 5" xfId="1662" xr:uid="{00000000-0005-0000-0000-0000B40D0000}"/>
    <cellStyle name="Normal 5 14 2 6" xfId="2192" xr:uid="{00000000-0005-0000-0000-0000B50D0000}"/>
    <cellStyle name="Normal 5 14 2 7" xfId="2719" xr:uid="{00000000-0005-0000-0000-0000B60D0000}"/>
    <cellStyle name="Normal 5 14 2 8" xfId="3246" xr:uid="{00000000-0005-0000-0000-0000B70D0000}"/>
    <cellStyle name="Normal 5 14 2 9" xfId="3773" xr:uid="{00000000-0005-0000-0000-0000B80D0000}"/>
    <cellStyle name="Normal 5 14 3" xfId="225" xr:uid="{00000000-0005-0000-0000-0000B90D0000}"/>
    <cellStyle name="Normal 5 14 3 2" xfId="488" xr:uid="{00000000-0005-0000-0000-0000BA0D0000}"/>
    <cellStyle name="Normal 5 14 3 3" xfId="785" xr:uid="{00000000-0005-0000-0000-0000BB0D0000}"/>
    <cellStyle name="Normal 5 14 3 4" xfId="1136" xr:uid="{00000000-0005-0000-0000-0000BC0D0000}"/>
    <cellStyle name="Normal 5 14 3 5" xfId="1571" xr:uid="{00000000-0005-0000-0000-0000BD0D0000}"/>
    <cellStyle name="Normal 5 14 3 6" xfId="2101" xr:uid="{00000000-0005-0000-0000-0000BE0D0000}"/>
    <cellStyle name="Normal 5 14 3 7" xfId="2628" xr:uid="{00000000-0005-0000-0000-0000BF0D0000}"/>
    <cellStyle name="Normal 5 14 3 8" xfId="3155" xr:uid="{00000000-0005-0000-0000-0000C00D0000}"/>
    <cellStyle name="Normal 5 14 3 9" xfId="3682" xr:uid="{00000000-0005-0000-0000-0000C10D0000}"/>
    <cellStyle name="Normal 5 14 4" xfId="318" xr:uid="{00000000-0005-0000-0000-0000C20D0000}"/>
    <cellStyle name="Normal 5 14 4 2" xfId="963" xr:uid="{00000000-0005-0000-0000-0000C30D0000}"/>
    <cellStyle name="Normal 5 14 4 3" xfId="1314" xr:uid="{00000000-0005-0000-0000-0000C40D0000}"/>
    <cellStyle name="Normal 5 14 4 4" xfId="1749" xr:uid="{00000000-0005-0000-0000-0000C50D0000}"/>
    <cellStyle name="Normal 5 14 4 5" xfId="2279" xr:uid="{00000000-0005-0000-0000-0000C60D0000}"/>
    <cellStyle name="Normal 5 14 4 6" xfId="2806" xr:uid="{00000000-0005-0000-0000-0000C70D0000}"/>
    <cellStyle name="Normal 5 14 4 7" xfId="3333" xr:uid="{00000000-0005-0000-0000-0000C80D0000}"/>
    <cellStyle name="Normal 5 14 4 8" xfId="3860" xr:uid="{00000000-0005-0000-0000-0000C90D0000}"/>
    <cellStyle name="Normal 5 14 5" xfId="575" xr:uid="{00000000-0005-0000-0000-0000CA0D0000}"/>
    <cellStyle name="Normal 5 14 5 2" xfId="1398" xr:uid="{00000000-0005-0000-0000-0000CB0D0000}"/>
    <cellStyle name="Normal 5 14 5 3" xfId="1833" xr:uid="{00000000-0005-0000-0000-0000CC0D0000}"/>
    <cellStyle name="Normal 5 14 5 4" xfId="2363" xr:uid="{00000000-0005-0000-0000-0000CD0D0000}"/>
    <cellStyle name="Normal 5 14 5 5" xfId="2890" xr:uid="{00000000-0005-0000-0000-0000CE0D0000}"/>
    <cellStyle name="Normal 5 14 5 6" xfId="3417" xr:uid="{00000000-0005-0000-0000-0000CF0D0000}"/>
    <cellStyle name="Normal 5 14 5 7" xfId="3944" xr:uid="{00000000-0005-0000-0000-0000D00D0000}"/>
    <cellStyle name="Normal 5 14 6" xfId="696" xr:uid="{00000000-0005-0000-0000-0000D10D0000}"/>
    <cellStyle name="Normal 5 14 6 2" xfId="4120" xr:uid="{00000000-0005-0000-0000-0000D20D0000}"/>
    <cellStyle name="Normal 5 14 7" xfId="1047" xr:uid="{00000000-0005-0000-0000-0000D30D0000}"/>
    <cellStyle name="Normal 5 14 8" xfId="1482" xr:uid="{00000000-0005-0000-0000-0000D40D0000}"/>
    <cellStyle name="Normal 5 14 9" xfId="2012" xr:uid="{00000000-0005-0000-0000-0000D50D0000}"/>
    <cellStyle name="Normal 5 15" xfId="108" xr:uid="{00000000-0005-0000-0000-0000D60D0000}"/>
    <cellStyle name="Normal 5 15 10" xfId="2611" xr:uid="{00000000-0005-0000-0000-0000D70D0000}"/>
    <cellStyle name="Normal 5 15 11" xfId="3138" xr:uid="{00000000-0005-0000-0000-0000D80D0000}"/>
    <cellStyle name="Normal 5 15 12" xfId="3665" xr:uid="{00000000-0005-0000-0000-0000D90D0000}"/>
    <cellStyle name="Normal 5 15 2" xfId="202" xr:uid="{00000000-0005-0000-0000-0000DA0D0000}"/>
    <cellStyle name="Normal 5 15 2 2" xfId="475" xr:uid="{00000000-0005-0000-0000-0000DB0D0000}"/>
    <cellStyle name="Normal 5 15 2 2 2" xfId="1994" xr:uid="{00000000-0005-0000-0000-0000DC0D0000}"/>
    <cellStyle name="Normal 5 15 2 2 3" xfId="2524" xr:uid="{00000000-0005-0000-0000-0000DD0D0000}"/>
    <cellStyle name="Normal 5 15 2 2 4" xfId="3051" xr:uid="{00000000-0005-0000-0000-0000DE0D0000}"/>
    <cellStyle name="Normal 5 15 2 2 5" xfId="3578" xr:uid="{00000000-0005-0000-0000-0000DF0D0000}"/>
    <cellStyle name="Normal 5 15 2 2 6" xfId="4105" xr:uid="{00000000-0005-0000-0000-0000E00D0000}"/>
    <cellStyle name="Normal 5 15 2 3" xfId="948" xr:uid="{00000000-0005-0000-0000-0000E10D0000}"/>
    <cellStyle name="Normal 5 15 2 4" xfId="1299" xr:uid="{00000000-0005-0000-0000-0000E20D0000}"/>
    <cellStyle name="Normal 5 15 2 5" xfId="1734" xr:uid="{00000000-0005-0000-0000-0000E30D0000}"/>
    <cellStyle name="Normal 5 15 2 6" xfId="2264" xr:uid="{00000000-0005-0000-0000-0000E40D0000}"/>
    <cellStyle name="Normal 5 15 2 7" xfId="2791" xr:uid="{00000000-0005-0000-0000-0000E50D0000}"/>
    <cellStyle name="Normal 5 15 2 8" xfId="3318" xr:uid="{00000000-0005-0000-0000-0000E60D0000}"/>
    <cellStyle name="Normal 5 15 2 9" xfId="3845" xr:uid="{00000000-0005-0000-0000-0000E70D0000}"/>
    <cellStyle name="Normal 5 15 3" xfId="297" xr:uid="{00000000-0005-0000-0000-0000E80D0000}"/>
    <cellStyle name="Normal 5 15 3 2" xfId="560" xr:uid="{00000000-0005-0000-0000-0000E90D0000}"/>
    <cellStyle name="Normal 5 15 3 3" xfId="857" xr:uid="{00000000-0005-0000-0000-0000EA0D0000}"/>
    <cellStyle name="Normal 5 15 3 4" xfId="1208" xr:uid="{00000000-0005-0000-0000-0000EB0D0000}"/>
    <cellStyle name="Normal 5 15 3 5" xfId="1643" xr:uid="{00000000-0005-0000-0000-0000EC0D0000}"/>
    <cellStyle name="Normal 5 15 3 6" xfId="2173" xr:uid="{00000000-0005-0000-0000-0000ED0D0000}"/>
    <cellStyle name="Normal 5 15 3 7" xfId="2700" xr:uid="{00000000-0005-0000-0000-0000EE0D0000}"/>
    <cellStyle name="Normal 5 15 3 8" xfId="3227" xr:uid="{00000000-0005-0000-0000-0000EF0D0000}"/>
    <cellStyle name="Normal 5 15 3 9" xfId="3754" xr:uid="{00000000-0005-0000-0000-0000F00D0000}"/>
    <cellStyle name="Normal 5 15 4" xfId="390" xr:uid="{00000000-0005-0000-0000-0000F10D0000}"/>
    <cellStyle name="Normal 5 15 4 2" xfId="1035" xr:uid="{00000000-0005-0000-0000-0000F20D0000}"/>
    <cellStyle name="Normal 5 15 4 3" xfId="1386" xr:uid="{00000000-0005-0000-0000-0000F30D0000}"/>
    <cellStyle name="Normal 5 15 4 4" xfId="1821" xr:uid="{00000000-0005-0000-0000-0000F40D0000}"/>
    <cellStyle name="Normal 5 15 4 5" xfId="2351" xr:uid="{00000000-0005-0000-0000-0000F50D0000}"/>
    <cellStyle name="Normal 5 15 4 6" xfId="2878" xr:uid="{00000000-0005-0000-0000-0000F60D0000}"/>
    <cellStyle name="Normal 5 15 4 7" xfId="3405" xr:uid="{00000000-0005-0000-0000-0000F70D0000}"/>
    <cellStyle name="Normal 5 15 4 8" xfId="3932" xr:uid="{00000000-0005-0000-0000-0000F80D0000}"/>
    <cellStyle name="Normal 5 15 5" xfId="647" xr:uid="{00000000-0005-0000-0000-0000F90D0000}"/>
    <cellStyle name="Normal 5 15 5 2" xfId="1470" xr:uid="{00000000-0005-0000-0000-0000FA0D0000}"/>
    <cellStyle name="Normal 5 15 5 3" xfId="1905" xr:uid="{00000000-0005-0000-0000-0000FB0D0000}"/>
    <cellStyle name="Normal 5 15 5 4" xfId="2435" xr:uid="{00000000-0005-0000-0000-0000FC0D0000}"/>
    <cellStyle name="Normal 5 15 5 5" xfId="2962" xr:uid="{00000000-0005-0000-0000-0000FD0D0000}"/>
    <cellStyle name="Normal 5 15 5 6" xfId="3489" xr:uid="{00000000-0005-0000-0000-0000FE0D0000}"/>
    <cellStyle name="Normal 5 15 5 7" xfId="4016" xr:uid="{00000000-0005-0000-0000-0000FF0D0000}"/>
    <cellStyle name="Normal 5 15 6" xfId="768" xr:uid="{00000000-0005-0000-0000-0000000E0000}"/>
    <cellStyle name="Normal 5 15 6 2" xfId="4192" xr:uid="{00000000-0005-0000-0000-0000010E0000}"/>
    <cellStyle name="Normal 5 15 7" xfId="1119" xr:uid="{00000000-0005-0000-0000-0000020E0000}"/>
    <cellStyle name="Normal 5 15 8" xfId="1554" xr:uid="{00000000-0005-0000-0000-0000030E0000}"/>
    <cellStyle name="Normal 5 15 9" xfId="2084" xr:uid="{00000000-0005-0000-0000-0000040E0000}"/>
    <cellStyle name="Normal 5 16" xfId="122" xr:uid="{00000000-0005-0000-0000-0000050E0000}"/>
    <cellStyle name="Normal 5 16 2" xfId="395" xr:uid="{00000000-0005-0000-0000-0000060E0000}"/>
    <cellStyle name="Normal 5 16 2 2" xfId="1914" xr:uid="{00000000-0005-0000-0000-0000070E0000}"/>
    <cellStyle name="Normal 5 16 2 3" xfId="2444" xr:uid="{00000000-0005-0000-0000-0000080E0000}"/>
    <cellStyle name="Normal 5 16 2 4" xfId="2971" xr:uid="{00000000-0005-0000-0000-0000090E0000}"/>
    <cellStyle name="Normal 5 16 2 5" xfId="3498" xr:uid="{00000000-0005-0000-0000-00000A0E0000}"/>
    <cellStyle name="Normal 5 16 2 6" xfId="4025" xr:uid="{00000000-0005-0000-0000-00000B0E0000}"/>
    <cellStyle name="Normal 5 16 3" xfId="868" xr:uid="{00000000-0005-0000-0000-00000C0E0000}"/>
    <cellStyle name="Normal 5 16 4" xfId="1219" xr:uid="{00000000-0005-0000-0000-00000D0E0000}"/>
    <cellStyle name="Normal 5 16 5" xfId="1654" xr:uid="{00000000-0005-0000-0000-00000E0E0000}"/>
    <cellStyle name="Normal 5 16 6" xfId="2184" xr:uid="{00000000-0005-0000-0000-00000F0E0000}"/>
    <cellStyle name="Normal 5 16 7" xfId="2711" xr:uid="{00000000-0005-0000-0000-0000100E0000}"/>
    <cellStyle name="Normal 5 16 8" xfId="3238" xr:uid="{00000000-0005-0000-0000-0000110E0000}"/>
    <cellStyle name="Normal 5 16 9" xfId="3765" xr:uid="{00000000-0005-0000-0000-0000120E0000}"/>
    <cellStyle name="Normal 5 17" xfId="217" xr:uid="{00000000-0005-0000-0000-0000130E0000}"/>
    <cellStyle name="Normal 5 17 2" xfId="480" xr:uid="{00000000-0005-0000-0000-0000140E0000}"/>
    <cellStyle name="Normal 5 17 3" xfId="777" xr:uid="{00000000-0005-0000-0000-0000150E0000}"/>
    <cellStyle name="Normal 5 17 4" xfId="1128" xr:uid="{00000000-0005-0000-0000-0000160E0000}"/>
    <cellStyle name="Normal 5 17 5" xfId="1563" xr:uid="{00000000-0005-0000-0000-0000170E0000}"/>
    <cellStyle name="Normal 5 17 6" xfId="2093" xr:uid="{00000000-0005-0000-0000-0000180E0000}"/>
    <cellStyle name="Normal 5 17 7" xfId="2620" xr:uid="{00000000-0005-0000-0000-0000190E0000}"/>
    <cellStyle name="Normal 5 17 8" xfId="3147" xr:uid="{00000000-0005-0000-0000-00001A0E0000}"/>
    <cellStyle name="Normal 5 17 9" xfId="3674" xr:uid="{00000000-0005-0000-0000-00001B0E0000}"/>
    <cellStyle name="Normal 5 18" xfId="310" xr:uid="{00000000-0005-0000-0000-00001C0E0000}"/>
    <cellStyle name="Normal 5 18 2" xfId="955" xr:uid="{00000000-0005-0000-0000-00001D0E0000}"/>
    <cellStyle name="Normal 5 18 3" xfId="1306" xr:uid="{00000000-0005-0000-0000-00001E0E0000}"/>
    <cellStyle name="Normal 5 18 4" xfId="1741" xr:uid="{00000000-0005-0000-0000-00001F0E0000}"/>
    <cellStyle name="Normal 5 18 5" xfId="2271" xr:uid="{00000000-0005-0000-0000-0000200E0000}"/>
    <cellStyle name="Normal 5 18 6" xfId="2798" xr:uid="{00000000-0005-0000-0000-0000210E0000}"/>
    <cellStyle name="Normal 5 18 7" xfId="3325" xr:uid="{00000000-0005-0000-0000-0000220E0000}"/>
    <cellStyle name="Normal 5 18 8" xfId="3852" xr:uid="{00000000-0005-0000-0000-0000230E0000}"/>
    <cellStyle name="Normal 5 19" xfId="567" xr:uid="{00000000-0005-0000-0000-0000240E0000}"/>
    <cellStyle name="Normal 5 19 2" xfId="1390" xr:uid="{00000000-0005-0000-0000-0000250E0000}"/>
    <cellStyle name="Normal 5 19 3" xfId="1825" xr:uid="{00000000-0005-0000-0000-0000260E0000}"/>
    <cellStyle name="Normal 5 19 4" xfId="2355" xr:uid="{00000000-0005-0000-0000-0000270E0000}"/>
    <cellStyle name="Normal 5 19 5" xfId="2882" xr:uid="{00000000-0005-0000-0000-0000280E0000}"/>
    <cellStyle name="Normal 5 19 6" xfId="3409" xr:uid="{00000000-0005-0000-0000-0000290E0000}"/>
    <cellStyle name="Normal 5 19 7" xfId="3936" xr:uid="{00000000-0005-0000-0000-00002A0E0000}"/>
    <cellStyle name="Normal 5 2" xfId="32" xr:uid="{00000000-0005-0000-0000-00002B0E0000}"/>
    <cellStyle name="Normal 5 2 10" xfId="314" xr:uid="{00000000-0005-0000-0000-00002C0E0000}"/>
    <cellStyle name="Normal 5 2 10 2" xfId="959" xr:uid="{00000000-0005-0000-0000-00002D0E0000}"/>
    <cellStyle name="Normal 5 2 10 3" xfId="1310" xr:uid="{00000000-0005-0000-0000-00002E0E0000}"/>
    <cellStyle name="Normal 5 2 10 4" xfId="1745" xr:uid="{00000000-0005-0000-0000-00002F0E0000}"/>
    <cellStyle name="Normal 5 2 10 5" xfId="2275" xr:uid="{00000000-0005-0000-0000-0000300E0000}"/>
    <cellStyle name="Normal 5 2 10 6" xfId="2802" xr:uid="{00000000-0005-0000-0000-0000310E0000}"/>
    <cellStyle name="Normal 5 2 10 7" xfId="3329" xr:uid="{00000000-0005-0000-0000-0000320E0000}"/>
    <cellStyle name="Normal 5 2 10 8" xfId="3856" xr:uid="{00000000-0005-0000-0000-0000330E0000}"/>
    <cellStyle name="Normal 5 2 11" xfId="571" xr:uid="{00000000-0005-0000-0000-0000340E0000}"/>
    <cellStyle name="Normal 5 2 11 2" xfId="1394" xr:uid="{00000000-0005-0000-0000-0000350E0000}"/>
    <cellStyle name="Normal 5 2 11 3" xfId="1829" xr:uid="{00000000-0005-0000-0000-0000360E0000}"/>
    <cellStyle name="Normal 5 2 11 4" xfId="2359" xr:uid="{00000000-0005-0000-0000-0000370E0000}"/>
    <cellStyle name="Normal 5 2 11 5" xfId="2886" xr:uid="{00000000-0005-0000-0000-0000380E0000}"/>
    <cellStyle name="Normal 5 2 11 6" xfId="3413" xr:uid="{00000000-0005-0000-0000-0000390E0000}"/>
    <cellStyle name="Normal 5 2 11 7" xfId="3940" xr:uid="{00000000-0005-0000-0000-00003A0E0000}"/>
    <cellStyle name="Normal 5 2 12" xfId="692" xr:uid="{00000000-0005-0000-0000-00003B0E0000}"/>
    <cellStyle name="Normal 5 2 12 2" xfId="4116" xr:uid="{00000000-0005-0000-0000-00003C0E0000}"/>
    <cellStyle name="Normal 5 2 13" xfId="1043" xr:uid="{00000000-0005-0000-0000-00003D0E0000}"/>
    <cellStyle name="Normal 5 2 14" xfId="1478" xr:uid="{00000000-0005-0000-0000-00003E0E0000}"/>
    <cellStyle name="Normal 5 2 15" xfId="2008" xr:uid="{00000000-0005-0000-0000-00003F0E0000}"/>
    <cellStyle name="Normal 5 2 16" xfId="2535" xr:uid="{00000000-0005-0000-0000-0000400E0000}"/>
    <cellStyle name="Normal 5 2 17" xfId="3062" xr:uid="{00000000-0005-0000-0000-0000410E0000}"/>
    <cellStyle name="Normal 5 2 18" xfId="3589" xr:uid="{00000000-0005-0000-0000-0000420E0000}"/>
    <cellStyle name="Normal 5 2 2" xfId="68" xr:uid="{00000000-0005-0000-0000-0000430E0000}"/>
    <cellStyle name="Normal 5 2 2 10" xfId="2571" xr:uid="{00000000-0005-0000-0000-0000440E0000}"/>
    <cellStyle name="Normal 5 2 2 11" xfId="3098" xr:uid="{00000000-0005-0000-0000-0000450E0000}"/>
    <cellStyle name="Normal 5 2 2 12" xfId="3625" xr:uid="{00000000-0005-0000-0000-0000460E0000}"/>
    <cellStyle name="Normal 5 2 2 2" xfId="162" xr:uid="{00000000-0005-0000-0000-0000470E0000}"/>
    <cellStyle name="Normal 5 2 2 2 2" xfId="435" xr:uid="{00000000-0005-0000-0000-0000480E0000}"/>
    <cellStyle name="Normal 5 2 2 2 2 2" xfId="1954" xr:uid="{00000000-0005-0000-0000-0000490E0000}"/>
    <cellStyle name="Normal 5 2 2 2 2 3" xfId="2484" xr:uid="{00000000-0005-0000-0000-00004A0E0000}"/>
    <cellStyle name="Normal 5 2 2 2 2 4" xfId="3011" xr:uid="{00000000-0005-0000-0000-00004B0E0000}"/>
    <cellStyle name="Normal 5 2 2 2 2 5" xfId="3538" xr:uid="{00000000-0005-0000-0000-00004C0E0000}"/>
    <cellStyle name="Normal 5 2 2 2 2 6" xfId="4065" xr:uid="{00000000-0005-0000-0000-00004D0E0000}"/>
    <cellStyle name="Normal 5 2 2 2 3" xfId="908" xr:uid="{00000000-0005-0000-0000-00004E0E0000}"/>
    <cellStyle name="Normal 5 2 2 2 4" xfId="1259" xr:uid="{00000000-0005-0000-0000-00004F0E0000}"/>
    <cellStyle name="Normal 5 2 2 2 5" xfId="1694" xr:uid="{00000000-0005-0000-0000-0000500E0000}"/>
    <cellStyle name="Normal 5 2 2 2 6" xfId="2224" xr:uid="{00000000-0005-0000-0000-0000510E0000}"/>
    <cellStyle name="Normal 5 2 2 2 7" xfId="2751" xr:uid="{00000000-0005-0000-0000-0000520E0000}"/>
    <cellStyle name="Normal 5 2 2 2 8" xfId="3278" xr:uid="{00000000-0005-0000-0000-0000530E0000}"/>
    <cellStyle name="Normal 5 2 2 2 9" xfId="3805" xr:uid="{00000000-0005-0000-0000-0000540E0000}"/>
    <cellStyle name="Normal 5 2 2 3" xfId="257" xr:uid="{00000000-0005-0000-0000-0000550E0000}"/>
    <cellStyle name="Normal 5 2 2 3 2" xfId="520" xr:uid="{00000000-0005-0000-0000-0000560E0000}"/>
    <cellStyle name="Normal 5 2 2 3 3" xfId="817" xr:uid="{00000000-0005-0000-0000-0000570E0000}"/>
    <cellStyle name="Normal 5 2 2 3 4" xfId="1168" xr:uid="{00000000-0005-0000-0000-0000580E0000}"/>
    <cellStyle name="Normal 5 2 2 3 5" xfId="1603" xr:uid="{00000000-0005-0000-0000-0000590E0000}"/>
    <cellStyle name="Normal 5 2 2 3 6" xfId="2133" xr:uid="{00000000-0005-0000-0000-00005A0E0000}"/>
    <cellStyle name="Normal 5 2 2 3 7" xfId="2660" xr:uid="{00000000-0005-0000-0000-00005B0E0000}"/>
    <cellStyle name="Normal 5 2 2 3 8" xfId="3187" xr:uid="{00000000-0005-0000-0000-00005C0E0000}"/>
    <cellStyle name="Normal 5 2 2 3 9" xfId="3714" xr:uid="{00000000-0005-0000-0000-00005D0E0000}"/>
    <cellStyle name="Normal 5 2 2 4" xfId="350" xr:uid="{00000000-0005-0000-0000-00005E0E0000}"/>
    <cellStyle name="Normal 5 2 2 4 2" xfId="995" xr:uid="{00000000-0005-0000-0000-00005F0E0000}"/>
    <cellStyle name="Normal 5 2 2 4 3" xfId="1346" xr:uid="{00000000-0005-0000-0000-0000600E0000}"/>
    <cellStyle name="Normal 5 2 2 4 4" xfId="1781" xr:uid="{00000000-0005-0000-0000-0000610E0000}"/>
    <cellStyle name="Normal 5 2 2 4 5" xfId="2311" xr:uid="{00000000-0005-0000-0000-0000620E0000}"/>
    <cellStyle name="Normal 5 2 2 4 6" xfId="2838" xr:uid="{00000000-0005-0000-0000-0000630E0000}"/>
    <cellStyle name="Normal 5 2 2 4 7" xfId="3365" xr:uid="{00000000-0005-0000-0000-0000640E0000}"/>
    <cellStyle name="Normal 5 2 2 4 8" xfId="3892" xr:uid="{00000000-0005-0000-0000-0000650E0000}"/>
    <cellStyle name="Normal 5 2 2 5" xfId="607" xr:uid="{00000000-0005-0000-0000-0000660E0000}"/>
    <cellStyle name="Normal 5 2 2 5 2" xfId="1430" xr:uid="{00000000-0005-0000-0000-0000670E0000}"/>
    <cellStyle name="Normal 5 2 2 5 3" xfId="1865" xr:uid="{00000000-0005-0000-0000-0000680E0000}"/>
    <cellStyle name="Normal 5 2 2 5 4" xfId="2395" xr:uid="{00000000-0005-0000-0000-0000690E0000}"/>
    <cellStyle name="Normal 5 2 2 5 5" xfId="2922" xr:uid="{00000000-0005-0000-0000-00006A0E0000}"/>
    <cellStyle name="Normal 5 2 2 5 6" xfId="3449" xr:uid="{00000000-0005-0000-0000-00006B0E0000}"/>
    <cellStyle name="Normal 5 2 2 5 7" xfId="3976" xr:uid="{00000000-0005-0000-0000-00006C0E0000}"/>
    <cellStyle name="Normal 5 2 2 6" xfId="728" xr:uid="{00000000-0005-0000-0000-00006D0E0000}"/>
    <cellStyle name="Normal 5 2 2 6 2" xfId="4152" xr:uid="{00000000-0005-0000-0000-00006E0E0000}"/>
    <cellStyle name="Normal 5 2 2 7" xfId="1079" xr:uid="{00000000-0005-0000-0000-00006F0E0000}"/>
    <cellStyle name="Normal 5 2 2 8" xfId="1514" xr:uid="{00000000-0005-0000-0000-0000700E0000}"/>
    <cellStyle name="Normal 5 2 2 9" xfId="2044" xr:uid="{00000000-0005-0000-0000-0000710E0000}"/>
    <cellStyle name="Normal 5 2 3" xfId="76" xr:uid="{00000000-0005-0000-0000-0000720E0000}"/>
    <cellStyle name="Normal 5 2 3 10" xfId="2579" xr:uid="{00000000-0005-0000-0000-0000730E0000}"/>
    <cellStyle name="Normal 5 2 3 11" xfId="3106" xr:uid="{00000000-0005-0000-0000-0000740E0000}"/>
    <cellStyle name="Normal 5 2 3 12" xfId="3633" xr:uid="{00000000-0005-0000-0000-0000750E0000}"/>
    <cellStyle name="Normal 5 2 3 2" xfId="170" xr:uid="{00000000-0005-0000-0000-0000760E0000}"/>
    <cellStyle name="Normal 5 2 3 2 2" xfId="443" xr:uid="{00000000-0005-0000-0000-0000770E0000}"/>
    <cellStyle name="Normal 5 2 3 2 2 2" xfId="1962" xr:uid="{00000000-0005-0000-0000-0000780E0000}"/>
    <cellStyle name="Normal 5 2 3 2 2 3" xfId="2492" xr:uid="{00000000-0005-0000-0000-0000790E0000}"/>
    <cellStyle name="Normal 5 2 3 2 2 4" xfId="3019" xr:uid="{00000000-0005-0000-0000-00007A0E0000}"/>
    <cellStyle name="Normal 5 2 3 2 2 5" xfId="3546" xr:uid="{00000000-0005-0000-0000-00007B0E0000}"/>
    <cellStyle name="Normal 5 2 3 2 2 6" xfId="4073" xr:uid="{00000000-0005-0000-0000-00007C0E0000}"/>
    <cellStyle name="Normal 5 2 3 2 3" xfId="916" xr:uid="{00000000-0005-0000-0000-00007D0E0000}"/>
    <cellStyle name="Normal 5 2 3 2 4" xfId="1267" xr:uid="{00000000-0005-0000-0000-00007E0E0000}"/>
    <cellStyle name="Normal 5 2 3 2 5" xfId="1702" xr:uid="{00000000-0005-0000-0000-00007F0E0000}"/>
    <cellStyle name="Normal 5 2 3 2 6" xfId="2232" xr:uid="{00000000-0005-0000-0000-0000800E0000}"/>
    <cellStyle name="Normal 5 2 3 2 7" xfId="2759" xr:uid="{00000000-0005-0000-0000-0000810E0000}"/>
    <cellStyle name="Normal 5 2 3 2 8" xfId="3286" xr:uid="{00000000-0005-0000-0000-0000820E0000}"/>
    <cellStyle name="Normal 5 2 3 2 9" xfId="3813" xr:uid="{00000000-0005-0000-0000-0000830E0000}"/>
    <cellStyle name="Normal 5 2 3 3" xfId="265" xr:uid="{00000000-0005-0000-0000-0000840E0000}"/>
    <cellStyle name="Normal 5 2 3 3 2" xfId="528" xr:uid="{00000000-0005-0000-0000-0000850E0000}"/>
    <cellStyle name="Normal 5 2 3 3 3" xfId="825" xr:uid="{00000000-0005-0000-0000-0000860E0000}"/>
    <cellStyle name="Normal 5 2 3 3 4" xfId="1176" xr:uid="{00000000-0005-0000-0000-0000870E0000}"/>
    <cellStyle name="Normal 5 2 3 3 5" xfId="1611" xr:uid="{00000000-0005-0000-0000-0000880E0000}"/>
    <cellStyle name="Normal 5 2 3 3 6" xfId="2141" xr:uid="{00000000-0005-0000-0000-0000890E0000}"/>
    <cellStyle name="Normal 5 2 3 3 7" xfId="2668" xr:uid="{00000000-0005-0000-0000-00008A0E0000}"/>
    <cellStyle name="Normal 5 2 3 3 8" xfId="3195" xr:uid="{00000000-0005-0000-0000-00008B0E0000}"/>
    <cellStyle name="Normal 5 2 3 3 9" xfId="3722" xr:uid="{00000000-0005-0000-0000-00008C0E0000}"/>
    <cellStyle name="Normal 5 2 3 4" xfId="358" xr:uid="{00000000-0005-0000-0000-00008D0E0000}"/>
    <cellStyle name="Normal 5 2 3 4 2" xfId="1003" xr:uid="{00000000-0005-0000-0000-00008E0E0000}"/>
    <cellStyle name="Normal 5 2 3 4 3" xfId="1354" xr:uid="{00000000-0005-0000-0000-00008F0E0000}"/>
    <cellStyle name="Normal 5 2 3 4 4" xfId="1789" xr:uid="{00000000-0005-0000-0000-0000900E0000}"/>
    <cellStyle name="Normal 5 2 3 4 5" xfId="2319" xr:uid="{00000000-0005-0000-0000-0000910E0000}"/>
    <cellStyle name="Normal 5 2 3 4 6" xfId="2846" xr:uid="{00000000-0005-0000-0000-0000920E0000}"/>
    <cellStyle name="Normal 5 2 3 4 7" xfId="3373" xr:uid="{00000000-0005-0000-0000-0000930E0000}"/>
    <cellStyle name="Normal 5 2 3 4 8" xfId="3900" xr:uid="{00000000-0005-0000-0000-0000940E0000}"/>
    <cellStyle name="Normal 5 2 3 5" xfId="615" xr:uid="{00000000-0005-0000-0000-0000950E0000}"/>
    <cellStyle name="Normal 5 2 3 5 2" xfId="1438" xr:uid="{00000000-0005-0000-0000-0000960E0000}"/>
    <cellStyle name="Normal 5 2 3 5 3" xfId="1873" xr:uid="{00000000-0005-0000-0000-0000970E0000}"/>
    <cellStyle name="Normal 5 2 3 5 4" xfId="2403" xr:uid="{00000000-0005-0000-0000-0000980E0000}"/>
    <cellStyle name="Normal 5 2 3 5 5" xfId="2930" xr:uid="{00000000-0005-0000-0000-0000990E0000}"/>
    <cellStyle name="Normal 5 2 3 5 6" xfId="3457" xr:uid="{00000000-0005-0000-0000-00009A0E0000}"/>
    <cellStyle name="Normal 5 2 3 5 7" xfId="3984" xr:uid="{00000000-0005-0000-0000-00009B0E0000}"/>
    <cellStyle name="Normal 5 2 3 6" xfId="736" xr:uid="{00000000-0005-0000-0000-00009C0E0000}"/>
    <cellStyle name="Normal 5 2 3 6 2" xfId="4160" xr:uid="{00000000-0005-0000-0000-00009D0E0000}"/>
    <cellStyle name="Normal 5 2 3 7" xfId="1087" xr:uid="{00000000-0005-0000-0000-00009E0E0000}"/>
    <cellStyle name="Normal 5 2 3 8" xfId="1522" xr:uid="{00000000-0005-0000-0000-00009F0E0000}"/>
    <cellStyle name="Normal 5 2 3 9" xfId="2052" xr:uid="{00000000-0005-0000-0000-0000A00E0000}"/>
    <cellStyle name="Normal 5 2 4" xfId="84" xr:uid="{00000000-0005-0000-0000-0000A10E0000}"/>
    <cellStyle name="Normal 5 2 4 10" xfId="2587" xr:uid="{00000000-0005-0000-0000-0000A20E0000}"/>
    <cellStyle name="Normal 5 2 4 11" xfId="3114" xr:uid="{00000000-0005-0000-0000-0000A30E0000}"/>
    <cellStyle name="Normal 5 2 4 12" xfId="3641" xr:uid="{00000000-0005-0000-0000-0000A40E0000}"/>
    <cellStyle name="Normal 5 2 4 2" xfId="178" xr:uid="{00000000-0005-0000-0000-0000A50E0000}"/>
    <cellStyle name="Normal 5 2 4 2 2" xfId="451" xr:uid="{00000000-0005-0000-0000-0000A60E0000}"/>
    <cellStyle name="Normal 5 2 4 2 2 2" xfId="1970" xr:uid="{00000000-0005-0000-0000-0000A70E0000}"/>
    <cellStyle name="Normal 5 2 4 2 2 3" xfId="2500" xr:uid="{00000000-0005-0000-0000-0000A80E0000}"/>
    <cellStyle name="Normal 5 2 4 2 2 4" xfId="3027" xr:uid="{00000000-0005-0000-0000-0000A90E0000}"/>
    <cellStyle name="Normal 5 2 4 2 2 5" xfId="3554" xr:uid="{00000000-0005-0000-0000-0000AA0E0000}"/>
    <cellStyle name="Normal 5 2 4 2 2 6" xfId="4081" xr:uid="{00000000-0005-0000-0000-0000AB0E0000}"/>
    <cellStyle name="Normal 5 2 4 2 3" xfId="924" xr:uid="{00000000-0005-0000-0000-0000AC0E0000}"/>
    <cellStyle name="Normal 5 2 4 2 4" xfId="1275" xr:uid="{00000000-0005-0000-0000-0000AD0E0000}"/>
    <cellStyle name="Normal 5 2 4 2 5" xfId="1710" xr:uid="{00000000-0005-0000-0000-0000AE0E0000}"/>
    <cellStyle name="Normal 5 2 4 2 6" xfId="2240" xr:uid="{00000000-0005-0000-0000-0000AF0E0000}"/>
    <cellStyle name="Normal 5 2 4 2 7" xfId="2767" xr:uid="{00000000-0005-0000-0000-0000B00E0000}"/>
    <cellStyle name="Normal 5 2 4 2 8" xfId="3294" xr:uid="{00000000-0005-0000-0000-0000B10E0000}"/>
    <cellStyle name="Normal 5 2 4 2 9" xfId="3821" xr:uid="{00000000-0005-0000-0000-0000B20E0000}"/>
    <cellStyle name="Normal 5 2 4 3" xfId="273" xr:uid="{00000000-0005-0000-0000-0000B30E0000}"/>
    <cellStyle name="Normal 5 2 4 3 2" xfId="536" xr:uid="{00000000-0005-0000-0000-0000B40E0000}"/>
    <cellStyle name="Normal 5 2 4 3 3" xfId="833" xr:uid="{00000000-0005-0000-0000-0000B50E0000}"/>
    <cellStyle name="Normal 5 2 4 3 4" xfId="1184" xr:uid="{00000000-0005-0000-0000-0000B60E0000}"/>
    <cellStyle name="Normal 5 2 4 3 5" xfId="1619" xr:uid="{00000000-0005-0000-0000-0000B70E0000}"/>
    <cellStyle name="Normal 5 2 4 3 6" xfId="2149" xr:uid="{00000000-0005-0000-0000-0000B80E0000}"/>
    <cellStyle name="Normal 5 2 4 3 7" xfId="2676" xr:uid="{00000000-0005-0000-0000-0000B90E0000}"/>
    <cellStyle name="Normal 5 2 4 3 8" xfId="3203" xr:uid="{00000000-0005-0000-0000-0000BA0E0000}"/>
    <cellStyle name="Normal 5 2 4 3 9" xfId="3730" xr:uid="{00000000-0005-0000-0000-0000BB0E0000}"/>
    <cellStyle name="Normal 5 2 4 4" xfId="366" xr:uid="{00000000-0005-0000-0000-0000BC0E0000}"/>
    <cellStyle name="Normal 5 2 4 4 2" xfId="1011" xr:uid="{00000000-0005-0000-0000-0000BD0E0000}"/>
    <cellStyle name="Normal 5 2 4 4 3" xfId="1362" xr:uid="{00000000-0005-0000-0000-0000BE0E0000}"/>
    <cellStyle name="Normal 5 2 4 4 4" xfId="1797" xr:uid="{00000000-0005-0000-0000-0000BF0E0000}"/>
    <cellStyle name="Normal 5 2 4 4 5" xfId="2327" xr:uid="{00000000-0005-0000-0000-0000C00E0000}"/>
    <cellStyle name="Normal 5 2 4 4 6" xfId="2854" xr:uid="{00000000-0005-0000-0000-0000C10E0000}"/>
    <cellStyle name="Normal 5 2 4 4 7" xfId="3381" xr:uid="{00000000-0005-0000-0000-0000C20E0000}"/>
    <cellStyle name="Normal 5 2 4 4 8" xfId="3908" xr:uid="{00000000-0005-0000-0000-0000C30E0000}"/>
    <cellStyle name="Normal 5 2 4 5" xfId="623" xr:uid="{00000000-0005-0000-0000-0000C40E0000}"/>
    <cellStyle name="Normal 5 2 4 5 2" xfId="1446" xr:uid="{00000000-0005-0000-0000-0000C50E0000}"/>
    <cellStyle name="Normal 5 2 4 5 3" xfId="1881" xr:uid="{00000000-0005-0000-0000-0000C60E0000}"/>
    <cellStyle name="Normal 5 2 4 5 4" xfId="2411" xr:uid="{00000000-0005-0000-0000-0000C70E0000}"/>
    <cellStyle name="Normal 5 2 4 5 5" xfId="2938" xr:uid="{00000000-0005-0000-0000-0000C80E0000}"/>
    <cellStyle name="Normal 5 2 4 5 6" xfId="3465" xr:uid="{00000000-0005-0000-0000-0000C90E0000}"/>
    <cellStyle name="Normal 5 2 4 5 7" xfId="3992" xr:uid="{00000000-0005-0000-0000-0000CA0E0000}"/>
    <cellStyle name="Normal 5 2 4 6" xfId="744" xr:uid="{00000000-0005-0000-0000-0000CB0E0000}"/>
    <cellStyle name="Normal 5 2 4 6 2" xfId="4168" xr:uid="{00000000-0005-0000-0000-0000CC0E0000}"/>
    <cellStyle name="Normal 5 2 4 7" xfId="1095" xr:uid="{00000000-0005-0000-0000-0000CD0E0000}"/>
    <cellStyle name="Normal 5 2 4 8" xfId="1530" xr:uid="{00000000-0005-0000-0000-0000CE0E0000}"/>
    <cellStyle name="Normal 5 2 4 9" xfId="2060" xr:uid="{00000000-0005-0000-0000-0000CF0E0000}"/>
    <cellStyle name="Normal 5 2 5" xfId="92" xr:uid="{00000000-0005-0000-0000-0000D00E0000}"/>
    <cellStyle name="Normal 5 2 5 10" xfId="2595" xr:uid="{00000000-0005-0000-0000-0000D10E0000}"/>
    <cellStyle name="Normal 5 2 5 11" xfId="3122" xr:uid="{00000000-0005-0000-0000-0000D20E0000}"/>
    <cellStyle name="Normal 5 2 5 12" xfId="3649" xr:uid="{00000000-0005-0000-0000-0000D30E0000}"/>
    <cellStyle name="Normal 5 2 5 2" xfId="186" xr:uid="{00000000-0005-0000-0000-0000D40E0000}"/>
    <cellStyle name="Normal 5 2 5 2 2" xfId="459" xr:uid="{00000000-0005-0000-0000-0000D50E0000}"/>
    <cellStyle name="Normal 5 2 5 2 2 2" xfId="1978" xr:uid="{00000000-0005-0000-0000-0000D60E0000}"/>
    <cellStyle name="Normal 5 2 5 2 2 3" xfId="2508" xr:uid="{00000000-0005-0000-0000-0000D70E0000}"/>
    <cellStyle name="Normal 5 2 5 2 2 4" xfId="3035" xr:uid="{00000000-0005-0000-0000-0000D80E0000}"/>
    <cellStyle name="Normal 5 2 5 2 2 5" xfId="3562" xr:uid="{00000000-0005-0000-0000-0000D90E0000}"/>
    <cellStyle name="Normal 5 2 5 2 2 6" xfId="4089" xr:uid="{00000000-0005-0000-0000-0000DA0E0000}"/>
    <cellStyle name="Normal 5 2 5 2 3" xfId="932" xr:uid="{00000000-0005-0000-0000-0000DB0E0000}"/>
    <cellStyle name="Normal 5 2 5 2 4" xfId="1283" xr:uid="{00000000-0005-0000-0000-0000DC0E0000}"/>
    <cellStyle name="Normal 5 2 5 2 5" xfId="1718" xr:uid="{00000000-0005-0000-0000-0000DD0E0000}"/>
    <cellStyle name="Normal 5 2 5 2 6" xfId="2248" xr:uid="{00000000-0005-0000-0000-0000DE0E0000}"/>
    <cellStyle name="Normal 5 2 5 2 7" xfId="2775" xr:uid="{00000000-0005-0000-0000-0000DF0E0000}"/>
    <cellStyle name="Normal 5 2 5 2 8" xfId="3302" xr:uid="{00000000-0005-0000-0000-0000E00E0000}"/>
    <cellStyle name="Normal 5 2 5 2 9" xfId="3829" xr:uid="{00000000-0005-0000-0000-0000E10E0000}"/>
    <cellStyle name="Normal 5 2 5 3" xfId="281" xr:uid="{00000000-0005-0000-0000-0000E20E0000}"/>
    <cellStyle name="Normal 5 2 5 3 2" xfId="544" xr:uid="{00000000-0005-0000-0000-0000E30E0000}"/>
    <cellStyle name="Normal 5 2 5 3 3" xfId="841" xr:uid="{00000000-0005-0000-0000-0000E40E0000}"/>
    <cellStyle name="Normal 5 2 5 3 4" xfId="1192" xr:uid="{00000000-0005-0000-0000-0000E50E0000}"/>
    <cellStyle name="Normal 5 2 5 3 5" xfId="1627" xr:uid="{00000000-0005-0000-0000-0000E60E0000}"/>
    <cellStyle name="Normal 5 2 5 3 6" xfId="2157" xr:uid="{00000000-0005-0000-0000-0000E70E0000}"/>
    <cellStyle name="Normal 5 2 5 3 7" xfId="2684" xr:uid="{00000000-0005-0000-0000-0000E80E0000}"/>
    <cellStyle name="Normal 5 2 5 3 8" xfId="3211" xr:uid="{00000000-0005-0000-0000-0000E90E0000}"/>
    <cellStyle name="Normal 5 2 5 3 9" xfId="3738" xr:uid="{00000000-0005-0000-0000-0000EA0E0000}"/>
    <cellStyle name="Normal 5 2 5 4" xfId="374" xr:uid="{00000000-0005-0000-0000-0000EB0E0000}"/>
    <cellStyle name="Normal 5 2 5 4 2" xfId="1019" xr:uid="{00000000-0005-0000-0000-0000EC0E0000}"/>
    <cellStyle name="Normal 5 2 5 4 3" xfId="1370" xr:uid="{00000000-0005-0000-0000-0000ED0E0000}"/>
    <cellStyle name="Normal 5 2 5 4 4" xfId="1805" xr:uid="{00000000-0005-0000-0000-0000EE0E0000}"/>
    <cellStyle name="Normal 5 2 5 4 5" xfId="2335" xr:uid="{00000000-0005-0000-0000-0000EF0E0000}"/>
    <cellStyle name="Normal 5 2 5 4 6" xfId="2862" xr:uid="{00000000-0005-0000-0000-0000F00E0000}"/>
    <cellStyle name="Normal 5 2 5 4 7" xfId="3389" xr:uid="{00000000-0005-0000-0000-0000F10E0000}"/>
    <cellStyle name="Normal 5 2 5 4 8" xfId="3916" xr:uid="{00000000-0005-0000-0000-0000F20E0000}"/>
    <cellStyle name="Normal 5 2 5 5" xfId="631" xr:uid="{00000000-0005-0000-0000-0000F30E0000}"/>
    <cellStyle name="Normal 5 2 5 5 2" xfId="1454" xr:uid="{00000000-0005-0000-0000-0000F40E0000}"/>
    <cellStyle name="Normal 5 2 5 5 3" xfId="1889" xr:uid="{00000000-0005-0000-0000-0000F50E0000}"/>
    <cellStyle name="Normal 5 2 5 5 4" xfId="2419" xr:uid="{00000000-0005-0000-0000-0000F60E0000}"/>
    <cellStyle name="Normal 5 2 5 5 5" xfId="2946" xr:uid="{00000000-0005-0000-0000-0000F70E0000}"/>
    <cellStyle name="Normal 5 2 5 5 6" xfId="3473" xr:uid="{00000000-0005-0000-0000-0000F80E0000}"/>
    <cellStyle name="Normal 5 2 5 5 7" xfId="4000" xr:uid="{00000000-0005-0000-0000-0000F90E0000}"/>
    <cellStyle name="Normal 5 2 5 6" xfId="752" xr:uid="{00000000-0005-0000-0000-0000FA0E0000}"/>
    <cellStyle name="Normal 5 2 5 6 2" xfId="4176" xr:uid="{00000000-0005-0000-0000-0000FB0E0000}"/>
    <cellStyle name="Normal 5 2 5 7" xfId="1103" xr:uid="{00000000-0005-0000-0000-0000FC0E0000}"/>
    <cellStyle name="Normal 5 2 5 8" xfId="1538" xr:uid="{00000000-0005-0000-0000-0000FD0E0000}"/>
    <cellStyle name="Normal 5 2 5 9" xfId="2068" xr:uid="{00000000-0005-0000-0000-0000FE0E0000}"/>
    <cellStyle name="Normal 5 2 6" xfId="100" xr:uid="{00000000-0005-0000-0000-0000FF0E0000}"/>
    <cellStyle name="Normal 5 2 6 10" xfId="2603" xr:uid="{00000000-0005-0000-0000-0000000F0000}"/>
    <cellStyle name="Normal 5 2 6 11" xfId="3130" xr:uid="{00000000-0005-0000-0000-0000010F0000}"/>
    <cellStyle name="Normal 5 2 6 12" xfId="3657" xr:uid="{00000000-0005-0000-0000-0000020F0000}"/>
    <cellStyle name="Normal 5 2 6 2" xfId="194" xr:uid="{00000000-0005-0000-0000-0000030F0000}"/>
    <cellStyle name="Normal 5 2 6 2 2" xfId="467" xr:uid="{00000000-0005-0000-0000-0000040F0000}"/>
    <cellStyle name="Normal 5 2 6 2 2 2" xfId="1986" xr:uid="{00000000-0005-0000-0000-0000050F0000}"/>
    <cellStyle name="Normal 5 2 6 2 2 3" xfId="2516" xr:uid="{00000000-0005-0000-0000-0000060F0000}"/>
    <cellStyle name="Normal 5 2 6 2 2 4" xfId="3043" xr:uid="{00000000-0005-0000-0000-0000070F0000}"/>
    <cellStyle name="Normal 5 2 6 2 2 5" xfId="3570" xr:uid="{00000000-0005-0000-0000-0000080F0000}"/>
    <cellStyle name="Normal 5 2 6 2 2 6" xfId="4097" xr:uid="{00000000-0005-0000-0000-0000090F0000}"/>
    <cellStyle name="Normal 5 2 6 2 3" xfId="940" xr:uid="{00000000-0005-0000-0000-00000A0F0000}"/>
    <cellStyle name="Normal 5 2 6 2 4" xfId="1291" xr:uid="{00000000-0005-0000-0000-00000B0F0000}"/>
    <cellStyle name="Normal 5 2 6 2 5" xfId="1726" xr:uid="{00000000-0005-0000-0000-00000C0F0000}"/>
    <cellStyle name="Normal 5 2 6 2 6" xfId="2256" xr:uid="{00000000-0005-0000-0000-00000D0F0000}"/>
    <cellStyle name="Normal 5 2 6 2 7" xfId="2783" xr:uid="{00000000-0005-0000-0000-00000E0F0000}"/>
    <cellStyle name="Normal 5 2 6 2 8" xfId="3310" xr:uid="{00000000-0005-0000-0000-00000F0F0000}"/>
    <cellStyle name="Normal 5 2 6 2 9" xfId="3837" xr:uid="{00000000-0005-0000-0000-0000100F0000}"/>
    <cellStyle name="Normal 5 2 6 3" xfId="289" xr:uid="{00000000-0005-0000-0000-0000110F0000}"/>
    <cellStyle name="Normal 5 2 6 3 2" xfId="552" xr:uid="{00000000-0005-0000-0000-0000120F0000}"/>
    <cellStyle name="Normal 5 2 6 3 3" xfId="849" xr:uid="{00000000-0005-0000-0000-0000130F0000}"/>
    <cellStyle name="Normal 5 2 6 3 4" xfId="1200" xr:uid="{00000000-0005-0000-0000-0000140F0000}"/>
    <cellStyle name="Normal 5 2 6 3 5" xfId="1635" xr:uid="{00000000-0005-0000-0000-0000150F0000}"/>
    <cellStyle name="Normal 5 2 6 3 6" xfId="2165" xr:uid="{00000000-0005-0000-0000-0000160F0000}"/>
    <cellStyle name="Normal 5 2 6 3 7" xfId="2692" xr:uid="{00000000-0005-0000-0000-0000170F0000}"/>
    <cellStyle name="Normal 5 2 6 3 8" xfId="3219" xr:uid="{00000000-0005-0000-0000-0000180F0000}"/>
    <cellStyle name="Normal 5 2 6 3 9" xfId="3746" xr:uid="{00000000-0005-0000-0000-0000190F0000}"/>
    <cellStyle name="Normal 5 2 6 4" xfId="382" xr:uid="{00000000-0005-0000-0000-00001A0F0000}"/>
    <cellStyle name="Normal 5 2 6 4 2" xfId="1027" xr:uid="{00000000-0005-0000-0000-00001B0F0000}"/>
    <cellStyle name="Normal 5 2 6 4 3" xfId="1378" xr:uid="{00000000-0005-0000-0000-00001C0F0000}"/>
    <cellStyle name="Normal 5 2 6 4 4" xfId="1813" xr:uid="{00000000-0005-0000-0000-00001D0F0000}"/>
    <cellStyle name="Normal 5 2 6 4 5" xfId="2343" xr:uid="{00000000-0005-0000-0000-00001E0F0000}"/>
    <cellStyle name="Normal 5 2 6 4 6" xfId="2870" xr:uid="{00000000-0005-0000-0000-00001F0F0000}"/>
    <cellStyle name="Normal 5 2 6 4 7" xfId="3397" xr:uid="{00000000-0005-0000-0000-0000200F0000}"/>
    <cellStyle name="Normal 5 2 6 4 8" xfId="3924" xr:uid="{00000000-0005-0000-0000-0000210F0000}"/>
    <cellStyle name="Normal 5 2 6 5" xfId="639" xr:uid="{00000000-0005-0000-0000-0000220F0000}"/>
    <cellStyle name="Normal 5 2 6 5 2" xfId="1462" xr:uid="{00000000-0005-0000-0000-0000230F0000}"/>
    <cellStyle name="Normal 5 2 6 5 3" xfId="1897" xr:uid="{00000000-0005-0000-0000-0000240F0000}"/>
    <cellStyle name="Normal 5 2 6 5 4" xfId="2427" xr:uid="{00000000-0005-0000-0000-0000250F0000}"/>
    <cellStyle name="Normal 5 2 6 5 5" xfId="2954" xr:uid="{00000000-0005-0000-0000-0000260F0000}"/>
    <cellStyle name="Normal 5 2 6 5 6" xfId="3481" xr:uid="{00000000-0005-0000-0000-0000270F0000}"/>
    <cellStyle name="Normal 5 2 6 5 7" xfId="4008" xr:uid="{00000000-0005-0000-0000-0000280F0000}"/>
    <cellStyle name="Normal 5 2 6 6" xfId="760" xr:uid="{00000000-0005-0000-0000-0000290F0000}"/>
    <cellStyle name="Normal 5 2 6 6 2" xfId="4184" xr:uid="{00000000-0005-0000-0000-00002A0F0000}"/>
    <cellStyle name="Normal 5 2 6 7" xfId="1111" xr:uid="{00000000-0005-0000-0000-00002B0F0000}"/>
    <cellStyle name="Normal 5 2 6 8" xfId="1546" xr:uid="{00000000-0005-0000-0000-00002C0F0000}"/>
    <cellStyle name="Normal 5 2 6 9" xfId="2076" xr:uid="{00000000-0005-0000-0000-00002D0F0000}"/>
    <cellStyle name="Normal 5 2 7" xfId="40" xr:uid="{00000000-0005-0000-0000-00002E0F0000}"/>
    <cellStyle name="Normal 5 2 7 10" xfId="2543" xr:uid="{00000000-0005-0000-0000-00002F0F0000}"/>
    <cellStyle name="Normal 5 2 7 11" xfId="3070" xr:uid="{00000000-0005-0000-0000-0000300F0000}"/>
    <cellStyle name="Normal 5 2 7 12" xfId="3597" xr:uid="{00000000-0005-0000-0000-0000310F0000}"/>
    <cellStyle name="Normal 5 2 7 2" xfId="134" xr:uid="{00000000-0005-0000-0000-0000320F0000}"/>
    <cellStyle name="Normal 5 2 7 2 2" xfId="407" xr:uid="{00000000-0005-0000-0000-0000330F0000}"/>
    <cellStyle name="Normal 5 2 7 2 2 2" xfId="1926" xr:uid="{00000000-0005-0000-0000-0000340F0000}"/>
    <cellStyle name="Normal 5 2 7 2 2 3" xfId="2456" xr:uid="{00000000-0005-0000-0000-0000350F0000}"/>
    <cellStyle name="Normal 5 2 7 2 2 4" xfId="2983" xr:uid="{00000000-0005-0000-0000-0000360F0000}"/>
    <cellStyle name="Normal 5 2 7 2 2 5" xfId="3510" xr:uid="{00000000-0005-0000-0000-0000370F0000}"/>
    <cellStyle name="Normal 5 2 7 2 2 6" xfId="4037" xr:uid="{00000000-0005-0000-0000-0000380F0000}"/>
    <cellStyle name="Normal 5 2 7 2 3" xfId="880" xr:uid="{00000000-0005-0000-0000-0000390F0000}"/>
    <cellStyle name="Normal 5 2 7 2 4" xfId="1231" xr:uid="{00000000-0005-0000-0000-00003A0F0000}"/>
    <cellStyle name="Normal 5 2 7 2 5" xfId="1666" xr:uid="{00000000-0005-0000-0000-00003B0F0000}"/>
    <cellStyle name="Normal 5 2 7 2 6" xfId="2196" xr:uid="{00000000-0005-0000-0000-00003C0F0000}"/>
    <cellStyle name="Normal 5 2 7 2 7" xfId="2723" xr:uid="{00000000-0005-0000-0000-00003D0F0000}"/>
    <cellStyle name="Normal 5 2 7 2 8" xfId="3250" xr:uid="{00000000-0005-0000-0000-00003E0F0000}"/>
    <cellStyle name="Normal 5 2 7 2 9" xfId="3777" xr:uid="{00000000-0005-0000-0000-00003F0F0000}"/>
    <cellStyle name="Normal 5 2 7 3" xfId="229" xr:uid="{00000000-0005-0000-0000-0000400F0000}"/>
    <cellStyle name="Normal 5 2 7 3 2" xfId="492" xr:uid="{00000000-0005-0000-0000-0000410F0000}"/>
    <cellStyle name="Normal 5 2 7 3 3" xfId="789" xr:uid="{00000000-0005-0000-0000-0000420F0000}"/>
    <cellStyle name="Normal 5 2 7 3 4" xfId="1140" xr:uid="{00000000-0005-0000-0000-0000430F0000}"/>
    <cellStyle name="Normal 5 2 7 3 5" xfId="1575" xr:uid="{00000000-0005-0000-0000-0000440F0000}"/>
    <cellStyle name="Normal 5 2 7 3 6" xfId="2105" xr:uid="{00000000-0005-0000-0000-0000450F0000}"/>
    <cellStyle name="Normal 5 2 7 3 7" xfId="2632" xr:uid="{00000000-0005-0000-0000-0000460F0000}"/>
    <cellStyle name="Normal 5 2 7 3 8" xfId="3159" xr:uid="{00000000-0005-0000-0000-0000470F0000}"/>
    <cellStyle name="Normal 5 2 7 3 9" xfId="3686" xr:uid="{00000000-0005-0000-0000-0000480F0000}"/>
    <cellStyle name="Normal 5 2 7 4" xfId="322" xr:uid="{00000000-0005-0000-0000-0000490F0000}"/>
    <cellStyle name="Normal 5 2 7 4 2" xfId="967" xr:uid="{00000000-0005-0000-0000-00004A0F0000}"/>
    <cellStyle name="Normal 5 2 7 4 3" xfId="1318" xr:uid="{00000000-0005-0000-0000-00004B0F0000}"/>
    <cellStyle name="Normal 5 2 7 4 4" xfId="1753" xr:uid="{00000000-0005-0000-0000-00004C0F0000}"/>
    <cellStyle name="Normal 5 2 7 4 5" xfId="2283" xr:uid="{00000000-0005-0000-0000-00004D0F0000}"/>
    <cellStyle name="Normal 5 2 7 4 6" xfId="2810" xr:uid="{00000000-0005-0000-0000-00004E0F0000}"/>
    <cellStyle name="Normal 5 2 7 4 7" xfId="3337" xr:uid="{00000000-0005-0000-0000-00004F0F0000}"/>
    <cellStyle name="Normal 5 2 7 4 8" xfId="3864" xr:uid="{00000000-0005-0000-0000-0000500F0000}"/>
    <cellStyle name="Normal 5 2 7 5" xfId="579" xr:uid="{00000000-0005-0000-0000-0000510F0000}"/>
    <cellStyle name="Normal 5 2 7 5 2" xfId="1402" xr:uid="{00000000-0005-0000-0000-0000520F0000}"/>
    <cellStyle name="Normal 5 2 7 5 3" xfId="1837" xr:uid="{00000000-0005-0000-0000-0000530F0000}"/>
    <cellStyle name="Normal 5 2 7 5 4" xfId="2367" xr:uid="{00000000-0005-0000-0000-0000540F0000}"/>
    <cellStyle name="Normal 5 2 7 5 5" xfId="2894" xr:uid="{00000000-0005-0000-0000-0000550F0000}"/>
    <cellStyle name="Normal 5 2 7 5 6" xfId="3421" xr:uid="{00000000-0005-0000-0000-0000560F0000}"/>
    <cellStyle name="Normal 5 2 7 5 7" xfId="3948" xr:uid="{00000000-0005-0000-0000-0000570F0000}"/>
    <cellStyle name="Normal 5 2 7 6" xfId="700" xr:uid="{00000000-0005-0000-0000-0000580F0000}"/>
    <cellStyle name="Normal 5 2 7 6 2" xfId="4124" xr:uid="{00000000-0005-0000-0000-0000590F0000}"/>
    <cellStyle name="Normal 5 2 7 7" xfId="1051" xr:uid="{00000000-0005-0000-0000-00005A0F0000}"/>
    <cellStyle name="Normal 5 2 7 8" xfId="1486" xr:uid="{00000000-0005-0000-0000-00005B0F0000}"/>
    <cellStyle name="Normal 5 2 7 9" xfId="2016" xr:uid="{00000000-0005-0000-0000-00005C0F0000}"/>
    <cellStyle name="Normal 5 2 8" xfId="126" xr:uid="{00000000-0005-0000-0000-00005D0F0000}"/>
    <cellStyle name="Normal 5 2 8 2" xfId="399" xr:uid="{00000000-0005-0000-0000-00005E0F0000}"/>
    <cellStyle name="Normal 5 2 8 2 2" xfId="1918" xr:uid="{00000000-0005-0000-0000-00005F0F0000}"/>
    <cellStyle name="Normal 5 2 8 2 3" xfId="2448" xr:uid="{00000000-0005-0000-0000-0000600F0000}"/>
    <cellStyle name="Normal 5 2 8 2 4" xfId="2975" xr:uid="{00000000-0005-0000-0000-0000610F0000}"/>
    <cellStyle name="Normal 5 2 8 2 5" xfId="3502" xr:uid="{00000000-0005-0000-0000-0000620F0000}"/>
    <cellStyle name="Normal 5 2 8 2 6" xfId="4029" xr:uid="{00000000-0005-0000-0000-0000630F0000}"/>
    <cellStyle name="Normal 5 2 8 3" xfId="872" xr:uid="{00000000-0005-0000-0000-0000640F0000}"/>
    <cellStyle name="Normal 5 2 8 4" xfId="1223" xr:uid="{00000000-0005-0000-0000-0000650F0000}"/>
    <cellStyle name="Normal 5 2 8 5" xfId="1658" xr:uid="{00000000-0005-0000-0000-0000660F0000}"/>
    <cellStyle name="Normal 5 2 8 6" xfId="2188" xr:uid="{00000000-0005-0000-0000-0000670F0000}"/>
    <cellStyle name="Normal 5 2 8 7" xfId="2715" xr:uid="{00000000-0005-0000-0000-0000680F0000}"/>
    <cellStyle name="Normal 5 2 8 8" xfId="3242" xr:uid="{00000000-0005-0000-0000-0000690F0000}"/>
    <cellStyle name="Normal 5 2 8 9" xfId="3769" xr:uid="{00000000-0005-0000-0000-00006A0F0000}"/>
    <cellStyle name="Normal 5 2 9" xfId="221" xr:uid="{00000000-0005-0000-0000-00006B0F0000}"/>
    <cellStyle name="Normal 5 2 9 2" xfId="484" xr:uid="{00000000-0005-0000-0000-00006C0F0000}"/>
    <cellStyle name="Normal 5 2 9 3" xfId="781" xr:uid="{00000000-0005-0000-0000-00006D0F0000}"/>
    <cellStyle name="Normal 5 2 9 4" xfId="1132" xr:uid="{00000000-0005-0000-0000-00006E0F0000}"/>
    <cellStyle name="Normal 5 2 9 5" xfId="1567" xr:uid="{00000000-0005-0000-0000-00006F0F0000}"/>
    <cellStyle name="Normal 5 2 9 6" xfId="2097" xr:uid="{00000000-0005-0000-0000-0000700F0000}"/>
    <cellStyle name="Normal 5 2 9 7" xfId="2624" xr:uid="{00000000-0005-0000-0000-0000710F0000}"/>
    <cellStyle name="Normal 5 2 9 8" xfId="3151" xr:uid="{00000000-0005-0000-0000-0000720F0000}"/>
    <cellStyle name="Normal 5 2 9 9" xfId="3678" xr:uid="{00000000-0005-0000-0000-0000730F0000}"/>
    <cellStyle name="Normal 5 20" xfId="688" xr:uid="{00000000-0005-0000-0000-0000740F0000}"/>
    <cellStyle name="Normal 5 20 2" xfId="4112" xr:uid="{00000000-0005-0000-0000-0000750F0000}"/>
    <cellStyle name="Normal 5 21" xfId="1039" xr:uid="{00000000-0005-0000-0000-0000760F0000}"/>
    <cellStyle name="Normal 5 22" xfId="1474" xr:uid="{00000000-0005-0000-0000-0000770F0000}"/>
    <cellStyle name="Normal 5 23" xfId="2004" xr:uid="{00000000-0005-0000-0000-0000780F0000}"/>
    <cellStyle name="Normal 5 24" xfId="2531" xr:uid="{00000000-0005-0000-0000-0000790F0000}"/>
    <cellStyle name="Normal 5 25" xfId="3058" xr:uid="{00000000-0005-0000-0000-00007A0F0000}"/>
    <cellStyle name="Normal 5 26" xfId="3585" xr:uid="{00000000-0005-0000-0000-00007B0F0000}"/>
    <cellStyle name="Normal 5 3" xfId="44" xr:uid="{00000000-0005-0000-0000-00007C0F0000}"/>
    <cellStyle name="Normal 5 3 10" xfId="2547" xr:uid="{00000000-0005-0000-0000-00007D0F0000}"/>
    <cellStyle name="Normal 5 3 11" xfId="3074" xr:uid="{00000000-0005-0000-0000-00007E0F0000}"/>
    <cellStyle name="Normal 5 3 12" xfId="3601" xr:uid="{00000000-0005-0000-0000-00007F0F0000}"/>
    <cellStyle name="Normal 5 3 2" xfId="138" xr:uid="{00000000-0005-0000-0000-0000800F0000}"/>
    <cellStyle name="Normal 5 3 2 2" xfId="411" xr:uid="{00000000-0005-0000-0000-0000810F0000}"/>
    <cellStyle name="Normal 5 3 2 2 2" xfId="1930" xr:uid="{00000000-0005-0000-0000-0000820F0000}"/>
    <cellStyle name="Normal 5 3 2 2 3" xfId="2460" xr:uid="{00000000-0005-0000-0000-0000830F0000}"/>
    <cellStyle name="Normal 5 3 2 2 4" xfId="2987" xr:uid="{00000000-0005-0000-0000-0000840F0000}"/>
    <cellStyle name="Normal 5 3 2 2 5" xfId="3514" xr:uid="{00000000-0005-0000-0000-0000850F0000}"/>
    <cellStyle name="Normal 5 3 2 2 6" xfId="4041" xr:uid="{00000000-0005-0000-0000-0000860F0000}"/>
    <cellStyle name="Normal 5 3 2 3" xfId="884" xr:uid="{00000000-0005-0000-0000-0000870F0000}"/>
    <cellStyle name="Normal 5 3 2 4" xfId="1235" xr:uid="{00000000-0005-0000-0000-0000880F0000}"/>
    <cellStyle name="Normal 5 3 2 5" xfId="1670" xr:uid="{00000000-0005-0000-0000-0000890F0000}"/>
    <cellStyle name="Normal 5 3 2 6" xfId="2200" xr:uid="{00000000-0005-0000-0000-00008A0F0000}"/>
    <cellStyle name="Normal 5 3 2 7" xfId="2727" xr:uid="{00000000-0005-0000-0000-00008B0F0000}"/>
    <cellStyle name="Normal 5 3 2 8" xfId="3254" xr:uid="{00000000-0005-0000-0000-00008C0F0000}"/>
    <cellStyle name="Normal 5 3 2 9" xfId="3781" xr:uid="{00000000-0005-0000-0000-00008D0F0000}"/>
    <cellStyle name="Normal 5 3 3" xfId="233" xr:uid="{00000000-0005-0000-0000-00008E0F0000}"/>
    <cellStyle name="Normal 5 3 3 2" xfId="496" xr:uid="{00000000-0005-0000-0000-00008F0F0000}"/>
    <cellStyle name="Normal 5 3 3 3" xfId="793" xr:uid="{00000000-0005-0000-0000-0000900F0000}"/>
    <cellStyle name="Normal 5 3 3 4" xfId="1144" xr:uid="{00000000-0005-0000-0000-0000910F0000}"/>
    <cellStyle name="Normal 5 3 3 5" xfId="1579" xr:uid="{00000000-0005-0000-0000-0000920F0000}"/>
    <cellStyle name="Normal 5 3 3 6" xfId="2109" xr:uid="{00000000-0005-0000-0000-0000930F0000}"/>
    <cellStyle name="Normal 5 3 3 7" xfId="2636" xr:uid="{00000000-0005-0000-0000-0000940F0000}"/>
    <cellStyle name="Normal 5 3 3 8" xfId="3163" xr:uid="{00000000-0005-0000-0000-0000950F0000}"/>
    <cellStyle name="Normal 5 3 3 9" xfId="3690" xr:uid="{00000000-0005-0000-0000-0000960F0000}"/>
    <cellStyle name="Normal 5 3 4" xfId="326" xr:uid="{00000000-0005-0000-0000-0000970F0000}"/>
    <cellStyle name="Normal 5 3 4 2" xfId="971" xr:uid="{00000000-0005-0000-0000-0000980F0000}"/>
    <cellStyle name="Normal 5 3 4 3" xfId="1322" xr:uid="{00000000-0005-0000-0000-0000990F0000}"/>
    <cellStyle name="Normal 5 3 4 4" xfId="1757" xr:uid="{00000000-0005-0000-0000-00009A0F0000}"/>
    <cellStyle name="Normal 5 3 4 5" xfId="2287" xr:uid="{00000000-0005-0000-0000-00009B0F0000}"/>
    <cellStyle name="Normal 5 3 4 6" xfId="2814" xr:uid="{00000000-0005-0000-0000-00009C0F0000}"/>
    <cellStyle name="Normal 5 3 4 7" xfId="3341" xr:uid="{00000000-0005-0000-0000-00009D0F0000}"/>
    <cellStyle name="Normal 5 3 4 8" xfId="3868" xr:uid="{00000000-0005-0000-0000-00009E0F0000}"/>
    <cellStyle name="Normal 5 3 5" xfId="583" xr:uid="{00000000-0005-0000-0000-00009F0F0000}"/>
    <cellStyle name="Normal 5 3 5 2" xfId="1406" xr:uid="{00000000-0005-0000-0000-0000A00F0000}"/>
    <cellStyle name="Normal 5 3 5 3" xfId="1841" xr:uid="{00000000-0005-0000-0000-0000A10F0000}"/>
    <cellStyle name="Normal 5 3 5 4" xfId="2371" xr:uid="{00000000-0005-0000-0000-0000A20F0000}"/>
    <cellStyle name="Normal 5 3 5 5" xfId="2898" xr:uid="{00000000-0005-0000-0000-0000A30F0000}"/>
    <cellStyle name="Normal 5 3 5 6" xfId="3425" xr:uid="{00000000-0005-0000-0000-0000A40F0000}"/>
    <cellStyle name="Normal 5 3 5 7" xfId="3952" xr:uid="{00000000-0005-0000-0000-0000A50F0000}"/>
    <cellStyle name="Normal 5 3 6" xfId="704" xr:uid="{00000000-0005-0000-0000-0000A60F0000}"/>
    <cellStyle name="Normal 5 3 6 2" xfId="4128" xr:uid="{00000000-0005-0000-0000-0000A70F0000}"/>
    <cellStyle name="Normal 5 3 7" xfId="1055" xr:uid="{00000000-0005-0000-0000-0000A80F0000}"/>
    <cellStyle name="Normal 5 3 8" xfId="1490" xr:uid="{00000000-0005-0000-0000-0000A90F0000}"/>
    <cellStyle name="Normal 5 3 9" xfId="2020" xr:uid="{00000000-0005-0000-0000-0000AA0F0000}"/>
    <cellStyle name="Normal 5 4" xfId="48" xr:uid="{00000000-0005-0000-0000-0000AB0F0000}"/>
    <cellStyle name="Normal 5 4 10" xfId="2551" xr:uid="{00000000-0005-0000-0000-0000AC0F0000}"/>
    <cellStyle name="Normal 5 4 11" xfId="3078" xr:uid="{00000000-0005-0000-0000-0000AD0F0000}"/>
    <cellStyle name="Normal 5 4 12" xfId="3605" xr:uid="{00000000-0005-0000-0000-0000AE0F0000}"/>
    <cellStyle name="Normal 5 4 2" xfId="142" xr:uid="{00000000-0005-0000-0000-0000AF0F0000}"/>
    <cellStyle name="Normal 5 4 2 2" xfId="415" xr:uid="{00000000-0005-0000-0000-0000B00F0000}"/>
    <cellStyle name="Normal 5 4 2 2 2" xfId="1934" xr:uid="{00000000-0005-0000-0000-0000B10F0000}"/>
    <cellStyle name="Normal 5 4 2 2 3" xfId="2464" xr:uid="{00000000-0005-0000-0000-0000B20F0000}"/>
    <cellStyle name="Normal 5 4 2 2 4" xfId="2991" xr:uid="{00000000-0005-0000-0000-0000B30F0000}"/>
    <cellStyle name="Normal 5 4 2 2 5" xfId="3518" xr:uid="{00000000-0005-0000-0000-0000B40F0000}"/>
    <cellStyle name="Normal 5 4 2 2 6" xfId="4045" xr:uid="{00000000-0005-0000-0000-0000B50F0000}"/>
    <cellStyle name="Normal 5 4 2 3" xfId="888" xr:uid="{00000000-0005-0000-0000-0000B60F0000}"/>
    <cellStyle name="Normal 5 4 2 4" xfId="1239" xr:uid="{00000000-0005-0000-0000-0000B70F0000}"/>
    <cellStyle name="Normal 5 4 2 5" xfId="1674" xr:uid="{00000000-0005-0000-0000-0000B80F0000}"/>
    <cellStyle name="Normal 5 4 2 6" xfId="2204" xr:uid="{00000000-0005-0000-0000-0000B90F0000}"/>
    <cellStyle name="Normal 5 4 2 7" xfId="2731" xr:uid="{00000000-0005-0000-0000-0000BA0F0000}"/>
    <cellStyle name="Normal 5 4 2 8" xfId="3258" xr:uid="{00000000-0005-0000-0000-0000BB0F0000}"/>
    <cellStyle name="Normal 5 4 2 9" xfId="3785" xr:uid="{00000000-0005-0000-0000-0000BC0F0000}"/>
    <cellStyle name="Normal 5 4 3" xfId="237" xr:uid="{00000000-0005-0000-0000-0000BD0F0000}"/>
    <cellStyle name="Normal 5 4 3 2" xfId="500" xr:uid="{00000000-0005-0000-0000-0000BE0F0000}"/>
    <cellStyle name="Normal 5 4 3 3" xfId="797" xr:uid="{00000000-0005-0000-0000-0000BF0F0000}"/>
    <cellStyle name="Normal 5 4 3 4" xfId="1148" xr:uid="{00000000-0005-0000-0000-0000C00F0000}"/>
    <cellStyle name="Normal 5 4 3 5" xfId="1583" xr:uid="{00000000-0005-0000-0000-0000C10F0000}"/>
    <cellStyle name="Normal 5 4 3 6" xfId="2113" xr:uid="{00000000-0005-0000-0000-0000C20F0000}"/>
    <cellStyle name="Normal 5 4 3 7" xfId="2640" xr:uid="{00000000-0005-0000-0000-0000C30F0000}"/>
    <cellStyle name="Normal 5 4 3 8" xfId="3167" xr:uid="{00000000-0005-0000-0000-0000C40F0000}"/>
    <cellStyle name="Normal 5 4 3 9" xfId="3694" xr:uid="{00000000-0005-0000-0000-0000C50F0000}"/>
    <cellStyle name="Normal 5 4 4" xfId="330" xr:uid="{00000000-0005-0000-0000-0000C60F0000}"/>
    <cellStyle name="Normal 5 4 4 2" xfId="975" xr:uid="{00000000-0005-0000-0000-0000C70F0000}"/>
    <cellStyle name="Normal 5 4 4 3" xfId="1326" xr:uid="{00000000-0005-0000-0000-0000C80F0000}"/>
    <cellStyle name="Normal 5 4 4 4" xfId="1761" xr:uid="{00000000-0005-0000-0000-0000C90F0000}"/>
    <cellStyle name="Normal 5 4 4 5" xfId="2291" xr:uid="{00000000-0005-0000-0000-0000CA0F0000}"/>
    <cellStyle name="Normal 5 4 4 6" xfId="2818" xr:uid="{00000000-0005-0000-0000-0000CB0F0000}"/>
    <cellStyle name="Normal 5 4 4 7" xfId="3345" xr:uid="{00000000-0005-0000-0000-0000CC0F0000}"/>
    <cellStyle name="Normal 5 4 4 8" xfId="3872" xr:uid="{00000000-0005-0000-0000-0000CD0F0000}"/>
    <cellStyle name="Normal 5 4 5" xfId="587" xr:uid="{00000000-0005-0000-0000-0000CE0F0000}"/>
    <cellStyle name="Normal 5 4 5 2" xfId="1410" xr:uid="{00000000-0005-0000-0000-0000CF0F0000}"/>
    <cellStyle name="Normal 5 4 5 3" xfId="1845" xr:uid="{00000000-0005-0000-0000-0000D00F0000}"/>
    <cellStyle name="Normal 5 4 5 4" xfId="2375" xr:uid="{00000000-0005-0000-0000-0000D10F0000}"/>
    <cellStyle name="Normal 5 4 5 5" xfId="2902" xr:uid="{00000000-0005-0000-0000-0000D20F0000}"/>
    <cellStyle name="Normal 5 4 5 6" xfId="3429" xr:uid="{00000000-0005-0000-0000-0000D30F0000}"/>
    <cellStyle name="Normal 5 4 5 7" xfId="3956" xr:uid="{00000000-0005-0000-0000-0000D40F0000}"/>
    <cellStyle name="Normal 5 4 6" xfId="708" xr:uid="{00000000-0005-0000-0000-0000D50F0000}"/>
    <cellStyle name="Normal 5 4 6 2" xfId="4132" xr:uid="{00000000-0005-0000-0000-0000D60F0000}"/>
    <cellStyle name="Normal 5 4 7" xfId="1059" xr:uid="{00000000-0005-0000-0000-0000D70F0000}"/>
    <cellStyle name="Normal 5 4 8" xfId="1494" xr:uid="{00000000-0005-0000-0000-0000D80F0000}"/>
    <cellStyle name="Normal 5 4 9" xfId="2024" xr:uid="{00000000-0005-0000-0000-0000D90F0000}"/>
    <cellStyle name="Normal 5 5" xfId="52" xr:uid="{00000000-0005-0000-0000-0000DA0F0000}"/>
    <cellStyle name="Normal 5 5 10" xfId="2555" xr:uid="{00000000-0005-0000-0000-0000DB0F0000}"/>
    <cellStyle name="Normal 5 5 11" xfId="3082" xr:uid="{00000000-0005-0000-0000-0000DC0F0000}"/>
    <cellStyle name="Normal 5 5 12" xfId="3609" xr:uid="{00000000-0005-0000-0000-0000DD0F0000}"/>
    <cellStyle name="Normal 5 5 2" xfId="146" xr:uid="{00000000-0005-0000-0000-0000DE0F0000}"/>
    <cellStyle name="Normal 5 5 2 2" xfId="419" xr:uid="{00000000-0005-0000-0000-0000DF0F0000}"/>
    <cellStyle name="Normal 5 5 2 2 2" xfId="1938" xr:uid="{00000000-0005-0000-0000-0000E00F0000}"/>
    <cellStyle name="Normal 5 5 2 2 3" xfId="2468" xr:uid="{00000000-0005-0000-0000-0000E10F0000}"/>
    <cellStyle name="Normal 5 5 2 2 4" xfId="2995" xr:uid="{00000000-0005-0000-0000-0000E20F0000}"/>
    <cellStyle name="Normal 5 5 2 2 5" xfId="3522" xr:uid="{00000000-0005-0000-0000-0000E30F0000}"/>
    <cellStyle name="Normal 5 5 2 2 6" xfId="4049" xr:uid="{00000000-0005-0000-0000-0000E40F0000}"/>
    <cellStyle name="Normal 5 5 2 3" xfId="892" xr:uid="{00000000-0005-0000-0000-0000E50F0000}"/>
    <cellStyle name="Normal 5 5 2 4" xfId="1243" xr:uid="{00000000-0005-0000-0000-0000E60F0000}"/>
    <cellStyle name="Normal 5 5 2 5" xfId="1678" xr:uid="{00000000-0005-0000-0000-0000E70F0000}"/>
    <cellStyle name="Normal 5 5 2 6" xfId="2208" xr:uid="{00000000-0005-0000-0000-0000E80F0000}"/>
    <cellStyle name="Normal 5 5 2 7" xfId="2735" xr:uid="{00000000-0005-0000-0000-0000E90F0000}"/>
    <cellStyle name="Normal 5 5 2 8" xfId="3262" xr:uid="{00000000-0005-0000-0000-0000EA0F0000}"/>
    <cellStyle name="Normal 5 5 2 9" xfId="3789" xr:uid="{00000000-0005-0000-0000-0000EB0F0000}"/>
    <cellStyle name="Normal 5 5 3" xfId="241" xr:uid="{00000000-0005-0000-0000-0000EC0F0000}"/>
    <cellStyle name="Normal 5 5 3 2" xfId="504" xr:uid="{00000000-0005-0000-0000-0000ED0F0000}"/>
    <cellStyle name="Normal 5 5 3 3" xfId="801" xr:uid="{00000000-0005-0000-0000-0000EE0F0000}"/>
    <cellStyle name="Normal 5 5 3 4" xfId="1152" xr:uid="{00000000-0005-0000-0000-0000EF0F0000}"/>
    <cellStyle name="Normal 5 5 3 5" xfId="1587" xr:uid="{00000000-0005-0000-0000-0000F00F0000}"/>
    <cellStyle name="Normal 5 5 3 6" xfId="2117" xr:uid="{00000000-0005-0000-0000-0000F10F0000}"/>
    <cellStyle name="Normal 5 5 3 7" xfId="2644" xr:uid="{00000000-0005-0000-0000-0000F20F0000}"/>
    <cellStyle name="Normal 5 5 3 8" xfId="3171" xr:uid="{00000000-0005-0000-0000-0000F30F0000}"/>
    <cellStyle name="Normal 5 5 3 9" xfId="3698" xr:uid="{00000000-0005-0000-0000-0000F40F0000}"/>
    <cellStyle name="Normal 5 5 4" xfId="334" xr:uid="{00000000-0005-0000-0000-0000F50F0000}"/>
    <cellStyle name="Normal 5 5 4 2" xfId="979" xr:uid="{00000000-0005-0000-0000-0000F60F0000}"/>
    <cellStyle name="Normal 5 5 4 3" xfId="1330" xr:uid="{00000000-0005-0000-0000-0000F70F0000}"/>
    <cellStyle name="Normal 5 5 4 4" xfId="1765" xr:uid="{00000000-0005-0000-0000-0000F80F0000}"/>
    <cellStyle name="Normal 5 5 4 5" xfId="2295" xr:uid="{00000000-0005-0000-0000-0000F90F0000}"/>
    <cellStyle name="Normal 5 5 4 6" xfId="2822" xr:uid="{00000000-0005-0000-0000-0000FA0F0000}"/>
    <cellStyle name="Normal 5 5 4 7" xfId="3349" xr:uid="{00000000-0005-0000-0000-0000FB0F0000}"/>
    <cellStyle name="Normal 5 5 4 8" xfId="3876" xr:uid="{00000000-0005-0000-0000-0000FC0F0000}"/>
    <cellStyle name="Normal 5 5 5" xfId="591" xr:uid="{00000000-0005-0000-0000-0000FD0F0000}"/>
    <cellStyle name="Normal 5 5 5 2" xfId="1414" xr:uid="{00000000-0005-0000-0000-0000FE0F0000}"/>
    <cellStyle name="Normal 5 5 5 3" xfId="1849" xr:uid="{00000000-0005-0000-0000-0000FF0F0000}"/>
    <cellStyle name="Normal 5 5 5 4" xfId="2379" xr:uid="{00000000-0005-0000-0000-000000100000}"/>
    <cellStyle name="Normal 5 5 5 5" xfId="2906" xr:uid="{00000000-0005-0000-0000-000001100000}"/>
    <cellStyle name="Normal 5 5 5 6" xfId="3433" xr:uid="{00000000-0005-0000-0000-000002100000}"/>
    <cellStyle name="Normal 5 5 5 7" xfId="3960" xr:uid="{00000000-0005-0000-0000-000003100000}"/>
    <cellStyle name="Normal 5 5 6" xfId="712" xr:uid="{00000000-0005-0000-0000-000004100000}"/>
    <cellStyle name="Normal 5 5 6 2" xfId="4136" xr:uid="{00000000-0005-0000-0000-000005100000}"/>
    <cellStyle name="Normal 5 5 7" xfId="1063" xr:uid="{00000000-0005-0000-0000-000006100000}"/>
    <cellStyle name="Normal 5 5 8" xfId="1498" xr:uid="{00000000-0005-0000-0000-000007100000}"/>
    <cellStyle name="Normal 5 5 9" xfId="2028" xr:uid="{00000000-0005-0000-0000-000008100000}"/>
    <cellStyle name="Normal 5 6" xfId="56" xr:uid="{00000000-0005-0000-0000-000009100000}"/>
    <cellStyle name="Normal 5 6 10" xfId="2559" xr:uid="{00000000-0005-0000-0000-00000A100000}"/>
    <cellStyle name="Normal 5 6 11" xfId="3086" xr:uid="{00000000-0005-0000-0000-00000B100000}"/>
    <cellStyle name="Normal 5 6 12" xfId="3613" xr:uid="{00000000-0005-0000-0000-00000C100000}"/>
    <cellStyle name="Normal 5 6 2" xfId="150" xr:uid="{00000000-0005-0000-0000-00000D100000}"/>
    <cellStyle name="Normal 5 6 2 2" xfId="423" xr:uid="{00000000-0005-0000-0000-00000E100000}"/>
    <cellStyle name="Normal 5 6 2 2 2" xfId="1942" xr:uid="{00000000-0005-0000-0000-00000F100000}"/>
    <cellStyle name="Normal 5 6 2 2 3" xfId="2472" xr:uid="{00000000-0005-0000-0000-000010100000}"/>
    <cellStyle name="Normal 5 6 2 2 4" xfId="2999" xr:uid="{00000000-0005-0000-0000-000011100000}"/>
    <cellStyle name="Normal 5 6 2 2 5" xfId="3526" xr:uid="{00000000-0005-0000-0000-000012100000}"/>
    <cellStyle name="Normal 5 6 2 2 6" xfId="4053" xr:uid="{00000000-0005-0000-0000-000013100000}"/>
    <cellStyle name="Normal 5 6 2 3" xfId="896" xr:uid="{00000000-0005-0000-0000-000014100000}"/>
    <cellStyle name="Normal 5 6 2 4" xfId="1247" xr:uid="{00000000-0005-0000-0000-000015100000}"/>
    <cellStyle name="Normal 5 6 2 5" xfId="1682" xr:uid="{00000000-0005-0000-0000-000016100000}"/>
    <cellStyle name="Normal 5 6 2 6" xfId="2212" xr:uid="{00000000-0005-0000-0000-000017100000}"/>
    <cellStyle name="Normal 5 6 2 7" xfId="2739" xr:uid="{00000000-0005-0000-0000-000018100000}"/>
    <cellStyle name="Normal 5 6 2 8" xfId="3266" xr:uid="{00000000-0005-0000-0000-000019100000}"/>
    <cellStyle name="Normal 5 6 2 9" xfId="3793" xr:uid="{00000000-0005-0000-0000-00001A100000}"/>
    <cellStyle name="Normal 5 6 3" xfId="245" xr:uid="{00000000-0005-0000-0000-00001B100000}"/>
    <cellStyle name="Normal 5 6 3 2" xfId="508" xr:uid="{00000000-0005-0000-0000-00001C100000}"/>
    <cellStyle name="Normal 5 6 3 3" xfId="805" xr:uid="{00000000-0005-0000-0000-00001D100000}"/>
    <cellStyle name="Normal 5 6 3 4" xfId="1156" xr:uid="{00000000-0005-0000-0000-00001E100000}"/>
    <cellStyle name="Normal 5 6 3 5" xfId="1591" xr:uid="{00000000-0005-0000-0000-00001F100000}"/>
    <cellStyle name="Normal 5 6 3 6" xfId="2121" xr:uid="{00000000-0005-0000-0000-000020100000}"/>
    <cellStyle name="Normal 5 6 3 7" xfId="2648" xr:uid="{00000000-0005-0000-0000-000021100000}"/>
    <cellStyle name="Normal 5 6 3 8" xfId="3175" xr:uid="{00000000-0005-0000-0000-000022100000}"/>
    <cellStyle name="Normal 5 6 3 9" xfId="3702" xr:uid="{00000000-0005-0000-0000-000023100000}"/>
    <cellStyle name="Normal 5 6 4" xfId="338" xr:uid="{00000000-0005-0000-0000-000024100000}"/>
    <cellStyle name="Normal 5 6 4 2" xfId="983" xr:uid="{00000000-0005-0000-0000-000025100000}"/>
    <cellStyle name="Normal 5 6 4 3" xfId="1334" xr:uid="{00000000-0005-0000-0000-000026100000}"/>
    <cellStyle name="Normal 5 6 4 4" xfId="1769" xr:uid="{00000000-0005-0000-0000-000027100000}"/>
    <cellStyle name="Normal 5 6 4 5" xfId="2299" xr:uid="{00000000-0005-0000-0000-000028100000}"/>
    <cellStyle name="Normal 5 6 4 6" xfId="2826" xr:uid="{00000000-0005-0000-0000-000029100000}"/>
    <cellStyle name="Normal 5 6 4 7" xfId="3353" xr:uid="{00000000-0005-0000-0000-00002A100000}"/>
    <cellStyle name="Normal 5 6 4 8" xfId="3880" xr:uid="{00000000-0005-0000-0000-00002B100000}"/>
    <cellStyle name="Normal 5 6 5" xfId="595" xr:uid="{00000000-0005-0000-0000-00002C100000}"/>
    <cellStyle name="Normal 5 6 5 2" xfId="1418" xr:uid="{00000000-0005-0000-0000-00002D100000}"/>
    <cellStyle name="Normal 5 6 5 3" xfId="1853" xr:uid="{00000000-0005-0000-0000-00002E100000}"/>
    <cellStyle name="Normal 5 6 5 4" xfId="2383" xr:uid="{00000000-0005-0000-0000-00002F100000}"/>
    <cellStyle name="Normal 5 6 5 5" xfId="2910" xr:uid="{00000000-0005-0000-0000-000030100000}"/>
    <cellStyle name="Normal 5 6 5 6" xfId="3437" xr:uid="{00000000-0005-0000-0000-000031100000}"/>
    <cellStyle name="Normal 5 6 5 7" xfId="3964" xr:uid="{00000000-0005-0000-0000-000032100000}"/>
    <cellStyle name="Normal 5 6 6" xfId="716" xr:uid="{00000000-0005-0000-0000-000033100000}"/>
    <cellStyle name="Normal 5 6 6 2" xfId="4140" xr:uid="{00000000-0005-0000-0000-000034100000}"/>
    <cellStyle name="Normal 5 6 7" xfId="1067" xr:uid="{00000000-0005-0000-0000-000035100000}"/>
    <cellStyle name="Normal 5 6 8" xfId="1502" xr:uid="{00000000-0005-0000-0000-000036100000}"/>
    <cellStyle name="Normal 5 6 9" xfId="2032" xr:uid="{00000000-0005-0000-0000-000037100000}"/>
    <cellStyle name="Normal 5 7" xfId="60" xr:uid="{00000000-0005-0000-0000-000038100000}"/>
    <cellStyle name="Normal 5 7 10" xfId="2563" xr:uid="{00000000-0005-0000-0000-000039100000}"/>
    <cellStyle name="Normal 5 7 11" xfId="3090" xr:uid="{00000000-0005-0000-0000-00003A100000}"/>
    <cellStyle name="Normal 5 7 12" xfId="3617" xr:uid="{00000000-0005-0000-0000-00003B100000}"/>
    <cellStyle name="Normal 5 7 2" xfId="154" xr:uid="{00000000-0005-0000-0000-00003C100000}"/>
    <cellStyle name="Normal 5 7 2 2" xfId="427" xr:uid="{00000000-0005-0000-0000-00003D100000}"/>
    <cellStyle name="Normal 5 7 2 2 2" xfId="1946" xr:uid="{00000000-0005-0000-0000-00003E100000}"/>
    <cellStyle name="Normal 5 7 2 2 3" xfId="2476" xr:uid="{00000000-0005-0000-0000-00003F100000}"/>
    <cellStyle name="Normal 5 7 2 2 4" xfId="3003" xr:uid="{00000000-0005-0000-0000-000040100000}"/>
    <cellStyle name="Normal 5 7 2 2 5" xfId="3530" xr:uid="{00000000-0005-0000-0000-000041100000}"/>
    <cellStyle name="Normal 5 7 2 2 6" xfId="4057" xr:uid="{00000000-0005-0000-0000-000042100000}"/>
    <cellStyle name="Normal 5 7 2 3" xfId="900" xr:uid="{00000000-0005-0000-0000-000043100000}"/>
    <cellStyle name="Normal 5 7 2 4" xfId="1251" xr:uid="{00000000-0005-0000-0000-000044100000}"/>
    <cellStyle name="Normal 5 7 2 5" xfId="1686" xr:uid="{00000000-0005-0000-0000-000045100000}"/>
    <cellStyle name="Normal 5 7 2 6" xfId="2216" xr:uid="{00000000-0005-0000-0000-000046100000}"/>
    <cellStyle name="Normal 5 7 2 7" xfId="2743" xr:uid="{00000000-0005-0000-0000-000047100000}"/>
    <cellStyle name="Normal 5 7 2 8" xfId="3270" xr:uid="{00000000-0005-0000-0000-000048100000}"/>
    <cellStyle name="Normal 5 7 2 9" xfId="3797" xr:uid="{00000000-0005-0000-0000-000049100000}"/>
    <cellStyle name="Normal 5 7 3" xfId="249" xr:uid="{00000000-0005-0000-0000-00004A100000}"/>
    <cellStyle name="Normal 5 7 3 2" xfId="512" xr:uid="{00000000-0005-0000-0000-00004B100000}"/>
    <cellStyle name="Normal 5 7 3 3" xfId="809" xr:uid="{00000000-0005-0000-0000-00004C100000}"/>
    <cellStyle name="Normal 5 7 3 4" xfId="1160" xr:uid="{00000000-0005-0000-0000-00004D100000}"/>
    <cellStyle name="Normal 5 7 3 5" xfId="1595" xr:uid="{00000000-0005-0000-0000-00004E100000}"/>
    <cellStyle name="Normal 5 7 3 6" xfId="2125" xr:uid="{00000000-0005-0000-0000-00004F100000}"/>
    <cellStyle name="Normal 5 7 3 7" xfId="2652" xr:uid="{00000000-0005-0000-0000-000050100000}"/>
    <cellStyle name="Normal 5 7 3 8" xfId="3179" xr:uid="{00000000-0005-0000-0000-000051100000}"/>
    <cellStyle name="Normal 5 7 3 9" xfId="3706" xr:uid="{00000000-0005-0000-0000-000052100000}"/>
    <cellStyle name="Normal 5 7 4" xfId="342" xr:uid="{00000000-0005-0000-0000-000053100000}"/>
    <cellStyle name="Normal 5 7 4 2" xfId="987" xr:uid="{00000000-0005-0000-0000-000054100000}"/>
    <cellStyle name="Normal 5 7 4 3" xfId="1338" xr:uid="{00000000-0005-0000-0000-000055100000}"/>
    <cellStyle name="Normal 5 7 4 4" xfId="1773" xr:uid="{00000000-0005-0000-0000-000056100000}"/>
    <cellStyle name="Normal 5 7 4 5" xfId="2303" xr:uid="{00000000-0005-0000-0000-000057100000}"/>
    <cellStyle name="Normal 5 7 4 6" xfId="2830" xr:uid="{00000000-0005-0000-0000-000058100000}"/>
    <cellStyle name="Normal 5 7 4 7" xfId="3357" xr:uid="{00000000-0005-0000-0000-000059100000}"/>
    <cellStyle name="Normal 5 7 4 8" xfId="3884" xr:uid="{00000000-0005-0000-0000-00005A100000}"/>
    <cellStyle name="Normal 5 7 5" xfId="599" xr:uid="{00000000-0005-0000-0000-00005B100000}"/>
    <cellStyle name="Normal 5 7 5 2" xfId="1422" xr:uid="{00000000-0005-0000-0000-00005C100000}"/>
    <cellStyle name="Normal 5 7 5 3" xfId="1857" xr:uid="{00000000-0005-0000-0000-00005D100000}"/>
    <cellStyle name="Normal 5 7 5 4" xfId="2387" xr:uid="{00000000-0005-0000-0000-00005E100000}"/>
    <cellStyle name="Normal 5 7 5 5" xfId="2914" xr:uid="{00000000-0005-0000-0000-00005F100000}"/>
    <cellStyle name="Normal 5 7 5 6" xfId="3441" xr:uid="{00000000-0005-0000-0000-000060100000}"/>
    <cellStyle name="Normal 5 7 5 7" xfId="3968" xr:uid="{00000000-0005-0000-0000-000061100000}"/>
    <cellStyle name="Normal 5 7 6" xfId="720" xr:uid="{00000000-0005-0000-0000-000062100000}"/>
    <cellStyle name="Normal 5 7 6 2" xfId="4144" xr:uid="{00000000-0005-0000-0000-000063100000}"/>
    <cellStyle name="Normal 5 7 7" xfId="1071" xr:uid="{00000000-0005-0000-0000-000064100000}"/>
    <cellStyle name="Normal 5 7 8" xfId="1506" xr:uid="{00000000-0005-0000-0000-000065100000}"/>
    <cellStyle name="Normal 5 7 9" xfId="2036" xr:uid="{00000000-0005-0000-0000-000066100000}"/>
    <cellStyle name="Normal 5 8" xfId="64" xr:uid="{00000000-0005-0000-0000-000067100000}"/>
    <cellStyle name="Normal 5 8 10" xfId="2567" xr:uid="{00000000-0005-0000-0000-000068100000}"/>
    <cellStyle name="Normal 5 8 11" xfId="3094" xr:uid="{00000000-0005-0000-0000-000069100000}"/>
    <cellStyle name="Normal 5 8 12" xfId="3621" xr:uid="{00000000-0005-0000-0000-00006A100000}"/>
    <cellStyle name="Normal 5 8 2" xfId="158" xr:uid="{00000000-0005-0000-0000-00006B100000}"/>
    <cellStyle name="Normal 5 8 2 2" xfId="431" xr:uid="{00000000-0005-0000-0000-00006C100000}"/>
    <cellStyle name="Normal 5 8 2 2 2" xfId="1950" xr:uid="{00000000-0005-0000-0000-00006D100000}"/>
    <cellStyle name="Normal 5 8 2 2 3" xfId="2480" xr:uid="{00000000-0005-0000-0000-00006E100000}"/>
    <cellStyle name="Normal 5 8 2 2 4" xfId="3007" xr:uid="{00000000-0005-0000-0000-00006F100000}"/>
    <cellStyle name="Normal 5 8 2 2 5" xfId="3534" xr:uid="{00000000-0005-0000-0000-000070100000}"/>
    <cellStyle name="Normal 5 8 2 2 6" xfId="4061" xr:uid="{00000000-0005-0000-0000-000071100000}"/>
    <cellStyle name="Normal 5 8 2 3" xfId="904" xr:uid="{00000000-0005-0000-0000-000072100000}"/>
    <cellStyle name="Normal 5 8 2 4" xfId="1255" xr:uid="{00000000-0005-0000-0000-000073100000}"/>
    <cellStyle name="Normal 5 8 2 5" xfId="1690" xr:uid="{00000000-0005-0000-0000-000074100000}"/>
    <cellStyle name="Normal 5 8 2 6" xfId="2220" xr:uid="{00000000-0005-0000-0000-000075100000}"/>
    <cellStyle name="Normal 5 8 2 7" xfId="2747" xr:uid="{00000000-0005-0000-0000-000076100000}"/>
    <cellStyle name="Normal 5 8 2 8" xfId="3274" xr:uid="{00000000-0005-0000-0000-000077100000}"/>
    <cellStyle name="Normal 5 8 2 9" xfId="3801" xr:uid="{00000000-0005-0000-0000-000078100000}"/>
    <cellStyle name="Normal 5 8 3" xfId="253" xr:uid="{00000000-0005-0000-0000-000079100000}"/>
    <cellStyle name="Normal 5 8 3 2" xfId="516" xr:uid="{00000000-0005-0000-0000-00007A100000}"/>
    <cellStyle name="Normal 5 8 3 3" xfId="813" xr:uid="{00000000-0005-0000-0000-00007B100000}"/>
    <cellStyle name="Normal 5 8 3 4" xfId="1164" xr:uid="{00000000-0005-0000-0000-00007C100000}"/>
    <cellStyle name="Normal 5 8 3 5" xfId="1599" xr:uid="{00000000-0005-0000-0000-00007D100000}"/>
    <cellStyle name="Normal 5 8 3 6" xfId="2129" xr:uid="{00000000-0005-0000-0000-00007E100000}"/>
    <cellStyle name="Normal 5 8 3 7" xfId="2656" xr:uid="{00000000-0005-0000-0000-00007F100000}"/>
    <cellStyle name="Normal 5 8 3 8" xfId="3183" xr:uid="{00000000-0005-0000-0000-000080100000}"/>
    <cellStyle name="Normal 5 8 3 9" xfId="3710" xr:uid="{00000000-0005-0000-0000-000081100000}"/>
    <cellStyle name="Normal 5 8 4" xfId="346" xr:uid="{00000000-0005-0000-0000-000082100000}"/>
    <cellStyle name="Normal 5 8 4 2" xfId="991" xr:uid="{00000000-0005-0000-0000-000083100000}"/>
    <cellStyle name="Normal 5 8 4 3" xfId="1342" xr:uid="{00000000-0005-0000-0000-000084100000}"/>
    <cellStyle name="Normal 5 8 4 4" xfId="1777" xr:uid="{00000000-0005-0000-0000-000085100000}"/>
    <cellStyle name="Normal 5 8 4 5" xfId="2307" xr:uid="{00000000-0005-0000-0000-000086100000}"/>
    <cellStyle name="Normal 5 8 4 6" xfId="2834" xr:uid="{00000000-0005-0000-0000-000087100000}"/>
    <cellStyle name="Normal 5 8 4 7" xfId="3361" xr:uid="{00000000-0005-0000-0000-000088100000}"/>
    <cellStyle name="Normal 5 8 4 8" xfId="3888" xr:uid="{00000000-0005-0000-0000-000089100000}"/>
    <cellStyle name="Normal 5 8 5" xfId="603" xr:uid="{00000000-0005-0000-0000-00008A100000}"/>
    <cellStyle name="Normal 5 8 5 2" xfId="1426" xr:uid="{00000000-0005-0000-0000-00008B100000}"/>
    <cellStyle name="Normal 5 8 5 3" xfId="1861" xr:uid="{00000000-0005-0000-0000-00008C100000}"/>
    <cellStyle name="Normal 5 8 5 4" xfId="2391" xr:uid="{00000000-0005-0000-0000-00008D100000}"/>
    <cellStyle name="Normal 5 8 5 5" xfId="2918" xr:uid="{00000000-0005-0000-0000-00008E100000}"/>
    <cellStyle name="Normal 5 8 5 6" xfId="3445" xr:uid="{00000000-0005-0000-0000-00008F100000}"/>
    <cellStyle name="Normal 5 8 5 7" xfId="3972" xr:uid="{00000000-0005-0000-0000-000090100000}"/>
    <cellStyle name="Normal 5 8 6" xfId="724" xr:uid="{00000000-0005-0000-0000-000091100000}"/>
    <cellStyle name="Normal 5 8 6 2" xfId="4148" xr:uid="{00000000-0005-0000-0000-000092100000}"/>
    <cellStyle name="Normal 5 8 7" xfId="1075" xr:uid="{00000000-0005-0000-0000-000093100000}"/>
    <cellStyle name="Normal 5 8 8" xfId="1510" xr:uid="{00000000-0005-0000-0000-000094100000}"/>
    <cellStyle name="Normal 5 8 9" xfId="2040" xr:uid="{00000000-0005-0000-0000-000095100000}"/>
    <cellStyle name="Normal 5 9" xfId="72" xr:uid="{00000000-0005-0000-0000-000096100000}"/>
    <cellStyle name="Normal 5 9 10" xfId="2575" xr:uid="{00000000-0005-0000-0000-000097100000}"/>
    <cellStyle name="Normal 5 9 11" xfId="3102" xr:uid="{00000000-0005-0000-0000-000098100000}"/>
    <cellStyle name="Normal 5 9 12" xfId="3629" xr:uid="{00000000-0005-0000-0000-000099100000}"/>
    <cellStyle name="Normal 5 9 2" xfId="166" xr:uid="{00000000-0005-0000-0000-00009A100000}"/>
    <cellStyle name="Normal 5 9 2 2" xfId="439" xr:uid="{00000000-0005-0000-0000-00009B100000}"/>
    <cellStyle name="Normal 5 9 2 2 2" xfId="1958" xr:uid="{00000000-0005-0000-0000-00009C100000}"/>
    <cellStyle name="Normal 5 9 2 2 3" xfId="2488" xr:uid="{00000000-0005-0000-0000-00009D100000}"/>
    <cellStyle name="Normal 5 9 2 2 4" xfId="3015" xr:uid="{00000000-0005-0000-0000-00009E100000}"/>
    <cellStyle name="Normal 5 9 2 2 5" xfId="3542" xr:uid="{00000000-0005-0000-0000-00009F100000}"/>
    <cellStyle name="Normal 5 9 2 2 6" xfId="4069" xr:uid="{00000000-0005-0000-0000-0000A0100000}"/>
    <cellStyle name="Normal 5 9 2 3" xfId="912" xr:uid="{00000000-0005-0000-0000-0000A1100000}"/>
    <cellStyle name="Normal 5 9 2 4" xfId="1263" xr:uid="{00000000-0005-0000-0000-0000A2100000}"/>
    <cellStyle name="Normal 5 9 2 5" xfId="1698" xr:uid="{00000000-0005-0000-0000-0000A3100000}"/>
    <cellStyle name="Normal 5 9 2 6" xfId="2228" xr:uid="{00000000-0005-0000-0000-0000A4100000}"/>
    <cellStyle name="Normal 5 9 2 7" xfId="2755" xr:uid="{00000000-0005-0000-0000-0000A5100000}"/>
    <cellStyle name="Normal 5 9 2 8" xfId="3282" xr:uid="{00000000-0005-0000-0000-0000A6100000}"/>
    <cellStyle name="Normal 5 9 2 9" xfId="3809" xr:uid="{00000000-0005-0000-0000-0000A7100000}"/>
    <cellStyle name="Normal 5 9 3" xfId="261" xr:uid="{00000000-0005-0000-0000-0000A8100000}"/>
    <cellStyle name="Normal 5 9 3 2" xfId="524" xr:uid="{00000000-0005-0000-0000-0000A9100000}"/>
    <cellStyle name="Normal 5 9 3 3" xfId="821" xr:uid="{00000000-0005-0000-0000-0000AA100000}"/>
    <cellStyle name="Normal 5 9 3 4" xfId="1172" xr:uid="{00000000-0005-0000-0000-0000AB100000}"/>
    <cellStyle name="Normal 5 9 3 5" xfId="1607" xr:uid="{00000000-0005-0000-0000-0000AC100000}"/>
    <cellStyle name="Normal 5 9 3 6" xfId="2137" xr:uid="{00000000-0005-0000-0000-0000AD100000}"/>
    <cellStyle name="Normal 5 9 3 7" xfId="2664" xr:uid="{00000000-0005-0000-0000-0000AE100000}"/>
    <cellStyle name="Normal 5 9 3 8" xfId="3191" xr:uid="{00000000-0005-0000-0000-0000AF100000}"/>
    <cellStyle name="Normal 5 9 3 9" xfId="3718" xr:uid="{00000000-0005-0000-0000-0000B0100000}"/>
    <cellStyle name="Normal 5 9 4" xfId="354" xr:uid="{00000000-0005-0000-0000-0000B1100000}"/>
    <cellStyle name="Normal 5 9 4 2" xfId="999" xr:uid="{00000000-0005-0000-0000-0000B2100000}"/>
    <cellStyle name="Normal 5 9 4 3" xfId="1350" xr:uid="{00000000-0005-0000-0000-0000B3100000}"/>
    <cellStyle name="Normal 5 9 4 4" xfId="1785" xr:uid="{00000000-0005-0000-0000-0000B4100000}"/>
    <cellStyle name="Normal 5 9 4 5" xfId="2315" xr:uid="{00000000-0005-0000-0000-0000B5100000}"/>
    <cellStyle name="Normal 5 9 4 6" xfId="2842" xr:uid="{00000000-0005-0000-0000-0000B6100000}"/>
    <cellStyle name="Normal 5 9 4 7" xfId="3369" xr:uid="{00000000-0005-0000-0000-0000B7100000}"/>
    <cellStyle name="Normal 5 9 4 8" xfId="3896" xr:uid="{00000000-0005-0000-0000-0000B8100000}"/>
    <cellStyle name="Normal 5 9 5" xfId="611" xr:uid="{00000000-0005-0000-0000-0000B9100000}"/>
    <cellStyle name="Normal 5 9 5 2" xfId="1434" xr:uid="{00000000-0005-0000-0000-0000BA100000}"/>
    <cellStyle name="Normal 5 9 5 3" xfId="1869" xr:uid="{00000000-0005-0000-0000-0000BB100000}"/>
    <cellStyle name="Normal 5 9 5 4" xfId="2399" xr:uid="{00000000-0005-0000-0000-0000BC100000}"/>
    <cellStyle name="Normal 5 9 5 5" xfId="2926" xr:uid="{00000000-0005-0000-0000-0000BD100000}"/>
    <cellStyle name="Normal 5 9 5 6" xfId="3453" xr:uid="{00000000-0005-0000-0000-0000BE100000}"/>
    <cellStyle name="Normal 5 9 5 7" xfId="3980" xr:uid="{00000000-0005-0000-0000-0000BF100000}"/>
    <cellStyle name="Normal 5 9 6" xfId="732" xr:uid="{00000000-0005-0000-0000-0000C0100000}"/>
    <cellStyle name="Normal 5 9 6 2" xfId="4156" xr:uid="{00000000-0005-0000-0000-0000C1100000}"/>
    <cellStyle name="Normal 5 9 7" xfId="1083" xr:uid="{00000000-0005-0000-0000-0000C2100000}"/>
    <cellStyle name="Normal 5 9 8" xfId="1518" xr:uid="{00000000-0005-0000-0000-0000C3100000}"/>
    <cellStyle name="Normal 5 9 9" xfId="2048" xr:uid="{00000000-0005-0000-0000-0000C4100000}"/>
    <cellStyle name="Normal 6" xfId="12" xr:uid="{00000000-0005-0000-0000-0000C5100000}"/>
    <cellStyle name="Normal 6 2" xfId="209" xr:uid="{00000000-0005-0000-0000-0000C6100000}"/>
    <cellStyle name="Normal 6 2 2" xfId="1906" xr:uid="{00000000-0005-0000-0000-0000C7100000}"/>
    <cellStyle name="Normal 6 2 3" xfId="2436" xr:uid="{00000000-0005-0000-0000-0000C8100000}"/>
    <cellStyle name="Normal 6 2 4" xfId="2963" xr:uid="{00000000-0005-0000-0000-0000C9100000}"/>
    <cellStyle name="Normal 6 2 5" xfId="3490" xr:uid="{00000000-0005-0000-0000-0000CA100000}"/>
    <cellStyle name="Normal 6 2 6" xfId="4017" xr:uid="{00000000-0005-0000-0000-0000CB100000}"/>
    <cellStyle name="Normal 6 3" xfId="305" xr:uid="{00000000-0005-0000-0000-0000CC100000}"/>
    <cellStyle name="Normal 7" xfId="208" xr:uid="{00000000-0005-0000-0000-0000CD100000}"/>
    <cellStyle name="Normal 7 2" xfId="476" xr:uid="{00000000-0005-0000-0000-0000CE100000}"/>
    <cellStyle name="Normal 7 3" xfId="769" xr:uid="{00000000-0005-0000-0000-0000CF100000}"/>
    <cellStyle name="Normal 7 4" xfId="1120" xr:uid="{00000000-0005-0000-0000-0000D0100000}"/>
    <cellStyle name="Normal 7 5" xfId="1555" xr:uid="{00000000-0005-0000-0000-0000D1100000}"/>
    <cellStyle name="Normal 7 6" xfId="2085" xr:uid="{00000000-0005-0000-0000-0000D2100000}"/>
    <cellStyle name="Normal 7 7" xfId="2612" xr:uid="{00000000-0005-0000-0000-0000D3100000}"/>
    <cellStyle name="Normal 7 8" xfId="3139" xr:uid="{00000000-0005-0000-0000-0000D4100000}"/>
    <cellStyle name="Normal 7 9" xfId="3666" xr:uid="{00000000-0005-0000-0000-0000D5100000}"/>
    <cellStyle name="Normal 8" xfId="304" xr:uid="{00000000-0005-0000-0000-0000D6100000}"/>
    <cellStyle name="Normal 8 2" xfId="561" xr:uid="{00000000-0005-0000-0000-0000D7100000}"/>
    <cellStyle name="Normal_Composições" xfId="3" xr:uid="{00000000-0005-0000-0000-0000D8100000}"/>
    <cellStyle name="Porcentagem" xfId="2" builtinId="5"/>
    <cellStyle name="Porcentagem 2" xfId="9" xr:uid="{00000000-0005-0000-0000-0000DA100000}"/>
    <cellStyle name="Porcentagem 2 2" xfId="20" xr:uid="{00000000-0005-0000-0000-0000DB100000}"/>
    <cellStyle name="Porcentagem 3" xfId="21" xr:uid="{00000000-0005-0000-0000-0000DC100000}"/>
    <cellStyle name="Porcentagem 4" xfId="22" xr:uid="{00000000-0005-0000-0000-0000DD100000}"/>
    <cellStyle name="Porcentagem 4 10" xfId="78" xr:uid="{00000000-0005-0000-0000-0000DE100000}"/>
    <cellStyle name="Porcentagem 4 10 10" xfId="2581" xr:uid="{00000000-0005-0000-0000-0000DF100000}"/>
    <cellStyle name="Porcentagem 4 10 11" xfId="3108" xr:uid="{00000000-0005-0000-0000-0000E0100000}"/>
    <cellStyle name="Porcentagem 4 10 12" xfId="3635" xr:uid="{00000000-0005-0000-0000-0000E1100000}"/>
    <cellStyle name="Porcentagem 4 10 2" xfId="172" xr:uid="{00000000-0005-0000-0000-0000E2100000}"/>
    <cellStyle name="Porcentagem 4 10 2 2" xfId="445" xr:uid="{00000000-0005-0000-0000-0000E3100000}"/>
    <cellStyle name="Porcentagem 4 10 2 2 2" xfId="1964" xr:uid="{00000000-0005-0000-0000-0000E4100000}"/>
    <cellStyle name="Porcentagem 4 10 2 2 3" xfId="2494" xr:uid="{00000000-0005-0000-0000-0000E5100000}"/>
    <cellStyle name="Porcentagem 4 10 2 2 4" xfId="3021" xr:uid="{00000000-0005-0000-0000-0000E6100000}"/>
    <cellStyle name="Porcentagem 4 10 2 2 5" xfId="3548" xr:uid="{00000000-0005-0000-0000-0000E7100000}"/>
    <cellStyle name="Porcentagem 4 10 2 2 6" xfId="4075" xr:uid="{00000000-0005-0000-0000-0000E8100000}"/>
    <cellStyle name="Porcentagem 4 10 2 3" xfId="918" xr:uid="{00000000-0005-0000-0000-0000E9100000}"/>
    <cellStyle name="Porcentagem 4 10 2 4" xfId="1269" xr:uid="{00000000-0005-0000-0000-0000EA100000}"/>
    <cellStyle name="Porcentagem 4 10 2 5" xfId="1704" xr:uid="{00000000-0005-0000-0000-0000EB100000}"/>
    <cellStyle name="Porcentagem 4 10 2 6" xfId="2234" xr:uid="{00000000-0005-0000-0000-0000EC100000}"/>
    <cellStyle name="Porcentagem 4 10 2 7" xfId="2761" xr:uid="{00000000-0005-0000-0000-0000ED100000}"/>
    <cellStyle name="Porcentagem 4 10 2 8" xfId="3288" xr:uid="{00000000-0005-0000-0000-0000EE100000}"/>
    <cellStyle name="Porcentagem 4 10 2 9" xfId="3815" xr:uid="{00000000-0005-0000-0000-0000EF100000}"/>
    <cellStyle name="Porcentagem 4 10 3" xfId="267" xr:uid="{00000000-0005-0000-0000-0000F0100000}"/>
    <cellStyle name="Porcentagem 4 10 3 2" xfId="530" xr:uid="{00000000-0005-0000-0000-0000F1100000}"/>
    <cellStyle name="Porcentagem 4 10 3 3" xfId="827" xr:uid="{00000000-0005-0000-0000-0000F2100000}"/>
    <cellStyle name="Porcentagem 4 10 3 4" xfId="1178" xr:uid="{00000000-0005-0000-0000-0000F3100000}"/>
    <cellStyle name="Porcentagem 4 10 3 5" xfId="1613" xr:uid="{00000000-0005-0000-0000-0000F4100000}"/>
    <cellStyle name="Porcentagem 4 10 3 6" xfId="2143" xr:uid="{00000000-0005-0000-0000-0000F5100000}"/>
    <cellStyle name="Porcentagem 4 10 3 7" xfId="2670" xr:uid="{00000000-0005-0000-0000-0000F6100000}"/>
    <cellStyle name="Porcentagem 4 10 3 8" xfId="3197" xr:uid="{00000000-0005-0000-0000-0000F7100000}"/>
    <cellStyle name="Porcentagem 4 10 3 9" xfId="3724" xr:uid="{00000000-0005-0000-0000-0000F8100000}"/>
    <cellStyle name="Porcentagem 4 10 4" xfId="360" xr:uid="{00000000-0005-0000-0000-0000F9100000}"/>
    <cellStyle name="Porcentagem 4 10 4 2" xfId="1005" xr:uid="{00000000-0005-0000-0000-0000FA100000}"/>
    <cellStyle name="Porcentagem 4 10 4 3" xfId="1356" xr:uid="{00000000-0005-0000-0000-0000FB100000}"/>
    <cellStyle name="Porcentagem 4 10 4 4" xfId="1791" xr:uid="{00000000-0005-0000-0000-0000FC100000}"/>
    <cellStyle name="Porcentagem 4 10 4 5" xfId="2321" xr:uid="{00000000-0005-0000-0000-0000FD100000}"/>
    <cellStyle name="Porcentagem 4 10 4 6" xfId="2848" xr:uid="{00000000-0005-0000-0000-0000FE100000}"/>
    <cellStyle name="Porcentagem 4 10 4 7" xfId="3375" xr:uid="{00000000-0005-0000-0000-0000FF100000}"/>
    <cellStyle name="Porcentagem 4 10 4 8" xfId="3902" xr:uid="{00000000-0005-0000-0000-000000110000}"/>
    <cellStyle name="Porcentagem 4 10 5" xfId="617" xr:uid="{00000000-0005-0000-0000-000001110000}"/>
    <cellStyle name="Porcentagem 4 10 5 2" xfId="1440" xr:uid="{00000000-0005-0000-0000-000002110000}"/>
    <cellStyle name="Porcentagem 4 10 5 3" xfId="1875" xr:uid="{00000000-0005-0000-0000-000003110000}"/>
    <cellStyle name="Porcentagem 4 10 5 4" xfId="2405" xr:uid="{00000000-0005-0000-0000-000004110000}"/>
    <cellStyle name="Porcentagem 4 10 5 5" xfId="2932" xr:uid="{00000000-0005-0000-0000-000005110000}"/>
    <cellStyle name="Porcentagem 4 10 5 6" xfId="3459" xr:uid="{00000000-0005-0000-0000-000006110000}"/>
    <cellStyle name="Porcentagem 4 10 5 7" xfId="3986" xr:uid="{00000000-0005-0000-0000-000007110000}"/>
    <cellStyle name="Porcentagem 4 10 6" xfId="738" xr:uid="{00000000-0005-0000-0000-000008110000}"/>
    <cellStyle name="Porcentagem 4 10 6 2" xfId="4162" xr:uid="{00000000-0005-0000-0000-000009110000}"/>
    <cellStyle name="Porcentagem 4 10 7" xfId="1089" xr:uid="{00000000-0005-0000-0000-00000A110000}"/>
    <cellStyle name="Porcentagem 4 10 8" xfId="1524" xr:uid="{00000000-0005-0000-0000-00000B110000}"/>
    <cellStyle name="Porcentagem 4 10 9" xfId="2054" xr:uid="{00000000-0005-0000-0000-00000C110000}"/>
    <cellStyle name="Porcentagem 4 11" xfId="86" xr:uid="{00000000-0005-0000-0000-00000D110000}"/>
    <cellStyle name="Porcentagem 4 11 10" xfId="2589" xr:uid="{00000000-0005-0000-0000-00000E110000}"/>
    <cellStyle name="Porcentagem 4 11 11" xfId="3116" xr:uid="{00000000-0005-0000-0000-00000F110000}"/>
    <cellStyle name="Porcentagem 4 11 12" xfId="3643" xr:uid="{00000000-0005-0000-0000-000010110000}"/>
    <cellStyle name="Porcentagem 4 11 2" xfId="180" xr:uid="{00000000-0005-0000-0000-000011110000}"/>
    <cellStyle name="Porcentagem 4 11 2 2" xfId="453" xr:uid="{00000000-0005-0000-0000-000012110000}"/>
    <cellStyle name="Porcentagem 4 11 2 2 2" xfId="1972" xr:uid="{00000000-0005-0000-0000-000013110000}"/>
    <cellStyle name="Porcentagem 4 11 2 2 3" xfId="2502" xr:uid="{00000000-0005-0000-0000-000014110000}"/>
    <cellStyle name="Porcentagem 4 11 2 2 4" xfId="3029" xr:uid="{00000000-0005-0000-0000-000015110000}"/>
    <cellStyle name="Porcentagem 4 11 2 2 5" xfId="3556" xr:uid="{00000000-0005-0000-0000-000016110000}"/>
    <cellStyle name="Porcentagem 4 11 2 2 6" xfId="4083" xr:uid="{00000000-0005-0000-0000-000017110000}"/>
    <cellStyle name="Porcentagem 4 11 2 3" xfId="926" xr:uid="{00000000-0005-0000-0000-000018110000}"/>
    <cellStyle name="Porcentagem 4 11 2 4" xfId="1277" xr:uid="{00000000-0005-0000-0000-000019110000}"/>
    <cellStyle name="Porcentagem 4 11 2 5" xfId="1712" xr:uid="{00000000-0005-0000-0000-00001A110000}"/>
    <cellStyle name="Porcentagem 4 11 2 6" xfId="2242" xr:uid="{00000000-0005-0000-0000-00001B110000}"/>
    <cellStyle name="Porcentagem 4 11 2 7" xfId="2769" xr:uid="{00000000-0005-0000-0000-00001C110000}"/>
    <cellStyle name="Porcentagem 4 11 2 8" xfId="3296" xr:uid="{00000000-0005-0000-0000-00001D110000}"/>
    <cellStyle name="Porcentagem 4 11 2 9" xfId="3823" xr:uid="{00000000-0005-0000-0000-00001E110000}"/>
    <cellStyle name="Porcentagem 4 11 3" xfId="275" xr:uid="{00000000-0005-0000-0000-00001F110000}"/>
    <cellStyle name="Porcentagem 4 11 3 2" xfId="538" xr:uid="{00000000-0005-0000-0000-000020110000}"/>
    <cellStyle name="Porcentagem 4 11 3 3" xfId="835" xr:uid="{00000000-0005-0000-0000-000021110000}"/>
    <cellStyle name="Porcentagem 4 11 3 4" xfId="1186" xr:uid="{00000000-0005-0000-0000-000022110000}"/>
    <cellStyle name="Porcentagem 4 11 3 5" xfId="1621" xr:uid="{00000000-0005-0000-0000-000023110000}"/>
    <cellStyle name="Porcentagem 4 11 3 6" xfId="2151" xr:uid="{00000000-0005-0000-0000-000024110000}"/>
    <cellStyle name="Porcentagem 4 11 3 7" xfId="2678" xr:uid="{00000000-0005-0000-0000-000025110000}"/>
    <cellStyle name="Porcentagem 4 11 3 8" xfId="3205" xr:uid="{00000000-0005-0000-0000-000026110000}"/>
    <cellStyle name="Porcentagem 4 11 3 9" xfId="3732" xr:uid="{00000000-0005-0000-0000-000027110000}"/>
    <cellStyle name="Porcentagem 4 11 4" xfId="368" xr:uid="{00000000-0005-0000-0000-000028110000}"/>
    <cellStyle name="Porcentagem 4 11 4 2" xfId="1013" xr:uid="{00000000-0005-0000-0000-000029110000}"/>
    <cellStyle name="Porcentagem 4 11 4 3" xfId="1364" xr:uid="{00000000-0005-0000-0000-00002A110000}"/>
    <cellStyle name="Porcentagem 4 11 4 4" xfId="1799" xr:uid="{00000000-0005-0000-0000-00002B110000}"/>
    <cellStyle name="Porcentagem 4 11 4 5" xfId="2329" xr:uid="{00000000-0005-0000-0000-00002C110000}"/>
    <cellStyle name="Porcentagem 4 11 4 6" xfId="2856" xr:uid="{00000000-0005-0000-0000-00002D110000}"/>
    <cellStyle name="Porcentagem 4 11 4 7" xfId="3383" xr:uid="{00000000-0005-0000-0000-00002E110000}"/>
    <cellStyle name="Porcentagem 4 11 4 8" xfId="3910" xr:uid="{00000000-0005-0000-0000-00002F110000}"/>
    <cellStyle name="Porcentagem 4 11 5" xfId="625" xr:uid="{00000000-0005-0000-0000-000030110000}"/>
    <cellStyle name="Porcentagem 4 11 5 2" xfId="1448" xr:uid="{00000000-0005-0000-0000-000031110000}"/>
    <cellStyle name="Porcentagem 4 11 5 3" xfId="1883" xr:uid="{00000000-0005-0000-0000-000032110000}"/>
    <cellStyle name="Porcentagem 4 11 5 4" xfId="2413" xr:uid="{00000000-0005-0000-0000-000033110000}"/>
    <cellStyle name="Porcentagem 4 11 5 5" xfId="2940" xr:uid="{00000000-0005-0000-0000-000034110000}"/>
    <cellStyle name="Porcentagem 4 11 5 6" xfId="3467" xr:uid="{00000000-0005-0000-0000-000035110000}"/>
    <cellStyle name="Porcentagem 4 11 5 7" xfId="3994" xr:uid="{00000000-0005-0000-0000-000036110000}"/>
    <cellStyle name="Porcentagem 4 11 6" xfId="746" xr:uid="{00000000-0005-0000-0000-000037110000}"/>
    <cellStyle name="Porcentagem 4 11 6 2" xfId="4170" xr:uid="{00000000-0005-0000-0000-000038110000}"/>
    <cellStyle name="Porcentagem 4 11 7" xfId="1097" xr:uid="{00000000-0005-0000-0000-000039110000}"/>
    <cellStyle name="Porcentagem 4 11 8" xfId="1532" xr:uid="{00000000-0005-0000-0000-00003A110000}"/>
    <cellStyle name="Porcentagem 4 11 9" xfId="2062" xr:uid="{00000000-0005-0000-0000-00003B110000}"/>
    <cellStyle name="Porcentagem 4 12" xfId="94" xr:uid="{00000000-0005-0000-0000-00003C110000}"/>
    <cellStyle name="Porcentagem 4 12 10" xfId="2597" xr:uid="{00000000-0005-0000-0000-00003D110000}"/>
    <cellStyle name="Porcentagem 4 12 11" xfId="3124" xr:uid="{00000000-0005-0000-0000-00003E110000}"/>
    <cellStyle name="Porcentagem 4 12 12" xfId="3651" xr:uid="{00000000-0005-0000-0000-00003F110000}"/>
    <cellStyle name="Porcentagem 4 12 2" xfId="188" xr:uid="{00000000-0005-0000-0000-000040110000}"/>
    <cellStyle name="Porcentagem 4 12 2 2" xfId="461" xr:uid="{00000000-0005-0000-0000-000041110000}"/>
    <cellStyle name="Porcentagem 4 12 2 2 2" xfId="1980" xr:uid="{00000000-0005-0000-0000-000042110000}"/>
    <cellStyle name="Porcentagem 4 12 2 2 3" xfId="2510" xr:uid="{00000000-0005-0000-0000-000043110000}"/>
    <cellStyle name="Porcentagem 4 12 2 2 4" xfId="3037" xr:uid="{00000000-0005-0000-0000-000044110000}"/>
    <cellStyle name="Porcentagem 4 12 2 2 5" xfId="3564" xr:uid="{00000000-0005-0000-0000-000045110000}"/>
    <cellStyle name="Porcentagem 4 12 2 2 6" xfId="4091" xr:uid="{00000000-0005-0000-0000-000046110000}"/>
    <cellStyle name="Porcentagem 4 12 2 3" xfId="934" xr:uid="{00000000-0005-0000-0000-000047110000}"/>
    <cellStyle name="Porcentagem 4 12 2 4" xfId="1285" xr:uid="{00000000-0005-0000-0000-000048110000}"/>
    <cellStyle name="Porcentagem 4 12 2 5" xfId="1720" xr:uid="{00000000-0005-0000-0000-000049110000}"/>
    <cellStyle name="Porcentagem 4 12 2 6" xfId="2250" xr:uid="{00000000-0005-0000-0000-00004A110000}"/>
    <cellStyle name="Porcentagem 4 12 2 7" xfId="2777" xr:uid="{00000000-0005-0000-0000-00004B110000}"/>
    <cellStyle name="Porcentagem 4 12 2 8" xfId="3304" xr:uid="{00000000-0005-0000-0000-00004C110000}"/>
    <cellStyle name="Porcentagem 4 12 2 9" xfId="3831" xr:uid="{00000000-0005-0000-0000-00004D110000}"/>
    <cellStyle name="Porcentagem 4 12 3" xfId="283" xr:uid="{00000000-0005-0000-0000-00004E110000}"/>
    <cellStyle name="Porcentagem 4 12 3 2" xfId="546" xr:uid="{00000000-0005-0000-0000-00004F110000}"/>
    <cellStyle name="Porcentagem 4 12 3 3" xfId="843" xr:uid="{00000000-0005-0000-0000-000050110000}"/>
    <cellStyle name="Porcentagem 4 12 3 4" xfId="1194" xr:uid="{00000000-0005-0000-0000-000051110000}"/>
    <cellStyle name="Porcentagem 4 12 3 5" xfId="1629" xr:uid="{00000000-0005-0000-0000-000052110000}"/>
    <cellStyle name="Porcentagem 4 12 3 6" xfId="2159" xr:uid="{00000000-0005-0000-0000-000053110000}"/>
    <cellStyle name="Porcentagem 4 12 3 7" xfId="2686" xr:uid="{00000000-0005-0000-0000-000054110000}"/>
    <cellStyle name="Porcentagem 4 12 3 8" xfId="3213" xr:uid="{00000000-0005-0000-0000-000055110000}"/>
    <cellStyle name="Porcentagem 4 12 3 9" xfId="3740" xr:uid="{00000000-0005-0000-0000-000056110000}"/>
    <cellStyle name="Porcentagem 4 12 4" xfId="376" xr:uid="{00000000-0005-0000-0000-000057110000}"/>
    <cellStyle name="Porcentagem 4 12 4 2" xfId="1021" xr:uid="{00000000-0005-0000-0000-000058110000}"/>
    <cellStyle name="Porcentagem 4 12 4 3" xfId="1372" xr:uid="{00000000-0005-0000-0000-000059110000}"/>
    <cellStyle name="Porcentagem 4 12 4 4" xfId="1807" xr:uid="{00000000-0005-0000-0000-00005A110000}"/>
    <cellStyle name="Porcentagem 4 12 4 5" xfId="2337" xr:uid="{00000000-0005-0000-0000-00005B110000}"/>
    <cellStyle name="Porcentagem 4 12 4 6" xfId="2864" xr:uid="{00000000-0005-0000-0000-00005C110000}"/>
    <cellStyle name="Porcentagem 4 12 4 7" xfId="3391" xr:uid="{00000000-0005-0000-0000-00005D110000}"/>
    <cellStyle name="Porcentagem 4 12 4 8" xfId="3918" xr:uid="{00000000-0005-0000-0000-00005E110000}"/>
    <cellStyle name="Porcentagem 4 12 5" xfId="633" xr:uid="{00000000-0005-0000-0000-00005F110000}"/>
    <cellStyle name="Porcentagem 4 12 5 2" xfId="1456" xr:uid="{00000000-0005-0000-0000-000060110000}"/>
    <cellStyle name="Porcentagem 4 12 5 3" xfId="1891" xr:uid="{00000000-0005-0000-0000-000061110000}"/>
    <cellStyle name="Porcentagem 4 12 5 4" xfId="2421" xr:uid="{00000000-0005-0000-0000-000062110000}"/>
    <cellStyle name="Porcentagem 4 12 5 5" xfId="2948" xr:uid="{00000000-0005-0000-0000-000063110000}"/>
    <cellStyle name="Porcentagem 4 12 5 6" xfId="3475" xr:uid="{00000000-0005-0000-0000-000064110000}"/>
    <cellStyle name="Porcentagem 4 12 5 7" xfId="4002" xr:uid="{00000000-0005-0000-0000-000065110000}"/>
    <cellStyle name="Porcentagem 4 12 6" xfId="754" xr:uid="{00000000-0005-0000-0000-000066110000}"/>
    <cellStyle name="Porcentagem 4 12 6 2" xfId="4178" xr:uid="{00000000-0005-0000-0000-000067110000}"/>
    <cellStyle name="Porcentagem 4 12 7" xfId="1105" xr:uid="{00000000-0005-0000-0000-000068110000}"/>
    <cellStyle name="Porcentagem 4 12 8" xfId="1540" xr:uid="{00000000-0005-0000-0000-000069110000}"/>
    <cellStyle name="Porcentagem 4 12 9" xfId="2070" xr:uid="{00000000-0005-0000-0000-00006A110000}"/>
    <cellStyle name="Porcentagem 4 13" xfId="102" xr:uid="{00000000-0005-0000-0000-00006B110000}"/>
    <cellStyle name="Porcentagem 4 13 10" xfId="2605" xr:uid="{00000000-0005-0000-0000-00006C110000}"/>
    <cellStyle name="Porcentagem 4 13 11" xfId="3132" xr:uid="{00000000-0005-0000-0000-00006D110000}"/>
    <cellStyle name="Porcentagem 4 13 12" xfId="3659" xr:uid="{00000000-0005-0000-0000-00006E110000}"/>
    <cellStyle name="Porcentagem 4 13 2" xfId="196" xr:uid="{00000000-0005-0000-0000-00006F110000}"/>
    <cellStyle name="Porcentagem 4 13 2 2" xfId="469" xr:uid="{00000000-0005-0000-0000-000070110000}"/>
    <cellStyle name="Porcentagem 4 13 2 2 2" xfId="1988" xr:uid="{00000000-0005-0000-0000-000071110000}"/>
    <cellStyle name="Porcentagem 4 13 2 2 3" xfId="2518" xr:uid="{00000000-0005-0000-0000-000072110000}"/>
    <cellStyle name="Porcentagem 4 13 2 2 4" xfId="3045" xr:uid="{00000000-0005-0000-0000-000073110000}"/>
    <cellStyle name="Porcentagem 4 13 2 2 5" xfId="3572" xr:uid="{00000000-0005-0000-0000-000074110000}"/>
    <cellStyle name="Porcentagem 4 13 2 2 6" xfId="4099" xr:uid="{00000000-0005-0000-0000-000075110000}"/>
    <cellStyle name="Porcentagem 4 13 2 3" xfId="942" xr:uid="{00000000-0005-0000-0000-000076110000}"/>
    <cellStyle name="Porcentagem 4 13 2 4" xfId="1293" xr:uid="{00000000-0005-0000-0000-000077110000}"/>
    <cellStyle name="Porcentagem 4 13 2 5" xfId="1728" xr:uid="{00000000-0005-0000-0000-000078110000}"/>
    <cellStyle name="Porcentagem 4 13 2 6" xfId="2258" xr:uid="{00000000-0005-0000-0000-000079110000}"/>
    <cellStyle name="Porcentagem 4 13 2 7" xfId="2785" xr:uid="{00000000-0005-0000-0000-00007A110000}"/>
    <cellStyle name="Porcentagem 4 13 2 8" xfId="3312" xr:uid="{00000000-0005-0000-0000-00007B110000}"/>
    <cellStyle name="Porcentagem 4 13 2 9" xfId="3839" xr:uid="{00000000-0005-0000-0000-00007C110000}"/>
    <cellStyle name="Porcentagem 4 13 3" xfId="291" xr:uid="{00000000-0005-0000-0000-00007D110000}"/>
    <cellStyle name="Porcentagem 4 13 3 2" xfId="554" xr:uid="{00000000-0005-0000-0000-00007E110000}"/>
    <cellStyle name="Porcentagem 4 13 3 3" xfId="851" xr:uid="{00000000-0005-0000-0000-00007F110000}"/>
    <cellStyle name="Porcentagem 4 13 3 4" xfId="1202" xr:uid="{00000000-0005-0000-0000-000080110000}"/>
    <cellStyle name="Porcentagem 4 13 3 5" xfId="1637" xr:uid="{00000000-0005-0000-0000-000081110000}"/>
    <cellStyle name="Porcentagem 4 13 3 6" xfId="2167" xr:uid="{00000000-0005-0000-0000-000082110000}"/>
    <cellStyle name="Porcentagem 4 13 3 7" xfId="2694" xr:uid="{00000000-0005-0000-0000-000083110000}"/>
    <cellStyle name="Porcentagem 4 13 3 8" xfId="3221" xr:uid="{00000000-0005-0000-0000-000084110000}"/>
    <cellStyle name="Porcentagem 4 13 3 9" xfId="3748" xr:uid="{00000000-0005-0000-0000-000085110000}"/>
    <cellStyle name="Porcentagem 4 13 4" xfId="384" xr:uid="{00000000-0005-0000-0000-000086110000}"/>
    <cellStyle name="Porcentagem 4 13 4 2" xfId="1029" xr:uid="{00000000-0005-0000-0000-000087110000}"/>
    <cellStyle name="Porcentagem 4 13 4 3" xfId="1380" xr:uid="{00000000-0005-0000-0000-000088110000}"/>
    <cellStyle name="Porcentagem 4 13 4 4" xfId="1815" xr:uid="{00000000-0005-0000-0000-000089110000}"/>
    <cellStyle name="Porcentagem 4 13 4 5" xfId="2345" xr:uid="{00000000-0005-0000-0000-00008A110000}"/>
    <cellStyle name="Porcentagem 4 13 4 6" xfId="2872" xr:uid="{00000000-0005-0000-0000-00008B110000}"/>
    <cellStyle name="Porcentagem 4 13 4 7" xfId="3399" xr:uid="{00000000-0005-0000-0000-00008C110000}"/>
    <cellStyle name="Porcentagem 4 13 4 8" xfId="3926" xr:uid="{00000000-0005-0000-0000-00008D110000}"/>
    <cellStyle name="Porcentagem 4 13 5" xfId="641" xr:uid="{00000000-0005-0000-0000-00008E110000}"/>
    <cellStyle name="Porcentagem 4 13 5 2" xfId="1464" xr:uid="{00000000-0005-0000-0000-00008F110000}"/>
    <cellStyle name="Porcentagem 4 13 5 3" xfId="1899" xr:uid="{00000000-0005-0000-0000-000090110000}"/>
    <cellStyle name="Porcentagem 4 13 5 4" xfId="2429" xr:uid="{00000000-0005-0000-0000-000091110000}"/>
    <cellStyle name="Porcentagem 4 13 5 5" xfId="2956" xr:uid="{00000000-0005-0000-0000-000092110000}"/>
    <cellStyle name="Porcentagem 4 13 5 6" xfId="3483" xr:uid="{00000000-0005-0000-0000-000093110000}"/>
    <cellStyle name="Porcentagem 4 13 5 7" xfId="4010" xr:uid="{00000000-0005-0000-0000-000094110000}"/>
    <cellStyle name="Porcentagem 4 13 6" xfId="762" xr:uid="{00000000-0005-0000-0000-000095110000}"/>
    <cellStyle name="Porcentagem 4 13 6 2" xfId="4186" xr:uid="{00000000-0005-0000-0000-000096110000}"/>
    <cellStyle name="Porcentagem 4 13 7" xfId="1113" xr:uid="{00000000-0005-0000-0000-000097110000}"/>
    <cellStyle name="Porcentagem 4 13 8" xfId="1548" xr:uid="{00000000-0005-0000-0000-000098110000}"/>
    <cellStyle name="Porcentagem 4 13 9" xfId="2078" xr:uid="{00000000-0005-0000-0000-000099110000}"/>
    <cellStyle name="Porcentagem 4 14" xfId="34" xr:uid="{00000000-0005-0000-0000-00009A110000}"/>
    <cellStyle name="Porcentagem 4 14 10" xfId="2537" xr:uid="{00000000-0005-0000-0000-00009B110000}"/>
    <cellStyle name="Porcentagem 4 14 11" xfId="3064" xr:uid="{00000000-0005-0000-0000-00009C110000}"/>
    <cellStyle name="Porcentagem 4 14 12" xfId="3591" xr:uid="{00000000-0005-0000-0000-00009D110000}"/>
    <cellStyle name="Porcentagem 4 14 2" xfId="128" xr:uid="{00000000-0005-0000-0000-00009E110000}"/>
    <cellStyle name="Porcentagem 4 14 2 2" xfId="401" xr:uid="{00000000-0005-0000-0000-00009F110000}"/>
    <cellStyle name="Porcentagem 4 14 2 2 2" xfId="1920" xr:uid="{00000000-0005-0000-0000-0000A0110000}"/>
    <cellStyle name="Porcentagem 4 14 2 2 3" xfId="2450" xr:uid="{00000000-0005-0000-0000-0000A1110000}"/>
    <cellStyle name="Porcentagem 4 14 2 2 4" xfId="2977" xr:uid="{00000000-0005-0000-0000-0000A2110000}"/>
    <cellStyle name="Porcentagem 4 14 2 2 5" xfId="3504" xr:uid="{00000000-0005-0000-0000-0000A3110000}"/>
    <cellStyle name="Porcentagem 4 14 2 2 6" xfId="4031" xr:uid="{00000000-0005-0000-0000-0000A4110000}"/>
    <cellStyle name="Porcentagem 4 14 2 3" xfId="874" xr:uid="{00000000-0005-0000-0000-0000A5110000}"/>
    <cellStyle name="Porcentagem 4 14 2 4" xfId="1225" xr:uid="{00000000-0005-0000-0000-0000A6110000}"/>
    <cellStyle name="Porcentagem 4 14 2 5" xfId="1660" xr:uid="{00000000-0005-0000-0000-0000A7110000}"/>
    <cellStyle name="Porcentagem 4 14 2 6" xfId="2190" xr:uid="{00000000-0005-0000-0000-0000A8110000}"/>
    <cellStyle name="Porcentagem 4 14 2 7" xfId="2717" xr:uid="{00000000-0005-0000-0000-0000A9110000}"/>
    <cellStyle name="Porcentagem 4 14 2 8" xfId="3244" xr:uid="{00000000-0005-0000-0000-0000AA110000}"/>
    <cellStyle name="Porcentagem 4 14 2 9" xfId="3771" xr:uid="{00000000-0005-0000-0000-0000AB110000}"/>
    <cellStyle name="Porcentagem 4 14 3" xfId="223" xr:uid="{00000000-0005-0000-0000-0000AC110000}"/>
    <cellStyle name="Porcentagem 4 14 3 2" xfId="486" xr:uid="{00000000-0005-0000-0000-0000AD110000}"/>
    <cellStyle name="Porcentagem 4 14 3 3" xfId="783" xr:uid="{00000000-0005-0000-0000-0000AE110000}"/>
    <cellStyle name="Porcentagem 4 14 3 4" xfId="1134" xr:uid="{00000000-0005-0000-0000-0000AF110000}"/>
    <cellStyle name="Porcentagem 4 14 3 5" xfId="1569" xr:uid="{00000000-0005-0000-0000-0000B0110000}"/>
    <cellStyle name="Porcentagem 4 14 3 6" xfId="2099" xr:uid="{00000000-0005-0000-0000-0000B1110000}"/>
    <cellStyle name="Porcentagem 4 14 3 7" xfId="2626" xr:uid="{00000000-0005-0000-0000-0000B2110000}"/>
    <cellStyle name="Porcentagem 4 14 3 8" xfId="3153" xr:uid="{00000000-0005-0000-0000-0000B3110000}"/>
    <cellStyle name="Porcentagem 4 14 3 9" xfId="3680" xr:uid="{00000000-0005-0000-0000-0000B4110000}"/>
    <cellStyle name="Porcentagem 4 14 4" xfId="316" xr:uid="{00000000-0005-0000-0000-0000B5110000}"/>
    <cellStyle name="Porcentagem 4 14 4 2" xfId="961" xr:uid="{00000000-0005-0000-0000-0000B6110000}"/>
    <cellStyle name="Porcentagem 4 14 4 3" xfId="1312" xr:uid="{00000000-0005-0000-0000-0000B7110000}"/>
    <cellStyle name="Porcentagem 4 14 4 4" xfId="1747" xr:uid="{00000000-0005-0000-0000-0000B8110000}"/>
    <cellStyle name="Porcentagem 4 14 4 5" xfId="2277" xr:uid="{00000000-0005-0000-0000-0000B9110000}"/>
    <cellStyle name="Porcentagem 4 14 4 6" xfId="2804" xr:uid="{00000000-0005-0000-0000-0000BA110000}"/>
    <cellStyle name="Porcentagem 4 14 4 7" xfId="3331" xr:uid="{00000000-0005-0000-0000-0000BB110000}"/>
    <cellStyle name="Porcentagem 4 14 4 8" xfId="3858" xr:uid="{00000000-0005-0000-0000-0000BC110000}"/>
    <cellStyle name="Porcentagem 4 14 5" xfId="573" xr:uid="{00000000-0005-0000-0000-0000BD110000}"/>
    <cellStyle name="Porcentagem 4 14 5 2" xfId="1396" xr:uid="{00000000-0005-0000-0000-0000BE110000}"/>
    <cellStyle name="Porcentagem 4 14 5 3" xfId="1831" xr:uid="{00000000-0005-0000-0000-0000BF110000}"/>
    <cellStyle name="Porcentagem 4 14 5 4" xfId="2361" xr:uid="{00000000-0005-0000-0000-0000C0110000}"/>
    <cellStyle name="Porcentagem 4 14 5 5" xfId="2888" xr:uid="{00000000-0005-0000-0000-0000C1110000}"/>
    <cellStyle name="Porcentagem 4 14 5 6" xfId="3415" xr:uid="{00000000-0005-0000-0000-0000C2110000}"/>
    <cellStyle name="Porcentagem 4 14 5 7" xfId="3942" xr:uid="{00000000-0005-0000-0000-0000C3110000}"/>
    <cellStyle name="Porcentagem 4 14 6" xfId="694" xr:uid="{00000000-0005-0000-0000-0000C4110000}"/>
    <cellStyle name="Porcentagem 4 14 6 2" xfId="4118" xr:uid="{00000000-0005-0000-0000-0000C5110000}"/>
    <cellStyle name="Porcentagem 4 14 7" xfId="1045" xr:uid="{00000000-0005-0000-0000-0000C6110000}"/>
    <cellStyle name="Porcentagem 4 14 8" xfId="1480" xr:uid="{00000000-0005-0000-0000-0000C7110000}"/>
    <cellStyle name="Porcentagem 4 14 9" xfId="2010" xr:uid="{00000000-0005-0000-0000-0000C8110000}"/>
    <cellStyle name="Porcentagem 4 15" xfId="106" xr:uid="{00000000-0005-0000-0000-0000C9110000}"/>
    <cellStyle name="Porcentagem 4 15 10" xfId="2609" xr:uid="{00000000-0005-0000-0000-0000CA110000}"/>
    <cellStyle name="Porcentagem 4 15 11" xfId="3136" xr:uid="{00000000-0005-0000-0000-0000CB110000}"/>
    <cellStyle name="Porcentagem 4 15 12" xfId="3663" xr:uid="{00000000-0005-0000-0000-0000CC110000}"/>
    <cellStyle name="Porcentagem 4 15 2" xfId="200" xr:uid="{00000000-0005-0000-0000-0000CD110000}"/>
    <cellStyle name="Porcentagem 4 15 2 2" xfId="473" xr:uid="{00000000-0005-0000-0000-0000CE110000}"/>
    <cellStyle name="Porcentagem 4 15 2 2 2" xfId="1992" xr:uid="{00000000-0005-0000-0000-0000CF110000}"/>
    <cellStyle name="Porcentagem 4 15 2 2 3" xfId="2522" xr:uid="{00000000-0005-0000-0000-0000D0110000}"/>
    <cellStyle name="Porcentagem 4 15 2 2 4" xfId="3049" xr:uid="{00000000-0005-0000-0000-0000D1110000}"/>
    <cellStyle name="Porcentagem 4 15 2 2 5" xfId="3576" xr:uid="{00000000-0005-0000-0000-0000D2110000}"/>
    <cellStyle name="Porcentagem 4 15 2 2 6" xfId="4103" xr:uid="{00000000-0005-0000-0000-0000D3110000}"/>
    <cellStyle name="Porcentagem 4 15 2 3" xfId="946" xr:uid="{00000000-0005-0000-0000-0000D4110000}"/>
    <cellStyle name="Porcentagem 4 15 2 4" xfId="1297" xr:uid="{00000000-0005-0000-0000-0000D5110000}"/>
    <cellStyle name="Porcentagem 4 15 2 5" xfId="1732" xr:uid="{00000000-0005-0000-0000-0000D6110000}"/>
    <cellStyle name="Porcentagem 4 15 2 6" xfId="2262" xr:uid="{00000000-0005-0000-0000-0000D7110000}"/>
    <cellStyle name="Porcentagem 4 15 2 7" xfId="2789" xr:uid="{00000000-0005-0000-0000-0000D8110000}"/>
    <cellStyle name="Porcentagem 4 15 2 8" xfId="3316" xr:uid="{00000000-0005-0000-0000-0000D9110000}"/>
    <cellStyle name="Porcentagem 4 15 2 9" xfId="3843" xr:uid="{00000000-0005-0000-0000-0000DA110000}"/>
    <cellStyle name="Porcentagem 4 15 3" xfId="295" xr:uid="{00000000-0005-0000-0000-0000DB110000}"/>
    <cellStyle name="Porcentagem 4 15 3 2" xfId="558" xr:uid="{00000000-0005-0000-0000-0000DC110000}"/>
    <cellStyle name="Porcentagem 4 15 3 3" xfId="855" xr:uid="{00000000-0005-0000-0000-0000DD110000}"/>
    <cellStyle name="Porcentagem 4 15 3 4" xfId="1206" xr:uid="{00000000-0005-0000-0000-0000DE110000}"/>
    <cellStyle name="Porcentagem 4 15 3 5" xfId="1641" xr:uid="{00000000-0005-0000-0000-0000DF110000}"/>
    <cellStyle name="Porcentagem 4 15 3 6" xfId="2171" xr:uid="{00000000-0005-0000-0000-0000E0110000}"/>
    <cellStyle name="Porcentagem 4 15 3 7" xfId="2698" xr:uid="{00000000-0005-0000-0000-0000E1110000}"/>
    <cellStyle name="Porcentagem 4 15 3 8" xfId="3225" xr:uid="{00000000-0005-0000-0000-0000E2110000}"/>
    <cellStyle name="Porcentagem 4 15 3 9" xfId="3752" xr:uid="{00000000-0005-0000-0000-0000E3110000}"/>
    <cellStyle name="Porcentagem 4 15 4" xfId="388" xr:uid="{00000000-0005-0000-0000-0000E4110000}"/>
    <cellStyle name="Porcentagem 4 15 4 2" xfId="1033" xr:uid="{00000000-0005-0000-0000-0000E5110000}"/>
    <cellStyle name="Porcentagem 4 15 4 3" xfId="1384" xr:uid="{00000000-0005-0000-0000-0000E6110000}"/>
    <cellStyle name="Porcentagem 4 15 4 4" xfId="1819" xr:uid="{00000000-0005-0000-0000-0000E7110000}"/>
    <cellStyle name="Porcentagem 4 15 4 5" xfId="2349" xr:uid="{00000000-0005-0000-0000-0000E8110000}"/>
    <cellStyle name="Porcentagem 4 15 4 6" xfId="2876" xr:uid="{00000000-0005-0000-0000-0000E9110000}"/>
    <cellStyle name="Porcentagem 4 15 4 7" xfId="3403" xr:uid="{00000000-0005-0000-0000-0000EA110000}"/>
    <cellStyle name="Porcentagem 4 15 4 8" xfId="3930" xr:uid="{00000000-0005-0000-0000-0000EB110000}"/>
    <cellStyle name="Porcentagem 4 15 5" xfId="645" xr:uid="{00000000-0005-0000-0000-0000EC110000}"/>
    <cellStyle name="Porcentagem 4 15 5 2" xfId="1468" xr:uid="{00000000-0005-0000-0000-0000ED110000}"/>
    <cellStyle name="Porcentagem 4 15 5 3" xfId="1903" xr:uid="{00000000-0005-0000-0000-0000EE110000}"/>
    <cellStyle name="Porcentagem 4 15 5 4" xfId="2433" xr:uid="{00000000-0005-0000-0000-0000EF110000}"/>
    <cellStyle name="Porcentagem 4 15 5 5" xfId="2960" xr:uid="{00000000-0005-0000-0000-0000F0110000}"/>
    <cellStyle name="Porcentagem 4 15 5 6" xfId="3487" xr:uid="{00000000-0005-0000-0000-0000F1110000}"/>
    <cellStyle name="Porcentagem 4 15 5 7" xfId="4014" xr:uid="{00000000-0005-0000-0000-0000F2110000}"/>
    <cellStyle name="Porcentagem 4 15 6" xfId="766" xr:uid="{00000000-0005-0000-0000-0000F3110000}"/>
    <cellStyle name="Porcentagem 4 15 6 2" xfId="4190" xr:uid="{00000000-0005-0000-0000-0000F4110000}"/>
    <cellStyle name="Porcentagem 4 15 7" xfId="1117" xr:uid="{00000000-0005-0000-0000-0000F5110000}"/>
    <cellStyle name="Porcentagem 4 15 8" xfId="1552" xr:uid="{00000000-0005-0000-0000-0000F6110000}"/>
    <cellStyle name="Porcentagem 4 15 9" xfId="2082" xr:uid="{00000000-0005-0000-0000-0000F7110000}"/>
    <cellStyle name="Porcentagem 4 16" xfId="117" xr:uid="{00000000-0005-0000-0000-0000F8110000}"/>
    <cellStyle name="Porcentagem 4 16 2" xfId="393" xr:uid="{00000000-0005-0000-0000-0000F9110000}"/>
    <cellStyle name="Porcentagem 4 16 2 2" xfId="1909" xr:uid="{00000000-0005-0000-0000-0000FA110000}"/>
    <cellStyle name="Porcentagem 4 16 2 3" xfId="2439" xr:uid="{00000000-0005-0000-0000-0000FB110000}"/>
    <cellStyle name="Porcentagem 4 16 2 4" xfId="2966" xr:uid="{00000000-0005-0000-0000-0000FC110000}"/>
    <cellStyle name="Porcentagem 4 16 2 5" xfId="3493" xr:uid="{00000000-0005-0000-0000-0000FD110000}"/>
    <cellStyle name="Porcentagem 4 16 2 6" xfId="4020" xr:uid="{00000000-0005-0000-0000-0000FE110000}"/>
    <cellStyle name="Porcentagem 4 16 3" xfId="863" xr:uid="{00000000-0005-0000-0000-0000FF110000}"/>
    <cellStyle name="Porcentagem 4 16 4" xfId="1214" xr:uid="{00000000-0005-0000-0000-000000120000}"/>
    <cellStyle name="Porcentagem 4 16 5" xfId="1649" xr:uid="{00000000-0005-0000-0000-000001120000}"/>
    <cellStyle name="Porcentagem 4 16 6" xfId="2179" xr:uid="{00000000-0005-0000-0000-000002120000}"/>
    <cellStyle name="Porcentagem 4 16 7" xfId="2706" xr:uid="{00000000-0005-0000-0000-000003120000}"/>
    <cellStyle name="Porcentagem 4 16 8" xfId="3233" xr:uid="{00000000-0005-0000-0000-000004120000}"/>
    <cellStyle name="Porcentagem 4 16 9" xfId="3760" xr:uid="{00000000-0005-0000-0000-000005120000}"/>
    <cellStyle name="Porcentagem 4 17" xfId="212" xr:uid="{00000000-0005-0000-0000-000006120000}"/>
    <cellStyle name="Porcentagem 4 17 2" xfId="478" xr:uid="{00000000-0005-0000-0000-000007120000}"/>
    <cellStyle name="Porcentagem 4 17 3" xfId="772" xr:uid="{00000000-0005-0000-0000-000008120000}"/>
    <cellStyle name="Porcentagem 4 17 4" xfId="1123" xr:uid="{00000000-0005-0000-0000-000009120000}"/>
    <cellStyle name="Porcentagem 4 17 5" xfId="1558" xr:uid="{00000000-0005-0000-0000-00000A120000}"/>
    <cellStyle name="Porcentagem 4 17 6" xfId="2088" xr:uid="{00000000-0005-0000-0000-00000B120000}"/>
    <cellStyle name="Porcentagem 4 17 7" xfId="2615" xr:uid="{00000000-0005-0000-0000-00000C120000}"/>
    <cellStyle name="Porcentagem 4 17 8" xfId="3142" xr:uid="{00000000-0005-0000-0000-00000D120000}"/>
    <cellStyle name="Porcentagem 4 17 9" xfId="3669" xr:uid="{00000000-0005-0000-0000-00000E120000}"/>
    <cellStyle name="Porcentagem 4 18" xfId="308" xr:uid="{00000000-0005-0000-0000-00000F120000}"/>
    <cellStyle name="Porcentagem 4 18 2" xfId="953" xr:uid="{00000000-0005-0000-0000-000010120000}"/>
    <cellStyle name="Porcentagem 4 18 3" xfId="1304" xr:uid="{00000000-0005-0000-0000-000011120000}"/>
    <cellStyle name="Porcentagem 4 18 4" xfId="1739" xr:uid="{00000000-0005-0000-0000-000012120000}"/>
    <cellStyle name="Porcentagem 4 18 5" xfId="2269" xr:uid="{00000000-0005-0000-0000-000013120000}"/>
    <cellStyle name="Porcentagem 4 18 6" xfId="2796" xr:uid="{00000000-0005-0000-0000-000014120000}"/>
    <cellStyle name="Porcentagem 4 18 7" xfId="3323" xr:uid="{00000000-0005-0000-0000-000015120000}"/>
    <cellStyle name="Porcentagem 4 18 8" xfId="3850" xr:uid="{00000000-0005-0000-0000-000016120000}"/>
    <cellStyle name="Porcentagem 4 19" xfId="565" xr:uid="{00000000-0005-0000-0000-000017120000}"/>
    <cellStyle name="Porcentagem 4 19 2" xfId="1388" xr:uid="{00000000-0005-0000-0000-000018120000}"/>
    <cellStyle name="Porcentagem 4 19 3" xfId="1823" xr:uid="{00000000-0005-0000-0000-000019120000}"/>
    <cellStyle name="Porcentagem 4 19 4" xfId="2353" xr:uid="{00000000-0005-0000-0000-00001A120000}"/>
    <cellStyle name="Porcentagem 4 19 5" xfId="2880" xr:uid="{00000000-0005-0000-0000-00001B120000}"/>
    <cellStyle name="Porcentagem 4 19 6" xfId="3407" xr:uid="{00000000-0005-0000-0000-00001C120000}"/>
    <cellStyle name="Porcentagem 4 19 7" xfId="3934" xr:uid="{00000000-0005-0000-0000-00001D120000}"/>
    <cellStyle name="Porcentagem 4 2" xfId="30" xr:uid="{00000000-0005-0000-0000-00001E120000}"/>
    <cellStyle name="Porcentagem 4 2 10" xfId="312" xr:uid="{00000000-0005-0000-0000-00001F120000}"/>
    <cellStyle name="Porcentagem 4 2 10 2" xfId="957" xr:uid="{00000000-0005-0000-0000-000020120000}"/>
    <cellStyle name="Porcentagem 4 2 10 3" xfId="1308" xr:uid="{00000000-0005-0000-0000-000021120000}"/>
    <cellStyle name="Porcentagem 4 2 10 4" xfId="1743" xr:uid="{00000000-0005-0000-0000-000022120000}"/>
    <cellStyle name="Porcentagem 4 2 10 5" xfId="2273" xr:uid="{00000000-0005-0000-0000-000023120000}"/>
    <cellStyle name="Porcentagem 4 2 10 6" xfId="2800" xr:uid="{00000000-0005-0000-0000-000024120000}"/>
    <cellStyle name="Porcentagem 4 2 10 7" xfId="3327" xr:uid="{00000000-0005-0000-0000-000025120000}"/>
    <cellStyle name="Porcentagem 4 2 10 8" xfId="3854" xr:uid="{00000000-0005-0000-0000-000026120000}"/>
    <cellStyle name="Porcentagem 4 2 11" xfId="569" xr:uid="{00000000-0005-0000-0000-000027120000}"/>
    <cellStyle name="Porcentagem 4 2 11 2" xfId="1392" xr:uid="{00000000-0005-0000-0000-000028120000}"/>
    <cellStyle name="Porcentagem 4 2 11 3" xfId="1827" xr:uid="{00000000-0005-0000-0000-000029120000}"/>
    <cellStyle name="Porcentagem 4 2 11 4" xfId="2357" xr:uid="{00000000-0005-0000-0000-00002A120000}"/>
    <cellStyle name="Porcentagem 4 2 11 5" xfId="2884" xr:uid="{00000000-0005-0000-0000-00002B120000}"/>
    <cellStyle name="Porcentagem 4 2 11 6" xfId="3411" xr:uid="{00000000-0005-0000-0000-00002C120000}"/>
    <cellStyle name="Porcentagem 4 2 11 7" xfId="3938" xr:uid="{00000000-0005-0000-0000-00002D120000}"/>
    <cellStyle name="Porcentagem 4 2 12" xfId="690" xr:uid="{00000000-0005-0000-0000-00002E120000}"/>
    <cellStyle name="Porcentagem 4 2 12 2" xfId="4114" xr:uid="{00000000-0005-0000-0000-00002F120000}"/>
    <cellStyle name="Porcentagem 4 2 13" xfId="1041" xr:uid="{00000000-0005-0000-0000-000030120000}"/>
    <cellStyle name="Porcentagem 4 2 14" xfId="1476" xr:uid="{00000000-0005-0000-0000-000031120000}"/>
    <cellStyle name="Porcentagem 4 2 15" xfId="2006" xr:uid="{00000000-0005-0000-0000-000032120000}"/>
    <cellStyle name="Porcentagem 4 2 16" xfId="2533" xr:uid="{00000000-0005-0000-0000-000033120000}"/>
    <cellStyle name="Porcentagem 4 2 17" xfId="3060" xr:uid="{00000000-0005-0000-0000-000034120000}"/>
    <cellStyle name="Porcentagem 4 2 18" xfId="3587" xr:uid="{00000000-0005-0000-0000-000035120000}"/>
    <cellStyle name="Porcentagem 4 2 2" xfId="66" xr:uid="{00000000-0005-0000-0000-000036120000}"/>
    <cellStyle name="Porcentagem 4 2 2 10" xfId="2569" xr:uid="{00000000-0005-0000-0000-000037120000}"/>
    <cellStyle name="Porcentagem 4 2 2 11" xfId="3096" xr:uid="{00000000-0005-0000-0000-000038120000}"/>
    <cellStyle name="Porcentagem 4 2 2 12" xfId="3623" xr:uid="{00000000-0005-0000-0000-000039120000}"/>
    <cellStyle name="Porcentagem 4 2 2 2" xfId="160" xr:uid="{00000000-0005-0000-0000-00003A120000}"/>
    <cellStyle name="Porcentagem 4 2 2 2 2" xfId="433" xr:uid="{00000000-0005-0000-0000-00003B120000}"/>
    <cellStyle name="Porcentagem 4 2 2 2 2 2" xfId="1952" xr:uid="{00000000-0005-0000-0000-00003C120000}"/>
    <cellStyle name="Porcentagem 4 2 2 2 2 3" xfId="2482" xr:uid="{00000000-0005-0000-0000-00003D120000}"/>
    <cellStyle name="Porcentagem 4 2 2 2 2 4" xfId="3009" xr:uid="{00000000-0005-0000-0000-00003E120000}"/>
    <cellStyle name="Porcentagem 4 2 2 2 2 5" xfId="3536" xr:uid="{00000000-0005-0000-0000-00003F120000}"/>
    <cellStyle name="Porcentagem 4 2 2 2 2 6" xfId="4063" xr:uid="{00000000-0005-0000-0000-000040120000}"/>
    <cellStyle name="Porcentagem 4 2 2 2 3" xfId="906" xr:uid="{00000000-0005-0000-0000-000041120000}"/>
    <cellStyle name="Porcentagem 4 2 2 2 4" xfId="1257" xr:uid="{00000000-0005-0000-0000-000042120000}"/>
    <cellStyle name="Porcentagem 4 2 2 2 5" xfId="1692" xr:uid="{00000000-0005-0000-0000-000043120000}"/>
    <cellStyle name="Porcentagem 4 2 2 2 6" xfId="2222" xr:uid="{00000000-0005-0000-0000-000044120000}"/>
    <cellStyle name="Porcentagem 4 2 2 2 7" xfId="2749" xr:uid="{00000000-0005-0000-0000-000045120000}"/>
    <cellStyle name="Porcentagem 4 2 2 2 8" xfId="3276" xr:uid="{00000000-0005-0000-0000-000046120000}"/>
    <cellStyle name="Porcentagem 4 2 2 2 9" xfId="3803" xr:uid="{00000000-0005-0000-0000-000047120000}"/>
    <cellStyle name="Porcentagem 4 2 2 3" xfId="255" xr:uid="{00000000-0005-0000-0000-000048120000}"/>
    <cellStyle name="Porcentagem 4 2 2 3 2" xfId="518" xr:uid="{00000000-0005-0000-0000-000049120000}"/>
    <cellStyle name="Porcentagem 4 2 2 3 3" xfId="815" xr:uid="{00000000-0005-0000-0000-00004A120000}"/>
    <cellStyle name="Porcentagem 4 2 2 3 4" xfId="1166" xr:uid="{00000000-0005-0000-0000-00004B120000}"/>
    <cellStyle name="Porcentagem 4 2 2 3 5" xfId="1601" xr:uid="{00000000-0005-0000-0000-00004C120000}"/>
    <cellStyle name="Porcentagem 4 2 2 3 6" xfId="2131" xr:uid="{00000000-0005-0000-0000-00004D120000}"/>
    <cellStyle name="Porcentagem 4 2 2 3 7" xfId="2658" xr:uid="{00000000-0005-0000-0000-00004E120000}"/>
    <cellStyle name="Porcentagem 4 2 2 3 8" xfId="3185" xr:uid="{00000000-0005-0000-0000-00004F120000}"/>
    <cellStyle name="Porcentagem 4 2 2 3 9" xfId="3712" xr:uid="{00000000-0005-0000-0000-000050120000}"/>
    <cellStyle name="Porcentagem 4 2 2 4" xfId="348" xr:uid="{00000000-0005-0000-0000-000051120000}"/>
    <cellStyle name="Porcentagem 4 2 2 4 2" xfId="993" xr:uid="{00000000-0005-0000-0000-000052120000}"/>
    <cellStyle name="Porcentagem 4 2 2 4 3" xfId="1344" xr:uid="{00000000-0005-0000-0000-000053120000}"/>
    <cellStyle name="Porcentagem 4 2 2 4 4" xfId="1779" xr:uid="{00000000-0005-0000-0000-000054120000}"/>
    <cellStyle name="Porcentagem 4 2 2 4 5" xfId="2309" xr:uid="{00000000-0005-0000-0000-000055120000}"/>
    <cellStyle name="Porcentagem 4 2 2 4 6" xfId="2836" xr:uid="{00000000-0005-0000-0000-000056120000}"/>
    <cellStyle name="Porcentagem 4 2 2 4 7" xfId="3363" xr:uid="{00000000-0005-0000-0000-000057120000}"/>
    <cellStyle name="Porcentagem 4 2 2 4 8" xfId="3890" xr:uid="{00000000-0005-0000-0000-000058120000}"/>
    <cellStyle name="Porcentagem 4 2 2 5" xfId="605" xr:uid="{00000000-0005-0000-0000-000059120000}"/>
    <cellStyle name="Porcentagem 4 2 2 5 2" xfId="1428" xr:uid="{00000000-0005-0000-0000-00005A120000}"/>
    <cellStyle name="Porcentagem 4 2 2 5 3" xfId="1863" xr:uid="{00000000-0005-0000-0000-00005B120000}"/>
    <cellStyle name="Porcentagem 4 2 2 5 4" xfId="2393" xr:uid="{00000000-0005-0000-0000-00005C120000}"/>
    <cellStyle name="Porcentagem 4 2 2 5 5" xfId="2920" xr:uid="{00000000-0005-0000-0000-00005D120000}"/>
    <cellStyle name="Porcentagem 4 2 2 5 6" xfId="3447" xr:uid="{00000000-0005-0000-0000-00005E120000}"/>
    <cellStyle name="Porcentagem 4 2 2 5 7" xfId="3974" xr:uid="{00000000-0005-0000-0000-00005F120000}"/>
    <cellStyle name="Porcentagem 4 2 2 6" xfId="726" xr:uid="{00000000-0005-0000-0000-000060120000}"/>
    <cellStyle name="Porcentagem 4 2 2 6 2" xfId="4150" xr:uid="{00000000-0005-0000-0000-000061120000}"/>
    <cellStyle name="Porcentagem 4 2 2 7" xfId="1077" xr:uid="{00000000-0005-0000-0000-000062120000}"/>
    <cellStyle name="Porcentagem 4 2 2 8" xfId="1512" xr:uid="{00000000-0005-0000-0000-000063120000}"/>
    <cellStyle name="Porcentagem 4 2 2 9" xfId="2042" xr:uid="{00000000-0005-0000-0000-000064120000}"/>
    <cellStyle name="Porcentagem 4 2 3" xfId="74" xr:uid="{00000000-0005-0000-0000-000065120000}"/>
    <cellStyle name="Porcentagem 4 2 3 10" xfId="2577" xr:uid="{00000000-0005-0000-0000-000066120000}"/>
    <cellStyle name="Porcentagem 4 2 3 11" xfId="3104" xr:uid="{00000000-0005-0000-0000-000067120000}"/>
    <cellStyle name="Porcentagem 4 2 3 12" xfId="3631" xr:uid="{00000000-0005-0000-0000-000068120000}"/>
    <cellStyle name="Porcentagem 4 2 3 2" xfId="168" xr:uid="{00000000-0005-0000-0000-000069120000}"/>
    <cellStyle name="Porcentagem 4 2 3 2 2" xfId="441" xr:uid="{00000000-0005-0000-0000-00006A120000}"/>
    <cellStyle name="Porcentagem 4 2 3 2 2 2" xfId="1960" xr:uid="{00000000-0005-0000-0000-00006B120000}"/>
    <cellStyle name="Porcentagem 4 2 3 2 2 3" xfId="2490" xr:uid="{00000000-0005-0000-0000-00006C120000}"/>
    <cellStyle name="Porcentagem 4 2 3 2 2 4" xfId="3017" xr:uid="{00000000-0005-0000-0000-00006D120000}"/>
    <cellStyle name="Porcentagem 4 2 3 2 2 5" xfId="3544" xr:uid="{00000000-0005-0000-0000-00006E120000}"/>
    <cellStyle name="Porcentagem 4 2 3 2 2 6" xfId="4071" xr:uid="{00000000-0005-0000-0000-00006F120000}"/>
    <cellStyle name="Porcentagem 4 2 3 2 3" xfId="914" xr:uid="{00000000-0005-0000-0000-000070120000}"/>
    <cellStyle name="Porcentagem 4 2 3 2 4" xfId="1265" xr:uid="{00000000-0005-0000-0000-000071120000}"/>
    <cellStyle name="Porcentagem 4 2 3 2 5" xfId="1700" xr:uid="{00000000-0005-0000-0000-000072120000}"/>
    <cellStyle name="Porcentagem 4 2 3 2 6" xfId="2230" xr:uid="{00000000-0005-0000-0000-000073120000}"/>
    <cellStyle name="Porcentagem 4 2 3 2 7" xfId="2757" xr:uid="{00000000-0005-0000-0000-000074120000}"/>
    <cellStyle name="Porcentagem 4 2 3 2 8" xfId="3284" xr:uid="{00000000-0005-0000-0000-000075120000}"/>
    <cellStyle name="Porcentagem 4 2 3 2 9" xfId="3811" xr:uid="{00000000-0005-0000-0000-000076120000}"/>
    <cellStyle name="Porcentagem 4 2 3 3" xfId="263" xr:uid="{00000000-0005-0000-0000-000077120000}"/>
    <cellStyle name="Porcentagem 4 2 3 3 2" xfId="526" xr:uid="{00000000-0005-0000-0000-000078120000}"/>
    <cellStyle name="Porcentagem 4 2 3 3 3" xfId="823" xr:uid="{00000000-0005-0000-0000-000079120000}"/>
    <cellStyle name="Porcentagem 4 2 3 3 4" xfId="1174" xr:uid="{00000000-0005-0000-0000-00007A120000}"/>
    <cellStyle name="Porcentagem 4 2 3 3 5" xfId="1609" xr:uid="{00000000-0005-0000-0000-00007B120000}"/>
    <cellStyle name="Porcentagem 4 2 3 3 6" xfId="2139" xr:uid="{00000000-0005-0000-0000-00007C120000}"/>
    <cellStyle name="Porcentagem 4 2 3 3 7" xfId="2666" xr:uid="{00000000-0005-0000-0000-00007D120000}"/>
    <cellStyle name="Porcentagem 4 2 3 3 8" xfId="3193" xr:uid="{00000000-0005-0000-0000-00007E120000}"/>
    <cellStyle name="Porcentagem 4 2 3 3 9" xfId="3720" xr:uid="{00000000-0005-0000-0000-00007F120000}"/>
    <cellStyle name="Porcentagem 4 2 3 4" xfId="356" xr:uid="{00000000-0005-0000-0000-000080120000}"/>
    <cellStyle name="Porcentagem 4 2 3 4 2" xfId="1001" xr:uid="{00000000-0005-0000-0000-000081120000}"/>
    <cellStyle name="Porcentagem 4 2 3 4 3" xfId="1352" xr:uid="{00000000-0005-0000-0000-000082120000}"/>
    <cellStyle name="Porcentagem 4 2 3 4 4" xfId="1787" xr:uid="{00000000-0005-0000-0000-000083120000}"/>
    <cellStyle name="Porcentagem 4 2 3 4 5" xfId="2317" xr:uid="{00000000-0005-0000-0000-000084120000}"/>
    <cellStyle name="Porcentagem 4 2 3 4 6" xfId="2844" xr:uid="{00000000-0005-0000-0000-000085120000}"/>
    <cellStyle name="Porcentagem 4 2 3 4 7" xfId="3371" xr:uid="{00000000-0005-0000-0000-000086120000}"/>
    <cellStyle name="Porcentagem 4 2 3 4 8" xfId="3898" xr:uid="{00000000-0005-0000-0000-000087120000}"/>
    <cellStyle name="Porcentagem 4 2 3 5" xfId="613" xr:uid="{00000000-0005-0000-0000-000088120000}"/>
    <cellStyle name="Porcentagem 4 2 3 5 2" xfId="1436" xr:uid="{00000000-0005-0000-0000-000089120000}"/>
    <cellStyle name="Porcentagem 4 2 3 5 3" xfId="1871" xr:uid="{00000000-0005-0000-0000-00008A120000}"/>
    <cellStyle name="Porcentagem 4 2 3 5 4" xfId="2401" xr:uid="{00000000-0005-0000-0000-00008B120000}"/>
    <cellStyle name="Porcentagem 4 2 3 5 5" xfId="2928" xr:uid="{00000000-0005-0000-0000-00008C120000}"/>
    <cellStyle name="Porcentagem 4 2 3 5 6" xfId="3455" xr:uid="{00000000-0005-0000-0000-00008D120000}"/>
    <cellStyle name="Porcentagem 4 2 3 5 7" xfId="3982" xr:uid="{00000000-0005-0000-0000-00008E120000}"/>
    <cellStyle name="Porcentagem 4 2 3 6" xfId="734" xr:uid="{00000000-0005-0000-0000-00008F120000}"/>
    <cellStyle name="Porcentagem 4 2 3 6 2" xfId="4158" xr:uid="{00000000-0005-0000-0000-000090120000}"/>
    <cellStyle name="Porcentagem 4 2 3 7" xfId="1085" xr:uid="{00000000-0005-0000-0000-000091120000}"/>
    <cellStyle name="Porcentagem 4 2 3 8" xfId="1520" xr:uid="{00000000-0005-0000-0000-000092120000}"/>
    <cellStyle name="Porcentagem 4 2 3 9" xfId="2050" xr:uid="{00000000-0005-0000-0000-000093120000}"/>
    <cellStyle name="Porcentagem 4 2 4" xfId="82" xr:uid="{00000000-0005-0000-0000-000094120000}"/>
    <cellStyle name="Porcentagem 4 2 4 10" xfId="2585" xr:uid="{00000000-0005-0000-0000-000095120000}"/>
    <cellStyle name="Porcentagem 4 2 4 11" xfId="3112" xr:uid="{00000000-0005-0000-0000-000096120000}"/>
    <cellStyle name="Porcentagem 4 2 4 12" xfId="3639" xr:uid="{00000000-0005-0000-0000-000097120000}"/>
    <cellStyle name="Porcentagem 4 2 4 2" xfId="176" xr:uid="{00000000-0005-0000-0000-000098120000}"/>
    <cellStyle name="Porcentagem 4 2 4 2 2" xfId="449" xr:uid="{00000000-0005-0000-0000-000099120000}"/>
    <cellStyle name="Porcentagem 4 2 4 2 2 2" xfId="1968" xr:uid="{00000000-0005-0000-0000-00009A120000}"/>
    <cellStyle name="Porcentagem 4 2 4 2 2 3" xfId="2498" xr:uid="{00000000-0005-0000-0000-00009B120000}"/>
    <cellStyle name="Porcentagem 4 2 4 2 2 4" xfId="3025" xr:uid="{00000000-0005-0000-0000-00009C120000}"/>
    <cellStyle name="Porcentagem 4 2 4 2 2 5" xfId="3552" xr:uid="{00000000-0005-0000-0000-00009D120000}"/>
    <cellStyle name="Porcentagem 4 2 4 2 2 6" xfId="4079" xr:uid="{00000000-0005-0000-0000-00009E120000}"/>
    <cellStyle name="Porcentagem 4 2 4 2 3" xfId="922" xr:uid="{00000000-0005-0000-0000-00009F120000}"/>
    <cellStyle name="Porcentagem 4 2 4 2 4" xfId="1273" xr:uid="{00000000-0005-0000-0000-0000A0120000}"/>
    <cellStyle name="Porcentagem 4 2 4 2 5" xfId="1708" xr:uid="{00000000-0005-0000-0000-0000A1120000}"/>
    <cellStyle name="Porcentagem 4 2 4 2 6" xfId="2238" xr:uid="{00000000-0005-0000-0000-0000A2120000}"/>
    <cellStyle name="Porcentagem 4 2 4 2 7" xfId="2765" xr:uid="{00000000-0005-0000-0000-0000A3120000}"/>
    <cellStyle name="Porcentagem 4 2 4 2 8" xfId="3292" xr:uid="{00000000-0005-0000-0000-0000A4120000}"/>
    <cellStyle name="Porcentagem 4 2 4 2 9" xfId="3819" xr:uid="{00000000-0005-0000-0000-0000A5120000}"/>
    <cellStyle name="Porcentagem 4 2 4 3" xfId="271" xr:uid="{00000000-0005-0000-0000-0000A6120000}"/>
    <cellStyle name="Porcentagem 4 2 4 3 2" xfId="534" xr:uid="{00000000-0005-0000-0000-0000A7120000}"/>
    <cellStyle name="Porcentagem 4 2 4 3 3" xfId="831" xr:uid="{00000000-0005-0000-0000-0000A8120000}"/>
    <cellStyle name="Porcentagem 4 2 4 3 4" xfId="1182" xr:uid="{00000000-0005-0000-0000-0000A9120000}"/>
    <cellStyle name="Porcentagem 4 2 4 3 5" xfId="1617" xr:uid="{00000000-0005-0000-0000-0000AA120000}"/>
    <cellStyle name="Porcentagem 4 2 4 3 6" xfId="2147" xr:uid="{00000000-0005-0000-0000-0000AB120000}"/>
    <cellStyle name="Porcentagem 4 2 4 3 7" xfId="2674" xr:uid="{00000000-0005-0000-0000-0000AC120000}"/>
    <cellStyle name="Porcentagem 4 2 4 3 8" xfId="3201" xr:uid="{00000000-0005-0000-0000-0000AD120000}"/>
    <cellStyle name="Porcentagem 4 2 4 3 9" xfId="3728" xr:uid="{00000000-0005-0000-0000-0000AE120000}"/>
    <cellStyle name="Porcentagem 4 2 4 4" xfId="364" xr:uid="{00000000-0005-0000-0000-0000AF120000}"/>
    <cellStyle name="Porcentagem 4 2 4 4 2" xfId="1009" xr:uid="{00000000-0005-0000-0000-0000B0120000}"/>
    <cellStyle name="Porcentagem 4 2 4 4 3" xfId="1360" xr:uid="{00000000-0005-0000-0000-0000B1120000}"/>
    <cellStyle name="Porcentagem 4 2 4 4 4" xfId="1795" xr:uid="{00000000-0005-0000-0000-0000B2120000}"/>
    <cellStyle name="Porcentagem 4 2 4 4 5" xfId="2325" xr:uid="{00000000-0005-0000-0000-0000B3120000}"/>
    <cellStyle name="Porcentagem 4 2 4 4 6" xfId="2852" xr:uid="{00000000-0005-0000-0000-0000B4120000}"/>
    <cellStyle name="Porcentagem 4 2 4 4 7" xfId="3379" xr:uid="{00000000-0005-0000-0000-0000B5120000}"/>
    <cellStyle name="Porcentagem 4 2 4 4 8" xfId="3906" xr:uid="{00000000-0005-0000-0000-0000B6120000}"/>
    <cellStyle name="Porcentagem 4 2 4 5" xfId="621" xr:uid="{00000000-0005-0000-0000-0000B7120000}"/>
    <cellStyle name="Porcentagem 4 2 4 5 2" xfId="1444" xr:uid="{00000000-0005-0000-0000-0000B8120000}"/>
    <cellStyle name="Porcentagem 4 2 4 5 3" xfId="1879" xr:uid="{00000000-0005-0000-0000-0000B9120000}"/>
    <cellStyle name="Porcentagem 4 2 4 5 4" xfId="2409" xr:uid="{00000000-0005-0000-0000-0000BA120000}"/>
    <cellStyle name="Porcentagem 4 2 4 5 5" xfId="2936" xr:uid="{00000000-0005-0000-0000-0000BB120000}"/>
    <cellStyle name="Porcentagem 4 2 4 5 6" xfId="3463" xr:uid="{00000000-0005-0000-0000-0000BC120000}"/>
    <cellStyle name="Porcentagem 4 2 4 5 7" xfId="3990" xr:uid="{00000000-0005-0000-0000-0000BD120000}"/>
    <cellStyle name="Porcentagem 4 2 4 6" xfId="742" xr:uid="{00000000-0005-0000-0000-0000BE120000}"/>
    <cellStyle name="Porcentagem 4 2 4 6 2" xfId="4166" xr:uid="{00000000-0005-0000-0000-0000BF120000}"/>
    <cellStyle name="Porcentagem 4 2 4 7" xfId="1093" xr:uid="{00000000-0005-0000-0000-0000C0120000}"/>
    <cellStyle name="Porcentagem 4 2 4 8" xfId="1528" xr:uid="{00000000-0005-0000-0000-0000C1120000}"/>
    <cellStyle name="Porcentagem 4 2 4 9" xfId="2058" xr:uid="{00000000-0005-0000-0000-0000C2120000}"/>
    <cellStyle name="Porcentagem 4 2 5" xfId="90" xr:uid="{00000000-0005-0000-0000-0000C3120000}"/>
    <cellStyle name="Porcentagem 4 2 5 10" xfId="2593" xr:uid="{00000000-0005-0000-0000-0000C4120000}"/>
    <cellStyle name="Porcentagem 4 2 5 11" xfId="3120" xr:uid="{00000000-0005-0000-0000-0000C5120000}"/>
    <cellStyle name="Porcentagem 4 2 5 12" xfId="3647" xr:uid="{00000000-0005-0000-0000-0000C6120000}"/>
    <cellStyle name="Porcentagem 4 2 5 2" xfId="184" xr:uid="{00000000-0005-0000-0000-0000C7120000}"/>
    <cellStyle name="Porcentagem 4 2 5 2 2" xfId="457" xr:uid="{00000000-0005-0000-0000-0000C8120000}"/>
    <cellStyle name="Porcentagem 4 2 5 2 2 2" xfId="1976" xr:uid="{00000000-0005-0000-0000-0000C9120000}"/>
    <cellStyle name="Porcentagem 4 2 5 2 2 3" xfId="2506" xr:uid="{00000000-0005-0000-0000-0000CA120000}"/>
    <cellStyle name="Porcentagem 4 2 5 2 2 4" xfId="3033" xr:uid="{00000000-0005-0000-0000-0000CB120000}"/>
    <cellStyle name="Porcentagem 4 2 5 2 2 5" xfId="3560" xr:uid="{00000000-0005-0000-0000-0000CC120000}"/>
    <cellStyle name="Porcentagem 4 2 5 2 2 6" xfId="4087" xr:uid="{00000000-0005-0000-0000-0000CD120000}"/>
    <cellStyle name="Porcentagem 4 2 5 2 3" xfId="930" xr:uid="{00000000-0005-0000-0000-0000CE120000}"/>
    <cellStyle name="Porcentagem 4 2 5 2 4" xfId="1281" xr:uid="{00000000-0005-0000-0000-0000CF120000}"/>
    <cellStyle name="Porcentagem 4 2 5 2 5" xfId="1716" xr:uid="{00000000-0005-0000-0000-0000D0120000}"/>
    <cellStyle name="Porcentagem 4 2 5 2 6" xfId="2246" xr:uid="{00000000-0005-0000-0000-0000D1120000}"/>
    <cellStyle name="Porcentagem 4 2 5 2 7" xfId="2773" xr:uid="{00000000-0005-0000-0000-0000D2120000}"/>
    <cellStyle name="Porcentagem 4 2 5 2 8" xfId="3300" xr:uid="{00000000-0005-0000-0000-0000D3120000}"/>
    <cellStyle name="Porcentagem 4 2 5 2 9" xfId="3827" xr:uid="{00000000-0005-0000-0000-0000D4120000}"/>
    <cellStyle name="Porcentagem 4 2 5 3" xfId="279" xr:uid="{00000000-0005-0000-0000-0000D5120000}"/>
    <cellStyle name="Porcentagem 4 2 5 3 2" xfId="542" xr:uid="{00000000-0005-0000-0000-0000D6120000}"/>
    <cellStyle name="Porcentagem 4 2 5 3 3" xfId="839" xr:uid="{00000000-0005-0000-0000-0000D7120000}"/>
    <cellStyle name="Porcentagem 4 2 5 3 4" xfId="1190" xr:uid="{00000000-0005-0000-0000-0000D8120000}"/>
    <cellStyle name="Porcentagem 4 2 5 3 5" xfId="1625" xr:uid="{00000000-0005-0000-0000-0000D9120000}"/>
    <cellStyle name="Porcentagem 4 2 5 3 6" xfId="2155" xr:uid="{00000000-0005-0000-0000-0000DA120000}"/>
    <cellStyle name="Porcentagem 4 2 5 3 7" xfId="2682" xr:uid="{00000000-0005-0000-0000-0000DB120000}"/>
    <cellStyle name="Porcentagem 4 2 5 3 8" xfId="3209" xr:uid="{00000000-0005-0000-0000-0000DC120000}"/>
    <cellStyle name="Porcentagem 4 2 5 3 9" xfId="3736" xr:uid="{00000000-0005-0000-0000-0000DD120000}"/>
    <cellStyle name="Porcentagem 4 2 5 4" xfId="372" xr:uid="{00000000-0005-0000-0000-0000DE120000}"/>
    <cellStyle name="Porcentagem 4 2 5 4 2" xfId="1017" xr:uid="{00000000-0005-0000-0000-0000DF120000}"/>
    <cellStyle name="Porcentagem 4 2 5 4 3" xfId="1368" xr:uid="{00000000-0005-0000-0000-0000E0120000}"/>
    <cellStyle name="Porcentagem 4 2 5 4 4" xfId="1803" xr:uid="{00000000-0005-0000-0000-0000E1120000}"/>
    <cellStyle name="Porcentagem 4 2 5 4 5" xfId="2333" xr:uid="{00000000-0005-0000-0000-0000E2120000}"/>
    <cellStyle name="Porcentagem 4 2 5 4 6" xfId="2860" xr:uid="{00000000-0005-0000-0000-0000E3120000}"/>
    <cellStyle name="Porcentagem 4 2 5 4 7" xfId="3387" xr:uid="{00000000-0005-0000-0000-0000E4120000}"/>
    <cellStyle name="Porcentagem 4 2 5 4 8" xfId="3914" xr:uid="{00000000-0005-0000-0000-0000E5120000}"/>
    <cellStyle name="Porcentagem 4 2 5 5" xfId="629" xr:uid="{00000000-0005-0000-0000-0000E6120000}"/>
    <cellStyle name="Porcentagem 4 2 5 5 2" xfId="1452" xr:uid="{00000000-0005-0000-0000-0000E7120000}"/>
    <cellStyle name="Porcentagem 4 2 5 5 3" xfId="1887" xr:uid="{00000000-0005-0000-0000-0000E8120000}"/>
    <cellStyle name="Porcentagem 4 2 5 5 4" xfId="2417" xr:uid="{00000000-0005-0000-0000-0000E9120000}"/>
    <cellStyle name="Porcentagem 4 2 5 5 5" xfId="2944" xr:uid="{00000000-0005-0000-0000-0000EA120000}"/>
    <cellStyle name="Porcentagem 4 2 5 5 6" xfId="3471" xr:uid="{00000000-0005-0000-0000-0000EB120000}"/>
    <cellStyle name="Porcentagem 4 2 5 5 7" xfId="3998" xr:uid="{00000000-0005-0000-0000-0000EC120000}"/>
    <cellStyle name="Porcentagem 4 2 5 6" xfId="750" xr:uid="{00000000-0005-0000-0000-0000ED120000}"/>
    <cellStyle name="Porcentagem 4 2 5 6 2" xfId="4174" xr:uid="{00000000-0005-0000-0000-0000EE120000}"/>
    <cellStyle name="Porcentagem 4 2 5 7" xfId="1101" xr:uid="{00000000-0005-0000-0000-0000EF120000}"/>
    <cellStyle name="Porcentagem 4 2 5 8" xfId="1536" xr:uid="{00000000-0005-0000-0000-0000F0120000}"/>
    <cellStyle name="Porcentagem 4 2 5 9" xfId="2066" xr:uid="{00000000-0005-0000-0000-0000F1120000}"/>
    <cellStyle name="Porcentagem 4 2 6" xfId="98" xr:uid="{00000000-0005-0000-0000-0000F2120000}"/>
    <cellStyle name="Porcentagem 4 2 6 10" xfId="2601" xr:uid="{00000000-0005-0000-0000-0000F3120000}"/>
    <cellStyle name="Porcentagem 4 2 6 11" xfId="3128" xr:uid="{00000000-0005-0000-0000-0000F4120000}"/>
    <cellStyle name="Porcentagem 4 2 6 12" xfId="3655" xr:uid="{00000000-0005-0000-0000-0000F5120000}"/>
    <cellStyle name="Porcentagem 4 2 6 2" xfId="192" xr:uid="{00000000-0005-0000-0000-0000F6120000}"/>
    <cellStyle name="Porcentagem 4 2 6 2 2" xfId="465" xr:uid="{00000000-0005-0000-0000-0000F7120000}"/>
    <cellStyle name="Porcentagem 4 2 6 2 2 2" xfId="1984" xr:uid="{00000000-0005-0000-0000-0000F8120000}"/>
    <cellStyle name="Porcentagem 4 2 6 2 2 3" xfId="2514" xr:uid="{00000000-0005-0000-0000-0000F9120000}"/>
    <cellStyle name="Porcentagem 4 2 6 2 2 4" xfId="3041" xr:uid="{00000000-0005-0000-0000-0000FA120000}"/>
    <cellStyle name="Porcentagem 4 2 6 2 2 5" xfId="3568" xr:uid="{00000000-0005-0000-0000-0000FB120000}"/>
    <cellStyle name="Porcentagem 4 2 6 2 2 6" xfId="4095" xr:uid="{00000000-0005-0000-0000-0000FC120000}"/>
    <cellStyle name="Porcentagem 4 2 6 2 3" xfId="938" xr:uid="{00000000-0005-0000-0000-0000FD120000}"/>
    <cellStyle name="Porcentagem 4 2 6 2 4" xfId="1289" xr:uid="{00000000-0005-0000-0000-0000FE120000}"/>
    <cellStyle name="Porcentagem 4 2 6 2 5" xfId="1724" xr:uid="{00000000-0005-0000-0000-0000FF120000}"/>
    <cellStyle name="Porcentagem 4 2 6 2 6" xfId="2254" xr:uid="{00000000-0005-0000-0000-000000130000}"/>
    <cellStyle name="Porcentagem 4 2 6 2 7" xfId="2781" xr:uid="{00000000-0005-0000-0000-000001130000}"/>
    <cellStyle name="Porcentagem 4 2 6 2 8" xfId="3308" xr:uid="{00000000-0005-0000-0000-000002130000}"/>
    <cellStyle name="Porcentagem 4 2 6 2 9" xfId="3835" xr:uid="{00000000-0005-0000-0000-000003130000}"/>
    <cellStyle name="Porcentagem 4 2 6 3" xfId="287" xr:uid="{00000000-0005-0000-0000-000004130000}"/>
    <cellStyle name="Porcentagem 4 2 6 3 2" xfId="550" xr:uid="{00000000-0005-0000-0000-000005130000}"/>
    <cellStyle name="Porcentagem 4 2 6 3 3" xfId="847" xr:uid="{00000000-0005-0000-0000-000006130000}"/>
    <cellStyle name="Porcentagem 4 2 6 3 4" xfId="1198" xr:uid="{00000000-0005-0000-0000-000007130000}"/>
    <cellStyle name="Porcentagem 4 2 6 3 5" xfId="1633" xr:uid="{00000000-0005-0000-0000-000008130000}"/>
    <cellStyle name="Porcentagem 4 2 6 3 6" xfId="2163" xr:uid="{00000000-0005-0000-0000-000009130000}"/>
    <cellStyle name="Porcentagem 4 2 6 3 7" xfId="2690" xr:uid="{00000000-0005-0000-0000-00000A130000}"/>
    <cellStyle name="Porcentagem 4 2 6 3 8" xfId="3217" xr:uid="{00000000-0005-0000-0000-00000B130000}"/>
    <cellStyle name="Porcentagem 4 2 6 3 9" xfId="3744" xr:uid="{00000000-0005-0000-0000-00000C130000}"/>
    <cellStyle name="Porcentagem 4 2 6 4" xfId="380" xr:uid="{00000000-0005-0000-0000-00000D130000}"/>
    <cellStyle name="Porcentagem 4 2 6 4 2" xfId="1025" xr:uid="{00000000-0005-0000-0000-00000E130000}"/>
    <cellStyle name="Porcentagem 4 2 6 4 3" xfId="1376" xr:uid="{00000000-0005-0000-0000-00000F130000}"/>
    <cellStyle name="Porcentagem 4 2 6 4 4" xfId="1811" xr:uid="{00000000-0005-0000-0000-000010130000}"/>
    <cellStyle name="Porcentagem 4 2 6 4 5" xfId="2341" xr:uid="{00000000-0005-0000-0000-000011130000}"/>
    <cellStyle name="Porcentagem 4 2 6 4 6" xfId="2868" xr:uid="{00000000-0005-0000-0000-000012130000}"/>
    <cellStyle name="Porcentagem 4 2 6 4 7" xfId="3395" xr:uid="{00000000-0005-0000-0000-000013130000}"/>
    <cellStyle name="Porcentagem 4 2 6 4 8" xfId="3922" xr:uid="{00000000-0005-0000-0000-000014130000}"/>
    <cellStyle name="Porcentagem 4 2 6 5" xfId="637" xr:uid="{00000000-0005-0000-0000-000015130000}"/>
    <cellStyle name="Porcentagem 4 2 6 5 2" xfId="1460" xr:uid="{00000000-0005-0000-0000-000016130000}"/>
    <cellStyle name="Porcentagem 4 2 6 5 3" xfId="1895" xr:uid="{00000000-0005-0000-0000-000017130000}"/>
    <cellStyle name="Porcentagem 4 2 6 5 4" xfId="2425" xr:uid="{00000000-0005-0000-0000-000018130000}"/>
    <cellStyle name="Porcentagem 4 2 6 5 5" xfId="2952" xr:uid="{00000000-0005-0000-0000-000019130000}"/>
    <cellStyle name="Porcentagem 4 2 6 5 6" xfId="3479" xr:uid="{00000000-0005-0000-0000-00001A130000}"/>
    <cellStyle name="Porcentagem 4 2 6 5 7" xfId="4006" xr:uid="{00000000-0005-0000-0000-00001B130000}"/>
    <cellStyle name="Porcentagem 4 2 6 6" xfId="758" xr:uid="{00000000-0005-0000-0000-00001C130000}"/>
    <cellStyle name="Porcentagem 4 2 6 6 2" xfId="4182" xr:uid="{00000000-0005-0000-0000-00001D130000}"/>
    <cellStyle name="Porcentagem 4 2 6 7" xfId="1109" xr:uid="{00000000-0005-0000-0000-00001E130000}"/>
    <cellStyle name="Porcentagem 4 2 6 8" xfId="1544" xr:uid="{00000000-0005-0000-0000-00001F130000}"/>
    <cellStyle name="Porcentagem 4 2 6 9" xfId="2074" xr:uid="{00000000-0005-0000-0000-000020130000}"/>
    <cellStyle name="Porcentagem 4 2 7" xfId="38" xr:uid="{00000000-0005-0000-0000-000021130000}"/>
    <cellStyle name="Porcentagem 4 2 7 10" xfId="2541" xr:uid="{00000000-0005-0000-0000-000022130000}"/>
    <cellStyle name="Porcentagem 4 2 7 11" xfId="3068" xr:uid="{00000000-0005-0000-0000-000023130000}"/>
    <cellStyle name="Porcentagem 4 2 7 12" xfId="3595" xr:uid="{00000000-0005-0000-0000-000024130000}"/>
    <cellStyle name="Porcentagem 4 2 7 2" xfId="132" xr:uid="{00000000-0005-0000-0000-000025130000}"/>
    <cellStyle name="Porcentagem 4 2 7 2 2" xfId="405" xr:uid="{00000000-0005-0000-0000-000026130000}"/>
    <cellStyle name="Porcentagem 4 2 7 2 2 2" xfId="1924" xr:uid="{00000000-0005-0000-0000-000027130000}"/>
    <cellStyle name="Porcentagem 4 2 7 2 2 3" xfId="2454" xr:uid="{00000000-0005-0000-0000-000028130000}"/>
    <cellStyle name="Porcentagem 4 2 7 2 2 4" xfId="2981" xr:uid="{00000000-0005-0000-0000-000029130000}"/>
    <cellStyle name="Porcentagem 4 2 7 2 2 5" xfId="3508" xr:uid="{00000000-0005-0000-0000-00002A130000}"/>
    <cellStyle name="Porcentagem 4 2 7 2 2 6" xfId="4035" xr:uid="{00000000-0005-0000-0000-00002B130000}"/>
    <cellStyle name="Porcentagem 4 2 7 2 3" xfId="878" xr:uid="{00000000-0005-0000-0000-00002C130000}"/>
    <cellStyle name="Porcentagem 4 2 7 2 4" xfId="1229" xr:uid="{00000000-0005-0000-0000-00002D130000}"/>
    <cellStyle name="Porcentagem 4 2 7 2 5" xfId="1664" xr:uid="{00000000-0005-0000-0000-00002E130000}"/>
    <cellStyle name="Porcentagem 4 2 7 2 6" xfId="2194" xr:uid="{00000000-0005-0000-0000-00002F130000}"/>
    <cellStyle name="Porcentagem 4 2 7 2 7" xfId="2721" xr:uid="{00000000-0005-0000-0000-000030130000}"/>
    <cellStyle name="Porcentagem 4 2 7 2 8" xfId="3248" xr:uid="{00000000-0005-0000-0000-000031130000}"/>
    <cellStyle name="Porcentagem 4 2 7 2 9" xfId="3775" xr:uid="{00000000-0005-0000-0000-000032130000}"/>
    <cellStyle name="Porcentagem 4 2 7 3" xfId="227" xr:uid="{00000000-0005-0000-0000-000033130000}"/>
    <cellStyle name="Porcentagem 4 2 7 3 2" xfId="490" xr:uid="{00000000-0005-0000-0000-000034130000}"/>
    <cellStyle name="Porcentagem 4 2 7 3 3" xfId="787" xr:uid="{00000000-0005-0000-0000-000035130000}"/>
    <cellStyle name="Porcentagem 4 2 7 3 4" xfId="1138" xr:uid="{00000000-0005-0000-0000-000036130000}"/>
    <cellStyle name="Porcentagem 4 2 7 3 5" xfId="1573" xr:uid="{00000000-0005-0000-0000-000037130000}"/>
    <cellStyle name="Porcentagem 4 2 7 3 6" xfId="2103" xr:uid="{00000000-0005-0000-0000-000038130000}"/>
    <cellStyle name="Porcentagem 4 2 7 3 7" xfId="2630" xr:uid="{00000000-0005-0000-0000-000039130000}"/>
    <cellStyle name="Porcentagem 4 2 7 3 8" xfId="3157" xr:uid="{00000000-0005-0000-0000-00003A130000}"/>
    <cellStyle name="Porcentagem 4 2 7 3 9" xfId="3684" xr:uid="{00000000-0005-0000-0000-00003B130000}"/>
    <cellStyle name="Porcentagem 4 2 7 4" xfId="320" xr:uid="{00000000-0005-0000-0000-00003C130000}"/>
    <cellStyle name="Porcentagem 4 2 7 4 2" xfId="965" xr:uid="{00000000-0005-0000-0000-00003D130000}"/>
    <cellStyle name="Porcentagem 4 2 7 4 3" xfId="1316" xr:uid="{00000000-0005-0000-0000-00003E130000}"/>
    <cellStyle name="Porcentagem 4 2 7 4 4" xfId="1751" xr:uid="{00000000-0005-0000-0000-00003F130000}"/>
    <cellStyle name="Porcentagem 4 2 7 4 5" xfId="2281" xr:uid="{00000000-0005-0000-0000-000040130000}"/>
    <cellStyle name="Porcentagem 4 2 7 4 6" xfId="2808" xr:uid="{00000000-0005-0000-0000-000041130000}"/>
    <cellStyle name="Porcentagem 4 2 7 4 7" xfId="3335" xr:uid="{00000000-0005-0000-0000-000042130000}"/>
    <cellStyle name="Porcentagem 4 2 7 4 8" xfId="3862" xr:uid="{00000000-0005-0000-0000-000043130000}"/>
    <cellStyle name="Porcentagem 4 2 7 5" xfId="577" xr:uid="{00000000-0005-0000-0000-000044130000}"/>
    <cellStyle name="Porcentagem 4 2 7 5 2" xfId="1400" xr:uid="{00000000-0005-0000-0000-000045130000}"/>
    <cellStyle name="Porcentagem 4 2 7 5 3" xfId="1835" xr:uid="{00000000-0005-0000-0000-000046130000}"/>
    <cellStyle name="Porcentagem 4 2 7 5 4" xfId="2365" xr:uid="{00000000-0005-0000-0000-000047130000}"/>
    <cellStyle name="Porcentagem 4 2 7 5 5" xfId="2892" xr:uid="{00000000-0005-0000-0000-000048130000}"/>
    <cellStyle name="Porcentagem 4 2 7 5 6" xfId="3419" xr:uid="{00000000-0005-0000-0000-000049130000}"/>
    <cellStyle name="Porcentagem 4 2 7 5 7" xfId="3946" xr:uid="{00000000-0005-0000-0000-00004A130000}"/>
    <cellStyle name="Porcentagem 4 2 7 6" xfId="698" xr:uid="{00000000-0005-0000-0000-00004B130000}"/>
    <cellStyle name="Porcentagem 4 2 7 6 2" xfId="4122" xr:uid="{00000000-0005-0000-0000-00004C130000}"/>
    <cellStyle name="Porcentagem 4 2 7 7" xfId="1049" xr:uid="{00000000-0005-0000-0000-00004D130000}"/>
    <cellStyle name="Porcentagem 4 2 7 8" xfId="1484" xr:uid="{00000000-0005-0000-0000-00004E130000}"/>
    <cellStyle name="Porcentagem 4 2 7 9" xfId="2014" xr:uid="{00000000-0005-0000-0000-00004F130000}"/>
    <cellStyle name="Porcentagem 4 2 8" xfId="124" xr:uid="{00000000-0005-0000-0000-000050130000}"/>
    <cellStyle name="Porcentagem 4 2 8 2" xfId="397" xr:uid="{00000000-0005-0000-0000-000051130000}"/>
    <cellStyle name="Porcentagem 4 2 8 2 2" xfId="1916" xr:uid="{00000000-0005-0000-0000-000052130000}"/>
    <cellStyle name="Porcentagem 4 2 8 2 3" xfId="2446" xr:uid="{00000000-0005-0000-0000-000053130000}"/>
    <cellStyle name="Porcentagem 4 2 8 2 4" xfId="2973" xr:uid="{00000000-0005-0000-0000-000054130000}"/>
    <cellStyle name="Porcentagem 4 2 8 2 5" xfId="3500" xr:uid="{00000000-0005-0000-0000-000055130000}"/>
    <cellStyle name="Porcentagem 4 2 8 2 6" xfId="4027" xr:uid="{00000000-0005-0000-0000-000056130000}"/>
    <cellStyle name="Porcentagem 4 2 8 3" xfId="870" xr:uid="{00000000-0005-0000-0000-000057130000}"/>
    <cellStyle name="Porcentagem 4 2 8 4" xfId="1221" xr:uid="{00000000-0005-0000-0000-000058130000}"/>
    <cellStyle name="Porcentagem 4 2 8 5" xfId="1656" xr:uid="{00000000-0005-0000-0000-000059130000}"/>
    <cellStyle name="Porcentagem 4 2 8 6" xfId="2186" xr:uid="{00000000-0005-0000-0000-00005A130000}"/>
    <cellStyle name="Porcentagem 4 2 8 7" xfId="2713" xr:uid="{00000000-0005-0000-0000-00005B130000}"/>
    <cellStyle name="Porcentagem 4 2 8 8" xfId="3240" xr:uid="{00000000-0005-0000-0000-00005C130000}"/>
    <cellStyle name="Porcentagem 4 2 8 9" xfId="3767" xr:uid="{00000000-0005-0000-0000-00005D130000}"/>
    <cellStyle name="Porcentagem 4 2 9" xfId="219" xr:uid="{00000000-0005-0000-0000-00005E130000}"/>
    <cellStyle name="Porcentagem 4 2 9 2" xfId="482" xr:uid="{00000000-0005-0000-0000-00005F130000}"/>
    <cellStyle name="Porcentagem 4 2 9 3" xfId="779" xr:uid="{00000000-0005-0000-0000-000060130000}"/>
    <cellStyle name="Porcentagem 4 2 9 4" xfId="1130" xr:uid="{00000000-0005-0000-0000-000061130000}"/>
    <cellStyle name="Porcentagem 4 2 9 5" xfId="1565" xr:uid="{00000000-0005-0000-0000-000062130000}"/>
    <cellStyle name="Porcentagem 4 2 9 6" xfId="2095" xr:uid="{00000000-0005-0000-0000-000063130000}"/>
    <cellStyle name="Porcentagem 4 2 9 7" xfId="2622" xr:uid="{00000000-0005-0000-0000-000064130000}"/>
    <cellStyle name="Porcentagem 4 2 9 8" xfId="3149" xr:uid="{00000000-0005-0000-0000-000065130000}"/>
    <cellStyle name="Porcentagem 4 2 9 9" xfId="3676" xr:uid="{00000000-0005-0000-0000-000066130000}"/>
    <cellStyle name="Porcentagem 4 20" xfId="686" xr:uid="{00000000-0005-0000-0000-000067130000}"/>
    <cellStyle name="Porcentagem 4 20 2" xfId="4110" xr:uid="{00000000-0005-0000-0000-000068130000}"/>
    <cellStyle name="Porcentagem 4 21" xfId="1037" xr:uid="{00000000-0005-0000-0000-000069130000}"/>
    <cellStyle name="Porcentagem 4 22" xfId="1472" xr:uid="{00000000-0005-0000-0000-00006A130000}"/>
    <cellStyle name="Porcentagem 4 23" xfId="2002" xr:uid="{00000000-0005-0000-0000-00006B130000}"/>
    <cellStyle name="Porcentagem 4 24" xfId="2529" xr:uid="{00000000-0005-0000-0000-00006C130000}"/>
    <cellStyle name="Porcentagem 4 25" xfId="3056" xr:uid="{00000000-0005-0000-0000-00006D130000}"/>
    <cellStyle name="Porcentagem 4 26" xfId="3583" xr:uid="{00000000-0005-0000-0000-00006E130000}"/>
    <cellStyle name="Porcentagem 4 3" xfId="42" xr:uid="{00000000-0005-0000-0000-00006F130000}"/>
    <cellStyle name="Porcentagem 4 3 10" xfId="2545" xr:uid="{00000000-0005-0000-0000-000070130000}"/>
    <cellStyle name="Porcentagem 4 3 11" xfId="3072" xr:uid="{00000000-0005-0000-0000-000071130000}"/>
    <cellStyle name="Porcentagem 4 3 12" xfId="3599" xr:uid="{00000000-0005-0000-0000-000072130000}"/>
    <cellStyle name="Porcentagem 4 3 2" xfId="136" xr:uid="{00000000-0005-0000-0000-000073130000}"/>
    <cellStyle name="Porcentagem 4 3 2 2" xfId="409" xr:uid="{00000000-0005-0000-0000-000074130000}"/>
    <cellStyle name="Porcentagem 4 3 2 2 2" xfId="1928" xr:uid="{00000000-0005-0000-0000-000075130000}"/>
    <cellStyle name="Porcentagem 4 3 2 2 3" xfId="2458" xr:uid="{00000000-0005-0000-0000-000076130000}"/>
    <cellStyle name="Porcentagem 4 3 2 2 4" xfId="2985" xr:uid="{00000000-0005-0000-0000-000077130000}"/>
    <cellStyle name="Porcentagem 4 3 2 2 5" xfId="3512" xr:uid="{00000000-0005-0000-0000-000078130000}"/>
    <cellStyle name="Porcentagem 4 3 2 2 6" xfId="4039" xr:uid="{00000000-0005-0000-0000-000079130000}"/>
    <cellStyle name="Porcentagem 4 3 2 3" xfId="882" xr:uid="{00000000-0005-0000-0000-00007A130000}"/>
    <cellStyle name="Porcentagem 4 3 2 4" xfId="1233" xr:uid="{00000000-0005-0000-0000-00007B130000}"/>
    <cellStyle name="Porcentagem 4 3 2 5" xfId="1668" xr:uid="{00000000-0005-0000-0000-00007C130000}"/>
    <cellStyle name="Porcentagem 4 3 2 6" xfId="2198" xr:uid="{00000000-0005-0000-0000-00007D130000}"/>
    <cellStyle name="Porcentagem 4 3 2 7" xfId="2725" xr:uid="{00000000-0005-0000-0000-00007E130000}"/>
    <cellStyle name="Porcentagem 4 3 2 8" xfId="3252" xr:uid="{00000000-0005-0000-0000-00007F130000}"/>
    <cellStyle name="Porcentagem 4 3 2 9" xfId="3779" xr:uid="{00000000-0005-0000-0000-000080130000}"/>
    <cellStyle name="Porcentagem 4 3 3" xfId="231" xr:uid="{00000000-0005-0000-0000-000081130000}"/>
    <cellStyle name="Porcentagem 4 3 3 2" xfId="494" xr:uid="{00000000-0005-0000-0000-000082130000}"/>
    <cellStyle name="Porcentagem 4 3 3 3" xfId="791" xr:uid="{00000000-0005-0000-0000-000083130000}"/>
    <cellStyle name="Porcentagem 4 3 3 4" xfId="1142" xr:uid="{00000000-0005-0000-0000-000084130000}"/>
    <cellStyle name="Porcentagem 4 3 3 5" xfId="1577" xr:uid="{00000000-0005-0000-0000-000085130000}"/>
    <cellStyle name="Porcentagem 4 3 3 6" xfId="2107" xr:uid="{00000000-0005-0000-0000-000086130000}"/>
    <cellStyle name="Porcentagem 4 3 3 7" xfId="2634" xr:uid="{00000000-0005-0000-0000-000087130000}"/>
    <cellStyle name="Porcentagem 4 3 3 8" xfId="3161" xr:uid="{00000000-0005-0000-0000-000088130000}"/>
    <cellStyle name="Porcentagem 4 3 3 9" xfId="3688" xr:uid="{00000000-0005-0000-0000-000089130000}"/>
    <cellStyle name="Porcentagem 4 3 4" xfId="324" xr:uid="{00000000-0005-0000-0000-00008A130000}"/>
    <cellStyle name="Porcentagem 4 3 4 2" xfId="969" xr:uid="{00000000-0005-0000-0000-00008B130000}"/>
    <cellStyle name="Porcentagem 4 3 4 3" xfId="1320" xr:uid="{00000000-0005-0000-0000-00008C130000}"/>
    <cellStyle name="Porcentagem 4 3 4 4" xfId="1755" xr:uid="{00000000-0005-0000-0000-00008D130000}"/>
    <cellStyle name="Porcentagem 4 3 4 5" xfId="2285" xr:uid="{00000000-0005-0000-0000-00008E130000}"/>
    <cellStyle name="Porcentagem 4 3 4 6" xfId="2812" xr:uid="{00000000-0005-0000-0000-00008F130000}"/>
    <cellStyle name="Porcentagem 4 3 4 7" xfId="3339" xr:uid="{00000000-0005-0000-0000-000090130000}"/>
    <cellStyle name="Porcentagem 4 3 4 8" xfId="3866" xr:uid="{00000000-0005-0000-0000-000091130000}"/>
    <cellStyle name="Porcentagem 4 3 5" xfId="581" xr:uid="{00000000-0005-0000-0000-000092130000}"/>
    <cellStyle name="Porcentagem 4 3 5 2" xfId="1404" xr:uid="{00000000-0005-0000-0000-000093130000}"/>
    <cellStyle name="Porcentagem 4 3 5 3" xfId="1839" xr:uid="{00000000-0005-0000-0000-000094130000}"/>
    <cellStyle name="Porcentagem 4 3 5 4" xfId="2369" xr:uid="{00000000-0005-0000-0000-000095130000}"/>
    <cellStyle name="Porcentagem 4 3 5 5" xfId="2896" xr:uid="{00000000-0005-0000-0000-000096130000}"/>
    <cellStyle name="Porcentagem 4 3 5 6" xfId="3423" xr:uid="{00000000-0005-0000-0000-000097130000}"/>
    <cellStyle name="Porcentagem 4 3 5 7" xfId="3950" xr:uid="{00000000-0005-0000-0000-000098130000}"/>
    <cellStyle name="Porcentagem 4 3 6" xfId="702" xr:uid="{00000000-0005-0000-0000-000099130000}"/>
    <cellStyle name="Porcentagem 4 3 6 2" xfId="4126" xr:uid="{00000000-0005-0000-0000-00009A130000}"/>
    <cellStyle name="Porcentagem 4 3 7" xfId="1053" xr:uid="{00000000-0005-0000-0000-00009B130000}"/>
    <cellStyle name="Porcentagem 4 3 8" xfId="1488" xr:uid="{00000000-0005-0000-0000-00009C130000}"/>
    <cellStyle name="Porcentagem 4 3 9" xfId="2018" xr:uid="{00000000-0005-0000-0000-00009D130000}"/>
    <cellStyle name="Porcentagem 4 4" xfId="46" xr:uid="{00000000-0005-0000-0000-00009E130000}"/>
    <cellStyle name="Porcentagem 4 4 10" xfId="2549" xr:uid="{00000000-0005-0000-0000-00009F130000}"/>
    <cellStyle name="Porcentagem 4 4 11" xfId="3076" xr:uid="{00000000-0005-0000-0000-0000A0130000}"/>
    <cellStyle name="Porcentagem 4 4 12" xfId="3603" xr:uid="{00000000-0005-0000-0000-0000A1130000}"/>
    <cellStyle name="Porcentagem 4 4 2" xfId="140" xr:uid="{00000000-0005-0000-0000-0000A2130000}"/>
    <cellStyle name="Porcentagem 4 4 2 2" xfId="413" xr:uid="{00000000-0005-0000-0000-0000A3130000}"/>
    <cellStyle name="Porcentagem 4 4 2 2 2" xfId="1932" xr:uid="{00000000-0005-0000-0000-0000A4130000}"/>
    <cellStyle name="Porcentagem 4 4 2 2 3" xfId="2462" xr:uid="{00000000-0005-0000-0000-0000A5130000}"/>
    <cellStyle name="Porcentagem 4 4 2 2 4" xfId="2989" xr:uid="{00000000-0005-0000-0000-0000A6130000}"/>
    <cellStyle name="Porcentagem 4 4 2 2 5" xfId="3516" xr:uid="{00000000-0005-0000-0000-0000A7130000}"/>
    <cellStyle name="Porcentagem 4 4 2 2 6" xfId="4043" xr:uid="{00000000-0005-0000-0000-0000A8130000}"/>
    <cellStyle name="Porcentagem 4 4 2 3" xfId="886" xr:uid="{00000000-0005-0000-0000-0000A9130000}"/>
    <cellStyle name="Porcentagem 4 4 2 4" xfId="1237" xr:uid="{00000000-0005-0000-0000-0000AA130000}"/>
    <cellStyle name="Porcentagem 4 4 2 5" xfId="1672" xr:uid="{00000000-0005-0000-0000-0000AB130000}"/>
    <cellStyle name="Porcentagem 4 4 2 6" xfId="2202" xr:uid="{00000000-0005-0000-0000-0000AC130000}"/>
    <cellStyle name="Porcentagem 4 4 2 7" xfId="2729" xr:uid="{00000000-0005-0000-0000-0000AD130000}"/>
    <cellStyle name="Porcentagem 4 4 2 8" xfId="3256" xr:uid="{00000000-0005-0000-0000-0000AE130000}"/>
    <cellStyle name="Porcentagem 4 4 2 9" xfId="3783" xr:uid="{00000000-0005-0000-0000-0000AF130000}"/>
    <cellStyle name="Porcentagem 4 4 3" xfId="235" xr:uid="{00000000-0005-0000-0000-0000B0130000}"/>
    <cellStyle name="Porcentagem 4 4 3 2" xfId="498" xr:uid="{00000000-0005-0000-0000-0000B1130000}"/>
    <cellStyle name="Porcentagem 4 4 3 3" xfId="795" xr:uid="{00000000-0005-0000-0000-0000B2130000}"/>
    <cellStyle name="Porcentagem 4 4 3 4" xfId="1146" xr:uid="{00000000-0005-0000-0000-0000B3130000}"/>
    <cellStyle name="Porcentagem 4 4 3 5" xfId="1581" xr:uid="{00000000-0005-0000-0000-0000B4130000}"/>
    <cellStyle name="Porcentagem 4 4 3 6" xfId="2111" xr:uid="{00000000-0005-0000-0000-0000B5130000}"/>
    <cellStyle name="Porcentagem 4 4 3 7" xfId="2638" xr:uid="{00000000-0005-0000-0000-0000B6130000}"/>
    <cellStyle name="Porcentagem 4 4 3 8" xfId="3165" xr:uid="{00000000-0005-0000-0000-0000B7130000}"/>
    <cellStyle name="Porcentagem 4 4 3 9" xfId="3692" xr:uid="{00000000-0005-0000-0000-0000B8130000}"/>
    <cellStyle name="Porcentagem 4 4 4" xfId="328" xr:uid="{00000000-0005-0000-0000-0000B9130000}"/>
    <cellStyle name="Porcentagem 4 4 4 2" xfId="973" xr:uid="{00000000-0005-0000-0000-0000BA130000}"/>
    <cellStyle name="Porcentagem 4 4 4 3" xfId="1324" xr:uid="{00000000-0005-0000-0000-0000BB130000}"/>
    <cellStyle name="Porcentagem 4 4 4 4" xfId="1759" xr:uid="{00000000-0005-0000-0000-0000BC130000}"/>
    <cellStyle name="Porcentagem 4 4 4 5" xfId="2289" xr:uid="{00000000-0005-0000-0000-0000BD130000}"/>
    <cellStyle name="Porcentagem 4 4 4 6" xfId="2816" xr:uid="{00000000-0005-0000-0000-0000BE130000}"/>
    <cellStyle name="Porcentagem 4 4 4 7" xfId="3343" xr:uid="{00000000-0005-0000-0000-0000BF130000}"/>
    <cellStyle name="Porcentagem 4 4 4 8" xfId="3870" xr:uid="{00000000-0005-0000-0000-0000C0130000}"/>
    <cellStyle name="Porcentagem 4 4 5" xfId="585" xr:uid="{00000000-0005-0000-0000-0000C1130000}"/>
    <cellStyle name="Porcentagem 4 4 5 2" xfId="1408" xr:uid="{00000000-0005-0000-0000-0000C2130000}"/>
    <cellStyle name="Porcentagem 4 4 5 3" xfId="1843" xr:uid="{00000000-0005-0000-0000-0000C3130000}"/>
    <cellStyle name="Porcentagem 4 4 5 4" xfId="2373" xr:uid="{00000000-0005-0000-0000-0000C4130000}"/>
    <cellStyle name="Porcentagem 4 4 5 5" xfId="2900" xr:uid="{00000000-0005-0000-0000-0000C5130000}"/>
    <cellStyle name="Porcentagem 4 4 5 6" xfId="3427" xr:uid="{00000000-0005-0000-0000-0000C6130000}"/>
    <cellStyle name="Porcentagem 4 4 5 7" xfId="3954" xr:uid="{00000000-0005-0000-0000-0000C7130000}"/>
    <cellStyle name="Porcentagem 4 4 6" xfId="706" xr:uid="{00000000-0005-0000-0000-0000C8130000}"/>
    <cellStyle name="Porcentagem 4 4 6 2" xfId="4130" xr:uid="{00000000-0005-0000-0000-0000C9130000}"/>
    <cellStyle name="Porcentagem 4 4 7" xfId="1057" xr:uid="{00000000-0005-0000-0000-0000CA130000}"/>
    <cellStyle name="Porcentagem 4 4 8" xfId="1492" xr:uid="{00000000-0005-0000-0000-0000CB130000}"/>
    <cellStyle name="Porcentagem 4 4 9" xfId="2022" xr:uid="{00000000-0005-0000-0000-0000CC130000}"/>
    <cellStyle name="Porcentagem 4 5" xfId="50" xr:uid="{00000000-0005-0000-0000-0000CD130000}"/>
    <cellStyle name="Porcentagem 4 5 10" xfId="2553" xr:uid="{00000000-0005-0000-0000-0000CE130000}"/>
    <cellStyle name="Porcentagem 4 5 11" xfId="3080" xr:uid="{00000000-0005-0000-0000-0000CF130000}"/>
    <cellStyle name="Porcentagem 4 5 12" xfId="3607" xr:uid="{00000000-0005-0000-0000-0000D0130000}"/>
    <cellStyle name="Porcentagem 4 5 2" xfId="144" xr:uid="{00000000-0005-0000-0000-0000D1130000}"/>
    <cellStyle name="Porcentagem 4 5 2 2" xfId="417" xr:uid="{00000000-0005-0000-0000-0000D2130000}"/>
    <cellStyle name="Porcentagem 4 5 2 2 2" xfId="1936" xr:uid="{00000000-0005-0000-0000-0000D3130000}"/>
    <cellStyle name="Porcentagem 4 5 2 2 3" xfId="2466" xr:uid="{00000000-0005-0000-0000-0000D4130000}"/>
    <cellStyle name="Porcentagem 4 5 2 2 4" xfId="2993" xr:uid="{00000000-0005-0000-0000-0000D5130000}"/>
    <cellStyle name="Porcentagem 4 5 2 2 5" xfId="3520" xr:uid="{00000000-0005-0000-0000-0000D6130000}"/>
    <cellStyle name="Porcentagem 4 5 2 2 6" xfId="4047" xr:uid="{00000000-0005-0000-0000-0000D7130000}"/>
    <cellStyle name="Porcentagem 4 5 2 3" xfId="890" xr:uid="{00000000-0005-0000-0000-0000D8130000}"/>
    <cellStyle name="Porcentagem 4 5 2 4" xfId="1241" xr:uid="{00000000-0005-0000-0000-0000D9130000}"/>
    <cellStyle name="Porcentagem 4 5 2 5" xfId="1676" xr:uid="{00000000-0005-0000-0000-0000DA130000}"/>
    <cellStyle name="Porcentagem 4 5 2 6" xfId="2206" xr:uid="{00000000-0005-0000-0000-0000DB130000}"/>
    <cellStyle name="Porcentagem 4 5 2 7" xfId="2733" xr:uid="{00000000-0005-0000-0000-0000DC130000}"/>
    <cellStyle name="Porcentagem 4 5 2 8" xfId="3260" xr:uid="{00000000-0005-0000-0000-0000DD130000}"/>
    <cellStyle name="Porcentagem 4 5 2 9" xfId="3787" xr:uid="{00000000-0005-0000-0000-0000DE130000}"/>
    <cellStyle name="Porcentagem 4 5 3" xfId="239" xr:uid="{00000000-0005-0000-0000-0000DF130000}"/>
    <cellStyle name="Porcentagem 4 5 3 2" xfId="502" xr:uid="{00000000-0005-0000-0000-0000E0130000}"/>
    <cellStyle name="Porcentagem 4 5 3 3" xfId="799" xr:uid="{00000000-0005-0000-0000-0000E1130000}"/>
    <cellStyle name="Porcentagem 4 5 3 4" xfId="1150" xr:uid="{00000000-0005-0000-0000-0000E2130000}"/>
    <cellStyle name="Porcentagem 4 5 3 5" xfId="1585" xr:uid="{00000000-0005-0000-0000-0000E3130000}"/>
    <cellStyle name="Porcentagem 4 5 3 6" xfId="2115" xr:uid="{00000000-0005-0000-0000-0000E4130000}"/>
    <cellStyle name="Porcentagem 4 5 3 7" xfId="2642" xr:uid="{00000000-0005-0000-0000-0000E5130000}"/>
    <cellStyle name="Porcentagem 4 5 3 8" xfId="3169" xr:uid="{00000000-0005-0000-0000-0000E6130000}"/>
    <cellStyle name="Porcentagem 4 5 3 9" xfId="3696" xr:uid="{00000000-0005-0000-0000-0000E7130000}"/>
    <cellStyle name="Porcentagem 4 5 4" xfId="332" xr:uid="{00000000-0005-0000-0000-0000E8130000}"/>
    <cellStyle name="Porcentagem 4 5 4 2" xfId="977" xr:uid="{00000000-0005-0000-0000-0000E9130000}"/>
    <cellStyle name="Porcentagem 4 5 4 3" xfId="1328" xr:uid="{00000000-0005-0000-0000-0000EA130000}"/>
    <cellStyle name="Porcentagem 4 5 4 4" xfId="1763" xr:uid="{00000000-0005-0000-0000-0000EB130000}"/>
    <cellStyle name="Porcentagem 4 5 4 5" xfId="2293" xr:uid="{00000000-0005-0000-0000-0000EC130000}"/>
    <cellStyle name="Porcentagem 4 5 4 6" xfId="2820" xr:uid="{00000000-0005-0000-0000-0000ED130000}"/>
    <cellStyle name="Porcentagem 4 5 4 7" xfId="3347" xr:uid="{00000000-0005-0000-0000-0000EE130000}"/>
    <cellStyle name="Porcentagem 4 5 4 8" xfId="3874" xr:uid="{00000000-0005-0000-0000-0000EF130000}"/>
    <cellStyle name="Porcentagem 4 5 5" xfId="589" xr:uid="{00000000-0005-0000-0000-0000F0130000}"/>
    <cellStyle name="Porcentagem 4 5 5 2" xfId="1412" xr:uid="{00000000-0005-0000-0000-0000F1130000}"/>
    <cellStyle name="Porcentagem 4 5 5 3" xfId="1847" xr:uid="{00000000-0005-0000-0000-0000F2130000}"/>
    <cellStyle name="Porcentagem 4 5 5 4" xfId="2377" xr:uid="{00000000-0005-0000-0000-0000F3130000}"/>
    <cellStyle name="Porcentagem 4 5 5 5" xfId="2904" xr:uid="{00000000-0005-0000-0000-0000F4130000}"/>
    <cellStyle name="Porcentagem 4 5 5 6" xfId="3431" xr:uid="{00000000-0005-0000-0000-0000F5130000}"/>
    <cellStyle name="Porcentagem 4 5 5 7" xfId="3958" xr:uid="{00000000-0005-0000-0000-0000F6130000}"/>
    <cellStyle name="Porcentagem 4 5 6" xfId="710" xr:uid="{00000000-0005-0000-0000-0000F7130000}"/>
    <cellStyle name="Porcentagem 4 5 6 2" xfId="4134" xr:uid="{00000000-0005-0000-0000-0000F8130000}"/>
    <cellStyle name="Porcentagem 4 5 7" xfId="1061" xr:uid="{00000000-0005-0000-0000-0000F9130000}"/>
    <cellStyle name="Porcentagem 4 5 8" xfId="1496" xr:uid="{00000000-0005-0000-0000-0000FA130000}"/>
    <cellStyle name="Porcentagem 4 5 9" xfId="2026" xr:uid="{00000000-0005-0000-0000-0000FB130000}"/>
    <cellStyle name="Porcentagem 4 6" xfId="54" xr:uid="{00000000-0005-0000-0000-0000FC130000}"/>
    <cellStyle name="Porcentagem 4 6 10" xfId="2557" xr:uid="{00000000-0005-0000-0000-0000FD130000}"/>
    <cellStyle name="Porcentagem 4 6 11" xfId="3084" xr:uid="{00000000-0005-0000-0000-0000FE130000}"/>
    <cellStyle name="Porcentagem 4 6 12" xfId="3611" xr:uid="{00000000-0005-0000-0000-0000FF130000}"/>
    <cellStyle name="Porcentagem 4 6 2" xfId="148" xr:uid="{00000000-0005-0000-0000-000000140000}"/>
    <cellStyle name="Porcentagem 4 6 2 2" xfId="421" xr:uid="{00000000-0005-0000-0000-000001140000}"/>
    <cellStyle name="Porcentagem 4 6 2 2 2" xfId="1940" xr:uid="{00000000-0005-0000-0000-000002140000}"/>
    <cellStyle name="Porcentagem 4 6 2 2 3" xfId="2470" xr:uid="{00000000-0005-0000-0000-000003140000}"/>
    <cellStyle name="Porcentagem 4 6 2 2 4" xfId="2997" xr:uid="{00000000-0005-0000-0000-000004140000}"/>
    <cellStyle name="Porcentagem 4 6 2 2 5" xfId="3524" xr:uid="{00000000-0005-0000-0000-000005140000}"/>
    <cellStyle name="Porcentagem 4 6 2 2 6" xfId="4051" xr:uid="{00000000-0005-0000-0000-000006140000}"/>
    <cellStyle name="Porcentagem 4 6 2 3" xfId="894" xr:uid="{00000000-0005-0000-0000-000007140000}"/>
    <cellStyle name="Porcentagem 4 6 2 4" xfId="1245" xr:uid="{00000000-0005-0000-0000-000008140000}"/>
    <cellStyle name="Porcentagem 4 6 2 5" xfId="1680" xr:uid="{00000000-0005-0000-0000-000009140000}"/>
    <cellStyle name="Porcentagem 4 6 2 6" xfId="2210" xr:uid="{00000000-0005-0000-0000-00000A140000}"/>
    <cellStyle name="Porcentagem 4 6 2 7" xfId="2737" xr:uid="{00000000-0005-0000-0000-00000B140000}"/>
    <cellStyle name="Porcentagem 4 6 2 8" xfId="3264" xr:uid="{00000000-0005-0000-0000-00000C140000}"/>
    <cellStyle name="Porcentagem 4 6 2 9" xfId="3791" xr:uid="{00000000-0005-0000-0000-00000D140000}"/>
    <cellStyle name="Porcentagem 4 6 3" xfId="243" xr:uid="{00000000-0005-0000-0000-00000E140000}"/>
    <cellStyle name="Porcentagem 4 6 3 2" xfId="506" xr:uid="{00000000-0005-0000-0000-00000F140000}"/>
    <cellStyle name="Porcentagem 4 6 3 3" xfId="803" xr:uid="{00000000-0005-0000-0000-000010140000}"/>
    <cellStyle name="Porcentagem 4 6 3 4" xfId="1154" xr:uid="{00000000-0005-0000-0000-000011140000}"/>
    <cellStyle name="Porcentagem 4 6 3 5" xfId="1589" xr:uid="{00000000-0005-0000-0000-000012140000}"/>
    <cellStyle name="Porcentagem 4 6 3 6" xfId="2119" xr:uid="{00000000-0005-0000-0000-000013140000}"/>
    <cellStyle name="Porcentagem 4 6 3 7" xfId="2646" xr:uid="{00000000-0005-0000-0000-000014140000}"/>
    <cellStyle name="Porcentagem 4 6 3 8" xfId="3173" xr:uid="{00000000-0005-0000-0000-000015140000}"/>
    <cellStyle name="Porcentagem 4 6 3 9" xfId="3700" xr:uid="{00000000-0005-0000-0000-000016140000}"/>
    <cellStyle name="Porcentagem 4 6 4" xfId="336" xr:uid="{00000000-0005-0000-0000-000017140000}"/>
    <cellStyle name="Porcentagem 4 6 4 2" xfId="981" xr:uid="{00000000-0005-0000-0000-000018140000}"/>
    <cellStyle name="Porcentagem 4 6 4 3" xfId="1332" xr:uid="{00000000-0005-0000-0000-000019140000}"/>
    <cellStyle name="Porcentagem 4 6 4 4" xfId="1767" xr:uid="{00000000-0005-0000-0000-00001A140000}"/>
    <cellStyle name="Porcentagem 4 6 4 5" xfId="2297" xr:uid="{00000000-0005-0000-0000-00001B140000}"/>
    <cellStyle name="Porcentagem 4 6 4 6" xfId="2824" xr:uid="{00000000-0005-0000-0000-00001C140000}"/>
    <cellStyle name="Porcentagem 4 6 4 7" xfId="3351" xr:uid="{00000000-0005-0000-0000-00001D140000}"/>
    <cellStyle name="Porcentagem 4 6 4 8" xfId="3878" xr:uid="{00000000-0005-0000-0000-00001E140000}"/>
    <cellStyle name="Porcentagem 4 6 5" xfId="593" xr:uid="{00000000-0005-0000-0000-00001F140000}"/>
    <cellStyle name="Porcentagem 4 6 5 2" xfId="1416" xr:uid="{00000000-0005-0000-0000-000020140000}"/>
    <cellStyle name="Porcentagem 4 6 5 3" xfId="1851" xr:uid="{00000000-0005-0000-0000-000021140000}"/>
    <cellStyle name="Porcentagem 4 6 5 4" xfId="2381" xr:uid="{00000000-0005-0000-0000-000022140000}"/>
    <cellStyle name="Porcentagem 4 6 5 5" xfId="2908" xr:uid="{00000000-0005-0000-0000-000023140000}"/>
    <cellStyle name="Porcentagem 4 6 5 6" xfId="3435" xr:uid="{00000000-0005-0000-0000-000024140000}"/>
    <cellStyle name="Porcentagem 4 6 5 7" xfId="3962" xr:uid="{00000000-0005-0000-0000-000025140000}"/>
    <cellStyle name="Porcentagem 4 6 6" xfId="714" xr:uid="{00000000-0005-0000-0000-000026140000}"/>
    <cellStyle name="Porcentagem 4 6 6 2" xfId="4138" xr:uid="{00000000-0005-0000-0000-000027140000}"/>
    <cellStyle name="Porcentagem 4 6 7" xfId="1065" xr:uid="{00000000-0005-0000-0000-000028140000}"/>
    <cellStyle name="Porcentagem 4 6 8" xfId="1500" xr:uid="{00000000-0005-0000-0000-000029140000}"/>
    <cellStyle name="Porcentagem 4 6 9" xfId="2030" xr:uid="{00000000-0005-0000-0000-00002A140000}"/>
    <cellStyle name="Porcentagem 4 7" xfId="58" xr:uid="{00000000-0005-0000-0000-00002B140000}"/>
    <cellStyle name="Porcentagem 4 7 10" xfId="2561" xr:uid="{00000000-0005-0000-0000-00002C140000}"/>
    <cellStyle name="Porcentagem 4 7 11" xfId="3088" xr:uid="{00000000-0005-0000-0000-00002D140000}"/>
    <cellStyle name="Porcentagem 4 7 12" xfId="3615" xr:uid="{00000000-0005-0000-0000-00002E140000}"/>
    <cellStyle name="Porcentagem 4 7 2" xfId="152" xr:uid="{00000000-0005-0000-0000-00002F140000}"/>
    <cellStyle name="Porcentagem 4 7 2 2" xfId="425" xr:uid="{00000000-0005-0000-0000-000030140000}"/>
    <cellStyle name="Porcentagem 4 7 2 2 2" xfId="1944" xr:uid="{00000000-0005-0000-0000-000031140000}"/>
    <cellStyle name="Porcentagem 4 7 2 2 3" xfId="2474" xr:uid="{00000000-0005-0000-0000-000032140000}"/>
    <cellStyle name="Porcentagem 4 7 2 2 4" xfId="3001" xr:uid="{00000000-0005-0000-0000-000033140000}"/>
    <cellStyle name="Porcentagem 4 7 2 2 5" xfId="3528" xr:uid="{00000000-0005-0000-0000-000034140000}"/>
    <cellStyle name="Porcentagem 4 7 2 2 6" xfId="4055" xr:uid="{00000000-0005-0000-0000-000035140000}"/>
    <cellStyle name="Porcentagem 4 7 2 3" xfId="898" xr:uid="{00000000-0005-0000-0000-000036140000}"/>
    <cellStyle name="Porcentagem 4 7 2 4" xfId="1249" xr:uid="{00000000-0005-0000-0000-000037140000}"/>
    <cellStyle name="Porcentagem 4 7 2 5" xfId="1684" xr:uid="{00000000-0005-0000-0000-000038140000}"/>
    <cellStyle name="Porcentagem 4 7 2 6" xfId="2214" xr:uid="{00000000-0005-0000-0000-000039140000}"/>
    <cellStyle name="Porcentagem 4 7 2 7" xfId="2741" xr:uid="{00000000-0005-0000-0000-00003A140000}"/>
    <cellStyle name="Porcentagem 4 7 2 8" xfId="3268" xr:uid="{00000000-0005-0000-0000-00003B140000}"/>
    <cellStyle name="Porcentagem 4 7 2 9" xfId="3795" xr:uid="{00000000-0005-0000-0000-00003C140000}"/>
    <cellStyle name="Porcentagem 4 7 3" xfId="247" xr:uid="{00000000-0005-0000-0000-00003D140000}"/>
    <cellStyle name="Porcentagem 4 7 3 2" xfId="510" xr:uid="{00000000-0005-0000-0000-00003E140000}"/>
    <cellStyle name="Porcentagem 4 7 3 3" xfId="807" xr:uid="{00000000-0005-0000-0000-00003F140000}"/>
    <cellStyle name="Porcentagem 4 7 3 4" xfId="1158" xr:uid="{00000000-0005-0000-0000-000040140000}"/>
    <cellStyle name="Porcentagem 4 7 3 5" xfId="1593" xr:uid="{00000000-0005-0000-0000-000041140000}"/>
    <cellStyle name="Porcentagem 4 7 3 6" xfId="2123" xr:uid="{00000000-0005-0000-0000-000042140000}"/>
    <cellStyle name="Porcentagem 4 7 3 7" xfId="2650" xr:uid="{00000000-0005-0000-0000-000043140000}"/>
    <cellStyle name="Porcentagem 4 7 3 8" xfId="3177" xr:uid="{00000000-0005-0000-0000-000044140000}"/>
    <cellStyle name="Porcentagem 4 7 3 9" xfId="3704" xr:uid="{00000000-0005-0000-0000-000045140000}"/>
    <cellStyle name="Porcentagem 4 7 4" xfId="340" xr:uid="{00000000-0005-0000-0000-000046140000}"/>
    <cellStyle name="Porcentagem 4 7 4 2" xfId="985" xr:uid="{00000000-0005-0000-0000-000047140000}"/>
    <cellStyle name="Porcentagem 4 7 4 3" xfId="1336" xr:uid="{00000000-0005-0000-0000-000048140000}"/>
    <cellStyle name="Porcentagem 4 7 4 4" xfId="1771" xr:uid="{00000000-0005-0000-0000-000049140000}"/>
    <cellStyle name="Porcentagem 4 7 4 5" xfId="2301" xr:uid="{00000000-0005-0000-0000-00004A140000}"/>
    <cellStyle name="Porcentagem 4 7 4 6" xfId="2828" xr:uid="{00000000-0005-0000-0000-00004B140000}"/>
    <cellStyle name="Porcentagem 4 7 4 7" xfId="3355" xr:uid="{00000000-0005-0000-0000-00004C140000}"/>
    <cellStyle name="Porcentagem 4 7 4 8" xfId="3882" xr:uid="{00000000-0005-0000-0000-00004D140000}"/>
    <cellStyle name="Porcentagem 4 7 5" xfId="597" xr:uid="{00000000-0005-0000-0000-00004E140000}"/>
    <cellStyle name="Porcentagem 4 7 5 2" xfId="1420" xr:uid="{00000000-0005-0000-0000-00004F140000}"/>
    <cellStyle name="Porcentagem 4 7 5 3" xfId="1855" xr:uid="{00000000-0005-0000-0000-000050140000}"/>
    <cellStyle name="Porcentagem 4 7 5 4" xfId="2385" xr:uid="{00000000-0005-0000-0000-000051140000}"/>
    <cellStyle name="Porcentagem 4 7 5 5" xfId="2912" xr:uid="{00000000-0005-0000-0000-000052140000}"/>
    <cellStyle name="Porcentagem 4 7 5 6" xfId="3439" xr:uid="{00000000-0005-0000-0000-000053140000}"/>
    <cellStyle name="Porcentagem 4 7 5 7" xfId="3966" xr:uid="{00000000-0005-0000-0000-000054140000}"/>
    <cellStyle name="Porcentagem 4 7 6" xfId="718" xr:uid="{00000000-0005-0000-0000-000055140000}"/>
    <cellStyle name="Porcentagem 4 7 6 2" xfId="4142" xr:uid="{00000000-0005-0000-0000-000056140000}"/>
    <cellStyle name="Porcentagem 4 7 7" xfId="1069" xr:uid="{00000000-0005-0000-0000-000057140000}"/>
    <cellStyle name="Porcentagem 4 7 8" xfId="1504" xr:uid="{00000000-0005-0000-0000-000058140000}"/>
    <cellStyle name="Porcentagem 4 7 9" xfId="2034" xr:uid="{00000000-0005-0000-0000-000059140000}"/>
    <cellStyle name="Porcentagem 4 8" xfId="62" xr:uid="{00000000-0005-0000-0000-00005A140000}"/>
    <cellStyle name="Porcentagem 4 8 10" xfId="2565" xr:uid="{00000000-0005-0000-0000-00005B140000}"/>
    <cellStyle name="Porcentagem 4 8 11" xfId="3092" xr:uid="{00000000-0005-0000-0000-00005C140000}"/>
    <cellStyle name="Porcentagem 4 8 12" xfId="3619" xr:uid="{00000000-0005-0000-0000-00005D140000}"/>
    <cellStyle name="Porcentagem 4 8 2" xfId="156" xr:uid="{00000000-0005-0000-0000-00005E140000}"/>
    <cellStyle name="Porcentagem 4 8 2 2" xfId="429" xr:uid="{00000000-0005-0000-0000-00005F140000}"/>
    <cellStyle name="Porcentagem 4 8 2 2 2" xfId="1948" xr:uid="{00000000-0005-0000-0000-000060140000}"/>
    <cellStyle name="Porcentagem 4 8 2 2 3" xfId="2478" xr:uid="{00000000-0005-0000-0000-000061140000}"/>
    <cellStyle name="Porcentagem 4 8 2 2 4" xfId="3005" xr:uid="{00000000-0005-0000-0000-000062140000}"/>
    <cellStyle name="Porcentagem 4 8 2 2 5" xfId="3532" xr:uid="{00000000-0005-0000-0000-000063140000}"/>
    <cellStyle name="Porcentagem 4 8 2 2 6" xfId="4059" xr:uid="{00000000-0005-0000-0000-000064140000}"/>
    <cellStyle name="Porcentagem 4 8 2 3" xfId="902" xr:uid="{00000000-0005-0000-0000-000065140000}"/>
    <cellStyle name="Porcentagem 4 8 2 4" xfId="1253" xr:uid="{00000000-0005-0000-0000-000066140000}"/>
    <cellStyle name="Porcentagem 4 8 2 5" xfId="1688" xr:uid="{00000000-0005-0000-0000-000067140000}"/>
    <cellStyle name="Porcentagem 4 8 2 6" xfId="2218" xr:uid="{00000000-0005-0000-0000-000068140000}"/>
    <cellStyle name="Porcentagem 4 8 2 7" xfId="2745" xr:uid="{00000000-0005-0000-0000-000069140000}"/>
    <cellStyle name="Porcentagem 4 8 2 8" xfId="3272" xr:uid="{00000000-0005-0000-0000-00006A140000}"/>
    <cellStyle name="Porcentagem 4 8 2 9" xfId="3799" xr:uid="{00000000-0005-0000-0000-00006B140000}"/>
    <cellStyle name="Porcentagem 4 8 3" xfId="251" xr:uid="{00000000-0005-0000-0000-00006C140000}"/>
    <cellStyle name="Porcentagem 4 8 3 2" xfId="514" xr:uid="{00000000-0005-0000-0000-00006D140000}"/>
    <cellStyle name="Porcentagem 4 8 3 3" xfId="811" xr:uid="{00000000-0005-0000-0000-00006E140000}"/>
    <cellStyle name="Porcentagem 4 8 3 4" xfId="1162" xr:uid="{00000000-0005-0000-0000-00006F140000}"/>
    <cellStyle name="Porcentagem 4 8 3 5" xfId="1597" xr:uid="{00000000-0005-0000-0000-000070140000}"/>
    <cellStyle name="Porcentagem 4 8 3 6" xfId="2127" xr:uid="{00000000-0005-0000-0000-000071140000}"/>
    <cellStyle name="Porcentagem 4 8 3 7" xfId="2654" xr:uid="{00000000-0005-0000-0000-000072140000}"/>
    <cellStyle name="Porcentagem 4 8 3 8" xfId="3181" xr:uid="{00000000-0005-0000-0000-000073140000}"/>
    <cellStyle name="Porcentagem 4 8 3 9" xfId="3708" xr:uid="{00000000-0005-0000-0000-000074140000}"/>
    <cellStyle name="Porcentagem 4 8 4" xfId="344" xr:uid="{00000000-0005-0000-0000-000075140000}"/>
    <cellStyle name="Porcentagem 4 8 4 2" xfId="989" xr:uid="{00000000-0005-0000-0000-000076140000}"/>
    <cellStyle name="Porcentagem 4 8 4 3" xfId="1340" xr:uid="{00000000-0005-0000-0000-000077140000}"/>
    <cellStyle name="Porcentagem 4 8 4 4" xfId="1775" xr:uid="{00000000-0005-0000-0000-000078140000}"/>
    <cellStyle name="Porcentagem 4 8 4 5" xfId="2305" xr:uid="{00000000-0005-0000-0000-000079140000}"/>
    <cellStyle name="Porcentagem 4 8 4 6" xfId="2832" xr:uid="{00000000-0005-0000-0000-00007A140000}"/>
    <cellStyle name="Porcentagem 4 8 4 7" xfId="3359" xr:uid="{00000000-0005-0000-0000-00007B140000}"/>
    <cellStyle name="Porcentagem 4 8 4 8" xfId="3886" xr:uid="{00000000-0005-0000-0000-00007C140000}"/>
    <cellStyle name="Porcentagem 4 8 5" xfId="601" xr:uid="{00000000-0005-0000-0000-00007D140000}"/>
    <cellStyle name="Porcentagem 4 8 5 2" xfId="1424" xr:uid="{00000000-0005-0000-0000-00007E140000}"/>
    <cellStyle name="Porcentagem 4 8 5 3" xfId="1859" xr:uid="{00000000-0005-0000-0000-00007F140000}"/>
    <cellStyle name="Porcentagem 4 8 5 4" xfId="2389" xr:uid="{00000000-0005-0000-0000-000080140000}"/>
    <cellStyle name="Porcentagem 4 8 5 5" xfId="2916" xr:uid="{00000000-0005-0000-0000-000081140000}"/>
    <cellStyle name="Porcentagem 4 8 5 6" xfId="3443" xr:uid="{00000000-0005-0000-0000-000082140000}"/>
    <cellStyle name="Porcentagem 4 8 5 7" xfId="3970" xr:uid="{00000000-0005-0000-0000-000083140000}"/>
    <cellStyle name="Porcentagem 4 8 6" xfId="722" xr:uid="{00000000-0005-0000-0000-000084140000}"/>
    <cellStyle name="Porcentagem 4 8 6 2" xfId="4146" xr:uid="{00000000-0005-0000-0000-000085140000}"/>
    <cellStyle name="Porcentagem 4 8 7" xfId="1073" xr:uid="{00000000-0005-0000-0000-000086140000}"/>
    <cellStyle name="Porcentagem 4 8 8" xfId="1508" xr:uid="{00000000-0005-0000-0000-000087140000}"/>
    <cellStyle name="Porcentagem 4 8 9" xfId="2038" xr:uid="{00000000-0005-0000-0000-000088140000}"/>
    <cellStyle name="Porcentagem 4 9" xfId="70" xr:uid="{00000000-0005-0000-0000-000089140000}"/>
    <cellStyle name="Porcentagem 4 9 10" xfId="2573" xr:uid="{00000000-0005-0000-0000-00008A140000}"/>
    <cellStyle name="Porcentagem 4 9 11" xfId="3100" xr:uid="{00000000-0005-0000-0000-00008B140000}"/>
    <cellStyle name="Porcentagem 4 9 12" xfId="3627" xr:uid="{00000000-0005-0000-0000-00008C140000}"/>
    <cellStyle name="Porcentagem 4 9 2" xfId="164" xr:uid="{00000000-0005-0000-0000-00008D140000}"/>
    <cellStyle name="Porcentagem 4 9 2 2" xfId="437" xr:uid="{00000000-0005-0000-0000-00008E140000}"/>
    <cellStyle name="Porcentagem 4 9 2 2 2" xfId="1956" xr:uid="{00000000-0005-0000-0000-00008F140000}"/>
    <cellStyle name="Porcentagem 4 9 2 2 3" xfId="2486" xr:uid="{00000000-0005-0000-0000-000090140000}"/>
    <cellStyle name="Porcentagem 4 9 2 2 4" xfId="3013" xr:uid="{00000000-0005-0000-0000-000091140000}"/>
    <cellStyle name="Porcentagem 4 9 2 2 5" xfId="3540" xr:uid="{00000000-0005-0000-0000-000092140000}"/>
    <cellStyle name="Porcentagem 4 9 2 2 6" xfId="4067" xr:uid="{00000000-0005-0000-0000-000093140000}"/>
    <cellStyle name="Porcentagem 4 9 2 3" xfId="910" xr:uid="{00000000-0005-0000-0000-000094140000}"/>
    <cellStyle name="Porcentagem 4 9 2 4" xfId="1261" xr:uid="{00000000-0005-0000-0000-000095140000}"/>
    <cellStyle name="Porcentagem 4 9 2 5" xfId="1696" xr:uid="{00000000-0005-0000-0000-000096140000}"/>
    <cellStyle name="Porcentagem 4 9 2 6" xfId="2226" xr:uid="{00000000-0005-0000-0000-000097140000}"/>
    <cellStyle name="Porcentagem 4 9 2 7" xfId="2753" xr:uid="{00000000-0005-0000-0000-000098140000}"/>
    <cellStyle name="Porcentagem 4 9 2 8" xfId="3280" xr:uid="{00000000-0005-0000-0000-000099140000}"/>
    <cellStyle name="Porcentagem 4 9 2 9" xfId="3807" xr:uid="{00000000-0005-0000-0000-00009A140000}"/>
    <cellStyle name="Porcentagem 4 9 3" xfId="259" xr:uid="{00000000-0005-0000-0000-00009B140000}"/>
    <cellStyle name="Porcentagem 4 9 3 2" xfId="522" xr:uid="{00000000-0005-0000-0000-00009C140000}"/>
    <cellStyle name="Porcentagem 4 9 3 3" xfId="819" xr:uid="{00000000-0005-0000-0000-00009D140000}"/>
    <cellStyle name="Porcentagem 4 9 3 4" xfId="1170" xr:uid="{00000000-0005-0000-0000-00009E140000}"/>
    <cellStyle name="Porcentagem 4 9 3 5" xfId="1605" xr:uid="{00000000-0005-0000-0000-00009F140000}"/>
    <cellStyle name="Porcentagem 4 9 3 6" xfId="2135" xr:uid="{00000000-0005-0000-0000-0000A0140000}"/>
    <cellStyle name="Porcentagem 4 9 3 7" xfId="2662" xr:uid="{00000000-0005-0000-0000-0000A1140000}"/>
    <cellStyle name="Porcentagem 4 9 3 8" xfId="3189" xr:uid="{00000000-0005-0000-0000-0000A2140000}"/>
    <cellStyle name="Porcentagem 4 9 3 9" xfId="3716" xr:uid="{00000000-0005-0000-0000-0000A3140000}"/>
    <cellStyle name="Porcentagem 4 9 4" xfId="352" xr:uid="{00000000-0005-0000-0000-0000A4140000}"/>
    <cellStyle name="Porcentagem 4 9 4 2" xfId="997" xr:uid="{00000000-0005-0000-0000-0000A5140000}"/>
    <cellStyle name="Porcentagem 4 9 4 3" xfId="1348" xr:uid="{00000000-0005-0000-0000-0000A6140000}"/>
    <cellStyle name="Porcentagem 4 9 4 4" xfId="1783" xr:uid="{00000000-0005-0000-0000-0000A7140000}"/>
    <cellStyle name="Porcentagem 4 9 4 5" xfId="2313" xr:uid="{00000000-0005-0000-0000-0000A8140000}"/>
    <cellStyle name="Porcentagem 4 9 4 6" xfId="2840" xr:uid="{00000000-0005-0000-0000-0000A9140000}"/>
    <cellStyle name="Porcentagem 4 9 4 7" xfId="3367" xr:uid="{00000000-0005-0000-0000-0000AA140000}"/>
    <cellStyle name="Porcentagem 4 9 4 8" xfId="3894" xr:uid="{00000000-0005-0000-0000-0000AB140000}"/>
    <cellStyle name="Porcentagem 4 9 5" xfId="609" xr:uid="{00000000-0005-0000-0000-0000AC140000}"/>
    <cellStyle name="Porcentagem 4 9 5 2" xfId="1432" xr:uid="{00000000-0005-0000-0000-0000AD140000}"/>
    <cellStyle name="Porcentagem 4 9 5 3" xfId="1867" xr:uid="{00000000-0005-0000-0000-0000AE140000}"/>
    <cellStyle name="Porcentagem 4 9 5 4" xfId="2397" xr:uid="{00000000-0005-0000-0000-0000AF140000}"/>
    <cellStyle name="Porcentagem 4 9 5 5" xfId="2924" xr:uid="{00000000-0005-0000-0000-0000B0140000}"/>
    <cellStyle name="Porcentagem 4 9 5 6" xfId="3451" xr:uid="{00000000-0005-0000-0000-0000B1140000}"/>
    <cellStyle name="Porcentagem 4 9 5 7" xfId="3978" xr:uid="{00000000-0005-0000-0000-0000B2140000}"/>
    <cellStyle name="Porcentagem 4 9 6" xfId="730" xr:uid="{00000000-0005-0000-0000-0000B3140000}"/>
    <cellStyle name="Porcentagem 4 9 6 2" xfId="4154" xr:uid="{00000000-0005-0000-0000-0000B4140000}"/>
    <cellStyle name="Porcentagem 4 9 7" xfId="1081" xr:uid="{00000000-0005-0000-0000-0000B5140000}"/>
    <cellStyle name="Porcentagem 4 9 8" xfId="1516" xr:uid="{00000000-0005-0000-0000-0000B6140000}"/>
    <cellStyle name="Porcentagem 4 9 9" xfId="2046" xr:uid="{00000000-0005-0000-0000-0000B7140000}"/>
    <cellStyle name="Porcentagem 5" xfId="14" xr:uid="{00000000-0005-0000-0000-0000B8140000}"/>
    <cellStyle name="Porcentagem 6" xfId="563" xr:uid="{00000000-0005-0000-0000-0000B9140000}"/>
    <cellStyle name="Separador de milhares 2" xfId="23" xr:uid="{00000000-0005-0000-0000-0000BA140000}"/>
    <cellStyle name="Separador de milhares 2 10" xfId="11097" xr:uid="{00000000-0005-0000-0000-0000BB140000}"/>
    <cellStyle name="Separador de milhares 2 10 2" xfId="37290" xr:uid="{00000000-0005-0000-0000-0000BC140000}"/>
    <cellStyle name="Separador de milhares 2 11" xfId="29208" xr:uid="{00000000-0005-0000-0000-0000BD140000}"/>
    <cellStyle name="Separador de milhares 2 2" xfId="24" xr:uid="{00000000-0005-0000-0000-0000BE140000}"/>
    <cellStyle name="Separador de milhares 2 2 10" xfId="29209" xr:uid="{00000000-0005-0000-0000-0000BF140000}"/>
    <cellStyle name="Separador de milhares 2 2 2" xfId="25" xr:uid="{00000000-0005-0000-0000-0000C0140000}"/>
    <cellStyle name="Separador de milhares 2 2 2 2" xfId="120" xr:uid="{00000000-0005-0000-0000-0000C1140000}"/>
    <cellStyle name="Separador de milhares 2 2 2 2 10" xfId="6440" xr:uid="{00000000-0005-0000-0000-0000C2140000}"/>
    <cellStyle name="Separador de milhares 2 2 2 2 10 2" xfId="9594" xr:uid="{00000000-0005-0000-0000-0000C3140000}"/>
    <cellStyle name="Separador de milhares 2 2 2 2 10 2 2" xfId="27808" xr:uid="{00000000-0005-0000-0000-0000C4140000}"/>
    <cellStyle name="Separador de milhares 2 2 2 2 10 2 2 2" xfId="53989" xr:uid="{00000000-0005-0000-0000-0000C5140000}"/>
    <cellStyle name="Separador de milhares 2 2 2 2 10 2 3" xfId="21894" xr:uid="{00000000-0005-0000-0000-0000C6140000}"/>
    <cellStyle name="Separador de milhares 2 2 2 2 10 2 3 2" xfId="48081" xr:uid="{00000000-0005-0000-0000-0000C7140000}"/>
    <cellStyle name="Separador de milhares 2 2 2 2 10 2 4" xfId="15980" xr:uid="{00000000-0005-0000-0000-0000C8140000}"/>
    <cellStyle name="Separador de milhares 2 2 2 2 10 2 4 2" xfId="42173" xr:uid="{00000000-0005-0000-0000-0000C9140000}"/>
    <cellStyle name="Separador de milhares 2 2 2 2 10 2 5" xfId="35787" xr:uid="{00000000-0005-0000-0000-0000CA140000}"/>
    <cellStyle name="Separador de milhares 2 2 2 2 10 3" xfId="24851" xr:uid="{00000000-0005-0000-0000-0000CB140000}"/>
    <cellStyle name="Separador de milhares 2 2 2 2 10 3 2" xfId="51035" xr:uid="{00000000-0005-0000-0000-0000CC140000}"/>
    <cellStyle name="Separador de milhares 2 2 2 2 10 4" xfId="18937" xr:uid="{00000000-0005-0000-0000-0000CD140000}"/>
    <cellStyle name="Separador de milhares 2 2 2 2 10 4 2" xfId="45127" xr:uid="{00000000-0005-0000-0000-0000CE140000}"/>
    <cellStyle name="Separador de milhares 2 2 2 2 10 5" xfId="12829" xr:uid="{00000000-0005-0000-0000-0000CF140000}"/>
    <cellStyle name="Separador de milhares 2 2 2 2 10 5 2" xfId="39022" xr:uid="{00000000-0005-0000-0000-0000D0140000}"/>
    <cellStyle name="Separador de milhares 2 2 2 2 10 6" xfId="32636" xr:uid="{00000000-0005-0000-0000-0000D1140000}"/>
    <cellStyle name="Separador de milhares 2 2 2 2 11" xfId="8123" xr:uid="{00000000-0005-0000-0000-0000D2140000}"/>
    <cellStyle name="Separador de milhares 2 2 2 2 11 2" xfId="26337" xr:uid="{00000000-0005-0000-0000-0000D3140000}"/>
    <cellStyle name="Separador de milhares 2 2 2 2 11 2 2" xfId="52521" xr:uid="{00000000-0005-0000-0000-0000D4140000}"/>
    <cellStyle name="Separador de milhares 2 2 2 2 11 3" xfId="20423" xr:uid="{00000000-0005-0000-0000-0000D5140000}"/>
    <cellStyle name="Separador de milhares 2 2 2 2 11 3 2" xfId="46613" xr:uid="{00000000-0005-0000-0000-0000D6140000}"/>
    <cellStyle name="Separador de milhares 2 2 2 2 11 4" xfId="14512" xr:uid="{00000000-0005-0000-0000-0000D7140000}"/>
    <cellStyle name="Separador de milhares 2 2 2 2 11 4 2" xfId="40705" xr:uid="{00000000-0005-0000-0000-0000D8140000}"/>
    <cellStyle name="Separador de milhares 2 2 2 2 11 5" xfId="34319" xr:uid="{00000000-0005-0000-0000-0000D9140000}"/>
    <cellStyle name="Separador de milhares 2 2 2 2 12" xfId="4739" xr:uid="{00000000-0005-0000-0000-0000DA140000}"/>
    <cellStyle name="Separador de milhares 2 2 2 2 12 2" xfId="23380" xr:uid="{00000000-0005-0000-0000-0000DB140000}"/>
    <cellStyle name="Separador de milhares 2 2 2 2 12 2 2" xfId="49567" xr:uid="{00000000-0005-0000-0000-0000DC140000}"/>
    <cellStyle name="Separador de milhares 2 2 2 2 12 3" xfId="30937" xr:uid="{00000000-0005-0000-0000-0000DD140000}"/>
    <cellStyle name="Separador de milhares 2 2 2 2 13" xfId="17466" xr:uid="{00000000-0005-0000-0000-0000DE140000}"/>
    <cellStyle name="Separador de milhares 2 2 2 2 13 2" xfId="43659" xr:uid="{00000000-0005-0000-0000-0000DF140000}"/>
    <cellStyle name="Separador de milhares 2 2 2 2 14" xfId="11128" xr:uid="{00000000-0005-0000-0000-0000E0140000}"/>
    <cellStyle name="Separador de milhares 2 2 2 2 14 2" xfId="37321" xr:uid="{00000000-0005-0000-0000-0000E1140000}"/>
    <cellStyle name="Separador de milhares 2 2 2 2 15" xfId="29240" xr:uid="{00000000-0005-0000-0000-0000E2140000}"/>
    <cellStyle name="Separador de milhares 2 2 2 2 2" xfId="660" xr:uid="{00000000-0005-0000-0000-0000E3140000}"/>
    <cellStyle name="Separador de milhares 2 2 2 2 2 10" xfId="17617" xr:uid="{00000000-0005-0000-0000-0000E4140000}"/>
    <cellStyle name="Separador de milhares 2 2 2 2 2 10 2" xfId="43807" xr:uid="{00000000-0005-0000-0000-0000E5140000}"/>
    <cellStyle name="Separador de milhares 2 2 2 2 2 11" xfId="11283" xr:uid="{00000000-0005-0000-0000-0000E6140000}"/>
    <cellStyle name="Separador de milhares 2 2 2 2 2 11 2" xfId="37476" xr:uid="{00000000-0005-0000-0000-0000E7140000}"/>
    <cellStyle name="Separador de milhares 2 2 2 2 2 12" xfId="29394" xr:uid="{00000000-0005-0000-0000-0000E8140000}"/>
    <cellStyle name="Separador de milhares 2 2 2 2 2 2" xfId="1912" xr:uid="{00000000-0005-0000-0000-0000E9140000}"/>
    <cellStyle name="Separador de milhares 2 2 2 2 2 2 2" xfId="6959" xr:uid="{00000000-0005-0000-0000-0000EA140000}"/>
    <cellStyle name="Separador de milhares 2 2 2 2 2 2 2 2" xfId="10106" xr:uid="{00000000-0005-0000-0000-0000EB140000}"/>
    <cellStyle name="Separador de milhares 2 2 2 2 2 2 2 2 2" xfId="28320" xr:uid="{00000000-0005-0000-0000-0000EC140000}"/>
    <cellStyle name="Separador de milhares 2 2 2 2 2 2 2 2 2 2" xfId="54501" xr:uid="{00000000-0005-0000-0000-0000ED140000}"/>
    <cellStyle name="Separador de milhares 2 2 2 2 2 2 2 2 3" xfId="22406" xr:uid="{00000000-0005-0000-0000-0000EE140000}"/>
    <cellStyle name="Separador de milhares 2 2 2 2 2 2 2 2 3 2" xfId="48593" xr:uid="{00000000-0005-0000-0000-0000EF140000}"/>
    <cellStyle name="Separador de milhares 2 2 2 2 2 2 2 2 4" xfId="16492" xr:uid="{00000000-0005-0000-0000-0000F0140000}"/>
    <cellStyle name="Separador de milhares 2 2 2 2 2 2 2 2 4 2" xfId="42685" xr:uid="{00000000-0005-0000-0000-0000F1140000}"/>
    <cellStyle name="Separador de milhares 2 2 2 2 2 2 2 2 5" xfId="36299" xr:uid="{00000000-0005-0000-0000-0000F2140000}"/>
    <cellStyle name="Separador de milhares 2 2 2 2 2 2 2 3" xfId="25363" xr:uid="{00000000-0005-0000-0000-0000F3140000}"/>
    <cellStyle name="Separador de milhares 2 2 2 2 2 2 2 3 2" xfId="51547" xr:uid="{00000000-0005-0000-0000-0000F4140000}"/>
    <cellStyle name="Separador de milhares 2 2 2 2 2 2 2 4" xfId="19449" xr:uid="{00000000-0005-0000-0000-0000F5140000}"/>
    <cellStyle name="Separador de milhares 2 2 2 2 2 2 2 4 2" xfId="45639" xr:uid="{00000000-0005-0000-0000-0000F6140000}"/>
    <cellStyle name="Separador de milhares 2 2 2 2 2 2 2 5" xfId="13348" xr:uid="{00000000-0005-0000-0000-0000F7140000}"/>
    <cellStyle name="Separador de milhares 2 2 2 2 2 2 2 5 2" xfId="39541" xr:uid="{00000000-0005-0000-0000-0000F8140000}"/>
    <cellStyle name="Separador de milhares 2 2 2 2 2 2 2 6" xfId="33155" xr:uid="{00000000-0005-0000-0000-0000F9140000}"/>
    <cellStyle name="Separador de milhares 2 2 2 2 2 2 3" xfId="8638" xr:uid="{00000000-0005-0000-0000-0000FA140000}"/>
    <cellStyle name="Separador de milhares 2 2 2 2 2 2 3 2" xfId="26852" xr:uid="{00000000-0005-0000-0000-0000FB140000}"/>
    <cellStyle name="Separador de milhares 2 2 2 2 2 2 3 2 2" xfId="53033" xr:uid="{00000000-0005-0000-0000-0000FC140000}"/>
    <cellStyle name="Separador de milhares 2 2 2 2 2 2 3 3" xfId="20938" xr:uid="{00000000-0005-0000-0000-0000FD140000}"/>
    <cellStyle name="Separador de milhares 2 2 2 2 2 2 3 3 2" xfId="47125" xr:uid="{00000000-0005-0000-0000-0000FE140000}"/>
    <cellStyle name="Separador de milhares 2 2 2 2 2 2 3 4" xfId="15024" xr:uid="{00000000-0005-0000-0000-0000FF140000}"/>
    <cellStyle name="Separador de milhares 2 2 2 2 2 2 3 4 2" xfId="41217" xr:uid="{00000000-0005-0000-0000-000000150000}"/>
    <cellStyle name="Separador de milhares 2 2 2 2 2 2 3 5" xfId="34831" xr:uid="{00000000-0005-0000-0000-000001150000}"/>
    <cellStyle name="Separador de milhares 2 2 2 2 2 2 4" xfId="5260" xr:uid="{00000000-0005-0000-0000-000002150000}"/>
    <cellStyle name="Separador de milhares 2 2 2 2 2 2 4 2" xfId="23895" xr:uid="{00000000-0005-0000-0000-000003150000}"/>
    <cellStyle name="Separador de milhares 2 2 2 2 2 2 4 2 2" xfId="50079" xr:uid="{00000000-0005-0000-0000-000004150000}"/>
    <cellStyle name="Separador de milhares 2 2 2 2 2 2 4 3" xfId="31456" xr:uid="{00000000-0005-0000-0000-000005150000}"/>
    <cellStyle name="Separador de milhares 2 2 2 2 2 2 5" xfId="17981" xr:uid="{00000000-0005-0000-0000-000006150000}"/>
    <cellStyle name="Separador de milhares 2 2 2 2 2 2 5 2" xfId="44171" xr:uid="{00000000-0005-0000-0000-000007150000}"/>
    <cellStyle name="Separador de milhares 2 2 2 2 2 2 6" xfId="11647" xr:uid="{00000000-0005-0000-0000-000008150000}"/>
    <cellStyle name="Separador de milhares 2 2 2 2 2 2 6 2" xfId="37840" xr:uid="{00000000-0005-0000-0000-000009150000}"/>
    <cellStyle name="Separador de milhares 2 2 2 2 2 2 7" xfId="29758" xr:uid="{00000000-0005-0000-0000-00000A150000}"/>
    <cellStyle name="Separador de milhares 2 2 2 2 2 3" xfId="2442" xr:uid="{00000000-0005-0000-0000-00000B150000}"/>
    <cellStyle name="Separador de milhares 2 2 2 2 2 3 2" xfId="7109" xr:uid="{00000000-0005-0000-0000-00000C150000}"/>
    <cellStyle name="Separador de milhares 2 2 2 2 2 3 2 2" xfId="10253" xr:uid="{00000000-0005-0000-0000-00000D150000}"/>
    <cellStyle name="Separador de milhares 2 2 2 2 2 3 2 2 2" xfId="28467" xr:uid="{00000000-0005-0000-0000-00000E150000}"/>
    <cellStyle name="Separador de milhares 2 2 2 2 2 3 2 2 2 2" xfId="54648" xr:uid="{00000000-0005-0000-0000-00000F150000}"/>
    <cellStyle name="Separador de milhares 2 2 2 2 2 3 2 2 3" xfId="22553" xr:uid="{00000000-0005-0000-0000-000010150000}"/>
    <cellStyle name="Separador de milhares 2 2 2 2 2 3 2 2 3 2" xfId="48740" xr:uid="{00000000-0005-0000-0000-000011150000}"/>
    <cellStyle name="Separador de milhares 2 2 2 2 2 3 2 2 4" xfId="16639" xr:uid="{00000000-0005-0000-0000-000012150000}"/>
    <cellStyle name="Separador de milhares 2 2 2 2 2 3 2 2 4 2" xfId="42832" xr:uid="{00000000-0005-0000-0000-000013150000}"/>
    <cellStyle name="Separador de milhares 2 2 2 2 2 3 2 2 5" xfId="36446" xr:uid="{00000000-0005-0000-0000-000014150000}"/>
    <cellStyle name="Separador de milhares 2 2 2 2 2 3 2 3" xfId="25510" xr:uid="{00000000-0005-0000-0000-000015150000}"/>
    <cellStyle name="Separador de milhares 2 2 2 2 2 3 2 3 2" xfId="51694" xr:uid="{00000000-0005-0000-0000-000016150000}"/>
    <cellStyle name="Separador de milhares 2 2 2 2 2 3 2 4" xfId="19596" xr:uid="{00000000-0005-0000-0000-000017150000}"/>
    <cellStyle name="Separador de milhares 2 2 2 2 2 3 2 4 2" xfId="45786" xr:uid="{00000000-0005-0000-0000-000018150000}"/>
    <cellStyle name="Separador de milhares 2 2 2 2 2 3 2 5" xfId="13498" xr:uid="{00000000-0005-0000-0000-000019150000}"/>
    <cellStyle name="Separador de milhares 2 2 2 2 2 3 2 5 2" xfId="39691" xr:uid="{00000000-0005-0000-0000-00001A150000}"/>
    <cellStyle name="Separador de milhares 2 2 2 2 2 3 2 6" xfId="33305" xr:uid="{00000000-0005-0000-0000-00001B150000}"/>
    <cellStyle name="Separador de milhares 2 2 2 2 2 3 3" xfId="8785" xr:uid="{00000000-0005-0000-0000-00001C150000}"/>
    <cellStyle name="Separador de milhares 2 2 2 2 2 3 3 2" xfId="26999" xr:uid="{00000000-0005-0000-0000-00001D150000}"/>
    <cellStyle name="Separador de milhares 2 2 2 2 2 3 3 2 2" xfId="53180" xr:uid="{00000000-0005-0000-0000-00001E150000}"/>
    <cellStyle name="Separador de milhares 2 2 2 2 2 3 3 3" xfId="21085" xr:uid="{00000000-0005-0000-0000-00001F150000}"/>
    <cellStyle name="Separador de milhares 2 2 2 2 2 3 3 3 2" xfId="47272" xr:uid="{00000000-0005-0000-0000-000020150000}"/>
    <cellStyle name="Separador de milhares 2 2 2 2 2 3 3 4" xfId="15171" xr:uid="{00000000-0005-0000-0000-000021150000}"/>
    <cellStyle name="Separador de milhares 2 2 2 2 2 3 3 4 2" xfId="41364" xr:uid="{00000000-0005-0000-0000-000022150000}"/>
    <cellStyle name="Separador de milhares 2 2 2 2 2 3 3 5" xfId="34978" xr:uid="{00000000-0005-0000-0000-000023150000}"/>
    <cellStyle name="Separador de milhares 2 2 2 2 2 3 4" xfId="5410" xr:uid="{00000000-0005-0000-0000-000024150000}"/>
    <cellStyle name="Separador de milhares 2 2 2 2 2 3 4 2" xfId="24042" xr:uid="{00000000-0005-0000-0000-000025150000}"/>
    <cellStyle name="Separador de milhares 2 2 2 2 2 3 4 2 2" xfId="50226" xr:uid="{00000000-0005-0000-0000-000026150000}"/>
    <cellStyle name="Separador de milhares 2 2 2 2 2 3 4 3" xfId="31606" xr:uid="{00000000-0005-0000-0000-000027150000}"/>
    <cellStyle name="Separador de milhares 2 2 2 2 2 3 5" xfId="18128" xr:uid="{00000000-0005-0000-0000-000028150000}"/>
    <cellStyle name="Separador de milhares 2 2 2 2 2 3 5 2" xfId="44318" xr:uid="{00000000-0005-0000-0000-000029150000}"/>
    <cellStyle name="Separador de milhares 2 2 2 2 2 3 6" xfId="11797" xr:uid="{00000000-0005-0000-0000-00002A150000}"/>
    <cellStyle name="Separador de milhares 2 2 2 2 2 3 6 2" xfId="37990" xr:uid="{00000000-0005-0000-0000-00002B150000}"/>
    <cellStyle name="Separador de milhares 2 2 2 2 2 3 7" xfId="29908" xr:uid="{00000000-0005-0000-0000-00002C150000}"/>
    <cellStyle name="Separador de milhares 2 2 2 2 2 4" xfId="2969" xr:uid="{00000000-0005-0000-0000-00002D150000}"/>
    <cellStyle name="Separador de milhares 2 2 2 2 2 4 2" xfId="7256" xr:uid="{00000000-0005-0000-0000-00002E150000}"/>
    <cellStyle name="Separador de milhares 2 2 2 2 2 4 2 2" xfId="10400" xr:uid="{00000000-0005-0000-0000-00002F150000}"/>
    <cellStyle name="Separador de milhares 2 2 2 2 2 4 2 2 2" xfId="28614" xr:uid="{00000000-0005-0000-0000-000030150000}"/>
    <cellStyle name="Separador de milhares 2 2 2 2 2 4 2 2 2 2" xfId="54795" xr:uid="{00000000-0005-0000-0000-000031150000}"/>
    <cellStyle name="Separador de milhares 2 2 2 2 2 4 2 2 3" xfId="22700" xr:uid="{00000000-0005-0000-0000-000032150000}"/>
    <cellStyle name="Separador de milhares 2 2 2 2 2 4 2 2 3 2" xfId="48887" xr:uid="{00000000-0005-0000-0000-000033150000}"/>
    <cellStyle name="Separador de milhares 2 2 2 2 2 4 2 2 4" xfId="16786" xr:uid="{00000000-0005-0000-0000-000034150000}"/>
    <cellStyle name="Separador de milhares 2 2 2 2 2 4 2 2 4 2" xfId="42979" xr:uid="{00000000-0005-0000-0000-000035150000}"/>
    <cellStyle name="Separador de milhares 2 2 2 2 2 4 2 2 5" xfId="36593" xr:uid="{00000000-0005-0000-0000-000036150000}"/>
    <cellStyle name="Separador de milhares 2 2 2 2 2 4 2 3" xfId="25657" xr:uid="{00000000-0005-0000-0000-000037150000}"/>
    <cellStyle name="Separador de milhares 2 2 2 2 2 4 2 3 2" xfId="51841" xr:uid="{00000000-0005-0000-0000-000038150000}"/>
    <cellStyle name="Separador de milhares 2 2 2 2 2 4 2 4" xfId="19743" xr:uid="{00000000-0005-0000-0000-000039150000}"/>
    <cellStyle name="Separador de milhares 2 2 2 2 2 4 2 4 2" xfId="45933" xr:uid="{00000000-0005-0000-0000-00003A150000}"/>
    <cellStyle name="Separador de milhares 2 2 2 2 2 4 2 5" xfId="13645" xr:uid="{00000000-0005-0000-0000-00003B150000}"/>
    <cellStyle name="Separador de milhares 2 2 2 2 2 4 2 5 2" xfId="39838" xr:uid="{00000000-0005-0000-0000-00003C150000}"/>
    <cellStyle name="Separador de milhares 2 2 2 2 2 4 2 6" xfId="33452" xr:uid="{00000000-0005-0000-0000-00003D150000}"/>
    <cellStyle name="Separador de milhares 2 2 2 2 2 4 3" xfId="8932" xr:uid="{00000000-0005-0000-0000-00003E150000}"/>
    <cellStyle name="Separador de milhares 2 2 2 2 2 4 3 2" xfId="27146" xr:uid="{00000000-0005-0000-0000-00003F150000}"/>
    <cellStyle name="Separador de milhares 2 2 2 2 2 4 3 2 2" xfId="53327" xr:uid="{00000000-0005-0000-0000-000040150000}"/>
    <cellStyle name="Separador de milhares 2 2 2 2 2 4 3 3" xfId="21232" xr:uid="{00000000-0005-0000-0000-000041150000}"/>
    <cellStyle name="Separador de milhares 2 2 2 2 2 4 3 3 2" xfId="47419" xr:uid="{00000000-0005-0000-0000-000042150000}"/>
    <cellStyle name="Separador de milhares 2 2 2 2 2 4 3 4" xfId="15318" xr:uid="{00000000-0005-0000-0000-000043150000}"/>
    <cellStyle name="Separador de milhares 2 2 2 2 2 4 3 4 2" xfId="41511" xr:uid="{00000000-0005-0000-0000-000044150000}"/>
    <cellStyle name="Separador de milhares 2 2 2 2 2 4 3 5" xfId="35125" xr:uid="{00000000-0005-0000-0000-000045150000}"/>
    <cellStyle name="Separador de milhares 2 2 2 2 2 4 4" xfId="5557" xr:uid="{00000000-0005-0000-0000-000046150000}"/>
    <cellStyle name="Separador de milhares 2 2 2 2 2 4 4 2" xfId="24189" xr:uid="{00000000-0005-0000-0000-000047150000}"/>
    <cellStyle name="Separador de milhares 2 2 2 2 2 4 4 2 2" xfId="50373" xr:uid="{00000000-0005-0000-0000-000048150000}"/>
    <cellStyle name="Separador de milhares 2 2 2 2 2 4 4 3" xfId="31753" xr:uid="{00000000-0005-0000-0000-000049150000}"/>
    <cellStyle name="Separador de milhares 2 2 2 2 2 4 5" xfId="18275" xr:uid="{00000000-0005-0000-0000-00004A150000}"/>
    <cellStyle name="Separador de milhares 2 2 2 2 2 4 5 2" xfId="44465" xr:uid="{00000000-0005-0000-0000-00004B150000}"/>
    <cellStyle name="Separador de milhares 2 2 2 2 2 4 6" xfId="11944" xr:uid="{00000000-0005-0000-0000-00004C150000}"/>
    <cellStyle name="Separador de milhares 2 2 2 2 2 4 6 2" xfId="38137" xr:uid="{00000000-0005-0000-0000-00004D150000}"/>
    <cellStyle name="Separador de milhares 2 2 2 2 2 4 7" xfId="30055" xr:uid="{00000000-0005-0000-0000-00004E150000}"/>
    <cellStyle name="Separador de milhares 2 2 2 2 2 5" xfId="3496" xr:uid="{00000000-0005-0000-0000-00004F150000}"/>
    <cellStyle name="Separador de milhares 2 2 2 2 2 5 2" xfId="7403" xr:uid="{00000000-0005-0000-0000-000050150000}"/>
    <cellStyle name="Separador de milhares 2 2 2 2 2 5 2 2" xfId="10547" xr:uid="{00000000-0005-0000-0000-000051150000}"/>
    <cellStyle name="Separador de milhares 2 2 2 2 2 5 2 2 2" xfId="28761" xr:uid="{00000000-0005-0000-0000-000052150000}"/>
    <cellStyle name="Separador de milhares 2 2 2 2 2 5 2 2 2 2" xfId="54942" xr:uid="{00000000-0005-0000-0000-000053150000}"/>
    <cellStyle name="Separador de milhares 2 2 2 2 2 5 2 2 3" xfId="22847" xr:uid="{00000000-0005-0000-0000-000054150000}"/>
    <cellStyle name="Separador de milhares 2 2 2 2 2 5 2 2 3 2" xfId="49034" xr:uid="{00000000-0005-0000-0000-000055150000}"/>
    <cellStyle name="Separador de milhares 2 2 2 2 2 5 2 2 4" xfId="16933" xr:uid="{00000000-0005-0000-0000-000056150000}"/>
    <cellStyle name="Separador de milhares 2 2 2 2 2 5 2 2 4 2" xfId="43126" xr:uid="{00000000-0005-0000-0000-000057150000}"/>
    <cellStyle name="Separador de milhares 2 2 2 2 2 5 2 2 5" xfId="36740" xr:uid="{00000000-0005-0000-0000-000058150000}"/>
    <cellStyle name="Separador de milhares 2 2 2 2 2 5 2 3" xfId="25804" xr:uid="{00000000-0005-0000-0000-000059150000}"/>
    <cellStyle name="Separador de milhares 2 2 2 2 2 5 2 3 2" xfId="51988" xr:uid="{00000000-0005-0000-0000-00005A150000}"/>
    <cellStyle name="Separador de milhares 2 2 2 2 2 5 2 4" xfId="19890" xr:uid="{00000000-0005-0000-0000-00005B150000}"/>
    <cellStyle name="Separador de milhares 2 2 2 2 2 5 2 4 2" xfId="46080" xr:uid="{00000000-0005-0000-0000-00005C150000}"/>
    <cellStyle name="Separador de milhares 2 2 2 2 2 5 2 5" xfId="13792" xr:uid="{00000000-0005-0000-0000-00005D150000}"/>
    <cellStyle name="Separador de milhares 2 2 2 2 2 5 2 5 2" xfId="39985" xr:uid="{00000000-0005-0000-0000-00005E150000}"/>
    <cellStyle name="Separador de milhares 2 2 2 2 2 5 2 6" xfId="33599" xr:uid="{00000000-0005-0000-0000-00005F150000}"/>
    <cellStyle name="Separador de milhares 2 2 2 2 2 5 3" xfId="9079" xr:uid="{00000000-0005-0000-0000-000060150000}"/>
    <cellStyle name="Separador de milhares 2 2 2 2 2 5 3 2" xfId="27293" xr:uid="{00000000-0005-0000-0000-000061150000}"/>
    <cellStyle name="Separador de milhares 2 2 2 2 2 5 3 2 2" xfId="53474" xr:uid="{00000000-0005-0000-0000-000062150000}"/>
    <cellStyle name="Separador de milhares 2 2 2 2 2 5 3 3" xfId="21379" xr:uid="{00000000-0005-0000-0000-000063150000}"/>
    <cellStyle name="Separador de milhares 2 2 2 2 2 5 3 3 2" xfId="47566" xr:uid="{00000000-0005-0000-0000-000064150000}"/>
    <cellStyle name="Separador de milhares 2 2 2 2 2 5 3 4" xfId="15465" xr:uid="{00000000-0005-0000-0000-000065150000}"/>
    <cellStyle name="Separador de milhares 2 2 2 2 2 5 3 4 2" xfId="41658" xr:uid="{00000000-0005-0000-0000-000066150000}"/>
    <cellStyle name="Separador de milhares 2 2 2 2 2 5 3 5" xfId="35272" xr:uid="{00000000-0005-0000-0000-000067150000}"/>
    <cellStyle name="Separador de milhares 2 2 2 2 2 5 4" xfId="5704" xr:uid="{00000000-0005-0000-0000-000068150000}"/>
    <cellStyle name="Separador de milhares 2 2 2 2 2 5 4 2" xfId="24336" xr:uid="{00000000-0005-0000-0000-000069150000}"/>
    <cellStyle name="Separador de milhares 2 2 2 2 2 5 4 2 2" xfId="50520" xr:uid="{00000000-0005-0000-0000-00006A150000}"/>
    <cellStyle name="Separador de milhares 2 2 2 2 2 5 4 3" xfId="31900" xr:uid="{00000000-0005-0000-0000-00006B150000}"/>
    <cellStyle name="Separador de milhares 2 2 2 2 2 5 5" xfId="18422" xr:uid="{00000000-0005-0000-0000-00006C150000}"/>
    <cellStyle name="Separador de milhares 2 2 2 2 2 5 5 2" xfId="44612" xr:uid="{00000000-0005-0000-0000-00006D150000}"/>
    <cellStyle name="Separador de milhares 2 2 2 2 2 5 6" xfId="12091" xr:uid="{00000000-0005-0000-0000-00006E150000}"/>
    <cellStyle name="Separador de milhares 2 2 2 2 2 5 6 2" xfId="38284" xr:uid="{00000000-0005-0000-0000-00006F150000}"/>
    <cellStyle name="Separador de milhares 2 2 2 2 2 5 7" xfId="30202" xr:uid="{00000000-0005-0000-0000-000070150000}"/>
    <cellStyle name="Separador de milhares 2 2 2 2 2 6" xfId="4023" xr:uid="{00000000-0005-0000-0000-000071150000}"/>
    <cellStyle name="Separador de milhares 2 2 2 2 2 6 2" xfId="7550" xr:uid="{00000000-0005-0000-0000-000072150000}"/>
    <cellStyle name="Separador de milhares 2 2 2 2 2 6 2 2" xfId="10694" xr:uid="{00000000-0005-0000-0000-000073150000}"/>
    <cellStyle name="Separador de milhares 2 2 2 2 2 6 2 2 2" xfId="28908" xr:uid="{00000000-0005-0000-0000-000074150000}"/>
    <cellStyle name="Separador de milhares 2 2 2 2 2 6 2 2 2 2" xfId="55089" xr:uid="{00000000-0005-0000-0000-000075150000}"/>
    <cellStyle name="Separador de milhares 2 2 2 2 2 6 2 2 3" xfId="22994" xr:uid="{00000000-0005-0000-0000-000076150000}"/>
    <cellStyle name="Separador de milhares 2 2 2 2 2 6 2 2 3 2" xfId="49181" xr:uid="{00000000-0005-0000-0000-000077150000}"/>
    <cellStyle name="Separador de milhares 2 2 2 2 2 6 2 2 4" xfId="17080" xr:uid="{00000000-0005-0000-0000-000078150000}"/>
    <cellStyle name="Separador de milhares 2 2 2 2 2 6 2 2 4 2" xfId="43273" xr:uid="{00000000-0005-0000-0000-000079150000}"/>
    <cellStyle name="Separador de milhares 2 2 2 2 2 6 2 2 5" xfId="36887" xr:uid="{00000000-0005-0000-0000-00007A150000}"/>
    <cellStyle name="Separador de milhares 2 2 2 2 2 6 2 3" xfId="25951" xr:uid="{00000000-0005-0000-0000-00007B150000}"/>
    <cellStyle name="Separador de milhares 2 2 2 2 2 6 2 3 2" xfId="52135" xr:uid="{00000000-0005-0000-0000-00007C150000}"/>
    <cellStyle name="Separador de milhares 2 2 2 2 2 6 2 4" xfId="20037" xr:uid="{00000000-0005-0000-0000-00007D150000}"/>
    <cellStyle name="Separador de milhares 2 2 2 2 2 6 2 4 2" xfId="46227" xr:uid="{00000000-0005-0000-0000-00007E150000}"/>
    <cellStyle name="Separador de milhares 2 2 2 2 2 6 2 5" xfId="13939" xr:uid="{00000000-0005-0000-0000-00007F150000}"/>
    <cellStyle name="Separador de milhares 2 2 2 2 2 6 2 5 2" xfId="40132" xr:uid="{00000000-0005-0000-0000-000080150000}"/>
    <cellStyle name="Separador de milhares 2 2 2 2 2 6 2 6" xfId="33746" xr:uid="{00000000-0005-0000-0000-000081150000}"/>
    <cellStyle name="Separador de milhares 2 2 2 2 2 6 3" xfId="9226" xr:uid="{00000000-0005-0000-0000-000082150000}"/>
    <cellStyle name="Separador de milhares 2 2 2 2 2 6 3 2" xfId="27440" xr:uid="{00000000-0005-0000-0000-000083150000}"/>
    <cellStyle name="Separador de milhares 2 2 2 2 2 6 3 2 2" xfId="53621" xr:uid="{00000000-0005-0000-0000-000084150000}"/>
    <cellStyle name="Separador de milhares 2 2 2 2 2 6 3 3" xfId="21526" xr:uid="{00000000-0005-0000-0000-000085150000}"/>
    <cellStyle name="Separador de milhares 2 2 2 2 2 6 3 3 2" xfId="47713" xr:uid="{00000000-0005-0000-0000-000086150000}"/>
    <cellStyle name="Separador de milhares 2 2 2 2 2 6 3 4" xfId="15612" xr:uid="{00000000-0005-0000-0000-000087150000}"/>
    <cellStyle name="Separador de milhares 2 2 2 2 2 6 3 4 2" xfId="41805" xr:uid="{00000000-0005-0000-0000-000088150000}"/>
    <cellStyle name="Separador de milhares 2 2 2 2 2 6 3 5" xfId="35419" xr:uid="{00000000-0005-0000-0000-000089150000}"/>
    <cellStyle name="Separador de milhares 2 2 2 2 2 6 4" xfId="5851" xr:uid="{00000000-0005-0000-0000-00008A150000}"/>
    <cellStyle name="Separador de milhares 2 2 2 2 2 6 4 2" xfId="24483" xr:uid="{00000000-0005-0000-0000-00008B150000}"/>
    <cellStyle name="Separador de milhares 2 2 2 2 2 6 4 2 2" xfId="50667" xr:uid="{00000000-0005-0000-0000-00008C150000}"/>
    <cellStyle name="Separador de milhares 2 2 2 2 2 6 4 3" xfId="32047" xr:uid="{00000000-0005-0000-0000-00008D150000}"/>
    <cellStyle name="Separador de milhares 2 2 2 2 2 6 5" xfId="18569" xr:uid="{00000000-0005-0000-0000-00008E150000}"/>
    <cellStyle name="Separador de milhares 2 2 2 2 2 6 5 2" xfId="44759" xr:uid="{00000000-0005-0000-0000-00008F150000}"/>
    <cellStyle name="Separador de milhares 2 2 2 2 2 6 6" xfId="12238" xr:uid="{00000000-0005-0000-0000-000090150000}"/>
    <cellStyle name="Separador de milhares 2 2 2 2 2 6 6 2" xfId="38431" xr:uid="{00000000-0005-0000-0000-000091150000}"/>
    <cellStyle name="Separador de milhares 2 2 2 2 2 6 7" xfId="30349" xr:uid="{00000000-0005-0000-0000-000092150000}"/>
    <cellStyle name="Separador de milhares 2 2 2 2 2 7" xfId="6595" xr:uid="{00000000-0005-0000-0000-000093150000}"/>
    <cellStyle name="Separador de milhares 2 2 2 2 2 7 2" xfId="9742" xr:uid="{00000000-0005-0000-0000-000094150000}"/>
    <cellStyle name="Separador de milhares 2 2 2 2 2 7 2 2" xfId="27956" xr:uid="{00000000-0005-0000-0000-000095150000}"/>
    <cellStyle name="Separador de milhares 2 2 2 2 2 7 2 2 2" xfId="54137" xr:uid="{00000000-0005-0000-0000-000096150000}"/>
    <cellStyle name="Separador de milhares 2 2 2 2 2 7 2 3" xfId="22042" xr:uid="{00000000-0005-0000-0000-000097150000}"/>
    <cellStyle name="Separador de milhares 2 2 2 2 2 7 2 3 2" xfId="48229" xr:uid="{00000000-0005-0000-0000-000098150000}"/>
    <cellStyle name="Separador de milhares 2 2 2 2 2 7 2 4" xfId="16128" xr:uid="{00000000-0005-0000-0000-000099150000}"/>
    <cellStyle name="Separador de milhares 2 2 2 2 2 7 2 4 2" xfId="42321" xr:uid="{00000000-0005-0000-0000-00009A150000}"/>
    <cellStyle name="Separador de milhares 2 2 2 2 2 7 2 5" xfId="35935" xr:uid="{00000000-0005-0000-0000-00009B150000}"/>
    <cellStyle name="Separador de milhares 2 2 2 2 2 7 3" xfId="24999" xr:uid="{00000000-0005-0000-0000-00009C150000}"/>
    <cellStyle name="Separador de milhares 2 2 2 2 2 7 3 2" xfId="51183" xr:uid="{00000000-0005-0000-0000-00009D150000}"/>
    <cellStyle name="Separador de milhares 2 2 2 2 2 7 4" xfId="19085" xr:uid="{00000000-0005-0000-0000-00009E150000}"/>
    <cellStyle name="Separador de milhares 2 2 2 2 2 7 4 2" xfId="45275" xr:uid="{00000000-0005-0000-0000-00009F150000}"/>
    <cellStyle name="Separador de milhares 2 2 2 2 2 7 5" xfId="12984" xr:uid="{00000000-0005-0000-0000-0000A0150000}"/>
    <cellStyle name="Separador de milhares 2 2 2 2 2 7 5 2" xfId="39177" xr:uid="{00000000-0005-0000-0000-0000A1150000}"/>
    <cellStyle name="Separador de milhares 2 2 2 2 2 7 6" xfId="32791" xr:uid="{00000000-0005-0000-0000-0000A2150000}"/>
    <cellStyle name="Separador de milhares 2 2 2 2 2 8" xfId="8274" xr:uid="{00000000-0005-0000-0000-0000A3150000}"/>
    <cellStyle name="Separador de milhares 2 2 2 2 2 8 2" xfId="26488" xr:uid="{00000000-0005-0000-0000-0000A4150000}"/>
    <cellStyle name="Separador de milhares 2 2 2 2 2 8 2 2" xfId="52669" xr:uid="{00000000-0005-0000-0000-0000A5150000}"/>
    <cellStyle name="Separador de milhares 2 2 2 2 2 8 3" xfId="20574" xr:uid="{00000000-0005-0000-0000-0000A6150000}"/>
    <cellStyle name="Separador de milhares 2 2 2 2 2 8 3 2" xfId="46761" xr:uid="{00000000-0005-0000-0000-0000A7150000}"/>
    <cellStyle name="Separador de milhares 2 2 2 2 2 8 4" xfId="14660" xr:uid="{00000000-0005-0000-0000-0000A8150000}"/>
    <cellStyle name="Separador de milhares 2 2 2 2 2 8 4 2" xfId="40853" xr:uid="{00000000-0005-0000-0000-0000A9150000}"/>
    <cellStyle name="Separador de milhares 2 2 2 2 2 8 5" xfId="34467" xr:uid="{00000000-0005-0000-0000-0000AA150000}"/>
    <cellStyle name="Separador de milhares 2 2 2 2 2 9" xfId="4896" xr:uid="{00000000-0005-0000-0000-0000AB150000}"/>
    <cellStyle name="Separador de milhares 2 2 2 2 2 9 2" xfId="23531" xr:uid="{00000000-0005-0000-0000-0000AC150000}"/>
    <cellStyle name="Separador de milhares 2 2 2 2 2 9 2 2" xfId="49715" xr:uid="{00000000-0005-0000-0000-0000AD150000}"/>
    <cellStyle name="Separador de milhares 2 2 2 2 2 9 3" xfId="31092" xr:uid="{00000000-0005-0000-0000-0000AE150000}"/>
    <cellStyle name="Separador de milhares 2 2 2 2 3" xfId="866" xr:uid="{00000000-0005-0000-0000-0000AF150000}"/>
    <cellStyle name="Separador de milhares 2 2 2 2 3 2" xfId="6672" xr:uid="{00000000-0005-0000-0000-0000B0150000}"/>
    <cellStyle name="Separador de milhares 2 2 2 2 3 2 2" xfId="9819" xr:uid="{00000000-0005-0000-0000-0000B1150000}"/>
    <cellStyle name="Separador de milhares 2 2 2 2 3 2 2 2" xfId="28033" xr:uid="{00000000-0005-0000-0000-0000B2150000}"/>
    <cellStyle name="Separador de milhares 2 2 2 2 3 2 2 2 2" xfId="54214" xr:uid="{00000000-0005-0000-0000-0000B3150000}"/>
    <cellStyle name="Separador de milhares 2 2 2 2 3 2 2 3" xfId="22119" xr:uid="{00000000-0005-0000-0000-0000B4150000}"/>
    <cellStyle name="Separador de milhares 2 2 2 2 3 2 2 3 2" xfId="48306" xr:uid="{00000000-0005-0000-0000-0000B5150000}"/>
    <cellStyle name="Separador de milhares 2 2 2 2 3 2 2 4" xfId="16205" xr:uid="{00000000-0005-0000-0000-0000B6150000}"/>
    <cellStyle name="Separador de milhares 2 2 2 2 3 2 2 4 2" xfId="42398" xr:uid="{00000000-0005-0000-0000-0000B7150000}"/>
    <cellStyle name="Separador de milhares 2 2 2 2 3 2 2 5" xfId="36012" xr:uid="{00000000-0005-0000-0000-0000B8150000}"/>
    <cellStyle name="Separador de milhares 2 2 2 2 3 2 3" xfId="25076" xr:uid="{00000000-0005-0000-0000-0000B9150000}"/>
    <cellStyle name="Separador de milhares 2 2 2 2 3 2 3 2" xfId="51260" xr:uid="{00000000-0005-0000-0000-0000BA150000}"/>
    <cellStyle name="Separador de milhares 2 2 2 2 3 2 4" xfId="19162" xr:uid="{00000000-0005-0000-0000-0000BB150000}"/>
    <cellStyle name="Separador de milhares 2 2 2 2 3 2 4 2" xfId="45352" xr:uid="{00000000-0005-0000-0000-0000BC150000}"/>
    <cellStyle name="Separador de milhares 2 2 2 2 3 2 5" xfId="13061" xr:uid="{00000000-0005-0000-0000-0000BD150000}"/>
    <cellStyle name="Separador de milhares 2 2 2 2 3 2 5 2" xfId="39254" xr:uid="{00000000-0005-0000-0000-0000BE150000}"/>
    <cellStyle name="Separador de milhares 2 2 2 2 3 2 6" xfId="32868" xr:uid="{00000000-0005-0000-0000-0000BF150000}"/>
    <cellStyle name="Separador de milhares 2 2 2 2 3 3" xfId="8351" xr:uid="{00000000-0005-0000-0000-0000C0150000}"/>
    <cellStyle name="Separador de milhares 2 2 2 2 3 3 2" xfId="26565" xr:uid="{00000000-0005-0000-0000-0000C1150000}"/>
    <cellStyle name="Separador de milhares 2 2 2 2 3 3 2 2" xfId="52746" xr:uid="{00000000-0005-0000-0000-0000C2150000}"/>
    <cellStyle name="Separador de milhares 2 2 2 2 3 3 3" xfId="20651" xr:uid="{00000000-0005-0000-0000-0000C3150000}"/>
    <cellStyle name="Separador de milhares 2 2 2 2 3 3 3 2" xfId="46838" xr:uid="{00000000-0005-0000-0000-0000C4150000}"/>
    <cellStyle name="Separador de milhares 2 2 2 2 3 3 4" xfId="14737" xr:uid="{00000000-0005-0000-0000-0000C5150000}"/>
    <cellStyle name="Separador de milhares 2 2 2 2 3 3 4 2" xfId="40930" xr:uid="{00000000-0005-0000-0000-0000C6150000}"/>
    <cellStyle name="Separador de milhares 2 2 2 2 3 3 5" xfId="34544" xr:uid="{00000000-0005-0000-0000-0000C7150000}"/>
    <cellStyle name="Separador de milhares 2 2 2 2 3 4" xfId="4973" xr:uid="{00000000-0005-0000-0000-0000C8150000}"/>
    <cellStyle name="Separador de milhares 2 2 2 2 3 4 2" xfId="23608" xr:uid="{00000000-0005-0000-0000-0000C9150000}"/>
    <cellStyle name="Separador de milhares 2 2 2 2 3 4 2 2" xfId="49792" xr:uid="{00000000-0005-0000-0000-0000CA150000}"/>
    <cellStyle name="Separador de milhares 2 2 2 2 3 4 3" xfId="31169" xr:uid="{00000000-0005-0000-0000-0000CB150000}"/>
    <cellStyle name="Separador de milhares 2 2 2 2 3 5" xfId="17694" xr:uid="{00000000-0005-0000-0000-0000CC150000}"/>
    <cellStyle name="Separador de milhares 2 2 2 2 3 5 2" xfId="43884" xr:uid="{00000000-0005-0000-0000-0000CD150000}"/>
    <cellStyle name="Separador de milhares 2 2 2 2 3 6" xfId="11360" xr:uid="{00000000-0005-0000-0000-0000CE150000}"/>
    <cellStyle name="Separador de milhares 2 2 2 2 3 6 2" xfId="37553" xr:uid="{00000000-0005-0000-0000-0000CF150000}"/>
    <cellStyle name="Separador de milhares 2 2 2 2 3 7" xfId="29471" xr:uid="{00000000-0005-0000-0000-0000D0150000}"/>
    <cellStyle name="Separador de milhares 2 2 2 2 4" xfId="1217" xr:uid="{00000000-0005-0000-0000-0000D1150000}"/>
    <cellStyle name="Separador de milhares 2 2 2 2 4 2" xfId="6770" xr:uid="{00000000-0005-0000-0000-0000D2150000}"/>
    <cellStyle name="Separador de milhares 2 2 2 2 4 2 2" xfId="9917" xr:uid="{00000000-0005-0000-0000-0000D3150000}"/>
    <cellStyle name="Separador de milhares 2 2 2 2 4 2 2 2" xfId="28131" xr:uid="{00000000-0005-0000-0000-0000D4150000}"/>
    <cellStyle name="Separador de milhares 2 2 2 2 4 2 2 2 2" xfId="54312" xr:uid="{00000000-0005-0000-0000-0000D5150000}"/>
    <cellStyle name="Separador de milhares 2 2 2 2 4 2 2 3" xfId="22217" xr:uid="{00000000-0005-0000-0000-0000D6150000}"/>
    <cellStyle name="Separador de milhares 2 2 2 2 4 2 2 3 2" xfId="48404" xr:uid="{00000000-0005-0000-0000-0000D7150000}"/>
    <cellStyle name="Separador de milhares 2 2 2 2 4 2 2 4" xfId="16303" xr:uid="{00000000-0005-0000-0000-0000D8150000}"/>
    <cellStyle name="Separador de milhares 2 2 2 2 4 2 2 4 2" xfId="42496" xr:uid="{00000000-0005-0000-0000-0000D9150000}"/>
    <cellStyle name="Separador de milhares 2 2 2 2 4 2 2 5" xfId="36110" xr:uid="{00000000-0005-0000-0000-0000DA150000}"/>
    <cellStyle name="Separador de milhares 2 2 2 2 4 2 3" xfId="25174" xr:uid="{00000000-0005-0000-0000-0000DB150000}"/>
    <cellStyle name="Separador de milhares 2 2 2 2 4 2 3 2" xfId="51358" xr:uid="{00000000-0005-0000-0000-0000DC150000}"/>
    <cellStyle name="Separador de milhares 2 2 2 2 4 2 4" xfId="19260" xr:uid="{00000000-0005-0000-0000-0000DD150000}"/>
    <cellStyle name="Separador de milhares 2 2 2 2 4 2 4 2" xfId="45450" xr:uid="{00000000-0005-0000-0000-0000DE150000}"/>
    <cellStyle name="Separador de milhares 2 2 2 2 4 2 5" xfId="13159" xr:uid="{00000000-0005-0000-0000-0000DF150000}"/>
    <cellStyle name="Separador de milhares 2 2 2 2 4 2 5 2" xfId="39352" xr:uid="{00000000-0005-0000-0000-0000E0150000}"/>
    <cellStyle name="Separador de milhares 2 2 2 2 4 2 6" xfId="32966" xr:uid="{00000000-0005-0000-0000-0000E1150000}"/>
    <cellStyle name="Separador de milhares 2 2 2 2 4 3" xfId="8449" xr:uid="{00000000-0005-0000-0000-0000E2150000}"/>
    <cellStyle name="Separador de milhares 2 2 2 2 4 3 2" xfId="26663" xr:uid="{00000000-0005-0000-0000-0000E3150000}"/>
    <cellStyle name="Separador de milhares 2 2 2 2 4 3 2 2" xfId="52844" xr:uid="{00000000-0005-0000-0000-0000E4150000}"/>
    <cellStyle name="Separador de milhares 2 2 2 2 4 3 3" xfId="20749" xr:uid="{00000000-0005-0000-0000-0000E5150000}"/>
    <cellStyle name="Separador de milhares 2 2 2 2 4 3 3 2" xfId="46936" xr:uid="{00000000-0005-0000-0000-0000E6150000}"/>
    <cellStyle name="Separador de milhares 2 2 2 2 4 3 4" xfId="14835" xr:uid="{00000000-0005-0000-0000-0000E7150000}"/>
    <cellStyle name="Separador de milhares 2 2 2 2 4 3 4 2" xfId="41028" xr:uid="{00000000-0005-0000-0000-0000E8150000}"/>
    <cellStyle name="Separador de milhares 2 2 2 2 4 3 5" xfId="34642" xr:uid="{00000000-0005-0000-0000-0000E9150000}"/>
    <cellStyle name="Separador de milhares 2 2 2 2 4 4" xfId="5071" xr:uid="{00000000-0005-0000-0000-0000EA150000}"/>
    <cellStyle name="Separador de milhares 2 2 2 2 4 4 2" xfId="23706" xr:uid="{00000000-0005-0000-0000-0000EB150000}"/>
    <cellStyle name="Separador de milhares 2 2 2 2 4 4 2 2" xfId="49890" xr:uid="{00000000-0005-0000-0000-0000EC150000}"/>
    <cellStyle name="Separador de milhares 2 2 2 2 4 4 3" xfId="31267" xr:uid="{00000000-0005-0000-0000-0000ED150000}"/>
    <cellStyle name="Separador de milhares 2 2 2 2 4 5" xfId="17792" xr:uid="{00000000-0005-0000-0000-0000EE150000}"/>
    <cellStyle name="Separador de milhares 2 2 2 2 4 5 2" xfId="43982" xr:uid="{00000000-0005-0000-0000-0000EF150000}"/>
    <cellStyle name="Separador de milhares 2 2 2 2 4 6" xfId="11458" xr:uid="{00000000-0005-0000-0000-0000F0150000}"/>
    <cellStyle name="Separador de milhares 2 2 2 2 4 6 2" xfId="37651" xr:uid="{00000000-0005-0000-0000-0000F1150000}"/>
    <cellStyle name="Separador de milhares 2 2 2 2 4 7" xfId="29569" xr:uid="{00000000-0005-0000-0000-0000F2150000}"/>
    <cellStyle name="Separador de milhares 2 2 2 2 5" xfId="1652" xr:uid="{00000000-0005-0000-0000-0000F3150000}"/>
    <cellStyle name="Separador de milhares 2 2 2 2 5 2" xfId="6889" xr:uid="{00000000-0005-0000-0000-0000F4150000}"/>
    <cellStyle name="Separador de milhares 2 2 2 2 5 2 2" xfId="10036" xr:uid="{00000000-0005-0000-0000-0000F5150000}"/>
    <cellStyle name="Separador de milhares 2 2 2 2 5 2 2 2" xfId="28250" xr:uid="{00000000-0005-0000-0000-0000F6150000}"/>
    <cellStyle name="Separador de milhares 2 2 2 2 5 2 2 2 2" xfId="54431" xr:uid="{00000000-0005-0000-0000-0000F7150000}"/>
    <cellStyle name="Separador de milhares 2 2 2 2 5 2 2 3" xfId="22336" xr:uid="{00000000-0005-0000-0000-0000F8150000}"/>
    <cellStyle name="Separador de milhares 2 2 2 2 5 2 2 3 2" xfId="48523" xr:uid="{00000000-0005-0000-0000-0000F9150000}"/>
    <cellStyle name="Separador de milhares 2 2 2 2 5 2 2 4" xfId="16422" xr:uid="{00000000-0005-0000-0000-0000FA150000}"/>
    <cellStyle name="Separador de milhares 2 2 2 2 5 2 2 4 2" xfId="42615" xr:uid="{00000000-0005-0000-0000-0000FB150000}"/>
    <cellStyle name="Separador de milhares 2 2 2 2 5 2 2 5" xfId="36229" xr:uid="{00000000-0005-0000-0000-0000FC150000}"/>
    <cellStyle name="Separador de milhares 2 2 2 2 5 2 3" xfId="25293" xr:uid="{00000000-0005-0000-0000-0000FD150000}"/>
    <cellStyle name="Separador de milhares 2 2 2 2 5 2 3 2" xfId="51477" xr:uid="{00000000-0005-0000-0000-0000FE150000}"/>
    <cellStyle name="Separador de milhares 2 2 2 2 5 2 4" xfId="19379" xr:uid="{00000000-0005-0000-0000-0000FF150000}"/>
    <cellStyle name="Separador de milhares 2 2 2 2 5 2 4 2" xfId="45569" xr:uid="{00000000-0005-0000-0000-000000160000}"/>
    <cellStyle name="Separador de milhares 2 2 2 2 5 2 5" xfId="13278" xr:uid="{00000000-0005-0000-0000-000001160000}"/>
    <cellStyle name="Separador de milhares 2 2 2 2 5 2 5 2" xfId="39471" xr:uid="{00000000-0005-0000-0000-000002160000}"/>
    <cellStyle name="Separador de milhares 2 2 2 2 5 2 6" xfId="33085" xr:uid="{00000000-0005-0000-0000-000003160000}"/>
    <cellStyle name="Separador de milhares 2 2 2 2 5 3" xfId="8568" xr:uid="{00000000-0005-0000-0000-000004160000}"/>
    <cellStyle name="Separador de milhares 2 2 2 2 5 3 2" xfId="26782" xr:uid="{00000000-0005-0000-0000-000005160000}"/>
    <cellStyle name="Separador de milhares 2 2 2 2 5 3 2 2" xfId="52963" xr:uid="{00000000-0005-0000-0000-000006160000}"/>
    <cellStyle name="Separador de milhares 2 2 2 2 5 3 3" xfId="20868" xr:uid="{00000000-0005-0000-0000-000007160000}"/>
    <cellStyle name="Separador de milhares 2 2 2 2 5 3 3 2" xfId="47055" xr:uid="{00000000-0005-0000-0000-000008160000}"/>
    <cellStyle name="Separador de milhares 2 2 2 2 5 3 4" xfId="14954" xr:uid="{00000000-0005-0000-0000-000009160000}"/>
    <cellStyle name="Separador de milhares 2 2 2 2 5 3 4 2" xfId="41147" xr:uid="{00000000-0005-0000-0000-00000A160000}"/>
    <cellStyle name="Separador de milhares 2 2 2 2 5 3 5" xfId="34761" xr:uid="{00000000-0005-0000-0000-00000B160000}"/>
    <cellStyle name="Separador de milhares 2 2 2 2 5 4" xfId="5190" xr:uid="{00000000-0005-0000-0000-00000C160000}"/>
    <cellStyle name="Separador de milhares 2 2 2 2 5 4 2" xfId="23825" xr:uid="{00000000-0005-0000-0000-00000D160000}"/>
    <cellStyle name="Separador de milhares 2 2 2 2 5 4 2 2" xfId="50009" xr:uid="{00000000-0005-0000-0000-00000E160000}"/>
    <cellStyle name="Separador de milhares 2 2 2 2 5 4 3" xfId="31386" xr:uid="{00000000-0005-0000-0000-00000F160000}"/>
    <cellStyle name="Separador de milhares 2 2 2 2 5 5" xfId="17911" xr:uid="{00000000-0005-0000-0000-000010160000}"/>
    <cellStyle name="Separador de milhares 2 2 2 2 5 5 2" xfId="44101" xr:uid="{00000000-0005-0000-0000-000011160000}"/>
    <cellStyle name="Separador de milhares 2 2 2 2 5 6" xfId="11577" xr:uid="{00000000-0005-0000-0000-000012160000}"/>
    <cellStyle name="Separador de milhares 2 2 2 2 5 6 2" xfId="37770" xr:uid="{00000000-0005-0000-0000-000013160000}"/>
    <cellStyle name="Separador de milhares 2 2 2 2 5 7" xfId="29688" xr:uid="{00000000-0005-0000-0000-000014160000}"/>
    <cellStyle name="Separador de milhares 2 2 2 2 6" xfId="2182" xr:uid="{00000000-0005-0000-0000-000015160000}"/>
    <cellStyle name="Separador de milhares 2 2 2 2 6 2" xfId="7039" xr:uid="{00000000-0005-0000-0000-000016160000}"/>
    <cellStyle name="Separador de milhares 2 2 2 2 6 2 2" xfId="10183" xr:uid="{00000000-0005-0000-0000-000017160000}"/>
    <cellStyle name="Separador de milhares 2 2 2 2 6 2 2 2" xfId="28397" xr:uid="{00000000-0005-0000-0000-000018160000}"/>
    <cellStyle name="Separador de milhares 2 2 2 2 6 2 2 2 2" xfId="54578" xr:uid="{00000000-0005-0000-0000-000019160000}"/>
    <cellStyle name="Separador de milhares 2 2 2 2 6 2 2 3" xfId="22483" xr:uid="{00000000-0005-0000-0000-00001A160000}"/>
    <cellStyle name="Separador de milhares 2 2 2 2 6 2 2 3 2" xfId="48670" xr:uid="{00000000-0005-0000-0000-00001B160000}"/>
    <cellStyle name="Separador de milhares 2 2 2 2 6 2 2 4" xfId="16569" xr:uid="{00000000-0005-0000-0000-00001C160000}"/>
    <cellStyle name="Separador de milhares 2 2 2 2 6 2 2 4 2" xfId="42762" xr:uid="{00000000-0005-0000-0000-00001D160000}"/>
    <cellStyle name="Separador de milhares 2 2 2 2 6 2 2 5" xfId="36376" xr:uid="{00000000-0005-0000-0000-00001E160000}"/>
    <cellStyle name="Separador de milhares 2 2 2 2 6 2 3" xfId="25440" xr:uid="{00000000-0005-0000-0000-00001F160000}"/>
    <cellStyle name="Separador de milhares 2 2 2 2 6 2 3 2" xfId="51624" xr:uid="{00000000-0005-0000-0000-000020160000}"/>
    <cellStyle name="Separador de milhares 2 2 2 2 6 2 4" xfId="19526" xr:uid="{00000000-0005-0000-0000-000021160000}"/>
    <cellStyle name="Separador de milhares 2 2 2 2 6 2 4 2" xfId="45716" xr:uid="{00000000-0005-0000-0000-000022160000}"/>
    <cellStyle name="Separador de milhares 2 2 2 2 6 2 5" xfId="13428" xr:uid="{00000000-0005-0000-0000-000023160000}"/>
    <cellStyle name="Separador de milhares 2 2 2 2 6 2 5 2" xfId="39621" xr:uid="{00000000-0005-0000-0000-000024160000}"/>
    <cellStyle name="Separador de milhares 2 2 2 2 6 2 6" xfId="33235" xr:uid="{00000000-0005-0000-0000-000025160000}"/>
    <cellStyle name="Separador de milhares 2 2 2 2 6 3" xfId="8715" xr:uid="{00000000-0005-0000-0000-000026160000}"/>
    <cellStyle name="Separador de milhares 2 2 2 2 6 3 2" xfId="26929" xr:uid="{00000000-0005-0000-0000-000027160000}"/>
    <cellStyle name="Separador de milhares 2 2 2 2 6 3 2 2" xfId="53110" xr:uid="{00000000-0005-0000-0000-000028160000}"/>
    <cellStyle name="Separador de milhares 2 2 2 2 6 3 3" xfId="21015" xr:uid="{00000000-0005-0000-0000-000029160000}"/>
    <cellStyle name="Separador de milhares 2 2 2 2 6 3 3 2" xfId="47202" xr:uid="{00000000-0005-0000-0000-00002A160000}"/>
    <cellStyle name="Separador de milhares 2 2 2 2 6 3 4" xfId="15101" xr:uid="{00000000-0005-0000-0000-00002B160000}"/>
    <cellStyle name="Separador de milhares 2 2 2 2 6 3 4 2" xfId="41294" xr:uid="{00000000-0005-0000-0000-00002C160000}"/>
    <cellStyle name="Separador de milhares 2 2 2 2 6 3 5" xfId="34908" xr:uid="{00000000-0005-0000-0000-00002D160000}"/>
    <cellStyle name="Separador de milhares 2 2 2 2 6 4" xfId="5340" xr:uid="{00000000-0005-0000-0000-00002E160000}"/>
    <cellStyle name="Separador de milhares 2 2 2 2 6 4 2" xfId="23972" xr:uid="{00000000-0005-0000-0000-00002F160000}"/>
    <cellStyle name="Separador de milhares 2 2 2 2 6 4 2 2" xfId="50156" xr:uid="{00000000-0005-0000-0000-000030160000}"/>
    <cellStyle name="Separador de milhares 2 2 2 2 6 4 3" xfId="31536" xr:uid="{00000000-0005-0000-0000-000031160000}"/>
    <cellStyle name="Separador de milhares 2 2 2 2 6 5" xfId="18058" xr:uid="{00000000-0005-0000-0000-000032160000}"/>
    <cellStyle name="Separador de milhares 2 2 2 2 6 5 2" xfId="44248" xr:uid="{00000000-0005-0000-0000-000033160000}"/>
    <cellStyle name="Separador de milhares 2 2 2 2 6 6" xfId="11727" xr:uid="{00000000-0005-0000-0000-000034160000}"/>
    <cellStyle name="Separador de milhares 2 2 2 2 6 6 2" xfId="37920" xr:uid="{00000000-0005-0000-0000-000035160000}"/>
    <cellStyle name="Separador de milhares 2 2 2 2 6 7" xfId="29838" xr:uid="{00000000-0005-0000-0000-000036160000}"/>
    <cellStyle name="Separador de milhares 2 2 2 2 7" xfId="2709" xr:uid="{00000000-0005-0000-0000-000037160000}"/>
    <cellStyle name="Separador de milhares 2 2 2 2 7 2" xfId="7186" xr:uid="{00000000-0005-0000-0000-000038160000}"/>
    <cellStyle name="Separador de milhares 2 2 2 2 7 2 2" xfId="10330" xr:uid="{00000000-0005-0000-0000-000039160000}"/>
    <cellStyle name="Separador de milhares 2 2 2 2 7 2 2 2" xfId="28544" xr:uid="{00000000-0005-0000-0000-00003A160000}"/>
    <cellStyle name="Separador de milhares 2 2 2 2 7 2 2 2 2" xfId="54725" xr:uid="{00000000-0005-0000-0000-00003B160000}"/>
    <cellStyle name="Separador de milhares 2 2 2 2 7 2 2 3" xfId="22630" xr:uid="{00000000-0005-0000-0000-00003C160000}"/>
    <cellStyle name="Separador de milhares 2 2 2 2 7 2 2 3 2" xfId="48817" xr:uid="{00000000-0005-0000-0000-00003D160000}"/>
    <cellStyle name="Separador de milhares 2 2 2 2 7 2 2 4" xfId="16716" xr:uid="{00000000-0005-0000-0000-00003E160000}"/>
    <cellStyle name="Separador de milhares 2 2 2 2 7 2 2 4 2" xfId="42909" xr:uid="{00000000-0005-0000-0000-00003F160000}"/>
    <cellStyle name="Separador de milhares 2 2 2 2 7 2 2 5" xfId="36523" xr:uid="{00000000-0005-0000-0000-000040160000}"/>
    <cellStyle name="Separador de milhares 2 2 2 2 7 2 3" xfId="25587" xr:uid="{00000000-0005-0000-0000-000041160000}"/>
    <cellStyle name="Separador de milhares 2 2 2 2 7 2 3 2" xfId="51771" xr:uid="{00000000-0005-0000-0000-000042160000}"/>
    <cellStyle name="Separador de milhares 2 2 2 2 7 2 4" xfId="19673" xr:uid="{00000000-0005-0000-0000-000043160000}"/>
    <cellStyle name="Separador de milhares 2 2 2 2 7 2 4 2" xfId="45863" xr:uid="{00000000-0005-0000-0000-000044160000}"/>
    <cellStyle name="Separador de milhares 2 2 2 2 7 2 5" xfId="13575" xr:uid="{00000000-0005-0000-0000-000045160000}"/>
    <cellStyle name="Separador de milhares 2 2 2 2 7 2 5 2" xfId="39768" xr:uid="{00000000-0005-0000-0000-000046160000}"/>
    <cellStyle name="Separador de milhares 2 2 2 2 7 2 6" xfId="33382" xr:uid="{00000000-0005-0000-0000-000047160000}"/>
    <cellStyle name="Separador de milhares 2 2 2 2 7 3" xfId="8862" xr:uid="{00000000-0005-0000-0000-000048160000}"/>
    <cellStyle name="Separador de milhares 2 2 2 2 7 3 2" xfId="27076" xr:uid="{00000000-0005-0000-0000-000049160000}"/>
    <cellStyle name="Separador de milhares 2 2 2 2 7 3 2 2" xfId="53257" xr:uid="{00000000-0005-0000-0000-00004A160000}"/>
    <cellStyle name="Separador de milhares 2 2 2 2 7 3 3" xfId="21162" xr:uid="{00000000-0005-0000-0000-00004B160000}"/>
    <cellStyle name="Separador de milhares 2 2 2 2 7 3 3 2" xfId="47349" xr:uid="{00000000-0005-0000-0000-00004C160000}"/>
    <cellStyle name="Separador de milhares 2 2 2 2 7 3 4" xfId="15248" xr:uid="{00000000-0005-0000-0000-00004D160000}"/>
    <cellStyle name="Separador de milhares 2 2 2 2 7 3 4 2" xfId="41441" xr:uid="{00000000-0005-0000-0000-00004E160000}"/>
    <cellStyle name="Separador de milhares 2 2 2 2 7 3 5" xfId="35055" xr:uid="{00000000-0005-0000-0000-00004F160000}"/>
    <cellStyle name="Separador de milhares 2 2 2 2 7 4" xfId="5487" xr:uid="{00000000-0005-0000-0000-000050160000}"/>
    <cellStyle name="Separador de milhares 2 2 2 2 7 4 2" xfId="24119" xr:uid="{00000000-0005-0000-0000-000051160000}"/>
    <cellStyle name="Separador de milhares 2 2 2 2 7 4 2 2" xfId="50303" xr:uid="{00000000-0005-0000-0000-000052160000}"/>
    <cellStyle name="Separador de milhares 2 2 2 2 7 4 3" xfId="31683" xr:uid="{00000000-0005-0000-0000-000053160000}"/>
    <cellStyle name="Separador de milhares 2 2 2 2 7 5" xfId="18205" xr:uid="{00000000-0005-0000-0000-000054160000}"/>
    <cellStyle name="Separador de milhares 2 2 2 2 7 5 2" xfId="44395" xr:uid="{00000000-0005-0000-0000-000055160000}"/>
    <cellStyle name="Separador de milhares 2 2 2 2 7 6" xfId="11874" xr:uid="{00000000-0005-0000-0000-000056160000}"/>
    <cellStyle name="Separador de milhares 2 2 2 2 7 6 2" xfId="38067" xr:uid="{00000000-0005-0000-0000-000057160000}"/>
    <cellStyle name="Separador de milhares 2 2 2 2 7 7" xfId="29985" xr:uid="{00000000-0005-0000-0000-000058160000}"/>
    <cellStyle name="Separador de milhares 2 2 2 2 8" xfId="3236" xr:uid="{00000000-0005-0000-0000-000059160000}"/>
    <cellStyle name="Separador de milhares 2 2 2 2 8 2" xfId="7333" xr:uid="{00000000-0005-0000-0000-00005A160000}"/>
    <cellStyle name="Separador de milhares 2 2 2 2 8 2 2" xfId="10477" xr:uid="{00000000-0005-0000-0000-00005B160000}"/>
    <cellStyle name="Separador de milhares 2 2 2 2 8 2 2 2" xfId="28691" xr:uid="{00000000-0005-0000-0000-00005C160000}"/>
    <cellStyle name="Separador de milhares 2 2 2 2 8 2 2 2 2" xfId="54872" xr:uid="{00000000-0005-0000-0000-00005D160000}"/>
    <cellStyle name="Separador de milhares 2 2 2 2 8 2 2 3" xfId="22777" xr:uid="{00000000-0005-0000-0000-00005E160000}"/>
    <cellStyle name="Separador de milhares 2 2 2 2 8 2 2 3 2" xfId="48964" xr:uid="{00000000-0005-0000-0000-00005F160000}"/>
    <cellStyle name="Separador de milhares 2 2 2 2 8 2 2 4" xfId="16863" xr:uid="{00000000-0005-0000-0000-000060160000}"/>
    <cellStyle name="Separador de milhares 2 2 2 2 8 2 2 4 2" xfId="43056" xr:uid="{00000000-0005-0000-0000-000061160000}"/>
    <cellStyle name="Separador de milhares 2 2 2 2 8 2 2 5" xfId="36670" xr:uid="{00000000-0005-0000-0000-000062160000}"/>
    <cellStyle name="Separador de milhares 2 2 2 2 8 2 3" xfId="25734" xr:uid="{00000000-0005-0000-0000-000063160000}"/>
    <cellStyle name="Separador de milhares 2 2 2 2 8 2 3 2" xfId="51918" xr:uid="{00000000-0005-0000-0000-000064160000}"/>
    <cellStyle name="Separador de milhares 2 2 2 2 8 2 4" xfId="19820" xr:uid="{00000000-0005-0000-0000-000065160000}"/>
    <cellStyle name="Separador de milhares 2 2 2 2 8 2 4 2" xfId="46010" xr:uid="{00000000-0005-0000-0000-000066160000}"/>
    <cellStyle name="Separador de milhares 2 2 2 2 8 2 5" xfId="13722" xr:uid="{00000000-0005-0000-0000-000067160000}"/>
    <cellStyle name="Separador de milhares 2 2 2 2 8 2 5 2" xfId="39915" xr:uid="{00000000-0005-0000-0000-000068160000}"/>
    <cellStyle name="Separador de milhares 2 2 2 2 8 2 6" xfId="33529" xr:uid="{00000000-0005-0000-0000-000069160000}"/>
    <cellStyle name="Separador de milhares 2 2 2 2 8 3" xfId="9009" xr:uid="{00000000-0005-0000-0000-00006A160000}"/>
    <cellStyle name="Separador de milhares 2 2 2 2 8 3 2" xfId="27223" xr:uid="{00000000-0005-0000-0000-00006B160000}"/>
    <cellStyle name="Separador de milhares 2 2 2 2 8 3 2 2" xfId="53404" xr:uid="{00000000-0005-0000-0000-00006C160000}"/>
    <cellStyle name="Separador de milhares 2 2 2 2 8 3 3" xfId="21309" xr:uid="{00000000-0005-0000-0000-00006D160000}"/>
    <cellStyle name="Separador de milhares 2 2 2 2 8 3 3 2" xfId="47496" xr:uid="{00000000-0005-0000-0000-00006E160000}"/>
    <cellStyle name="Separador de milhares 2 2 2 2 8 3 4" xfId="15395" xr:uid="{00000000-0005-0000-0000-00006F160000}"/>
    <cellStyle name="Separador de milhares 2 2 2 2 8 3 4 2" xfId="41588" xr:uid="{00000000-0005-0000-0000-000070160000}"/>
    <cellStyle name="Separador de milhares 2 2 2 2 8 3 5" xfId="35202" xr:uid="{00000000-0005-0000-0000-000071160000}"/>
    <cellStyle name="Separador de milhares 2 2 2 2 8 4" xfId="5634" xr:uid="{00000000-0005-0000-0000-000072160000}"/>
    <cellStyle name="Separador de milhares 2 2 2 2 8 4 2" xfId="24266" xr:uid="{00000000-0005-0000-0000-000073160000}"/>
    <cellStyle name="Separador de milhares 2 2 2 2 8 4 2 2" xfId="50450" xr:uid="{00000000-0005-0000-0000-000074160000}"/>
    <cellStyle name="Separador de milhares 2 2 2 2 8 4 3" xfId="31830" xr:uid="{00000000-0005-0000-0000-000075160000}"/>
    <cellStyle name="Separador de milhares 2 2 2 2 8 5" xfId="18352" xr:uid="{00000000-0005-0000-0000-000076160000}"/>
    <cellStyle name="Separador de milhares 2 2 2 2 8 5 2" xfId="44542" xr:uid="{00000000-0005-0000-0000-000077160000}"/>
    <cellStyle name="Separador de milhares 2 2 2 2 8 6" xfId="12021" xr:uid="{00000000-0005-0000-0000-000078160000}"/>
    <cellStyle name="Separador de milhares 2 2 2 2 8 6 2" xfId="38214" xr:uid="{00000000-0005-0000-0000-000079160000}"/>
    <cellStyle name="Separador de milhares 2 2 2 2 8 7" xfId="30132" xr:uid="{00000000-0005-0000-0000-00007A160000}"/>
    <cellStyle name="Separador de milhares 2 2 2 2 9" xfId="3763" xr:uid="{00000000-0005-0000-0000-00007B160000}"/>
    <cellStyle name="Separador de milhares 2 2 2 2 9 2" xfId="7480" xr:uid="{00000000-0005-0000-0000-00007C160000}"/>
    <cellStyle name="Separador de milhares 2 2 2 2 9 2 2" xfId="10624" xr:uid="{00000000-0005-0000-0000-00007D160000}"/>
    <cellStyle name="Separador de milhares 2 2 2 2 9 2 2 2" xfId="28838" xr:uid="{00000000-0005-0000-0000-00007E160000}"/>
    <cellStyle name="Separador de milhares 2 2 2 2 9 2 2 2 2" xfId="55019" xr:uid="{00000000-0005-0000-0000-00007F160000}"/>
    <cellStyle name="Separador de milhares 2 2 2 2 9 2 2 3" xfId="22924" xr:uid="{00000000-0005-0000-0000-000080160000}"/>
    <cellStyle name="Separador de milhares 2 2 2 2 9 2 2 3 2" xfId="49111" xr:uid="{00000000-0005-0000-0000-000081160000}"/>
    <cellStyle name="Separador de milhares 2 2 2 2 9 2 2 4" xfId="17010" xr:uid="{00000000-0005-0000-0000-000082160000}"/>
    <cellStyle name="Separador de milhares 2 2 2 2 9 2 2 4 2" xfId="43203" xr:uid="{00000000-0005-0000-0000-000083160000}"/>
    <cellStyle name="Separador de milhares 2 2 2 2 9 2 2 5" xfId="36817" xr:uid="{00000000-0005-0000-0000-000084160000}"/>
    <cellStyle name="Separador de milhares 2 2 2 2 9 2 3" xfId="25881" xr:uid="{00000000-0005-0000-0000-000085160000}"/>
    <cellStyle name="Separador de milhares 2 2 2 2 9 2 3 2" xfId="52065" xr:uid="{00000000-0005-0000-0000-000086160000}"/>
    <cellStyle name="Separador de milhares 2 2 2 2 9 2 4" xfId="19967" xr:uid="{00000000-0005-0000-0000-000087160000}"/>
    <cellStyle name="Separador de milhares 2 2 2 2 9 2 4 2" xfId="46157" xr:uid="{00000000-0005-0000-0000-000088160000}"/>
    <cellStyle name="Separador de milhares 2 2 2 2 9 2 5" xfId="13869" xr:uid="{00000000-0005-0000-0000-000089160000}"/>
    <cellStyle name="Separador de milhares 2 2 2 2 9 2 5 2" xfId="40062" xr:uid="{00000000-0005-0000-0000-00008A160000}"/>
    <cellStyle name="Separador de milhares 2 2 2 2 9 2 6" xfId="33676" xr:uid="{00000000-0005-0000-0000-00008B160000}"/>
    <cellStyle name="Separador de milhares 2 2 2 2 9 3" xfId="9156" xr:uid="{00000000-0005-0000-0000-00008C160000}"/>
    <cellStyle name="Separador de milhares 2 2 2 2 9 3 2" xfId="27370" xr:uid="{00000000-0005-0000-0000-00008D160000}"/>
    <cellStyle name="Separador de milhares 2 2 2 2 9 3 2 2" xfId="53551" xr:uid="{00000000-0005-0000-0000-00008E160000}"/>
    <cellStyle name="Separador de milhares 2 2 2 2 9 3 3" xfId="21456" xr:uid="{00000000-0005-0000-0000-00008F160000}"/>
    <cellStyle name="Separador de milhares 2 2 2 2 9 3 3 2" xfId="47643" xr:uid="{00000000-0005-0000-0000-000090160000}"/>
    <cellStyle name="Separador de milhares 2 2 2 2 9 3 4" xfId="15542" xr:uid="{00000000-0005-0000-0000-000091160000}"/>
    <cellStyle name="Separador de milhares 2 2 2 2 9 3 4 2" xfId="41735" xr:uid="{00000000-0005-0000-0000-000092160000}"/>
    <cellStyle name="Separador de milhares 2 2 2 2 9 3 5" xfId="35349" xr:uid="{00000000-0005-0000-0000-000093160000}"/>
    <cellStyle name="Separador de milhares 2 2 2 2 9 4" xfId="5781" xr:uid="{00000000-0005-0000-0000-000094160000}"/>
    <cellStyle name="Separador de milhares 2 2 2 2 9 4 2" xfId="24413" xr:uid="{00000000-0005-0000-0000-000095160000}"/>
    <cellStyle name="Separador de milhares 2 2 2 2 9 4 2 2" xfId="50597" xr:uid="{00000000-0005-0000-0000-000096160000}"/>
    <cellStyle name="Separador de milhares 2 2 2 2 9 4 3" xfId="31977" xr:uid="{00000000-0005-0000-0000-000097160000}"/>
    <cellStyle name="Separador de milhares 2 2 2 2 9 5" xfId="18499" xr:uid="{00000000-0005-0000-0000-000098160000}"/>
    <cellStyle name="Separador de milhares 2 2 2 2 9 5 2" xfId="44689" xr:uid="{00000000-0005-0000-0000-000099160000}"/>
    <cellStyle name="Separador de milhares 2 2 2 2 9 6" xfId="12168" xr:uid="{00000000-0005-0000-0000-00009A160000}"/>
    <cellStyle name="Separador de milhares 2 2 2 2 9 6 2" xfId="38361" xr:uid="{00000000-0005-0000-0000-00009B160000}"/>
    <cellStyle name="Separador de milhares 2 2 2 2 9 7" xfId="30279" xr:uid="{00000000-0005-0000-0000-00009C160000}"/>
    <cellStyle name="Separador de milhares 2 2 2 3" xfId="215" xr:uid="{00000000-0005-0000-0000-00009D160000}"/>
    <cellStyle name="Separador de milhares 2 2 2 3 10" xfId="6471" xr:uid="{00000000-0005-0000-0000-00009E160000}"/>
    <cellStyle name="Separador de milhares 2 2 2 3 10 2" xfId="9622" xr:uid="{00000000-0005-0000-0000-00009F160000}"/>
    <cellStyle name="Separador de milhares 2 2 2 3 10 2 2" xfId="27836" xr:uid="{00000000-0005-0000-0000-0000A0160000}"/>
    <cellStyle name="Separador de milhares 2 2 2 3 10 2 2 2" xfId="54017" xr:uid="{00000000-0005-0000-0000-0000A1160000}"/>
    <cellStyle name="Separador de milhares 2 2 2 3 10 2 3" xfId="21922" xr:uid="{00000000-0005-0000-0000-0000A2160000}"/>
    <cellStyle name="Separador de milhares 2 2 2 3 10 2 3 2" xfId="48109" xr:uid="{00000000-0005-0000-0000-0000A3160000}"/>
    <cellStyle name="Separador de milhares 2 2 2 3 10 2 4" xfId="16008" xr:uid="{00000000-0005-0000-0000-0000A4160000}"/>
    <cellStyle name="Separador de milhares 2 2 2 3 10 2 4 2" xfId="42201" xr:uid="{00000000-0005-0000-0000-0000A5160000}"/>
    <cellStyle name="Separador de milhares 2 2 2 3 10 2 5" xfId="35815" xr:uid="{00000000-0005-0000-0000-0000A6160000}"/>
    <cellStyle name="Separador de milhares 2 2 2 3 10 3" xfId="24879" xr:uid="{00000000-0005-0000-0000-0000A7160000}"/>
    <cellStyle name="Separador de milhares 2 2 2 3 10 3 2" xfId="51063" xr:uid="{00000000-0005-0000-0000-0000A8160000}"/>
    <cellStyle name="Separador de milhares 2 2 2 3 10 4" xfId="18965" xr:uid="{00000000-0005-0000-0000-0000A9160000}"/>
    <cellStyle name="Separador de milhares 2 2 2 3 10 4 2" xfId="45155" xr:uid="{00000000-0005-0000-0000-0000AA160000}"/>
    <cellStyle name="Separador de milhares 2 2 2 3 10 5" xfId="12860" xr:uid="{00000000-0005-0000-0000-0000AB160000}"/>
    <cellStyle name="Separador de milhares 2 2 2 3 10 5 2" xfId="39053" xr:uid="{00000000-0005-0000-0000-0000AC160000}"/>
    <cellStyle name="Separador de milhares 2 2 2 3 10 6" xfId="32667" xr:uid="{00000000-0005-0000-0000-0000AD160000}"/>
    <cellStyle name="Separador de milhares 2 2 2 3 11" xfId="8151" xr:uid="{00000000-0005-0000-0000-0000AE160000}"/>
    <cellStyle name="Separador de milhares 2 2 2 3 11 2" xfId="26365" xr:uid="{00000000-0005-0000-0000-0000AF160000}"/>
    <cellStyle name="Separador de milhares 2 2 2 3 11 2 2" xfId="52549" xr:uid="{00000000-0005-0000-0000-0000B0160000}"/>
    <cellStyle name="Separador de milhares 2 2 2 3 11 3" xfId="20451" xr:uid="{00000000-0005-0000-0000-0000B1160000}"/>
    <cellStyle name="Separador de milhares 2 2 2 3 11 3 2" xfId="46641" xr:uid="{00000000-0005-0000-0000-0000B2160000}"/>
    <cellStyle name="Separador de milhares 2 2 2 3 11 4" xfId="14540" xr:uid="{00000000-0005-0000-0000-0000B3160000}"/>
    <cellStyle name="Separador de milhares 2 2 2 3 11 4 2" xfId="40733" xr:uid="{00000000-0005-0000-0000-0000B4160000}"/>
    <cellStyle name="Separador de milhares 2 2 2 3 11 5" xfId="34347" xr:uid="{00000000-0005-0000-0000-0000B5160000}"/>
    <cellStyle name="Separador de milhares 2 2 2 3 12" xfId="4770" xr:uid="{00000000-0005-0000-0000-0000B6160000}"/>
    <cellStyle name="Separador de milhares 2 2 2 3 12 2" xfId="23408" xr:uid="{00000000-0005-0000-0000-0000B7160000}"/>
    <cellStyle name="Separador de milhares 2 2 2 3 12 2 2" xfId="49595" xr:uid="{00000000-0005-0000-0000-0000B8160000}"/>
    <cellStyle name="Separador de milhares 2 2 2 3 12 3" xfId="30968" xr:uid="{00000000-0005-0000-0000-0000B9160000}"/>
    <cellStyle name="Separador de milhares 2 2 2 3 13" xfId="17494" xr:uid="{00000000-0005-0000-0000-0000BA160000}"/>
    <cellStyle name="Separador de milhares 2 2 2 3 13 2" xfId="43687" xr:uid="{00000000-0005-0000-0000-0000BB160000}"/>
    <cellStyle name="Separador de milhares 2 2 2 3 14" xfId="11159" xr:uid="{00000000-0005-0000-0000-0000BC160000}"/>
    <cellStyle name="Separador de milhares 2 2 2 3 14 2" xfId="37352" xr:uid="{00000000-0005-0000-0000-0000BD160000}"/>
    <cellStyle name="Separador de milhares 2 2 2 3 15" xfId="29270" xr:uid="{00000000-0005-0000-0000-0000BE160000}"/>
    <cellStyle name="Separador de milhares 2 2 2 3 2" xfId="653" xr:uid="{00000000-0005-0000-0000-0000BF160000}"/>
    <cellStyle name="Separador de milhares 2 2 2 3 2 2" xfId="6588" xr:uid="{00000000-0005-0000-0000-0000C0160000}"/>
    <cellStyle name="Separador de milhares 2 2 2 3 2 2 2" xfId="9735" xr:uid="{00000000-0005-0000-0000-0000C1160000}"/>
    <cellStyle name="Separador de milhares 2 2 2 3 2 2 2 2" xfId="27949" xr:uid="{00000000-0005-0000-0000-0000C2160000}"/>
    <cellStyle name="Separador de milhares 2 2 2 3 2 2 2 2 2" xfId="54130" xr:uid="{00000000-0005-0000-0000-0000C3160000}"/>
    <cellStyle name="Separador de milhares 2 2 2 3 2 2 2 3" xfId="22035" xr:uid="{00000000-0005-0000-0000-0000C4160000}"/>
    <cellStyle name="Separador de milhares 2 2 2 3 2 2 2 3 2" xfId="48222" xr:uid="{00000000-0005-0000-0000-0000C5160000}"/>
    <cellStyle name="Separador de milhares 2 2 2 3 2 2 2 4" xfId="16121" xr:uid="{00000000-0005-0000-0000-0000C6160000}"/>
    <cellStyle name="Separador de milhares 2 2 2 3 2 2 2 4 2" xfId="42314" xr:uid="{00000000-0005-0000-0000-0000C7160000}"/>
    <cellStyle name="Separador de milhares 2 2 2 3 2 2 2 5" xfId="35928" xr:uid="{00000000-0005-0000-0000-0000C8160000}"/>
    <cellStyle name="Separador de milhares 2 2 2 3 2 2 3" xfId="24992" xr:uid="{00000000-0005-0000-0000-0000C9160000}"/>
    <cellStyle name="Separador de milhares 2 2 2 3 2 2 3 2" xfId="51176" xr:uid="{00000000-0005-0000-0000-0000CA160000}"/>
    <cellStyle name="Separador de milhares 2 2 2 3 2 2 4" xfId="19078" xr:uid="{00000000-0005-0000-0000-0000CB160000}"/>
    <cellStyle name="Separador de milhares 2 2 2 3 2 2 4 2" xfId="45268" xr:uid="{00000000-0005-0000-0000-0000CC160000}"/>
    <cellStyle name="Separador de milhares 2 2 2 3 2 2 5" xfId="12977" xr:uid="{00000000-0005-0000-0000-0000CD160000}"/>
    <cellStyle name="Separador de milhares 2 2 2 3 2 2 5 2" xfId="39170" xr:uid="{00000000-0005-0000-0000-0000CE160000}"/>
    <cellStyle name="Separador de milhares 2 2 2 3 2 2 6" xfId="32784" xr:uid="{00000000-0005-0000-0000-0000CF160000}"/>
    <cellStyle name="Separador de milhares 2 2 2 3 2 3" xfId="8267" xr:uid="{00000000-0005-0000-0000-0000D0160000}"/>
    <cellStyle name="Separador de milhares 2 2 2 3 2 3 2" xfId="26481" xr:uid="{00000000-0005-0000-0000-0000D1160000}"/>
    <cellStyle name="Separador de milhares 2 2 2 3 2 3 2 2" xfId="52662" xr:uid="{00000000-0005-0000-0000-0000D2160000}"/>
    <cellStyle name="Separador de milhares 2 2 2 3 2 3 3" xfId="20567" xr:uid="{00000000-0005-0000-0000-0000D3160000}"/>
    <cellStyle name="Separador de milhares 2 2 2 3 2 3 3 2" xfId="46754" xr:uid="{00000000-0005-0000-0000-0000D4160000}"/>
    <cellStyle name="Separador de milhares 2 2 2 3 2 3 4" xfId="14653" xr:uid="{00000000-0005-0000-0000-0000D5160000}"/>
    <cellStyle name="Separador de milhares 2 2 2 3 2 3 4 2" xfId="40846" xr:uid="{00000000-0005-0000-0000-0000D6160000}"/>
    <cellStyle name="Separador de milhares 2 2 2 3 2 3 5" xfId="34460" xr:uid="{00000000-0005-0000-0000-0000D7160000}"/>
    <cellStyle name="Separador de milhares 2 2 2 3 2 4" xfId="4889" xr:uid="{00000000-0005-0000-0000-0000D8160000}"/>
    <cellStyle name="Separador de milhares 2 2 2 3 2 4 2" xfId="23524" xr:uid="{00000000-0005-0000-0000-0000D9160000}"/>
    <cellStyle name="Separador de milhares 2 2 2 3 2 4 2 2" xfId="49708" xr:uid="{00000000-0005-0000-0000-0000DA160000}"/>
    <cellStyle name="Separador de milhares 2 2 2 3 2 4 3" xfId="31085" xr:uid="{00000000-0005-0000-0000-0000DB160000}"/>
    <cellStyle name="Separador de milhares 2 2 2 3 2 5" xfId="17610" xr:uid="{00000000-0005-0000-0000-0000DC160000}"/>
    <cellStyle name="Separador de milhares 2 2 2 3 2 5 2" xfId="43800" xr:uid="{00000000-0005-0000-0000-0000DD160000}"/>
    <cellStyle name="Separador de milhares 2 2 2 3 2 6" xfId="11276" xr:uid="{00000000-0005-0000-0000-0000DE160000}"/>
    <cellStyle name="Separador de milhares 2 2 2 3 2 6 2" xfId="37469" xr:uid="{00000000-0005-0000-0000-0000DF160000}"/>
    <cellStyle name="Separador de milhares 2 2 2 3 2 7" xfId="29387" xr:uid="{00000000-0005-0000-0000-0000E0160000}"/>
    <cellStyle name="Separador de milhares 2 2 2 3 3" xfId="775" xr:uid="{00000000-0005-0000-0000-0000E1160000}"/>
    <cellStyle name="Separador de milhares 2 2 2 3 3 2" xfId="6644" xr:uid="{00000000-0005-0000-0000-0000E2160000}"/>
    <cellStyle name="Separador de milhares 2 2 2 3 3 2 2" xfId="9791" xr:uid="{00000000-0005-0000-0000-0000E3160000}"/>
    <cellStyle name="Separador de milhares 2 2 2 3 3 2 2 2" xfId="28005" xr:uid="{00000000-0005-0000-0000-0000E4160000}"/>
    <cellStyle name="Separador de milhares 2 2 2 3 3 2 2 2 2" xfId="54186" xr:uid="{00000000-0005-0000-0000-0000E5160000}"/>
    <cellStyle name="Separador de milhares 2 2 2 3 3 2 2 3" xfId="22091" xr:uid="{00000000-0005-0000-0000-0000E6160000}"/>
    <cellStyle name="Separador de milhares 2 2 2 3 3 2 2 3 2" xfId="48278" xr:uid="{00000000-0005-0000-0000-0000E7160000}"/>
    <cellStyle name="Separador de milhares 2 2 2 3 3 2 2 4" xfId="16177" xr:uid="{00000000-0005-0000-0000-0000E8160000}"/>
    <cellStyle name="Separador de milhares 2 2 2 3 3 2 2 4 2" xfId="42370" xr:uid="{00000000-0005-0000-0000-0000E9160000}"/>
    <cellStyle name="Separador de milhares 2 2 2 3 3 2 2 5" xfId="35984" xr:uid="{00000000-0005-0000-0000-0000EA160000}"/>
    <cellStyle name="Separador de milhares 2 2 2 3 3 2 3" xfId="25048" xr:uid="{00000000-0005-0000-0000-0000EB160000}"/>
    <cellStyle name="Separador de milhares 2 2 2 3 3 2 3 2" xfId="51232" xr:uid="{00000000-0005-0000-0000-0000EC160000}"/>
    <cellStyle name="Separador de milhares 2 2 2 3 3 2 4" xfId="19134" xr:uid="{00000000-0005-0000-0000-0000ED160000}"/>
    <cellStyle name="Separador de milhares 2 2 2 3 3 2 4 2" xfId="45324" xr:uid="{00000000-0005-0000-0000-0000EE160000}"/>
    <cellStyle name="Separador de milhares 2 2 2 3 3 2 5" xfId="13033" xr:uid="{00000000-0005-0000-0000-0000EF160000}"/>
    <cellStyle name="Separador de milhares 2 2 2 3 3 2 5 2" xfId="39226" xr:uid="{00000000-0005-0000-0000-0000F0160000}"/>
    <cellStyle name="Separador de milhares 2 2 2 3 3 2 6" xfId="32840" xr:uid="{00000000-0005-0000-0000-0000F1160000}"/>
    <cellStyle name="Separador de milhares 2 2 2 3 3 3" xfId="8323" xr:uid="{00000000-0005-0000-0000-0000F2160000}"/>
    <cellStyle name="Separador de milhares 2 2 2 3 3 3 2" xfId="26537" xr:uid="{00000000-0005-0000-0000-0000F3160000}"/>
    <cellStyle name="Separador de milhares 2 2 2 3 3 3 2 2" xfId="52718" xr:uid="{00000000-0005-0000-0000-0000F4160000}"/>
    <cellStyle name="Separador de milhares 2 2 2 3 3 3 3" xfId="20623" xr:uid="{00000000-0005-0000-0000-0000F5160000}"/>
    <cellStyle name="Separador de milhares 2 2 2 3 3 3 3 2" xfId="46810" xr:uid="{00000000-0005-0000-0000-0000F6160000}"/>
    <cellStyle name="Separador de milhares 2 2 2 3 3 3 4" xfId="14709" xr:uid="{00000000-0005-0000-0000-0000F7160000}"/>
    <cellStyle name="Separador de milhares 2 2 2 3 3 3 4 2" xfId="40902" xr:uid="{00000000-0005-0000-0000-0000F8160000}"/>
    <cellStyle name="Separador de milhares 2 2 2 3 3 3 5" xfId="34516" xr:uid="{00000000-0005-0000-0000-0000F9160000}"/>
    <cellStyle name="Separador de milhares 2 2 2 3 3 4" xfId="4945" xr:uid="{00000000-0005-0000-0000-0000FA160000}"/>
    <cellStyle name="Separador de milhares 2 2 2 3 3 4 2" xfId="23580" xr:uid="{00000000-0005-0000-0000-0000FB160000}"/>
    <cellStyle name="Separador de milhares 2 2 2 3 3 4 2 2" xfId="49764" xr:uid="{00000000-0005-0000-0000-0000FC160000}"/>
    <cellStyle name="Separador de milhares 2 2 2 3 3 4 3" xfId="31141" xr:uid="{00000000-0005-0000-0000-0000FD160000}"/>
    <cellStyle name="Separador de milhares 2 2 2 3 3 5" xfId="17666" xr:uid="{00000000-0005-0000-0000-0000FE160000}"/>
    <cellStyle name="Separador de milhares 2 2 2 3 3 5 2" xfId="43856" xr:uid="{00000000-0005-0000-0000-0000FF160000}"/>
    <cellStyle name="Separador de milhares 2 2 2 3 3 6" xfId="11332" xr:uid="{00000000-0005-0000-0000-000000170000}"/>
    <cellStyle name="Separador de milhares 2 2 2 3 3 6 2" xfId="37525" xr:uid="{00000000-0005-0000-0000-000001170000}"/>
    <cellStyle name="Separador de milhares 2 2 2 3 3 7" xfId="29443" xr:uid="{00000000-0005-0000-0000-000002170000}"/>
    <cellStyle name="Separador de milhares 2 2 2 3 4" xfId="1126" xr:uid="{00000000-0005-0000-0000-000003170000}"/>
    <cellStyle name="Separador de milhares 2 2 2 3 4 2" xfId="6742" xr:uid="{00000000-0005-0000-0000-000004170000}"/>
    <cellStyle name="Separador de milhares 2 2 2 3 4 2 2" xfId="9889" xr:uid="{00000000-0005-0000-0000-000005170000}"/>
    <cellStyle name="Separador de milhares 2 2 2 3 4 2 2 2" xfId="28103" xr:uid="{00000000-0005-0000-0000-000006170000}"/>
    <cellStyle name="Separador de milhares 2 2 2 3 4 2 2 2 2" xfId="54284" xr:uid="{00000000-0005-0000-0000-000007170000}"/>
    <cellStyle name="Separador de milhares 2 2 2 3 4 2 2 3" xfId="22189" xr:uid="{00000000-0005-0000-0000-000008170000}"/>
    <cellStyle name="Separador de milhares 2 2 2 3 4 2 2 3 2" xfId="48376" xr:uid="{00000000-0005-0000-0000-000009170000}"/>
    <cellStyle name="Separador de milhares 2 2 2 3 4 2 2 4" xfId="16275" xr:uid="{00000000-0005-0000-0000-00000A170000}"/>
    <cellStyle name="Separador de milhares 2 2 2 3 4 2 2 4 2" xfId="42468" xr:uid="{00000000-0005-0000-0000-00000B170000}"/>
    <cellStyle name="Separador de milhares 2 2 2 3 4 2 2 5" xfId="36082" xr:uid="{00000000-0005-0000-0000-00000C170000}"/>
    <cellStyle name="Separador de milhares 2 2 2 3 4 2 3" xfId="25146" xr:uid="{00000000-0005-0000-0000-00000D170000}"/>
    <cellStyle name="Separador de milhares 2 2 2 3 4 2 3 2" xfId="51330" xr:uid="{00000000-0005-0000-0000-00000E170000}"/>
    <cellStyle name="Separador de milhares 2 2 2 3 4 2 4" xfId="19232" xr:uid="{00000000-0005-0000-0000-00000F170000}"/>
    <cellStyle name="Separador de milhares 2 2 2 3 4 2 4 2" xfId="45422" xr:uid="{00000000-0005-0000-0000-000010170000}"/>
    <cellStyle name="Separador de milhares 2 2 2 3 4 2 5" xfId="13131" xr:uid="{00000000-0005-0000-0000-000011170000}"/>
    <cellStyle name="Separador de milhares 2 2 2 3 4 2 5 2" xfId="39324" xr:uid="{00000000-0005-0000-0000-000012170000}"/>
    <cellStyle name="Separador de milhares 2 2 2 3 4 2 6" xfId="32938" xr:uid="{00000000-0005-0000-0000-000013170000}"/>
    <cellStyle name="Separador de milhares 2 2 2 3 4 3" xfId="8421" xr:uid="{00000000-0005-0000-0000-000014170000}"/>
    <cellStyle name="Separador de milhares 2 2 2 3 4 3 2" xfId="26635" xr:uid="{00000000-0005-0000-0000-000015170000}"/>
    <cellStyle name="Separador de milhares 2 2 2 3 4 3 2 2" xfId="52816" xr:uid="{00000000-0005-0000-0000-000016170000}"/>
    <cellStyle name="Separador de milhares 2 2 2 3 4 3 3" xfId="20721" xr:uid="{00000000-0005-0000-0000-000017170000}"/>
    <cellStyle name="Separador de milhares 2 2 2 3 4 3 3 2" xfId="46908" xr:uid="{00000000-0005-0000-0000-000018170000}"/>
    <cellStyle name="Separador de milhares 2 2 2 3 4 3 4" xfId="14807" xr:uid="{00000000-0005-0000-0000-000019170000}"/>
    <cellStyle name="Separador de milhares 2 2 2 3 4 3 4 2" xfId="41000" xr:uid="{00000000-0005-0000-0000-00001A170000}"/>
    <cellStyle name="Separador de milhares 2 2 2 3 4 3 5" xfId="34614" xr:uid="{00000000-0005-0000-0000-00001B170000}"/>
    <cellStyle name="Separador de milhares 2 2 2 3 4 4" xfId="5043" xr:uid="{00000000-0005-0000-0000-00001C170000}"/>
    <cellStyle name="Separador de milhares 2 2 2 3 4 4 2" xfId="23678" xr:uid="{00000000-0005-0000-0000-00001D170000}"/>
    <cellStyle name="Separador de milhares 2 2 2 3 4 4 2 2" xfId="49862" xr:uid="{00000000-0005-0000-0000-00001E170000}"/>
    <cellStyle name="Separador de milhares 2 2 2 3 4 4 3" xfId="31239" xr:uid="{00000000-0005-0000-0000-00001F170000}"/>
    <cellStyle name="Separador de milhares 2 2 2 3 4 5" xfId="17764" xr:uid="{00000000-0005-0000-0000-000020170000}"/>
    <cellStyle name="Separador de milhares 2 2 2 3 4 5 2" xfId="43954" xr:uid="{00000000-0005-0000-0000-000021170000}"/>
    <cellStyle name="Separador de milhares 2 2 2 3 4 6" xfId="11430" xr:uid="{00000000-0005-0000-0000-000022170000}"/>
    <cellStyle name="Separador de milhares 2 2 2 3 4 6 2" xfId="37623" xr:uid="{00000000-0005-0000-0000-000023170000}"/>
    <cellStyle name="Separador de milhares 2 2 2 3 4 7" xfId="29541" xr:uid="{00000000-0005-0000-0000-000024170000}"/>
    <cellStyle name="Separador de milhares 2 2 2 3 5" xfId="1561" xr:uid="{00000000-0005-0000-0000-000025170000}"/>
    <cellStyle name="Separador de milhares 2 2 2 3 5 2" xfId="6861" xr:uid="{00000000-0005-0000-0000-000026170000}"/>
    <cellStyle name="Separador de milhares 2 2 2 3 5 2 2" xfId="10008" xr:uid="{00000000-0005-0000-0000-000027170000}"/>
    <cellStyle name="Separador de milhares 2 2 2 3 5 2 2 2" xfId="28222" xr:uid="{00000000-0005-0000-0000-000028170000}"/>
    <cellStyle name="Separador de milhares 2 2 2 3 5 2 2 2 2" xfId="54403" xr:uid="{00000000-0005-0000-0000-000029170000}"/>
    <cellStyle name="Separador de milhares 2 2 2 3 5 2 2 3" xfId="22308" xr:uid="{00000000-0005-0000-0000-00002A170000}"/>
    <cellStyle name="Separador de milhares 2 2 2 3 5 2 2 3 2" xfId="48495" xr:uid="{00000000-0005-0000-0000-00002B170000}"/>
    <cellStyle name="Separador de milhares 2 2 2 3 5 2 2 4" xfId="16394" xr:uid="{00000000-0005-0000-0000-00002C170000}"/>
    <cellStyle name="Separador de milhares 2 2 2 3 5 2 2 4 2" xfId="42587" xr:uid="{00000000-0005-0000-0000-00002D170000}"/>
    <cellStyle name="Separador de milhares 2 2 2 3 5 2 2 5" xfId="36201" xr:uid="{00000000-0005-0000-0000-00002E170000}"/>
    <cellStyle name="Separador de milhares 2 2 2 3 5 2 3" xfId="25265" xr:uid="{00000000-0005-0000-0000-00002F170000}"/>
    <cellStyle name="Separador de milhares 2 2 2 3 5 2 3 2" xfId="51449" xr:uid="{00000000-0005-0000-0000-000030170000}"/>
    <cellStyle name="Separador de milhares 2 2 2 3 5 2 4" xfId="19351" xr:uid="{00000000-0005-0000-0000-000031170000}"/>
    <cellStyle name="Separador de milhares 2 2 2 3 5 2 4 2" xfId="45541" xr:uid="{00000000-0005-0000-0000-000032170000}"/>
    <cellStyle name="Separador de milhares 2 2 2 3 5 2 5" xfId="13250" xr:uid="{00000000-0005-0000-0000-000033170000}"/>
    <cellStyle name="Separador de milhares 2 2 2 3 5 2 5 2" xfId="39443" xr:uid="{00000000-0005-0000-0000-000034170000}"/>
    <cellStyle name="Separador de milhares 2 2 2 3 5 2 6" xfId="33057" xr:uid="{00000000-0005-0000-0000-000035170000}"/>
    <cellStyle name="Separador de milhares 2 2 2 3 5 3" xfId="8540" xr:uid="{00000000-0005-0000-0000-000036170000}"/>
    <cellStyle name="Separador de milhares 2 2 2 3 5 3 2" xfId="26754" xr:uid="{00000000-0005-0000-0000-000037170000}"/>
    <cellStyle name="Separador de milhares 2 2 2 3 5 3 2 2" xfId="52935" xr:uid="{00000000-0005-0000-0000-000038170000}"/>
    <cellStyle name="Separador de milhares 2 2 2 3 5 3 3" xfId="20840" xr:uid="{00000000-0005-0000-0000-000039170000}"/>
    <cellStyle name="Separador de milhares 2 2 2 3 5 3 3 2" xfId="47027" xr:uid="{00000000-0005-0000-0000-00003A170000}"/>
    <cellStyle name="Separador de milhares 2 2 2 3 5 3 4" xfId="14926" xr:uid="{00000000-0005-0000-0000-00003B170000}"/>
    <cellStyle name="Separador de milhares 2 2 2 3 5 3 4 2" xfId="41119" xr:uid="{00000000-0005-0000-0000-00003C170000}"/>
    <cellStyle name="Separador de milhares 2 2 2 3 5 3 5" xfId="34733" xr:uid="{00000000-0005-0000-0000-00003D170000}"/>
    <cellStyle name="Separador de milhares 2 2 2 3 5 4" xfId="5162" xr:uid="{00000000-0005-0000-0000-00003E170000}"/>
    <cellStyle name="Separador de milhares 2 2 2 3 5 4 2" xfId="23797" xr:uid="{00000000-0005-0000-0000-00003F170000}"/>
    <cellStyle name="Separador de milhares 2 2 2 3 5 4 2 2" xfId="49981" xr:uid="{00000000-0005-0000-0000-000040170000}"/>
    <cellStyle name="Separador de milhares 2 2 2 3 5 4 3" xfId="31358" xr:uid="{00000000-0005-0000-0000-000041170000}"/>
    <cellStyle name="Separador de milhares 2 2 2 3 5 5" xfId="17883" xr:uid="{00000000-0005-0000-0000-000042170000}"/>
    <cellStyle name="Separador de milhares 2 2 2 3 5 5 2" xfId="44073" xr:uid="{00000000-0005-0000-0000-000043170000}"/>
    <cellStyle name="Separador de milhares 2 2 2 3 5 6" xfId="11549" xr:uid="{00000000-0005-0000-0000-000044170000}"/>
    <cellStyle name="Separador de milhares 2 2 2 3 5 6 2" xfId="37742" xr:uid="{00000000-0005-0000-0000-000045170000}"/>
    <cellStyle name="Separador de milhares 2 2 2 3 5 7" xfId="29660" xr:uid="{00000000-0005-0000-0000-000046170000}"/>
    <cellStyle name="Separador de milhares 2 2 2 3 6" xfId="2091" xr:uid="{00000000-0005-0000-0000-000047170000}"/>
    <cellStyle name="Separador de milhares 2 2 2 3 6 2" xfId="7011" xr:uid="{00000000-0005-0000-0000-000048170000}"/>
    <cellStyle name="Separador de milhares 2 2 2 3 6 2 2" xfId="10155" xr:uid="{00000000-0005-0000-0000-000049170000}"/>
    <cellStyle name="Separador de milhares 2 2 2 3 6 2 2 2" xfId="28369" xr:uid="{00000000-0005-0000-0000-00004A170000}"/>
    <cellStyle name="Separador de milhares 2 2 2 3 6 2 2 2 2" xfId="54550" xr:uid="{00000000-0005-0000-0000-00004B170000}"/>
    <cellStyle name="Separador de milhares 2 2 2 3 6 2 2 3" xfId="22455" xr:uid="{00000000-0005-0000-0000-00004C170000}"/>
    <cellStyle name="Separador de milhares 2 2 2 3 6 2 2 3 2" xfId="48642" xr:uid="{00000000-0005-0000-0000-00004D170000}"/>
    <cellStyle name="Separador de milhares 2 2 2 3 6 2 2 4" xfId="16541" xr:uid="{00000000-0005-0000-0000-00004E170000}"/>
    <cellStyle name="Separador de milhares 2 2 2 3 6 2 2 4 2" xfId="42734" xr:uid="{00000000-0005-0000-0000-00004F170000}"/>
    <cellStyle name="Separador de milhares 2 2 2 3 6 2 2 5" xfId="36348" xr:uid="{00000000-0005-0000-0000-000050170000}"/>
    <cellStyle name="Separador de milhares 2 2 2 3 6 2 3" xfId="25412" xr:uid="{00000000-0005-0000-0000-000051170000}"/>
    <cellStyle name="Separador de milhares 2 2 2 3 6 2 3 2" xfId="51596" xr:uid="{00000000-0005-0000-0000-000052170000}"/>
    <cellStyle name="Separador de milhares 2 2 2 3 6 2 4" xfId="19498" xr:uid="{00000000-0005-0000-0000-000053170000}"/>
    <cellStyle name="Separador de milhares 2 2 2 3 6 2 4 2" xfId="45688" xr:uid="{00000000-0005-0000-0000-000054170000}"/>
    <cellStyle name="Separador de milhares 2 2 2 3 6 2 5" xfId="13400" xr:uid="{00000000-0005-0000-0000-000055170000}"/>
    <cellStyle name="Separador de milhares 2 2 2 3 6 2 5 2" xfId="39593" xr:uid="{00000000-0005-0000-0000-000056170000}"/>
    <cellStyle name="Separador de milhares 2 2 2 3 6 2 6" xfId="33207" xr:uid="{00000000-0005-0000-0000-000057170000}"/>
    <cellStyle name="Separador de milhares 2 2 2 3 6 3" xfId="8687" xr:uid="{00000000-0005-0000-0000-000058170000}"/>
    <cellStyle name="Separador de milhares 2 2 2 3 6 3 2" xfId="26901" xr:uid="{00000000-0005-0000-0000-000059170000}"/>
    <cellStyle name="Separador de milhares 2 2 2 3 6 3 2 2" xfId="53082" xr:uid="{00000000-0005-0000-0000-00005A170000}"/>
    <cellStyle name="Separador de milhares 2 2 2 3 6 3 3" xfId="20987" xr:uid="{00000000-0005-0000-0000-00005B170000}"/>
    <cellStyle name="Separador de milhares 2 2 2 3 6 3 3 2" xfId="47174" xr:uid="{00000000-0005-0000-0000-00005C170000}"/>
    <cellStyle name="Separador de milhares 2 2 2 3 6 3 4" xfId="15073" xr:uid="{00000000-0005-0000-0000-00005D170000}"/>
    <cellStyle name="Separador de milhares 2 2 2 3 6 3 4 2" xfId="41266" xr:uid="{00000000-0005-0000-0000-00005E170000}"/>
    <cellStyle name="Separador de milhares 2 2 2 3 6 3 5" xfId="34880" xr:uid="{00000000-0005-0000-0000-00005F170000}"/>
    <cellStyle name="Separador de milhares 2 2 2 3 6 4" xfId="5312" xr:uid="{00000000-0005-0000-0000-000060170000}"/>
    <cellStyle name="Separador de milhares 2 2 2 3 6 4 2" xfId="23944" xr:uid="{00000000-0005-0000-0000-000061170000}"/>
    <cellStyle name="Separador de milhares 2 2 2 3 6 4 2 2" xfId="50128" xr:uid="{00000000-0005-0000-0000-000062170000}"/>
    <cellStyle name="Separador de milhares 2 2 2 3 6 4 3" xfId="31508" xr:uid="{00000000-0005-0000-0000-000063170000}"/>
    <cellStyle name="Separador de milhares 2 2 2 3 6 5" xfId="18030" xr:uid="{00000000-0005-0000-0000-000064170000}"/>
    <cellStyle name="Separador de milhares 2 2 2 3 6 5 2" xfId="44220" xr:uid="{00000000-0005-0000-0000-000065170000}"/>
    <cellStyle name="Separador de milhares 2 2 2 3 6 6" xfId="11699" xr:uid="{00000000-0005-0000-0000-000066170000}"/>
    <cellStyle name="Separador de milhares 2 2 2 3 6 6 2" xfId="37892" xr:uid="{00000000-0005-0000-0000-000067170000}"/>
    <cellStyle name="Separador de milhares 2 2 2 3 6 7" xfId="29810" xr:uid="{00000000-0005-0000-0000-000068170000}"/>
    <cellStyle name="Separador de milhares 2 2 2 3 7" xfId="2618" xr:uid="{00000000-0005-0000-0000-000069170000}"/>
    <cellStyle name="Separador de milhares 2 2 2 3 7 2" xfId="7158" xr:uid="{00000000-0005-0000-0000-00006A170000}"/>
    <cellStyle name="Separador de milhares 2 2 2 3 7 2 2" xfId="10302" xr:uid="{00000000-0005-0000-0000-00006B170000}"/>
    <cellStyle name="Separador de milhares 2 2 2 3 7 2 2 2" xfId="28516" xr:uid="{00000000-0005-0000-0000-00006C170000}"/>
    <cellStyle name="Separador de milhares 2 2 2 3 7 2 2 2 2" xfId="54697" xr:uid="{00000000-0005-0000-0000-00006D170000}"/>
    <cellStyle name="Separador de milhares 2 2 2 3 7 2 2 3" xfId="22602" xr:uid="{00000000-0005-0000-0000-00006E170000}"/>
    <cellStyle name="Separador de milhares 2 2 2 3 7 2 2 3 2" xfId="48789" xr:uid="{00000000-0005-0000-0000-00006F170000}"/>
    <cellStyle name="Separador de milhares 2 2 2 3 7 2 2 4" xfId="16688" xr:uid="{00000000-0005-0000-0000-000070170000}"/>
    <cellStyle name="Separador de milhares 2 2 2 3 7 2 2 4 2" xfId="42881" xr:uid="{00000000-0005-0000-0000-000071170000}"/>
    <cellStyle name="Separador de milhares 2 2 2 3 7 2 2 5" xfId="36495" xr:uid="{00000000-0005-0000-0000-000072170000}"/>
    <cellStyle name="Separador de milhares 2 2 2 3 7 2 3" xfId="25559" xr:uid="{00000000-0005-0000-0000-000073170000}"/>
    <cellStyle name="Separador de milhares 2 2 2 3 7 2 3 2" xfId="51743" xr:uid="{00000000-0005-0000-0000-000074170000}"/>
    <cellStyle name="Separador de milhares 2 2 2 3 7 2 4" xfId="19645" xr:uid="{00000000-0005-0000-0000-000075170000}"/>
    <cellStyle name="Separador de milhares 2 2 2 3 7 2 4 2" xfId="45835" xr:uid="{00000000-0005-0000-0000-000076170000}"/>
    <cellStyle name="Separador de milhares 2 2 2 3 7 2 5" xfId="13547" xr:uid="{00000000-0005-0000-0000-000077170000}"/>
    <cellStyle name="Separador de milhares 2 2 2 3 7 2 5 2" xfId="39740" xr:uid="{00000000-0005-0000-0000-000078170000}"/>
    <cellStyle name="Separador de milhares 2 2 2 3 7 2 6" xfId="33354" xr:uid="{00000000-0005-0000-0000-000079170000}"/>
    <cellStyle name="Separador de milhares 2 2 2 3 7 3" xfId="8834" xr:uid="{00000000-0005-0000-0000-00007A170000}"/>
    <cellStyle name="Separador de milhares 2 2 2 3 7 3 2" xfId="27048" xr:uid="{00000000-0005-0000-0000-00007B170000}"/>
    <cellStyle name="Separador de milhares 2 2 2 3 7 3 2 2" xfId="53229" xr:uid="{00000000-0005-0000-0000-00007C170000}"/>
    <cellStyle name="Separador de milhares 2 2 2 3 7 3 3" xfId="21134" xr:uid="{00000000-0005-0000-0000-00007D170000}"/>
    <cellStyle name="Separador de milhares 2 2 2 3 7 3 3 2" xfId="47321" xr:uid="{00000000-0005-0000-0000-00007E170000}"/>
    <cellStyle name="Separador de milhares 2 2 2 3 7 3 4" xfId="15220" xr:uid="{00000000-0005-0000-0000-00007F170000}"/>
    <cellStyle name="Separador de milhares 2 2 2 3 7 3 4 2" xfId="41413" xr:uid="{00000000-0005-0000-0000-000080170000}"/>
    <cellStyle name="Separador de milhares 2 2 2 3 7 3 5" xfId="35027" xr:uid="{00000000-0005-0000-0000-000081170000}"/>
    <cellStyle name="Separador de milhares 2 2 2 3 7 4" xfId="5459" xr:uid="{00000000-0005-0000-0000-000082170000}"/>
    <cellStyle name="Separador de milhares 2 2 2 3 7 4 2" xfId="24091" xr:uid="{00000000-0005-0000-0000-000083170000}"/>
    <cellStyle name="Separador de milhares 2 2 2 3 7 4 2 2" xfId="50275" xr:uid="{00000000-0005-0000-0000-000084170000}"/>
    <cellStyle name="Separador de milhares 2 2 2 3 7 4 3" xfId="31655" xr:uid="{00000000-0005-0000-0000-000085170000}"/>
    <cellStyle name="Separador de milhares 2 2 2 3 7 5" xfId="18177" xr:uid="{00000000-0005-0000-0000-000086170000}"/>
    <cellStyle name="Separador de milhares 2 2 2 3 7 5 2" xfId="44367" xr:uid="{00000000-0005-0000-0000-000087170000}"/>
    <cellStyle name="Separador de milhares 2 2 2 3 7 6" xfId="11846" xr:uid="{00000000-0005-0000-0000-000088170000}"/>
    <cellStyle name="Separador de milhares 2 2 2 3 7 6 2" xfId="38039" xr:uid="{00000000-0005-0000-0000-000089170000}"/>
    <cellStyle name="Separador de milhares 2 2 2 3 7 7" xfId="29957" xr:uid="{00000000-0005-0000-0000-00008A170000}"/>
    <cellStyle name="Separador de milhares 2 2 2 3 8" xfId="3145" xr:uid="{00000000-0005-0000-0000-00008B170000}"/>
    <cellStyle name="Separador de milhares 2 2 2 3 8 2" xfId="7305" xr:uid="{00000000-0005-0000-0000-00008C170000}"/>
    <cellStyle name="Separador de milhares 2 2 2 3 8 2 2" xfId="10449" xr:uid="{00000000-0005-0000-0000-00008D170000}"/>
    <cellStyle name="Separador de milhares 2 2 2 3 8 2 2 2" xfId="28663" xr:uid="{00000000-0005-0000-0000-00008E170000}"/>
    <cellStyle name="Separador de milhares 2 2 2 3 8 2 2 2 2" xfId="54844" xr:uid="{00000000-0005-0000-0000-00008F170000}"/>
    <cellStyle name="Separador de milhares 2 2 2 3 8 2 2 3" xfId="22749" xr:uid="{00000000-0005-0000-0000-000090170000}"/>
    <cellStyle name="Separador de milhares 2 2 2 3 8 2 2 3 2" xfId="48936" xr:uid="{00000000-0005-0000-0000-000091170000}"/>
    <cellStyle name="Separador de milhares 2 2 2 3 8 2 2 4" xfId="16835" xr:uid="{00000000-0005-0000-0000-000092170000}"/>
    <cellStyle name="Separador de milhares 2 2 2 3 8 2 2 4 2" xfId="43028" xr:uid="{00000000-0005-0000-0000-000093170000}"/>
    <cellStyle name="Separador de milhares 2 2 2 3 8 2 2 5" xfId="36642" xr:uid="{00000000-0005-0000-0000-000094170000}"/>
    <cellStyle name="Separador de milhares 2 2 2 3 8 2 3" xfId="25706" xr:uid="{00000000-0005-0000-0000-000095170000}"/>
    <cellStyle name="Separador de milhares 2 2 2 3 8 2 3 2" xfId="51890" xr:uid="{00000000-0005-0000-0000-000096170000}"/>
    <cellStyle name="Separador de milhares 2 2 2 3 8 2 4" xfId="19792" xr:uid="{00000000-0005-0000-0000-000097170000}"/>
    <cellStyle name="Separador de milhares 2 2 2 3 8 2 4 2" xfId="45982" xr:uid="{00000000-0005-0000-0000-000098170000}"/>
    <cellStyle name="Separador de milhares 2 2 2 3 8 2 5" xfId="13694" xr:uid="{00000000-0005-0000-0000-000099170000}"/>
    <cellStyle name="Separador de milhares 2 2 2 3 8 2 5 2" xfId="39887" xr:uid="{00000000-0005-0000-0000-00009A170000}"/>
    <cellStyle name="Separador de milhares 2 2 2 3 8 2 6" xfId="33501" xr:uid="{00000000-0005-0000-0000-00009B170000}"/>
    <cellStyle name="Separador de milhares 2 2 2 3 8 3" xfId="8981" xr:uid="{00000000-0005-0000-0000-00009C170000}"/>
    <cellStyle name="Separador de milhares 2 2 2 3 8 3 2" xfId="27195" xr:uid="{00000000-0005-0000-0000-00009D170000}"/>
    <cellStyle name="Separador de milhares 2 2 2 3 8 3 2 2" xfId="53376" xr:uid="{00000000-0005-0000-0000-00009E170000}"/>
    <cellStyle name="Separador de milhares 2 2 2 3 8 3 3" xfId="21281" xr:uid="{00000000-0005-0000-0000-00009F170000}"/>
    <cellStyle name="Separador de milhares 2 2 2 3 8 3 3 2" xfId="47468" xr:uid="{00000000-0005-0000-0000-0000A0170000}"/>
    <cellStyle name="Separador de milhares 2 2 2 3 8 3 4" xfId="15367" xr:uid="{00000000-0005-0000-0000-0000A1170000}"/>
    <cellStyle name="Separador de milhares 2 2 2 3 8 3 4 2" xfId="41560" xr:uid="{00000000-0005-0000-0000-0000A2170000}"/>
    <cellStyle name="Separador de milhares 2 2 2 3 8 3 5" xfId="35174" xr:uid="{00000000-0005-0000-0000-0000A3170000}"/>
    <cellStyle name="Separador de milhares 2 2 2 3 8 4" xfId="5606" xr:uid="{00000000-0005-0000-0000-0000A4170000}"/>
    <cellStyle name="Separador de milhares 2 2 2 3 8 4 2" xfId="24238" xr:uid="{00000000-0005-0000-0000-0000A5170000}"/>
    <cellStyle name="Separador de milhares 2 2 2 3 8 4 2 2" xfId="50422" xr:uid="{00000000-0005-0000-0000-0000A6170000}"/>
    <cellStyle name="Separador de milhares 2 2 2 3 8 4 3" xfId="31802" xr:uid="{00000000-0005-0000-0000-0000A7170000}"/>
    <cellStyle name="Separador de milhares 2 2 2 3 8 5" xfId="18324" xr:uid="{00000000-0005-0000-0000-0000A8170000}"/>
    <cellStyle name="Separador de milhares 2 2 2 3 8 5 2" xfId="44514" xr:uid="{00000000-0005-0000-0000-0000A9170000}"/>
    <cellStyle name="Separador de milhares 2 2 2 3 8 6" xfId="11993" xr:uid="{00000000-0005-0000-0000-0000AA170000}"/>
    <cellStyle name="Separador de milhares 2 2 2 3 8 6 2" xfId="38186" xr:uid="{00000000-0005-0000-0000-0000AB170000}"/>
    <cellStyle name="Separador de milhares 2 2 2 3 8 7" xfId="30104" xr:uid="{00000000-0005-0000-0000-0000AC170000}"/>
    <cellStyle name="Separador de milhares 2 2 2 3 9" xfId="3672" xr:uid="{00000000-0005-0000-0000-0000AD170000}"/>
    <cellStyle name="Separador de milhares 2 2 2 3 9 2" xfId="7452" xr:uid="{00000000-0005-0000-0000-0000AE170000}"/>
    <cellStyle name="Separador de milhares 2 2 2 3 9 2 2" xfId="10596" xr:uid="{00000000-0005-0000-0000-0000AF170000}"/>
    <cellStyle name="Separador de milhares 2 2 2 3 9 2 2 2" xfId="28810" xr:uid="{00000000-0005-0000-0000-0000B0170000}"/>
    <cellStyle name="Separador de milhares 2 2 2 3 9 2 2 2 2" xfId="54991" xr:uid="{00000000-0005-0000-0000-0000B1170000}"/>
    <cellStyle name="Separador de milhares 2 2 2 3 9 2 2 3" xfId="22896" xr:uid="{00000000-0005-0000-0000-0000B2170000}"/>
    <cellStyle name="Separador de milhares 2 2 2 3 9 2 2 3 2" xfId="49083" xr:uid="{00000000-0005-0000-0000-0000B3170000}"/>
    <cellStyle name="Separador de milhares 2 2 2 3 9 2 2 4" xfId="16982" xr:uid="{00000000-0005-0000-0000-0000B4170000}"/>
    <cellStyle name="Separador de milhares 2 2 2 3 9 2 2 4 2" xfId="43175" xr:uid="{00000000-0005-0000-0000-0000B5170000}"/>
    <cellStyle name="Separador de milhares 2 2 2 3 9 2 2 5" xfId="36789" xr:uid="{00000000-0005-0000-0000-0000B6170000}"/>
    <cellStyle name="Separador de milhares 2 2 2 3 9 2 3" xfId="25853" xr:uid="{00000000-0005-0000-0000-0000B7170000}"/>
    <cellStyle name="Separador de milhares 2 2 2 3 9 2 3 2" xfId="52037" xr:uid="{00000000-0005-0000-0000-0000B8170000}"/>
    <cellStyle name="Separador de milhares 2 2 2 3 9 2 4" xfId="19939" xr:uid="{00000000-0005-0000-0000-0000B9170000}"/>
    <cellStyle name="Separador de milhares 2 2 2 3 9 2 4 2" xfId="46129" xr:uid="{00000000-0005-0000-0000-0000BA170000}"/>
    <cellStyle name="Separador de milhares 2 2 2 3 9 2 5" xfId="13841" xr:uid="{00000000-0005-0000-0000-0000BB170000}"/>
    <cellStyle name="Separador de milhares 2 2 2 3 9 2 5 2" xfId="40034" xr:uid="{00000000-0005-0000-0000-0000BC170000}"/>
    <cellStyle name="Separador de milhares 2 2 2 3 9 2 6" xfId="33648" xr:uid="{00000000-0005-0000-0000-0000BD170000}"/>
    <cellStyle name="Separador de milhares 2 2 2 3 9 3" xfId="9128" xr:uid="{00000000-0005-0000-0000-0000BE170000}"/>
    <cellStyle name="Separador de milhares 2 2 2 3 9 3 2" xfId="27342" xr:uid="{00000000-0005-0000-0000-0000BF170000}"/>
    <cellStyle name="Separador de milhares 2 2 2 3 9 3 2 2" xfId="53523" xr:uid="{00000000-0005-0000-0000-0000C0170000}"/>
    <cellStyle name="Separador de milhares 2 2 2 3 9 3 3" xfId="21428" xr:uid="{00000000-0005-0000-0000-0000C1170000}"/>
    <cellStyle name="Separador de milhares 2 2 2 3 9 3 3 2" xfId="47615" xr:uid="{00000000-0005-0000-0000-0000C2170000}"/>
    <cellStyle name="Separador de milhares 2 2 2 3 9 3 4" xfId="15514" xr:uid="{00000000-0005-0000-0000-0000C3170000}"/>
    <cellStyle name="Separador de milhares 2 2 2 3 9 3 4 2" xfId="41707" xr:uid="{00000000-0005-0000-0000-0000C4170000}"/>
    <cellStyle name="Separador de milhares 2 2 2 3 9 3 5" xfId="35321" xr:uid="{00000000-0005-0000-0000-0000C5170000}"/>
    <cellStyle name="Separador de milhares 2 2 2 3 9 4" xfId="5753" xr:uid="{00000000-0005-0000-0000-0000C6170000}"/>
    <cellStyle name="Separador de milhares 2 2 2 3 9 4 2" xfId="24385" xr:uid="{00000000-0005-0000-0000-0000C7170000}"/>
    <cellStyle name="Separador de milhares 2 2 2 3 9 4 2 2" xfId="50569" xr:uid="{00000000-0005-0000-0000-0000C8170000}"/>
    <cellStyle name="Separador de milhares 2 2 2 3 9 4 3" xfId="31949" xr:uid="{00000000-0005-0000-0000-0000C9170000}"/>
    <cellStyle name="Separador de milhares 2 2 2 3 9 5" xfId="18471" xr:uid="{00000000-0005-0000-0000-0000CA170000}"/>
    <cellStyle name="Separador de milhares 2 2 2 3 9 5 2" xfId="44661" xr:uid="{00000000-0005-0000-0000-0000CB170000}"/>
    <cellStyle name="Separador de milhares 2 2 2 3 9 6" xfId="12140" xr:uid="{00000000-0005-0000-0000-0000CC170000}"/>
    <cellStyle name="Separador de milhares 2 2 2 3 9 6 2" xfId="38333" xr:uid="{00000000-0005-0000-0000-0000CD170000}"/>
    <cellStyle name="Separador de milhares 2 2 2 3 9 7" xfId="30251" xr:uid="{00000000-0005-0000-0000-0000CE170000}"/>
    <cellStyle name="Separador de milhares 2 2 2 4" xfId="6411" xr:uid="{00000000-0005-0000-0000-0000CF170000}"/>
    <cellStyle name="Separador de milhares 2 2 2 4 2" xfId="9567" xr:uid="{00000000-0005-0000-0000-0000D0170000}"/>
    <cellStyle name="Separador de milhares 2 2 2 4 2 2" xfId="27781" xr:uid="{00000000-0005-0000-0000-0000D1170000}"/>
    <cellStyle name="Separador de milhares 2 2 2 4 2 2 2" xfId="53962" xr:uid="{00000000-0005-0000-0000-0000D2170000}"/>
    <cellStyle name="Separador de milhares 2 2 2 4 2 3" xfId="21867" xr:uid="{00000000-0005-0000-0000-0000D3170000}"/>
    <cellStyle name="Separador de milhares 2 2 2 4 2 3 2" xfId="48054" xr:uid="{00000000-0005-0000-0000-0000D4170000}"/>
    <cellStyle name="Separador de milhares 2 2 2 4 2 4" xfId="15953" xr:uid="{00000000-0005-0000-0000-0000D5170000}"/>
    <cellStyle name="Separador de milhares 2 2 2 4 2 4 2" xfId="42146" xr:uid="{00000000-0005-0000-0000-0000D6170000}"/>
    <cellStyle name="Separador de milhares 2 2 2 4 2 5" xfId="35760" xr:uid="{00000000-0005-0000-0000-0000D7170000}"/>
    <cellStyle name="Separador de milhares 2 2 2 4 3" xfId="24824" xr:uid="{00000000-0005-0000-0000-0000D8170000}"/>
    <cellStyle name="Separador de milhares 2 2 2 4 3 2" xfId="51008" xr:uid="{00000000-0005-0000-0000-0000D9170000}"/>
    <cellStyle name="Separador de milhares 2 2 2 4 4" xfId="18910" xr:uid="{00000000-0005-0000-0000-0000DA170000}"/>
    <cellStyle name="Separador de milhares 2 2 2 4 4 2" xfId="45100" xr:uid="{00000000-0005-0000-0000-0000DB170000}"/>
    <cellStyle name="Separador de milhares 2 2 2 4 5" xfId="12800" xr:uid="{00000000-0005-0000-0000-0000DC170000}"/>
    <cellStyle name="Separador de milhares 2 2 2 4 5 2" xfId="38993" xr:uid="{00000000-0005-0000-0000-0000DD170000}"/>
    <cellStyle name="Separador de milhares 2 2 2 4 6" xfId="32607" xr:uid="{00000000-0005-0000-0000-0000DE170000}"/>
    <cellStyle name="Separador de milhares 2 2 2 5" xfId="8096" xr:uid="{00000000-0005-0000-0000-0000DF170000}"/>
    <cellStyle name="Separador de milhares 2 2 2 5 2" xfId="26310" xr:uid="{00000000-0005-0000-0000-0000E0170000}"/>
    <cellStyle name="Separador de milhares 2 2 2 5 2 2" xfId="52494" xr:uid="{00000000-0005-0000-0000-0000E1170000}"/>
    <cellStyle name="Separador de milhares 2 2 2 5 3" xfId="20396" xr:uid="{00000000-0005-0000-0000-0000E2170000}"/>
    <cellStyle name="Separador de milhares 2 2 2 5 3 2" xfId="46586" xr:uid="{00000000-0005-0000-0000-0000E3170000}"/>
    <cellStyle name="Separador de milhares 2 2 2 5 4" xfId="14485" xr:uid="{00000000-0005-0000-0000-0000E4170000}"/>
    <cellStyle name="Separador de milhares 2 2 2 5 4 2" xfId="40678" xr:uid="{00000000-0005-0000-0000-0000E5170000}"/>
    <cellStyle name="Separador de milhares 2 2 2 5 5" xfId="34292" xr:uid="{00000000-0005-0000-0000-0000E6170000}"/>
    <cellStyle name="Separador de milhares 2 2 2 6" xfId="4709" xr:uid="{00000000-0005-0000-0000-0000E7170000}"/>
    <cellStyle name="Separador de milhares 2 2 2 6 2" xfId="23353" xr:uid="{00000000-0005-0000-0000-0000E8170000}"/>
    <cellStyle name="Separador de milhares 2 2 2 6 2 2" xfId="49540" xr:uid="{00000000-0005-0000-0000-0000E9170000}"/>
    <cellStyle name="Separador de milhares 2 2 2 6 3" xfId="30908" xr:uid="{00000000-0005-0000-0000-0000EA170000}"/>
    <cellStyle name="Separador de milhares 2 2 2 7" xfId="17439" xr:uid="{00000000-0005-0000-0000-0000EB170000}"/>
    <cellStyle name="Separador de milhares 2 2 2 7 2" xfId="43632" xr:uid="{00000000-0005-0000-0000-0000EC170000}"/>
    <cellStyle name="Separador de milhares 2 2 2 8" xfId="11099" xr:uid="{00000000-0005-0000-0000-0000ED170000}"/>
    <cellStyle name="Separador de milhares 2 2 2 8 2" xfId="37292" xr:uid="{00000000-0005-0000-0000-0000EE170000}"/>
    <cellStyle name="Separador de milhares 2 2 2 9" xfId="29210" xr:uid="{00000000-0005-0000-0000-0000EF170000}"/>
    <cellStyle name="Separador de milhares 2 2 3" xfId="119" xr:uid="{00000000-0005-0000-0000-0000F0170000}"/>
    <cellStyle name="Separador de milhares 2 2 3 10" xfId="6439" xr:uid="{00000000-0005-0000-0000-0000F1170000}"/>
    <cellStyle name="Separador de milhares 2 2 3 10 2" xfId="9593" xr:uid="{00000000-0005-0000-0000-0000F2170000}"/>
    <cellStyle name="Separador de milhares 2 2 3 10 2 2" xfId="27807" xr:uid="{00000000-0005-0000-0000-0000F3170000}"/>
    <cellStyle name="Separador de milhares 2 2 3 10 2 2 2" xfId="53988" xr:uid="{00000000-0005-0000-0000-0000F4170000}"/>
    <cellStyle name="Separador de milhares 2 2 3 10 2 3" xfId="21893" xr:uid="{00000000-0005-0000-0000-0000F5170000}"/>
    <cellStyle name="Separador de milhares 2 2 3 10 2 3 2" xfId="48080" xr:uid="{00000000-0005-0000-0000-0000F6170000}"/>
    <cellStyle name="Separador de milhares 2 2 3 10 2 4" xfId="15979" xr:uid="{00000000-0005-0000-0000-0000F7170000}"/>
    <cellStyle name="Separador de milhares 2 2 3 10 2 4 2" xfId="42172" xr:uid="{00000000-0005-0000-0000-0000F8170000}"/>
    <cellStyle name="Separador de milhares 2 2 3 10 2 5" xfId="35786" xr:uid="{00000000-0005-0000-0000-0000F9170000}"/>
    <cellStyle name="Separador de milhares 2 2 3 10 3" xfId="24850" xr:uid="{00000000-0005-0000-0000-0000FA170000}"/>
    <cellStyle name="Separador de milhares 2 2 3 10 3 2" xfId="51034" xr:uid="{00000000-0005-0000-0000-0000FB170000}"/>
    <cellStyle name="Separador de milhares 2 2 3 10 4" xfId="18936" xr:uid="{00000000-0005-0000-0000-0000FC170000}"/>
    <cellStyle name="Separador de milhares 2 2 3 10 4 2" xfId="45126" xr:uid="{00000000-0005-0000-0000-0000FD170000}"/>
    <cellStyle name="Separador de milhares 2 2 3 10 5" xfId="12828" xr:uid="{00000000-0005-0000-0000-0000FE170000}"/>
    <cellStyle name="Separador de milhares 2 2 3 10 5 2" xfId="39021" xr:uid="{00000000-0005-0000-0000-0000FF170000}"/>
    <cellStyle name="Separador de milhares 2 2 3 10 6" xfId="32635" xr:uid="{00000000-0005-0000-0000-000000180000}"/>
    <cellStyle name="Separador de milhares 2 2 3 11" xfId="8122" xr:uid="{00000000-0005-0000-0000-000001180000}"/>
    <cellStyle name="Separador de milhares 2 2 3 11 2" xfId="26336" xr:uid="{00000000-0005-0000-0000-000002180000}"/>
    <cellStyle name="Separador de milhares 2 2 3 11 2 2" xfId="52520" xr:uid="{00000000-0005-0000-0000-000003180000}"/>
    <cellStyle name="Separador de milhares 2 2 3 11 3" xfId="20422" xr:uid="{00000000-0005-0000-0000-000004180000}"/>
    <cellStyle name="Separador de milhares 2 2 3 11 3 2" xfId="46612" xr:uid="{00000000-0005-0000-0000-000005180000}"/>
    <cellStyle name="Separador de milhares 2 2 3 11 4" xfId="14511" xr:uid="{00000000-0005-0000-0000-000006180000}"/>
    <cellStyle name="Separador de milhares 2 2 3 11 4 2" xfId="40704" xr:uid="{00000000-0005-0000-0000-000007180000}"/>
    <cellStyle name="Separador de milhares 2 2 3 11 5" xfId="34318" xr:uid="{00000000-0005-0000-0000-000008180000}"/>
    <cellStyle name="Separador de milhares 2 2 3 12" xfId="4738" xr:uid="{00000000-0005-0000-0000-000009180000}"/>
    <cellStyle name="Separador de milhares 2 2 3 12 2" xfId="23379" xr:uid="{00000000-0005-0000-0000-00000A180000}"/>
    <cellStyle name="Separador de milhares 2 2 3 12 2 2" xfId="49566" xr:uid="{00000000-0005-0000-0000-00000B180000}"/>
    <cellStyle name="Separador de milhares 2 2 3 12 3" xfId="30936" xr:uid="{00000000-0005-0000-0000-00000C180000}"/>
    <cellStyle name="Separador de milhares 2 2 3 13" xfId="17465" xr:uid="{00000000-0005-0000-0000-00000D180000}"/>
    <cellStyle name="Separador de milhares 2 2 3 13 2" xfId="43658" xr:uid="{00000000-0005-0000-0000-00000E180000}"/>
    <cellStyle name="Separador de milhares 2 2 3 14" xfId="11127" xr:uid="{00000000-0005-0000-0000-00000F180000}"/>
    <cellStyle name="Separador de milhares 2 2 3 14 2" xfId="37320" xr:uid="{00000000-0005-0000-0000-000010180000}"/>
    <cellStyle name="Separador de milhares 2 2 3 15" xfId="29239" xr:uid="{00000000-0005-0000-0000-000011180000}"/>
    <cellStyle name="Separador de milhares 2 2 3 2" xfId="659" xr:uid="{00000000-0005-0000-0000-000012180000}"/>
    <cellStyle name="Separador de milhares 2 2 3 2 10" xfId="17616" xr:uid="{00000000-0005-0000-0000-000013180000}"/>
    <cellStyle name="Separador de milhares 2 2 3 2 10 2" xfId="43806" xr:uid="{00000000-0005-0000-0000-000014180000}"/>
    <cellStyle name="Separador de milhares 2 2 3 2 11" xfId="11282" xr:uid="{00000000-0005-0000-0000-000015180000}"/>
    <cellStyle name="Separador de milhares 2 2 3 2 11 2" xfId="37475" xr:uid="{00000000-0005-0000-0000-000016180000}"/>
    <cellStyle name="Separador de milhares 2 2 3 2 12" xfId="29393" xr:uid="{00000000-0005-0000-0000-000017180000}"/>
    <cellStyle name="Separador de milhares 2 2 3 2 2" xfId="1911" xr:uid="{00000000-0005-0000-0000-000018180000}"/>
    <cellStyle name="Separador de milhares 2 2 3 2 2 2" xfId="6958" xr:uid="{00000000-0005-0000-0000-000019180000}"/>
    <cellStyle name="Separador de milhares 2 2 3 2 2 2 2" xfId="10105" xr:uid="{00000000-0005-0000-0000-00001A180000}"/>
    <cellStyle name="Separador de milhares 2 2 3 2 2 2 2 2" xfId="28319" xr:uid="{00000000-0005-0000-0000-00001B180000}"/>
    <cellStyle name="Separador de milhares 2 2 3 2 2 2 2 2 2" xfId="54500" xr:uid="{00000000-0005-0000-0000-00001C180000}"/>
    <cellStyle name="Separador de milhares 2 2 3 2 2 2 2 3" xfId="22405" xr:uid="{00000000-0005-0000-0000-00001D180000}"/>
    <cellStyle name="Separador de milhares 2 2 3 2 2 2 2 3 2" xfId="48592" xr:uid="{00000000-0005-0000-0000-00001E180000}"/>
    <cellStyle name="Separador de milhares 2 2 3 2 2 2 2 4" xfId="16491" xr:uid="{00000000-0005-0000-0000-00001F180000}"/>
    <cellStyle name="Separador de milhares 2 2 3 2 2 2 2 4 2" xfId="42684" xr:uid="{00000000-0005-0000-0000-000020180000}"/>
    <cellStyle name="Separador de milhares 2 2 3 2 2 2 2 5" xfId="36298" xr:uid="{00000000-0005-0000-0000-000021180000}"/>
    <cellStyle name="Separador de milhares 2 2 3 2 2 2 3" xfId="25362" xr:uid="{00000000-0005-0000-0000-000022180000}"/>
    <cellStyle name="Separador de milhares 2 2 3 2 2 2 3 2" xfId="51546" xr:uid="{00000000-0005-0000-0000-000023180000}"/>
    <cellStyle name="Separador de milhares 2 2 3 2 2 2 4" xfId="19448" xr:uid="{00000000-0005-0000-0000-000024180000}"/>
    <cellStyle name="Separador de milhares 2 2 3 2 2 2 4 2" xfId="45638" xr:uid="{00000000-0005-0000-0000-000025180000}"/>
    <cellStyle name="Separador de milhares 2 2 3 2 2 2 5" xfId="13347" xr:uid="{00000000-0005-0000-0000-000026180000}"/>
    <cellStyle name="Separador de milhares 2 2 3 2 2 2 5 2" xfId="39540" xr:uid="{00000000-0005-0000-0000-000027180000}"/>
    <cellStyle name="Separador de milhares 2 2 3 2 2 2 6" xfId="33154" xr:uid="{00000000-0005-0000-0000-000028180000}"/>
    <cellStyle name="Separador de milhares 2 2 3 2 2 3" xfId="8637" xr:uid="{00000000-0005-0000-0000-000029180000}"/>
    <cellStyle name="Separador de milhares 2 2 3 2 2 3 2" xfId="26851" xr:uid="{00000000-0005-0000-0000-00002A180000}"/>
    <cellStyle name="Separador de milhares 2 2 3 2 2 3 2 2" xfId="53032" xr:uid="{00000000-0005-0000-0000-00002B180000}"/>
    <cellStyle name="Separador de milhares 2 2 3 2 2 3 3" xfId="20937" xr:uid="{00000000-0005-0000-0000-00002C180000}"/>
    <cellStyle name="Separador de milhares 2 2 3 2 2 3 3 2" xfId="47124" xr:uid="{00000000-0005-0000-0000-00002D180000}"/>
    <cellStyle name="Separador de milhares 2 2 3 2 2 3 4" xfId="15023" xr:uid="{00000000-0005-0000-0000-00002E180000}"/>
    <cellStyle name="Separador de milhares 2 2 3 2 2 3 4 2" xfId="41216" xr:uid="{00000000-0005-0000-0000-00002F180000}"/>
    <cellStyle name="Separador de milhares 2 2 3 2 2 3 5" xfId="34830" xr:uid="{00000000-0005-0000-0000-000030180000}"/>
    <cellStyle name="Separador de milhares 2 2 3 2 2 4" xfId="5259" xr:uid="{00000000-0005-0000-0000-000031180000}"/>
    <cellStyle name="Separador de milhares 2 2 3 2 2 4 2" xfId="23894" xr:uid="{00000000-0005-0000-0000-000032180000}"/>
    <cellStyle name="Separador de milhares 2 2 3 2 2 4 2 2" xfId="50078" xr:uid="{00000000-0005-0000-0000-000033180000}"/>
    <cellStyle name="Separador de milhares 2 2 3 2 2 4 3" xfId="31455" xr:uid="{00000000-0005-0000-0000-000034180000}"/>
    <cellStyle name="Separador de milhares 2 2 3 2 2 5" xfId="17980" xr:uid="{00000000-0005-0000-0000-000035180000}"/>
    <cellStyle name="Separador de milhares 2 2 3 2 2 5 2" xfId="44170" xr:uid="{00000000-0005-0000-0000-000036180000}"/>
    <cellStyle name="Separador de milhares 2 2 3 2 2 6" xfId="11646" xr:uid="{00000000-0005-0000-0000-000037180000}"/>
    <cellStyle name="Separador de milhares 2 2 3 2 2 6 2" xfId="37839" xr:uid="{00000000-0005-0000-0000-000038180000}"/>
    <cellStyle name="Separador de milhares 2 2 3 2 2 7" xfId="29757" xr:uid="{00000000-0005-0000-0000-000039180000}"/>
    <cellStyle name="Separador de milhares 2 2 3 2 3" xfId="2441" xr:uid="{00000000-0005-0000-0000-00003A180000}"/>
    <cellStyle name="Separador de milhares 2 2 3 2 3 2" xfId="7108" xr:uid="{00000000-0005-0000-0000-00003B180000}"/>
    <cellStyle name="Separador de milhares 2 2 3 2 3 2 2" xfId="10252" xr:uid="{00000000-0005-0000-0000-00003C180000}"/>
    <cellStyle name="Separador de milhares 2 2 3 2 3 2 2 2" xfId="28466" xr:uid="{00000000-0005-0000-0000-00003D180000}"/>
    <cellStyle name="Separador de milhares 2 2 3 2 3 2 2 2 2" xfId="54647" xr:uid="{00000000-0005-0000-0000-00003E180000}"/>
    <cellStyle name="Separador de milhares 2 2 3 2 3 2 2 3" xfId="22552" xr:uid="{00000000-0005-0000-0000-00003F180000}"/>
    <cellStyle name="Separador de milhares 2 2 3 2 3 2 2 3 2" xfId="48739" xr:uid="{00000000-0005-0000-0000-000040180000}"/>
    <cellStyle name="Separador de milhares 2 2 3 2 3 2 2 4" xfId="16638" xr:uid="{00000000-0005-0000-0000-000041180000}"/>
    <cellStyle name="Separador de milhares 2 2 3 2 3 2 2 4 2" xfId="42831" xr:uid="{00000000-0005-0000-0000-000042180000}"/>
    <cellStyle name="Separador de milhares 2 2 3 2 3 2 2 5" xfId="36445" xr:uid="{00000000-0005-0000-0000-000043180000}"/>
    <cellStyle name="Separador de milhares 2 2 3 2 3 2 3" xfId="25509" xr:uid="{00000000-0005-0000-0000-000044180000}"/>
    <cellStyle name="Separador de milhares 2 2 3 2 3 2 3 2" xfId="51693" xr:uid="{00000000-0005-0000-0000-000045180000}"/>
    <cellStyle name="Separador de milhares 2 2 3 2 3 2 4" xfId="19595" xr:uid="{00000000-0005-0000-0000-000046180000}"/>
    <cellStyle name="Separador de milhares 2 2 3 2 3 2 4 2" xfId="45785" xr:uid="{00000000-0005-0000-0000-000047180000}"/>
    <cellStyle name="Separador de milhares 2 2 3 2 3 2 5" xfId="13497" xr:uid="{00000000-0005-0000-0000-000048180000}"/>
    <cellStyle name="Separador de milhares 2 2 3 2 3 2 5 2" xfId="39690" xr:uid="{00000000-0005-0000-0000-000049180000}"/>
    <cellStyle name="Separador de milhares 2 2 3 2 3 2 6" xfId="33304" xr:uid="{00000000-0005-0000-0000-00004A180000}"/>
    <cellStyle name="Separador de milhares 2 2 3 2 3 3" xfId="8784" xr:uid="{00000000-0005-0000-0000-00004B180000}"/>
    <cellStyle name="Separador de milhares 2 2 3 2 3 3 2" xfId="26998" xr:uid="{00000000-0005-0000-0000-00004C180000}"/>
    <cellStyle name="Separador de milhares 2 2 3 2 3 3 2 2" xfId="53179" xr:uid="{00000000-0005-0000-0000-00004D180000}"/>
    <cellStyle name="Separador de milhares 2 2 3 2 3 3 3" xfId="21084" xr:uid="{00000000-0005-0000-0000-00004E180000}"/>
    <cellStyle name="Separador de milhares 2 2 3 2 3 3 3 2" xfId="47271" xr:uid="{00000000-0005-0000-0000-00004F180000}"/>
    <cellStyle name="Separador de milhares 2 2 3 2 3 3 4" xfId="15170" xr:uid="{00000000-0005-0000-0000-000050180000}"/>
    <cellStyle name="Separador de milhares 2 2 3 2 3 3 4 2" xfId="41363" xr:uid="{00000000-0005-0000-0000-000051180000}"/>
    <cellStyle name="Separador de milhares 2 2 3 2 3 3 5" xfId="34977" xr:uid="{00000000-0005-0000-0000-000052180000}"/>
    <cellStyle name="Separador de milhares 2 2 3 2 3 4" xfId="5409" xr:uid="{00000000-0005-0000-0000-000053180000}"/>
    <cellStyle name="Separador de milhares 2 2 3 2 3 4 2" xfId="24041" xr:uid="{00000000-0005-0000-0000-000054180000}"/>
    <cellStyle name="Separador de milhares 2 2 3 2 3 4 2 2" xfId="50225" xr:uid="{00000000-0005-0000-0000-000055180000}"/>
    <cellStyle name="Separador de milhares 2 2 3 2 3 4 3" xfId="31605" xr:uid="{00000000-0005-0000-0000-000056180000}"/>
    <cellStyle name="Separador de milhares 2 2 3 2 3 5" xfId="18127" xr:uid="{00000000-0005-0000-0000-000057180000}"/>
    <cellStyle name="Separador de milhares 2 2 3 2 3 5 2" xfId="44317" xr:uid="{00000000-0005-0000-0000-000058180000}"/>
    <cellStyle name="Separador de milhares 2 2 3 2 3 6" xfId="11796" xr:uid="{00000000-0005-0000-0000-000059180000}"/>
    <cellStyle name="Separador de milhares 2 2 3 2 3 6 2" xfId="37989" xr:uid="{00000000-0005-0000-0000-00005A180000}"/>
    <cellStyle name="Separador de milhares 2 2 3 2 3 7" xfId="29907" xr:uid="{00000000-0005-0000-0000-00005B180000}"/>
    <cellStyle name="Separador de milhares 2 2 3 2 4" xfId="2968" xr:uid="{00000000-0005-0000-0000-00005C180000}"/>
    <cellStyle name="Separador de milhares 2 2 3 2 4 2" xfId="7255" xr:uid="{00000000-0005-0000-0000-00005D180000}"/>
    <cellStyle name="Separador de milhares 2 2 3 2 4 2 2" xfId="10399" xr:uid="{00000000-0005-0000-0000-00005E180000}"/>
    <cellStyle name="Separador de milhares 2 2 3 2 4 2 2 2" xfId="28613" xr:uid="{00000000-0005-0000-0000-00005F180000}"/>
    <cellStyle name="Separador de milhares 2 2 3 2 4 2 2 2 2" xfId="54794" xr:uid="{00000000-0005-0000-0000-000060180000}"/>
    <cellStyle name="Separador de milhares 2 2 3 2 4 2 2 3" xfId="22699" xr:uid="{00000000-0005-0000-0000-000061180000}"/>
    <cellStyle name="Separador de milhares 2 2 3 2 4 2 2 3 2" xfId="48886" xr:uid="{00000000-0005-0000-0000-000062180000}"/>
    <cellStyle name="Separador de milhares 2 2 3 2 4 2 2 4" xfId="16785" xr:uid="{00000000-0005-0000-0000-000063180000}"/>
    <cellStyle name="Separador de milhares 2 2 3 2 4 2 2 4 2" xfId="42978" xr:uid="{00000000-0005-0000-0000-000064180000}"/>
    <cellStyle name="Separador de milhares 2 2 3 2 4 2 2 5" xfId="36592" xr:uid="{00000000-0005-0000-0000-000065180000}"/>
    <cellStyle name="Separador de milhares 2 2 3 2 4 2 3" xfId="25656" xr:uid="{00000000-0005-0000-0000-000066180000}"/>
    <cellStyle name="Separador de milhares 2 2 3 2 4 2 3 2" xfId="51840" xr:uid="{00000000-0005-0000-0000-000067180000}"/>
    <cellStyle name="Separador de milhares 2 2 3 2 4 2 4" xfId="19742" xr:uid="{00000000-0005-0000-0000-000068180000}"/>
    <cellStyle name="Separador de milhares 2 2 3 2 4 2 4 2" xfId="45932" xr:uid="{00000000-0005-0000-0000-000069180000}"/>
    <cellStyle name="Separador de milhares 2 2 3 2 4 2 5" xfId="13644" xr:uid="{00000000-0005-0000-0000-00006A180000}"/>
    <cellStyle name="Separador de milhares 2 2 3 2 4 2 5 2" xfId="39837" xr:uid="{00000000-0005-0000-0000-00006B180000}"/>
    <cellStyle name="Separador de milhares 2 2 3 2 4 2 6" xfId="33451" xr:uid="{00000000-0005-0000-0000-00006C180000}"/>
    <cellStyle name="Separador de milhares 2 2 3 2 4 3" xfId="8931" xr:uid="{00000000-0005-0000-0000-00006D180000}"/>
    <cellStyle name="Separador de milhares 2 2 3 2 4 3 2" xfId="27145" xr:uid="{00000000-0005-0000-0000-00006E180000}"/>
    <cellStyle name="Separador de milhares 2 2 3 2 4 3 2 2" xfId="53326" xr:uid="{00000000-0005-0000-0000-00006F180000}"/>
    <cellStyle name="Separador de milhares 2 2 3 2 4 3 3" xfId="21231" xr:uid="{00000000-0005-0000-0000-000070180000}"/>
    <cellStyle name="Separador de milhares 2 2 3 2 4 3 3 2" xfId="47418" xr:uid="{00000000-0005-0000-0000-000071180000}"/>
    <cellStyle name="Separador de milhares 2 2 3 2 4 3 4" xfId="15317" xr:uid="{00000000-0005-0000-0000-000072180000}"/>
    <cellStyle name="Separador de milhares 2 2 3 2 4 3 4 2" xfId="41510" xr:uid="{00000000-0005-0000-0000-000073180000}"/>
    <cellStyle name="Separador de milhares 2 2 3 2 4 3 5" xfId="35124" xr:uid="{00000000-0005-0000-0000-000074180000}"/>
    <cellStyle name="Separador de milhares 2 2 3 2 4 4" xfId="5556" xr:uid="{00000000-0005-0000-0000-000075180000}"/>
    <cellStyle name="Separador de milhares 2 2 3 2 4 4 2" xfId="24188" xr:uid="{00000000-0005-0000-0000-000076180000}"/>
    <cellStyle name="Separador de milhares 2 2 3 2 4 4 2 2" xfId="50372" xr:uid="{00000000-0005-0000-0000-000077180000}"/>
    <cellStyle name="Separador de milhares 2 2 3 2 4 4 3" xfId="31752" xr:uid="{00000000-0005-0000-0000-000078180000}"/>
    <cellStyle name="Separador de milhares 2 2 3 2 4 5" xfId="18274" xr:uid="{00000000-0005-0000-0000-000079180000}"/>
    <cellStyle name="Separador de milhares 2 2 3 2 4 5 2" xfId="44464" xr:uid="{00000000-0005-0000-0000-00007A180000}"/>
    <cellStyle name="Separador de milhares 2 2 3 2 4 6" xfId="11943" xr:uid="{00000000-0005-0000-0000-00007B180000}"/>
    <cellStyle name="Separador de milhares 2 2 3 2 4 6 2" xfId="38136" xr:uid="{00000000-0005-0000-0000-00007C180000}"/>
    <cellStyle name="Separador de milhares 2 2 3 2 4 7" xfId="30054" xr:uid="{00000000-0005-0000-0000-00007D180000}"/>
    <cellStyle name="Separador de milhares 2 2 3 2 5" xfId="3495" xr:uid="{00000000-0005-0000-0000-00007E180000}"/>
    <cellStyle name="Separador de milhares 2 2 3 2 5 2" xfId="7402" xr:uid="{00000000-0005-0000-0000-00007F180000}"/>
    <cellStyle name="Separador de milhares 2 2 3 2 5 2 2" xfId="10546" xr:uid="{00000000-0005-0000-0000-000080180000}"/>
    <cellStyle name="Separador de milhares 2 2 3 2 5 2 2 2" xfId="28760" xr:uid="{00000000-0005-0000-0000-000081180000}"/>
    <cellStyle name="Separador de milhares 2 2 3 2 5 2 2 2 2" xfId="54941" xr:uid="{00000000-0005-0000-0000-000082180000}"/>
    <cellStyle name="Separador de milhares 2 2 3 2 5 2 2 3" xfId="22846" xr:uid="{00000000-0005-0000-0000-000083180000}"/>
    <cellStyle name="Separador de milhares 2 2 3 2 5 2 2 3 2" xfId="49033" xr:uid="{00000000-0005-0000-0000-000084180000}"/>
    <cellStyle name="Separador de milhares 2 2 3 2 5 2 2 4" xfId="16932" xr:uid="{00000000-0005-0000-0000-000085180000}"/>
    <cellStyle name="Separador de milhares 2 2 3 2 5 2 2 4 2" xfId="43125" xr:uid="{00000000-0005-0000-0000-000086180000}"/>
    <cellStyle name="Separador de milhares 2 2 3 2 5 2 2 5" xfId="36739" xr:uid="{00000000-0005-0000-0000-000087180000}"/>
    <cellStyle name="Separador de milhares 2 2 3 2 5 2 3" xfId="25803" xr:uid="{00000000-0005-0000-0000-000088180000}"/>
    <cellStyle name="Separador de milhares 2 2 3 2 5 2 3 2" xfId="51987" xr:uid="{00000000-0005-0000-0000-000089180000}"/>
    <cellStyle name="Separador de milhares 2 2 3 2 5 2 4" xfId="19889" xr:uid="{00000000-0005-0000-0000-00008A180000}"/>
    <cellStyle name="Separador de milhares 2 2 3 2 5 2 4 2" xfId="46079" xr:uid="{00000000-0005-0000-0000-00008B180000}"/>
    <cellStyle name="Separador de milhares 2 2 3 2 5 2 5" xfId="13791" xr:uid="{00000000-0005-0000-0000-00008C180000}"/>
    <cellStyle name="Separador de milhares 2 2 3 2 5 2 5 2" xfId="39984" xr:uid="{00000000-0005-0000-0000-00008D180000}"/>
    <cellStyle name="Separador de milhares 2 2 3 2 5 2 6" xfId="33598" xr:uid="{00000000-0005-0000-0000-00008E180000}"/>
    <cellStyle name="Separador de milhares 2 2 3 2 5 3" xfId="9078" xr:uid="{00000000-0005-0000-0000-00008F180000}"/>
    <cellStyle name="Separador de milhares 2 2 3 2 5 3 2" xfId="27292" xr:uid="{00000000-0005-0000-0000-000090180000}"/>
    <cellStyle name="Separador de milhares 2 2 3 2 5 3 2 2" xfId="53473" xr:uid="{00000000-0005-0000-0000-000091180000}"/>
    <cellStyle name="Separador de milhares 2 2 3 2 5 3 3" xfId="21378" xr:uid="{00000000-0005-0000-0000-000092180000}"/>
    <cellStyle name="Separador de milhares 2 2 3 2 5 3 3 2" xfId="47565" xr:uid="{00000000-0005-0000-0000-000093180000}"/>
    <cellStyle name="Separador de milhares 2 2 3 2 5 3 4" xfId="15464" xr:uid="{00000000-0005-0000-0000-000094180000}"/>
    <cellStyle name="Separador de milhares 2 2 3 2 5 3 4 2" xfId="41657" xr:uid="{00000000-0005-0000-0000-000095180000}"/>
    <cellStyle name="Separador de milhares 2 2 3 2 5 3 5" xfId="35271" xr:uid="{00000000-0005-0000-0000-000096180000}"/>
    <cellStyle name="Separador de milhares 2 2 3 2 5 4" xfId="5703" xr:uid="{00000000-0005-0000-0000-000097180000}"/>
    <cellStyle name="Separador de milhares 2 2 3 2 5 4 2" xfId="24335" xr:uid="{00000000-0005-0000-0000-000098180000}"/>
    <cellStyle name="Separador de milhares 2 2 3 2 5 4 2 2" xfId="50519" xr:uid="{00000000-0005-0000-0000-000099180000}"/>
    <cellStyle name="Separador de milhares 2 2 3 2 5 4 3" xfId="31899" xr:uid="{00000000-0005-0000-0000-00009A180000}"/>
    <cellStyle name="Separador de milhares 2 2 3 2 5 5" xfId="18421" xr:uid="{00000000-0005-0000-0000-00009B180000}"/>
    <cellStyle name="Separador de milhares 2 2 3 2 5 5 2" xfId="44611" xr:uid="{00000000-0005-0000-0000-00009C180000}"/>
    <cellStyle name="Separador de milhares 2 2 3 2 5 6" xfId="12090" xr:uid="{00000000-0005-0000-0000-00009D180000}"/>
    <cellStyle name="Separador de milhares 2 2 3 2 5 6 2" xfId="38283" xr:uid="{00000000-0005-0000-0000-00009E180000}"/>
    <cellStyle name="Separador de milhares 2 2 3 2 5 7" xfId="30201" xr:uid="{00000000-0005-0000-0000-00009F180000}"/>
    <cellStyle name="Separador de milhares 2 2 3 2 6" xfId="4022" xr:uid="{00000000-0005-0000-0000-0000A0180000}"/>
    <cellStyle name="Separador de milhares 2 2 3 2 6 2" xfId="7549" xr:uid="{00000000-0005-0000-0000-0000A1180000}"/>
    <cellStyle name="Separador de milhares 2 2 3 2 6 2 2" xfId="10693" xr:uid="{00000000-0005-0000-0000-0000A2180000}"/>
    <cellStyle name="Separador de milhares 2 2 3 2 6 2 2 2" xfId="28907" xr:uid="{00000000-0005-0000-0000-0000A3180000}"/>
    <cellStyle name="Separador de milhares 2 2 3 2 6 2 2 2 2" xfId="55088" xr:uid="{00000000-0005-0000-0000-0000A4180000}"/>
    <cellStyle name="Separador de milhares 2 2 3 2 6 2 2 3" xfId="22993" xr:uid="{00000000-0005-0000-0000-0000A5180000}"/>
    <cellStyle name="Separador de milhares 2 2 3 2 6 2 2 3 2" xfId="49180" xr:uid="{00000000-0005-0000-0000-0000A6180000}"/>
    <cellStyle name="Separador de milhares 2 2 3 2 6 2 2 4" xfId="17079" xr:uid="{00000000-0005-0000-0000-0000A7180000}"/>
    <cellStyle name="Separador de milhares 2 2 3 2 6 2 2 4 2" xfId="43272" xr:uid="{00000000-0005-0000-0000-0000A8180000}"/>
    <cellStyle name="Separador de milhares 2 2 3 2 6 2 2 5" xfId="36886" xr:uid="{00000000-0005-0000-0000-0000A9180000}"/>
    <cellStyle name="Separador de milhares 2 2 3 2 6 2 3" xfId="25950" xr:uid="{00000000-0005-0000-0000-0000AA180000}"/>
    <cellStyle name="Separador de milhares 2 2 3 2 6 2 3 2" xfId="52134" xr:uid="{00000000-0005-0000-0000-0000AB180000}"/>
    <cellStyle name="Separador de milhares 2 2 3 2 6 2 4" xfId="20036" xr:uid="{00000000-0005-0000-0000-0000AC180000}"/>
    <cellStyle name="Separador de milhares 2 2 3 2 6 2 4 2" xfId="46226" xr:uid="{00000000-0005-0000-0000-0000AD180000}"/>
    <cellStyle name="Separador de milhares 2 2 3 2 6 2 5" xfId="13938" xr:uid="{00000000-0005-0000-0000-0000AE180000}"/>
    <cellStyle name="Separador de milhares 2 2 3 2 6 2 5 2" xfId="40131" xr:uid="{00000000-0005-0000-0000-0000AF180000}"/>
    <cellStyle name="Separador de milhares 2 2 3 2 6 2 6" xfId="33745" xr:uid="{00000000-0005-0000-0000-0000B0180000}"/>
    <cellStyle name="Separador de milhares 2 2 3 2 6 3" xfId="9225" xr:uid="{00000000-0005-0000-0000-0000B1180000}"/>
    <cellStyle name="Separador de milhares 2 2 3 2 6 3 2" xfId="27439" xr:uid="{00000000-0005-0000-0000-0000B2180000}"/>
    <cellStyle name="Separador de milhares 2 2 3 2 6 3 2 2" xfId="53620" xr:uid="{00000000-0005-0000-0000-0000B3180000}"/>
    <cellStyle name="Separador de milhares 2 2 3 2 6 3 3" xfId="21525" xr:uid="{00000000-0005-0000-0000-0000B4180000}"/>
    <cellStyle name="Separador de milhares 2 2 3 2 6 3 3 2" xfId="47712" xr:uid="{00000000-0005-0000-0000-0000B5180000}"/>
    <cellStyle name="Separador de milhares 2 2 3 2 6 3 4" xfId="15611" xr:uid="{00000000-0005-0000-0000-0000B6180000}"/>
    <cellStyle name="Separador de milhares 2 2 3 2 6 3 4 2" xfId="41804" xr:uid="{00000000-0005-0000-0000-0000B7180000}"/>
    <cellStyle name="Separador de milhares 2 2 3 2 6 3 5" xfId="35418" xr:uid="{00000000-0005-0000-0000-0000B8180000}"/>
    <cellStyle name="Separador de milhares 2 2 3 2 6 4" xfId="5850" xr:uid="{00000000-0005-0000-0000-0000B9180000}"/>
    <cellStyle name="Separador de milhares 2 2 3 2 6 4 2" xfId="24482" xr:uid="{00000000-0005-0000-0000-0000BA180000}"/>
    <cellStyle name="Separador de milhares 2 2 3 2 6 4 2 2" xfId="50666" xr:uid="{00000000-0005-0000-0000-0000BB180000}"/>
    <cellStyle name="Separador de milhares 2 2 3 2 6 4 3" xfId="32046" xr:uid="{00000000-0005-0000-0000-0000BC180000}"/>
    <cellStyle name="Separador de milhares 2 2 3 2 6 5" xfId="18568" xr:uid="{00000000-0005-0000-0000-0000BD180000}"/>
    <cellStyle name="Separador de milhares 2 2 3 2 6 5 2" xfId="44758" xr:uid="{00000000-0005-0000-0000-0000BE180000}"/>
    <cellStyle name="Separador de milhares 2 2 3 2 6 6" xfId="12237" xr:uid="{00000000-0005-0000-0000-0000BF180000}"/>
    <cellStyle name="Separador de milhares 2 2 3 2 6 6 2" xfId="38430" xr:uid="{00000000-0005-0000-0000-0000C0180000}"/>
    <cellStyle name="Separador de milhares 2 2 3 2 6 7" xfId="30348" xr:uid="{00000000-0005-0000-0000-0000C1180000}"/>
    <cellStyle name="Separador de milhares 2 2 3 2 7" xfId="6594" xr:uid="{00000000-0005-0000-0000-0000C2180000}"/>
    <cellStyle name="Separador de milhares 2 2 3 2 7 2" xfId="9741" xr:uid="{00000000-0005-0000-0000-0000C3180000}"/>
    <cellStyle name="Separador de milhares 2 2 3 2 7 2 2" xfId="27955" xr:uid="{00000000-0005-0000-0000-0000C4180000}"/>
    <cellStyle name="Separador de milhares 2 2 3 2 7 2 2 2" xfId="54136" xr:uid="{00000000-0005-0000-0000-0000C5180000}"/>
    <cellStyle name="Separador de milhares 2 2 3 2 7 2 3" xfId="22041" xr:uid="{00000000-0005-0000-0000-0000C6180000}"/>
    <cellStyle name="Separador de milhares 2 2 3 2 7 2 3 2" xfId="48228" xr:uid="{00000000-0005-0000-0000-0000C7180000}"/>
    <cellStyle name="Separador de milhares 2 2 3 2 7 2 4" xfId="16127" xr:uid="{00000000-0005-0000-0000-0000C8180000}"/>
    <cellStyle name="Separador de milhares 2 2 3 2 7 2 4 2" xfId="42320" xr:uid="{00000000-0005-0000-0000-0000C9180000}"/>
    <cellStyle name="Separador de milhares 2 2 3 2 7 2 5" xfId="35934" xr:uid="{00000000-0005-0000-0000-0000CA180000}"/>
    <cellStyle name="Separador de milhares 2 2 3 2 7 3" xfId="24998" xr:uid="{00000000-0005-0000-0000-0000CB180000}"/>
    <cellStyle name="Separador de milhares 2 2 3 2 7 3 2" xfId="51182" xr:uid="{00000000-0005-0000-0000-0000CC180000}"/>
    <cellStyle name="Separador de milhares 2 2 3 2 7 4" xfId="19084" xr:uid="{00000000-0005-0000-0000-0000CD180000}"/>
    <cellStyle name="Separador de milhares 2 2 3 2 7 4 2" xfId="45274" xr:uid="{00000000-0005-0000-0000-0000CE180000}"/>
    <cellStyle name="Separador de milhares 2 2 3 2 7 5" xfId="12983" xr:uid="{00000000-0005-0000-0000-0000CF180000}"/>
    <cellStyle name="Separador de milhares 2 2 3 2 7 5 2" xfId="39176" xr:uid="{00000000-0005-0000-0000-0000D0180000}"/>
    <cellStyle name="Separador de milhares 2 2 3 2 7 6" xfId="32790" xr:uid="{00000000-0005-0000-0000-0000D1180000}"/>
    <cellStyle name="Separador de milhares 2 2 3 2 8" xfId="8273" xr:uid="{00000000-0005-0000-0000-0000D2180000}"/>
    <cellStyle name="Separador de milhares 2 2 3 2 8 2" xfId="26487" xr:uid="{00000000-0005-0000-0000-0000D3180000}"/>
    <cellStyle name="Separador de milhares 2 2 3 2 8 2 2" xfId="52668" xr:uid="{00000000-0005-0000-0000-0000D4180000}"/>
    <cellStyle name="Separador de milhares 2 2 3 2 8 3" xfId="20573" xr:uid="{00000000-0005-0000-0000-0000D5180000}"/>
    <cellStyle name="Separador de milhares 2 2 3 2 8 3 2" xfId="46760" xr:uid="{00000000-0005-0000-0000-0000D6180000}"/>
    <cellStyle name="Separador de milhares 2 2 3 2 8 4" xfId="14659" xr:uid="{00000000-0005-0000-0000-0000D7180000}"/>
    <cellStyle name="Separador de milhares 2 2 3 2 8 4 2" xfId="40852" xr:uid="{00000000-0005-0000-0000-0000D8180000}"/>
    <cellStyle name="Separador de milhares 2 2 3 2 8 5" xfId="34466" xr:uid="{00000000-0005-0000-0000-0000D9180000}"/>
    <cellStyle name="Separador de milhares 2 2 3 2 9" xfId="4895" xr:uid="{00000000-0005-0000-0000-0000DA180000}"/>
    <cellStyle name="Separador de milhares 2 2 3 2 9 2" xfId="23530" xr:uid="{00000000-0005-0000-0000-0000DB180000}"/>
    <cellStyle name="Separador de milhares 2 2 3 2 9 2 2" xfId="49714" xr:uid="{00000000-0005-0000-0000-0000DC180000}"/>
    <cellStyle name="Separador de milhares 2 2 3 2 9 3" xfId="31091" xr:uid="{00000000-0005-0000-0000-0000DD180000}"/>
    <cellStyle name="Separador de milhares 2 2 3 3" xfId="865" xr:uid="{00000000-0005-0000-0000-0000DE180000}"/>
    <cellStyle name="Separador de milhares 2 2 3 3 2" xfId="6671" xr:uid="{00000000-0005-0000-0000-0000DF180000}"/>
    <cellStyle name="Separador de milhares 2 2 3 3 2 2" xfId="9818" xr:uid="{00000000-0005-0000-0000-0000E0180000}"/>
    <cellStyle name="Separador de milhares 2 2 3 3 2 2 2" xfId="28032" xr:uid="{00000000-0005-0000-0000-0000E1180000}"/>
    <cellStyle name="Separador de milhares 2 2 3 3 2 2 2 2" xfId="54213" xr:uid="{00000000-0005-0000-0000-0000E2180000}"/>
    <cellStyle name="Separador de milhares 2 2 3 3 2 2 3" xfId="22118" xr:uid="{00000000-0005-0000-0000-0000E3180000}"/>
    <cellStyle name="Separador de milhares 2 2 3 3 2 2 3 2" xfId="48305" xr:uid="{00000000-0005-0000-0000-0000E4180000}"/>
    <cellStyle name="Separador de milhares 2 2 3 3 2 2 4" xfId="16204" xr:uid="{00000000-0005-0000-0000-0000E5180000}"/>
    <cellStyle name="Separador de milhares 2 2 3 3 2 2 4 2" xfId="42397" xr:uid="{00000000-0005-0000-0000-0000E6180000}"/>
    <cellStyle name="Separador de milhares 2 2 3 3 2 2 5" xfId="36011" xr:uid="{00000000-0005-0000-0000-0000E7180000}"/>
    <cellStyle name="Separador de milhares 2 2 3 3 2 3" xfId="25075" xr:uid="{00000000-0005-0000-0000-0000E8180000}"/>
    <cellStyle name="Separador de milhares 2 2 3 3 2 3 2" xfId="51259" xr:uid="{00000000-0005-0000-0000-0000E9180000}"/>
    <cellStyle name="Separador de milhares 2 2 3 3 2 4" xfId="19161" xr:uid="{00000000-0005-0000-0000-0000EA180000}"/>
    <cellStyle name="Separador de milhares 2 2 3 3 2 4 2" xfId="45351" xr:uid="{00000000-0005-0000-0000-0000EB180000}"/>
    <cellStyle name="Separador de milhares 2 2 3 3 2 5" xfId="13060" xr:uid="{00000000-0005-0000-0000-0000EC180000}"/>
    <cellStyle name="Separador de milhares 2 2 3 3 2 5 2" xfId="39253" xr:uid="{00000000-0005-0000-0000-0000ED180000}"/>
    <cellStyle name="Separador de milhares 2 2 3 3 2 6" xfId="32867" xr:uid="{00000000-0005-0000-0000-0000EE180000}"/>
    <cellStyle name="Separador de milhares 2 2 3 3 3" xfId="8350" xr:uid="{00000000-0005-0000-0000-0000EF180000}"/>
    <cellStyle name="Separador de milhares 2 2 3 3 3 2" xfId="26564" xr:uid="{00000000-0005-0000-0000-0000F0180000}"/>
    <cellStyle name="Separador de milhares 2 2 3 3 3 2 2" xfId="52745" xr:uid="{00000000-0005-0000-0000-0000F1180000}"/>
    <cellStyle name="Separador de milhares 2 2 3 3 3 3" xfId="20650" xr:uid="{00000000-0005-0000-0000-0000F2180000}"/>
    <cellStyle name="Separador de milhares 2 2 3 3 3 3 2" xfId="46837" xr:uid="{00000000-0005-0000-0000-0000F3180000}"/>
    <cellStyle name="Separador de milhares 2 2 3 3 3 4" xfId="14736" xr:uid="{00000000-0005-0000-0000-0000F4180000}"/>
    <cellStyle name="Separador de milhares 2 2 3 3 3 4 2" xfId="40929" xr:uid="{00000000-0005-0000-0000-0000F5180000}"/>
    <cellStyle name="Separador de milhares 2 2 3 3 3 5" xfId="34543" xr:uid="{00000000-0005-0000-0000-0000F6180000}"/>
    <cellStyle name="Separador de milhares 2 2 3 3 4" xfId="4972" xr:uid="{00000000-0005-0000-0000-0000F7180000}"/>
    <cellStyle name="Separador de milhares 2 2 3 3 4 2" xfId="23607" xr:uid="{00000000-0005-0000-0000-0000F8180000}"/>
    <cellStyle name="Separador de milhares 2 2 3 3 4 2 2" xfId="49791" xr:uid="{00000000-0005-0000-0000-0000F9180000}"/>
    <cellStyle name="Separador de milhares 2 2 3 3 4 3" xfId="31168" xr:uid="{00000000-0005-0000-0000-0000FA180000}"/>
    <cellStyle name="Separador de milhares 2 2 3 3 5" xfId="17693" xr:uid="{00000000-0005-0000-0000-0000FB180000}"/>
    <cellStyle name="Separador de milhares 2 2 3 3 5 2" xfId="43883" xr:uid="{00000000-0005-0000-0000-0000FC180000}"/>
    <cellStyle name="Separador de milhares 2 2 3 3 6" xfId="11359" xr:uid="{00000000-0005-0000-0000-0000FD180000}"/>
    <cellStyle name="Separador de milhares 2 2 3 3 6 2" xfId="37552" xr:uid="{00000000-0005-0000-0000-0000FE180000}"/>
    <cellStyle name="Separador de milhares 2 2 3 3 7" xfId="29470" xr:uid="{00000000-0005-0000-0000-0000FF180000}"/>
    <cellStyle name="Separador de milhares 2 2 3 4" xfId="1216" xr:uid="{00000000-0005-0000-0000-000000190000}"/>
    <cellStyle name="Separador de milhares 2 2 3 4 2" xfId="6769" xr:uid="{00000000-0005-0000-0000-000001190000}"/>
    <cellStyle name="Separador de milhares 2 2 3 4 2 2" xfId="9916" xr:uid="{00000000-0005-0000-0000-000002190000}"/>
    <cellStyle name="Separador de milhares 2 2 3 4 2 2 2" xfId="28130" xr:uid="{00000000-0005-0000-0000-000003190000}"/>
    <cellStyle name="Separador de milhares 2 2 3 4 2 2 2 2" xfId="54311" xr:uid="{00000000-0005-0000-0000-000004190000}"/>
    <cellStyle name="Separador de milhares 2 2 3 4 2 2 3" xfId="22216" xr:uid="{00000000-0005-0000-0000-000005190000}"/>
    <cellStyle name="Separador de milhares 2 2 3 4 2 2 3 2" xfId="48403" xr:uid="{00000000-0005-0000-0000-000006190000}"/>
    <cellStyle name="Separador de milhares 2 2 3 4 2 2 4" xfId="16302" xr:uid="{00000000-0005-0000-0000-000007190000}"/>
    <cellStyle name="Separador de milhares 2 2 3 4 2 2 4 2" xfId="42495" xr:uid="{00000000-0005-0000-0000-000008190000}"/>
    <cellStyle name="Separador de milhares 2 2 3 4 2 2 5" xfId="36109" xr:uid="{00000000-0005-0000-0000-000009190000}"/>
    <cellStyle name="Separador de milhares 2 2 3 4 2 3" xfId="25173" xr:uid="{00000000-0005-0000-0000-00000A190000}"/>
    <cellStyle name="Separador de milhares 2 2 3 4 2 3 2" xfId="51357" xr:uid="{00000000-0005-0000-0000-00000B190000}"/>
    <cellStyle name="Separador de milhares 2 2 3 4 2 4" xfId="19259" xr:uid="{00000000-0005-0000-0000-00000C190000}"/>
    <cellStyle name="Separador de milhares 2 2 3 4 2 4 2" xfId="45449" xr:uid="{00000000-0005-0000-0000-00000D190000}"/>
    <cellStyle name="Separador de milhares 2 2 3 4 2 5" xfId="13158" xr:uid="{00000000-0005-0000-0000-00000E190000}"/>
    <cellStyle name="Separador de milhares 2 2 3 4 2 5 2" xfId="39351" xr:uid="{00000000-0005-0000-0000-00000F190000}"/>
    <cellStyle name="Separador de milhares 2 2 3 4 2 6" xfId="32965" xr:uid="{00000000-0005-0000-0000-000010190000}"/>
    <cellStyle name="Separador de milhares 2 2 3 4 3" xfId="8448" xr:uid="{00000000-0005-0000-0000-000011190000}"/>
    <cellStyle name="Separador de milhares 2 2 3 4 3 2" xfId="26662" xr:uid="{00000000-0005-0000-0000-000012190000}"/>
    <cellStyle name="Separador de milhares 2 2 3 4 3 2 2" xfId="52843" xr:uid="{00000000-0005-0000-0000-000013190000}"/>
    <cellStyle name="Separador de milhares 2 2 3 4 3 3" xfId="20748" xr:uid="{00000000-0005-0000-0000-000014190000}"/>
    <cellStyle name="Separador de milhares 2 2 3 4 3 3 2" xfId="46935" xr:uid="{00000000-0005-0000-0000-000015190000}"/>
    <cellStyle name="Separador de milhares 2 2 3 4 3 4" xfId="14834" xr:uid="{00000000-0005-0000-0000-000016190000}"/>
    <cellStyle name="Separador de milhares 2 2 3 4 3 4 2" xfId="41027" xr:uid="{00000000-0005-0000-0000-000017190000}"/>
    <cellStyle name="Separador de milhares 2 2 3 4 3 5" xfId="34641" xr:uid="{00000000-0005-0000-0000-000018190000}"/>
    <cellStyle name="Separador de milhares 2 2 3 4 4" xfId="5070" xr:uid="{00000000-0005-0000-0000-000019190000}"/>
    <cellStyle name="Separador de milhares 2 2 3 4 4 2" xfId="23705" xr:uid="{00000000-0005-0000-0000-00001A190000}"/>
    <cellStyle name="Separador de milhares 2 2 3 4 4 2 2" xfId="49889" xr:uid="{00000000-0005-0000-0000-00001B190000}"/>
    <cellStyle name="Separador de milhares 2 2 3 4 4 3" xfId="31266" xr:uid="{00000000-0005-0000-0000-00001C190000}"/>
    <cellStyle name="Separador de milhares 2 2 3 4 5" xfId="17791" xr:uid="{00000000-0005-0000-0000-00001D190000}"/>
    <cellStyle name="Separador de milhares 2 2 3 4 5 2" xfId="43981" xr:uid="{00000000-0005-0000-0000-00001E190000}"/>
    <cellStyle name="Separador de milhares 2 2 3 4 6" xfId="11457" xr:uid="{00000000-0005-0000-0000-00001F190000}"/>
    <cellStyle name="Separador de milhares 2 2 3 4 6 2" xfId="37650" xr:uid="{00000000-0005-0000-0000-000020190000}"/>
    <cellStyle name="Separador de milhares 2 2 3 4 7" xfId="29568" xr:uid="{00000000-0005-0000-0000-000021190000}"/>
    <cellStyle name="Separador de milhares 2 2 3 5" xfId="1651" xr:uid="{00000000-0005-0000-0000-000022190000}"/>
    <cellStyle name="Separador de milhares 2 2 3 5 2" xfId="6888" xr:uid="{00000000-0005-0000-0000-000023190000}"/>
    <cellStyle name="Separador de milhares 2 2 3 5 2 2" xfId="10035" xr:uid="{00000000-0005-0000-0000-000024190000}"/>
    <cellStyle name="Separador de milhares 2 2 3 5 2 2 2" xfId="28249" xr:uid="{00000000-0005-0000-0000-000025190000}"/>
    <cellStyle name="Separador de milhares 2 2 3 5 2 2 2 2" xfId="54430" xr:uid="{00000000-0005-0000-0000-000026190000}"/>
    <cellStyle name="Separador de milhares 2 2 3 5 2 2 3" xfId="22335" xr:uid="{00000000-0005-0000-0000-000027190000}"/>
    <cellStyle name="Separador de milhares 2 2 3 5 2 2 3 2" xfId="48522" xr:uid="{00000000-0005-0000-0000-000028190000}"/>
    <cellStyle name="Separador de milhares 2 2 3 5 2 2 4" xfId="16421" xr:uid="{00000000-0005-0000-0000-000029190000}"/>
    <cellStyle name="Separador de milhares 2 2 3 5 2 2 4 2" xfId="42614" xr:uid="{00000000-0005-0000-0000-00002A190000}"/>
    <cellStyle name="Separador de milhares 2 2 3 5 2 2 5" xfId="36228" xr:uid="{00000000-0005-0000-0000-00002B190000}"/>
    <cellStyle name="Separador de milhares 2 2 3 5 2 3" xfId="25292" xr:uid="{00000000-0005-0000-0000-00002C190000}"/>
    <cellStyle name="Separador de milhares 2 2 3 5 2 3 2" xfId="51476" xr:uid="{00000000-0005-0000-0000-00002D190000}"/>
    <cellStyle name="Separador de milhares 2 2 3 5 2 4" xfId="19378" xr:uid="{00000000-0005-0000-0000-00002E190000}"/>
    <cellStyle name="Separador de milhares 2 2 3 5 2 4 2" xfId="45568" xr:uid="{00000000-0005-0000-0000-00002F190000}"/>
    <cellStyle name="Separador de milhares 2 2 3 5 2 5" xfId="13277" xr:uid="{00000000-0005-0000-0000-000030190000}"/>
    <cellStyle name="Separador de milhares 2 2 3 5 2 5 2" xfId="39470" xr:uid="{00000000-0005-0000-0000-000031190000}"/>
    <cellStyle name="Separador de milhares 2 2 3 5 2 6" xfId="33084" xr:uid="{00000000-0005-0000-0000-000032190000}"/>
    <cellStyle name="Separador de milhares 2 2 3 5 3" xfId="8567" xr:uid="{00000000-0005-0000-0000-000033190000}"/>
    <cellStyle name="Separador de milhares 2 2 3 5 3 2" xfId="26781" xr:uid="{00000000-0005-0000-0000-000034190000}"/>
    <cellStyle name="Separador de milhares 2 2 3 5 3 2 2" xfId="52962" xr:uid="{00000000-0005-0000-0000-000035190000}"/>
    <cellStyle name="Separador de milhares 2 2 3 5 3 3" xfId="20867" xr:uid="{00000000-0005-0000-0000-000036190000}"/>
    <cellStyle name="Separador de milhares 2 2 3 5 3 3 2" xfId="47054" xr:uid="{00000000-0005-0000-0000-000037190000}"/>
    <cellStyle name="Separador de milhares 2 2 3 5 3 4" xfId="14953" xr:uid="{00000000-0005-0000-0000-000038190000}"/>
    <cellStyle name="Separador de milhares 2 2 3 5 3 4 2" xfId="41146" xr:uid="{00000000-0005-0000-0000-000039190000}"/>
    <cellStyle name="Separador de milhares 2 2 3 5 3 5" xfId="34760" xr:uid="{00000000-0005-0000-0000-00003A190000}"/>
    <cellStyle name="Separador de milhares 2 2 3 5 4" xfId="5189" xr:uid="{00000000-0005-0000-0000-00003B190000}"/>
    <cellStyle name="Separador de milhares 2 2 3 5 4 2" xfId="23824" xr:uid="{00000000-0005-0000-0000-00003C190000}"/>
    <cellStyle name="Separador de milhares 2 2 3 5 4 2 2" xfId="50008" xr:uid="{00000000-0005-0000-0000-00003D190000}"/>
    <cellStyle name="Separador de milhares 2 2 3 5 4 3" xfId="31385" xr:uid="{00000000-0005-0000-0000-00003E190000}"/>
    <cellStyle name="Separador de milhares 2 2 3 5 5" xfId="17910" xr:uid="{00000000-0005-0000-0000-00003F190000}"/>
    <cellStyle name="Separador de milhares 2 2 3 5 5 2" xfId="44100" xr:uid="{00000000-0005-0000-0000-000040190000}"/>
    <cellStyle name="Separador de milhares 2 2 3 5 6" xfId="11576" xr:uid="{00000000-0005-0000-0000-000041190000}"/>
    <cellStyle name="Separador de milhares 2 2 3 5 6 2" xfId="37769" xr:uid="{00000000-0005-0000-0000-000042190000}"/>
    <cellStyle name="Separador de milhares 2 2 3 5 7" xfId="29687" xr:uid="{00000000-0005-0000-0000-000043190000}"/>
    <cellStyle name="Separador de milhares 2 2 3 6" xfId="2181" xr:uid="{00000000-0005-0000-0000-000044190000}"/>
    <cellStyle name="Separador de milhares 2 2 3 6 2" xfId="7038" xr:uid="{00000000-0005-0000-0000-000045190000}"/>
    <cellStyle name="Separador de milhares 2 2 3 6 2 2" xfId="10182" xr:uid="{00000000-0005-0000-0000-000046190000}"/>
    <cellStyle name="Separador de milhares 2 2 3 6 2 2 2" xfId="28396" xr:uid="{00000000-0005-0000-0000-000047190000}"/>
    <cellStyle name="Separador de milhares 2 2 3 6 2 2 2 2" xfId="54577" xr:uid="{00000000-0005-0000-0000-000048190000}"/>
    <cellStyle name="Separador de milhares 2 2 3 6 2 2 3" xfId="22482" xr:uid="{00000000-0005-0000-0000-000049190000}"/>
    <cellStyle name="Separador de milhares 2 2 3 6 2 2 3 2" xfId="48669" xr:uid="{00000000-0005-0000-0000-00004A190000}"/>
    <cellStyle name="Separador de milhares 2 2 3 6 2 2 4" xfId="16568" xr:uid="{00000000-0005-0000-0000-00004B190000}"/>
    <cellStyle name="Separador de milhares 2 2 3 6 2 2 4 2" xfId="42761" xr:uid="{00000000-0005-0000-0000-00004C190000}"/>
    <cellStyle name="Separador de milhares 2 2 3 6 2 2 5" xfId="36375" xr:uid="{00000000-0005-0000-0000-00004D190000}"/>
    <cellStyle name="Separador de milhares 2 2 3 6 2 3" xfId="25439" xr:uid="{00000000-0005-0000-0000-00004E190000}"/>
    <cellStyle name="Separador de milhares 2 2 3 6 2 3 2" xfId="51623" xr:uid="{00000000-0005-0000-0000-00004F190000}"/>
    <cellStyle name="Separador de milhares 2 2 3 6 2 4" xfId="19525" xr:uid="{00000000-0005-0000-0000-000050190000}"/>
    <cellStyle name="Separador de milhares 2 2 3 6 2 4 2" xfId="45715" xr:uid="{00000000-0005-0000-0000-000051190000}"/>
    <cellStyle name="Separador de milhares 2 2 3 6 2 5" xfId="13427" xr:uid="{00000000-0005-0000-0000-000052190000}"/>
    <cellStyle name="Separador de milhares 2 2 3 6 2 5 2" xfId="39620" xr:uid="{00000000-0005-0000-0000-000053190000}"/>
    <cellStyle name="Separador de milhares 2 2 3 6 2 6" xfId="33234" xr:uid="{00000000-0005-0000-0000-000054190000}"/>
    <cellStyle name="Separador de milhares 2 2 3 6 3" xfId="8714" xr:uid="{00000000-0005-0000-0000-000055190000}"/>
    <cellStyle name="Separador de milhares 2 2 3 6 3 2" xfId="26928" xr:uid="{00000000-0005-0000-0000-000056190000}"/>
    <cellStyle name="Separador de milhares 2 2 3 6 3 2 2" xfId="53109" xr:uid="{00000000-0005-0000-0000-000057190000}"/>
    <cellStyle name="Separador de milhares 2 2 3 6 3 3" xfId="21014" xr:uid="{00000000-0005-0000-0000-000058190000}"/>
    <cellStyle name="Separador de milhares 2 2 3 6 3 3 2" xfId="47201" xr:uid="{00000000-0005-0000-0000-000059190000}"/>
    <cellStyle name="Separador de milhares 2 2 3 6 3 4" xfId="15100" xr:uid="{00000000-0005-0000-0000-00005A190000}"/>
    <cellStyle name="Separador de milhares 2 2 3 6 3 4 2" xfId="41293" xr:uid="{00000000-0005-0000-0000-00005B190000}"/>
    <cellStyle name="Separador de milhares 2 2 3 6 3 5" xfId="34907" xr:uid="{00000000-0005-0000-0000-00005C190000}"/>
    <cellStyle name="Separador de milhares 2 2 3 6 4" xfId="5339" xr:uid="{00000000-0005-0000-0000-00005D190000}"/>
    <cellStyle name="Separador de milhares 2 2 3 6 4 2" xfId="23971" xr:uid="{00000000-0005-0000-0000-00005E190000}"/>
    <cellStyle name="Separador de milhares 2 2 3 6 4 2 2" xfId="50155" xr:uid="{00000000-0005-0000-0000-00005F190000}"/>
    <cellStyle name="Separador de milhares 2 2 3 6 4 3" xfId="31535" xr:uid="{00000000-0005-0000-0000-000060190000}"/>
    <cellStyle name="Separador de milhares 2 2 3 6 5" xfId="18057" xr:uid="{00000000-0005-0000-0000-000061190000}"/>
    <cellStyle name="Separador de milhares 2 2 3 6 5 2" xfId="44247" xr:uid="{00000000-0005-0000-0000-000062190000}"/>
    <cellStyle name="Separador de milhares 2 2 3 6 6" xfId="11726" xr:uid="{00000000-0005-0000-0000-000063190000}"/>
    <cellStyle name="Separador de milhares 2 2 3 6 6 2" xfId="37919" xr:uid="{00000000-0005-0000-0000-000064190000}"/>
    <cellStyle name="Separador de milhares 2 2 3 6 7" xfId="29837" xr:uid="{00000000-0005-0000-0000-000065190000}"/>
    <cellStyle name="Separador de milhares 2 2 3 7" xfId="2708" xr:uid="{00000000-0005-0000-0000-000066190000}"/>
    <cellStyle name="Separador de milhares 2 2 3 7 2" xfId="7185" xr:uid="{00000000-0005-0000-0000-000067190000}"/>
    <cellStyle name="Separador de milhares 2 2 3 7 2 2" xfId="10329" xr:uid="{00000000-0005-0000-0000-000068190000}"/>
    <cellStyle name="Separador de milhares 2 2 3 7 2 2 2" xfId="28543" xr:uid="{00000000-0005-0000-0000-000069190000}"/>
    <cellStyle name="Separador de milhares 2 2 3 7 2 2 2 2" xfId="54724" xr:uid="{00000000-0005-0000-0000-00006A190000}"/>
    <cellStyle name="Separador de milhares 2 2 3 7 2 2 3" xfId="22629" xr:uid="{00000000-0005-0000-0000-00006B190000}"/>
    <cellStyle name="Separador de milhares 2 2 3 7 2 2 3 2" xfId="48816" xr:uid="{00000000-0005-0000-0000-00006C190000}"/>
    <cellStyle name="Separador de milhares 2 2 3 7 2 2 4" xfId="16715" xr:uid="{00000000-0005-0000-0000-00006D190000}"/>
    <cellStyle name="Separador de milhares 2 2 3 7 2 2 4 2" xfId="42908" xr:uid="{00000000-0005-0000-0000-00006E190000}"/>
    <cellStyle name="Separador de milhares 2 2 3 7 2 2 5" xfId="36522" xr:uid="{00000000-0005-0000-0000-00006F190000}"/>
    <cellStyle name="Separador de milhares 2 2 3 7 2 3" xfId="25586" xr:uid="{00000000-0005-0000-0000-000070190000}"/>
    <cellStyle name="Separador de milhares 2 2 3 7 2 3 2" xfId="51770" xr:uid="{00000000-0005-0000-0000-000071190000}"/>
    <cellStyle name="Separador de milhares 2 2 3 7 2 4" xfId="19672" xr:uid="{00000000-0005-0000-0000-000072190000}"/>
    <cellStyle name="Separador de milhares 2 2 3 7 2 4 2" xfId="45862" xr:uid="{00000000-0005-0000-0000-000073190000}"/>
    <cellStyle name="Separador de milhares 2 2 3 7 2 5" xfId="13574" xr:uid="{00000000-0005-0000-0000-000074190000}"/>
    <cellStyle name="Separador de milhares 2 2 3 7 2 5 2" xfId="39767" xr:uid="{00000000-0005-0000-0000-000075190000}"/>
    <cellStyle name="Separador de milhares 2 2 3 7 2 6" xfId="33381" xr:uid="{00000000-0005-0000-0000-000076190000}"/>
    <cellStyle name="Separador de milhares 2 2 3 7 3" xfId="8861" xr:uid="{00000000-0005-0000-0000-000077190000}"/>
    <cellStyle name="Separador de milhares 2 2 3 7 3 2" xfId="27075" xr:uid="{00000000-0005-0000-0000-000078190000}"/>
    <cellStyle name="Separador de milhares 2 2 3 7 3 2 2" xfId="53256" xr:uid="{00000000-0005-0000-0000-000079190000}"/>
    <cellStyle name="Separador de milhares 2 2 3 7 3 3" xfId="21161" xr:uid="{00000000-0005-0000-0000-00007A190000}"/>
    <cellStyle name="Separador de milhares 2 2 3 7 3 3 2" xfId="47348" xr:uid="{00000000-0005-0000-0000-00007B190000}"/>
    <cellStyle name="Separador de milhares 2 2 3 7 3 4" xfId="15247" xr:uid="{00000000-0005-0000-0000-00007C190000}"/>
    <cellStyle name="Separador de milhares 2 2 3 7 3 4 2" xfId="41440" xr:uid="{00000000-0005-0000-0000-00007D190000}"/>
    <cellStyle name="Separador de milhares 2 2 3 7 3 5" xfId="35054" xr:uid="{00000000-0005-0000-0000-00007E190000}"/>
    <cellStyle name="Separador de milhares 2 2 3 7 4" xfId="5486" xr:uid="{00000000-0005-0000-0000-00007F190000}"/>
    <cellStyle name="Separador de milhares 2 2 3 7 4 2" xfId="24118" xr:uid="{00000000-0005-0000-0000-000080190000}"/>
    <cellStyle name="Separador de milhares 2 2 3 7 4 2 2" xfId="50302" xr:uid="{00000000-0005-0000-0000-000081190000}"/>
    <cellStyle name="Separador de milhares 2 2 3 7 4 3" xfId="31682" xr:uid="{00000000-0005-0000-0000-000082190000}"/>
    <cellStyle name="Separador de milhares 2 2 3 7 5" xfId="18204" xr:uid="{00000000-0005-0000-0000-000083190000}"/>
    <cellStyle name="Separador de milhares 2 2 3 7 5 2" xfId="44394" xr:uid="{00000000-0005-0000-0000-000084190000}"/>
    <cellStyle name="Separador de milhares 2 2 3 7 6" xfId="11873" xr:uid="{00000000-0005-0000-0000-000085190000}"/>
    <cellStyle name="Separador de milhares 2 2 3 7 6 2" xfId="38066" xr:uid="{00000000-0005-0000-0000-000086190000}"/>
    <cellStyle name="Separador de milhares 2 2 3 7 7" xfId="29984" xr:uid="{00000000-0005-0000-0000-000087190000}"/>
    <cellStyle name="Separador de milhares 2 2 3 8" xfId="3235" xr:uid="{00000000-0005-0000-0000-000088190000}"/>
    <cellStyle name="Separador de milhares 2 2 3 8 2" xfId="7332" xr:uid="{00000000-0005-0000-0000-000089190000}"/>
    <cellStyle name="Separador de milhares 2 2 3 8 2 2" xfId="10476" xr:uid="{00000000-0005-0000-0000-00008A190000}"/>
    <cellStyle name="Separador de milhares 2 2 3 8 2 2 2" xfId="28690" xr:uid="{00000000-0005-0000-0000-00008B190000}"/>
    <cellStyle name="Separador de milhares 2 2 3 8 2 2 2 2" xfId="54871" xr:uid="{00000000-0005-0000-0000-00008C190000}"/>
    <cellStyle name="Separador de milhares 2 2 3 8 2 2 3" xfId="22776" xr:uid="{00000000-0005-0000-0000-00008D190000}"/>
    <cellStyle name="Separador de milhares 2 2 3 8 2 2 3 2" xfId="48963" xr:uid="{00000000-0005-0000-0000-00008E190000}"/>
    <cellStyle name="Separador de milhares 2 2 3 8 2 2 4" xfId="16862" xr:uid="{00000000-0005-0000-0000-00008F190000}"/>
    <cellStyle name="Separador de milhares 2 2 3 8 2 2 4 2" xfId="43055" xr:uid="{00000000-0005-0000-0000-000090190000}"/>
    <cellStyle name="Separador de milhares 2 2 3 8 2 2 5" xfId="36669" xr:uid="{00000000-0005-0000-0000-000091190000}"/>
    <cellStyle name="Separador de milhares 2 2 3 8 2 3" xfId="25733" xr:uid="{00000000-0005-0000-0000-000092190000}"/>
    <cellStyle name="Separador de milhares 2 2 3 8 2 3 2" xfId="51917" xr:uid="{00000000-0005-0000-0000-000093190000}"/>
    <cellStyle name="Separador de milhares 2 2 3 8 2 4" xfId="19819" xr:uid="{00000000-0005-0000-0000-000094190000}"/>
    <cellStyle name="Separador de milhares 2 2 3 8 2 4 2" xfId="46009" xr:uid="{00000000-0005-0000-0000-000095190000}"/>
    <cellStyle name="Separador de milhares 2 2 3 8 2 5" xfId="13721" xr:uid="{00000000-0005-0000-0000-000096190000}"/>
    <cellStyle name="Separador de milhares 2 2 3 8 2 5 2" xfId="39914" xr:uid="{00000000-0005-0000-0000-000097190000}"/>
    <cellStyle name="Separador de milhares 2 2 3 8 2 6" xfId="33528" xr:uid="{00000000-0005-0000-0000-000098190000}"/>
    <cellStyle name="Separador de milhares 2 2 3 8 3" xfId="9008" xr:uid="{00000000-0005-0000-0000-000099190000}"/>
    <cellStyle name="Separador de milhares 2 2 3 8 3 2" xfId="27222" xr:uid="{00000000-0005-0000-0000-00009A190000}"/>
    <cellStyle name="Separador de milhares 2 2 3 8 3 2 2" xfId="53403" xr:uid="{00000000-0005-0000-0000-00009B190000}"/>
    <cellStyle name="Separador de milhares 2 2 3 8 3 3" xfId="21308" xr:uid="{00000000-0005-0000-0000-00009C190000}"/>
    <cellStyle name="Separador de milhares 2 2 3 8 3 3 2" xfId="47495" xr:uid="{00000000-0005-0000-0000-00009D190000}"/>
    <cellStyle name="Separador de milhares 2 2 3 8 3 4" xfId="15394" xr:uid="{00000000-0005-0000-0000-00009E190000}"/>
    <cellStyle name="Separador de milhares 2 2 3 8 3 4 2" xfId="41587" xr:uid="{00000000-0005-0000-0000-00009F190000}"/>
    <cellStyle name="Separador de milhares 2 2 3 8 3 5" xfId="35201" xr:uid="{00000000-0005-0000-0000-0000A0190000}"/>
    <cellStyle name="Separador de milhares 2 2 3 8 4" xfId="5633" xr:uid="{00000000-0005-0000-0000-0000A1190000}"/>
    <cellStyle name="Separador de milhares 2 2 3 8 4 2" xfId="24265" xr:uid="{00000000-0005-0000-0000-0000A2190000}"/>
    <cellStyle name="Separador de milhares 2 2 3 8 4 2 2" xfId="50449" xr:uid="{00000000-0005-0000-0000-0000A3190000}"/>
    <cellStyle name="Separador de milhares 2 2 3 8 4 3" xfId="31829" xr:uid="{00000000-0005-0000-0000-0000A4190000}"/>
    <cellStyle name="Separador de milhares 2 2 3 8 5" xfId="18351" xr:uid="{00000000-0005-0000-0000-0000A5190000}"/>
    <cellStyle name="Separador de milhares 2 2 3 8 5 2" xfId="44541" xr:uid="{00000000-0005-0000-0000-0000A6190000}"/>
    <cellStyle name="Separador de milhares 2 2 3 8 6" xfId="12020" xr:uid="{00000000-0005-0000-0000-0000A7190000}"/>
    <cellStyle name="Separador de milhares 2 2 3 8 6 2" xfId="38213" xr:uid="{00000000-0005-0000-0000-0000A8190000}"/>
    <cellStyle name="Separador de milhares 2 2 3 8 7" xfId="30131" xr:uid="{00000000-0005-0000-0000-0000A9190000}"/>
    <cellStyle name="Separador de milhares 2 2 3 9" xfId="3762" xr:uid="{00000000-0005-0000-0000-0000AA190000}"/>
    <cellStyle name="Separador de milhares 2 2 3 9 2" xfId="7479" xr:uid="{00000000-0005-0000-0000-0000AB190000}"/>
    <cellStyle name="Separador de milhares 2 2 3 9 2 2" xfId="10623" xr:uid="{00000000-0005-0000-0000-0000AC190000}"/>
    <cellStyle name="Separador de milhares 2 2 3 9 2 2 2" xfId="28837" xr:uid="{00000000-0005-0000-0000-0000AD190000}"/>
    <cellStyle name="Separador de milhares 2 2 3 9 2 2 2 2" xfId="55018" xr:uid="{00000000-0005-0000-0000-0000AE190000}"/>
    <cellStyle name="Separador de milhares 2 2 3 9 2 2 3" xfId="22923" xr:uid="{00000000-0005-0000-0000-0000AF190000}"/>
    <cellStyle name="Separador de milhares 2 2 3 9 2 2 3 2" xfId="49110" xr:uid="{00000000-0005-0000-0000-0000B0190000}"/>
    <cellStyle name="Separador de milhares 2 2 3 9 2 2 4" xfId="17009" xr:uid="{00000000-0005-0000-0000-0000B1190000}"/>
    <cellStyle name="Separador de milhares 2 2 3 9 2 2 4 2" xfId="43202" xr:uid="{00000000-0005-0000-0000-0000B2190000}"/>
    <cellStyle name="Separador de milhares 2 2 3 9 2 2 5" xfId="36816" xr:uid="{00000000-0005-0000-0000-0000B3190000}"/>
    <cellStyle name="Separador de milhares 2 2 3 9 2 3" xfId="25880" xr:uid="{00000000-0005-0000-0000-0000B4190000}"/>
    <cellStyle name="Separador de milhares 2 2 3 9 2 3 2" xfId="52064" xr:uid="{00000000-0005-0000-0000-0000B5190000}"/>
    <cellStyle name="Separador de milhares 2 2 3 9 2 4" xfId="19966" xr:uid="{00000000-0005-0000-0000-0000B6190000}"/>
    <cellStyle name="Separador de milhares 2 2 3 9 2 4 2" xfId="46156" xr:uid="{00000000-0005-0000-0000-0000B7190000}"/>
    <cellStyle name="Separador de milhares 2 2 3 9 2 5" xfId="13868" xr:uid="{00000000-0005-0000-0000-0000B8190000}"/>
    <cellStyle name="Separador de milhares 2 2 3 9 2 5 2" xfId="40061" xr:uid="{00000000-0005-0000-0000-0000B9190000}"/>
    <cellStyle name="Separador de milhares 2 2 3 9 2 6" xfId="33675" xr:uid="{00000000-0005-0000-0000-0000BA190000}"/>
    <cellStyle name="Separador de milhares 2 2 3 9 3" xfId="9155" xr:uid="{00000000-0005-0000-0000-0000BB190000}"/>
    <cellStyle name="Separador de milhares 2 2 3 9 3 2" xfId="27369" xr:uid="{00000000-0005-0000-0000-0000BC190000}"/>
    <cellStyle name="Separador de milhares 2 2 3 9 3 2 2" xfId="53550" xr:uid="{00000000-0005-0000-0000-0000BD190000}"/>
    <cellStyle name="Separador de milhares 2 2 3 9 3 3" xfId="21455" xr:uid="{00000000-0005-0000-0000-0000BE190000}"/>
    <cellStyle name="Separador de milhares 2 2 3 9 3 3 2" xfId="47642" xr:uid="{00000000-0005-0000-0000-0000BF190000}"/>
    <cellStyle name="Separador de milhares 2 2 3 9 3 4" xfId="15541" xr:uid="{00000000-0005-0000-0000-0000C0190000}"/>
    <cellStyle name="Separador de milhares 2 2 3 9 3 4 2" xfId="41734" xr:uid="{00000000-0005-0000-0000-0000C1190000}"/>
    <cellStyle name="Separador de milhares 2 2 3 9 3 5" xfId="35348" xr:uid="{00000000-0005-0000-0000-0000C2190000}"/>
    <cellStyle name="Separador de milhares 2 2 3 9 4" xfId="5780" xr:uid="{00000000-0005-0000-0000-0000C3190000}"/>
    <cellStyle name="Separador de milhares 2 2 3 9 4 2" xfId="24412" xr:uid="{00000000-0005-0000-0000-0000C4190000}"/>
    <cellStyle name="Separador de milhares 2 2 3 9 4 2 2" xfId="50596" xr:uid="{00000000-0005-0000-0000-0000C5190000}"/>
    <cellStyle name="Separador de milhares 2 2 3 9 4 3" xfId="31976" xr:uid="{00000000-0005-0000-0000-0000C6190000}"/>
    <cellStyle name="Separador de milhares 2 2 3 9 5" xfId="18498" xr:uid="{00000000-0005-0000-0000-0000C7190000}"/>
    <cellStyle name="Separador de milhares 2 2 3 9 5 2" xfId="44688" xr:uid="{00000000-0005-0000-0000-0000C8190000}"/>
    <cellStyle name="Separador de milhares 2 2 3 9 6" xfId="12167" xr:uid="{00000000-0005-0000-0000-0000C9190000}"/>
    <cellStyle name="Separador de milhares 2 2 3 9 6 2" xfId="38360" xr:uid="{00000000-0005-0000-0000-0000CA190000}"/>
    <cellStyle name="Separador de milhares 2 2 3 9 7" xfId="30278" xr:uid="{00000000-0005-0000-0000-0000CB190000}"/>
    <cellStyle name="Separador de milhares 2 2 4" xfId="214" xr:uid="{00000000-0005-0000-0000-0000CC190000}"/>
    <cellStyle name="Separador de milhares 2 2 4 10" xfId="6470" xr:uid="{00000000-0005-0000-0000-0000CD190000}"/>
    <cellStyle name="Separador de milhares 2 2 4 10 2" xfId="9621" xr:uid="{00000000-0005-0000-0000-0000CE190000}"/>
    <cellStyle name="Separador de milhares 2 2 4 10 2 2" xfId="27835" xr:uid="{00000000-0005-0000-0000-0000CF190000}"/>
    <cellStyle name="Separador de milhares 2 2 4 10 2 2 2" xfId="54016" xr:uid="{00000000-0005-0000-0000-0000D0190000}"/>
    <cellStyle name="Separador de milhares 2 2 4 10 2 3" xfId="21921" xr:uid="{00000000-0005-0000-0000-0000D1190000}"/>
    <cellStyle name="Separador de milhares 2 2 4 10 2 3 2" xfId="48108" xr:uid="{00000000-0005-0000-0000-0000D2190000}"/>
    <cellStyle name="Separador de milhares 2 2 4 10 2 4" xfId="16007" xr:uid="{00000000-0005-0000-0000-0000D3190000}"/>
    <cellStyle name="Separador de milhares 2 2 4 10 2 4 2" xfId="42200" xr:uid="{00000000-0005-0000-0000-0000D4190000}"/>
    <cellStyle name="Separador de milhares 2 2 4 10 2 5" xfId="35814" xr:uid="{00000000-0005-0000-0000-0000D5190000}"/>
    <cellStyle name="Separador de milhares 2 2 4 10 3" xfId="24878" xr:uid="{00000000-0005-0000-0000-0000D6190000}"/>
    <cellStyle name="Separador de milhares 2 2 4 10 3 2" xfId="51062" xr:uid="{00000000-0005-0000-0000-0000D7190000}"/>
    <cellStyle name="Separador de milhares 2 2 4 10 4" xfId="18964" xr:uid="{00000000-0005-0000-0000-0000D8190000}"/>
    <cellStyle name="Separador de milhares 2 2 4 10 4 2" xfId="45154" xr:uid="{00000000-0005-0000-0000-0000D9190000}"/>
    <cellStyle name="Separador de milhares 2 2 4 10 5" xfId="12859" xr:uid="{00000000-0005-0000-0000-0000DA190000}"/>
    <cellStyle name="Separador de milhares 2 2 4 10 5 2" xfId="39052" xr:uid="{00000000-0005-0000-0000-0000DB190000}"/>
    <cellStyle name="Separador de milhares 2 2 4 10 6" xfId="32666" xr:uid="{00000000-0005-0000-0000-0000DC190000}"/>
    <cellStyle name="Separador de milhares 2 2 4 11" xfId="8150" xr:uid="{00000000-0005-0000-0000-0000DD190000}"/>
    <cellStyle name="Separador de milhares 2 2 4 11 2" xfId="26364" xr:uid="{00000000-0005-0000-0000-0000DE190000}"/>
    <cellStyle name="Separador de milhares 2 2 4 11 2 2" xfId="52548" xr:uid="{00000000-0005-0000-0000-0000DF190000}"/>
    <cellStyle name="Separador de milhares 2 2 4 11 3" xfId="20450" xr:uid="{00000000-0005-0000-0000-0000E0190000}"/>
    <cellStyle name="Separador de milhares 2 2 4 11 3 2" xfId="46640" xr:uid="{00000000-0005-0000-0000-0000E1190000}"/>
    <cellStyle name="Separador de milhares 2 2 4 11 4" xfId="14539" xr:uid="{00000000-0005-0000-0000-0000E2190000}"/>
    <cellStyle name="Separador de milhares 2 2 4 11 4 2" xfId="40732" xr:uid="{00000000-0005-0000-0000-0000E3190000}"/>
    <cellStyle name="Separador de milhares 2 2 4 11 5" xfId="34346" xr:uid="{00000000-0005-0000-0000-0000E4190000}"/>
    <cellStyle name="Separador de milhares 2 2 4 12" xfId="4769" xr:uid="{00000000-0005-0000-0000-0000E5190000}"/>
    <cellStyle name="Separador de milhares 2 2 4 12 2" xfId="23407" xr:uid="{00000000-0005-0000-0000-0000E6190000}"/>
    <cellStyle name="Separador de milhares 2 2 4 12 2 2" xfId="49594" xr:uid="{00000000-0005-0000-0000-0000E7190000}"/>
    <cellStyle name="Separador de milhares 2 2 4 12 3" xfId="30967" xr:uid="{00000000-0005-0000-0000-0000E8190000}"/>
    <cellStyle name="Separador de milhares 2 2 4 13" xfId="17493" xr:uid="{00000000-0005-0000-0000-0000E9190000}"/>
    <cellStyle name="Separador de milhares 2 2 4 13 2" xfId="43686" xr:uid="{00000000-0005-0000-0000-0000EA190000}"/>
    <cellStyle name="Separador de milhares 2 2 4 14" xfId="11158" xr:uid="{00000000-0005-0000-0000-0000EB190000}"/>
    <cellStyle name="Separador de milhares 2 2 4 14 2" xfId="37351" xr:uid="{00000000-0005-0000-0000-0000EC190000}"/>
    <cellStyle name="Separador de milhares 2 2 4 15" xfId="29269" xr:uid="{00000000-0005-0000-0000-0000ED190000}"/>
    <cellStyle name="Separador de milhares 2 2 4 2" xfId="652" xr:uid="{00000000-0005-0000-0000-0000EE190000}"/>
    <cellStyle name="Separador de milhares 2 2 4 2 2" xfId="6587" xr:uid="{00000000-0005-0000-0000-0000EF190000}"/>
    <cellStyle name="Separador de milhares 2 2 4 2 2 2" xfId="9734" xr:uid="{00000000-0005-0000-0000-0000F0190000}"/>
    <cellStyle name="Separador de milhares 2 2 4 2 2 2 2" xfId="27948" xr:uid="{00000000-0005-0000-0000-0000F1190000}"/>
    <cellStyle name="Separador de milhares 2 2 4 2 2 2 2 2" xfId="54129" xr:uid="{00000000-0005-0000-0000-0000F2190000}"/>
    <cellStyle name="Separador de milhares 2 2 4 2 2 2 3" xfId="22034" xr:uid="{00000000-0005-0000-0000-0000F3190000}"/>
    <cellStyle name="Separador de milhares 2 2 4 2 2 2 3 2" xfId="48221" xr:uid="{00000000-0005-0000-0000-0000F4190000}"/>
    <cellStyle name="Separador de milhares 2 2 4 2 2 2 4" xfId="16120" xr:uid="{00000000-0005-0000-0000-0000F5190000}"/>
    <cellStyle name="Separador de milhares 2 2 4 2 2 2 4 2" xfId="42313" xr:uid="{00000000-0005-0000-0000-0000F6190000}"/>
    <cellStyle name="Separador de milhares 2 2 4 2 2 2 5" xfId="35927" xr:uid="{00000000-0005-0000-0000-0000F7190000}"/>
    <cellStyle name="Separador de milhares 2 2 4 2 2 3" xfId="24991" xr:uid="{00000000-0005-0000-0000-0000F8190000}"/>
    <cellStyle name="Separador de milhares 2 2 4 2 2 3 2" xfId="51175" xr:uid="{00000000-0005-0000-0000-0000F9190000}"/>
    <cellStyle name="Separador de milhares 2 2 4 2 2 4" xfId="19077" xr:uid="{00000000-0005-0000-0000-0000FA190000}"/>
    <cellStyle name="Separador de milhares 2 2 4 2 2 4 2" xfId="45267" xr:uid="{00000000-0005-0000-0000-0000FB190000}"/>
    <cellStyle name="Separador de milhares 2 2 4 2 2 5" xfId="12976" xr:uid="{00000000-0005-0000-0000-0000FC190000}"/>
    <cellStyle name="Separador de milhares 2 2 4 2 2 5 2" xfId="39169" xr:uid="{00000000-0005-0000-0000-0000FD190000}"/>
    <cellStyle name="Separador de milhares 2 2 4 2 2 6" xfId="32783" xr:uid="{00000000-0005-0000-0000-0000FE190000}"/>
    <cellStyle name="Separador de milhares 2 2 4 2 3" xfId="8266" xr:uid="{00000000-0005-0000-0000-0000FF190000}"/>
    <cellStyle name="Separador de milhares 2 2 4 2 3 2" xfId="26480" xr:uid="{00000000-0005-0000-0000-0000001A0000}"/>
    <cellStyle name="Separador de milhares 2 2 4 2 3 2 2" xfId="52661" xr:uid="{00000000-0005-0000-0000-0000011A0000}"/>
    <cellStyle name="Separador de milhares 2 2 4 2 3 3" xfId="20566" xr:uid="{00000000-0005-0000-0000-0000021A0000}"/>
    <cellStyle name="Separador de milhares 2 2 4 2 3 3 2" xfId="46753" xr:uid="{00000000-0005-0000-0000-0000031A0000}"/>
    <cellStyle name="Separador de milhares 2 2 4 2 3 4" xfId="14652" xr:uid="{00000000-0005-0000-0000-0000041A0000}"/>
    <cellStyle name="Separador de milhares 2 2 4 2 3 4 2" xfId="40845" xr:uid="{00000000-0005-0000-0000-0000051A0000}"/>
    <cellStyle name="Separador de milhares 2 2 4 2 3 5" xfId="34459" xr:uid="{00000000-0005-0000-0000-0000061A0000}"/>
    <cellStyle name="Separador de milhares 2 2 4 2 4" xfId="4888" xr:uid="{00000000-0005-0000-0000-0000071A0000}"/>
    <cellStyle name="Separador de milhares 2 2 4 2 4 2" xfId="23523" xr:uid="{00000000-0005-0000-0000-0000081A0000}"/>
    <cellStyle name="Separador de milhares 2 2 4 2 4 2 2" xfId="49707" xr:uid="{00000000-0005-0000-0000-0000091A0000}"/>
    <cellStyle name="Separador de milhares 2 2 4 2 4 3" xfId="31084" xr:uid="{00000000-0005-0000-0000-00000A1A0000}"/>
    <cellStyle name="Separador de milhares 2 2 4 2 5" xfId="17609" xr:uid="{00000000-0005-0000-0000-00000B1A0000}"/>
    <cellStyle name="Separador de milhares 2 2 4 2 5 2" xfId="43799" xr:uid="{00000000-0005-0000-0000-00000C1A0000}"/>
    <cellStyle name="Separador de milhares 2 2 4 2 6" xfId="11275" xr:uid="{00000000-0005-0000-0000-00000D1A0000}"/>
    <cellStyle name="Separador de milhares 2 2 4 2 6 2" xfId="37468" xr:uid="{00000000-0005-0000-0000-00000E1A0000}"/>
    <cellStyle name="Separador de milhares 2 2 4 2 7" xfId="29386" xr:uid="{00000000-0005-0000-0000-00000F1A0000}"/>
    <cellStyle name="Separador de milhares 2 2 4 3" xfId="774" xr:uid="{00000000-0005-0000-0000-0000101A0000}"/>
    <cellStyle name="Separador de milhares 2 2 4 3 2" xfId="6643" xr:uid="{00000000-0005-0000-0000-0000111A0000}"/>
    <cellStyle name="Separador de milhares 2 2 4 3 2 2" xfId="9790" xr:uid="{00000000-0005-0000-0000-0000121A0000}"/>
    <cellStyle name="Separador de milhares 2 2 4 3 2 2 2" xfId="28004" xr:uid="{00000000-0005-0000-0000-0000131A0000}"/>
    <cellStyle name="Separador de milhares 2 2 4 3 2 2 2 2" xfId="54185" xr:uid="{00000000-0005-0000-0000-0000141A0000}"/>
    <cellStyle name="Separador de milhares 2 2 4 3 2 2 3" xfId="22090" xr:uid="{00000000-0005-0000-0000-0000151A0000}"/>
    <cellStyle name="Separador de milhares 2 2 4 3 2 2 3 2" xfId="48277" xr:uid="{00000000-0005-0000-0000-0000161A0000}"/>
    <cellStyle name="Separador de milhares 2 2 4 3 2 2 4" xfId="16176" xr:uid="{00000000-0005-0000-0000-0000171A0000}"/>
    <cellStyle name="Separador de milhares 2 2 4 3 2 2 4 2" xfId="42369" xr:uid="{00000000-0005-0000-0000-0000181A0000}"/>
    <cellStyle name="Separador de milhares 2 2 4 3 2 2 5" xfId="35983" xr:uid="{00000000-0005-0000-0000-0000191A0000}"/>
    <cellStyle name="Separador de milhares 2 2 4 3 2 3" xfId="25047" xr:uid="{00000000-0005-0000-0000-00001A1A0000}"/>
    <cellStyle name="Separador de milhares 2 2 4 3 2 3 2" xfId="51231" xr:uid="{00000000-0005-0000-0000-00001B1A0000}"/>
    <cellStyle name="Separador de milhares 2 2 4 3 2 4" xfId="19133" xr:uid="{00000000-0005-0000-0000-00001C1A0000}"/>
    <cellStyle name="Separador de milhares 2 2 4 3 2 4 2" xfId="45323" xr:uid="{00000000-0005-0000-0000-00001D1A0000}"/>
    <cellStyle name="Separador de milhares 2 2 4 3 2 5" xfId="13032" xr:uid="{00000000-0005-0000-0000-00001E1A0000}"/>
    <cellStyle name="Separador de milhares 2 2 4 3 2 5 2" xfId="39225" xr:uid="{00000000-0005-0000-0000-00001F1A0000}"/>
    <cellStyle name="Separador de milhares 2 2 4 3 2 6" xfId="32839" xr:uid="{00000000-0005-0000-0000-0000201A0000}"/>
    <cellStyle name="Separador de milhares 2 2 4 3 3" xfId="8322" xr:uid="{00000000-0005-0000-0000-0000211A0000}"/>
    <cellStyle name="Separador de milhares 2 2 4 3 3 2" xfId="26536" xr:uid="{00000000-0005-0000-0000-0000221A0000}"/>
    <cellStyle name="Separador de milhares 2 2 4 3 3 2 2" xfId="52717" xr:uid="{00000000-0005-0000-0000-0000231A0000}"/>
    <cellStyle name="Separador de milhares 2 2 4 3 3 3" xfId="20622" xr:uid="{00000000-0005-0000-0000-0000241A0000}"/>
    <cellStyle name="Separador de milhares 2 2 4 3 3 3 2" xfId="46809" xr:uid="{00000000-0005-0000-0000-0000251A0000}"/>
    <cellStyle name="Separador de milhares 2 2 4 3 3 4" xfId="14708" xr:uid="{00000000-0005-0000-0000-0000261A0000}"/>
    <cellStyle name="Separador de milhares 2 2 4 3 3 4 2" xfId="40901" xr:uid="{00000000-0005-0000-0000-0000271A0000}"/>
    <cellStyle name="Separador de milhares 2 2 4 3 3 5" xfId="34515" xr:uid="{00000000-0005-0000-0000-0000281A0000}"/>
    <cellStyle name="Separador de milhares 2 2 4 3 4" xfId="4944" xr:uid="{00000000-0005-0000-0000-0000291A0000}"/>
    <cellStyle name="Separador de milhares 2 2 4 3 4 2" xfId="23579" xr:uid="{00000000-0005-0000-0000-00002A1A0000}"/>
    <cellStyle name="Separador de milhares 2 2 4 3 4 2 2" xfId="49763" xr:uid="{00000000-0005-0000-0000-00002B1A0000}"/>
    <cellStyle name="Separador de milhares 2 2 4 3 4 3" xfId="31140" xr:uid="{00000000-0005-0000-0000-00002C1A0000}"/>
    <cellStyle name="Separador de milhares 2 2 4 3 5" xfId="17665" xr:uid="{00000000-0005-0000-0000-00002D1A0000}"/>
    <cellStyle name="Separador de milhares 2 2 4 3 5 2" xfId="43855" xr:uid="{00000000-0005-0000-0000-00002E1A0000}"/>
    <cellStyle name="Separador de milhares 2 2 4 3 6" xfId="11331" xr:uid="{00000000-0005-0000-0000-00002F1A0000}"/>
    <cellStyle name="Separador de milhares 2 2 4 3 6 2" xfId="37524" xr:uid="{00000000-0005-0000-0000-0000301A0000}"/>
    <cellStyle name="Separador de milhares 2 2 4 3 7" xfId="29442" xr:uid="{00000000-0005-0000-0000-0000311A0000}"/>
    <cellStyle name="Separador de milhares 2 2 4 4" xfId="1125" xr:uid="{00000000-0005-0000-0000-0000321A0000}"/>
    <cellStyle name="Separador de milhares 2 2 4 4 2" xfId="6741" xr:uid="{00000000-0005-0000-0000-0000331A0000}"/>
    <cellStyle name="Separador de milhares 2 2 4 4 2 2" xfId="9888" xr:uid="{00000000-0005-0000-0000-0000341A0000}"/>
    <cellStyle name="Separador de milhares 2 2 4 4 2 2 2" xfId="28102" xr:uid="{00000000-0005-0000-0000-0000351A0000}"/>
    <cellStyle name="Separador de milhares 2 2 4 4 2 2 2 2" xfId="54283" xr:uid="{00000000-0005-0000-0000-0000361A0000}"/>
    <cellStyle name="Separador de milhares 2 2 4 4 2 2 3" xfId="22188" xr:uid="{00000000-0005-0000-0000-0000371A0000}"/>
    <cellStyle name="Separador de milhares 2 2 4 4 2 2 3 2" xfId="48375" xr:uid="{00000000-0005-0000-0000-0000381A0000}"/>
    <cellStyle name="Separador de milhares 2 2 4 4 2 2 4" xfId="16274" xr:uid="{00000000-0005-0000-0000-0000391A0000}"/>
    <cellStyle name="Separador de milhares 2 2 4 4 2 2 4 2" xfId="42467" xr:uid="{00000000-0005-0000-0000-00003A1A0000}"/>
    <cellStyle name="Separador de milhares 2 2 4 4 2 2 5" xfId="36081" xr:uid="{00000000-0005-0000-0000-00003B1A0000}"/>
    <cellStyle name="Separador de milhares 2 2 4 4 2 3" xfId="25145" xr:uid="{00000000-0005-0000-0000-00003C1A0000}"/>
    <cellStyle name="Separador de milhares 2 2 4 4 2 3 2" xfId="51329" xr:uid="{00000000-0005-0000-0000-00003D1A0000}"/>
    <cellStyle name="Separador de milhares 2 2 4 4 2 4" xfId="19231" xr:uid="{00000000-0005-0000-0000-00003E1A0000}"/>
    <cellStyle name="Separador de milhares 2 2 4 4 2 4 2" xfId="45421" xr:uid="{00000000-0005-0000-0000-00003F1A0000}"/>
    <cellStyle name="Separador de milhares 2 2 4 4 2 5" xfId="13130" xr:uid="{00000000-0005-0000-0000-0000401A0000}"/>
    <cellStyle name="Separador de milhares 2 2 4 4 2 5 2" xfId="39323" xr:uid="{00000000-0005-0000-0000-0000411A0000}"/>
    <cellStyle name="Separador de milhares 2 2 4 4 2 6" xfId="32937" xr:uid="{00000000-0005-0000-0000-0000421A0000}"/>
    <cellStyle name="Separador de milhares 2 2 4 4 3" xfId="8420" xr:uid="{00000000-0005-0000-0000-0000431A0000}"/>
    <cellStyle name="Separador de milhares 2 2 4 4 3 2" xfId="26634" xr:uid="{00000000-0005-0000-0000-0000441A0000}"/>
    <cellStyle name="Separador de milhares 2 2 4 4 3 2 2" xfId="52815" xr:uid="{00000000-0005-0000-0000-0000451A0000}"/>
    <cellStyle name="Separador de milhares 2 2 4 4 3 3" xfId="20720" xr:uid="{00000000-0005-0000-0000-0000461A0000}"/>
    <cellStyle name="Separador de milhares 2 2 4 4 3 3 2" xfId="46907" xr:uid="{00000000-0005-0000-0000-0000471A0000}"/>
    <cellStyle name="Separador de milhares 2 2 4 4 3 4" xfId="14806" xr:uid="{00000000-0005-0000-0000-0000481A0000}"/>
    <cellStyle name="Separador de milhares 2 2 4 4 3 4 2" xfId="40999" xr:uid="{00000000-0005-0000-0000-0000491A0000}"/>
    <cellStyle name="Separador de milhares 2 2 4 4 3 5" xfId="34613" xr:uid="{00000000-0005-0000-0000-00004A1A0000}"/>
    <cellStyle name="Separador de milhares 2 2 4 4 4" xfId="5042" xr:uid="{00000000-0005-0000-0000-00004B1A0000}"/>
    <cellStyle name="Separador de milhares 2 2 4 4 4 2" xfId="23677" xr:uid="{00000000-0005-0000-0000-00004C1A0000}"/>
    <cellStyle name="Separador de milhares 2 2 4 4 4 2 2" xfId="49861" xr:uid="{00000000-0005-0000-0000-00004D1A0000}"/>
    <cellStyle name="Separador de milhares 2 2 4 4 4 3" xfId="31238" xr:uid="{00000000-0005-0000-0000-00004E1A0000}"/>
    <cellStyle name="Separador de milhares 2 2 4 4 5" xfId="17763" xr:uid="{00000000-0005-0000-0000-00004F1A0000}"/>
    <cellStyle name="Separador de milhares 2 2 4 4 5 2" xfId="43953" xr:uid="{00000000-0005-0000-0000-0000501A0000}"/>
    <cellStyle name="Separador de milhares 2 2 4 4 6" xfId="11429" xr:uid="{00000000-0005-0000-0000-0000511A0000}"/>
    <cellStyle name="Separador de milhares 2 2 4 4 6 2" xfId="37622" xr:uid="{00000000-0005-0000-0000-0000521A0000}"/>
    <cellStyle name="Separador de milhares 2 2 4 4 7" xfId="29540" xr:uid="{00000000-0005-0000-0000-0000531A0000}"/>
    <cellStyle name="Separador de milhares 2 2 4 5" xfId="1560" xr:uid="{00000000-0005-0000-0000-0000541A0000}"/>
    <cellStyle name="Separador de milhares 2 2 4 5 2" xfId="6860" xr:uid="{00000000-0005-0000-0000-0000551A0000}"/>
    <cellStyle name="Separador de milhares 2 2 4 5 2 2" xfId="10007" xr:uid="{00000000-0005-0000-0000-0000561A0000}"/>
    <cellStyle name="Separador de milhares 2 2 4 5 2 2 2" xfId="28221" xr:uid="{00000000-0005-0000-0000-0000571A0000}"/>
    <cellStyle name="Separador de milhares 2 2 4 5 2 2 2 2" xfId="54402" xr:uid="{00000000-0005-0000-0000-0000581A0000}"/>
    <cellStyle name="Separador de milhares 2 2 4 5 2 2 3" xfId="22307" xr:uid="{00000000-0005-0000-0000-0000591A0000}"/>
    <cellStyle name="Separador de milhares 2 2 4 5 2 2 3 2" xfId="48494" xr:uid="{00000000-0005-0000-0000-00005A1A0000}"/>
    <cellStyle name="Separador de milhares 2 2 4 5 2 2 4" xfId="16393" xr:uid="{00000000-0005-0000-0000-00005B1A0000}"/>
    <cellStyle name="Separador de milhares 2 2 4 5 2 2 4 2" xfId="42586" xr:uid="{00000000-0005-0000-0000-00005C1A0000}"/>
    <cellStyle name="Separador de milhares 2 2 4 5 2 2 5" xfId="36200" xr:uid="{00000000-0005-0000-0000-00005D1A0000}"/>
    <cellStyle name="Separador de milhares 2 2 4 5 2 3" xfId="25264" xr:uid="{00000000-0005-0000-0000-00005E1A0000}"/>
    <cellStyle name="Separador de milhares 2 2 4 5 2 3 2" xfId="51448" xr:uid="{00000000-0005-0000-0000-00005F1A0000}"/>
    <cellStyle name="Separador de milhares 2 2 4 5 2 4" xfId="19350" xr:uid="{00000000-0005-0000-0000-0000601A0000}"/>
    <cellStyle name="Separador de milhares 2 2 4 5 2 4 2" xfId="45540" xr:uid="{00000000-0005-0000-0000-0000611A0000}"/>
    <cellStyle name="Separador de milhares 2 2 4 5 2 5" xfId="13249" xr:uid="{00000000-0005-0000-0000-0000621A0000}"/>
    <cellStyle name="Separador de milhares 2 2 4 5 2 5 2" xfId="39442" xr:uid="{00000000-0005-0000-0000-0000631A0000}"/>
    <cellStyle name="Separador de milhares 2 2 4 5 2 6" xfId="33056" xr:uid="{00000000-0005-0000-0000-0000641A0000}"/>
    <cellStyle name="Separador de milhares 2 2 4 5 3" xfId="8539" xr:uid="{00000000-0005-0000-0000-0000651A0000}"/>
    <cellStyle name="Separador de milhares 2 2 4 5 3 2" xfId="26753" xr:uid="{00000000-0005-0000-0000-0000661A0000}"/>
    <cellStyle name="Separador de milhares 2 2 4 5 3 2 2" xfId="52934" xr:uid="{00000000-0005-0000-0000-0000671A0000}"/>
    <cellStyle name="Separador de milhares 2 2 4 5 3 3" xfId="20839" xr:uid="{00000000-0005-0000-0000-0000681A0000}"/>
    <cellStyle name="Separador de milhares 2 2 4 5 3 3 2" xfId="47026" xr:uid="{00000000-0005-0000-0000-0000691A0000}"/>
    <cellStyle name="Separador de milhares 2 2 4 5 3 4" xfId="14925" xr:uid="{00000000-0005-0000-0000-00006A1A0000}"/>
    <cellStyle name="Separador de milhares 2 2 4 5 3 4 2" xfId="41118" xr:uid="{00000000-0005-0000-0000-00006B1A0000}"/>
    <cellStyle name="Separador de milhares 2 2 4 5 3 5" xfId="34732" xr:uid="{00000000-0005-0000-0000-00006C1A0000}"/>
    <cellStyle name="Separador de milhares 2 2 4 5 4" xfId="5161" xr:uid="{00000000-0005-0000-0000-00006D1A0000}"/>
    <cellStyle name="Separador de milhares 2 2 4 5 4 2" xfId="23796" xr:uid="{00000000-0005-0000-0000-00006E1A0000}"/>
    <cellStyle name="Separador de milhares 2 2 4 5 4 2 2" xfId="49980" xr:uid="{00000000-0005-0000-0000-00006F1A0000}"/>
    <cellStyle name="Separador de milhares 2 2 4 5 4 3" xfId="31357" xr:uid="{00000000-0005-0000-0000-0000701A0000}"/>
    <cellStyle name="Separador de milhares 2 2 4 5 5" xfId="17882" xr:uid="{00000000-0005-0000-0000-0000711A0000}"/>
    <cellStyle name="Separador de milhares 2 2 4 5 5 2" xfId="44072" xr:uid="{00000000-0005-0000-0000-0000721A0000}"/>
    <cellStyle name="Separador de milhares 2 2 4 5 6" xfId="11548" xr:uid="{00000000-0005-0000-0000-0000731A0000}"/>
    <cellStyle name="Separador de milhares 2 2 4 5 6 2" xfId="37741" xr:uid="{00000000-0005-0000-0000-0000741A0000}"/>
    <cellStyle name="Separador de milhares 2 2 4 5 7" xfId="29659" xr:uid="{00000000-0005-0000-0000-0000751A0000}"/>
    <cellStyle name="Separador de milhares 2 2 4 6" xfId="2090" xr:uid="{00000000-0005-0000-0000-0000761A0000}"/>
    <cellStyle name="Separador de milhares 2 2 4 6 2" xfId="7010" xr:uid="{00000000-0005-0000-0000-0000771A0000}"/>
    <cellStyle name="Separador de milhares 2 2 4 6 2 2" xfId="10154" xr:uid="{00000000-0005-0000-0000-0000781A0000}"/>
    <cellStyle name="Separador de milhares 2 2 4 6 2 2 2" xfId="28368" xr:uid="{00000000-0005-0000-0000-0000791A0000}"/>
    <cellStyle name="Separador de milhares 2 2 4 6 2 2 2 2" xfId="54549" xr:uid="{00000000-0005-0000-0000-00007A1A0000}"/>
    <cellStyle name="Separador de milhares 2 2 4 6 2 2 3" xfId="22454" xr:uid="{00000000-0005-0000-0000-00007B1A0000}"/>
    <cellStyle name="Separador de milhares 2 2 4 6 2 2 3 2" xfId="48641" xr:uid="{00000000-0005-0000-0000-00007C1A0000}"/>
    <cellStyle name="Separador de milhares 2 2 4 6 2 2 4" xfId="16540" xr:uid="{00000000-0005-0000-0000-00007D1A0000}"/>
    <cellStyle name="Separador de milhares 2 2 4 6 2 2 4 2" xfId="42733" xr:uid="{00000000-0005-0000-0000-00007E1A0000}"/>
    <cellStyle name="Separador de milhares 2 2 4 6 2 2 5" xfId="36347" xr:uid="{00000000-0005-0000-0000-00007F1A0000}"/>
    <cellStyle name="Separador de milhares 2 2 4 6 2 3" xfId="25411" xr:uid="{00000000-0005-0000-0000-0000801A0000}"/>
    <cellStyle name="Separador de milhares 2 2 4 6 2 3 2" xfId="51595" xr:uid="{00000000-0005-0000-0000-0000811A0000}"/>
    <cellStyle name="Separador de milhares 2 2 4 6 2 4" xfId="19497" xr:uid="{00000000-0005-0000-0000-0000821A0000}"/>
    <cellStyle name="Separador de milhares 2 2 4 6 2 4 2" xfId="45687" xr:uid="{00000000-0005-0000-0000-0000831A0000}"/>
    <cellStyle name="Separador de milhares 2 2 4 6 2 5" xfId="13399" xr:uid="{00000000-0005-0000-0000-0000841A0000}"/>
    <cellStyle name="Separador de milhares 2 2 4 6 2 5 2" xfId="39592" xr:uid="{00000000-0005-0000-0000-0000851A0000}"/>
    <cellStyle name="Separador de milhares 2 2 4 6 2 6" xfId="33206" xr:uid="{00000000-0005-0000-0000-0000861A0000}"/>
    <cellStyle name="Separador de milhares 2 2 4 6 3" xfId="8686" xr:uid="{00000000-0005-0000-0000-0000871A0000}"/>
    <cellStyle name="Separador de milhares 2 2 4 6 3 2" xfId="26900" xr:uid="{00000000-0005-0000-0000-0000881A0000}"/>
    <cellStyle name="Separador de milhares 2 2 4 6 3 2 2" xfId="53081" xr:uid="{00000000-0005-0000-0000-0000891A0000}"/>
    <cellStyle name="Separador de milhares 2 2 4 6 3 3" xfId="20986" xr:uid="{00000000-0005-0000-0000-00008A1A0000}"/>
    <cellStyle name="Separador de milhares 2 2 4 6 3 3 2" xfId="47173" xr:uid="{00000000-0005-0000-0000-00008B1A0000}"/>
    <cellStyle name="Separador de milhares 2 2 4 6 3 4" xfId="15072" xr:uid="{00000000-0005-0000-0000-00008C1A0000}"/>
    <cellStyle name="Separador de milhares 2 2 4 6 3 4 2" xfId="41265" xr:uid="{00000000-0005-0000-0000-00008D1A0000}"/>
    <cellStyle name="Separador de milhares 2 2 4 6 3 5" xfId="34879" xr:uid="{00000000-0005-0000-0000-00008E1A0000}"/>
    <cellStyle name="Separador de milhares 2 2 4 6 4" xfId="5311" xr:uid="{00000000-0005-0000-0000-00008F1A0000}"/>
    <cellStyle name="Separador de milhares 2 2 4 6 4 2" xfId="23943" xr:uid="{00000000-0005-0000-0000-0000901A0000}"/>
    <cellStyle name="Separador de milhares 2 2 4 6 4 2 2" xfId="50127" xr:uid="{00000000-0005-0000-0000-0000911A0000}"/>
    <cellStyle name="Separador de milhares 2 2 4 6 4 3" xfId="31507" xr:uid="{00000000-0005-0000-0000-0000921A0000}"/>
    <cellStyle name="Separador de milhares 2 2 4 6 5" xfId="18029" xr:uid="{00000000-0005-0000-0000-0000931A0000}"/>
    <cellStyle name="Separador de milhares 2 2 4 6 5 2" xfId="44219" xr:uid="{00000000-0005-0000-0000-0000941A0000}"/>
    <cellStyle name="Separador de milhares 2 2 4 6 6" xfId="11698" xr:uid="{00000000-0005-0000-0000-0000951A0000}"/>
    <cellStyle name="Separador de milhares 2 2 4 6 6 2" xfId="37891" xr:uid="{00000000-0005-0000-0000-0000961A0000}"/>
    <cellStyle name="Separador de milhares 2 2 4 6 7" xfId="29809" xr:uid="{00000000-0005-0000-0000-0000971A0000}"/>
    <cellStyle name="Separador de milhares 2 2 4 7" xfId="2617" xr:uid="{00000000-0005-0000-0000-0000981A0000}"/>
    <cellStyle name="Separador de milhares 2 2 4 7 2" xfId="7157" xr:uid="{00000000-0005-0000-0000-0000991A0000}"/>
    <cellStyle name="Separador de milhares 2 2 4 7 2 2" xfId="10301" xr:uid="{00000000-0005-0000-0000-00009A1A0000}"/>
    <cellStyle name="Separador de milhares 2 2 4 7 2 2 2" xfId="28515" xr:uid="{00000000-0005-0000-0000-00009B1A0000}"/>
    <cellStyle name="Separador de milhares 2 2 4 7 2 2 2 2" xfId="54696" xr:uid="{00000000-0005-0000-0000-00009C1A0000}"/>
    <cellStyle name="Separador de milhares 2 2 4 7 2 2 3" xfId="22601" xr:uid="{00000000-0005-0000-0000-00009D1A0000}"/>
    <cellStyle name="Separador de milhares 2 2 4 7 2 2 3 2" xfId="48788" xr:uid="{00000000-0005-0000-0000-00009E1A0000}"/>
    <cellStyle name="Separador de milhares 2 2 4 7 2 2 4" xfId="16687" xr:uid="{00000000-0005-0000-0000-00009F1A0000}"/>
    <cellStyle name="Separador de milhares 2 2 4 7 2 2 4 2" xfId="42880" xr:uid="{00000000-0005-0000-0000-0000A01A0000}"/>
    <cellStyle name="Separador de milhares 2 2 4 7 2 2 5" xfId="36494" xr:uid="{00000000-0005-0000-0000-0000A11A0000}"/>
    <cellStyle name="Separador de milhares 2 2 4 7 2 3" xfId="25558" xr:uid="{00000000-0005-0000-0000-0000A21A0000}"/>
    <cellStyle name="Separador de milhares 2 2 4 7 2 3 2" xfId="51742" xr:uid="{00000000-0005-0000-0000-0000A31A0000}"/>
    <cellStyle name="Separador de milhares 2 2 4 7 2 4" xfId="19644" xr:uid="{00000000-0005-0000-0000-0000A41A0000}"/>
    <cellStyle name="Separador de milhares 2 2 4 7 2 4 2" xfId="45834" xr:uid="{00000000-0005-0000-0000-0000A51A0000}"/>
    <cellStyle name="Separador de milhares 2 2 4 7 2 5" xfId="13546" xr:uid="{00000000-0005-0000-0000-0000A61A0000}"/>
    <cellStyle name="Separador de milhares 2 2 4 7 2 5 2" xfId="39739" xr:uid="{00000000-0005-0000-0000-0000A71A0000}"/>
    <cellStyle name="Separador de milhares 2 2 4 7 2 6" xfId="33353" xr:uid="{00000000-0005-0000-0000-0000A81A0000}"/>
    <cellStyle name="Separador de milhares 2 2 4 7 3" xfId="8833" xr:uid="{00000000-0005-0000-0000-0000A91A0000}"/>
    <cellStyle name="Separador de milhares 2 2 4 7 3 2" xfId="27047" xr:uid="{00000000-0005-0000-0000-0000AA1A0000}"/>
    <cellStyle name="Separador de milhares 2 2 4 7 3 2 2" xfId="53228" xr:uid="{00000000-0005-0000-0000-0000AB1A0000}"/>
    <cellStyle name="Separador de milhares 2 2 4 7 3 3" xfId="21133" xr:uid="{00000000-0005-0000-0000-0000AC1A0000}"/>
    <cellStyle name="Separador de milhares 2 2 4 7 3 3 2" xfId="47320" xr:uid="{00000000-0005-0000-0000-0000AD1A0000}"/>
    <cellStyle name="Separador de milhares 2 2 4 7 3 4" xfId="15219" xr:uid="{00000000-0005-0000-0000-0000AE1A0000}"/>
    <cellStyle name="Separador de milhares 2 2 4 7 3 4 2" xfId="41412" xr:uid="{00000000-0005-0000-0000-0000AF1A0000}"/>
    <cellStyle name="Separador de milhares 2 2 4 7 3 5" xfId="35026" xr:uid="{00000000-0005-0000-0000-0000B01A0000}"/>
    <cellStyle name="Separador de milhares 2 2 4 7 4" xfId="5458" xr:uid="{00000000-0005-0000-0000-0000B11A0000}"/>
    <cellStyle name="Separador de milhares 2 2 4 7 4 2" xfId="24090" xr:uid="{00000000-0005-0000-0000-0000B21A0000}"/>
    <cellStyle name="Separador de milhares 2 2 4 7 4 2 2" xfId="50274" xr:uid="{00000000-0005-0000-0000-0000B31A0000}"/>
    <cellStyle name="Separador de milhares 2 2 4 7 4 3" xfId="31654" xr:uid="{00000000-0005-0000-0000-0000B41A0000}"/>
    <cellStyle name="Separador de milhares 2 2 4 7 5" xfId="18176" xr:uid="{00000000-0005-0000-0000-0000B51A0000}"/>
    <cellStyle name="Separador de milhares 2 2 4 7 5 2" xfId="44366" xr:uid="{00000000-0005-0000-0000-0000B61A0000}"/>
    <cellStyle name="Separador de milhares 2 2 4 7 6" xfId="11845" xr:uid="{00000000-0005-0000-0000-0000B71A0000}"/>
    <cellStyle name="Separador de milhares 2 2 4 7 6 2" xfId="38038" xr:uid="{00000000-0005-0000-0000-0000B81A0000}"/>
    <cellStyle name="Separador de milhares 2 2 4 7 7" xfId="29956" xr:uid="{00000000-0005-0000-0000-0000B91A0000}"/>
    <cellStyle name="Separador de milhares 2 2 4 8" xfId="3144" xr:uid="{00000000-0005-0000-0000-0000BA1A0000}"/>
    <cellStyle name="Separador de milhares 2 2 4 8 2" xfId="7304" xr:uid="{00000000-0005-0000-0000-0000BB1A0000}"/>
    <cellStyle name="Separador de milhares 2 2 4 8 2 2" xfId="10448" xr:uid="{00000000-0005-0000-0000-0000BC1A0000}"/>
    <cellStyle name="Separador de milhares 2 2 4 8 2 2 2" xfId="28662" xr:uid="{00000000-0005-0000-0000-0000BD1A0000}"/>
    <cellStyle name="Separador de milhares 2 2 4 8 2 2 2 2" xfId="54843" xr:uid="{00000000-0005-0000-0000-0000BE1A0000}"/>
    <cellStyle name="Separador de milhares 2 2 4 8 2 2 3" xfId="22748" xr:uid="{00000000-0005-0000-0000-0000BF1A0000}"/>
    <cellStyle name="Separador de milhares 2 2 4 8 2 2 3 2" xfId="48935" xr:uid="{00000000-0005-0000-0000-0000C01A0000}"/>
    <cellStyle name="Separador de milhares 2 2 4 8 2 2 4" xfId="16834" xr:uid="{00000000-0005-0000-0000-0000C11A0000}"/>
    <cellStyle name="Separador de milhares 2 2 4 8 2 2 4 2" xfId="43027" xr:uid="{00000000-0005-0000-0000-0000C21A0000}"/>
    <cellStyle name="Separador de milhares 2 2 4 8 2 2 5" xfId="36641" xr:uid="{00000000-0005-0000-0000-0000C31A0000}"/>
    <cellStyle name="Separador de milhares 2 2 4 8 2 3" xfId="25705" xr:uid="{00000000-0005-0000-0000-0000C41A0000}"/>
    <cellStyle name="Separador de milhares 2 2 4 8 2 3 2" xfId="51889" xr:uid="{00000000-0005-0000-0000-0000C51A0000}"/>
    <cellStyle name="Separador de milhares 2 2 4 8 2 4" xfId="19791" xr:uid="{00000000-0005-0000-0000-0000C61A0000}"/>
    <cellStyle name="Separador de milhares 2 2 4 8 2 4 2" xfId="45981" xr:uid="{00000000-0005-0000-0000-0000C71A0000}"/>
    <cellStyle name="Separador de milhares 2 2 4 8 2 5" xfId="13693" xr:uid="{00000000-0005-0000-0000-0000C81A0000}"/>
    <cellStyle name="Separador de milhares 2 2 4 8 2 5 2" xfId="39886" xr:uid="{00000000-0005-0000-0000-0000C91A0000}"/>
    <cellStyle name="Separador de milhares 2 2 4 8 2 6" xfId="33500" xr:uid="{00000000-0005-0000-0000-0000CA1A0000}"/>
    <cellStyle name="Separador de milhares 2 2 4 8 3" xfId="8980" xr:uid="{00000000-0005-0000-0000-0000CB1A0000}"/>
    <cellStyle name="Separador de milhares 2 2 4 8 3 2" xfId="27194" xr:uid="{00000000-0005-0000-0000-0000CC1A0000}"/>
    <cellStyle name="Separador de milhares 2 2 4 8 3 2 2" xfId="53375" xr:uid="{00000000-0005-0000-0000-0000CD1A0000}"/>
    <cellStyle name="Separador de milhares 2 2 4 8 3 3" xfId="21280" xr:uid="{00000000-0005-0000-0000-0000CE1A0000}"/>
    <cellStyle name="Separador de milhares 2 2 4 8 3 3 2" xfId="47467" xr:uid="{00000000-0005-0000-0000-0000CF1A0000}"/>
    <cellStyle name="Separador de milhares 2 2 4 8 3 4" xfId="15366" xr:uid="{00000000-0005-0000-0000-0000D01A0000}"/>
    <cellStyle name="Separador de milhares 2 2 4 8 3 4 2" xfId="41559" xr:uid="{00000000-0005-0000-0000-0000D11A0000}"/>
    <cellStyle name="Separador de milhares 2 2 4 8 3 5" xfId="35173" xr:uid="{00000000-0005-0000-0000-0000D21A0000}"/>
    <cellStyle name="Separador de milhares 2 2 4 8 4" xfId="5605" xr:uid="{00000000-0005-0000-0000-0000D31A0000}"/>
    <cellStyle name="Separador de milhares 2 2 4 8 4 2" xfId="24237" xr:uid="{00000000-0005-0000-0000-0000D41A0000}"/>
    <cellStyle name="Separador de milhares 2 2 4 8 4 2 2" xfId="50421" xr:uid="{00000000-0005-0000-0000-0000D51A0000}"/>
    <cellStyle name="Separador de milhares 2 2 4 8 4 3" xfId="31801" xr:uid="{00000000-0005-0000-0000-0000D61A0000}"/>
    <cellStyle name="Separador de milhares 2 2 4 8 5" xfId="18323" xr:uid="{00000000-0005-0000-0000-0000D71A0000}"/>
    <cellStyle name="Separador de milhares 2 2 4 8 5 2" xfId="44513" xr:uid="{00000000-0005-0000-0000-0000D81A0000}"/>
    <cellStyle name="Separador de milhares 2 2 4 8 6" xfId="11992" xr:uid="{00000000-0005-0000-0000-0000D91A0000}"/>
    <cellStyle name="Separador de milhares 2 2 4 8 6 2" xfId="38185" xr:uid="{00000000-0005-0000-0000-0000DA1A0000}"/>
    <cellStyle name="Separador de milhares 2 2 4 8 7" xfId="30103" xr:uid="{00000000-0005-0000-0000-0000DB1A0000}"/>
    <cellStyle name="Separador de milhares 2 2 4 9" xfId="3671" xr:uid="{00000000-0005-0000-0000-0000DC1A0000}"/>
    <cellStyle name="Separador de milhares 2 2 4 9 2" xfId="7451" xr:uid="{00000000-0005-0000-0000-0000DD1A0000}"/>
    <cellStyle name="Separador de milhares 2 2 4 9 2 2" xfId="10595" xr:uid="{00000000-0005-0000-0000-0000DE1A0000}"/>
    <cellStyle name="Separador de milhares 2 2 4 9 2 2 2" xfId="28809" xr:uid="{00000000-0005-0000-0000-0000DF1A0000}"/>
    <cellStyle name="Separador de milhares 2 2 4 9 2 2 2 2" xfId="54990" xr:uid="{00000000-0005-0000-0000-0000E01A0000}"/>
    <cellStyle name="Separador de milhares 2 2 4 9 2 2 3" xfId="22895" xr:uid="{00000000-0005-0000-0000-0000E11A0000}"/>
    <cellStyle name="Separador de milhares 2 2 4 9 2 2 3 2" xfId="49082" xr:uid="{00000000-0005-0000-0000-0000E21A0000}"/>
    <cellStyle name="Separador de milhares 2 2 4 9 2 2 4" xfId="16981" xr:uid="{00000000-0005-0000-0000-0000E31A0000}"/>
    <cellStyle name="Separador de milhares 2 2 4 9 2 2 4 2" xfId="43174" xr:uid="{00000000-0005-0000-0000-0000E41A0000}"/>
    <cellStyle name="Separador de milhares 2 2 4 9 2 2 5" xfId="36788" xr:uid="{00000000-0005-0000-0000-0000E51A0000}"/>
    <cellStyle name="Separador de milhares 2 2 4 9 2 3" xfId="25852" xr:uid="{00000000-0005-0000-0000-0000E61A0000}"/>
    <cellStyle name="Separador de milhares 2 2 4 9 2 3 2" xfId="52036" xr:uid="{00000000-0005-0000-0000-0000E71A0000}"/>
    <cellStyle name="Separador de milhares 2 2 4 9 2 4" xfId="19938" xr:uid="{00000000-0005-0000-0000-0000E81A0000}"/>
    <cellStyle name="Separador de milhares 2 2 4 9 2 4 2" xfId="46128" xr:uid="{00000000-0005-0000-0000-0000E91A0000}"/>
    <cellStyle name="Separador de milhares 2 2 4 9 2 5" xfId="13840" xr:uid="{00000000-0005-0000-0000-0000EA1A0000}"/>
    <cellStyle name="Separador de milhares 2 2 4 9 2 5 2" xfId="40033" xr:uid="{00000000-0005-0000-0000-0000EB1A0000}"/>
    <cellStyle name="Separador de milhares 2 2 4 9 2 6" xfId="33647" xr:uid="{00000000-0005-0000-0000-0000EC1A0000}"/>
    <cellStyle name="Separador de milhares 2 2 4 9 3" xfId="9127" xr:uid="{00000000-0005-0000-0000-0000ED1A0000}"/>
    <cellStyle name="Separador de milhares 2 2 4 9 3 2" xfId="27341" xr:uid="{00000000-0005-0000-0000-0000EE1A0000}"/>
    <cellStyle name="Separador de milhares 2 2 4 9 3 2 2" xfId="53522" xr:uid="{00000000-0005-0000-0000-0000EF1A0000}"/>
    <cellStyle name="Separador de milhares 2 2 4 9 3 3" xfId="21427" xr:uid="{00000000-0005-0000-0000-0000F01A0000}"/>
    <cellStyle name="Separador de milhares 2 2 4 9 3 3 2" xfId="47614" xr:uid="{00000000-0005-0000-0000-0000F11A0000}"/>
    <cellStyle name="Separador de milhares 2 2 4 9 3 4" xfId="15513" xr:uid="{00000000-0005-0000-0000-0000F21A0000}"/>
    <cellStyle name="Separador de milhares 2 2 4 9 3 4 2" xfId="41706" xr:uid="{00000000-0005-0000-0000-0000F31A0000}"/>
    <cellStyle name="Separador de milhares 2 2 4 9 3 5" xfId="35320" xr:uid="{00000000-0005-0000-0000-0000F41A0000}"/>
    <cellStyle name="Separador de milhares 2 2 4 9 4" xfId="5752" xr:uid="{00000000-0005-0000-0000-0000F51A0000}"/>
    <cellStyle name="Separador de milhares 2 2 4 9 4 2" xfId="24384" xr:uid="{00000000-0005-0000-0000-0000F61A0000}"/>
    <cellStyle name="Separador de milhares 2 2 4 9 4 2 2" xfId="50568" xr:uid="{00000000-0005-0000-0000-0000F71A0000}"/>
    <cellStyle name="Separador de milhares 2 2 4 9 4 3" xfId="31948" xr:uid="{00000000-0005-0000-0000-0000F81A0000}"/>
    <cellStyle name="Separador de milhares 2 2 4 9 5" xfId="18470" xr:uid="{00000000-0005-0000-0000-0000F91A0000}"/>
    <cellStyle name="Separador de milhares 2 2 4 9 5 2" xfId="44660" xr:uid="{00000000-0005-0000-0000-0000FA1A0000}"/>
    <cellStyle name="Separador de milhares 2 2 4 9 6" xfId="12139" xr:uid="{00000000-0005-0000-0000-0000FB1A0000}"/>
    <cellStyle name="Separador de milhares 2 2 4 9 6 2" xfId="38332" xr:uid="{00000000-0005-0000-0000-0000FC1A0000}"/>
    <cellStyle name="Separador de milhares 2 2 4 9 7" xfId="30250" xr:uid="{00000000-0005-0000-0000-0000FD1A0000}"/>
    <cellStyle name="Separador de milhares 2 2 5" xfId="6410" xr:uid="{00000000-0005-0000-0000-0000FE1A0000}"/>
    <cellStyle name="Separador de milhares 2 2 5 2" xfId="9566" xr:uid="{00000000-0005-0000-0000-0000FF1A0000}"/>
    <cellStyle name="Separador de milhares 2 2 5 2 2" xfId="27780" xr:uid="{00000000-0005-0000-0000-0000001B0000}"/>
    <cellStyle name="Separador de milhares 2 2 5 2 2 2" xfId="53961" xr:uid="{00000000-0005-0000-0000-0000011B0000}"/>
    <cellStyle name="Separador de milhares 2 2 5 2 3" xfId="21866" xr:uid="{00000000-0005-0000-0000-0000021B0000}"/>
    <cellStyle name="Separador de milhares 2 2 5 2 3 2" xfId="48053" xr:uid="{00000000-0005-0000-0000-0000031B0000}"/>
    <cellStyle name="Separador de milhares 2 2 5 2 4" xfId="15952" xr:uid="{00000000-0005-0000-0000-0000041B0000}"/>
    <cellStyle name="Separador de milhares 2 2 5 2 4 2" xfId="42145" xr:uid="{00000000-0005-0000-0000-0000051B0000}"/>
    <cellStyle name="Separador de milhares 2 2 5 2 5" xfId="35759" xr:uid="{00000000-0005-0000-0000-0000061B0000}"/>
    <cellStyle name="Separador de milhares 2 2 5 3" xfId="24823" xr:uid="{00000000-0005-0000-0000-0000071B0000}"/>
    <cellStyle name="Separador de milhares 2 2 5 3 2" xfId="51007" xr:uid="{00000000-0005-0000-0000-0000081B0000}"/>
    <cellStyle name="Separador de milhares 2 2 5 4" xfId="18909" xr:uid="{00000000-0005-0000-0000-0000091B0000}"/>
    <cellStyle name="Separador de milhares 2 2 5 4 2" xfId="45099" xr:uid="{00000000-0005-0000-0000-00000A1B0000}"/>
    <cellStyle name="Separador de milhares 2 2 5 5" xfId="12799" xr:uid="{00000000-0005-0000-0000-00000B1B0000}"/>
    <cellStyle name="Separador de milhares 2 2 5 5 2" xfId="38992" xr:uid="{00000000-0005-0000-0000-00000C1B0000}"/>
    <cellStyle name="Separador de milhares 2 2 5 6" xfId="32606" xr:uid="{00000000-0005-0000-0000-00000D1B0000}"/>
    <cellStyle name="Separador de milhares 2 2 6" xfId="8095" xr:uid="{00000000-0005-0000-0000-00000E1B0000}"/>
    <cellStyle name="Separador de milhares 2 2 6 2" xfId="26309" xr:uid="{00000000-0005-0000-0000-00000F1B0000}"/>
    <cellStyle name="Separador de milhares 2 2 6 2 2" xfId="52493" xr:uid="{00000000-0005-0000-0000-0000101B0000}"/>
    <cellStyle name="Separador de milhares 2 2 6 3" xfId="20395" xr:uid="{00000000-0005-0000-0000-0000111B0000}"/>
    <cellStyle name="Separador de milhares 2 2 6 3 2" xfId="46585" xr:uid="{00000000-0005-0000-0000-0000121B0000}"/>
    <cellStyle name="Separador de milhares 2 2 6 4" xfId="14484" xr:uid="{00000000-0005-0000-0000-0000131B0000}"/>
    <cellStyle name="Separador de milhares 2 2 6 4 2" xfId="40677" xr:uid="{00000000-0005-0000-0000-0000141B0000}"/>
    <cellStyle name="Separador de milhares 2 2 6 5" xfId="34291" xr:uid="{00000000-0005-0000-0000-0000151B0000}"/>
    <cellStyle name="Separador de milhares 2 2 7" xfId="4708" xr:uid="{00000000-0005-0000-0000-0000161B0000}"/>
    <cellStyle name="Separador de milhares 2 2 7 2" xfId="23352" xr:uid="{00000000-0005-0000-0000-0000171B0000}"/>
    <cellStyle name="Separador de milhares 2 2 7 2 2" xfId="49539" xr:uid="{00000000-0005-0000-0000-0000181B0000}"/>
    <cellStyle name="Separador de milhares 2 2 7 3" xfId="30907" xr:uid="{00000000-0005-0000-0000-0000191B0000}"/>
    <cellStyle name="Separador de milhares 2 2 8" xfId="17438" xr:uid="{00000000-0005-0000-0000-00001A1B0000}"/>
    <cellStyle name="Separador de milhares 2 2 8 2" xfId="43631" xr:uid="{00000000-0005-0000-0000-00001B1B0000}"/>
    <cellStyle name="Separador de milhares 2 2 9" xfId="11098" xr:uid="{00000000-0005-0000-0000-00001C1B0000}"/>
    <cellStyle name="Separador de milhares 2 2 9 2" xfId="37291" xr:uid="{00000000-0005-0000-0000-00001D1B0000}"/>
    <cellStyle name="Separador de milhares 2 3" xfId="111" xr:uid="{00000000-0005-0000-0000-00001E1B0000}"/>
    <cellStyle name="Separador de milhares 2 3 2" xfId="205" xr:uid="{00000000-0005-0000-0000-00001F1B0000}"/>
    <cellStyle name="Separador de milhares 2 3 2 10" xfId="6464" xr:uid="{00000000-0005-0000-0000-0000201B0000}"/>
    <cellStyle name="Separador de milhares 2 3 2 10 2" xfId="9617" xr:uid="{00000000-0005-0000-0000-0000211B0000}"/>
    <cellStyle name="Separador de milhares 2 3 2 10 2 2" xfId="27831" xr:uid="{00000000-0005-0000-0000-0000221B0000}"/>
    <cellStyle name="Separador de milhares 2 3 2 10 2 2 2" xfId="54012" xr:uid="{00000000-0005-0000-0000-0000231B0000}"/>
    <cellStyle name="Separador de milhares 2 3 2 10 2 3" xfId="21917" xr:uid="{00000000-0005-0000-0000-0000241B0000}"/>
    <cellStyle name="Separador de milhares 2 3 2 10 2 3 2" xfId="48104" xr:uid="{00000000-0005-0000-0000-0000251B0000}"/>
    <cellStyle name="Separador de milhares 2 3 2 10 2 4" xfId="16003" xr:uid="{00000000-0005-0000-0000-0000261B0000}"/>
    <cellStyle name="Separador de milhares 2 3 2 10 2 4 2" xfId="42196" xr:uid="{00000000-0005-0000-0000-0000271B0000}"/>
    <cellStyle name="Separador de milhares 2 3 2 10 2 5" xfId="35810" xr:uid="{00000000-0005-0000-0000-0000281B0000}"/>
    <cellStyle name="Separador de milhares 2 3 2 10 3" xfId="24874" xr:uid="{00000000-0005-0000-0000-0000291B0000}"/>
    <cellStyle name="Separador de milhares 2 3 2 10 3 2" xfId="51058" xr:uid="{00000000-0005-0000-0000-00002A1B0000}"/>
    <cellStyle name="Separador de milhares 2 3 2 10 4" xfId="18960" xr:uid="{00000000-0005-0000-0000-00002B1B0000}"/>
    <cellStyle name="Separador de milhares 2 3 2 10 4 2" xfId="45150" xr:uid="{00000000-0005-0000-0000-00002C1B0000}"/>
    <cellStyle name="Separador de milhares 2 3 2 10 5" xfId="12853" xr:uid="{00000000-0005-0000-0000-00002D1B0000}"/>
    <cellStyle name="Separador de milhares 2 3 2 10 5 2" xfId="39046" xr:uid="{00000000-0005-0000-0000-00002E1B0000}"/>
    <cellStyle name="Separador de milhares 2 3 2 10 6" xfId="32660" xr:uid="{00000000-0005-0000-0000-00002F1B0000}"/>
    <cellStyle name="Separador de milhares 2 3 2 11" xfId="8146" xr:uid="{00000000-0005-0000-0000-0000301B0000}"/>
    <cellStyle name="Separador de milhares 2 3 2 11 2" xfId="26360" xr:uid="{00000000-0005-0000-0000-0000311B0000}"/>
    <cellStyle name="Separador de milhares 2 3 2 11 2 2" xfId="52544" xr:uid="{00000000-0005-0000-0000-0000321B0000}"/>
    <cellStyle name="Separador de milhares 2 3 2 11 3" xfId="20446" xr:uid="{00000000-0005-0000-0000-0000331B0000}"/>
    <cellStyle name="Separador de milhares 2 3 2 11 3 2" xfId="46636" xr:uid="{00000000-0005-0000-0000-0000341B0000}"/>
    <cellStyle name="Separador de milhares 2 3 2 11 4" xfId="14535" xr:uid="{00000000-0005-0000-0000-0000351B0000}"/>
    <cellStyle name="Separador de milhares 2 3 2 11 4 2" xfId="40728" xr:uid="{00000000-0005-0000-0000-0000361B0000}"/>
    <cellStyle name="Separador de milhares 2 3 2 11 5" xfId="34342" xr:uid="{00000000-0005-0000-0000-0000371B0000}"/>
    <cellStyle name="Separador de milhares 2 3 2 12" xfId="4763" xr:uid="{00000000-0005-0000-0000-0000381B0000}"/>
    <cellStyle name="Separador de milhares 2 3 2 12 2" xfId="23403" xr:uid="{00000000-0005-0000-0000-0000391B0000}"/>
    <cellStyle name="Separador de milhares 2 3 2 12 2 2" xfId="49590" xr:uid="{00000000-0005-0000-0000-00003A1B0000}"/>
    <cellStyle name="Separador de milhares 2 3 2 12 3" xfId="30961" xr:uid="{00000000-0005-0000-0000-00003B1B0000}"/>
    <cellStyle name="Separador de milhares 2 3 2 13" xfId="17489" xr:uid="{00000000-0005-0000-0000-00003C1B0000}"/>
    <cellStyle name="Separador de milhares 2 3 2 13 2" xfId="43682" xr:uid="{00000000-0005-0000-0000-00003D1B0000}"/>
    <cellStyle name="Separador de milhares 2 3 2 14" xfId="11152" xr:uid="{00000000-0005-0000-0000-00003E1B0000}"/>
    <cellStyle name="Separador de milhares 2 3 2 14 2" xfId="37345" xr:uid="{00000000-0005-0000-0000-00003F1B0000}"/>
    <cellStyle name="Separador de milhares 2 3 2 15" xfId="29264" xr:uid="{00000000-0005-0000-0000-0000401B0000}"/>
    <cellStyle name="Separador de milhares 2 3 2 2" xfId="662" xr:uid="{00000000-0005-0000-0000-0000411B0000}"/>
    <cellStyle name="Separador de milhares 2 3 2 2 10" xfId="17619" xr:uid="{00000000-0005-0000-0000-0000421B0000}"/>
    <cellStyle name="Separador de milhares 2 3 2 2 10 2" xfId="43809" xr:uid="{00000000-0005-0000-0000-0000431B0000}"/>
    <cellStyle name="Separador de milhares 2 3 2 2 11" xfId="11285" xr:uid="{00000000-0005-0000-0000-0000441B0000}"/>
    <cellStyle name="Separador de milhares 2 3 2 2 11 2" xfId="37478" xr:uid="{00000000-0005-0000-0000-0000451B0000}"/>
    <cellStyle name="Separador de milhares 2 3 2 2 12" xfId="29396" xr:uid="{00000000-0005-0000-0000-0000461B0000}"/>
    <cellStyle name="Separador de milhares 2 3 2 2 2" xfId="1997" xr:uid="{00000000-0005-0000-0000-0000471B0000}"/>
    <cellStyle name="Separador de milhares 2 3 2 2 2 2" xfId="6983" xr:uid="{00000000-0005-0000-0000-0000481B0000}"/>
    <cellStyle name="Separador de milhares 2 3 2 2 2 2 2" xfId="10129" xr:uid="{00000000-0005-0000-0000-0000491B0000}"/>
    <cellStyle name="Separador de milhares 2 3 2 2 2 2 2 2" xfId="28343" xr:uid="{00000000-0005-0000-0000-00004A1B0000}"/>
    <cellStyle name="Separador de milhares 2 3 2 2 2 2 2 2 2" xfId="54524" xr:uid="{00000000-0005-0000-0000-00004B1B0000}"/>
    <cellStyle name="Separador de milhares 2 3 2 2 2 2 2 3" xfId="22429" xr:uid="{00000000-0005-0000-0000-00004C1B0000}"/>
    <cellStyle name="Separador de milhares 2 3 2 2 2 2 2 3 2" xfId="48616" xr:uid="{00000000-0005-0000-0000-00004D1B0000}"/>
    <cellStyle name="Separador de milhares 2 3 2 2 2 2 2 4" xfId="16515" xr:uid="{00000000-0005-0000-0000-00004E1B0000}"/>
    <cellStyle name="Separador de milhares 2 3 2 2 2 2 2 4 2" xfId="42708" xr:uid="{00000000-0005-0000-0000-00004F1B0000}"/>
    <cellStyle name="Separador de milhares 2 3 2 2 2 2 2 5" xfId="36322" xr:uid="{00000000-0005-0000-0000-0000501B0000}"/>
    <cellStyle name="Separador de milhares 2 3 2 2 2 2 3" xfId="25386" xr:uid="{00000000-0005-0000-0000-0000511B0000}"/>
    <cellStyle name="Separador de milhares 2 3 2 2 2 2 3 2" xfId="51570" xr:uid="{00000000-0005-0000-0000-0000521B0000}"/>
    <cellStyle name="Separador de milhares 2 3 2 2 2 2 4" xfId="19472" xr:uid="{00000000-0005-0000-0000-0000531B0000}"/>
    <cellStyle name="Separador de milhares 2 3 2 2 2 2 4 2" xfId="45662" xr:uid="{00000000-0005-0000-0000-0000541B0000}"/>
    <cellStyle name="Separador de milhares 2 3 2 2 2 2 5" xfId="13372" xr:uid="{00000000-0005-0000-0000-0000551B0000}"/>
    <cellStyle name="Separador de milhares 2 3 2 2 2 2 5 2" xfId="39565" xr:uid="{00000000-0005-0000-0000-0000561B0000}"/>
    <cellStyle name="Separador de milhares 2 3 2 2 2 2 6" xfId="33179" xr:uid="{00000000-0005-0000-0000-0000571B0000}"/>
    <cellStyle name="Separador de milhares 2 3 2 2 2 3" xfId="8661" xr:uid="{00000000-0005-0000-0000-0000581B0000}"/>
    <cellStyle name="Separador de milhares 2 3 2 2 2 3 2" xfId="26875" xr:uid="{00000000-0005-0000-0000-0000591B0000}"/>
    <cellStyle name="Separador de milhares 2 3 2 2 2 3 2 2" xfId="53056" xr:uid="{00000000-0005-0000-0000-00005A1B0000}"/>
    <cellStyle name="Separador de milhares 2 3 2 2 2 3 3" xfId="20961" xr:uid="{00000000-0005-0000-0000-00005B1B0000}"/>
    <cellStyle name="Separador de milhares 2 3 2 2 2 3 3 2" xfId="47148" xr:uid="{00000000-0005-0000-0000-00005C1B0000}"/>
    <cellStyle name="Separador de milhares 2 3 2 2 2 3 4" xfId="15047" xr:uid="{00000000-0005-0000-0000-00005D1B0000}"/>
    <cellStyle name="Separador de milhares 2 3 2 2 2 3 4 2" xfId="41240" xr:uid="{00000000-0005-0000-0000-00005E1B0000}"/>
    <cellStyle name="Separador de milhares 2 3 2 2 2 3 5" xfId="34854" xr:uid="{00000000-0005-0000-0000-00005F1B0000}"/>
    <cellStyle name="Separador de milhares 2 3 2 2 2 4" xfId="5284" xr:uid="{00000000-0005-0000-0000-0000601B0000}"/>
    <cellStyle name="Separador de milhares 2 3 2 2 2 4 2" xfId="23918" xr:uid="{00000000-0005-0000-0000-0000611B0000}"/>
    <cellStyle name="Separador de milhares 2 3 2 2 2 4 2 2" xfId="50102" xr:uid="{00000000-0005-0000-0000-0000621B0000}"/>
    <cellStyle name="Separador de milhares 2 3 2 2 2 4 3" xfId="31480" xr:uid="{00000000-0005-0000-0000-0000631B0000}"/>
    <cellStyle name="Separador de milhares 2 3 2 2 2 5" xfId="18004" xr:uid="{00000000-0005-0000-0000-0000641B0000}"/>
    <cellStyle name="Separador de milhares 2 3 2 2 2 5 2" xfId="44194" xr:uid="{00000000-0005-0000-0000-0000651B0000}"/>
    <cellStyle name="Separador de milhares 2 3 2 2 2 6" xfId="11671" xr:uid="{00000000-0005-0000-0000-0000661B0000}"/>
    <cellStyle name="Separador de milhares 2 3 2 2 2 6 2" xfId="37864" xr:uid="{00000000-0005-0000-0000-0000671B0000}"/>
    <cellStyle name="Separador de milhares 2 3 2 2 2 7" xfId="29782" xr:uid="{00000000-0005-0000-0000-0000681B0000}"/>
    <cellStyle name="Separador de milhares 2 3 2 2 3" xfId="2526" xr:uid="{00000000-0005-0000-0000-0000691B0000}"/>
    <cellStyle name="Separador de milhares 2 3 2 2 3 2" xfId="7132" xr:uid="{00000000-0005-0000-0000-00006A1B0000}"/>
    <cellStyle name="Separador de milhares 2 3 2 2 3 2 2" xfId="10276" xr:uid="{00000000-0005-0000-0000-00006B1B0000}"/>
    <cellStyle name="Separador de milhares 2 3 2 2 3 2 2 2" xfId="28490" xr:uid="{00000000-0005-0000-0000-00006C1B0000}"/>
    <cellStyle name="Separador de milhares 2 3 2 2 3 2 2 2 2" xfId="54671" xr:uid="{00000000-0005-0000-0000-00006D1B0000}"/>
    <cellStyle name="Separador de milhares 2 3 2 2 3 2 2 3" xfId="22576" xr:uid="{00000000-0005-0000-0000-00006E1B0000}"/>
    <cellStyle name="Separador de milhares 2 3 2 2 3 2 2 3 2" xfId="48763" xr:uid="{00000000-0005-0000-0000-00006F1B0000}"/>
    <cellStyle name="Separador de milhares 2 3 2 2 3 2 2 4" xfId="16662" xr:uid="{00000000-0005-0000-0000-0000701B0000}"/>
    <cellStyle name="Separador de milhares 2 3 2 2 3 2 2 4 2" xfId="42855" xr:uid="{00000000-0005-0000-0000-0000711B0000}"/>
    <cellStyle name="Separador de milhares 2 3 2 2 3 2 2 5" xfId="36469" xr:uid="{00000000-0005-0000-0000-0000721B0000}"/>
    <cellStyle name="Separador de milhares 2 3 2 2 3 2 3" xfId="25533" xr:uid="{00000000-0005-0000-0000-0000731B0000}"/>
    <cellStyle name="Separador de milhares 2 3 2 2 3 2 3 2" xfId="51717" xr:uid="{00000000-0005-0000-0000-0000741B0000}"/>
    <cellStyle name="Separador de milhares 2 3 2 2 3 2 4" xfId="19619" xr:uid="{00000000-0005-0000-0000-0000751B0000}"/>
    <cellStyle name="Separador de milhares 2 3 2 2 3 2 4 2" xfId="45809" xr:uid="{00000000-0005-0000-0000-0000761B0000}"/>
    <cellStyle name="Separador de milhares 2 3 2 2 3 2 5" xfId="13521" xr:uid="{00000000-0005-0000-0000-0000771B0000}"/>
    <cellStyle name="Separador de milhares 2 3 2 2 3 2 5 2" xfId="39714" xr:uid="{00000000-0005-0000-0000-0000781B0000}"/>
    <cellStyle name="Separador de milhares 2 3 2 2 3 2 6" xfId="33328" xr:uid="{00000000-0005-0000-0000-0000791B0000}"/>
    <cellStyle name="Separador de milhares 2 3 2 2 3 3" xfId="8808" xr:uid="{00000000-0005-0000-0000-00007A1B0000}"/>
    <cellStyle name="Separador de milhares 2 3 2 2 3 3 2" xfId="27022" xr:uid="{00000000-0005-0000-0000-00007B1B0000}"/>
    <cellStyle name="Separador de milhares 2 3 2 2 3 3 2 2" xfId="53203" xr:uid="{00000000-0005-0000-0000-00007C1B0000}"/>
    <cellStyle name="Separador de milhares 2 3 2 2 3 3 3" xfId="21108" xr:uid="{00000000-0005-0000-0000-00007D1B0000}"/>
    <cellStyle name="Separador de milhares 2 3 2 2 3 3 3 2" xfId="47295" xr:uid="{00000000-0005-0000-0000-00007E1B0000}"/>
    <cellStyle name="Separador de milhares 2 3 2 2 3 3 4" xfId="15194" xr:uid="{00000000-0005-0000-0000-00007F1B0000}"/>
    <cellStyle name="Separador de milhares 2 3 2 2 3 3 4 2" xfId="41387" xr:uid="{00000000-0005-0000-0000-0000801B0000}"/>
    <cellStyle name="Separador de milhares 2 3 2 2 3 3 5" xfId="35001" xr:uid="{00000000-0005-0000-0000-0000811B0000}"/>
    <cellStyle name="Separador de milhares 2 3 2 2 3 4" xfId="5433" xr:uid="{00000000-0005-0000-0000-0000821B0000}"/>
    <cellStyle name="Separador de milhares 2 3 2 2 3 4 2" xfId="24065" xr:uid="{00000000-0005-0000-0000-0000831B0000}"/>
    <cellStyle name="Separador de milhares 2 3 2 2 3 4 2 2" xfId="50249" xr:uid="{00000000-0005-0000-0000-0000841B0000}"/>
    <cellStyle name="Separador de milhares 2 3 2 2 3 4 3" xfId="31629" xr:uid="{00000000-0005-0000-0000-0000851B0000}"/>
    <cellStyle name="Separador de milhares 2 3 2 2 3 5" xfId="18151" xr:uid="{00000000-0005-0000-0000-0000861B0000}"/>
    <cellStyle name="Separador de milhares 2 3 2 2 3 5 2" xfId="44341" xr:uid="{00000000-0005-0000-0000-0000871B0000}"/>
    <cellStyle name="Separador de milhares 2 3 2 2 3 6" xfId="11820" xr:uid="{00000000-0005-0000-0000-0000881B0000}"/>
    <cellStyle name="Separador de milhares 2 3 2 2 3 6 2" xfId="38013" xr:uid="{00000000-0005-0000-0000-0000891B0000}"/>
    <cellStyle name="Separador de milhares 2 3 2 2 3 7" xfId="29931" xr:uid="{00000000-0005-0000-0000-00008A1B0000}"/>
    <cellStyle name="Separador de milhares 2 3 2 2 4" xfId="3053" xr:uid="{00000000-0005-0000-0000-00008B1B0000}"/>
    <cellStyle name="Separador de milhares 2 3 2 2 4 2" xfId="7279" xr:uid="{00000000-0005-0000-0000-00008C1B0000}"/>
    <cellStyle name="Separador de milhares 2 3 2 2 4 2 2" xfId="10423" xr:uid="{00000000-0005-0000-0000-00008D1B0000}"/>
    <cellStyle name="Separador de milhares 2 3 2 2 4 2 2 2" xfId="28637" xr:uid="{00000000-0005-0000-0000-00008E1B0000}"/>
    <cellStyle name="Separador de milhares 2 3 2 2 4 2 2 2 2" xfId="54818" xr:uid="{00000000-0005-0000-0000-00008F1B0000}"/>
    <cellStyle name="Separador de milhares 2 3 2 2 4 2 2 3" xfId="22723" xr:uid="{00000000-0005-0000-0000-0000901B0000}"/>
    <cellStyle name="Separador de milhares 2 3 2 2 4 2 2 3 2" xfId="48910" xr:uid="{00000000-0005-0000-0000-0000911B0000}"/>
    <cellStyle name="Separador de milhares 2 3 2 2 4 2 2 4" xfId="16809" xr:uid="{00000000-0005-0000-0000-0000921B0000}"/>
    <cellStyle name="Separador de milhares 2 3 2 2 4 2 2 4 2" xfId="43002" xr:uid="{00000000-0005-0000-0000-0000931B0000}"/>
    <cellStyle name="Separador de milhares 2 3 2 2 4 2 2 5" xfId="36616" xr:uid="{00000000-0005-0000-0000-0000941B0000}"/>
    <cellStyle name="Separador de milhares 2 3 2 2 4 2 3" xfId="25680" xr:uid="{00000000-0005-0000-0000-0000951B0000}"/>
    <cellStyle name="Separador de milhares 2 3 2 2 4 2 3 2" xfId="51864" xr:uid="{00000000-0005-0000-0000-0000961B0000}"/>
    <cellStyle name="Separador de milhares 2 3 2 2 4 2 4" xfId="19766" xr:uid="{00000000-0005-0000-0000-0000971B0000}"/>
    <cellStyle name="Separador de milhares 2 3 2 2 4 2 4 2" xfId="45956" xr:uid="{00000000-0005-0000-0000-0000981B0000}"/>
    <cellStyle name="Separador de milhares 2 3 2 2 4 2 5" xfId="13668" xr:uid="{00000000-0005-0000-0000-0000991B0000}"/>
    <cellStyle name="Separador de milhares 2 3 2 2 4 2 5 2" xfId="39861" xr:uid="{00000000-0005-0000-0000-00009A1B0000}"/>
    <cellStyle name="Separador de milhares 2 3 2 2 4 2 6" xfId="33475" xr:uid="{00000000-0005-0000-0000-00009B1B0000}"/>
    <cellStyle name="Separador de milhares 2 3 2 2 4 3" xfId="8955" xr:uid="{00000000-0005-0000-0000-00009C1B0000}"/>
    <cellStyle name="Separador de milhares 2 3 2 2 4 3 2" xfId="27169" xr:uid="{00000000-0005-0000-0000-00009D1B0000}"/>
    <cellStyle name="Separador de milhares 2 3 2 2 4 3 2 2" xfId="53350" xr:uid="{00000000-0005-0000-0000-00009E1B0000}"/>
    <cellStyle name="Separador de milhares 2 3 2 2 4 3 3" xfId="21255" xr:uid="{00000000-0005-0000-0000-00009F1B0000}"/>
    <cellStyle name="Separador de milhares 2 3 2 2 4 3 3 2" xfId="47442" xr:uid="{00000000-0005-0000-0000-0000A01B0000}"/>
    <cellStyle name="Separador de milhares 2 3 2 2 4 3 4" xfId="15341" xr:uid="{00000000-0005-0000-0000-0000A11B0000}"/>
    <cellStyle name="Separador de milhares 2 3 2 2 4 3 4 2" xfId="41534" xr:uid="{00000000-0005-0000-0000-0000A21B0000}"/>
    <cellStyle name="Separador de milhares 2 3 2 2 4 3 5" xfId="35148" xr:uid="{00000000-0005-0000-0000-0000A31B0000}"/>
    <cellStyle name="Separador de milhares 2 3 2 2 4 4" xfId="5580" xr:uid="{00000000-0005-0000-0000-0000A41B0000}"/>
    <cellStyle name="Separador de milhares 2 3 2 2 4 4 2" xfId="24212" xr:uid="{00000000-0005-0000-0000-0000A51B0000}"/>
    <cellStyle name="Separador de milhares 2 3 2 2 4 4 2 2" xfId="50396" xr:uid="{00000000-0005-0000-0000-0000A61B0000}"/>
    <cellStyle name="Separador de milhares 2 3 2 2 4 4 3" xfId="31776" xr:uid="{00000000-0005-0000-0000-0000A71B0000}"/>
    <cellStyle name="Separador de milhares 2 3 2 2 4 5" xfId="18298" xr:uid="{00000000-0005-0000-0000-0000A81B0000}"/>
    <cellStyle name="Separador de milhares 2 3 2 2 4 5 2" xfId="44488" xr:uid="{00000000-0005-0000-0000-0000A91B0000}"/>
    <cellStyle name="Separador de milhares 2 3 2 2 4 6" xfId="11967" xr:uid="{00000000-0005-0000-0000-0000AA1B0000}"/>
    <cellStyle name="Separador de milhares 2 3 2 2 4 6 2" xfId="38160" xr:uid="{00000000-0005-0000-0000-0000AB1B0000}"/>
    <cellStyle name="Separador de milhares 2 3 2 2 4 7" xfId="30078" xr:uid="{00000000-0005-0000-0000-0000AC1B0000}"/>
    <cellStyle name="Separador de milhares 2 3 2 2 5" xfId="3580" xr:uid="{00000000-0005-0000-0000-0000AD1B0000}"/>
    <cellStyle name="Separador de milhares 2 3 2 2 5 2" xfId="7426" xr:uid="{00000000-0005-0000-0000-0000AE1B0000}"/>
    <cellStyle name="Separador de milhares 2 3 2 2 5 2 2" xfId="10570" xr:uid="{00000000-0005-0000-0000-0000AF1B0000}"/>
    <cellStyle name="Separador de milhares 2 3 2 2 5 2 2 2" xfId="28784" xr:uid="{00000000-0005-0000-0000-0000B01B0000}"/>
    <cellStyle name="Separador de milhares 2 3 2 2 5 2 2 2 2" xfId="54965" xr:uid="{00000000-0005-0000-0000-0000B11B0000}"/>
    <cellStyle name="Separador de milhares 2 3 2 2 5 2 2 3" xfId="22870" xr:uid="{00000000-0005-0000-0000-0000B21B0000}"/>
    <cellStyle name="Separador de milhares 2 3 2 2 5 2 2 3 2" xfId="49057" xr:uid="{00000000-0005-0000-0000-0000B31B0000}"/>
    <cellStyle name="Separador de milhares 2 3 2 2 5 2 2 4" xfId="16956" xr:uid="{00000000-0005-0000-0000-0000B41B0000}"/>
    <cellStyle name="Separador de milhares 2 3 2 2 5 2 2 4 2" xfId="43149" xr:uid="{00000000-0005-0000-0000-0000B51B0000}"/>
    <cellStyle name="Separador de milhares 2 3 2 2 5 2 2 5" xfId="36763" xr:uid="{00000000-0005-0000-0000-0000B61B0000}"/>
    <cellStyle name="Separador de milhares 2 3 2 2 5 2 3" xfId="25827" xr:uid="{00000000-0005-0000-0000-0000B71B0000}"/>
    <cellStyle name="Separador de milhares 2 3 2 2 5 2 3 2" xfId="52011" xr:uid="{00000000-0005-0000-0000-0000B81B0000}"/>
    <cellStyle name="Separador de milhares 2 3 2 2 5 2 4" xfId="19913" xr:uid="{00000000-0005-0000-0000-0000B91B0000}"/>
    <cellStyle name="Separador de milhares 2 3 2 2 5 2 4 2" xfId="46103" xr:uid="{00000000-0005-0000-0000-0000BA1B0000}"/>
    <cellStyle name="Separador de milhares 2 3 2 2 5 2 5" xfId="13815" xr:uid="{00000000-0005-0000-0000-0000BB1B0000}"/>
    <cellStyle name="Separador de milhares 2 3 2 2 5 2 5 2" xfId="40008" xr:uid="{00000000-0005-0000-0000-0000BC1B0000}"/>
    <cellStyle name="Separador de milhares 2 3 2 2 5 2 6" xfId="33622" xr:uid="{00000000-0005-0000-0000-0000BD1B0000}"/>
    <cellStyle name="Separador de milhares 2 3 2 2 5 3" xfId="9102" xr:uid="{00000000-0005-0000-0000-0000BE1B0000}"/>
    <cellStyle name="Separador de milhares 2 3 2 2 5 3 2" xfId="27316" xr:uid="{00000000-0005-0000-0000-0000BF1B0000}"/>
    <cellStyle name="Separador de milhares 2 3 2 2 5 3 2 2" xfId="53497" xr:uid="{00000000-0005-0000-0000-0000C01B0000}"/>
    <cellStyle name="Separador de milhares 2 3 2 2 5 3 3" xfId="21402" xr:uid="{00000000-0005-0000-0000-0000C11B0000}"/>
    <cellStyle name="Separador de milhares 2 3 2 2 5 3 3 2" xfId="47589" xr:uid="{00000000-0005-0000-0000-0000C21B0000}"/>
    <cellStyle name="Separador de milhares 2 3 2 2 5 3 4" xfId="15488" xr:uid="{00000000-0005-0000-0000-0000C31B0000}"/>
    <cellStyle name="Separador de milhares 2 3 2 2 5 3 4 2" xfId="41681" xr:uid="{00000000-0005-0000-0000-0000C41B0000}"/>
    <cellStyle name="Separador de milhares 2 3 2 2 5 3 5" xfId="35295" xr:uid="{00000000-0005-0000-0000-0000C51B0000}"/>
    <cellStyle name="Separador de milhares 2 3 2 2 5 4" xfId="5727" xr:uid="{00000000-0005-0000-0000-0000C61B0000}"/>
    <cellStyle name="Separador de milhares 2 3 2 2 5 4 2" xfId="24359" xr:uid="{00000000-0005-0000-0000-0000C71B0000}"/>
    <cellStyle name="Separador de milhares 2 3 2 2 5 4 2 2" xfId="50543" xr:uid="{00000000-0005-0000-0000-0000C81B0000}"/>
    <cellStyle name="Separador de milhares 2 3 2 2 5 4 3" xfId="31923" xr:uid="{00000000-0005-0000-0000-0000C91B0000}"/>
    <cellStyle name="Separador de milhares 2 3 2 2 5 5" xfId="18445" xr:uid="{00000000-0005-0000-0000-0000CA1B0000}"/>
    <cellStyle name="Separador de milhares 2 3 2 2 5 5 2" xfId="44635" xr:uid="{00000000-0005-0000-0000-0000CB1B0000}"/>
    <cellStyle name="Separador de milhares 2 3 2 2 5 6" xfId="12114" xr:uid="{00000000-0005-0000-0000-0000CC1B0000}"/>
    <cellStyle name="Separador de milhares 2 3 2 2 5 6 2" xfId="38307" xr:uid="{00000000-0005-0000-0000-0000CD1B0000}"/>
    <cellStyle name="Separador de milhares 2 3 2 2 5 7" xfId="30225" xr:uid="{00000000-0005-0000-0000-0000CE1B0000}"/>
    <cellStyle name="Separador de milhares 2 3 2 2 6" xfId="4107" xr:uid="{00000000-0005-0000-0000-0000CF1B0000}"/>
    <cellStyle name="Separador de milhares 2 3 2 2 6 2" xfId="7573" xr:uid="{00000000-0005-0000-0000-0000D01B0000}"/>
    <cellStyle name="Separador de milhares 2 3 2 2 6 2 2" xfId="10717" xr:uid="{00000000-0005-0000-0000-0000D11B0000}"/>
    <cellStyle name="Separador de milhares 2 3 2 2 6 2 2 2" xfId="28931" xr:uid="{00000000-0005-0000-0000-0000D21B0000}"/>
    <cellStyle name="Separador de milhares 2 3 2 2 6 2 2 2 2" xfId="55112" xr:uid="{00000000-0005-0000-0000-0000D31B0000}"/>
    <cellStyle name="Separador de milhares 2 3 2 2 6 2 2 3" xfId="23017" xr:uid="{00000000-0005-0000-0000-0000D41B0000}"/>
    <cellStyle name="Separador de milhares 2 3 2 2 6 2 2 3 2" xfId="49204" xr:uid="{00000000-0005-0000-0000-0000D51B0000}"/>
    <cellStyle name="Separador de milhares 2 3 2 2 6 2 2 4" xfId="17103" xr:uid="{00000000-0005-0000-0000-0000D61B0000}"/>
    <cellStyle name="Separador de milhares 2 3 2 2 6 2 2 4 2" xfId="43296" xr:uid="{00000000-0005-0000-0000-0000D71B0000}"/>
    <cellStyle name="Separador de milhares 2 3 2 2 6 2 2 5" xfId="36910" xr:uid="{00000000-0005-0000-0000-0000D81B0000}"/>
    <cellStyle name="Separador de milhares 2 3 2 2 6 2 3" xfId="25974" xr:uid="{00000000-0005-0000-0000-0000D91B0000}"/>
    <cellStyle name="Separador de milhares 2 3 2 2 6 2 3 2" xfId="52158" xr:uid="{00000000-0005-0000-0000-0000DA1B0000}"/>
    <cellStyle name="Separador de milhares 2 3 2 2 6 2 4" xfId="20060" xr:uid="{00000000-0005-0000-0000-0000DB1B0000}"/>
    <cellStyle name="Separador de milhares 2 3 2 2 6 2 4 2" xfId="46250" xr:uid="{00000000-0005-0000-0000-0000DC1B0000}"/>
    <cellStyle name="Separador de milhares 2 3 2 2 6 2 5" xfId="13962" xr:uid="{00000000-0005-0000-0000-0000DD1B0000}"/>
    <cellStyle name="Separador de milhares 2 3 2 2 6 2 5 2" xfId="40155" xr:uid="{00000000-0005-0000-0000-0000DE1B0000}"/>
    <cellStyle name="Separador de milhares 2 3 2 2 6 2 6" xfId="33769" xr:uid="{00000000-0005-0000-0000-0000DF1B0000}"/>
    <cellStyle name="Separador de milhares 2 3 2 2 6 3" xfId="9249" xr:uid="{00000000-0005-0000-0000-0000E01B0000}"/>
    <cellStyle name="Separador de milhares 2 3 2 2 6 3 2" xfId="27463" xr:uid="{00000000-0005-0000-0000-0000E11B0000}"/>
    <cellStyle name="Separador de milhares 2 3 2 2 6 3 2 2" xfId="53644" xr:uid="{00000000-0005-0000-0000-0000E21B0000}"/>
    <cellStyle name="Separador de milhares 2 3 2 2 6 3 3" xfId="21549" xr:uid="{00000000-0005-0000-0000-0000E31B0000}"/>
    <cellStyle name="Separador de milhares 2 3 2 2 6 3 3 2" xfId="47736" xr:uid="{00000000-0005-0000-0000-0000E41B0000}"/>
    <cellStyle name="Separador de milhares 2 3 2 2 6 3 4" xfId="15635" xr:uid="{00000000-0005-0000-0000-0000E51B0000}"/>
    <cellStyle name="Separador de milhares 2 3 2 2 6 3 4 2" xfId="41828" xr:uid="{00000000-0005-0000-0000-0000E61B0000}"/>
    <cellStyle name="Separador de milhares 2 3 2 2 6 3 5" xfId="35442" xr:uid="{00000000-0005-0000-0000-0000E71B0000}"/>
    <cellStyle name="Separador de milhares 2 3 2 2 6 4" xfId="5874" xr:uid="{00000000-0005-0000-0000-0000E81B0000}"/>
    <cellStyle name="Separador de milhares 2 3 2 2 6 4 2" xfId="24506" xr:uid="{00000000-0005-0000-0000-0000E91B0000}"/>
    <cellStyle name="Separador de milhares 2 3 2 2 6 4 2 2" xfId="50690" xr:uid="{00000000-0005-0000-0000-0000EA1B0000}"/>
    <cellStyle name="Separador de milhares 2 3 2 2 6 4 3" xfId="32070" xr:uid="{00000000-0005-0000-0000-0000EB1B0000}"/>
    <cellStyle name="Separador de milhares 2 3 2 2 6 5" xfId="18592" xr:uid="{00000000-0005-0000-0000-0000EC1B0000}"/>
    <cellStyle name="Separador de milhares 2 3 2 2 6 5 2" xfId="44782" xr:uid="{00000000-0005-0000-0000-0000ED1B0000}"/>
    <cellStyle name="Separador de milhares 2 3 2 2 6 6" xfId="12261" xr:uid="{00000000-0005-0000-0000-0000EE1B0000}"/>
    <cellStyle name="Separador de milhares 2 3 2 2 6 6 2" xfId="38454" xr:uid="{00000000-0005-0000-0000-0000EF1B0000}"/>
    <cellStyle name="Separador de milhares 2 3 2 2 6 7" xfId="30372" xr:uid="{00000000-0005-0000-0000-0000F01B0000}"/>
    <cellStyle name="Separador de milhares 2 3 2 2 7" xfId="6597" xr:uid="{00000000-0005-0000-0000-0000F11B0000}"/>
    <cellStyle name="Separador de milhares 2 3 2 2 7 2" xfId="9744" xr:uid="{00000000-0005-0000-0000-0000F21B0000}"/>
    <cellStyle name="Separador de milhares 2 3 2 2 7 2 2" xfId="27958" xr:uid="{00000000-0005-0000-0000-0000F31B0000}"/>
    <cellStyle name="Separador de milhares 2 3 2 2 7 2 2 2" xfId="54139" xr:uid="{00000000-0005-0000-0000-0000F41B0000}"/>
    <cellStyle name="Separador de milhares 2 3 2 2 7 2 3" xfId="22044" xr:uid="{00000000-0005-0000-0000-0000F51B0000}"/>
    <cellStyle name="Separador de milhares 2 3 2 2 7 2 3 2" xfId="48231" xr:uid="{00000000-0005-0000-0000-0000F61B0000}"/>
    <cellStyle name="Separador de milhares 2 3 2 2 7 2 4" xfId="16130" xr:uid="{00000000-0005-0000-0000-0000F71B0000}"/>
    <cellStyle name="Separador de milhares 2 3 2 2 7 2 4 2" xfId="42323" xr:uid="{00000000-0005-0000-0000-0000F81B0000}"/>
    <cellStyle name="Separador de milhares 2 3 2 2 7 2 5" xfId="35937" xr:uid="{00000000-0005-0000-0000-0000F91B0000}"/>
    <cellStyle name="Separador de milhares 2 3 2 2 7 3" xfId="25001" xr:uid="{00000000-0005-0000-0000-0000FA1B0000}"/>
    <cellStyle name="Separador de milhares 2 3 2 2 7 3 2" xfId="51185" xr:uid="{00000000-0005-0000-0000-0000FB1B0000}"/>
    <cellStyle name="Separador de milhares 2 3 2 2 7 4" xfId="19087" xr:uid="{00000000-0005-0000-0000-0000FC1B0000}"/>
    <cellStyle name="Separador de milhares 2 3 2 2 7 4 2" xfId="45277" xr:uid="{00000000-0005-0000-0000-0000FD1B0000}"/>
    <cellStyle name="Separador de milhares 2 3 2 2 7 5" xfId="12986" xr:uid="{00000000-0005-0000-0000-0000FE1B0000}"/>
    <cellStyle name="Separador de milhares 2 3 2 2 7 5 2" xfId="39179" xr:uid="{00000000-0005-0000-0000-0000FF1B0000}"/>
    <cellStyle name="Separador de milhares 2 3 2 2 7 6" xfId="32793" xr:uid="{00000000-0005-0000-0000-0000001C0000}"/>
    <cellStyle name="Separador de milhares 2 3 2 2 8" xfId="8276" xr:uid="{00000000-0005-0000-0000-0000011C0000}"/>
    <cellStyle name="Separador de milhares 2 3 2 2 8 2" xfId="26490" xr:uid="{00000000-0005-0000-0000-0000021C0000}"/>
    <cellStyle name="Separador de milhares 2 3 2 2 8 2 2" xfId="52671" xr:uid="{00000000-0005-0000-0000-0000031C0000}"/>
    <cellStyle name="Separador de milhares 2 3 2 2 8 3" xfId="20576" xr:uid="{00000000-0005-0000-0000-0000041C0000}"/>
    <cellStyle name="Separador de milhares 2 3 2 2 8 3 2" xfId="46763" xr:uid="{00000000-0005-0000-0000-0000051C0000}"/>
    <cellStyle name="Separador de milhares 2 3 2 2 8 4" xfId="14662" xr:uid="{00000000-0005-0000-0000-0000061C0000}"/>
    <cellStyle name="Separador de milhares 2 3 2 2 8 4 2" xfId="40855" xr:uid="{00000000-0005-0000-0000-0000071C0000}"/>
    <cellStyle name="Separador de milhares 2 3 2 2 8 5" xfId="34469" xr:uid="{00000000-0005-0000-0000-0000081C0000}"/>
    <cellStyle name="Separador de milhares 2 3 2 2 9" xfId="4898" xr:uid="{00000000-0005-0000-0000-0000091C0000}"/>
    <cellStyle name="Separador de milhares 2 3 2 2 9 2" xfId="23533" xr:uid="{00000000-0005-0000-0000-00000A1C0000}"/>
    <cellStyle name="Separador de milhares 2 3 2 2 9 2 2" xfId="49717" xr:uid="{00000000-0005-0000-0000-00000B1C0000}"/>
    <cellStyle name="Separador de milhares 2 3 2 2 9 3" xfId="31094" xr:uid="{00000000-0005-0000-0000-00000C1C0000}"/>
    <cellStyle name="Separador de milhares 2 3 2 3" xfId="950" xr:uid="{00000000-0005-0000-0000-00000D1C0000}"/>
    <cellStyle name="Separador de milhares 2 3 2 3 2" xfId="6695" xr:uid="{00000000-0005-0000-0000-00000E1C0000}"/>
    <cellStyle name="Separador de milhares 2 3 2 3 2 2" xfId="9842" xr:uid="{00000000-0005-0000-0000-00000F1C0000}"/>
    <cellStyle name="Separador de milhares 2 3 2 3 2 2 2" xfId="28056" xr:uid="{00000000-0005-0000-0000-0000101C0000}"/>
    <cellStyle name="Separador de milhares 2 3 2 3 2 2 2 2" xfId="54237" xr:uid="{00000000-0005-0000-0000-0000111C0000}"/>
    <cellStyle name="Separador de milhares 2 3 2 3 2 2 3" xfId="22142" xr:uid="{00000000-0005-0000-0000-0000121C0000}"/>
    <cellStyle name="Separador de milhares 2 3 2 3 2 2 3 2" xfId="48329" xr:uid="{00000000-0005-0000-0000-0000131C0000}"/>
    <cellStyle name="Separador de milhares 2 3 2 3 2 2 4" xfId="16228" xr:uid="{00000000-0005-0000-0000-0000141C0000}"/>
    <cellStyle name="Separador de milhares 2 3 2 3 2 2 4 2" xfId="42421" xr:uid="{00000000-0005-0000-0000-0000151C0000}"/>
    <cellStyle name="Separador de milhares 2 3 2 3 2 2 5" xfId="36035" xr:uid="{00000000-0005-0000-0000-0000161C0000}"/>
    <cellStyle name="Separador de milhares 2 3 2 3 2 3" xfId="25099" xr:uid="{00000000-0005-0000-0000-0000171C0000}"/>
    <cellStyle name="Separador de milhares 2 3 2 3 2 3 2" xfId="51283" xr:uid="{00000000-0005-0000-0000-0000181C0000}"/>
    <cellStyle name="Separador de milhares 2 3 2 3 2 4" xfId="19185" xr:uid="{00000000-0005-0000-0000-0000191C0000}"/>
    <cellStyle name="Separador de milhares 2 3 2 3 2 4 2" xfId="45375" xr:uid="{00000000-0005-0000-0000-00001A1C0000}"/>
    <cellStyle name="Separador de milhares 2 3 2 3 2 5" xfId="13084" xr:uid="{00000000-0005-0000-0000-00001B1C0000}"/>
    <cellStyle name="Separador de milhares 2 3 2 3 2 5 2" xfId="39277" xr:uid="{00000000-0005-0000-0000-00001C1C0000}"/>
    <cellStyle name="Separador de milhares 2 3 2 3 2 6" xfId="32891" xr:uid="{00000000-0005-0000-0000-00001D1C0000}"/>
    <cellStyle name="Separador de milhares 2 3 2 3 3" xfId="8374" xr:uid="{00000000-0005-0000-0000-00001E1C0000}"/>
    <cellStyle name="Separador de milhares 2 3 2 3 3 2" xfId="26588" xr:uid="{00000000-0005-0000-0000-00001F1C0000}"/>
    <cellStyle name="Separador de milhares 2 3 2 3 3 2 2" xfId="52769" xr:uid="{00000000-0005-0000-0000-0000201C0000}"/>
    <cellStyle name="Separador de milhares 2 3 2 3 3 3" xfId="20674" xr:uid="{00000000-0005-0000-0000-0000211C0000}"/>
    <cellStyle name="Separador de milhares 2 3 2 3 3 3 2" xfId="46861" xr:uid="{00000000-0005-0000-0000-0000221C0000}"/>
    <cellStyle name="Separador de milhares 2 3 2 3 3 4" xfId="14760" xr:uid="{00000000-0005-0000-0000-0000231C0000}"/>
    <cellStyle name="Separador de milhares 2 3 2 3 3 4 2" xfId="40953" xr:uid="{00000000-0005-0000-0000-0000241C0000}"/>
    <cellStyle name="Separador de milhares 2 3 2 3 3 5" xfId="34567" xr:uid="{00000000-0005-0000-0000-0000251C0000}"/>
    <cellStyle name="Separador de milhares 2 3 2 3 4" xfId="4996" xr:uid="{00000000-0005-0000-0000-0000261C0000}"/>
    <cellStyle name="Separador de milhares 2 3 2 3 4 2" xfId="23631" xr:uid="{00000000-0005-0000-0000-0000271C0000}"/>
    <cellStyle name="Separador de milhares 2 3 2 3 4 2 2" xfId="49815" xr:uid="{00000000-0005-0000-0000-0000281C0000}"/>
    <cellStyle name="Separador de milhares 2 3 2 3 4 3" xfId="31192" xr:uid="{00000000-0005-0000-0000-0000291C0000}"/>
    <cellStyle name="Separador de milhares 2 3 2 3 5" xfId="17717" xr:uid="{00000000-0005-0000-0000-00002A1C0000}"/>
    <cellStyle name="Separador de milhares 2 3 2 3 5 2" xfId="43907" xr:uid="{00000000-0005-0000-0000-00002B1C0000}"/>
    <cellStyle name="Separador de milhares 2 3 2 3 6" xfId="11383" xr:uid="{00000000-0005-0000-0000-00002C1C0000}"/>
    <cellStyle name="Separador de milhares 2 3 2 3 6 2" xfId="37576" xr:uid="{00000000-0005-0000-0000-00002D1C0000}"/>
    <cellStyle name="Separador de milhares 2 3 2 3 7" xfId="29494" xr:uid="{00000000-0005-0000-0000-00002E1C0000}"/>
    <cellStyle name="Separador de milhares 2 3 2 4" xfId="1301" xr:uid="{00000000-0005-0000-0000-00002F1C0000}"/>
    <cellStyle name="Separador de milhares 2 3 2 4 2" xfId="6793" xr:uid="{00000000-0005-0000-0000-0000301C0000}"/>
    <cellStyle name="Separador de milhares 2 3 2 4 2 2" xfId="9940" xr:uid="{00000000-0005-0000-0000-0000311C0000}"/>
    <cellStyle name="Separador de milhares 2 3 2 4 2 2 2" xfId="28154" xr:uid="{00000000-0005-0000-0000-0000321C0000}"/>
    <cellStyle name="Separador de milhares 2 3 2 4 2 2 2 2" xfId="54335" xr:uid="{00000000-0005-0000-0000-0000331C0000}"/>
    <cellStyle name="Separador de milhares 2 3 2 4 2 2 3" xfId="22240" xr:uid="{00000000-0005-0000-0000-0000341C0000}"/>
    <cellStyle name="Separador de milhares 2 3 2 4 2 2 3 2" xfId="48427" xr:uid="{00000000-0005-0000-0000-0000351C0000}"/>
    <cellStyle name="Separador de milhares 2 3 2 4 2 2 4" xfId="16326" xr:uid="{00000000-0005-0000-0000-0000361C0000}"/>
    <cellStyle name="Separador de milhares 2 3 2 4 2 2 4 2" xfId="42519" xr:uid="{00000000-0005-0000-0000-0000371C0000}"/>
    <cellStyle name="Separador de milhares 2 3 2 4 2 2 5" xfId="36133" xr:uid="{00000000-0005-0000-0000-0000381C0000}"/>
    <cellStyle name="Separador de milhares 2 3 2 4 2 3" xfId="25197" xr:uid="{00000000-0005-0000-0000-0000391C0000}"/>
    <cellStyle name="Separador de milhares 2 3 2 4 2 3 2" xfId="51381" xr:uid="{00000000-0005-0000-0000-00003A1C0000}"/>
    <cellStyle name="Separador de milhares 2 3 2 4 2 4" xfId="19283" xr:uid="{00000000-0005-0000-0000-00003B1C0000}"/>
    <cellStyle name="Separador de milhares 2 3 2 4 2 4 2" xfId="45473" xr:uid="{00000000-0005-0000-0000-00003C1C0000}"/>
    <cellStyle name="Separador de milhares 2 3 2 4 2 5" xfId="13182" xr:uid="{00000000-0005-0000-0000-00003D1C0000}"/>
    <cellStyle name="Separador de milhares 2 3 2 4 2 5 2" xfId="39375" xr:uid="{00000000-0005-0000-0000-00003E1C0000}"/>
    <cellStyle name="Separador de milhares 2 3 2 4 2 6" xfId="32989" xr:uid="{00000000-0005-0000-0000-00003F1C0000}"/>
    <cellStyle name="Separador de milhares 2 3 2 4 3" xfId="8472" xr:uid="{00000000-0005-0000-0000-0000401C0000}"/>
    <cellStyle name="Separador de milhares 2 3 2 4 3 2" xfId="26686" xr:uid="{00000000-0005-0000-0000-0000411C0000}"/>
    <cellStyle name="Separador de milhares 2 3 2 4 3 2 2" xfId="52867" xr:uid="{00000000-0005-0000-0000-0000421C0000}"/>
    <cellStyle name="Separador de milhares 2 3 2 4 3 3" xfId="20772" xr:uid="{00000000-0005-0000-0000-0000431C0000}"/>
    <cellStyle name="Separador de milhares 2 3 2 4 3 3 2" xfId="46959" xr:uid="{00000000-0005-0000-0000-0000441C0000}"/>
    <cellStyle name="Separador de milhares 2 3 2 4 3 4" xfId="14858" xr:uid="{00000000-0005-0000-0000-0000451C0000}"/>
    <cellStyle name="Separador de milhares 2 3 2 4 3 4 2" xfId="41051" xr:uid="{00000000-0005-0000-0000-0000461C0000}"/>
    <cellStyle name="Separador de milhares 2 3 2 4 3 5" xfId="34665" xr:uid="{00000000-0005-0000-0000-0000471C0000}"/>
    <cellStyle name="Separador de milhares 2 3 2 4 4" xfId="5094" xr:uid="{00000000-0005-0000-0000-0000481C0000}"/>
    <cellStyle name="Separador de milhares 2 3 2 4 4 2" xfId="23729" xr:uid="{00000000-0005-0000-0000-0000491C0000}"/>
    <cellStyle name="Separador de milhares 2 3 2 4 4 2 2" xfId="49913" xr:uid="{00000000-0005-0000-0000-00004A1C0000}"/>
    <cellStyle name="Separador de milhares 2 3 2 4 4 3" xfId="31290" xr:uid="{00000000-0005-0000-0000-00004B1C0000}"/>
    <cellStyle name="Separador de milhares 2 3 2 4 5" xfId="17815" xr:uid="{00000000-0005-0000-0000-00004C1C0000}"/>
    <cellStyle name="Separador de milhares 2 3 2 4 5 2" xfId="44005" xr:uid="{00000000-0005-0000-0000-00004D1C0000}"/>
    <cellStyle name="Separador de milhares 2 3 2 4 6" xfId="11481" xr:uid="{00000000-0005-0000-0000-00004E1C0000}"/>
    <cellStyle name="Separador de milhares 2 3 2 4 6 2" xfId="37674" xr:uid="{00000000-0005-0000-0000-00004F1C0000}"/>
    <cellStyle name="Separador de milhares 2 3 2 4 7" xfId="29592" xr:uid="{00000000-0005-0000-0000-0000501C0000}"/>
    <cellStyle name="Separador de milhares 2 3 2 5" xfId="1736" xr:uid="{00000000-0005-0000-0000-0000511C0000}"/>
    <cellStyle name="Separador de milhares 2 3 2 5 2" xfId="6912" xr:uid="{00000000-0005-0000-0000-0000521C0000}"/>
    <cellStyle name="Separador de milhares 2 3 2 5 2 2" xfId="10059" xr:uid="{00000000-0005-0000-0000-0000531C0000}"/>
    <cellStyle name="Separador de milhares 2 3 2 5 2 2 2" xfId="28273" xr:uid="{00000000-0005-0000-0000-0000541C0000}"/>
    <cellStyle name="Separador de milhares 2 3 2 5 2 2 2 2" xfId="54454" xr:uid="{00000000-0005-0000-0000-0000551C0000}"/>
    <cellStyle name="Separador de milhares 2 3 2 5 2 2 3" xfId="22359" xr:uid="{00000000-0005-0000-0000-0000561C0000}"/>
    <cellStyle name="Separador de milhares 2 3 2 5 2 2 3 2" xfId="48546" xr:uid="{00000000-0005-0000-0000-0000571C0000}"/>
    <cellStyle name="Separador de milhares 2 3 2 5 2 2 4" xfId="16445" xr:uid="{00000000-0005-0000-0000-0000581C0000}"/>
    <cellStyle name="Separador de milhares 2 3 2 5 2 2 4 2" xfId="42638" xr:uid="{00000000-0005-0000-0000-0000591C0000}"/>
    <cellStyle name="Separador de milhares 2 3 2 5 2 2 5" xfId="36252" xr:uid="{00000000-0005-0000-0000-00005A1C0000}"/>
    <cellStyle name="Separador de milhares 2 3 2 5 2 3" xfId="25316" xr:uid="{00000000-0005-0000-0000-00005B1C0000}"/>
    <cellStyle name="Separador de milhares 2 3 2 5 2 3 2" xfId="51500" xr:uid="{00000000-0005-0000-0000-00005C1C0000}"/>
    <cellStyle name="Separador de milhares 2 3 2 5 2 4" xfId="19402" xr:uid="{00000000-0005-0000-0000-00005D1C0000}"/>
    <cellStyle name="Separador de milhares 2 3 2 5 2 4 2" xfId="45592" xr:uid="{00000000-0005-0000-0000-00005E1C0000}"/>
    <cellStyle name="Separador de milhares 2 3 2 5 2 5" xfId="13301" xr:uid="{00000000-0005-0000-0000-00005F1C0000}"/>
    <cellStyle name="Separador de milhares 2 3 2 5 2 5 2" xfId="39494" xr:uid="{00000000-0005-0000-0000-0000601C0000}"/>
    <cellStyle name="Separador de milhares 2 3 2 5 2 6" xfId="33108" xr:uid="{00000000-0005-0000-0000-0000611C0000}"/>
    <cellStyle name="Separador de milhares 2 3 2 5 3" xfId="8591" xr:uid="{00000000-0005-0000-0000-0000621C0000}"/>
    <cellStyle name="Separador de milhares 2 3 2 5 3 2" xfId="26805" xr:uid="{00000000-0005-0000-0000-0000631C0000}"/>
    <cellStyle name="Separador de milhares 2 3 2 5 3 2 2" xfId="52986" xr:uid="{00000000-0005-0000-0000-0000641C0000}"/>
    <cellStyle name="Separador de milhares 2 3 2 5 3 3" xfId="20891" xr:uid="{00000000-0005-0000-0000-0000651C0000}"/>
    <cellStyle name="Separador de milhares 2 3 2 5 3 3 2" xfId="47078" xr:uid="{00000000-0005-0000-0000-0000661C0000}"/>
    <cellStyle name="Separador de milhares 2 3 2 5 3 4" xfId="14977" xr:uid="{00000000-0005-0000-0000-0000671C0000}"/>
    <cellStyle name="Separador de milhares 2 3 2 5 3 4 2" xfId="41170" xr:uid="{00000000-0005-0000-0000-0000681C0000}"/>
    <cellStyle name="Separador de milhares 2 3 2 5 3 5" xfId="34784" xr:uid="{00000000-0005-0000-0000-0000691C0000}"/>
    <cellStyle name="Separador de milhares 2 3 2 5 4" xfId="5213" xr:uid="{00000000-0005-0000-0000-00006A1C0000}"/>
    <cellStyle name="Separador de milhares 2 3 2 5 4 2" xfId="23848" xr:uid="{00000000-0005-0000-0000-00006B1C0000}"/>
    <cellStyle name="Separador de milhares 2 3 2 5 4 2 2" xfId="50032" xr:uid="{00000000-0005-0000-0000-00006C1C0000}"/>
    <cellStyle name="Separador de milhares 2 3 2 5 4 3" xfId="31409" xr:uid="{00000000-0005-0000-0000-00006D1C0000}"/>
    <cellStyle name="Separador de milhares 2 3 2 5 5" xfId="17934" xr:uid="{00000000-0005-0000-0000-00006E1C0000}"/>
    <cellStyle name="Separador de milhares 2 3 2 5 5 2" xfId="44124" xr:uid="{00000000-0005-0000-0000-00006F1C0000}"/>
    <cellStyle name="Separador de milhares 2 3 2 5 6" xfId="11600" xr:uid="{00000000-0005-0000-0000-0000701C0000}"/>
    <cellStyle name="Separador de milhares 2 3 2 5 6 2" xfId="37793" xr:uid="{00000000-0005-0000-0000-0000711C0000}"/>
    <cellStyle name="Separador de milhares 2 3 2 5 7" xfId="29711" xr:uid="{00000000-0005-0000-0000-0000721C0000}"/>
    <cellStyle name="Separador de milhares 2 3 2 6" xfId="2266" xr:uid="{00000000-0005-0000-0000-0000731C0000}"/>
    <cellStyle name="Separador de milhares 2 3 2 6 2" xfId="7062" xr:uid="{00000000-0005-0000-0000-0000741C0000}"/>
    <cellStyle name="Separador de milhares 2 3 2 6 2 2" xfId="10206" xr:uid="{00000000-0005-0000-0000-0000751C0000}"/>
    <cellStyle name="Separador de milhares 2 3 2 6 2 2 2" xfId="28420" xr:uid="{00000000-0005-0000-0000-0000761C0000}"/>
    <cellStyle name="Separador de milhares 2 3 2 6 2 2 2 2" xfId="54601" xr:uid="{00000000-0005-0000-0000-0000771C0000}"/>
    <cellStyle name="Separador de milhares 2 3 2 6 2 2 3" xfId="22506" xr:uid="{00000000-0005-0000-0000-0000781C0000}"/>
    <cellStyle name="Separador de milhares 2 3 2 6 2 2 3 2" xfId="48693" xr:uid="{00000000-0005-0000-0000-0000791C0000}"/>
    <cellStyle name="Separador de milhares 2 3 2 6 2 2 4" xfId="16592" xr:uid="{00000000-0005-0000-0000-00007A1C0000}"/>
    <cellStyle name="Separador de milhares 2 3 2 6 2 2 4 2" xfId="42785" xr:uid="{00000000-0005-0000-0000-00007B1C0000}"/>
    <cellStyle name="Separador de milhares 2 3 2 6 2 2 5" xfId="36399" xr:uid="{00000000-0005-0000-0000-00007C1C0000}"/>
    <cellStyle name="Separador de milhares 2 3 2 6 2 3" xfId="25463" xr:uid="{00000000-0005-0000-0000-00007D1C0000}"/>
    <cellStyle name="Separador de milhares 2 3 2 6 2 3 2" xfId="51647" xr:uid="{00000000-0005-0000-0000-00007E1C0000}"/>
    <cellStyle name="Separador de milhares 2 3 2 6 2 4" xfId="19549" xr:uid="{00000000-0005-0000-0000-00007F1C0000}"/>
    <cellStyle name="Separador de milhares 2 3 2 6 2 4 2" xfId="45739" xr:uid="{00000000-0005-0000-0000-0000801C0000}"/>
    <cellStyle name="Separador de milhares 2 3 2 6 2 5" xfId="13451" xr:uid="{00000000-0005-0000-0000-0000811C0000}"/>
    <cellStyle name="Separador de milhares 2 3 2 6 2 5 2" xfId="39644" xr:uid="{00000000-0005-0000-0000-0000821C0000}"/>
    <cellStyle name="Separador de milhares 2 3 2 6 2 6" xfId="33258" xr:uid="{00000000-0005-0000-0000-0000831C0000}"/>
    <cellStyle name="Separador de milhares 2 3 2 6 3" xfId="8738" xr:uid="{00000000-0005-0000-0000-0000841C0000}"/>
    <cellStyle name="Separador de milhares 2 3 2 6 3 2" xfId="26952" xr:uid="{00000000-0005-0000-0000-0000851C0000}"/>
    <cellStyle name="Separador de milhares 2 3 2 6 3 2 2" xfId="53133" xr:uid="{00000000-0005-0000-0000-0000861C0000}"/>
    <cellStyle name="Separador de milhares 2 3 2 6 3 3" xfId="21038" xr:uid="{00000000-0005-0000-0000-0000871C0000}"/>
    <cellStyle name="Separador de milhares 2 3 2 6 3 3 2" xfId="47225" xr:uid="{00000000-0005-0000-0000-0000881C0000}"/>
    <cellStyle name="Separador de milhares 2 3 2 6 3 4" xfId="15124" xr:uid="{00000000-0005-0000-0000-0000891C0000}"/>
    <cellStyle name="Separador de milhares 2 3 2 6 3 4 2" xfId="41317" xr:uid="{00000000-0005-0000-0000-00008A1C0000}"/>
    <cellStyle name="Separador de milhares 2 3 2 6 3 5" xfId="34931" xr:uid="{00000000-0005-0000-0000-00008B1C0000}"/>
    <cellStyle name="Separador de milhares 2 3 2 6 4" xfId="5363" xr:uid="{00000000-0005-0000-0000-00008C1C0000}"/>
    <cellStyle name="Separador de milhares 2 3 2 6 4 2" xfId="23995" xr:uid="{00000000-0005-0000-0000-00008D1C0000}"/>
    <cellStyle name="Separador de milhares 2 3 2 6 4 2 2" xfId="50179" xr:uid="{00000000-0005-0000-0000-00008E1C0000}"/>
    <cellStyle name="Separador de milhares 2 3 2 6 4 3" xfId="31559" xr:uid="{00000000-0005-0000-0000-00008F1C0000}"/>
    <cellStyle name="Separador de milhares 2 3 2 6 5" xfId="18081" xr:uid="{00000000-0005-0000-0000-0000901C0000}"/>
    <cellStyle name="Separador de milhares 2 3 2 6 5 2" xfId="44271" xr:uid="{00000000-0005-0000-0000-0000911C0000}"/>
    <cellStyle name="Separador de milhares 2 3 2 6 6" xfId="11750" xr:uid="{00000000-0005-0000-0000-0000921C0000}"/>
    <cellStyle name="Separador de milhares 2 3 2 6 6 2" xfId="37943" xr:uid="{00000000-0005-0000-0000-0000931C0000}"/>
    <cellStyle name="Separador de milhares 2 3 2 6 7" xfId="29861" xr:uid="{00000000-0005-0000-0000-0000941C0000}"/>
    <cellStyle name="Separador de milhares 2 3 2 7" xfId="2793" xr:uid="{00000000-0005-0000-0000-0000951C0000}"/>
    <cellStyle name="Separador de milhares 2 3 2 7 2" xfId="7209" xr:uid="{00000000-0005-0000-0000-0000961C0000}"/>
    <cellStyle name="Separador de milhares 2 3 2 7 2 2" xfId="10353" xr:uid="{00000000-0005-0000-0000-0000971C0000}"/>
    <cellStyle name="Separador de milhares 2 3 2 7 2 2 2" xfId="28567" xr:uid="{00000000-0005-0000-0000-0000981C0000}"/>
    <cellStyle name="Separador de milhares 2 3 2 7 2 2 2 2" xfId="54748" xr:uid="{00000000-0005-0000-0000-0000991C0000}"/>
    <cellStyle name="Separador de milhares 2 3 2 7 2 2 3" xfId="22653" xr:uid="{00000000-0005-0000-0000-00009A1C0000}"/>
    <cellStyle name="Separador de milhares 2 3 2 7 2 2 3 2" xfId="48840" xr:uid="{00000000-0005-0000-0000-00009B1C0000}"/>
    <cellStyle name="Separador de milhares 2 3 2 7 2 2 4" xfId="16739" xr:uid="{00000000-0005-0000-0000-00009C1C0000}"/>
    <cellStyle name="Separador de milhares 2 3 2 7 2 2 4 2" xfId="42932" xr:uid="{00000000-0005-0000-0000-00009D1C0000}"/>
    <cellStyle name="Separador de milhares 2 3 2 7 2 2 5" xfId="36546" xr:uid="{00000000-0005-0000-0000-00009E1C0000}"/>
    <cellStyle name="Separador de milhares 2 3 2 7 2 3" xfId="25610" xr:uid="{00000000-0005-0000-0000-00009F1C0000}"/>
    <cellStyle name="Separador de milhares 2 3 2 7 2 3 2" xfId="51794" xr:uid="{00000000-0005-0000-0000-0000A01C0000}"/>
    <cellStyle name="Separador de milhares 2 3 2 7 2 4" xfId="19696" xr:uid="{00000000-0005-0000-0000-0000A11C0000}"/>
    <cellStyle name="Separador de milhares 2 3 2 7 2 4 2" xfId="45886" xr:uid="{00000000-0005-0000-0000-0000A21C0000}"/>
    <cellStyle name="Separador de milhares 2 3 2 7 2 5" xfId="13598" xr:uid="{00000000-0005-0000-0000-0000A31C0000}"/>
    <cellStyle name="Separador de milhares 2 3 2 7 2 5 2" xfId="39791" xr:uid="{00000000-0005-0000-0000-0000A41C0000}"/>
    <cellStyle name="Separador de milhares 2 3 2 7 2 6" xfId="33405" xr:uid="{00000000-0005-0000-0000-0000A51C0000}"/>
    <cellStyle name="Separador de milhares 2 3 2 7 3" xfId="8885" xr:uid="{00000000-0005-0000-0000-0000A61C0000}"/>
    <cellStyle name="Separador de milhares 2 3 2 7 3 2" xfId="27099" xr:uid="{00000000-0005-0000-0000-0000A71C0000}"/>
    <cellStyle name="Separador de milhares 2 3 2 7 3 2 2" xfId="53280" xr:uid="{00000000-0005-0000-0000-0000A81C0000}"/>
    <cellStyle name="Separador de milhares 2 3 2 7 3 3" xfId="21185" xr:uid="{00000000-0005-0000-0000-0000A91C0000}"/>
    <cellStyle name="Separador de milhares 2 3 2 7 3 3 2" xfId="47372" xr:uid="{00000000-0005-0000-0000-0000AA1C0000}"/>
    <cellStyle name="Separador de milhares 2 3 2 7 3 4" xfId="15271" xr:uid="{00000000-0005-0000-0000-0000AB1C0000}"/>
    <cellStyle name="Separador de milhares 2 3 2 7 3 4 2" xfId="41464" xr:uid="{00000000-0005-0000-0000-0000AC1C0000}"/>
    <cellStyle name="Separador de milhares 2 3 2 7 3 5" xfId="35078" xr:uid="{00000000-0005-0000-0000-0000AD1C0000}"/>
    <cellStyle name="Separador de milhares 2 3 2 7 4" xfId="5510" xr:uid="{00000000-0005-0000-0000-0000AE1C0000}"/>
    <cellStyle name="Separador de milhares 2 3 2 7 4 2" xfId="24142" xr:uid="{00000000-0005-0000-0000-0000AF1C0000}"/>
    <cellStyle name="Separador de milhares 2 3 2 7 4 2 2" xfId="50326" xr:uid="{00000000-0005-0000-0000-0000B01C0000}"/>
    <cellStyle name="Separador de milhares 2 3 2 7 4 3" xfId="31706" xr:uid="{00000000-0005-0000-0000-0000B11C0000}"/>
    <cellStyle name="Separador de milhares 2 3 2 7 5" xfId="18228" xr:uid="{00000000-0005-0000-0000-0000B21C0000}"/>
    <cellStyle name="Separador de milhares 2 3 2 7 5 2" xfId="44418" xr:uid="{00000000-0005-0000-0000-0000B31C0000}"/>
    <cellStyle name="Separador de milhares 2 3 2 7 6" xfId="11897" xr:uid="{00000000-0005-0000-0000-0000B41C0000}"/>
    <cellStyle name="Separador de milhares 2 3 2 7 6 2" xfId="38090" xr:uid="{00000000-0005-0000-0000-0000B51C0000}"/>
    <cellStyle name="Separador de milhares 2 3 2 7 7" xfId="30008" xr:uid="{00000000-0005-0000-0000-0000B61C0000}"/>
    <cellStyle name="Separador de milhares 2 3 2 8" xfId="3320" xr:uid="{00000000-0005-0000-0000-0000B71C0000}"/>
    <cellStyle name="Separador de milhares 2 3 2 8 2" xfId="7356" xr:uid="{00000000-0005-0000-0000-0000B81C0000}"/>
    <cellStyle name="Separador de milhares 2 3 2 8 2 2" xfId="10500" xr:uid="{00000000-0005-0000-0000-0000B91C0000}"/>
    <cellStyle name="Separador de milhares 2 3 2 8 2 2 2" xfId="28714" xr:uid="{00000000-0005-0000-0000-0000BA1C0000}"/>
    <cellStyle name="Separador de milhares 2 3 2 8 2 2 2 2" xfId="54895" xr:uid="{00000000-0005-0000-0000-0000BB1C0000}"/>
    <cellStyle name="Separador de milhares 2 3 2 8 2 2 3" xfId="22800" xr:uid="{00000000-0005-0000-0000-0000BC1C0000}"/>
    <cellStyle name="Separador de milhares 2 3 2 8 2 2 3 2" xfId="48987" xr:uid="{00000000-0005-0000-0000-0000BD1C0000}"/>
    <cellStyle name="Separador de milhares 2 3 2 8 2 2 4" xfId="16886" xr:uid="{00000000-0005-0000-0000-0000BE1C0000}"/>
    <cellStyle name="Separador de milhares 2 3 2 8 2 2 4 2" xfId="43079" xr:uid="{00000000-0005-0000-0000-0000BF1C0000}"/>
    <cellStyle name="Separador de milhares 2 3 2 8 2 2 5" xfId="36693" xr:uid="{00000000-0005-0000-0000-0000C01C0000}"/>
    <cellStyle name="Separador de milhares 2 3 2 8 2 3" xfId="25757" xr:uid="{00000000-0005-0000-0000-0000C11C0000}"/>
    <cellStyle name="Separador de milhares 2 3 2 8 2 3 2" xfId="51941" xr:uid="{00000000-0005-0000-0000-0000C21C0000}"/>
    <cellStyle name="Separador de milhares 2 3 2 8 2 4" xfId="19843" xr:uid="{00000000-0005-0000-0000-0000C31C0000}"/>
    <cellStyle name="Separador de milhares 2 3 2 8 2 4 2" xfId="46033" xr:uid="{00000000-0005-0000-0000-0000C41C0000}"/>
    <cellStyle name="Separador de milhares 2 3 2 8 2 5" xfId="13745" xr:uid="{00000000-0005-0000-0000-0000C51C0000}"/>
    <cellStyle name="Separador de milhares 2 3 2 8 2 5 2" xfId="39938" xr:uid="{00000000-0005-0000-0000-0000C61C0000}"/>
    <cellStyle name="Separador de milhares 2 3 2 8 2 6" xfId="33552" xr:uid="{00000000-0005-0000-0000-0000C71C0000}"/>
    <cellStyle name="Separador de milhares 2 3 2 8 3" xfId="9032" xr:uid="{00000000-0005-0000-0000-0000C81C0000}"/>
    <cellStyle name="Separador de milhares 2 3 2 8 3 2" xfId="27246" xr:uid="{00000000-0005-0000-0000-0000C91C0000}"/>
    <cellStyle name="Separador de milhares 2 3 2 8 3 2 2" xfId="53427" xr:uid="{00000000-0005-0000-0000-0000CA1C0000}"/>
    <cellStyle name="Separador de milhares 2 3 2 8 3 3" xfId="21332" xr:uid="{00000000-0005-0000-0000-0000CB1C0000}"/>
    <cellStyle name="Separador de milhares 2 3 2 8 3 3 2" xfId="47519" xr:uid="{00000000-0005-0000-0000-0000CC1C0000}"/>
    <cellStyle name="Separador de milhares 2 3 2 8 3 4" xfId="15418" xr:uid="{00000000-0005-0000-0000-0000CD1C0000}"/>
    <cellStyle name="Separador de milhares 2 3 2 8 3 4 2" xfId="41611" xr:uid="{00000000-0005-0000-0000-0000CE1C0000}"/>
    <cellStyle name="Separador de milhares 2 3 2 8 3 5" xfId="35225" xr:uid="{00000000-0005-0000-0000-0000CF1C0000}"/>
    <cellStyle name="Separador de milhares 2 3 2 8 4" xfId="5657" xr:uid="{00000000-0005-0000-0000-0000D01C0000}"/>
    <cellStyle name="Separador de milhares 2 3 2 8 4 2" xfId="24289" xr:uid="{00000000-0005-0000-0000-0000D11C0000}"/>
    <cellStyle name="Separador de milhares 2 3 2 8 4 2 2" xfId="50473" xr:uid="{00000000-0005-0000-0000-0000D21C0000}"/>
    <cellStyle name="Separador de milhares 2 3 2 8 4 3" xfId="31853" xr:uid="{00000000-0005-0000-0000-0000D31C0000}"/>
    <cellStyle name="Separador de milhares 2 3 2 8 5" xfId="18375" xr:uid="{00000000-0005-0000-0000-0000D41C0000}"/>
    <cellStyle name="Separador de milhares 2 3 2 8 5 2" xfId="44565" xr:uid="{00000000-0005-0000-0000-0000D51C0000}"/>
    <cellStyle name="Separador de milhares 2 3 2 8 6" xfId="12044" xr:uid="{00000000-0005-0000-0000-0000D61C0000}"/>
    <cellStyle name="Separador de milhares 2 3 2 8 6 2" xfId="38237" xr:uid="{00000000-0005-0000-0000-0000D71C0000}"/>
    <cellStyle name="Separador de milhares 2 3 2 8 7" xfId="30155" xr:uid="{00000000-0005-0000-0000-0000D81C0000}"/>
    <cellStyle name="Separador de milhares 2 3 2 9" xfId="3847" xr:uid="{00000000-0005-0000-0000-0000D91C0000}"/>
    <cellStyle name="Separador de milhares 2 3 2 9 2" xfId="7503" xr:uid="{00000000-0005-0000-0000-0000DA1C0000}"/>
    <cellStyle name="Separador de milhares 2 3 2 9 2 2" xfId="10647" xr:uid="{00000000-0005-0000-0000-0000DB1C0000}"/>
    <cellStyle name="Separador de milhares 2 3 2 9 2 2 2" xfId="28861" xr:uid="{00000000-0005-0000-0000-0000DC1C0000}"/>
    <cellStyle name="Separador de milhares 2 3 2 9 2 2 2 2" xfId="55042" xr:uid="{00000000-0005-0000-0000-0000DD1C0000}"/>
    <cellStyle name="Separador de milhares 2 3 2 9 2 2 3" xfId="22947" xr:uid="{00000000-0005-0000-0000-0000DE1C0000}"/>
    <cellStyle name="Separador de milhares 2 3 2 9 2 2 3 2" xfId="49134" xr:uid="{00000000-0005-0000-0000-0000DF1C0000}"/>
    <cellStyle name="Separador de milhares 2 3 2 9 2 2 4" xfId="17033" xr:uid="{00000000-0005-0000-0000-0000E01C0000}"/>
    <cellStyle name="Separador de milhares 2 3 2 9 2 2 4 2" xfId="43226" xr:uid="{00000000-0005-0000-0000-0000E11C0000}"/>
    <cellStyle name="Separador de milhares 2 3 2 9 2 2 5" xfId="36840" xr:uid="{00000000-0005-0000-0000-0000E21C0000}"/>
    <cellStyle name="Separador de milhares 2 3 2 9 2 3" xfId="25904" xr:uid="{00000000-0005-0000-0000-0000E31C0000}"/>
    <cellStyle name="Separador de milhares 2 3 2 9 2 3 2" xfId="52088" xr:uid="{00000000-0005-0000-0000-0000E41C0000}"/>
    <cellStyle name="Separador de milhares 2 3 2 9 2 4" xfId="19990" xr:uid="{00000000-0005-0000-0000-0000E51C0000}"/>
    <cellStyle name="Separador de milhares 2 3 2 9 2 4 2" xfId="46180" xr:uid="{00000000-0005-0000-0000-0000E61C0000}"/>
    <cellStyle name="Separador de milhares 2 3 2 9 2 5" xfId="13892" xr:uid="{00000000-0005-0000-0000-0000E71C0000}"/>
    <cellStyle name="Separador de milhares 2 3 2 9 2 5 2" xfId="40085" xr:uid="{00000000-0005-0000-0000-0000E81C0000}"/>
    <cellStyle name="Separador de milhares 2 3 2 9 2 6" xfId="33699" xr:uid="{00000000-0005-0000-0000-0000E91C0000}"/>
    <cellStyle name="Separador de milhares 2 3 2 9 3" xfId="9179" xr:uid="{00000000-0005-0000-0000-0000EA1C0000}"/>
    <cellStyle name="Separador de milhares 2 3 2 9 3 2" xfId="27393" xr:uid="{00000000-0005-0000-0000-0000EB1C0000}"/>
    <cellStyle name="Separador de milhares 2 3 2 9 3 2 2" xfId="53574" xr:uid="{00000000-0005-0000-0000-0000EC1C0000}"/>
    <cellStyle name="Separador de milhares 2 3 2 9 3 3" xfId="21479" xr:uid="{00000000-0005-0000-0000-0000ED1C0000}"/>
    <cellStyle name="Separador de milhares 2 3 2 9 3 3 2" xfId="47666" xr:uid="{00000000-0005-0000-0000-0000EE1C0000}"/>
    <cellStyle name="Separador de milhares 2 3 2 9 3 4" xfId="15565" xr:uid="{00000000-0005-0000-0000-0000EF1C0000}"/>
    <cellStyle name="Separador de milhares 2 3 2 9 3 4 2" xfId="41758" xr:uid="{00000000-0005-0000-0000-0000F01C0000}"/>
    <cellStyle name="Separador de milhares 2 3 2 9 3 5" xfId="35372" xr:uid="{00000000-0005-0000-0000-0000F11C0000}"/>
    <cellStyle name="Separador de milhares 2 3 2 9 4" xfId="5804" xr:uid="{00000000-0005-0000-0000-0000F21C0000}"/>
    <cellStyle name="Separador de milhares 2 3 2 9 4 2" xfId="24436" xr:uid="{00000000-0005-0000-0000-0000F31C0000}"/>
    <cellStyle name="Separador de milhares 2 3 2 9 4 2 2" xfId="50620" xr:uid="{00000000-0005-0000-0000-0000F41C0000}"/>
    <cellStyle name="Separador de milhares 2 3 2 9 4 3" xfId="32000" xr:uid="{00000000-0005-0000-0000-0000F51C0000}"/>
    <cellStyle name="Separador de milhares 2 3 2 9 5" xfId="18522" xr:uid="{00000000-0005-0000-0000-0000F61C0000}"/>
    <cellStyle name="Separador de milhares 2 3 2 9 5 2" xfId="44712" xr:uid="{00000000-0005-0000-0000-0000F71C0000}"/>
    <cellStyle name="Separador de milhares 2 3 2 9 6" xfId="12191" xr:uid="{00000000-0005-0000-0000-0000F81C0000}"/>
    <cellStyle name="Separador de milhares 2 3 2 9 6 2" xfId="38384" xr:uid="{00000000-0005-0000-0000-0000F91C0000}"/>
    <cellStyle name="Separador de milhares 2 3 2 9 7" xfId="30302" xr:uid="{00000000-0005-0000-0000-0000FA1C0000}"/>
    <cellStyle name="Separador de milhares 2 3 3" xfId="300" xr:uid="{00000000-0005-0000-0000-0000FB1C0000}"/>
    <cellStyle name="Separador de milhares 2 3 3 10" xfId="6495" xr:uid="{00000000-0005-0000-0000-0000FC1C0000}"/>
    <cellStyle name="Separador de milhares 2 3 3 10 2" xfId="9645" xr:uid="{00000000-0005-0000-0000-0000FD1C0000}"/>
    <cellStyle name="Separador de milhares 2 3 3 10 2 2" xfId="27859" xr:uid="{00000000-0005-0000-0000-0000FE1C0000}"/>
    <cellStyle name="Separador de milhares 2 3 3 10 2 2 2" xfId="54040" xr:uid="{00000000-0005-0000-0000-0000FF1C0000}"/>
    <cellStyle name="Separador de milhares 2 3 3 10 2 3" xfId="21945" xr:uid="{00000000-0005-0000-0000-0000001D0000}"/>
    <cellStyle name="Separador de milhares 2 3 3 10 2 3 2" xfId="48132" xr:uid="{00000000-0005-0000-0000-0000011D0000}"/>
    <cellStyle name="Separador de milhares 2 3 3 10 2 4" xfId="16031" xr:uid="{00000000-0005-0000-0000-0000021D0000}"/>
    <cellStyle name="Separador de milhares 2 3 3 10 2 4 2" xfId="42224" xr:uid="{00000000-0005-0000-0000-0000031D0000}"/>
    <cellStyle name="Separador de milhares 2 3 3 10 2 5" xfId="35838" xr:uid="{00000000-0005-0000-0000-0000041D0000}"/>
    <cellStyle name="Separador de milhares 2 3 3 10 3" xfId="24902" xr:uid="{00000000-0005-0000-0000-0000051D0000}"/>
    <cellStyle name="Separador de milhares 2 3 3 10 3 2" xfId="51086" xr:uid="{00000000-0005-0000-0000-0000061D0000}"/>
    <cellStyle name="Separador de milhares 2 3 3 10 4" xfId="18988" xr:uid="{00000000-0005-0000-0000-0000071D0000}"/>
    <cellStyle name="Separador de milhares 2 3 3 10 4 2" xfId="45178" xr:uid="{00000000-0005-0000-0000-0000081D0000}"/>
    <cellStyle name="Separador de milhares 2 3 3 10 5" xfId="12884" xr:uid="{00000000-0005-0000-0000-0000091D0000}"/>
    <cellStyle name="Separador de milhares 2 3 3 10 5 2" xfId="39077" xr:uid="{00000000-0005-0000-0000-00000A1D0000}"/>
    <cellStyle name="Separador de milhares 2 3 3 10 6" xfId="32691" xr:uid="{00000000-0005-0000-0000-00000B1D0000}"/>
    <cellStyle name="Separador de milhares 2 3 3 11" xfId="8174" xr:uid="{00000000-0005-0000-0000-00000C1D0000}"/>
    <cellStyle name="Separador de milhares 2 3 3 11 2" xfId="26388" xr:uid="{00000000-0005-0000-0000-00000D1D0000}"/>
    <cellStyle name="Separador de milhares 2 3 3 11 2 2" xfId="52572" xr:uid="{00000000-0005-0000-0000-00000E1D0000}"/>
    <cellStyle name="Separador de milhares 2 3 3 11 3" xfId="20474" xr:uid="{00000000-0005-0000-0000-00000F1D0000}"/>
    <cellStyle name="Separador de milhares 2 3 3 11 3 2" xfId="46664" xr:uid="{00000000-0005-0000-0000-0000101D0000}"/>
    <cellStyle name="Separador de milhares 2 3 3 11 4" xfId="14563" xr:uid="{00000000-0005-0000-0000-0000111D0000}"/>
    <cellStyle name="Separador de milhares 2 3 3 11 4 2" xfId="40756" xr:uid="{00000000-0005-0000-0000-0000121D0000}"/>
    <cellStyle name="Separador de milhares 2 3 3 11 5" xfId="34370" xr:uid="{00000000-0005-0000-0000-0000131D0000}"/>
    <cellStyle name="Separador de milhares 2 3 3 12" xfId="4794" xr:uid="{00000000-0005-0000-0000-0000141D0000}"/>
    <cellStyle name="Separador de milhares 2 3 3 12 2" xfId="23431" xr:uid="{00000000-0005-0000-0000-0000151D0000}"/>
    <cellStyle name="Separador de milhares 2 3 3 12 2 2" xfId="49618" xr:uid="{00000000-0005-0000-0000-0000161D0000}"/>
    <cellStyle name="Separador de milhares 2 3 3 12 3" xfId="30992" xr:uid="{00000000-0005-0000-0000-0000171D0000}"/>
    <cellStyle name="Separador de milhares 2 3 3 13" xfId="17517" xr:uid="{00000000-0005-0000-0000-0000181D0000}"/>
    <cellStyle name="Separador de milhares 2 3 3 13 2" xfId="43710" xr:uid="{00000000-0005-0000-0000-0000191D0000}"/>
    <cellStyle name="Separador de milhares 2 3 3 14" xfId="11183" xr:uid="{00000000-0005-0000-0000-00001A1D0000}"/>
    <cellStyle name="Separador de milhares 2 3 3 14 2" xfId="37376" xr:uid="{00000000-0005-0000-0000-00001B1D0000}"/>
    <cellStyle name="Separador de milhares 2 3 3 15" xfId="29294" xr:uid="{00000000-0005-0000-0000-00001C1D0000}"/>
    <cellStyle name="Separador de milhares 2 3 3 2" xfId="655" xr:uid="{00000000-0005-0000-0000-00001D1D0000}"/>
    <cellStyle name="Separador de milhares 2 3 3 2 2" xfId="6590" xr:uid="{00000000-0005-0000-0000-00001E1D0000}"/>
    <cellStyle name="Separador de milhares 2 3 3 2 2 2" xfId="9737" xr:uid="{00000000-0005-0000-0000-00001F1D0000}"/>
    <cellStyle name="Separador de milhares 2 3 3 2 2 2 2" xfId="27951" xr:uid="{00000000-0005-0000-0000-0000201D0000}"/>
    <cellStyle name="Separador de milhares 2 3 3 2 2 2 2 2" xfId="54132" xr:uid="{00000000-0005-0000-0000-0000211D0000}"/>
    <cellStyle name="Separador de milhares 2 3 3 2 2 2 3" xfId="22037" xr:uid="{00000000-0005-0000-0000-0000221D0000}"/>
    <cellStyle name="Separador de milhares 2 3 3 2 2 2 3 2" xfId="48224" xr:uid="{00000000-0005-0000-0000-0000231D0000}"/>
    <cellStyle name="Separador de milhares 2 3 3 2 2 2 4" xfId="16123" xr:uid="{00000000-0005-0000-0000-0000241D0000}"/>
    <cellStyle name="Separador de milhares 2 3 3 2 2 2 4 2" xfId="42316" xr:uid="{00000000-0005-0000-0000-0000251D0000}"/>
    <cellStyle name="Separador de milhares 2 3 3 2 2 2 5" xfId="35930" xr:uid="{00000000-0005-0000-0000-0000261D0000}"/>
    <cellStyle name="Separador de milhares 2 3 3 2 2 3" xfId="24994" xr:uid="{00000000-0005-0000-0000-0000271D0000}"/>
    <cellStyle name="Separador de milhares 2 3 3 2 2 3 2" xfId="51178" xr:uid="{00000000-0005-0000-0000-0000281D0000}"/>
    <cellStyle name="Separador de milhares 2 3 3 2 2 4" xfId="19080" xr:uid="{00000000-0005-0000-0000-0000291D0000}"/>
    <cellStyle name="Separador de milhares 2 3 3 2 2 4 2" xfId="45270" xr:uid="{00000000-0005-0000-0000-00002A1D0000}"/>
    <cellStyle name="Separador de milhares 2 3 3 2 2 5" xfId="12979" xr:uid="{00000000-0005-0000-0000-00002B1D0000}"/>
    <cellStyle name="Separador de milhares 2 3 3 2 2 5 2" xfId="39172" xr:uid="{00000000-0005-0000-0000-00002C1D0000}"/>
    <cellStyle name="Separador de milhares 2 3 3 2 2 6" xfId="32786" xr:uid="{00000000-0005-0000-0000-00002D1D0000}"/>
    <cellStyle name="Separador de milhares 2 3 3 2 3" xfId="8269" xr:uid="{00000000-0005-0000-0000-00002E1D0000}"/>
    <cellStyle name="Separador de milhares 2 3 3 2 3 2" xfId="26483" xr:uid="{00000000-0005-0000-0000-00002F1D0000}"/>
    <cellStyle name="Separador de milhares 2 3 3 2 3 2 2" xfId="52664" xr:uid="{00000000-0005-0000-0000-0000301D0000}"/>
    <cellStyle name="Separador de milhares 2 3 3 2 3 3" xfId="20569" xr:uid="{00000000-0005-0000-0000-0000311D0000}"/>
    <cellStyle name="Separador de milhares 2 3 3 2 3 3 2" xfId="46756" xr:uid="{00000000-0005-0000-0000-0000321D0000}"/>
    <cellStyle name="Separador de milhares 2 3 3 2 3 4" xfId="14655" xr:uid="{00000000-0005-0000-0000-0000331D0000}"/>
    <cellStyle name="Separador de milhares 2 3 3 2 3 4 2" xfId="40848" xr:uid="{00000000-0005-0000-0000-0000341D0000}"/>
    <cellStyle name="Separador de milhares 2 3 3 2 3 5" xfId="34462" xr:uid="{00000000-0005-0000-0000-0000351D0000}"/>
    <cellStyle name="Separador de milhares 2 3 3 2 4" xfId="4891" xr:uid="{00000000-0005-0000-0000-0000361D0000}"/>
    <cellStyle name="Separador de milhares 2 3 3 2 4 2" xfId="23526" xr:uid="{00000000-0005-0000-0000-0000371D0000}"/>
    <cellStyle name="Separador de milhares 2 3 3 2 4 2 2" xfId="49710" xr:uid="{00000000-0005-0000-0000-0000381D0000}"/>
    <cellStyle name="Separador de milhares 2 3 3 2 4 3" xfId="31087" xr:uid="{00000000-0005-0000-0000-0000391D0000}"/>
    <cellStyle name="Separador de milhares 2 3 3 2 5" xfId="17612" xr:uid="{00000000-0005-0000-0000-00003A1D0000}"/>
    <cellStyle name="Separador de milhares 2 3 3 2 5 2" xfId="43802" xr:uid="{00000000-0005-0000-0000-00003B1D0000}"/>
    <cellStyle name="Separador de milhares 2 3 3 2 6" xfId="11278" xr:uid="{00000000-0005-0000-0000-00003C1D0000}"/>
    <cellStyle name="Separador de milhares 2 3 3 2 6 2" xfId="37471" xr:uid="{00000000-0005-0000-0000-00003D1D0000}"/>
    <cellStyle name="Separador de milhares 2 3 3 2 7" xfId="29389" xr:uid="{00000000-0005-0000-0000-00003E1D0000}"/>
    <cellStyle name="Separador de milhares 2 3 3 3" xfId="859" xr:uid="{00000000-0005-0000-0000-00003F1D0000}"/>
    <cellStyle name="Separador de milhares 2 3 3 3 2" xfId="6667" xr:uid="{00000000-0005-0000-0000-0000401D0000}"/>
    <cellStyle name="Separador de milhares 2 3 3 3 2 2" xfId="9814" xr:uid="{00000000-0005-0000-0000-0000411D0000}"/>
    <cellStyle name="Separador de milhares 2 3 3 3 2 2 2" xfId="28028" xr:uid="{00000000-0005-0000-0000-0000421D0000}"/>
    <cellStyle name="Separador de milhares 2 3 3 3 2 2 2 2" xfId="54209" xr:uid="{00000000-0005-0000-0000-0000431D0000}"/>
    <cellStyle name="Separador de milhares 2 3 3 3 2 2 3" xfId="22114" xr:uid="{00000000-0005-0000-0000-0000441D0000}"/>
    <cellStyle name="Separador de milhares 2 3 3 3 2 2 3 2" xfId="48301" xr:uid="{00000000-0005-0000-0000-0000451D0000}"/>
    <cellStyle name="Separador de milhares 2 3 3 3 2 2 4" xfId="16200" xr:uid="{00000000-0005-0000-0000-0000461D0000}"/>
    <cellStyle name="Separador de milhares 2 3 3 3 2 2 4 2" xfId="42393" xr:uid="{00000000-0005-0000-0000-0000471D0000}"/>
    <cellStyle name="Separador de milhares 2 3 3 3 2 2 5" xfId="36007" xr:uid="{00000000-0005-0000-0000-0000481D0000}"/>
    <cellStyle name="Separador de milhares 2 3 3 3 2 3" xfId="25071" xr:uid="{00000000-0005-0000-0000-0000491D0000}"/>
    <cellStyle name="Separador de milhares 2 3 3 3 2 3 2" xfId="51255" xr:uid="{00000000-0005-0000-0000-00004A1D0000}"/>
    <cellStyle name="Separador de milhares 2 3 3 3 2 4" xfId="19157" xr:uid="{00000000-0005-0000-0000-00004B1D0000}"/>
    <cellStyle name="Separador de milhares 2 3 3 3 2 4 2" xfId="45347" xr:uid="{00000000-0005-0000-0000-00004C1D0000}"/>
    <cellStyle name="Separador de milhares 2 3 3 3 2 5" xfId="13056" xr:uid="{00000000-0005-0000-0000-00004D1D0000}"/>
    <cellStyle name="Separador de milhares 2 3 3 3 2 5 2" xfId="39249" xr:uid="{00000000-0005-0000-0000-00004E1D0000}"/>
    <cellStyle name="Separador de milhares 2 3 3 3 2 6" xfId="32863" xr:uid="{00000000-0005-0000-0000-00004F1D0000}"/>
    <cellStyle name="Separador de milhares 2 3 3 3 3" xfId="8346" xr:uid="{00000000-0005-0000-0000-0000501D0000}"/>
    <cellStyle name="Separador de milhares 2 3 3 3 3 2" xfId="26560" xr:uid="{00000000-0005-0000-0000-0000511D0000}"/>
    <cellStyle name="Separador de milhares 2 3 3 3 3 2 2" xfId="52741" xr:uid="{00000000-0005-0000-0000-0000521D0000}"/>
    <cellStyle name="Separador de milhares 2 3 3 3 3 3" xfId="20646" xr:uid="{00000000-0005-0000-0000-0000531D0000}"/>
    <cellStyle name="Separador de milhares 2 3 3 3 3 3 2" xfId="46833" xr:uid="{00000000-0005-0000-0000-0000541D0000}"/>
    <cellStyle name="Separador de milhares 2 3 3 3 3 4" xfId="14732" xr:uid="{00000000-0005-0000-0000-0000551D0000}"/>
    <cellStyle name="Separador de milhares 2 3 3 3 3 4 2" xfId="40925" xr:uid="{00000000-0005-0000-0000-0000561D0000}"/>
    <cellStyle name="Separador de milhares 2 3 3 3 3 5" xfId="34539" xr:uid="{00000000-0005-0000-0000-0000571D0000}"/>
    <cellStyle name="Separador de milhares 2 3 3 3 4" xfId="4968" xr:uid="{00000000-0005-0000-0000-0000581D0000}"/>
    <cellStyle name="Separador de milhares 2 3 3 3 4 2" xfId="23603" xr:uid="{00000000-0005-0000-0000-0000591D0000}"/>
    <cellStyle name="Separador de milhares 2 3 3 3 4 2 2" xfId="49787" xr:uid="{00000000-0005-0000-0000-00005A1D0000}"/>
    <cellStyle name="Separador de milhares 2 3 3 3 4 3" xfId="31164" xr:uid="{00000000-0005-0000-0000-00005B1D0000}"/>
    <cellStyle name="Separador de milhares 2 3 3 3 5" xfId="17689" xr:uid="{00000000-0005-0000-0000-00005C1D0000}"/>
    <cellStyle name="Separador de milhares 2 3 3 3 5 2" xfId="43879" xr:uid="{00000000-0005-0000-0000-00005D1D0000}"/>
    <cellStyle name="Separador de milhares 2 3 3 3 6" xfId="11355" xr:uid="{00000000-0005-0000-0000-00005E1D0000}"/>
    <cellStyle name="Separador de milhares 2 3 3 3 6 2" xfId="37548" xr:uid="{00000000-0005-0000-0000-00005F1D0000}"/>
    <cellStyle name="Separador de milhares 2 3 3 3 7" xfId="29466" xr:uid="{00000000-0005-0000-0000-0000601D0000}"/>
    <cellStyle name="Separador de milhares 2 3 3 4" xfId="1210" xr:uid="{00000000-0005-0000-0000-0000611D0000}"/>
    <cellStyle name="Separador de milhares 2 3 3 4 2" xfId="6765" xr:uid="{00000000-0005-0000-0000-0000621D0000}"/>
    <cellStyle name="Separador de milhares 2 3 3 4 2 2" xfId="9912" xr:uid="{00000000-0005-0000-0000-0000631D0000}"/>
    <cellStyle name="Separador de milhares 2 3 3 4 2 2 2" xfId="28126" xr:uid="{00000000-0005-0000-0000-0000641D0000}"/>
    <cellStyle name="Separador de milhares 2 3 3 4 2 2 2 2" xfId="54307" xr:uid="{00000000-0005-0000-0000-0000651D0000}"/>
    <cellStyle name="Separador de milhares 2 3 3 4 2 2 3" xfId="22212" xr:uid="{00000000-0005-0000-0000-0000661D0000}"/>
    <cellStyle name="Separador de milhares 2 3 3 4 2 2 3 2" xfId="48399" xr:uid="{00000000-0005-0000-0000-0000671D0000}"/>
    <cellStyle name="Separador de milhares 2 3 3 4 2 2 4" xfId="16298" xr:uid="{00000000-0005-0000-0000-0000681D0000}"/>
    <cellStyle name="Separador de milhares 2 3 3 4 2 2 4 2" xfId="42491" xr:uid="{00000000-0005-0000-0000-0000691D0000}"/>
    <cellStyle name="Separador de milhares 2 3 3 4 2 2 5" xfId="36105" xr:uid="{00000000-0005-0000-0000-00006A1D0000}"/>
    <cellStyle name="Separador de milhares 2 3 3 4 2 3" xfId="25169" xr:uid="{00000000-0005-0000-0000-00006B1D0000}"/>
    <cellStyle name="Separador de milhares 2 3 3 4 2 3 2" xfId="51353" xr:uid="{00000000-0005-0000-0000-00006C1D0000}"/>
    <cellStyle name="Separador de milhares 2 3 3 4 2 4" xfId="19255" xr:uid="{00000000-0005-0000-0000-00006D1D0000}"/>
    <cellStyle name="Separador de milhares 2 3 3 4 2 4 2" xfId="45445" xr:uid="{00000000-0005-0000-0000-00006E1D0000}"/>
    <cellStyle name="Separador de milhares 2 3 3 4 2 5" xfId="13154" xr:uid="{00000000-0005-0000-0000-00006F1D0000}"/>
    <cellStyle name="Separador de milhares 2 3 3 4 2 5 2" xfId="39347" xr:uid="{00000000-0005-0000-0000-0000701D0000}"/>
    <cellStyle name="Separador de milhares 2 3 3 4 2 6" xfId="32961" xr:uid="{00000000-0005-0000-0000-0000711D0000}"/>
    <cellStyle name="Separador de milhares 2 3 3 4 3" xfId="8444" xr:uid="{00000000-0005-0000-0000-0000721D0000}"/>
    <cellStyle name="Separador de milhares 2 3 3 4 3 2" xfId="26658" xr:uid="{00000000-0005-0000-0000-0000731D0000}"/>
    <cellStyle name="Separador de milhares 2 3 3 4 3 2 2" xfId="52839" xr:uid="{00000000-0005-0000-0000-0000741D0000}"/>
    <cellStyle name="Separador de milhares 2 3 3 4 3 3" xfId="20744" xr:uid="{00000000-0005-0000-0000-0000751D0000}"/>
    <cellStyle name="Separador de milhares 2 3 3 4 3 3 2" xfId="46931" xr:uid="{00000000-0005-0000-0000-0000761D0000}"/>
    <cellStyle name="Separador de milhares 2 3 3 4 3 4" xfId="14830" xr:uid="{00000000-0005-0000-0000-0000771D0000}"/>
    <cellStyle name="Separador de milhares 2 3 3 4 3 4 2" xfId="41023" xr:uid="{00000000-0005-0000-0000-0000781D0000}"/>
    <cellStyle name="Separador de milhares 2 3 3 4 3 5" xfId="34637" xr:uid="{00000000-0005-0000-0000-0000791D0000}"/>
    <cellStyle name="Separador de milhares 2 3 3 4 4" xfId="5066" xr:uid="{00000000-0005-0000-0000-00007A1D0000}"/>
    <cellStyle name="Separador de milhares 2 3 3 4 4 2" xfId="23701" xr:uid="{00000000-0005-0000-0000-00007B1D0000}"/>
    <cellStyle name="Separador de milhares 2 3 3 4 4 2 2" xfId="49885" xr:uid="{00000000-0005-0000-0000-00007C1D0000}"/>
    <cellStyle name="Separador de milhares 2 3 3 4 4 3" xfId="31262" xr:uid="{00000000-0005-0000-0000-00007D1D0000}"/>
    <cellStyle name="Separador de milhares 2 3 3 4 5" xfId="17787" xr:uid="{00000000-0005-0000-0000-00007E1D0000}"/>
    <cellStyle name="Separador de milhares 2 3 3 4 5 2" xfId="43977" xr:uid="{00000000-0005-0000-0000-00007F1D0000}"/>
    <cellStyle name="Separador de milhares 2 3 3 4 6" xfId="11453" xr:uid="{00000000-0005-0000-0000-0000801D0000}"/>
    <cellStyle name="Separador de milhares 2 3 3 4 6 2" xfId="37646" xr:uid="{00000000-0005-0000-0000-0000811D0000}"/>
    <cellStyle name="Separador de milhares 2 3 3 4 7" xfId="29564" xr:uid="{00000000-0005-0000-0000-0000821D0000}"/>
    <cellStyle name="Separador de milhares 2 3 3 5" xfId="1645" xr:uid="{00000000-0005-0000-0000-0000831D0000}"/>
    <cellStyle name="Separador de milhares 2 3 3 5 2" xfId="6884" xr:uid="{00000000-0005-0000-0000-0000841D0000}"/>
    <cellStyle name="Separador de milhares 2 3 3 5 2 2" xfId="10031" xr:uid="{00000000-0005-0000-0000-0000851D0000}"/>
    <cellStyle name="Separador de milhares 2 3 3 5 2 2 2" xfId="28245" xr:uid="{00000000-0005-0000-0000-0000861D0000}"/>
    <cellStyle name="Separador de milhares 2 3 3 5 2 2 2 2" xfId="54426" xr:uid="{00000000-0005-0000-0000-0000871D0000}"/>
    <cellStyle name="Separador de milhares 2 3 3 5 2 2 3" xfId="22331" xr:uid="{00000000-0005-0000-0000-0000881D0000}"/>
    <cellStyle name="Separador de milhares 2 3 3 5 2 2 3 2" xfId="48518" xr:uid="{00000000-0005-0000-0000-0000891D0000}"/>
    <cellStyle name="Separador de milhares 2 3 3 5 2 2 4" xfId="16417" xr:uid="{00000000-0005-0000-0000-00008A1D0000}"/>
    <cellStyle name="Separador de milhares 2 3 3 5 2 2 4 2" xfId="42610" xr:uid="{00000000-0005-0000-0000-00008B1D0000}"/>
    <cellStyle name="Separador de milhares 2 3 3 5 2 2 5" xfId="36224" xr:uid="{00000000-0005-0000-0000-00008C1D0000}"/>
    <cellStyle name="Separador de milhares 2 3 3 5 2 3" xfId="25288" xr:uid="{00000000-0005-0000-0000-00008D1D0000}"/>
    <cellStyle name="Separador de milhares 2 3 3 5 2 3 2" xfId="51472" xr:uid="{00000000-0005-0000-0000-00008E1D0000}"/>
    <cellStyle name="Separador de milhares 2 3 3 5 2 4" xfId="19374" xr:uid="{00000000-0005-0000-0000-00008F1D0000}"/>
    <cellStyle name="Separador de milhares 2 3 3 5 2 4 2" xfId="45564" xr:uid="{00000000-0005-0000-0000-0000901D0000}"/>
    <cellStyle name="Separador de milhares 2 3 3 5 2 5" xfId="13273" xr:uid="{00000000-0005-0000-0000-0000911D0000}"/>
    <cellStyle name="Separador de milhares 2 3 3 5 2 5 2" xfId="39466" xr:uid="{00000000-0005-0000-0000-0000921D0000}"/>
    <cellStyle name="Separador de milhares 2 3 3 5 2 6" xfId="33080" xr:uid="{00000000-0005-0000-0000-0000931D0000}"/>
    <cellStyle name="Separador de milhares 2 3 3 5 3" xfId="8563" xr:uid="{00000000-0005-0000-0000-0000941D0000}"/>
    <cellStyle name="Separador de milhares 2 3 3 5 3 2" xfId="26777" xr:uid="{00000000-0005-0000-0000-0000951D0000}"/>
    <cellStyle name="Separador de milhares 2 3 3 5 3 2 2" xfId="52958" xr:uid="{00000000-0005-0000-0000-0000961D0000}"/>
    <cellStyle name="Separador de milhares 2 3 3 5 3 3" xfId="20863" xr:uid="{00000000-0005-0000-0000-0000971D0000}"/>
    <cellStyle name="Separador de milhares 2 3 3 5 3 3 2" xfId="47050" xr:uid="{00000000-0005-0000-0000-0000981D0000}"/>
    <cellStyle name="Separador de milhares 2 3 3 5 3 4" xfId="14949" xr:uid="{00000000-0005-0000-0000-0000991D0000}"/>
    <cellStyle name="Separador de milhares 2 3 3 5 3 4 2" xfId="41142" xr:uid="{00000000-0005-0000-0000-00009A1D0000}"/>
    <cellStyle name="Separador de milhares 2 3 3 5 3 5" xfId="34756" xr:uid="{00000000-0005-0000-0000-00009B1D0000}"/>
    <cellStyle name="Separador de milhares 2 3 3 5 4" xfId="5185" xr:uid="{00000000-0005-0000-0000-00009C1D0000}"/>
    <cellStyle name="Separador de milhares 2 3 3 5 4 2" xfId="23820" xr:uid="{00000000-0005-0000-0000-00009D1D0000}"/>
    <cellStyle name="Separador de milhares 2 3 3 5 4 2 2" xfId="50004" xr:uid="{00000000-0005-0000-0000-00009E1D0000}"/>
    <cellStyle name="Separador de milhares 2 3 3 5 4 3" xfId="31381" xr:uid="{00000000-0005-0000-0000-00009F1D0000}"/>
    <cellStyle name="Separador de milhares 2 3 3 5 5" xfId="17906" xr:uid="{00000000-0005-0000-0000-0000A01D0000}"/>
    <cellStyle name="Separador de milhares 2 3 3 5 5 2" xfId="44096" xr:uid="{00000000-0005-0000-0000-0000A11D0000}"/>
    <cellStyle name="Separador de milhares 2 3 3 5 6" xfId="11572" xr:uid="{00000000-0005-0000-0000-0000A21D0000}"/>
    <cellStyle name="Separador de milhares 2 3 3 5 6 2" xfId="37765" xr:uid="{00000000-0005-0000-0000-0000A31D0000}"/>
    <cellStyle name="Separador de milhares 2 3 3 5 7" xfId="29683" xr:uid="{00000000-0005-0000-0000-0000A41D0000}"/>
    <cellStyle name="Separador de milhares 2 3 3 6" xfId="2175" xr:uid="{00000000-0005-0000-0000-0000A51D0000}"/>
    <cellStyle name="Separador de milhares 2 3 3 6 2" xfId="7034" xr:uid="{00000000-0005-0000-0000-0000A61D0000}"/>
    <cellStyle name="Separador de milhares 2 3 3 6 2 2" xfId="10178" xr:uid="{00000000-0005-0000-0000-0000A71D0000}"/>
    <cellStyle name="Separador de milhares 2 3 3 6 2 2 2" xfId="28392" xr:uid="{00000000-0005-0000-0000-0000A81D0000}"/>
    <cellStyle name="Separador de milhares 2 3 3 6 2 2 2 2" xfId="54573" xr:uid="{00000000-0005-0000-0000-0000A91D0000}"/>
    <cellStyle name="Separador de milhares 2 3 3 6 2 2 3" xfId="22478" xr:uid="{00000000-0005-0000-0000-0000AA1D0000}"/>
    <cellStyle name="Separador de milhares 2 3 3 6 2 2 3 2" xfId="48665" xr:uid="{00000000-0005-0000-0000-0000AB1D0000}"/>
    <cellStyle name="Separador de milhares 2 3 3 6 2 2 4" xfId="16564" xr:uid="{00000000-0005-0000-0000-0000AC1D0000}"/>
    <cellStyle name="Separador de milhares 2 3 3 6 2 2 4 2" xfId="42757" xr:uid="{00000000-0005-0000-0000-0000AD1D0000}"/>
    <cellStyle name="Separador de milhares 2 3 3 6 2 2 5" xfId="36371" xr:uid="{00000000-0005-0000-0000-0000AE1D0000}"/>
    <cellStyle name="Separador de milhares 2 3 3 6 2 3" xfId="25435" xr:uid="{00000000-0005-0000-0000-0000AF1D0000}"/>
    <cellStyle name="Separador de milhares 2 3 3 6 2 3 2" xfId="51619" xr:uid="{00000000-0005-0000-0000-0000B01D0000}"/>
    <cellStyle name="Separador de milhares 2 3 3 6 2 4" xfId="19521" xr:uid="{00000000-0005-0000-0000-0000B11D0000}"/>
    <cellStyle name="Separador de milhares 2 3 3 6 2 4 2" xfId="45711" xr:uid="{00000000-0005-0000-0000-0000B21D0000}"/>
    <cellStyle name="Separador de milhares 2 3 3 6 2 5" xfId="13423" xr:uid="{00000000-0005-0000-0000-0000B31D0000}"/>
    <cellStyle name="Separador de milhares 2 3 3 6 2 5 2" xfId="39616" xr:uid="{00000000-0005-0000-0000-0000B41D0000}"/>
    <cellStyle name="Separador de milhares 2 3 3 6 2 6" xfId="33230" xr:uid="{00000000-0005-0000-0000-0000B51D0000}"/>
    <cellStyle name="Separador de milhares 2 3 3 6 3" xfId="8710" xr:uid="{00000000-0005-0000-0000-0000B61D0000}"/>
    <cellStyle name="Separador de milhares 2 3 3 6 3 2" xfId="26924" xr:uid="{00000000-0005-0000-0000-0000B71D0000}"/>
    <cellStyle name="Separador de milhares 2 3 3 6 3 2 2" xfId="53105" xr:uid="{00000000-0005-0000-0000-0000B81D0000}"/>
    <cellStyle name="Separador de milhares 2 3 3 6 3 3" xfId="21010" xr:uid="{00000000-0005-0000-0000-0000B91D0000}"/>
    <cellStyle name="Separador de milhares 2 3 3 6 3 3 2" xfId="47197" xr:uid="{00000000-0005-0000-0000-0000BA1D0000}"/>
    <cellStyle name="Separador de milhares 2 3 3 6 3 4" xfId="15096" xr:uid="{00000000-0005-0000-0000-0000BB1D0000}"/>
    <cellStyle name="Separador de milhares 2 3 3 6 3 4 2" xfId="41289" xr:uid="{00000000-0005-0000-0000-0000BC1D0000}"/>
    <cellStyle name="Separador de milhares 2 3 3 6 3 5" xfId="34903" xr:uid="{00000000-0005-0000-0000-0000BD1D0000}"/>
    <cellStyle name="Separador de milhares 2 3 3 6 4" xfId="5335" xr:uid="{00000000-0005-0000-0000-0000BE1D0000}"/>
    <cellStyle name="Separador de milhares 2 3 3 6 4 2" xfId="23967" xr:uid="{00000000-0005-0000-0000-0000BF1D0000}"/>
    <cellStyle name="Separador de milhares 2 3 3 6 4 2 2" xfId="50151" xr:uid="{00000000-0005-0000-0000-0000C01D0000}"/>
    <cellStyle name="Separador de milhares 2 3 3 6 4 3" xfId="31531" xr:uid="{00000000-0005-0000-0000-0000C11D0000}"/>
    <cellStyle name="Separador de milhares 2 3 3 6 5" xfId="18053" xr:uid="{00000000-0005-0000-0000-0000C21D0000}"/>
    <cellStyle name="Separador de milhares 2 3 3 6 5 2" xfId="44243" xr:uid="{00000000-0005-0000-0000-0000C31D0000}"/>
    <cellStyle name="Separador de milhares 2 3 3 6 6" xfId="11722" xr:uid="{00000000-0005-0000-0000-0000C41D0000}"/>
    <cellStyle name="Separador de milhares 2 3 3 6 6 2" xfId="37915" xr:uid="{00000000-0005-0000-0000-0000C51D0000}"/>
    <cellStyle name="Separador de milhares 2 3 3 6 7" xfId="29833" xr:uid="{00000000-0005-0000-0000-0000C61D0000}"/>
    <cellStyle name="Separador de milhares 2 3 3 7" xfId="2702" xr:uid="{00000000-0005-0000-0000-0000C71D0000}"/>
    <cellStyle name="Separador de milhares 2 3 3 7 2" xfId="7181" xr:uid="{00000000-0005-0000-0000-0000C81D0000}"/>
    <cellStyle name="Separador de milhares 2 3 3 7 2 2" xfId="10325" xr:uid="{00000000-0005-0000-0000-0000C91D0000}"/>
    <cellStyle name="Separador de milhares 2 3 3 7 2 2 2" xfId="28539" xr:uid="{00000000-0005-0000-0000-0000CA1D0000}"/>
    <cellStyle name="Separador de milhares 2 3 3 7 2 2 2 2" xfId="54720" xr:uid="{00000000-0005-0000-0000-0000CB1D0000}"/>
    <cellStyle name="Separador de milhares 2 3 3 7 2 2 3" xfId="22625" xr:uid="{00000000-0005-0000-0000-0000CC1D0000}"/>
    <cellStyle name="Separador de milhares 2 3 3 7 2 2 3 2" xfId="48812" xr:uid="{00000000-0005-0000-0000-0000CD1D0000}"/>
    <cellStyle name="Separador de milhares 2 3 3 7 2 2 4" xfId="16711" xr:uid="{00000000-0005-0000-0000-0000CE1D0000}"/>
    <cellStyle name="Separador de milhares 2 3 3 7 2 2 4 2" xfId="42904" xr:uid="{00000000-0005-0000-0000-0000CF1D0000}"/>
    <cellStyle name="Separador de milhares 2 3 3 7 2 2 5" xfId="36518" xr:uid="{00000000-0005-0000-0000-0000D01D0000}"/>
    <cellStyle name="Separador de milhares 2 3 3 7 2 3" xfId="25582" xr:uid="{00000000-0005-0000-0000-0000D11D0000}"/>
    <cellStyle name="Separador de milhares 2 3 3 7 2 3 2" xfId="51766" xr:uid="{00000000-0005-0000-0000-0000D21D0000}"/>
    <cellStyle name="Separador de milhares 2 3 3 7 2 4" xfId="19668" xr:uid="{00000000-0005-0000-0000-0000D31D0000}"/>
    <cellStyle name="Separador de milhares 2 3 3 7 2 4 2" xfId="45858" xr:uid="{00000000-0005-0000-0000-0000D41D0000}"/>
    <cellStyle name="Separador de milhares 2 3 3 7 2 5" xfId="13570" xr:uid="{00000000-0005-0000-0000-0000D51D0000}"/>
    <cellStyle name="Separador de milhares 2 3 3 7 2 5 2" xfId="39763" xr:uid="{00000000-0005-0000-0000-0000D61D0000}"/>
    <cellStyle name="Separador de milhares 2 3 3 7 2 6" xfId="33377" xr:uid="{00000000-0005-0000-0000-0000D71D0000}"/>
    <cellStyle name="Separador de milhares 2 3 3 7 3" xfId="8857" xr:uid="{00000000-0005-0000-0000-0000D81D0000}"/>
    <cellStyle name="Separador de milhares 2 3 3 7 3 2" xfId="27071" xr:uid="{00000000-0005-0000-0000-0000D91D0000}"/>
    <cellStyle name="Separador de milhares 2 3 3 7 3 2 2" xfId="53252" xr:uid="{00000000-0005-0000-0000-0000DA1D0000}"/>
    <cellStyle name="Separador de milhares 2 3 3 7 3 3" xfId="21157" xr:uid="{00000000-0005-0000-0000-0000DB1D0000}"/>
    <cellStyle name="Separador de milhares 2 3 3 7 3 3 2" xfId="47344" xr:uid="{00000000-0005-0000-0000-0000DC1D0000}"/>
    <cellStyle name="Separador de milhares 2 3 3 7 3 4" xfId="15243" xr:uid="{00000000-0005-0000-0000-0000DD1D0000}"/>
    <cellStyle name="Separador de milhares 2 3 3 7 3 4 2" xfId="41436" xr:uid="{00000000-0005-0000-0000-0000DE1D0000}"/>
    <cellStyle name="Separador de milhares 2 3 3 7 3 5" xfId="35050" xr:uid="{00000000-0005-0000-0000-0000DF1D0000}"/>
    <cellStyle name="Separador de milhares 2 3 3 7 4" xfId="5482" xr:uid="{00000000-0005-0000-0000-0000E01D0000}"/>
    <cellStyle name="Separador de milhares 2 3 3 7 4 2" xfId="24114" xr:uid="{00000000-0005-0000-0000-0000E11D0000}"/>
    <cellStyle name="Separador de milhares 2 3 3 7 4 2 2" xfId="50298" xr:uid="{00000000-0005-0000-0000-0000E21D0000}"/>
    <cellStyle name="Separador de milhares 2 3 3 7 4 3" xfId="31678" xr:uid="{00000000-0005-0000-0000-0000E31D0000}"/>
    <cellStyle name="Separador de milhares 2 3 3 7 5" xfId="18200" xr:uid="{00000000-0005-0000-0000-0000E41D0000}"/>
    <cellStyle name="Separador de milhares 2 3 3 7 5 2" xfId="44390" xr:uid="{00000000-0005-0000-0000-0000E51D0000}"/>
    <cellStyle name="Separador de milhares 2 3 3 7 6" xfId="11869" xr:uid="{00000000-0005-0000-0000-0000E61D0000}"/>
    <cellStyle name="Separador de milhares 2 3 3 7 6 2" xfId="38062" xr:uid="{00000000-0005-0000-0000-0000E71D0000}"/>
    <cellStyle name="Separador de milhares 2 3 3 7 7" xfId="29980" xr:uid="{00000000-0005-0000-0000-0000E81D0000}"/>
    <cellStyle name="Separador de milhares 2 3 3 8" xfId="3229" xr:uid="{00000000-0005-0000-0000-0000E91D0000}"/>
    <cellStyle name="Separador de milhares 2 3 3 8 2" xfId="7328" xr:uid="{00000000-0005-0000-0000-0000EA1D0000}"/>
    <cellStyle name="Separador de milhares 2 3 3 8 2 2" xfId="10472" xr:uid="{00000000-0005-0000-0000-0000EB1D0000}"/>
    <cellStyle name="Separador de milhares 2 3 3 8 2 2 2" xfId="28686" xr:uid="{00000000-0005-0000-0000-0000EC1D0000}"/>
    <cellStyle name="Separador de milhares 2 3 3 8 2 2 2 2" xfId="54867" xr:uid="{00000000-0005-0000-0000-0000ED1D0000}"/>
    <cellStyle name="Separador de milhares 2 3 3 8 2 2 3" xfId="22772" xr:uid="{00000000-0005-0000-0000-0000EE1D0000}"/>
    <cellStyle name="Separador de milhares 2 3 3 8 2 2 3 2" xfId="48959" xr:uid="{00000000-0005-0000-0000-0000EF1D0000}"/>
    <cellStyle name="Separador de milhares 2 3 3 8 2 2 4" xfId="16858" xr:uid="{00000000-0005-0000-0000-0000F01D0000}"/>
    <cellStyle name="Separador de milhares 2 3 3 8 2 2 4 2" xfId="43051" xr:uid="{00000000-0005-0000-0000-0000F11D0000}"/>
    <cellStyle name="Separador de milhares 2 3 3 8 2 2 5" xfId="36665" xr:uid="{00000000-0005-0000-0000-0000F21D0000}"/>
    <cellStyle name="Separador de milhares 2 3 3 8 2 3" xfId="25729" xr:uid="{00000000-0005-0000-0000-0000F31D0000}"/>
    <cellStyle name="Separador de milhares 2 3 3 8 2 3 2" xfId="51913" xr:uid="{00000000-0005-0000-0000-0000F41D0000}"/>
    <cellStyle name="Separador de milhares 2 3 3 8 2 4" xfId="19815" xr:uid="{00000000-0005-0000-0000-0000F51D0000}"/>
    <cellStyle name="Separador de milhares 2 3 3 8 2 4 2" xfId="46005" xr:uid="{00000000-0005-0000-0000-0000F61D0000}"/>
    <cellStyle name="Separador de milhares 2 3 3 8 2 5" xfId="13717" xr:uid="{00000000-0005-0000-0000-0000F71D0000}"/>
    <cellStyle name="Separador de milhares 2 3 3 8 2 5 2" xfId="39910" xr:uid="{00000000-0005-0000-0000-0000F81D0000}"/>
    <cellStyle name="Separador de milhares 2 3 3 8 2 6" xfId="33524" xr:uid="{00000000-0005-0000-0000-0000F91D0000}"/>
    <cellStyle name="Separador de milhares 2 3 3 8 3" xfId="9004" xr:uid="{00000000-0005-0000-0000-0000FA1D0000}"/>
    <cellStyle name="Separador de milhares 2 3 3 8 3 2" xfId="27218" xr:uid="{00000000-0005-0000-0000-0000FB1D0000}"/>
    <cellStyle name="Separador de milhares 2 3 3 8 3 2 2" xfId="53399" xr:uid="{00000000-0005-0000-0000-0000FC1D0000}"/>
    <cellStyle name="Separador de milhares 2 3 3 8 3 3" xfId="21304" xr:uid="{00000000-0005-0000-0000-0000FD1D0000}"/>
    <cellStyle name="Separador de milhares 2 3 3 8 3 3 2" xfId="47491" xr:uid="{00000000-0005-0000-0000-0000FE1D0000}"/>
    <cellStyle name="Separador de milhares 2 3 3 8 3 4" xfId="15390" xr:uid="{00000000-0005-0000-0000-0000FF1D0000}"/>
    <cellStyle name="Separador de milhares 2 3 3 8 3 4 2" xfId="41583" xr:uid="{00000000-0005-0000-0000-0000001E0000}"/>
    <cellStyle name="Separador de milhares 2 3 3 8 3 5" xfId="35197" xr:uid="{00000000-0005-0000-0000-0000011E0000}"/>
    <cellStyle name="Separador de milhares 2 3 3 8 4" xfId="5629" xr:uid="{00000000-0005-0000-0000-0000021E0000}"/>
    <cellStyle name="Separador de milhares 2 3 3 8 4 2" xfId="24261" xr:uid="{00000000-0005-0000-0000-0000031E0000}"/>
    <cellStyle name="Separador de milhares 2 3 3 8 4 2 2" xfId="50445" xr:uid="{00000000-0005-0000-0000-0000041E0000}"/>
    <cellStyle name="Separador de milhares 2 3 3 8 4 3" xfId="31825" xr:uid="{00000000-0005-0000-0000-0000051E0000}"/>
    <cellStyle name="Separador de milhares 2 3 3 8 5" xfId="18347" xr:uid="{00000000-0005-0000-0000-0000061E0000}"/>
    <cellStyle name="Separador de milhares 2 3 3 8 5 2" xfId="44537" xr:uid="{00000000-0005-0000-0000-0000071E0000}"/>
    <cellStyle name="Separador de milhares 2 3 3 8 6" xfId="12016" xr:uid="{00000000-0005-0000-0000-0000081E0000}"/>
    <cellStyle name="Separador de milhares 2 3 3 8 6 2" xfId="38209" xr:uid="{00000000-0005-0000-0000-0000091E0000}"/>
    <cellStyle name="Separador de milhares 2 3 3 8 7" xfId="30127" xr:uid="{00000000-0005-0000-0000-00000A1E0000}"/>
    <cellStyle name="Separador de milhares 2 3 3 9" xfId="3756" xr:uid="{00000000-0005-0000-0000-00000B1E0000}"/>
    <cellStyle name="Separador de milhares 2 3 3 9 2" xfId="7475" xr:uid="{00000000-0005-0000-0000-00000C1E0000}"/>
    <cellStyle name="Separador de milhares 2 3 3 9 2 2" xfId="10619" xr:uid="{00000000-0005-0000-0000-00000D1E0000}"/>
    <cellStyle name="Separador de milhares 2 3 3 9 2 2 2" xfId="28833" xr:uid="{00000000-0005-0000-0000-00000E1E0000}"/>
    <cellStyle name="Separador de milhares 2 3 3 9 2 2 2 2" xfId="55014" xr:uid="{00000000-0005-0000-0000-00000F1E0000}"/>
    <cellStyle name="Separador de milhares 2 3 3 9 2 2 3" xfId="22919" xr:uid="{00000000-0005-0000-0000-0000101E0000}"/>
    <cellStyle name="Separador de milhares 2 3 3 9 2 2 3 2" xfId="49106" xr:uid="{00000000-0005-0000-0000-0000111E0000}"/>
    <cellStyle name="Separador de milhares 2 3 3 9 2 2 4" xfId="17005" xr:uid="{00000000-0005-0000-0000-0000121E0000}"/>
    <cellStyle name="Separador de milhares 2 3 3 9 2 2 4 2" xfId="43198" xr:uid="{00000000-0005-0000-0000-0000131E0000}"/>
    <cellStyle name="Separador de milhares 2 3 3 9 2 2 5" xfId="36812" xr:uid="{00000000-0005-0000-0000-0000141E0000}"/>
    <cellStyle name="Separador de milhares 2 3 3 9 2 3" xfId="25876" xr:uid="{00000000-0005-0000-0000-0000151E0000}"/>
    <cellStyle name="Separador de milhares 2 3 3 9 2 3 2" xfId="52060" xr:uid="{00000000-0005-0000-0000-0000161E0000}"/>
    <cellStyle name="Separador de milhares 2 3 3 9 2 4" xfId="19962" xr:uid="{00000000-0005-0000-0000-0000171E0000}"/>
    <cellStyle name="Separador de milhares 2 3 3 9 2 4 2" xfId="46152" xr:uid="{00000000-0005-0000-0000-0000181E0000}"/>
    <cellStyle name="Separador de milhares 2 3 3 9 2 5" xfId="13864" xr:uid="{00000000-0005-0000-0000-0000191E0000}"/>
    <cellStyle name="Separador de milhares 2 3 3 9 2 5 2" xfId="40057" xr:uid="{00000000-0005-0000-0000-00001A1E0000}"/>
    <cellStyle name="Separador de milhares 2 3 3 9 2 6" xfId="33671" xr:uid="{00000000-0005-0000-0000-00001B1E0000}"/>
    <cellStyle name="Separador de milhares 2 3 3 9 3" xfId="9151" xr:uid="{00000000-0005-0000-0000-00001C1E0000}"/>
    <cellStyle name="Separador de milhares 2 3 3 9 3 2" xfId="27365" xr:uid="{00000000-0005-0000-0000-00001D1E0000}"/>
    <cellStyle name="Separador de milhares 2 3 3 9 3 2 2" xfId="53546" xr:uid="{00000000-0005-0000-0000-00001E1E0000}"/>
    <cellStyle name="Separador de milhares 2 3 3 9 3 3" xfId="21451" xr:uid="{00000000-0005-0000-0000-00001F1E0000}"/>
    <cellStyle name="Separador de milhares 2 3 3 9 3 3 2" xfId="47638" xr:uid="{00000000-0005-0000-0000-0000201E0000}"/>
    <cellStyle name="Separador de milhares 2 3 3 9 3 4" xfId="15537" xr:uid="{00000000-0005-0000-0000-0000211E0000}"/>
    <cellStyle name="Separador de milhares 2 3 3 9 3 4 2" xfId="41730" xr:uid="{00000000-0005-0000-0000-0000221E0000}"/>
    <cellStyle name="Separador de milhares 2 3 3 9 3 5" xfId="35344" xr:uid="{00000000-0005-0000-0000-0000231E0000}"/>
    <cellStyle name="Separador de milhares 2 3 3 9 4" xfId="5776" xr:uid="{00000000-0005-0000-0000-0000241E0000}"/>
    <cellStyle name="Separador de milhares 2 3 3 9 4 2" xfId="24408" xr:uid="{00000000-0005-0000-0000-0000251E0000}"/>
    <cellStyle name="Separador de milhares 2 3 3 9 4 2 2" xfId="50592" xr:uid="{00000000-0005-0000-0000-0000261E0000}"/>
    <cellStyle name="Separador de milhares 2 3 3 9 4 3" xfId="31972" xr:uid="{00000000-0005-0000-0000-0000271E0000}"/>
    <cellStyle name="Separador de milhares 2 3 3 9 5" xfId="18494" xr:uid="{00000000-0005-0000-0000-0000281E0000}"/>
    <cellStyle name="Separador de milhares 2 3 3 9 5 2" xfId="44684" xr:uid="{00000000-0005-0000-0000-0000291E0000}"/>
    <cellStyle name="Separador de milhares 2 3 3 9 6" xfId="12163" xr:uid="{00000000-0005-0000-0000-00002A1E0000}"/>
    <cellStyle name="Separador de milhares 2 3 3 9 6 2" xfId="38356" xr:uid="{00000000-0005-0000-0000-00002B1E0000}"/>
    <cellStyle name="Separador de milhares 2 3 3 9 7" xfId="30274" xr:uid="{00000000-0005-0000-0000-00002C1E0000}"/>
    <cellStyle name="Separador de milhares 2 3 4" xfId="6434" xr:uid="{00000000-0005-0000-0000-00002D1E0000}"/>
    <cellStyle name="Separador de milhares 2 3 4 2" xfId="9589" xr:uid="{00000000-0005-0000-0000-00002E1E0000}"/>
    <cellStyle name="Separador de milhares 2 3 4 2 2" xfId="27803" xr:uid="{00000000-0005-0000-0000-00002F1E0000}"/>
    <cellStyle name="Separador de milhares 2 3 4 2 2 2" xfId="53984" xr:uid="{00000000-0005-0000-0000-0000301E0000}"/>
    <cellStyle name="Separador de milhares 2 3 4 2 3" xfId="21889" xr:uid="{00000000-0005-0000-0000-0000311E0000}"/>
    <cellStyle name="Separador de milhares 2 3 4 2 3 2" xfId="48076" xr:uid="{00000000-0005-0000-0000-0000321E0000}"/>
    <cellStyle name="Separador de milhares 2 3 4 2 4" xfId="15975" xr:uid="{00000000-0005-0000-0000-0000331E0000}"/>
    <cellStyle name="Separador de milhares 2 3 4 2 4 2" xfId="42168" xr:uid="{00000000-0005-0000-0000-0000341E0000}"/>
    <cellStyle name="Separador de milhares 2 3 4 2 5" xfId="35782" xr:uid="{00000000-0005-0000-0000-0000351E0000}"/>
    <cellStyle name="Separador de milhares 2 3 4 3" xfId="24846" xr:uid="{00000000-0005-0000-0000-0000361E0000}"/>
    <cellStyle name="Separador de milhares 2 3 4 3 2" xfId="51030" xr:uid="{00000000-0005-0000-0000-0000371E0000}"/>
    <cellStyle name="Separador de milhares 2 3 4 4" xfId="18932" xr:uid="{00000000-0005-0000-0000-0000381E0000}"/>
    <cellStyle name="Separador de milhares 2 3 4 4 2" xfId="45122" xr:uid="{00000000-0005-0000-0000-0000391E0000}"/>
    <cellStyle name="Separador de milhares 2 3 4 5" xfId="12823" xr:uid="{00000000-0005-0000-0000-00003A1E0000}"/>
    <cellStyle name="Separador de milhares 2 3 4 5 2" xfId="39016" xr:uid="{00000000-0005-0000-0000-00003B1E0000}"/>
    <cellStyle name="Separador de milhares 2 3 4 6" xfId="32630" xr:uid="{00000000-0005-0000-0000-00003C1E0000}"/>
    <cellStyle name="Separador de milhares 2 3 5" xfId="8118" xr:uid="{00000000-0005-0000-0000-00003D1E0000}"/>
    <cellStyle name="Separador de milhares 2 3 5 2" xfId="26332" xr:uid="{00000000-0005-0000-0000-00003E1E0000}"/>
    <cellStyle name="Separador de milhares 2 3 5 2 2" xfId="52516" xr:uid="{00000000-0005-0000-0000-00003F1E0000}"/>
    <cellStyle name="Separador de milhares 2 3 5 3" xfId="20418" xr:uid="{00000000-0005-0000-0000-0000401E0000}"/>
    <cellStyle name="Separador de milhares 2 3 5 3 2" xfId="46608" xr:uid="{00000000-0005-0000-0000-0000411E0000}"/>
    <cellStyle name="Separador de milhares 2 3 5 4" xfId="14507" xr:uid="{00000000-0005-0000-0000-0000421E0000}"/>
    <cellStyle name="Separador de milhares 2 3 5 4 2" xfId="40700" xr:uid="{00000000-0005-0000-0000-0000431E0000}"/>
    <cellStyle name="Separador de milhares 2 3 5 5" xfId="34314" xr:uid="{00000000-0005-0000-0000-0000441E0000}"/>
    <cellStyle name="Separador de milhares 2 3 6" xfId="4732" xr:uid="{00000000-0005-0000-0000-0000451E0000}"/>
    <cellStyle name="Separador de milhares 2 3 6 2" xfId="23375" xr:uid="{00000000-0005-0000-0000-0000461E0000}"/>
    <cellStyle name="Separador de milhares 2 3 6 2 2" xfId="49562" xr:uid="{00000000-0005-0000-0000-0000471E0000}"/>
    <cellStyle name="Separador de milhares 2 3 6 3" xfId="30931" xr:uid="{00000000-0005-0000-0000-0000481E0000}"/>
    <cellStyle name="Separador de milhares 2 3 7" xfId="17461" xr:uid="{00000000-0005-0000-0000-0000491E0000}"/>
    <cellStyle name="Separador de milhares 2 3 7 2" xfId="43654" xr:uid="{00000000-0005-0000-0000-00004A1E0000}"/>
    <cellStyle name="Separador de milhares 2 3 8" xfId="11122" xr:uid="{00000000-0005-0000-0000-00004B1E0000}"/>
    <cellStyle name="Separador de milhares 2 3 8 2" xfId="37315" xr:uid="{00000000-0005-0000-0000-00004C1E0000}"/>
    <cellStyle name="Separador de milhares 2 3 9" xfId="29234" xr:uid="{00000000-0005-0000-0000-00004D1E0000}"/>
    <cellStyle name="Separador de milhares 2 4" xfId="118" xr:uid="{00000000-0005-0000-0000-00004E1E0000}"/>
    <cellStyle name="Separador de milhares 2 4 10" xfId="6438" xr:uid="{00000000-0005-0000-0000-00004F1E0000}"/>
    <cellStyle name="Separador de milhares 2 4 10 2" xfId="9592" xr:uid="{00000000-0005-0000-0000-0000501E0000}"/>
    <cellStyle name="Separador de milhares 2 4 10 2 2" xfId="27806" xr:uid="{00000000-0005-0000-0000-0000511E0000}"/>
    <cellStyle name="Separador de milhares 2 4 10 2 2 2" xfId="53987" xr:uid="{00000000-0005-0000-0000-0000521E0000}"/>
    <cellStyle name="Separador de milhares 2 4 10 2 3" xfId="21892" xr:uid="{00000000-0005-0000-0000-0000531E0000}"/>
    <cellStyle name="Separador de milhares 2 4 10 2 3 2" xfId="48079" xr:uid="{00000000-0005-0000-0000-0000541E0000}"/>
    <cellStyle name="Separador de milhares 2 4 10 2 4" xfId="15978" xr:uid="{00000000-0005-0000-0000-0000551E0000}"/>
    <cellStyle name="Separador de milhares 2 4 10 2 4 2" xfId="42171" xr:uid="{00000000-0005-0000-0000-0000561E0000}"/>
    <cellStyle name="Separador de milhares 2 4 10 2 5" xfId="35785" xr:uid="{00000000-0005-0000-0000-0000571E0000}"/>
    <cellStyle name="Separador de milhares 2 4 10 3" xfId="24849" xr:uid="{00000000-0005-0000-0000-0000581E0000}"/>
    <cellStyle name="Separador de milhares 2 4 10 3 2" xfId="51033" xr:uid="{00000000-0005-0000-0000-0000591E0000}"/>
    <cellStyle name="Separador de milhares 2 4 10 4" xfId="18935" xr:uid="{00000000-0005-0000-0000-00005A1E0000}"/>
    <cellStyle name="Separador de milhares 2 4 10 4 2" xfId="45125" xr:uid="{00000000-0005-0000-0000-00005B1E0000}"/>
    <cellStyle name="Separador de milhares 2 4 10 5" xfId="12827" xr:uid="{00000000-0005-0000-0000-00005C1E0000}"/>
    <cellStyle name="Separador de milhares 2 4 10 5 2" xfId="39020" xr:uid="{00000000-0005-0000-0000-00005D1E0000}"/>
    <cellStyle name="Separador de milhares 2 4 10 6" xfId="32634" xr:uid="{00000000-0005-0000-0000-00005E1E0000}"/>
    <cellStyle name="Separador de milhares 2 4 11" xfId="8121" xr:uid="{00000000-0005-0000-0000-00005F1E0000}"/>
    <cellStyle name="Separador de milhares 2 4 11 2" xfId="26335" xr:uid="{00000000-0005-0000-0000-0000601E0000}"/>
    <cellStyle name="Separador de milhares 2 4 11 2 2" xfId="52519" xr:uid="{00000000-0005-0000-0000-0000611E0000}"/>
    <cellStyle name="Separador de milhares 2 4 11 3" xfId="20421" xr:uid="{00000000-0005-0000-0000-0000621E0000}"/>
    <cellStyle name="Separador de milhares 2 4 11 3 2" xfId="46611" xr:uid="{00000000-0005-0000-0000-0000631E0000}"/>
    <cellStyle name="Separador de milhares 2 4 11 4" xfId="14510" xr:uid="{00000000-0005-0000-0000-0000641E0000}"/>
    <cellStyle name="Separador de milhares 2 4 11 4 2" xfId="40703" xr:uid="{00000000-0005-0000-0000-0000651E0000}"/>
    <cellStyle name="Separador de milhares 2 4 11 5" xfId="34317" xr:uid="{00000000-0005-0000-0000-0000661E0000}"/>
    <cellStyle name="Separador de milhares 2 4 12" xfId="4737" xr:uid="{00000000-0005-0000-0000-0000671E0000}"/>
    <cellStyle name="Separador de milhares 2 4 12 2" xfId="23378" xr:uid="{00000000-0005-0000-0000-0000681E0000}"/>
    <cellStyle name="Separador de milhares 2 4 12 2 2" xfId="49565" xr:uid="{00000000-0005-0000-0000-0000691E0000}"/>
    <cellStyle name="Separador de milhares 2 4 12 3" xfId="30935" xr:uid="{00000000-0005-0000-0000-00006A1E0000}"/>
    <cellStyle name="Separador de milhares 2 4 13" xfId="17464" xr:uid="{00000000-0005-0000-0000-00006B1E0000}"/>
    <cellStyle name="Separador de milhares 2 4 13 2" xfId="43657" xr:uid="{00000000-0005-0000-0000-00006C1E0000}"/>
    <cellStyle name="Separador de milhares 2 4 14" xfId="11126" xr:uid="{00000000-0005-0000-0000-00006D1E0000}"/>
    <cellStyle name="Separador de milhares 2 4 14 2" xfId="37319" xr:uid="{00000000-0005-0000-0000-00006E1E0000}"/>
    <cellStyle name="Separador de milhares 2 4 15" xfId="29238" xr:uid="{00000000-0005-0000-0000-00006F1E0000}"/>
    <cellStyle name="Separador de milhares 2 4 2" xfId="658" xr:uid="{00000000-0005-0000-0000-0000701E0000}"/>
    <cellStyle name="Separador de milhares 2 4 2 10" xfId="17615" xr:uid="{00000000-0005-0000-0000-0000711E0000}"/>
    <cellStyle name="Separador de milhares 2 4 2 10 2" xfId="43805" xr:uid="{00000000-0005-0000-0000-0000721E0000}"/>
    <cellStyle name="Separador de milhares 2 4 2 11" xfId="11281" xr:uid="{00000000-0005-0000-0000-0000731E0000}"/>
    <cellStyle name="Separador de milhares 2 4 2 11 2" xfId="37474" xr:uid="{00000000-0005-0000-0000-0000741E0000}"/>
    <cellStyle name="Separador de milhares 2 4 2 12" xfId="29392" xr:uid="{00000000-0005-0000-0000-0000751E0000}"/>
    <cellStyle name="Separador de milhares 2 4 2 2" xfId="1910" xr:uid="{00000000-0005-0000-0000-0000761E0000}"/>
    <cellStyle name="Separador de milhares 2 4 2 2 2" xfId="6957" xr:uid="{00000000-0005-0000-0000-0000771E0000}"/>
    <cellStyle name="Separador de milhares 2 4 2 2 2 2" xfId="10104" xr:uid="{00000000-0005-0000-0000-0000781E0000}"/>
    <cellStyle name="Separador de milhares 2 4 2 2 2 2 2" xfId="28318" xr:uid="{00000000-0005-0000-0000-0000791E0000}"/>
    <cellStyle name="Separador de milhares 2 4 2 2 2 2 2 2" xfId="54499" xr:uid="{00000000-0005-0000-0000-00007A1E0000}"/>
    <cellStyle name="Separador de milhares 2 4 2 2 2 2 3" xfId="22404" xr:uid="{00000000-0005-0000-0000-00007B1E0000}"/>
    <cellStyle name="Separador de milhares 2 4 2 2 2 2 3 2" xfId="48591" xr:uid="{00000000-0005-0000-0000-00007C1E0000}"/>
    <cellStyle name="Separador de milhares 2 4 2 2 2 2 4" xfId="16490" xr:uid="{00000000-0005-0000-0000-00007D1E0000}"/>
    <cellStyle name="Separador de milhares 2 4 2 2 2 2 4 2" xfId="42683" xr:uid="{00000000-0005-0000-0000-00007E1E0000}"/>
    <cellStyle name="Separador de milhares 2 4 2 2 2 2 5" xfId="36297" xr:uid="{00000000-0005-0000-0000-00007F1E0000}"/>
    <cellStyle name="Separador de milhares 2 4 2 2 2 3" xfId="25361" xr:uid="{00000000-0005-0000-0000-0000801E0000}"/>
    <cellStyle name="Separador de milhares 2 4 2 2 2 3 2" xfId="51545" xr:uid="{00000000-0005-0000-0000-0000811E0000}"/>
    <cellStyle name="Separador de milhares 2 4 2 2 2 4" xfId="19447" xr:uid="{00000000-0005-0000-0000-0000821E0000}"/>
    <cellStyle name="Separador de milhares 2 4 2 2 2 4 2" xfId="45637" xr:uid="{00000000-0005-0000-0000-0000831E0000}"/>
    <cellStyle name="Separador de milhares 2 4 2 2 2 5" xfId="13346" xr:uid="{00000000-0005-0000-0000-0000841E0000}"/>
    <cellStyle name="Separador de milhares 2 4 2 2 2 5 2" xfId="39539" xr:uid="{00000000-0005-0000-0000-0000851E0000}"/>
    <cellStyle name="Separador de milhares 2 4 2 2 2 6" xfId="33153" xr:uid="{00000000-0005-0000-0000-0000861E0000}"/>
    <cellStyle name="Separador de milhares 2 4 2 2 3" xfId="8636" xr:uid="{00000000-0005-0000-0000-0000871E0000}"/>
    <cellStyle name="Separador de milhares 2 4 2 2 3 2" xfId="26850" xr:uid="{00000000-0005-0000-0000-0000881E0000}"/>
    <cellStyle name="Separador de milhares 2 4 2 2 3 2 2" xfId="53031" xr:uid="{00000000-0005-0000-0000-0000891E0000}"/>
    <cellStyle name="Separador de milhares 2 4 2 2 3 3" xfId="20936" xr:uid="{00000000-0005-0000-0000-00008A1E0000}"/>
    <cellStyle name="Separador de milhares 2 4 2 2 3 3 2" xfId="47123" xr:uid="{00000000-0005-0000-0000-00008B1E0000}"/>
    <cellStyle name="Separador de milhares 2 4 2 2 3 4" xfId="15022" xr:uid="{00000000-0005-0000-0000-00008C1E0000}"/>
    <cellStyle name="Separador de milhares 2 4 2 2 3 4 2" xfId="41215" xr:uid="{00000000-0005-0000-0000-00008D1E0000}"/>
    <cellStyle name="Separador de milhares 2 4 2 2 3 5" xfId="34829" xr:uid="{00000000-0005-0000-0000-00008E1E0000}"/>
    <cellStyle name="Separador de milhares 2 4 2 2 4" xfId="5258" xr:uid="{00000000-0005-0000-0000-00008F1E0000}"/>
    <cellStyle name="Separador de milhares 2 4 2 2 4 2" xfId="23893" xr:uid="{00000000-0005-0000-0000-0000901E0000}"/>
    <cellStyle name="Separador de milhares 2 4 2 2 4 2 2" xfId="50077" xr:uid="{00000000-0005-0000-0000-0000911E0000}"/>
    <cellStyle name="Separador de milhares 2 4 2 2 4 3" xfId="31454" xr:uid="{00000000-0005-0000-0000-0000921E0000}"/>
    <cellStyle name="Separador de milhares 2 4 2 2 5" xfId="17979" xr:uid="{00000000-0005-0000-0000-0000931E0000}"/>
    <cellStyle name="Separador de milhares 2 4 2 2 5 2" xfId="44169" xr:uid="{00000000-0005-0000-0000-0000941E0000}"/>
    <cellStyle name="Separador de milhares 2 4 2 2 6" xfId="11645" xr:uid="{00000000-0005-0000-0000-0000951E0000}"/>
    <cellStyle name="Separador de milhares 2 4 2 2 6 2" xfId="37838" xr:uid="{00000000-0005-0000-0000-0000961E0000}"/>
    <cellStyle name="Separador de milhares 2 4 2 2 7" xfId="29756" xr:uid="{00000000-0005-0000-0000-0000971E0000}"/>
    <cellStyle name="Separador de milhares 2 4 2 3" xfId="2440" xr:uid="{00000000-0005-0000-0000-0000981E0000}"/>
    <cellStyle name="Separador de milhares 2 4 2 3 2" xfId="7107" xr:uid="{00000000-0005-0000-0000-0000991E0000}"/>
    <cellStyle name="Separador de milhares 2 4 2 3 2 2" xfId="10251" xr:uid="{00000000-0005-0000-0000-00009A1E0000}"/>
    <cellStyle name="Separador de milhares 2 4 2 3 2 2 2" xfId="28465" xr:uid="{00000000-0005-0000-0000-00009B1E0000}"/>
    <cellStyle name="Separador de milhares 2 4 2 3 2 2 2 2" xfId="54646" xr:uid="{00000000-0005-0000-0000-00009C1E0000}"/>
    <cellStyle name="Separador de milhares 2 4 2 3 2 2 3" xfId="22551" xr:uid="{00000000-0005-0000-0000-00009D1E0000}"/>
    <cellStyle name="Separador de milhares 2 4 2 3 2 2 3 2" xfId="48738" xr:uid="{00000000-0005-0000-0000-00009E1E0000}"/>
    <cellStyle name="Separador de milhares 2 4 2 3 2 2 4" xfId="16637" xr:uid="{00000000-0005-0000-0000-00009F1E0000}"/>
    <cellStyle name="Separador de milhares 2 4 2 3 2 2 4 2" xfId="42830" xr:uid="{00000000-0005-0000-0000-0000A01E0000}"/>
    <cellStyle name="Separador de milhares 2 4 2 3 2 2 5" xfId="36444" xr:uid="{00000000-0005-0000-0000-0000A11E0000}"/>
    <cellStyle name="Separador de milhares 2 4 2 3 2 3" xfId="25508" xr:uid="{00000000-0005-0000-0000-0000A21E0000}"/>
    <cellStyle name="Separador de milhares 2 4 2 3 2 3 2" xfId="51692" xr:uid="{00000000-0005-0000-0000-0000A31E0000}"/>
    <cellStyle name="Separador de milhares 2 4 2 3 2 4" xfId="19594" xr:uid="{00000000-0005-0000-0000-0000A41E0000}"/>
    <cellStyle name="Separador de milhares 2 4 2 3 2 4 2" xfId="45784" xr:uid="{00000000-0005-0000-0000-0000A51E0000}"/>
    <cellStyle name="Separador de milhares 2 4 2 3 2 5" xfId="13496" xr:uid="{00000000-0005-0000-0000-0000A61E0000}"/>
    <cellStyle name="Separador de milhares 2 4 2 3 2 5 2" xfId="39689" xr:uid="{00000000-0005-0000-0000-0000A71E0000}"/>
    <cellStyle name="Separador de milhares 2 4 2 3 2 6" xfId="33303" xr:uid="{00000000-0005-0000-0000-0000A81E0000}"/>
    <cellStyle name="Separador de milhares 2 4 2 3 3" xfId="8783" xr:uid="{00000000-0005-0000-0000-0000A91E0000}"/>
    <cellStyle name="Separador de milhares 2 4 2 3 3 2" xfId="26997" xr:uid="{00000000-0005-0000-0000-0000AA1E0000}"/>
    <cellStyle name="Separador de milhares 2 4 2 3 3 2 2" xfId="53178" xr:uid="{00000000-0005-0000-0000-0000AB1E0000}"/>
    <cellStyle name="Separador de milhares 2 4 2 3 3 3" xfId="21083" xr:uid="{00000000-0005-0000-0000-0000AC1E0000}"/>
    <cellStyle name="Separador de milhares 2 4 2 3 3 3 2" xfId="47270" xr:uid="{00000000-0005-0000-0000-0000AD1E0000}"/>
    <cellStyle name="Separador de milhares 2 4 2 3 3 4" xfId="15169" xr:uid="{00000000-0005-0000-0000-0000AE1E0000}"/>
    <cellStyle name="Separador de milhares 2 4 2 3 3 4 2" xfId="41362" xr:uid="{00000000-0005-0000-0000-0000AF1E0000}"/>
    <cellStyle name="Separador de milhares 2 4 2 3 3 5" xfId="34976" xr:uid="{00000000-0005-0000-0000-0000B01E0000}"/>
    <cellStyle name="Separador de milhares 2 4 2 3 4" xfId="5408" xr:uid="{00000000-0005-0000-0000-0000B11E0000}"/>
    <cellStyle name="Separador de milhares 2 4 2 3 4 2" xfId="24040" xr:uid="{00000000-0005-0000-0000-0000B21E0000}"/>
    <cellStyle name="Separador de milhares 2 4 2 3 4 2 2" xfId="50224" xr:uid="{00000000-0005-0000-0000-0000B31E0000}"/>
    <cellStyle name="Separador de milhares 2 4 2 3 4 3" xfId="31604" xr:uid="{00000000-0005-0000-0000-0000B41E0000}"/>
    <cellStyle name="Separador de milhares 2 4 2 3 5" xfId="18126" xr:uid="{00000000-0005-0000-0000-0000B51E0000}"/>
    <cellStyle name="Separador de milhares 2 4 2 3 5 2" xfId="44316" xr:uid="{00000000-0005-0000-0000-0000B61E0000}"/>
    <cellStyle name="Separador de milhares 2 4 2 3 6" xfId="11795" xr:uid="{00000000-0005-0000-0000-0000B71E0000}"/>
    <cellStyle name="Separador de milhares 2 4 2 3 6 2" xfId="37988" xr:uid="{00000000-0005-0000-0000-0000B81E0000}"/>
    <cellStyle name="Separador de milhares 2 4 2 3 7" xfId="29906" xr:uid="{00000000-0005-0000-0000-0000B91E0000}"/>
    <cellStyle name="Separador de milhares 2 4 2 4" xfId="2967" xr:uid="{00000000-0005-0000-0000-0000BA1E0000}"/>
    <cellStyle name="Separador de milhares 2 4 2 4 2" xfId="7254" xr:uid="{00000000-0005-0000-0000-0000BB1E0000}"/>
    <cellStyle name="Separador de milhares 2 4 2 4 2 2" xfId="10398" xr:uid="{00000000-0005-0000-0000-0000BC1E0000}"/>
    <cellStyle name="Separador de milhares 2 4 2 4 2 2 2" xfId="28612" xr:uid="{00000000-0005-0000-0000-0000BD1E0000}"/>
    <cellStyle name="Separador de milhares 2 4 2 4 2 2 2 2" xfId="54793" xr:uid="{00000000-0005-0000-0000-0000BE1E0000}"/>
    <cellStyle name="Separador de milhares 2 4 2 4 2 2 3" xfId="22698" xr:uid="{00000000-0005-0000-0000-0000BF1E0000}"/>
    <cellStyle name="Separador de milhares 2 4 2 4 2 2 3 2" xfId="48885" xr:uid="{00000000-0005-0000-0000-0000C01E0000}"/>
    <cellStyle name="Separador de milhares 2 4 2 4 2 2 4" xfId="16784" xr:uid="{00000000-0005-0000-0000-0000C11E0000}"/>
    <cellStyle name="Separador de milhares 2 4 2 4 2 2 4 2" xfId="42977" xr:uid="{00000000-0005-0000-0000-0000C21E0000}"/>
    <cellStyle name="Separador de milhares 2 4 2 4 2 2 5" xfId="36591" xr:uid="{00000000-0005-0000-0000-0000C31E0000}"/>
    <cellStyle name="Separador de milhares 2 4 2 4 2 3" xfId="25655" xr:uid="{00000000-0005-0000-0000-0000C41E0000}"/>
    <cellStyle name="Separador de milhares 2 4 2 4 2 3 2" xfId="51839" xr:uid="{00000000-0005-0000-0000-0000C51E0000}"/>
    <cellStyle name="Separador de milhares 2 4 2 4 2 4" xfId="19741" xr:uid="{00000000-0005-0000-0000-0000C61E0000}"/>
    <cellStyle name="Separador de milhares 2 4 2 4 2 4 2" xfId="45931" xr:uid="{00000000-0005-0000-0000-0000C71E0000}"/>
    <cellStyle name="Separador de milhares 2 4 2 4 2 5" xfId="13643" xr:uid="{00000000-0005-0000-0000-0000C81E0000}"/>
    <cellStyle name="Separador de milhares 2 4 2 4 2 5 2" xfId="39836" xr:uid="{00000000-0005-0000-0000-0000C91E0000}"/>
    <cellStyle name="Separador de milhares 2 4 2 4 2 6" xfId="33450" xr:uid="{00000000-0005-0000-0000-0000CA1E0000}"/>
    <cellStyle name="Separador de milhares 2 4 2 4 3" xfId="8930" xr:uid="{00000000-0005-0000-0000-0000CB1E0000}"/>
    <cellStyle name="Separador de milhares 2 4 2 4 3 2" xfId="27144" xr:uid="{00000000-0005-0000-0000-0000CC1E0000}"/>
    <cellStyle name="Separador de milhares 2 4 2 4 3 2 2" xfId="53325" xr:uid="{00000000-0005-0000-0000-0000CD1E0000}"/>
    <cellStyle name="Separador de milhares 2 4 2 4 3 3" xfId="21230" xr:uid="{00000000-0005-0000-0000-0000CE1E0000}"/>
    <cellStyle name="Separador de milhares 2 4 2 4 3 3 2" xfId="47417" xr:uid="{00000000-0005-0000-0000-0000CF1E0000}"/>
    <cellStyle name="Separador de milhares 2 4 2 4 3 4" xfId="15316" xr:uid="{00000000-0005-0000-0000-0000D01E0000}"/>
    <cellStyle name="Separador de milhares 2 4 2 4 3 4 2" xfId="41509" xr:uid="{00000000-0005-0000-0000-0000D11E0000}"/>
    <cellStyle name="Separador de milhares 2 4 2 4 3 5" xfId="35123" xr:uid="{00000000-0005-0000-0000-0000D21E0000}"/>
    <cellStyle name="Separador de milhares 2 4 2 4 4" xfId="5555" xr:uid="{00000000-0005-0000-0000-0000D31E0000}"/>
    <cellStyle name="Separador de milhares 2 4 2 4 4 2" xfId="24187" xr:uid="{00000000-0005-0000-0000-0000D41E0000}"/>
    <cellStyle name="Separador de milhares 2 4 2 4 4 2 2" xfId="50371" xr:uid="{00000000-0005-0000-0000-0000D51E0000}"/>
    <cellStyle name="Separador de milhares 2 4 2 4 4 3" xfId="31751" xr:uid="{00000000-0005-0000-0000-0000D61E0000}"/>
    <cellStyle name="Separador de milhares 2 4 2 4 5" xfId="18273" xr:uid="{00000000-0005-0000-0000-0000D71E0000}"/>
    <cellStyle name="Separador de milhares 2 4 2 4 5 2" xfId="44463" xr:uid="{00000000-0005-0000-0000-0000D81E0000}"/>
    <cellStyle name="Separador de milhares 2 4 2 4 6" xfId="11942" xr:uid="{00000000-0005-0000-0000-0000D91E0000}"/>
    <cellStyle name="Separador de milhares 2 4 2 4 6 2" xfId="38135" xr:uid="{00000000-0005-0000-0000-0000DA1E0000}"/>
    <cellStyle name="Separador de milhares 2 4 2 4 7" xfId="30053" xr:uid="{00000000-0005-0000-0000-0000DB1E0000}"/>
    <cellStyle name="Separador de milhares 2 4 2 5" xfId="3494" xr:uid="{00000000-0005-0000-0000-0000DC1E0000}"/>
    <cellStyle name="Separador de milhares 2 4 2 5 2" xfId="7401" xr:uid="{00000000-0005-0000-0000-0000DD1E0000}"/>
    <cellStyle name="Separador de milhares 2 4 2 5 2 2" xfId="10545" xr:uid="{00000000-0005-0000-0000-0000DE1E0000}"/>
    <cellStyle name="Separador de milhares 2 4 2 5 2 2 2" xfId="28759" xr:uid="{00000000-0005-0000-0000-0000DF1E0000}"/>
    <cellStyle name="Separador de milhares 2 4 2 5 2 2 2 2" xfId="54940" xr:uid="{00000000-0005-0000-0000-0000E01E0000}"/>
    <cellStyle name="Separador de milhares 2 4 2 5 2 2 3" xfId="22845" xr:uid="{00000000-0005-0000-0000-0000E11E0000}"/>
    <cellStyle name="Separador de milhares 2 4 2 5 2 2 3 2" xfId="49032" xr:uid="{00000000-0005-0000-0000-0000E21E0000}"/>
    <cellStyle name="Separador de milhares 2 4 2 5 2 2 4" xfId="16931" xr:uid="{00000000-0005-0000-0000-0000E31E0000}"/>
    <cellStyle name="Separador de milhares 2 4 2 5 2 2 4 2" xfId="43124" xr:uid="{00000000-0005-0000-0000-0000E41E0000}"/>
    <cellStyle name="Separador de milhares 2 4 2 5 2 2 5" xfId="36738" xr:uid="{00000000-0005-0000-0000-0000E51E0000}"/>
    <cellStyle name="Separador de milhares 2 4 2 5 2 3" xfId="25802" xr:uid="{00000000-0005-0000-0000-0000E61E0000}"/>
    <cellStyle name="Separador de milhares 2 4 2 5 2 3 2" xfId="51986" xr:uid="{00000000-0005-0000-0000-0000E71E0000}"/>
    <cellStyle name="Separador de milhares 2 4 2 5 2 4" xfId="19888" xr:uid="{00000000-0005-0000-0000-0000E81E0000}"/>
    <cellStyle name="Separador de milhares 2 4 2 5 2 4 2" xfId="46078" xr:uid="{00000000-0005-0000-0000-0000E91E0000}"/>
    <cellStyle name="Separador de milhares 2 4 2 5 2 5" xfId="13790" xr:uid="{00000000-0005-0000-0000-0000EA1E0000}"/>
    <cellStyle name="Separador de milhares 2 4 2 5 2 5 2" xfId="39983" xr:uid="{00000000-0005-0000-0000-0000EB1E0000}"/>
    <cellStyle name="Separador de milhares 2 4 2 5 2 6" xfId="33597" xr:uid="{00000000-0005-0000-0000-0000EC1E0000}"/>
    <cellStyle name="Separador de milhares 2 4 2 5 3" xfId="9077" xr:uid="{00000000-0005-0000-0000-0000ED1E0000}"/>
    <cellStyle name="Separador de milhares 2 4 2 5 3 2" xfId="27291" xr:uid="{00000000-0005-0000-0000-0000EE1E0000}"/>
    <cellStyle name="Separador de milhares 2 4 2 5 3 2 2" xfId="53472" xr:uid="{00000000-0005-0000-0000-0000EF1E0000}"/>
    <cellStyle name="Separador de milhares 2 4 2 5 3 3" xfId="21377" xr:uid="{00000000-0005-0000-0000-0000F01E0000}"/>
    <cellStyle name="Separador de milhares 2 4 2 5 3 3 2" xfId="47564" xr:uid="{00000000-0005-0000-0000-0000F11E0000}"/>
    <cellStyle name="Separador de milhares 2 4 2 5 3 4" xfId="15463" xr:uid="{00000000-0005-0000-0000-0000F21E0000}"/>
    <cellStyle name="Separador de milhares 2 4 2 5 3 4 2" xfId="41656" xr:uid="{00000000-0005-0000-0000-0000F31E0000}"/>
    <cellStyle name="Separador de milhares 2 4 2 5 3 5" xfId="35270" xr:uid="{00000000-0005-0000-0000-0000F41E0000}"/>
    <cellStyle name="Separador de milhares 2 4 2 5 4" xfId="5702" xr:uid="{00000000-0005-0000-0000-0000F51E0000}"/>
    <cellStyle name="Separador de milhares 2 4 2 5 4 2" xfId="24334" xr:uid="{00000000-0005-0000-0000-0000F61E0000}"/>
    <cellStyle name="Separador de milhares 2 4 2 5 4 2 2" xfId="50518" xr:uid="{00000000-0005-0000-0000-0000F71E0000}"/>
    <cellStyle name="Separador de milhares 2 4 2 5 4 3" xfId="31898" xr:uid="{00000000-0005-0000-0000-0000F81E0000}"/>
    <cellStyle name="Separador de milhares 2 4 2 5 5" xfId="18420" xr:uid="{00000000-0005-0000-0000-0000F91E0000}"/>
    <cellStyle name="Separador de milhares 2 4 2 5 5 2" xfId="44610" xr:uid="{00000000-0005-0000-0000-0000FA1E0000}"/>
    <cellStyle name="Separador de milhares 2 4 2 5 6" xfId="12089" xr:uid="{00000000-0005-0000-0000-0000FB1E0000}"/>
    <cellStyle name="Separador de milhares 2 4 2 5 6 2" xfId="38282" xr:uid="{00000000-0005-0000-0000-0000FC1E0000}"/>
    <cellStyle name="Separador de milhares 2 4 2 5 7" xfId="30200" xr:uid="{00000000-0005-0000-0000-0000FD1E0000}"/>
    <cellStyle name="Separador de milhares 2 4 2 6" xfId="4021" xr:uid="{00000000-0005-0000-0000-0000FE1E0000}"/>
    <cellStyle name="Separador de milhares 2 4 2 6 2" xfId="7548" xr:uid="{00000000-0005-0000-0000-0000FF1E0000}"/>
    <cellStyle name="Separador de milhares 2 4 2 6 2 2" xfId="10692" xr:uid="{00000000-0005-0000-0000-0000001F0000}"/>
    <cellStyle name="Separador de milhares 2 4 2 6 2 2 2" xfId="28906" xr:uid="{00000000-0005-0000-0000-0000011F0000}"/>
    <cellStyle name="Separador de milhares 2 4 2 6 2 2 2 2" xfId="55087" xr:uid="{00000000-0005-0000-0000-0000021F0000}"/>
    <cellStyle name="Separador de milhares 2 4 2 6 2 2 3" xfId="22992" xr:uid="{00000000-0005-0000-0000-0000031F0000}"/>
    <cellStyle name="Separador de milhares 2 4 2 6 2 2 3 2" xfId="49179" xr:uid="{00000000-0005-0000-0000-0000041F0000}"/>
    <cellStyle name="Separador de milhares 2 4 2 6 2 2 4" xfId="17078" xr:uid="{00000000-0005-0000-0000-0000051F0000}"/>
    <cellStyle name="Separador de milhares 2 4 2 6 2 2 4 2" xfId="43271" xr:uid="{00000000-0005-0000-0000-0000061F0000}"/>
    <cellStyle name="Separador de milhares 2 4 2 6 2 2 5" xfId="36885" xr:uid="{00000000-0005-0000-0000-0000071F0000}"/>
    <cellStyle name="Separador de milhares 2 4 2 6 2 3" xfId="25949" xr:uid="{00000000-0005-0000-0000-0000081F0000}"/>
    <cellStyle name="Separador de milhares 2 4 2 6 2 3 2" xfId="52133" xr:uid="{00000000-0005-0000-0000-0000091F0000}"/>
    <cellStyle name="Separador de milhares 2 4 2 6 2 4" xfId="20035" xr:uid="{00000000-0005-0000-0000-00000A1F0000}"/>
    <cellStyle name="Separador de milhares 2 4 2 6 2 4 2" xfId="46225" xr:uid="{00000000-0005-0000-0000-00000B1F0000}"/>
    <cellStyle name="Separador de milhares 2 4 2 6 2 5" xfId="13937" xr:uid="{00000000-0005-0000-0000-00000C1F0000}"/>
    <cellStyle name="Separador de milhares 2 4 2 6 2 5 2" xfId="40130" xr:uid="{00000000-0005-0000-0000-00000D1F0000}"/>
    <cellStyle name="Separador de milhares 2 4 2 6 2 6" xfId="33744" xr:uid="{00000000-0005-0000-0000-00000E1F0000}"/>
    <cellStyle name="Separador de milhares 2 4 2 6 3" xfId="9224" xr:uid="{00000000-0005-0000-0000-00000F1F0000}"/>
    <cellStyle name="Separador de milhares 2 4 2 6 3 2" xfId="27438" xr:uid="{00000000-0005-0000-0000-0000101F0000}"/>
    <cellStyle name="Separador de milhares 2 4 2 6 3 2 2" xfId="53619" xr:uid="{00000000-0005-0000-0000-0000111F0000}"/>
    <cellStyle name="Separador de milhares 2 4 2 6 3 3" xfId="21524" xr:uid="{00000000-0005-0000-0000-0000121F0000}"/>
    <cellStyle name="Separador de milhares 2 4 2 6 3 3 2" xfId="47711" xr:uid="{00000000-0005-0000-0000-0000131F0000}"/>
    <cellStyle name="Separador de milhares 2 4 2 6 3 4" xfId="15610" xr:uid="{00000000-0005-0000-0000-0000141F0000}"/>
    <cellStyle name="Separador de milhares 2 4 2 6 3 4 2" xfId="41803" xr:uid="{00000000-0005-0000-0000-0000151F0000}"/>
    <cellStyle name="Separador de milhares 2 4 2 6 3 5" xfId="35417" xr:uid="{00000000-0005-0000-0000-0000161F0000}"/>
    <cellStyle name="Separador de milhares 2 4 2 6 4" xfId="5849" xr:uid="{00000000-0005-0000-0000-0000171F0000}"/>
    <cellStyle name="Separador de milhares 2 4 2 6 4 2" xfId="24481" xr:uid="{00000000-0005-0000-0000-0000181F0000}"/>
    <cellStyle name="Separador de milhares 2 4 2 6 4 2 2" xfId="50665" xr:uid="{00000000-0005-0000-0000-0000191F0000}"/>
    <cellStyle name="Separador de milhares 2 4 2 6 4 3" xfId="32045" xr:uid="{00000000-0005-0000-0000-00001A1F0000}"/>
    <cellStyle name="Separador de milhares 2 4 2 6 5" xfId="18567" xr:uid="{00000000-0005-0000-0000-00001B1F0000}"/>
    <cellStyle name="Separador de milhares 2 4 2 6 5 2" xfId="44757" xr:uid="{00000000-0005-0000-0000-00001C1F0000}"/>
    <cellStyle name="Separador de milhares 2 4 2 6 6" xfId="12236" xr:uid="{00000000-0005-0000-0000-00001D1F0000}"/>
    <cellStyle name="Separador de milhares 2 4 2 6 6 2" xfId="38429" xr:uid="{00000000-0005-0000-0000-00001E1F0000}"/>
    <cellStyle name="Separador de milhares 2 4 2 6 7" xfId="30347" xr:uid="{00000000-0005-0000-0000-00001F1F0000}"/>
    <cellStyle name="Separador de milhares 2 4 2 7" xfId="6593" xr:uid="{00000000-0005-0000-0000-0000201F0000}"/>
    <cellStyle name="Separador de milhares 2 4 2 7 2" xfId="9740" xr:uid="{00000000-0005-0000-0000-0000211F0000}"/>
    <cellStyle name="Separador de milhares 2 4 2 7 2 2" xfId="27954" xr:uid="{00000000-0005-0000-0000-0000221F0000}"/>
    <cellStyle name="Separador de milhares 2 4 2 7 2 2 2" xfId="54135" xr:uid="{00000000-0005-0000-0000-0000231F0000}"/>
    <cellStyle name="Separador de milhares 2 4 2 7 2 3" xfId="22040" xr:uid="{00000000-0005-0000-0000-0000241F0000}"/>
    <cellStyle name="Separador de milhares 2 4 2 7 2 3 2" xfId="48227" xr:uid="{00000000-0005-0000-0000-0000251F0000}"/>
    <cellStyle name="Separador de milhares 2 4 2 7 2 4" xfId="16126" xr:uid="{00000000-0005-0000-0000-0000261F0000}"/>
    <cellStyle name="Separador de milhares 2 4 2 7 2 4 2" xfId="42319" xr:uid="{00000000-0005-0000-0000-0000271F0000}"/>
    <cellStyle name="Separador de milhares 2 4 2 7 2 5" xfId="35933" xr:uid="{00000000-0005-0000-0000-0000281F0000}"/>
    <cellStyle name="Separador de milhares 2 4 2 7 3" xfId="24997" xr:uid="{00000000-0005-0000-0000-0000291F0000}"/>
    <cellStyle name="Separador de milhares 2 4 2 7 3 2" xfId="51181" xr:uid="{00000000-0005-0000-0000-00002A1F0000}"/>
    <cellStyle name="Separador de milhares 2 4 2 7 4" xfId="19083" xr:uid="{00000000-0005-0000-0000-00002B1F0000}"/>
    <cellStyle name="Separador de milhares 2 4 2 7 4 2" xfId="45273" xr:uid="{00000000-0005-0000-0000-00002C1F0000}"/>
    <cellStyle name="Separador de milhares 2 4 2 7 5" xfId="12982" xr:uid="{00000000-0005-0000-0000-00002D1F0000}"/>
    <cellStyle name="Separador de milhares 2 4 2 7 5 2" xfId="39175" xr:uid="{00000000-0005-0000-0000-00002E1F0000}"/>
    <cellStyle name="Separador de milhares 2 4 2 7 6" xfId="32789" xr:uid="{00000000-0005-0000-0000-00002F1F0000}"/>
    <cellStyle name="Separador de milhares 2 4 2 8" xfId="8272" xr:uid="{00000000-0005-0000-0000-0000301F0000}"/>
    <cellStyle name="Separador de milhares 2 4 2 8 2" xfId="26486" xr:uid="{00000000-0005-0000-0000-0000311F0000}"/>
    <cellStyle name="Separador de milhares 2 4 2 8 2 2" xfId="52667" xr:uid="{00000000-0005-0000-0000-0000321F0000}"/>
    <cellStyle name="Separador de milhares 2 4 2 8 3" xfId="20572" xr:uid="{00000000-0005-0000-0000-0000331F0000}"/>
    <cellStyle name="Separador de milhares 2 4 2 8 3 2" xfId="46759" xr:uid="{00000000-0005-0000-0000-0000341F0000}"/>
    <cellStyle name="Separador de milhares 2 4 2 8 4" xfId="14658" xr:uid="{00000000-0005-0000-0000-0000351F0000}"/>
    <cellStyle name="Separador de milhares 2 4 2 8 4 2" xfId="40851" xr:uid="{00000000-0005-0000-0000-0000361F0000}"/>
    <cellStyle name="Separador de milhares 2 4 2 8 5" xfId="34465" xr:uid="{00000000-0005-0000-0000-0000371F0000}"/>
    <cellStyle name="Separador de milhares 2 4 2 9" xfId="4894" xr:uid="{00000000-0005-0000-0000-0000381F0000}"/>
    <cellStyle name="Separador de milhares 2 4 2 9 2" xfId="23529" xr:uid="{00000000-0005-0000-0000-0000391F0000}"/>
    <cellStyle name="Separador de milhares 2 4 2 9 2 2" xfId="49713" xr:uid="{00000000-0005-0000-0000-00003A1F0000}"/>
    <cellStyle name="Separador de milhares 2 4 2 9 3" xfId="31090" xr:uid="{00000000-0005-0000-0000-00003B1F0000}"/>
    <cellStyle name="Separador de milhares 2 4 3" xfId="864" xr:uid="{00000000-0005-0000-0000-00003C1F0000}"/>
    <cellStyle name="Separador de milhares 2 4 3 2" xfId="6670" xr:uid="{00000000-0005-0000-0000-00003D1F0000}"/>
    <cellStyle name="Separador de milhares 2 4 3 2 2" xfId="9817" xr:uid="{00000000-0005-0000-0000-00003E1F0000}"/>
    <cellStyle name="Separador de milhares 2 4 3 2 2 2" xfId="28031" xr:uid="{00000000-0005-0000-0000-00003F1F0000}"/>
    <cellStyle name="Separador de milhares 2 4 3 2 2 2 2" xfId="54212" xr:uid="{00000000-0005-0000-0000-0000401F0000}"/>
    <cellStyle name="Separador de milhares 2 4 3 2 2 3" xfId="22117" xr:uid="{00000000-0005-0000-0000-0000411F0000}"/>
    <cellStyle name="Separador de milhares 2 4 3 2 2 3 2" xfId="48304" xr:uid="{00000000-0005-0000-0000-0000421F0000}"/>
    <cellStyle name="Separador de milhares 2 4 3 2 2 4" xfId="16203" xr:uid="{00000000-0005-0000-0000-0000431F0000}"/>
    <cellStyle name="Separador de milhares 2 4 3 2 2 4 2" xfId="42396" xr:uid="{00000000-0005-0000-0000-0000441F0000}"/>
    <cellStyle name="Separador de milhares 2 4 3 2 2 5" xfId="36010" xr:uid="{00000000-0005-0000-0000-0000451F0000}"/>
    <cellStyle name="Separador de milhares 2 4 3 2 3" xfId="25074" xr:uid="{00000000-0005-0000-0000-0000461F0000}"/>
    <cellStyle name="Separador de milhares 2 4 3 2 3 2" xfId="51258" xr:uid="{00000000-0005-0000-0000-0000471F0000}"/>
    <cellStyle name="Separador de milhares 2 4 3 2 4" xfId="19160" xr:uid="{00000000-0005-0000-0000-0000481F0000}"/>
    <cellStyle name="Separador de milhares 2 4 3 2 4 2" xfId="45350" xr:uid="{00000000-0005-0000-0000-0000491F0000}"/>
    <cellStyle name="Separador de milhares 2 4 3 2 5" xfId="13059" xr:uid="{00000000-0005-0000-0000-00004A1F0000}"/>
    <cellStyle name="Separador de milhares 2 4 3 2 5 2" xfId="39252" xr:uid="{00000000-0005-0000-0000-00004B1F0000}"/>
    <cellStyle name="Separador de milhares 2 4 3 2 6" xfId="32866" xr:uid="{00000000-0005-0000-0000-00004C1F0000}"/>
    <cellStyle name="Separador de milhares 2 4 3 3" xfId="8349" xr:uid="{00000000-0005-0000-0000-00004D1F0000}"/>
    <cellStyle name="Separador de milhares 2 4 3 3 2" xfId="26563" xr:uid="{00000000-0005-0000-0000-00004E1F0000}"/>
    <cellStyle name="Separador de milhares 2 4 3 3 2 2" xfId="52744" xr:uid="{00000000-0005-0000-0000-00004F1F0000}"/>
    <cellStyle name="Separador de milhares 2 4 3 3 3" xfId="20649" xr:uid="{00000000-0005-0000-0000-0000501F0000}"/>
    <cellStyle name="Separador de milhares 2 4 3 3 3 2" xfId="46836" xr:uid="{00000000-0005-0000-0000-0000511F0000}"/>
    <cellStyle name="Separador de milhares 2 4 3 3 4" xfId="14735" xr:uid="{00000000-0005-0000-0000-0000521F0000}"/>
    <cellStyle name="Separador de milhares 2 4 3 3 4 2" xfId="40928" xr:uid="{00000000-0005-0000-0000-0000531F0000}"/>
    <cellStyle name="Separador de milhares 2 4 3 3 5" xfId="34542" xr:uid="{00000000-0005-0000-0000-0000541F0000}"/>
    <cellStyle name="Separador de milhares 2 4 3 4" xfId="4971" xr:uid="{00000000-0005-0000-0000-0000551F0000}"/>
    <cellStyle name="Separador de milhares 2 4 3 4 2" xfId="23606" xr:uid="{00000000-0005-0000-0000-0000561F0000}"/>
    <cellStyle name="Separador de milhares 2 4 3 4 2 2" xfId="49790" xr:uid="{00000000-0005-0000-0000-0000571F0000}"/>
    <cellStyle name="Separador de milhares 2 4 3 4 3" xfId="31167" xr:uid="{00000000-0005-0000-0000-0000581F0000}"/>
    <cellStyle name="Separador de milhares 2 4 3 5" xfId="17692" xr:uid="{00000000-0005-0000-0000-0000591F0000}"/>
    <cellStyle name="Separador de milhares 2 4 3 5 2" xfId="43882" xr:uid="{00000000-0005-0000-0000-00005A1F0000}"/>
    <cellStyle name="Separador de milhares 2 4 3 6" xfId="11358" xr:uid="{00000000-0005-0000-0000-00005B1F0000}"/>
    <cellStyle name="Separador de milhares 2 4 3 6 2" xfId="37551" xr:uid="{00000000-0005-0000-0000-00005C1F0000}"/>
    <cellStyle name="Separador de milhares 2 4 3 7" xfId="29469" xr:uid="{00000000-0005-0000-0000-00005D1F0000}"/>
    <cellStyle name="Separador de milhares 2 4 4" xfId="1215" xr:uid="{00000000-0005-0000-0000-00005E1F0000}"/>
    <cellStyle name="Separador de milhares 2 4 4 2" xfId="6768" xr:uid="{00000000-0005-0000-0000-00005F1F0000}"/>
    <cellStyle name="Separador de milhares 2 4 4 2 2" xfId="9915" xr:uid="{00000000-0005-0000-0000-0000601F0000}"/>
    <cellStyle name="Separador de milhares 2 4 4 2 2 2" xfId="28129" xr:uid="{00000000-0005-0000-0000-0000611F0000}"/>
    <cellStyle name="Separador de milhares 2 4 4 2 2 2 2" xfId="54310" xr:uid="{00000000-0005-0000-0000-0000621F0000}"/>
    <cellStyle name="Separador de milhares 2 4 4 2 2 3" xfId="22215" xr:uid="{00000000-0005-0000-0000-0000631F0000}"/>
    <cellStyle name="Separador de milhares 2 4 4 2 2 3 2" xfId="48402" xr:uid="{00000000-0005-0000-0000-0000641F0000}"/>
    <cellStyle name="Separador de milhares 2 4 4 2 2 4" xfId="16301" xr:uid="{00000000-0005-0000-0000-0000651F0000}"/>
    <cellStyle name="Separador de milhares 2 4 4 2 2 4 2" xfId="42494" xr:uid="{00000000-0005-0000-0000-0000661F0000}"/>
    <cellStyle name="Separador de milhares 2 4 4 2 2 5" xfId="36108" xr:uid="{00000000-0005-0000-0000-0000671F0000}"/>
    <cellStyle name="Separador de milhares 2 4 4 2 3" xfId="25172" xr:uid="{00000000-0005-0000-0000-0000681F0000}"/>
    <cellStyle name="Separador de milhares 2 4 4 2 3 2" xfId="51356" xr:uid="{00000000-0005-0000-0000-0000691F0000}"/>
    <cellStyle name="Separador de milhares 2 4 4 2 4" xfId="19258" xr:uid="{00000000-0005-0000-0000-00006A1F0000}"/>
    <cellStyle name="Separador de milhares 2 4 4 2 4 2" xfId="45448" xr:uid="{00000000-0005-0000-0000-00006B1F0000}"/>
    <cellStyle name="Separador de milhares 2 4 4 2 5" xfId="13157" xr:uid="{00000000-0005-0000-0000-00006C1F0000}"/>
    <cellStyle name="Separador de milhares 2 4 4 2 5 2" xfId="39350" xr:uid="{00000000-0005-0000-0000-00006D1F0000}"/>
    <cellStyle name="Separador de milhares 2 4 4 2 6" xfId="32964" xr:uid="{00000000-0005-0000-0000-00006E1F0000}"/>
    <cellStyle name="Separador de milhares 2 4 4 3" xfId="8447" xr:uid="{00000000-0005-0000-0000-00006F1F0000}"/>
    <cellStyle name="Separador de milhares 2 4 4 3 2" xfId="26661" xr:uid="{00000000-0005-0000-0000-0000701F0000}"/>
    <cellStyle name="Separador de milhares 2 4 4 3 2 2" xfId="52842" xr:uid="{00000000-0005-0000-0000-0000711F0000}"/>
    <cellStyle name="Separador de milhares 2 4 4 3 3" xfId="20747" xr:uid="{00000000-0005-0000-0000-0000721F0000}"/>
    <cellStyle name="Separador de milhares 2 4 4 3 3 2" xfId="46934" xr:uid="{00000000-0005-0000-0000-0000731F0000}"/>
    <cellStyle name="Separador de milhares 2 4 4 3 4" xfId="14833" xr:uid="{00000000-0005-0000-0000-0000741F0000}"/>
    <cellStyle name="Separador de milhares 2 4 4 3 4 2" xfId="41026" xr:uid="{00000000-0005-0000-0000-0000751F0000}"/>
    <cellStyle name="Separador de milhares 2 4 4 3 5" xfId="34640" xr:uid="{00000000-0005-0000-0000-0000761F0000}"/>
    <cellStyle name="Separador de milhares 2 4 4 4" xfId="5069" xr:uid="{00000000-0005-0000-0000-0000771F0000}"/>
    <cellStyle name="Separador de milhares 2 4 4 4 2" xfId="23704" xr:uid="{00000000-0005-0000-0000-0000781F0000}"/>
    <cellStyle name="Separador de milhares 2 4 4 4 2 2" xfId="49888" xr:uid="{00000000-0005-0000-0000-0000791F0000}"/>
    <cellStyle name="Separador de milhares 2 4 4 4 3" xfId="31265" xr:uid="{00000000-0005-0000-0000-00007A1F0000}"/>
    <cellStyle name="Separador de milhares 2 4 4 5" xfId="17790" xr:uid="{00000000-0005-0000-0000-00007B1F0000}"/>
    <cellStyle name="Separador de milhares 2 4 4 5 2" xfId="43980" xr:uid="{00000000-0005-0000-0000-00007C1F0000}"/>
    <cellStyle name="Separador de milhares 2 4 4 6" xfId="11456" xr:uid="{00000000-0005-0000-0000-00007D1F0000}"/>
    <cellStyle name="Separador de milhares 2 4 4 6 2" xfId="37649" xr:uid="{00000000-0005-0000-0000-00007E1F0000}"/>
    <cellStyle name="Separador de milhares 2 4 4 7" xfId="29567" xr:uid="{00000000-0005-0000-0000-00007F1F0000}"/>
    <cellStyle name="Separador de milhares 2 4 5" xfId="1650" xr:uid="{00000000-0005-0000-0000-0000801F0000}"/>
    <cellStyle name="Separador de milhares 2 4 5 2" xfId="6887" xr:uid="{00000000-0005-0000-0000-0000811F0000}"/>
    <cellStyle name="Separador de milhares 2 4 5 2 2" xfId="10034" xr:uid="{00000000-0005-0000-0000-0000821F0000}"/>
    <cellStyle name="Separador de milhares 2 4 5 2 2 2" xfId="28248" xr:uid="{00000000-0005-0000-0000-0000831F0000}"/>
    <cellStyle name="Separador de milhares 2 4 5 2 2 2 2" xfId="54429" xr:uid="{00000000-0005-0000-0000-0000841F0000}"/>
    <cellStyle name="Separador de milhares 2 4 5 2 2 3" xfId="22334" xr:uid="{00000000-0005-0000-0000-0000851F0000}"/>
    <cellStyle name="Separador de milhares 2 4 5 2 2 3 2" xfId="48521" xr:uid="{00000000-0005-0000-0000-0000861F0000}"/>
    <cellStyle name="Separador de milhares 2 4 5 2 2 4" xfId="16420" xr:uid="{00000000-0005-0000-0000-0000871F0000}"/>
    <cellStyle name="Separador de milhares 2 4 5 2 2 4 2" xfId="42613" xr:uid="{00000000-0005-0000-0000-0000881F0000}"/>
    <cellStyle name="Separador de milhares 2 4 5 2 2 5" xfId="36227" xr:uid="{00000000-0005-0000-0000-0000891F0000}"/>
    <cellStyle name="Separador de milhares 2 4 5 2 3" xfId="25291" xr:uid="{00000000-0005-0000-0000-00008A1F0000}"/>
    <cellStyle name="Separador de milhares 2 4 5 2 3 2" xfId="51475" xr:uid="{00000000-0005-0000-0000-00008B1F0000}"/>
    <cellStyle name="Separador de milhares 2 4 5 2 4" xfId="19377" xr:uid="{00000000-0005-0000-0000-00008C1F0000}"/>
    <cellStyle name="Separador de milhares 2 4 5 2 4 2" xfId="45567" xr:uid="{00000000-0005-0000-0000-00008D1F0000}"/>
    <cellStyle name="Separador de milhares 2 4 5 2 5" xfId="13276" xr:uid="{00000000-0005-0000-0000-00008E1F0000}"/>
    <cellStyle name="Separador de milhares 2 4 5 2 5 2" xfId="39469" xr:uid="{00000000-0005-0000-0000-00008F1F0000}"/>
    <cellStyle name="Separador de milhares 2 4 5 2 6" xfId="33083" xr:uid="{00000000-0005-0000-0000-0000901F0000}"/>
    <cellStyle name="Separador de milhares 2 4 5 3" xfId="8566" xr:uid="{00000000-0005-0000-0000-0000911F0000}"/>
    <cellStyle name="Separador de milhares 2 4 5 3 2" xfId="26780" xr:uid="{00000000-0005-0000-0000-0000921F0000}"/>
    <cellStyle name="Separador de milhares 2 4 5 3 2 2" xfId="52961" xr:uid="{00000000-0005-0000-0000-0000931F0000}"/>
    <cellStyle name="Separador de milhares 2 4 5 3 3" xfId="20866" xr:uid="{00000000-0005-0000-0000-0000941F0000}"/>
    <cellStyle name="Separador de milhares 2 4 5 3 3 2" xfId="47053" xr:uid="{00000000-0005-0000-0000-0000951F0000}"/>
    <cellStyle name="Separador de milhares 2 4 5 3 4" xfId="14952" xr:uid="{00000000-0005-0000-0000-0000961F0000}"/>
    <cellStyle name="Separador de milhares 2 4 5 3 4 2" xfId="41145" xr:uid="{00000000-0005-0000-0000-0000971F0000}"/>
    <cellStyle name="Separador de milhares 2 4 5 3 5" xfId="34759" xr:uid="{00000000-0005-0000-0000-0000981F0000}"/>
    <cellStyle name="Separador de milhares 2 4 5 4" xfId="5188" xr:uid="{00000000-0005-0000-0000-0000991F0000}"/>
    <cellStyle name="Separador de milhares 2 4 5 4 2" xfId="23823" xr:uid="{00000000-0005-0000-0000-00009A1F0000}"/>
    <cellStyle name="Separador de milhares 2 4 5 4 2 2" xfId="50007" xr:uid="{00000000-0005-0000-0000-00009B1F0000}"/>
    <cellStyle name="Separador de milhares 2 4 5 4 3" xfId="31384" xr:uid="{00000000-0005-0000-0000-00009C1F0000}"/>
    <cellStyle name="Separador de milhares 2 4 5 5" xfId="17909" xr:uid="{00000000-0005-0000-0000-00009D1F0000}"/>
    <cellStyle name="Separador de milhares 2 4 5 5 2" xfId="44099" xr:uid="{00000000-0005-0000-0000-00009E1F0000}"/>
    <cellStyle name="Separador de milhares 2 4 5 6" xfId="11575" xr:uid="{00000000-0005-0000-0000-00009F1F0000}"/>
    <cellStyle name="Separador de milhares 2 4 5 6 2" xfId="37768" xr:uid="{00000000-0005-0000-0000-0000A01F0000}"/>
    <cellStyle name="Separador de milhares 2 4 5 7" xfId="29686" xr:uid="{00000000-0005-0000-0000-0000A11F0000}"/>
    <cellStyle name="Separador de milhares 2 4 6" xfId="2180" xr:uid="{00000000-0005-0000-0000-0000A21F0000}"/>
    <cellStyle name="Separador de milhares 2 4 6 2" xfId="7037" xr:uid="{00000000-0005-0000-0000-0000A31F0000}"/>
    <cellStyle name="Separador de milhares 2 4 6 2 2" xfId="10181" xr:uid="{00000000-0005-0000-0000-0000A41F0000}"/>
    <cellStyle name="Separador de milhares 2 4 6 2 2 2" xfId="28395" xr:uid="{00000000-0005-0000-0000-0000A51F0000}"/>
    <cellStyle name="Separador de milhares 2 4 6 2 2 2 2" xfId="54576" xr:uid="{00000000-0005-0000-0000-0000A61F0000}"/>
    <cellStyle name="Separador de milhares 2 4 6 2 2 3" xfId="22481" xr:uid="{00000000-0005-0000-0000-0000A71F0000}"/>
    <cellStyle name="Separador de milhares 2 4 6 2 2 3 2" xfId="48668" xr:uid="{00000000-0005-0000-0000-0000A81F0000}"/>
    <cellStyle name="Separador de milhares 2 4 6 2 2 4" xfId="16567" xr:uid="{00000000-0005-0000-0000-0000A91F0000}"/>
    <cellStyle name="Separador de milhares 2 4 6 2 2 4 2" xfId="42760" xr:uid="{00000000-0005-0000-0000-0000AA1F0000}"/>
    <cellStyle name="Separador de milhares 2 4 6 2 2 5" xfId="36374" xr:uid="{00000000-0005-0000-0000-0000AB1F0000}"/>
    <cellStyle name="Separador de milhares 2 4 6 2 3" xfId="25438" xr:uid="{00000000-0005-0000-0000-0000AC1F0000}"/>
    <cellStyle name="Separador de milhares 2 4 6 2 3 2" xfId="51622" xr:uid="{00000000-0005-0000-0000-0000AD1F0000}"/>
    <cellStyle name="Separador de milhares 2 4 6 2 4" xfId="19524" xr:uid="{00000000-0005-0000-0000-0000AE1F0000}"/>
    <cellStyle name="Separador de milhares 2 4 6 2 4 2" xfId="45714" xr:uid="{00000000-0005-0000-0000-0000AF1F0000}"/>
    <cellStyle name="Separador de milhares 2 4 6 2 5" xfId="13426" xr:uid="{00000000-0005-0000-0000-0000B01F0000}"/>
    <cellStyle name="Separador de milhares 2 4 6 2 5 2" xfId="39619" xr:uid="{00000000-0005-0000-0000-0000B11F0000}"/>
    <cellStyle name="Separador de milhares 2 4 6 2 6" xfId="33233" xr:uid="{00000000-0005-0000-0000-0000B21F0000}"/>
    <cellStyle name="Separador de milhares 2 4 6 3" xfId="8713" xr:uid="{00000000-0005-0000-0000-0000B31F0000}"/>
    <cellStyle name="Separador de milhares 2 4 6 3 2" xfId="26927" xr:uid="{00000000-0005-0000-0000-0000B41F0000}"/>
    <cellStyle name="Separador de milhares 2 4 6 3 2 2" xfId="53108" xr:uid="{00000000-0005-0000-0000-0000B51F0000}"/>
    <cellStyle name="Separador de milhares 2 4 6 3 3" xfId="21013" xr:uid="{00000000-0005-0000-0000-0000B61F0000}"/>
    <cellStyle name="Separador de milhares 2 4 6 3 3 2" xfId="47200" xr:uid="{00000000-0005-0000-0000-0000B71F0000}"/>
    <cellStyle name="Separador de milhares 2 4 6 3 4" xfId="15099" xr:uid="{00000000-0005-0000-0000-0000B81F0000}"/>
    <cellStyle name="Separador de milhares 2 4 6 3 4 2" xfId="41292" xr:uid="{00000000-0005-0000-0000-0000B91F0000}"/>
    <cellStyle name="Separador de milhares 2 4 6 3 5" xfId="34906" xr:uid="{00000000-0005-0000-0000-0000BA1F0000}"/>
    <cellStyle name="Separador de milhares 2 4 6 4" xfId="5338" xr:uid="{00000000-0005-0000-0000-0000BB1F0000}"/>
    <cellStyle name="Separador de milhares 2 4 6 4 2" xfId="23970" xr:uid="{00000000-0005-0000-0000-0000BC1F0000}"/>
    <cellStyle name="Separador de milhares 2 4 6 4 2 2" xfId="50154" xr:uid="{00000000-0005-0000-0000-0000BD1F0000}"/>
    <cellStyle name="Separador de milhares 2 4 6 4 3" xfId="31534" xr:uid="{00000000-0005-0000-0000-0000BE1F0000}"/>
    <cellStyle name="Separador de milhares 2 4 6 5" xfId="18056" xr:uid="{00000000-0005-0000-0000-0000BF1F0000}"/>
    <cellStyle name="Separador de milhares 2 4 6 5 2" xfId="44246" xr:uid="{00000000-0005-0000-0000-0000C01F0000}"/>
    <cellStyle name="Separador de milhares 2 4 6 6" xfId="11725" xr:uid="{00000000-0005-0000-0000-0000C11F0000}"/>
    <cellStyle name="Separador de milhares 2 4 6 6 2" xfId="37918" xr:uid="{00000000-0005-0000-0000-0000C21F0000}"/>
    <cellStyle name="Separador de milhares 2 4 6 7" xfId="29836" xr:uid="{00000000-0005-0000-0000-0000C31F0000}"/>
    <cellStyle name="Separador de milhares 2 4 7" xfId="2707" xr:uid="{00000000-0005-0000-0000-0000C41F0000}"/>
    <cellStyle name="Separador de milhares 2 4 7 2" xfId="7184" xr:uid="{00000000-0005-0000-0000-0000C51F0000}"/>
    <cellStyle name="Separador de milhares 2 4 7 2 2" xfId="10328" xr:uid="{00000000-0005-0000-0000-0000C61F0000}"/>
    <cellStyle name="Separador de milhares 2 4 7 2 2 2" xfId="28542" xr:uid="{00000000-0005-0000-0000-0000C71F0000}"/>
    <cellStyle name="Separador de milhares 2 4 7 2 2 2 2" xfId="54723" xr:uid="{00000000-0005-0000-0000-0000C81F0000}"/>
    <cellStyle name="Separador de milhares 2 4 7 2 2 3" xfId="22628" xr:uid="{00000000-0005-0000-0000-0000C91F0000}"/>
    <cellStyle name="Separador de milhares 2 4 7 2 2 3 2" xfId="48815" xr:uid="{00000000-0005-0000-0000-0000CA1F0000}"/>
    <cellStyle name="Separador de milhares 2 4 7 2 2 4" xfId="16714" xr:uid="{00000000-0005-0000-0000-0000CB1F0000}"/>
    <cellStyle name="Separador de milhares 2 4 7 2 2 4 2" xfId="42907" xr:uid="{00000000-0005-0000-0000-0000CC1F0000}"/>
    <cellStyle name="Separador de milhares 2 4 7 2 2 5" xfId="36521" xr:uid="{00000000-0005-0000-0000-0000CD1F0000}"/>
    <cellStyle name="Separador de milhares 2 4 7 2 3" xfId="25585" xr:uid="{00000000-0005-0000-0000-0000CE1F0000}"/>
    <cellStyle name="Separador de milhares 2 4 7 2 3 2" xfId="51769" xr:uid="{00000000-0005-0000-0000-0000CF1F0000}"/>
    <cellStyle name="Separador de milhares 2 4 7 2 4" xfId="19671" xr:uid="{00000000-0005-0000-0000-0000D01F0000}"/>
    <cellStyle name="Separador de milhares 2 4 7 2 4 2" xfId="45861" xr:uid="{00000000-0005-0000-0000-0000D11F0000}"/>
    <cellStyle name="Separador de milhares 2 4 7 2 5" xfId="13573" xr:uid="{00000000-0005-0000-0000-0000D21F0000}"/>
    <cellStyle name="Separador de milhares 2 4 7 2 5 2" xfId="39766" xr:uid="{00000000-0005-0000-0000-0000D31F0000}"/>
    <cellStyle name="Separador de milhares 2 4 7 2 6" xfId="33380" xr:uid="{00000000-0005-0000-0000-0000D41F0000}"/>
    <cellStyle name="Separador de milhares 2 4 7 3" xfId="8860" xr:uid="{00000000-0005-0000-0000-0000D51F0000}"/>
    <cellStyle name="Separador de milhares 2 4 7 3 2" xfId="27074" xr:uid="{00000000-0005-0000-0000-0000D61F0000}"/>
    <cellStyle name="Separador de milhares 2 4 7 3 2 2" xfId="53255" xr:uid="{00000000-0005-0000-0000-0000D71F0000}"/>
    <cellStyle name="Separador de milhares 2 4 7 3 3" xfId="21160" xr:uid="{00000000-0005-0000-0000-0000D81F0000}"/>
    <cellStyle name="Separador de milhares 2 4 7 3 3 2" xfId="47347" xr:uid="{00000000-0005-0000-0000-0000D91F0000}"/>
    <cellStyle name="Separador de milhares 2 4 7 3 4" xfId="15246" xr:uid="{00000000-0005-0000-0000-0000DA1F0000}"/>
    <cellStyle name="Separador de milhares 2 4 7 3 4 2" xfId="41439" xr:uid="{00000000-0005-0000-0000-0000DB1F0000}"/>
    <cellStyle name="Separador de milhares 2 4 7 3 5" xfId="35053" xr:uid="{00000000-0005-0000-0000-0000DC1F0000}"/>
    <cellStyle name="Separador de milhares 2 4 7 4" xfId="5485" xr:uid="{00000000-0005-0000-0000-0000DD1F0000}"/>
    <cellStyle name="Separador de milhares 2 4 7 4 2" xfId="24117" xr:uid="{00000000-0005-0000-0000-0000DE1F0000}"/>
    <cellStyle name="Separador de milhares 2 4 7 4 2 2" xfId="50301" xr:uid="{00000000-0005-0000-0000-0000DF1F0000}"/>
    <cellStyle name="Separador de milhares 2 4 7 4 3" xfId="31681" xr:uid="{00000000-0005-0000-0000-0000E01F0000}"/>
    <cellStyle name="Separador de milhares 2 4 7 5" xfId="18203" xr:uid="{00000000-0005-0000-0000-0000E11F0000}"/>
    <cellStyle name="Separador de milhares 2 4 7 5 2" xfId="44393" xr:uid="{00000000-0005-0000-0000-0000E21F0000}"/>
    <cellStyle name="Separador de milhares 2 4 7 6" xfId="11872" xr:uid="{00000000-0005-0000-0000-0000E31F0000}"/>
    <cellStyle name="Separador de milhares 2 4 7 6 2" xfId="38065" xr:uid="{00000000-0005-0000-0000-0000E41F0000}"/>
    <cellStyle name="Separador de milhares 2 4 7 7" xfId="29983" xr:uid="{00000000-0005-0000-0000-0000E51F0000}"/>
    <cellStyle name="Separador de milhares 2 4 8" xfId="3234" xr:uid="{00000000-0005-0000-0000-0000E61F0000}"/>
    <cellStyle name="Separador de milhares 2 4 8 2" xfId="7331" xr:uid="{00000000-0005-0000-0000-0000E71F0000}"/>
    <cellStyle name="Separador de milhares 2 4 8 2 2" xfId="10475" xr:uid="{00000000-0005-0000-0000-0000E81F0000}"/>
    <cellStyle name="Separador de milhares 2 4 8 2 2 2" xfId="28689" xr:uid="{00000000-0005-0000-0000-0000E91F0000}"/>
    <cellStyle name="Separador de milhares 2 4 8 2 2 2 2" xfId="54870" xr:uid="{00000000-0005-0000-0000-0000EA1F0000}"/>
    <cellStyle name="Separador de milhares 2 4 8 2 2 3" xfId="22775" xr:uid="{00000000-0005-0000-0000-0000EB1F0000}"/>
    <cellStyle name="Separador de milhares 2 4 8 2 2 3 2" xfId="48962" xr:uid="{00000000-0005-0000-0000-0000EC1F0000}"/>
    <cellStyle name="Separador de milhares 2 4 8 2 2 4" xfId="16861" xr:uid="{00000000-0005-0000-0000-0000ED1F0000}"/>
    <cellStyle name="Separador de milhares 2 4 8 2 2 4 2" xfId="43054" xr:uid="{00000000-0005-0000-0000-0000EE1F0000}"/>
    <cellStyle name="Separador de milhares 2 4 8 2 2 5" xfId="36668" xr:uid="{00000000-0005-0000-0000-0000EF1F0000}"/>
    <cellStyle name="Separador de milhares 2 4 8 2 3" xfId="25732" xr:uid="{00000000-0005-0000-0000-0000F01F0000}"/>
    <cellStyle name="Separador de milhares 2 4 8 2 3 2" xfId="51916" xr:uid="{00000000-0005-0000-0000-0000F11F0000}"/>
    <cellStyle name="Separador de milhares 2 4 8 2 4" xfId="19818" xr:uid="{00000000-0005-0000-0000-0000F21F0000}"/>
    <cellStyle name="Separador de milhares 2 4 8 2 4 2" xfId="46008" xr:uid="{00000000-0005-0000-0000-0000F31F0000}"/>
    <cellStyle name="Separador de milhares 2 4 8 2 5" xfId="13720" xr:uid="{00000000-0005-0000-0000-0000F41F0000}"/>
    <cellStyle name="Separador de milhares 2 4 8 2 5 2" xfId="39913" xr:uid="{00000000-0005-0000-0000-0000F51F0000}"/>
    <cellStyle name="Separador de milhares 2 4 8 2 6" xfId="33527" xr:uid="{00000000-0005-0000-0000-0000F61F0000}"/>
    <cellStyle name="Separador de milhares 2 4 8 3" xfId="9007" xr:uid="{00000000-0005-0000-0000-0000F71F0000}"/>
    <cellStyle name="Separador de milhares 2 4 8 3 2" xfId="27221" xr:uid="{00000000-0005-0000-0000-0000F81F0000}"/>
    <cellStyle name="Separador de milhares 2 4 8 3 2 2" xfId="53402" xr:uid="{00000000-0005-0000-0000-0000F91F0000}"/>
    <cellStyle name="Separador de milhares 2 4 8 3 3" xfId="21307" xr:uid="{00000000-0005-0000-0000-0000FA1F0000}"/>
    <cellStyle name="Separador de milhares 2 4 8 3 3 2" xfId="47494" xr:uid="{00000000-0005-0000-0000-0000FB1F0000}"/>
    <cellStyle name="Separador de milhares 2 4 8 3 4" xfId="15393" xr:uid="{00000000-0005-0000-0000-0000FC1F0000}"/>
    <cellStyle name="Separador de milhares 2 4 8 3 4 2" xfId="41586" xr:uid="{00000000-0005-0000-0000-0000FD1F0000}"/>
    <cellStyle name="Separador de milhares 2 4 8 3 5" xfId="35200" xr:uid="{00000000-0005-0000-0000-0000FE1F0000}"/>
    <cellStyle name="Separador de milhares 2 4 8 4" xfId="5632" xr:uid="{00000000-0005-0000-0000-0000FF1F0000}"/>
    <cellStyle name="Separador de milhares 2 4 8 4 2" xfId="24264" xr:uid="{00000000-0005-0000-0000-000000200000}"/>
    <cellStyle name="Separador de milhares 2 4 8 4 2 2" xfId="50448" xr:uid="{00000000-0005-0000-0000-000001200000}"/>
    <cellStyle name="Separador de milhares 2 4 8 4 3" xfId="31828" xr:uid="{00000000-0005-0000-0000-000002200000}"/>
    <cellStyle name="Separador de milhares 2 4 8 5" xfId="18350" xr:uid="{00000000-0005-0000-0000-000003200000}"/>
    <cellStyle name="Separador de milhares 2 4 8 5 2" xfId="44540" xr:uid="{00000000-0005-0000-0000-000004200000}"/>
    <cellStyle name="Separador de milhares 2 4 8 6" xfId="12019" xr:uid="{00000000-0005-0000-0000-000005200000}"/>
    <cellStyle name="Separador de milhares 2 4 8 6 2" xfId="38212" xr:uid="{00000000-0005-0000-0000-000006200000}"/>
    <cellStyle name="Separador de milhares 2 4 8 7" xfId="30130" xr:uid="{00000000-0005-0000-0000-000007200000}"/>
    <cellStyle name="Separador de milhares 2 4 9" xfId="3761" xr:uid="{00000000-0005-0000-0000-000008200000}"/>
    <cellStyle name="Separador de milhares 2 4 9 2" xfId="7478" xr:uid="{00000000-0005-0000-0000-000009200000}"/>
    <cellStyle name="Separador de milhares 2 4 9 2 2" xfId="10622" xr:uid="{00000000-0005-0000-0000-00000A200000}"/>
    <cellStyle name="Separador de milhares 2 4 9 2 2 2" xfId="28836" xr:uid="{00000000-0005-0000-0000-00000B200000}"/>
    <cellStyle name="Separador de milhares 2 4 9 2 2 2 2" xfId="55017" xr:uid="{00000000-0005-0000-0000-00000C200000}"/>
    <cellStyle name="Separador de milhares 2 4 9 2 2 3" xfId="22922" xr:uid="{00000000-0005-0000-0000-00000D200000}"/>
    <cellStyle name="Separador de milhares 2 4 9 2 2 3 2" xfId="49109" xr:uid="{00000000-0005-0000-0000-00000E200000}"/>
    <cellStyle name="Separador de milhares 2 4 9 2 2 4" xfId="17008" xr:uid="{00000000-0005-0000-0000-00000F200000}"/>
    <cellStyle name="Separador de milhares 2 4 9 2 2 4 2" xfId="43201" xr:uid="{00000000-0005-0000-0000-000010200000}"/>
    <cellStyle name="Separador de milhares 2 4 9 2 2 5" xfId="36815" xr:uid="{00000000-0005-0000-0000-000011200000}"/>
    <cellStyle name="Separador de milhares 2 4 9 2 3" xfId="25879" xr:uid="{00000000-0005-0000-0000-000012200000}"/>
    <cellStyle name="Separador de milhares 2 4 9 2 3 2" xfId="52063" xr:uid="{00000000-0005-0000-0000-000013200000}"/>
    <cellStyle name="Separador de milhares 2 4 9 2 4" xfId="19965" xr:uid="{00000000-0005-0000-0000-000014200000}"/>
    <cellStyle name="Separador de milhares 2 4 9 2 4 2" xfId="46155" xr:uid="{00000000-0005-0000-0000-000015200000}"/>
    <cellStyle name="Separador de milhares 2 4 9 2 5" xfId="13867" xr:uid="{00000000-0005-0000-0000-000016200000}"/>
    <cellStyle name="Separador de milhares 2 4 9 2 5 2" xfId="40060" xr:uid="{00000000-0005-0000-0000-000017200000}"/>
    <cellStyle name="Separador de milhares 2 4 9 2 6" xfId="33674" xr:uid="{00000000-0005-0000-0000-000018200000}"/>
    <cellStyle name="Separador de milhares 2 4 9 3" xfId="9154" xr:uid="{00000000-0005-0000-0000-000019200000}"/>
    <cellStyle name="Separador de milhares 2 4 9 3 2" xfId="27368" xr:uid="{00000000-0005-0000-0000-00001A200000}"/>
    <cellStyle name="Separador de milhares 2 4 9 3 2 2" xfId="53549" xr:uid="{00000000-0005-0000-0000-00001B200000}"/>
    <cellStyle name="Separador de milhares 2 4 9 3 3" xfId="21454" xr:uid="{00000000-0005-0000-0000-00001C200000}"/>
    <cellStyle name="Separador de milhares 2 4 9 3 3 2" xfId="47641" xr:uid="{00000000-0005-0000-0000-00001D200000}"/>
    <cellStyle name="Separador de milhares 2 4 9 3 4" xfId="15540" xr:uid="{00000000-0005-0000-0000-00001E200000}"/>
    <cellStyle name="Separador de milhares 2 4 9 3 4 2" xfId="41733" xr:uid="{00000000-0005-0000-0000-00001F200000}"/>
    <cellStyle name="Separador de milhares 2 4 9 3 5" xfId="35347" xr:uid="{00000000-0005-0000-0000-000020200000}"/>
    <cellStyle name="Separador de milhares 2 4 9 4" xfId="5779" xr:uid="{00000000-0005-0000-0000-000021200000}"/>
    <cellStyle name="Separador de milhares 2 4 9 4 2" xfId="24411" xr:uid="{00000000-0005-0000-0000-000022200000}"/>
    <cellStyle name="Separador de milhares 2 4 9 4 2 2" xfId="50595" xr:uid="{00000000-0005-0000-0000-000023200000}"/>
    <cellStyle name="Separador de milhares 2 4 9 4 3" xfId="31975" xr:uid="{00000000-0005-0000-0000-000024200000}"/>
    <cellStyle name="Separador de milhares 2 4 9 5" xfId="18497" xr:uid="{00000000-0005-0000-0000-000025200000}"/>
    <cellStyle name="Separador de milhares 2 4 9 5 2" xfId="44687" xr:uid="{00000000-0005-0000-0000-000026200000}"/>
    <cellStyle name="Separador de milhares 2 4 9 6" xfId="12166" xr:uid="{00000000-0005-0000-0000-000027200000}"/>
    <cellStyle name="Separador de milhares 2 4 9 6 2" xfId="38359" xr:uid="{00000000-0005-0000-0000-000028200000}"/>
    <cellStyle name="Separador de milhares 2 4 9 7" xfId="30277" xr:uid="{00000000-0005-0000-0000-000029200000}"/>
    <cellStyle name="Separador de milhares 2 5" xfId="213" xr:uid="{00000000-0005-0000-0000-00002A200000}"/>
    <cellStyle name="Separador de milhares 2 5 10" xfId="6469" xr:uid="{00000000-0005-0000-0000-00002B200000}"/>
    <cellStyle name="Separador de milhares 2 5 10 2" xfId="9620" xr:uid="{00000000-0005-0000-0000-00002C200000}"/>
    <cellStyle name="Separador de milhares 2 5 10 2 2" xfId="27834" xr:uid="{00000000-0005-0000-0000-00002D200000}"/>
    <cellStyle name="Separador de milhares 2 5 10 2 2 2" xfId="54015" xr:uid="{00000000-0005-0000-0000-00002E200000}"/>
    <cellStyle name="Separador de milhares 2 5 10 2 3" xfId="21920" xr:uid="{00000000-0005-0000-0000-00002F200000}"/>
    <cellStyle name="Separador de milhares 2 5 10 2 3 2" xfId="48107" xr:uid="{00000000-0005-0000-0000-000030200000}"/>
    <cellStyle name="Separador de milhares 2 5 10 2 4" xfId="16006" xr:uid="{00000000-0005-0000-0000-000031200000}"/>
    <cellStyle name="Separador de milhares 2 5 10 2 4 2" xfId="42199" xr:uid="{00000000-0005-0000-0000-000032200000}"/>
    <cellStyle name="Separador de milhares 2 5 10 2 5" xfId="35813" xr:uid="{00000000-0005-0000-0000-000033200000}"/>
    <cellStyle name="Separador de milhares 2 5 10 3" xfId="24877" xr:uid="{00000000-0005-0000-0000-000034200000}"/>
    <cellStyle name="Separador de milhares 2 5 10 3 2" xfId="51061" xr:uid="{00000000-0005-0000-0000-000035200000}"/>
    <cellStyle name="Separador de milhares 2 5 10 4" xfId="18963" xr:uid="{00000000-0005-0000-0000-000036200000}"/>
    <cellStyle name="Separador de milhares 2 5 10 4 2" xfId="45153" xr:uid="{00000000-0005-0000-0000-000037200000}"/>
    <cellStyle name="Separador de milhares 2 5 10 5" xfId="12858" xr:uid="{00000000-0005-0000-0000-000038200000}"/>
    <cellStyle name="Separador de milhares 2 5 10 5 2" xfId="39051" xr:uid="{00000000-0005-0000-0000-000039200000}"/>
    <cellStyle name="Separador de milhares 2 5 10 6" xfId="32665" xr:uid="{00000000-0005-0000-0000-00003A200000}"/>
    <cellStyle name="Separador de milhares 2 5 11" xfId="8149" xr:uid="{00000000-0005-0000-0000-00003B200000}"/>
    <cellStyle name="Separador de milhares 2 5 11 2" xfId="26363" xr:uid="{00000000-0005-0000-0000-00003C200000}"/>
    <cellStyle name="Separador de milhares 2 5 11 2 2" xfId="52547" xr:uid="{00000000-0005-0000-0000-00003D200000}"/>
    <cellStyle name="Separador de milhares 2 5 11 3" xfId="20449" xr:uid="{00000000-0005-0000-0000-00003E200000}"/>
    <cellStyle name="Separador de milhares 2 5 11 3 2" xfId="46639" xr:uid="{00000000-0005-0000-0000-00003F200000}"/>
    <cellStyle name="Separador de milhares 2 5 11 4" xfId="14538" xr:uid="{00000000-0005-0000-0000-000040200000}"/>
    <cellStyle name="Separador de milhares 2 5 11 4 2" xfId="40731" xr:uid="{00000000-0005-0000-0000-000041200000}"/>
    <cellStyle name="Separador de milhares 2 5 11 5" xfId="34345" xr:uid="{00000000-0005-0000-0000-000042200000}"/>
    <cellStyle name="Separador de milhares 2 5 12" xfId="4768" xr:uid="{00000000-0005-0000-0000-000043200000}"/>
    <cellStyle name="Separador de milhares 2 5 12 2" xfId="23406" xr:uid="{00000000-0005-0000-0000-000044200000}"/>
    <cellStyle name="Separador de milhares 2 5 12 2 2" xfId="49593" xr:uid="{00000000-0005-0000-0000-000045200000}"/>
    <cellStyle name="Separador de milhares 2 5 12 3" xfId="30966" xr:uid="{00000000-0005-0000-0000-000046200000}"/>
    <cellStyle name="Separador de milhares 2 5 13" xfId="17492" xr:uid="{00000000-0005-0000-0000-000047200000}"/>
    <cellStyle name="Separador de milhares 2 5 13 2" xfId="43685" xr:uid="{00000000-0005-0000-0000-000048200000}"/>
    <cellStyle name="Separador de milhares 2 5 14" xfId="11157" xr:uid="{00000000-0005-0000-0000-000049200000}"/>
    <cellStyle name="Separador de milhares 2 5 14 2" xfId="37350" xr:uid="{00000000-0005-0000-0000-00004A200000}"/>
    <cellStyle name="Separador de milhares 2 5 15" xfId="29268" xr:uid="{00000000-0005-0000-0000-00004B200000}"/>
    <cellStyle name="Separador de milhares 2 5 2" xfId="651" xr:uid="{00000000-0005-0000-0000-00004C200000}"/>
    <cellStyle name="Separador de milhares 2 5 2 2" xfId="6586" xr:uid="{00000000-0005-0000-0000-00004D200000}"/>
    <cellStyle name="Separador de milhares 2 5 2 2 2" xfId="9733" xr:uid="{00000000-0005-0000-0000-00004E200000}"/>
    <cellStyle name="Separador de milhares 2 5 2 2 2 2" xfId="27947" xr:uid="{00000000-0005-0000-0000-00004F200000}"/>
    <cellStyle name="Separador de milhares 2 5 2 2 2 2 2" xfId="54128" xr:uid="{00000000-0005-0000-0000-000050200000}"/>
    <cellStyle name="Separador de milhares 2 5 2 2 2 3" xfId="22033" xr:uid="{00000000-0005-0000-0000-000051200000}"/>
    <cellStyle name="Separador de milhares 2 5 2 2 2 3 2" xfId="48220" xr:uid="{00000000-0005-0000-0000-000052200000}"/>
    <cellStyle name="Separador de milhares 2 5 2 2 2 4" xfId="16119" xr:uid="{00000000-0005-0000-0000-000053200000}"/>
    <cellStyle name="Separador de milhares 2 5 2 2 2 4 2" xfId="42312" xr:uid="{00000000-0005-0000-0000-000054200000}"/>
    <cellStyle name="Separador de milhares 2 5 2 2 2 5" xfId="35926" xr:uid="{00000000-0005-0000-0000-000055200000}"/>
    <cellStyle name="Separador de milhares 2 5 2 2 3" xfId="24990" xr:uid="{00000000-0005-0000-0000-000056200000}"/>
    <cellStyle name="Separador de milhares 2 5 2 2 3 2" xfId="51174" xr:uid="{00000000-0005-0000-0000-000057200000}"/>
    <cellStyle name="Separador de milhares 2 5 2 2 4" xfId="19076" xr:uid="{00000000-0005-0000-0000-000058200000}"/>
    <cellStyle name="Separador de milhares 2 5 2 2 4 2" xfId="45266" xr:uid="{00000000-0005-0000-0000-000059200000}"/>
    <cellStyle name="Separador de milhares 2 5 2 2 5" xfId="12975" xr:uid="{00000000-0005-0000-0000-00005A200000}"/>
    <cellStyle name="Separador de milhares 2 5 2 2 5 2" xfId="39168" xr:uid="{00000000-0005-0000-0000-00005B200000}"/>
    <cellStyle name="Separador de milhares 2 5 2 2 6" xfId="32782" xr:uid="{00000000-0005-0000-0000-00005C200000}"/>
    <cellStyle name="Separador de milhares 2 5 2 3" xfId="8265" xr:uid="{00000000-0005-0000-0000-00005D200000}"/>
    <cellStyle name="Separador de milhares 2 5 2 3 2" xfId="26479" xr:uid="{00000000-0005-0000-0000-00005E200000}"/>
    <cellStyle name="Separador de milhares 2 5 2 3 2 2" xfId="52660" xr:uid="{00000000-0005-0000-0000-00005F200000}"/>
    <cellStyle name="Separador de milhares 2 5 2 3 3" xfId="20565" xr:uid="{00000000-0005-0000-0000-000060200000}"/>
    <cellStyle name="Separador de milhares 2 5 2 3 3 2" xfId="46752" xr:uid="{00000000-0005-0000-0000-000061200000}"/>
    <cellStyle name="Separador de milhares 2 5 2 3 4" xfId="14651" xr:uid="{00000000-0005-0000-0000-000062200000}"/>
    <cellStyle name="Separador de milhares 2 5 2 3 4 2" xfId="40844" xr:uid="{00000000-0005-0000-0000-000063200000}"/>
    <cellStyle name="Separador de milhares 2 5 2 3 5" xfId="34458" xr:uid="{00000000-0005-0000-0000-000064200000}"/>
    <cellStyle name="Separador de milhares 2 5 2 4" xfId="4887" xr:uid="{00000000-0005-0000-0000-000065200000}"/>
    <cellStyle name="Separador de milhares 2 5 2 4 2" xfId="23522" xr:uid="{00000000-0005-0000-0000-000066200000}"/>
    <cellStyle name="Separador de milhares 2 5 2 4 2 2" xfId="49706" xr:uid="{00000000-0005-0000-0000-000067200000}"/>
    <cellStyle name="Separador de milhares 2 5 2 4 3" xfId="31083" xr:uid="{00000000-0005-0000-0000-000068200000}"/>
    <cellStyle name="Separador de milhares 2 5 2 5" xfId="17608" xr:uid="{00000000-0005-0000-0000-000069200000}"/>
    <cellStyle name="Separador de milhares 2 5 2 5 2" xfId="43798" xr:uid="{00000000-0005-0000-0000-00006A200000}"/>
    <cellStyle name="Separador de milhares 2 5 2 6" xfId="11274" xr:uid="{00000000-0005-0000-0000-00006B200000}"/>
    <cellStyle name="Separador de milhares 2 5 2 6 2" xfId="37467" xr:uid="{00000000-0005-0000-0000-00006C200000}"/>
    <cellStyle name="Separador de milhares 2 5 2 7" xfId="29385" xr:uid="{00000000-0005-0000-0000-00006D200000}"/>
    <cellStyle name="Separador de milhares 2 5 3" xfId="773" xr:uid="{00000000-0005-0000-0000-00006E200000}"/>
    <cellStyle name="Separador de milhares 2 5 3 2" xfId="6642" xr:uid="{00000000-0005-0000-0000-00006F200000}"/>
    <cellStyle name="Separador de milhares 2 5 3 2 2" xfId="9789" xr:uid="{00000000-0005-0000-0000-000070200000}"/>
    <cellStyle name="Separador de milhares 2 5 3 2 2 2" xfId="28003" xr:uid="{00000000-0005-0000-0000-000071200000}"/>
    <cellStyle name="Separador de milhares 2 5 3 2 2 2 2" xfId="54184" xr:uid="{00000000-0005-0000-0000-000072200000}"/>
    <cellStyle name="Separador de milhares 2 5 3 2 2 3" xfId="22089" xr:uid="{00000000-0005-0000-0000-000073200000}"/>
    <cellStyle name="Separador de milhares 2 5 3 2 2 3 2" xfId="48276" xr:uid="{00000000-0005-0000-0000-000074200000}"/>
    <cellStyle name="Separador de milhares 2 5 3 2 2 4" xfId="16175" xr:uid="{00000000-0005-0000-0000-000075200000}"/>
    <cellStyle name="Separador de milhares 2 5 3 2 2 4 2" xfId="42368" xr:uid="{00000000-0005-0000-0000-000076200000}"/>
    <cellStyle name="Separador de milhares 2 5 3 2 2 5" xfId="35982" xr:uid="{00000000-0005-0000-0000-000077200000}"/>
    <cellStyle name="Separador de milhares 2 5 3 2 3" xfId="25046" xr:uid="{00000000-0005-0000-0000-000078200000}"/>
    <cellStyle name="Separador de milhares 2 5 3 2 3 2" xfId="51230" xr:uid="{00000000-0005-0000-0000-000079200000}"/>
    <cellStyle name="Separador de milhares 2 5 3 2 4" xfId="19132" xr:uid="{00000000-0005-0000-0000-00007A200000}"/>
    <cellStyle name="Separador de milhares 2 5 3 2 4 2" xfId="45322" xr:uid="{00000000-0005-0000-0000-00007B200000}"/>
    <cellStyle name="Separador de milhares 2 5 3 2 5" xfId="13031" xr:uid="{00000000-0005-0000-0000-00007C200000}"/>
    <cellStyle name="Separador de milhares 2 5 3 2 5 2" xfId="39224" xr:uid="{00000000-0005-0000-0000-00007D200000}"/>
    <cellStyle name="Separador de milhares 2 5 3 2 6" xfId="32838" xr:uid="{00000000-0005-0000-0000-00007E200000}"/>
    <cellStyle name="Separador de milhares 2 5 3 3" xfId="8321" xr:uid="{00000000-0005-0000-0000-00007F200000}"/>
    <cellStyle name="Separador de milhares 2 5 3 3 2" xfId="26535" xr:uid="{00000000-0005-0000-0000-000080200000}"/>
    <cellStyle name="Separador de milhares 2 5 3 3 2 2" xfId="52716" xr:uid="{00000000-0005-0000-0000-000081200000}"/>
    <cellStyle name="Separador de milhares 2 5 3 3 3" xfId="20621" xr:uid="{00000000-0005-0000-0000-000082200000}"/>
    <cellStyle name="Separador de milhares 2 5 3 3 3 2" xfId="46808" xr:uid="{00000000-0005-0000-0000-000083200000}"/>
    <cellStyle name="Separador de milhares 2 5 3 3 4" xfId="14707" xr:uid="{00000000-0005-0000-0000-000084200000}"/>
    <cellStyle name="Separador de milhares 2 5 3 3 4 2" xfId="40900" xr:uid="{00000000-0005-0000-0000-000085200000}"/>
    <cellStyle name="Separador de milhares 2 5 3 3 5" xfId="34514" xr:uid="{00000000-0005-0000-0000-000086200000}"/>
    <cellStyle name="Separador de milhares 2 5 3 4" xfId="4943" xr:uid="{00000000-0005-0000-0000-000087200000}"/>
    <cellStyle name="Separador de milhares 2 5 3 4 2" xfId="23578" xr:uid="{00000000-0005-0000-0000-000088200000}"/>
    <cellStyle name="Separador de milhares 2 5 3 4 2 2" xfId="49762" xr:uid="{00000000-0005-0000-0000-000089200000}"/>
    <cellStyle name="Separador de milhares 2 5 3 4 3" xfId="31139" xr:uid="{00000000-0005-0000-0000-00008A200000}"/>
    <cellStyle name="Separador de milhares 2 5 3 5" xfId="17664" xr:uid="{00000000-0005-0000-0000-00008B200000}"/>
    <cellStyle name="Separador de milhares 2 5 3 5 2" xfId="43854" xr:uid="{00000000-0005-0000-0000-00008C200000}"/>
    <cellStyle name="Separador de milhares 2 5 3 6" xfId="11330" xr:uid="{00000000-0005-0000-0000-00008D200000}"/>
    <cellStyle name="Separador de milhares 2 5 3 6 2" xfId="37523" xr:uid="{00000000-0005-0000-0000-00008E200000}"/>
    <cellStyle name="Separador de milhares 2 5 3 7" xfId="29441" xr:uid="{00000000-0005-0000-0000-00008F200000}"/>
    <cellStyle name="Separador de milhares 2 5 4" xfId="1124" xr:uid="{00000000-0005-0000-0000-000090200000}"/>
    <cellStyle name="Separador de milhares 2 5 4 2" xfId="6740" xr:uid="{00000000-0005-0000-0000-000091200000}"/>
    <cellStyle name="Separador de milhares 2 5 4 2 2" xfId="9887" xr:uid="{00000000-0005-0000-0000-000092200000}"/>
    <cellStyle name="Separador de milhares 2 5 4 2 2 2" xfId="28101" xr:uid="{00000000-0005-0000-0000-000093200000}"/>
    <cellStyle name="Separador de milhares 2 5 4 2 2 2 2" xfId="54282" xr:uid="{00000000-0005-0000-0000-000094200000}"/>
    <cellStyle name="Separador de milhares 2 5 4 2 2 3" xfId="22187" xr:uid="{00000000-0005-0000-0000-000095200000}"/>
    <cellStyle name="Separador de milhares 2 5 4 2 2 3 2" xfId="48374" xr:uid="{00000000-0005-0000-0000-000096200000}"/>
    <cellStyle name="Separador de milhares 2 5 4 2 2 4" xfId="16273" xr:uid="{00000000-0005-0000-0000-000097200000}"/>
    <cellStyle name="Separador de milhares 2 5 4 2 2 4 2" xfId="42466" xr:uid="{00000000-0005-0000-0000-000098200000}"/>
    <cellStyle name="Separador de milhares 2 5 4 2 2 5" xfId="36080" xr:uid="{00000000-0005-0000-0000-000099200000}"/>
    <cellStyle name="Separador de milhares 2 5 4 2 3" xfId="25144" xr:uid="{00000000-0005-0000-0000-00009A200000}"/>
    <cellStyle name="Separador de milhares 2 5 4 2 3 2" xfId="51328" xr:uid="{00000000-0005-0000-0000-00009B200000}"/>
    <cellStyle name="Separador de milhares 2 5 4 2 4" xfId="19230" xr:uid="{00000000-0005-0000-0000-00009C200000}"/>
    <cellStyle name="Separador de milhares 2 5 4 2 4 2" xfId="45420" xr:uid="{00000000-0005-0000-0000-00009D200000}"/>
    <cellStyle name="Separador de milhares 2 5 4 2 5" xfId="13129" xr:uid="{00000000-0005-0000-0000-00009E200000}"/>
    <cellStyle name="Separador de milhares 2 5 4 2 5 2" xfId="39322" xr:uid="{00000000-0005-0000-0000-00009F200000}"/>
    <cellStyle name="Separador de milhares 2 5 4 2 6" xfId="32936" xr:uid="{00000000-0005-0000-0000-0000A0200000}"/>
    <cellStyle name="Separador de milhares 2 5 4 3" xfId="8419" xr:uid="{00000000-0005-0000-0000-0000A1200000}"/>
    <cellStyle name="Separador de milhares 2 5 4 3 2" xfId="26633" xr:uid="{00000000-0005-0000-0000-0000A2200000}"/>
    <cellStyle name="Separador de milhares 2 5 4 3 2 2" xfId="52814" xr:uid="{00000000-0005-0000-0000-0000A3200000}"/>
    <cellStyle name="Separador de milhares 2 5 4 3 3" xfId="20719" xr:uid="{00000000-0005-0000-0000-0000A4200000}"/>
    <cellStyle name="Separador de milhares 2 5 4 3 3 2" xfId="46906" xr:uid="{00000000-0005-0000-0000-0000A5200000}"/>
    <cellStyle name="Separador de milhares 2 5 4 3 4" xfId="14805" xr:uid="{00000000-0005-0000-0000-0000A6200000}"/>
    <cellStyle name="Separador de milhares 2 5 4 3 4 2" xfId="40998" xr:uid="{00000000-0005-0000-0000-0000A7200000}"/>
    <cellStyle name="Separador de milhares 2 5 4 3 5" xfId="34612" xr:uid="{00000000-0005-0000-0000-0000A8200000}"/>
    <cellStyle name="Separador de milhares 2 5 4 4" xfId="5041" xr:uid="{00000000-0005-0000-0000-0000A9200000}"/>
    <cellStyle name="Separador de milhares 2 5 4 4 2" xfId="23676" xr:uid="{00000000-0005-0000-0000-0000AA200000}"/>
    <cellStyle name="Separador de milhares 2 5 4 4 2 2" xfId="49860" xr:uid="{00000000-0005-0000-0000-0000AB200000}"/>
    <cellStyle name="Separador de milhares 2 5 4 4 3" xfId="31237" xr:uid="{00000000-0005-0000-0000-0000AC200000}"/>
    <cellStyle name="Separador de milhares 2 5 4 5" xfId="17762" xr:uid="{00000000-0005-0000-0000-0000AD200000}"/>
    <cellStyle name="Separador de milhares 2 5 4 5 2" xfId="43952" xr:uid="{00000000-0005-0000-0000-0000AE200000}"/>
    <cellStyle name="Separador de milhares 2 5 4 6" xfId="11428" xr:uid="{00000000-0005-0000-0000-0000AF200000}"/>
    <cellStyle name="Separador de milhares 2 5 4 6 2" xfId="37621" xr:uid="{00000000-0005-0000-0000-0000B0200000}"/>
    <cellStyle name="Separador de milhares 2 5 4 7" xfId="29539" xr:uid="{00000000-0005-0000-0000-0000B1200000}"/>
    <cellStyle name="Separador de milhares 2 5 5" xfId="1559" xr:uid="{00000000-0005-0000-0000-0000B2200000}"/>
    <cellStyle name="Separador de milhares 2 5 5 2" xfId="6859" xr:uid="{00000000-0005-0000-0000-0000B3200000}"/>
    <cellStyle name="Separador de milhares 2 5 5 2 2" xfId="10006" xr:uid="{00000000-0005-0000-0000-0000B4200000}"/>
    <cellStyle name="Separador de milhares 2 5 5 2 2 2" xfId="28220" xr:uid="{00000000-0005-0000-0000-0000B5200000}"/>
    <cellStyle name="Separador de milhares 2 5 5 2 2 2 2" xfId="54401" xr:uid="{00000000-0005-0000-0000-0000B6200000}"/>
    <cellStyle name="Separador de milhares 2 5 5 2 2 3" xfId="22306" xr:uid="{00000000-0005-0000-0000-0000B7200000}"/>
    <cellStyle name="Separador de milhares 2 5 5 2 2 3 2" xfId="48493" xr:uid="{00000000-0005-0000-0000-0000B8200000}"/>
    <cellStyle name="Separador de milhares 2 5 5 2 2 4" xfId="16392" xr:uid="{00000000-0005-0000-0000-0000B9200000}"/>
    <cellStyle name="Separador de milhares 2 5 5 2 2 4 2" xfId="42585" xr:uid="{00000000-0005-0000-0000-0000BA200000}"/>
    <cellStyle name="Separador de milhares 2 5 5 2 2 5" xfId="36199" xr:uid="{00000000-0005-0000-0000-0000BB200000}"/>
    <cellStyle name="Separador de milhares 2 5 5 2 3" xfId="25263" xr:uid="{00000000-0005-0000-0000-0000BC200000}"/>
    <cellStyle name="Separador de milhares 2 5 5 2 3 2" xfId="51447" xr:uid="{00000000-0005-0000-0000-0000BD200000}"/>
    <cellStyle name="Separador de milhares 2 5 5 2 4" xfId="19349" xr:uid="{00000000-0005-0000-0000-0000BE200000}"/>
    <cellStyle name="Separador de milhares 2 5 5 2 4 2" xfId="45539" xr:uid="{00000000-0005-0000-0000-0000BF200000}"/>
    <cellStyle name="Separador de milhares 2 5 5 2 5" xfId="13248" xr:uid="{00000000-0005-0000-0000-0000C0200000}"/>
    <cellStyle name="Separador de milhares 2 5 5 2 5 2" xfId="39441" xr:uid="{00000000-0005-0000-0000-0000C1200000}"/>
    <cellStyle name="Separador de milhares 2 5 5 2 6" xfId="33055" xr:uid="{00000000-0005-0000-0000-0000C2200000}"/>
    <cellStyle name="Separador de milhares 2 5 5 3" xfId="8538" xr:uid="{00000000-0005-0000-0000-0000C3200000}"/>
    <cellStyle name="Separador de milhares 2 5 5 3 2" xfId="26752" xr:uid="{00000000-0005-0000-0000-0000C4200000}"/>
    <cellStyle name="Separador de milhares 2 5 5 3 2 2" xfId="52933" xr:uid="{00000000-0005-0000-0000-0000C5200000}"/>
    <cellStyle name="Separador de milhares 2 5 5 3 3" xfId="20838" xr:uid="{00000000-0005-0000-0000-0000C6200000}"/>
    <cellStyle name="Separador de milhares 2 5 5 3 3 2" xfId="47025" xr:uid="{00000000-0005-0000-0000-0000C7200000}"/>
    <cellStyle name="Separador de milhares 2 5 5 3 4" xfId="14924" xr:uid="{00000000-0005-0000-0000-0000C8200000}"/>
    <cellStyle name="Separador de milhares 2 5 5 3 4 2" xfId="41117" xr:uid="{00000000-0005-0000-0000-0000C9200000}"/>
    <cellStyle name="Separador de milhares 2 5 5 3 5" xfId="34731" xr:uid="{00000000-0005-0000-0000-0000CA200000}"/>
    <cellStyle name="Separador de milhares 2 5 5 4" xfId="5160" xr:uid="{00000000-0005-0000-0000-0000CB200000}"/>
    <cellStyle name="Separador de milhares 2 5 5 4 2" xfId="23795" xr:uid="{00000000-0005-0000-0000-0000CC200000}"/>
    <cellStyle name="Separador de milhares 2 5 5 4 2 2" xfId="49979" xr:uid="{00000000-0005-0000-0000-0000CD200000}"/>
    <cellStyle name="Separador de milhares 2 5 5 4 3" xfId="31356" xr:uid="{00000000-0005-0000-0000-0000CE200000}"/>
    <cellStyle name="Separador de milhares 2 5 5 5" xfId="17881" xr:uid="{00000000-0005-0000-0000-0000CF200000}"/>
    <cellStyle name="Separador de milhares 2 5 5 5 2" xfId="44071" xr:uid="{00000000-0005-0000-0000-0000D0200000}"/>
    <cellStyle name="Separador de milhares 2 5 5 6" xfId="11547" xr:uid="{00000000-0005-0000-0000-0000D1200000}"/>
    <cellStyle name="Separador de milhares 2 5 5 6 2" xfId="37740" xr:uid="{00000000-0005-0000-0000-0000D2200000}"/>
    <cellStyle name="Separador de milhares 2 5 5 7" xfId="29658" xr:uid="{00000000-0005-0000-0000-0000D3200000}"/>
    <cellStyle name="Separador de milhares 2 5 6" xfId="2089" xr:uid="{00000000-0005-0000-0000-0000D4200000}"/>
    <cellStyle name="Separador de milhares 2 5 6 2" xfId="7009" xr:uid="{00000000-0005-0000-0000-0000D5200000}"/>
    <cellStyle name="Separador de milhares 2 5 6 2 2" xfId="10153" xr:uid="{00000000-0005-0000-0000-0000D6200000}"/>
    <cellStyle name="Separador de milhares 2 5 6 2 2 2" xfId="28367" xr:uid="{00000000-0005-0000-0000-0000D7200000}"/>
    <cellStyle name="Separador de milhares 2 5 6 2 2 2 2" xfId="54548" xr:uid="{00000000-0005-0000-0000-0000D8200000}"/>
    <cellStyle name="Separador de milhares 2 5 6 2 2 3" xfId="22453" xr:uid="{00000000-0005-0000-0000-0000D9200000}"/>
    <cellStyle name="Separador de milhares 2 5 6 2 2 3 2" xfId="48640" xr:uid="{00000000-0005-0000-0000-0000DA200000}"/>
    <cellStyle name="Separador de milhares 2 5 6 2 2 4" xfId="16539" xr:uid="{00000000-0005-0000-0000-0000DB200000}"/>
    <cellStyle name="Separador de milhares 2 5 6 2 2 4 2" xfId="42732" xr:uid="{00000000-0005-0000-0000-0000DC200000}"/>
    <cellStyle name="Separador de milhares 2 5 6 2 2 5" xfId="36346" xr:uid="{00000000-0005-0000-0000-0000DD200000}"/>
    <cellStyle name="Separador de milhares 2 5 6 2 3" xfId="25410" xr:uid="{00000000-0005-0000-0000-0000DE200000}"/>
    <cellStyle name="Separador de milhares 2 5 6 2 3 2" xfId="51594" xr:uid="{00000000-0005-0000-0000-0000DF200000}"/>
    <cellStyle name="Separador de milhares 2 5 6 2 4" xfId="19496" xr:uid="{00000000-0005-0000-0000-0000E0200000}"/>
    <cellStyle name="Separador de milhares 2 5 6 2 4 2" xfId="45686" xr:uid="{00000000-0005-0000-0000-0000E1200000}"/>
    <cellStyle name="Separador de milhares 2 5 6 2 5" xfId="13398" xr:uid="{00000000-0005-0000-0000-0000E2200000}"/>
    <cellStyle name="Separador de milhares 2 5 6 2 5 2" xfId="39591" xr:uid="{00000000-0005-0000-0000-0000E3200000}"/>
    <cellStyle name="Separador de milhares 2 5 6 2 6" xfId="33205" xr:uid="{00000000-0005-0000-0000-0000E4200000}"/>
    <cellStyle name="Separador de milhares 2 5 6 3" xfId="8685" xr:uid="{00000000-0005-0000-0000-0000E5200000}"/>
    <cellStyle name="Separador de milhares 2 5 6 3 2" xfId="26899" xr:uid="{00000000-0005-0000-0000-0000E6200000}"/>
    <cellStyle name="Separador de milhares 2 5 6 3 2 2" xfId="53080" xr:uid="{00000000-0005-0000-0000-0000E7200000}"/>
    <cellStyle name="Separador de milhares 2 5 6 3 3" xfId="20985" xr:uid="{00000000-0005-0000-0000-0000E8200000}"/>
    <cellStyle name="Separador de milhares 2 5 6 3 3 2" xfId="47172" xr:uid="{00000000-0005-0000-0000-0000E9200000}"/>
    <cellStyle name="Separador de milhares 2 5 6 3 4" xfId="15071" xr:uid="{00000000-0005-0000-0000-0000EA200000}"/>
    <cellStyle name="Separador de milhares 2 5 6 3 4 2" xfId="41264" xr:uid="{00000000-0005-0000-0000-0000EB200000}"/>
    <cellStyle name="Separador de milhares 2 5 6 3 5" xfId="34878" xr:uid="{00000000-0005-0000-0000-0000EC200000}"/>
    <cellStyle name="Separador de milhares 2 5 6 4" xfId="5310" xr:uid="{00000000-0005-0000-0000-0000ED200000}"/>
    <cellStyle name="Separador de milhares 2 5 6 4 2" xfId="23942" xr:uid="{00000000-0005-0000-0000-0000EE200000}"/>
    <cellStyle name="Separador de milhares 2 5 6 4 2 2" xfId="50126" xr:uid="{00000000-0005-0000-0000-0000EF200000}"/>
    <cellStyle name="Separador de milhares 2 5 6 4 3" xfId="31506" xr:uid="{00000000-0005-0000-0000-0000F0200000}"/>
    <cellStyle name="Separador de milhares 2 5 6 5" xfId="18028" xr:uid="{00000000-0005-0000-0000-0000F1200000}"/>
    <cellStyle name="Separador de milhares 2 5 6 5 2" xfId="44218" xr:uid="{00000000-0005-0000-0000-0000F2200000}"/>
    <cellStyle name="Separador de milhares 2 5 6 6" xfId="11697" xr:uid="{00000000-0005-0000-0000-0000F3200000}"/>
    <cellStyle name="Separador de milhares 2 5 6 6 2" xfId="37890" xr:uid="{00000000-0005-0000-0000-0000F4200000}"/>
    <cellStyle name="Separador de milhares 2 5 6 7" xfId="29808" xr:uid="{00000000-0005-0000-0000-0000F5200000}"/>
    <cellStyle name="Separador de milhares 2 5 7" xfId="2616" xr:uid="{00000000-0005-0000-0000-0000F6200000}"/>
    <cellStyle name="Separador de milhares 2 5 7 2" xfId="7156" xr:uid="{00000000-0005-0000-0000-0000F7200000}"/>
    <cellStyle name="Separador de milhares 2 5 7 2 2" xfId="10300" xr:uid="{00000000-0005-0000-0000-0000F8200000}"/>
    <cellStyle name="Separador de milhares 2 5 7 2 2 2" xfId="28514" xr:uid="{00000000-0005-0000-0000-0000F9200000}"/>
    <cellStyle name="Separador de milhares 2 5 7 2 2 2 2" xfId="54695" xr:uid="{00000000-0005-0000-0000-0000FA200000}"/>
    <cellStyle name="Separador de milhares 2 5 7 2 2 3" xfId="22600" xr:uid="{00000000-0005-0000-0000-0000FB200000}"/>
    <cellStyle name="Separador de milhares 2 5 7 2 2 3 2" xfId="48787" xr:uid="{00000000-0005-0000-0000-0000FC200000}"/>
    <cellStyle name="Separador de milhares 2 5 7 2 2 4" xfId="16686" xr:uid="{00000000-0005-0000-0000-0000FD200000}"/>
    <cellStyle name="Separador de milhares 2 5 7 2 2 4 2" xfId="42879" xr:uid="{00000000-0005-0000-0000-0000FE200000}"/>
    <cellStyle name="Separador de milhares 2 5 7 2 2 5" xfId="36493" xr:uid="{00000000-0005-0000-0000-0000FF200000}"/>
    <cellStyle name="Separador de milhares 2 5 7 2 3" xfId="25557" xr:uid="{00000000-0005-0000-0000-000000210000}"/>
    <cellStyle name="Separador de milhares 2 5 7 2 3 2" xfId="51741" xr:uid="{00000000-0005-0000-0000-000001210000}"/>
    <cellStyle name="Separador de milhares 2 5 7 2 4" xfId="19643" xr:uid="{00000000-0005-0000-0000-000002210000}"/>
    <cellStyle name="Separador de milhares 2 5 7 2 4 2" xfId="45833" xr:uid="{00000000-0005-0000-0000-000003210000}"/>
    <cellStyle name="Separador de milhares 2 5 7 2 5" xfId="13545" xr:uid="{00000000-0005-0000-0000-000004210000}"/>
    <cellStyle name="Separador de milhares 2 5 7 2 5 2" xfId="39738" xr:uid="{00000000-0005-0000-0000-000005210000}"/>
    <cellStyle name="Separador de milhares 2 5 7 2 6" xfId="33352" xr:uid="{00000000-0005-0000-0000-000006210000}"/>
    <cellStyle name="Separador de milhares 2 5 7 3" xfId="8832" xr:uid="{00000000-0005-0000-0000-000007210000}"/>
    <cellStyle name="Separador de milhares 2 5 7 3 2" xfId="27046" xr:uid="{00000000-0005-0000-0000-000008210000}"/>
    <cellStyle name="Separador de milhares 2 5 7 3 2 2" xfId="53227" xr:uid="{00000000-0005-0000-0000-000009210000}"/>
    <cellStyle name="Separador de milhares 2 5 7 3 3" xfId="21132" xr:uid="{00000000-0005-0000-0000-00000A210000}"/>
    <cellStyle name="Separador de milhares 2 5 7 3 3 2" xfId="47319" xr:uid="{00000000-0005-0000-0000-00000B210000}"/>
    <cellStyle name="Separador de milhares 2 5 7 3 4" xfId="15218" xr:uid="{00000000-0005-0000-0000-00000C210000}"/>
    <cellStyle name="Separador de milhares 2 5 7 3 4 2" xfId="41411" xr:uid="{00000000-0005-0000-0000-00000D210000}"/>
    <cellStyle name="Separador de milhares 2 5 7 3 5" xfId="35025" xr:uid="{00000000-0005-0000-0000-00000E210000}"/>
    <cellStyle name="Separador de milhares 2 5 7 4" xfId="5457" xr:uid="{00000000-0005-0000-0000-00000F210000}"/>
    <cellStyle name="Separador de milhares 2 5 7 4 2" xfId="24089" xr:uid="{00000000-0005-0000-0000-000010210000}"/>
    <cellStyle name="Separador de milhares 2 5 7 4 2 2" xfId="50273" xr:uid="{00000000-0005-0000-0000-000011210000}"/>
    <cellStyle name="Separador de milhares 2 5 7 4 3" xfId="31653" xr:uid="{00000000-0005-0000-0000-000012210000}"/>
    <cellStyle name="Separador de milhares 2 5 7 5" xfId="18175" xr:uid="{00000000-0005-0000-0000-000013210000}"/>
    <cellStyle name="Separador de milhares 2 5 7 5 2" xfId="44365" xr:uid="{00000000-0005-0000-0000-000014210000}"/>
    <cellStyle name="Separador de milhares 2 5 7 6" xfId="11844" xr:uid="{00000000-0005-0000-0000-000015210000}"/>
    <cellStyle name="Separador de milhares 2 5 7 6 2" xfId="38037" xr:uid="{00000000-0005-0000-0000-000016210000}"/>
    <cellStyle name="Separador de milhares 2 5 7 7" xfId="29955" xr:uid="{00000000-0005-0000-0000-000017210000}"/>
    <cellStyle name="Separador de milhares 2 5 8" xfId="3143" xr:uid="{00000000-0005-0000-0000-000018210000}"/>
    <cellStyle name="Separador de milhares 2 5 8 2" xfId="7303" xr:uid="{00000000-0005-0000-0000-000019210000}"/>
    <cellStyle name="Separador de milhares 2 5 8 2 2" xfId="10447" xr:uid="{00000000-0005-0000-0000-00001A210000}"/>
    <cellStyle name="Separador de milhares 2 5 8 2 2 2" xfId="28661" xr:uid="{00000000-0005-0000-0000-00001B210000}"/>
    <cellStyle name="Separador de milhares 2 5 8 2 2 2 2" xfId="54842" xr:uid="{00000000-0005-0000-0000-00001C210000}"/>
    <cellStyle name="Separador de milhares 2 5 8 2 2 3" xfId="22747" xr:uid="{00000000-0005-0000-0000-00001D210000}"/>
    <cellStyle name="Separador de milhares 2 5 8 2 2 3 2" xfId="48934" xr:uid="{00000000-0005-0000-0000-00001E210000}"/>
    <cellStyle name="Separador de milhares 2 5 8 2 2 4" xfId="16833" xr:uid="{00000000-0005-0000-0000-00001F210000}"/>
    <cellStyle name="Separador de milhares 2 5 8 2 2 4 2" xfId="43026" xr:uid="{00000000-0005-0000-0000-000020210000}"/>
    <cellStyle name="Separador de milhares 2 5 8 2 2 5" xfId="36640" xr:uid="{00000000-0005-0000-0000-000021210000}"/>
    <cellStyle name="Separador de milhares 2 5 8 2 3" xfId="25704" xr:uid="{00000000-0005-0000-0000-000022210000}"/>
    <cellStyle name="Separador de milhares 2 5 8 2 3 2" xfId="51888" xr:uid="{00000000-0005-0000-0000-000023210000}"/>
    <cellStyle name="Separador de milhares 2 5 8 2 4" xfId="19790" xr:uid="{00000000-0005-0000-0000-000024210000}"/>
    <cellStyle name="Separador de milhares 2 5 8 2 4 2" xfId="45980" xr:uid="{00000000-0005-0000-0000-000025210000}"/>
    <cellStyle name="Separador de milhares 2 5 8 2 5" xfId="13692" xr:uid="{00000000-0005-0000-0000-000026210000}"/>
    <cellStyle name="Separador de milhares 2 5 8 2 5 2" xfId="39885" xr:uid="{00000000-0005-0000-0000-000027210000}"/>
    <cellStyle name="Separador de milhares 2 5 8 2 6" xfId="33499" xr:uid="{00000000-0005-0000-0000-000028210000}"/>
    <cellStyle name="Separador de milhares 2 5 8 3" xfId="8979" xr:uid="{00000000-0005-0000-0000-000029210000}"/>
    <cellStyle name="Separador de milhares 2 5 8 3 2" xfId="27193" xr:uid="{00000000-0005-0000-0000-00002A210000}"/>
    <cellStyle name="Separador de milhares 2 5 8 3 2 2" xfId="53374" xr:uid="{00000000-0005-0000-0000-00002B210000}"/>
    <cellStyle name="Separador de milhares 2 5 8 3 3" xfId="21279" xr:uid="{00000000-0005-0000-0000-00002C210000}"/>
    <cellStyle name="Separador de milhares 2 5 8 3 3 2" xfId="47466" xr:uid="{00000000-0005-0000-0000-00002D210000}"/>
    <cellStyle name="Separador de milhares 2 5 8 3 4" xfId="15365" xr:uid="{00000000-0005-0000-0000-00002E210000}"/>
    <cellStyle name="Separador de milhares 2 5 8 3 4 2" xfId="41558" xr:uid="{00000000-0005-0000-0000-00002F210000}"/>
    <cellStyle name="Separador de milhares 2 5 8 3 5" xfId="35172" xr:uid="{00000000-0005-0000-0000-000030210000}"/>
    <cellStyle name="Separador de milhares 2 5 8 4" xfId="5604" xr:uid="{00000000-0005-0000-0000-000031210000}"/>
    <cellStyle name="Separador de milhares 2 5 8 4 2" xfId="24236" xr:uid="{00000000-0005-0000-0000-000032210000}"/>
    <cellStyle name="Separador de milhares 2 5 8 4 2 2" xfId="50420" xr:uid="{00000000-0005-0000-0000-000033210000}"/>
    <cellStyle name="Separador de milhares 2 5 8 4 3" xfId="31800" xr:uid="{00000000-0005-0000-0000-000034210000}"/>
    <cellStyle name="Separador de milhares 2 5 8 5" xfId="18322" xr:uid="{00000000-0005-0000-0000-000035210000}"/>
    <cellStyle name="Separador de milhares 2 5 8 5 2" xfId="44512" xr:uid="{00000000-0005-0000-0000-000036210000}"/>
    <cellStyle name="Separador de milhares 2 5 8 6" xfId="11991" xr:uid="{00000000-0005-0000-0000-000037210000}"/>
    <cellStyle name="Separador de milhares 2 5 8 6 2" xfId="38184" xr:uid="{00000000-0005-0000-0000-000038210000}"/>
    <cellStyle name="Separador de milhares 2 5 8 7" xfId="30102" xr:uid="{00000000-0005-0000-0000-000039210000}"/>
    <cellStyle name="Separador de milhares 2 5 9" xfId="3670" xr:uid="{00000000-0005-0000-0000-00003A210000}"/>
    <cellStyle name="Separador de milhares 2 5 9 2" xfId="7450" xr:uid="{00000000-0005-0000-0000-00003B210000}"/>
    <cellStyle name="Separador de milhares 2 5 9 2 2" xfId="10594" xr:uid="{00000000-0005-0000-0000-00003C210000}"/>
    <cellStyle name="Separador de milhares 2 5 9 2 2 2" xfId="28808" xr:uid="{00000000-0005-0000-0000-00003D210000}"/>
    <cellStyle name="Separador de milhares 2 5 9 2 2 2 2" xfId="54989" xr:uid="{00000000-0005-0000-0000-00003E210000}"/>
    <cellStyle name="Separador de milhares 2 5 9 2 2 3" xfId="22894" xr:uid="{00000000-0005-0000-0000-00003F210000}"/>
    <cellStyle name="Separador de milhares 2 5 9 2 2 3 2" xfId="49081" xr:uid="{00000000-0005-0000-0000-000040210000}"/>
    <cellStyle name="Separador de milhares 2 5 9 2 2 4" xfId="16980" xr:uid="{00000000-0005-0000-0000-000041210000}"/>
    <cellStyle name="Separador de milhares 2 5 9 2 2 4 2" xfId="43173" xr:uid="{00000000-0005-0000-0000-000042210000}"/>
    <cellStyle name="Separador de milhares 2 5 9 2 2 5" xfId="36787" xr:uid="{00000000-0005-0000-0000-000043210000}"/>
    <cellStyle name="Separador de milhares 2 5 9 2 3" xfId="25851" xr:uid="{00000000-0005-0000-0000-000044210000}"/>
    <cellStyle name="Separador de milhares 2 5 9 2 3 2" xfId="52035" xr:uid="{00000000-0005-0000-0000-000045210000}"/>
    <cellStyle name="Separador de milhares 2 5 9 2 4" xfId="19937" xr:uid="{00000000-0005-0000-0000-000046210000}"/>
    <cellStyle name="Separador de milhares 2 5 9 2 4 2" xfId="46127" xr:uid="{00000000-0005-0000-0000-000047210000}"/>
    <cellStyle name="Separador de milhares 2 5 9 2 5" xfId="13839" xr:uid="{00000000-0005-0000-0000-000048210000}"/>
    <cellStyle name="Separador de milhares 2 5 9 2 5 2" xfId="40032" xr:uid="{00000000-0005-0000-0000-000049210000}"/>
    <cellStyle name="Separador de milhares 2 5 9 2 6" xfId="33646" xr:uid="{00000000-0005-0000-0000-00004A210000}"/>
    <cellStyle name="Separador de milhares 2 5 9 3" xfId="9126" xr:uid="{00000000-0005-0000-0000-00004B210000}"/>
    <cellStyle name="Separador de milhares 2 5 9 3 2" xfId="27340" xr:uid="{00000000-0005-0000-0000-00004C210000}"/>
    <cellStyle name="Separador de milhares 2 5 9 3 2 2" xfId="53521" xr:uid="{00000000-0005-0000-0000-00004D210000}"/>
    <cellStyle name="Separador de milhares 2 5 9 3 3" xfId="21426" xr:uid="{00000000-0005-0000-0000-00004E210000}"/>
    <cellStyle name="Separador de milhares 2 5 9 3 3 2" xfId="47613" xr:uid="{00000000-0005-0000-0000-00004F210000}"/>
    <cellStyle name="Separador de milhares 2 5 9 3 4" xfId="15512" xr:uid="{00000000-0005-0000-0000-000050210000}"/>
    <cellStyle name="Separador de milhares 2 5 9 3 4 2" xfId="41705" xr:uid="{00000000-0005-0000-0000-000051210000}"/>
    <cellStyle name="Separador de milhares 2 5 9 3 5" xfId="35319" xr:uid="{00000000-0005-0000-0000-000052210000}"/>
    <cellStyle name="Separador de milhares 2 5 9 4" xfId="5751" xr:uid="{00000000-0005-0000-0000-000053210000}"/>
    <cellStyle name="Separador de milhares 2 5 9 4 2" xfId="24383" xr:uid="{00000000-0005-0000-0000-000054210000}"/>
    <cellStyle name="Separador de milhares 2 5 9 4 2 2" xfId="50567" xr:uid="{00000000-0005-0000-0000-000055210000}"/>
    <cellStyle name="Separador de milhares 2 5 9 4 3" xfId="31947" xr:uid="{00000000-0005-0000-0000-000056210000}"/>
    <cellStyle name="Separador de milhares 2 5 9 5" xfId="18469" xr:uid="{00000000-0005-0000-0000-000057210000}"/>
    <cellStyle name="Separador de milhares 2 5 9 5 2" xfId="44659" xr:uid="{00000000-0005-0000-0000-000058210000}"/>
    <cellStyle name="Separador de milhares 2 5 9 6" xfId="12138" xr:uid="{00000000-0005-0000-0000-000059210000}"/>
    <cellStyle name="Separador de milhares 2 5 9 6 2" xfId="38331" xr:uid="{00000000-0005-0000-0000-00005A210000}"/>
    <cellStyle name="Separador de milhares 2 5 9 7" xfId="30249" xr:uid="{00000000-0005-0000-0000-00005B210000}"/>
    <cellStyle name="Separador de milhares 2 6" xfId="6409" xr:uid="{00000000-0005-0000-0000-00005C210000}"/>
    <cellStyle name="Separador de milhares 2 6 2" xfId="9565" xr:uid="{00000000-0005-0000-0000-00005D210000}"/>
    <cellStyle name="Separador de milhares 2 6 2 2" xfId="27779" xr:uid="{00000000-0005-0000-0000-00005E210000}"/>
    <cellStyle name="Separador de milhares 2 6 2 2 2" xfId="53960" xr:uid="{00000000-0005-0000-0000-00005F210000}"/>
    <cellStyle name="Separador de milhares 2 6 2 3" xfId="21865" xr:uid="{00000000-0005-0000-0000-000060210000}"/>
    <cellStyle name="Separador de milhares 2 6 2 3 2" xfId="48052" xr:uid="{00000000-0005-0000-0000-000061210000}"/>
    <cellStyle name="Separador de milhares 2 6 2 4" xfId="15951" xr:uid="{00000000-0005-0000-0000-000062210000}"/>
    <cellStyle name="Separador de milhares 2 6 2 4 2" xfId="42144" xr:uid="{00000000-0005-0000-0000-000063210000}"/>
    <cellStyle name="Separador de milhares 2 6 2 5" xfId="35758" xr:uid="{00000000-0005-0000-0000-000064210000}"/>
    <cellStyle name="Separador de milhares 2 6 3" xfId="24822" xr:uid="{00000000-0005-0000-0000-000065210000}"/>
    <cellStyle name="Separador de milhares 2 6 3 2" xfId="51006" xr:uid="{00000000-0005-0000-0000-000066210000}"/>
    <cellStyle name="Separador de milhares 2 6 4" xfId="18908" xr:uid="{00000000-0005-0000-0000-000067210000}"/>
    <cellStyle name="Separador de milhares 2 6 4 2" xfId="45098" xr:uid="{00000000-0005-0000-0000-000068210000}"/>
    <cellStyle name="Separador de milhares 2 6 5" xfId="12798" xr:uid="{00000000-0005-0000-0000-000069210000}"/>
    <cellStyle name="Separador de milhares 2 6 5 2" xfId="38991" xr:uid="{00000000-0005-0000-0000-00006A210000}"/>
    <cellStyle name="Separador de milhares 2 6 6" xfId="32605" xr:uid="{00000000-0005-0000-0000-00006B210000}"/>
    <cellStyle name="Separador de milhares 2 7" xfId="8094" xr:uid="{00000000-0005-0000-0000-00006C210000}"/>
    <cellStyle name="Separador de milhares 2 7 2" xfId="26308" xr:uid="{00000000-0005-0000-0000-00006D210000}"/>
    <cellStyle name="Separador de milhares 2 7 2 2" xfId="52492" xr:uid="{00000000-0005-0000-0000-00006E210000}"/>
    <cellStyle name="Separador de milhares 2 7 3" xfId="20394" xr:uid="{00000000-0005-0000-0000-00006F210000}"/>
    <cellStyle name="Separador de milhares 2 7 3 2" xfId="46584" xr:uid="{00000000-0005-0000-0000-000070210000}"/>
    <cellStyle name="Separador de milhares 2 7 4" xfId="14483" xr:uid="{00000000-0005-0000-0000-000071210000}"/>
    <cellStyle name="Separador de milhares 2 7 4 2" xfId="40676" xr:uid="{00000000-0005-0000-0000-000072210000}"/>
    <cellStyle name="Separador de milhares 2 7 5" xfId="34290" xr:uid="{00000000-0005-0000-0000-000073210000}"/>
    <cellStyle name="Separador de milhares 2 8" xfId="4707" xr:uid="{00000000-0005-0000-0000-000074210000}"/>
    <cellStyle name="Separador de milhares 2 8 2" xfId="23351" xr:uid="{00000000-0005-0000-0000-000075210000}"/>
    <cellStyle name="Separador de milhares 2 8 2 2" xfId="49538" xr:uid="{00000000-0005-0000-0000-000076210000}"/>
    <cellStyle name="Separador de milhares 2 8 3" xfId="30906" xr:uid="{00000000-0005-0000-0000-000077210000}"/>
    <cellStyle name="Separador de milhares 2 9" xfId="17437" xr:uid="{00000000-0005-0000-0000-000078210000}"/>
    <cellStyle name="Separador de milhares 2 9 2" xfId="43630" xr:uid="{00000000-0005-0000-0000-000079210000}"/>
    <cellStyle name="Separador de milhares 3" xfId="26" xr:uid="{00000000-0005-0000-0000-00007A210000}"/>
    <cellStyle name="Separador de milhares 3 10" xfId="79" xr:uid="{00000000-0005-0000-0000-00007B210000}"/>
    <cellStyle name="Separador de milhares 3 10 10" xfId="2582" xr:uid="{00000000-0005-0000-0000-00007C210000}"/>
    <cellStyle name="Separador de milhares 3 10 10 2" xfId="7147" xr:uid="{00000000-0005-0000-0000-00007D210000}"/>
    <cellStyle name="Separador de milhares 3 10 10 2 2" xfId="10291" xr:uid="{00000000-0005-0000-0000-00007E210000}"/>
    <cellStyle name="Separador de milhares 3 10 10 2 2 2" xfId="28505" xr:uid="{00000000-0005-0000-0000-00007F210000}"/>
    <cellStyle name="Separador de milhares 3 10 10 2 2 2 2" xfId="54686" xr:uid="{00000000-0005-0000-0000-000080210000}"/>
    <cellStyle name="Separador de milhares 3 10 10 2 2 3" xfId="22591" xr:uid="{00000000-0005-0000-0000-000081210000}"/>
    <cellStyle name="Separador de milhares 3 10 10 2 2 3 2" xfId="48778" xr:uid="{00000000-0005-0000-0000-000082210000}"/>
    <cellStyle name="Separador de milhares 3 10 10 2 2 4" xfId="16677" xr:uid="{00000000-0005-0000-0000-000083210000}"/>
    <cellStyle name="Separador de milhares 3 10 10 2 2 4 2" xfId="42870" xr:uid="{00000000-0005-0000-0000-000084210000}"/>
    <cellStyle name="Separador de milhares 3 10 10 2 2 5" xfId="36484" xr:uid="{00000000-0005-0000-0000-000085210000}"/>
    <cellStyle name="Separador de milhares 3 10 10 2 3" xfId="25548" xr:uid="{00000000-0005-0000-0000-000086210000}"/>
    <cellStyle name="Separador de milhares 3 10 10 2 3 2" xfId="51732" xr:uid="{00000000-0005-0000-0000-000087210000}"/>
    <cellStyle name="Separador de milhares 3 10 10 2 4" xfId="19634" xr:uid="{00000000-0005-0000-0000-000088210000}"/>
    <cellStyle name="Separador de milhares 3 10 10 2 4 2" xfId="45824" xr:uid="{00000000-0005-0000-0000-000089210000}"/>
    <cellStyle name="Separador de milhares 3 10 10 2 5" xfId="13536" xr:uid="{00000000-0005-0000-0000-00008A210000}"/>
    <cellStyle name="Separador de milhares 3 10 10 2 5 2" xfId="39729" xr:uid="{00000000-0005-0000-0000-00008B210000}"/>
    <cellStyle name="Separador de milhares 3 10 10 2 6" xfId="33343" xr:uid="{00000000-0005-0000-0000-00008C210000}"/>
    <cellStyle name="Separador de milhares 3 10 10 3" xfId="8823" xr:uid="{00000000-0005-0000-0000-00008D210000}"/>
    <cellStyle name="Separador de milhares 3 10 10 3 2" xfId="27037" xr:uid="{00000000-0005-0000-0000-00008E210000}"/>
    <cellStyle name="Separador de milhares 3 10 10 3 2 2" xfId="53218" xr:uid="{00000000-0005-0000-0000-00008F210000}"/>
    <cellStyle name="Separador de milhares 3 10 10 3 3" xfId="21123" xr:uid="{00000000-0005-0000-0000-000090210000}"/>
    <cellStyle name="Separador de milhares 3 10 10 3 3 2" xfId="47310" xr:uid="{00000000-0005-0000-0000-000091210000}"/>
    <cellStyle name="Separador de milhares 3 10 10 3 4" xfId="15209" xr:uid="{00000000-0005-0000-0000-000092210000}"/>
    <cellStyle name="Separador de milhares 3 10 10 3 4 2" xfId="41402" xr:uid="{00000000-0005-0000-0000-000093210000}"/>
    <cellStyle name="Separador de milhares 3 10 10 3 5" xfId="35016" xr:uid="{00000000-0005-0000-0000-000094210000}"/>
    <cellStyle name="Separador de milhares 3 10 10 4" xfId="5448" xr:uid="{00000000-0005-0000-0000-000095210000}"/>
    <cellStyle name="Separador de milhares 3 10 10 4 2" xfId="24080" xr:uid="{00000000-0005-0000-0000-000096210000}"/>
    <cellStyle name="Separador de milhares 3 10 10 4 2 2" xfId="50264" xr:uid="{00000000-0005-0000-0000-000097210000}"/>
    <cellStyle name="Separador de milhares 3 10 10 4 3" xfId="31644" xr:uid="{00000000-0005-0000-0000-000098210000}"/>
    <cellStyle name="Separador de milhares 3 10 10 5" xfId="18166" xr:uid="{00000000-0005-0000-0000-000099210000}"/>
    <cellStyle name="Separador de milhares 3 10 10 5 2" xfId="44356" xr:uid="{00000000-0005-0000-0000-00009A210000}"/>
    <cellStyle name="Separador de milhares 3 10 10 6" xfId="11835" xr:uid="{00000000-0005-0000-0000-00009B210000}"/>
    <cellStyle name="Separador de milhares 3 10 10 6 2" xfId="38028" xr:uid="{00000000-0005-0000-0000-00009C210000}"/>
    <cellStyle name="Separador de milhares 3 10 10 7" xfId="29946" xr:uid="{00000000-0005-0000-0000-00009D210000}"/>
    <cellStyle name="Separador de milhares 3 10 11" xfId="3109" xr:uid="{00000000-0005-0000-0000-00009E210000}"/>
    <cellStyle name="Separador de milhares 3 10 11 2" xfId="7294" xr:uid="{00000000-0005-0000-0000-00009F210000}"/>
    <cellStyle name="Separador de milhares 3 10 11 2 2" xfId="10438" xr:uid="{00000000-0005-0000-0000-0000A0210000}"/>
    <cellStyle name="Separador de milhares 3 10 11 2 2 2" xfId="28652" xr:uid="{00000000-0005-0000-0000-0000A1210000}"/>
    <cellStyle name="Separador de milhares 3 10 11 2 2 2 2" xfId="54833" xr:uid="{00000000-0005-0000-0000-0000A2210000}"/>
    <cellStyle name="Separador de milhares 3 10 11 2 2 3" xfId="22738" xr:uid="{00000000-0005-0000-0000-0000A3210000}"/>
    <cellStyle name="Separador de milhares 3 10 11 2 2 3 2" xfId="48925" xr:uid="{00000000-0005-0000-0000-0000A4210000}"/>
    <cellStyle name="Separador de milhares 3 10 11 2 2 4" xfId="16824" xr:uid="{00000000-0005-0000-0000-0000A5210000}"/>
    <cellStyle name="Separador de milhares 3 10 11 2 2 4 2" xfId="43017" xr:uid="{00000000-0005-0000-0000-0000A6210000}"/>
    <cellStyle name="Separador de milhares 3 10 11 2 2 5" xfId="36631" xr:uid="{00000000-0005-0000-0000-0000A7210000}"/>
    <cellStyle name="Separador de milhares 3 10 11 2 3" xfId="25695" xr:uid="{00000000-0005-0000-0000-0000A8210000}"/>
    <cellStyle name="Separador de milhares 3 10 11 2 3 2" xfId="51879" xr:uid="{00000000-0005-0000-0000-0000A9210000}"/>
    <cellStyle name="Separador de milhares 3 10 11 2 4" xfId="19781" xr:uid="{00000000-0005-0000-0000-0000AA210000}"/>
    <cellStyle name="Separador de milhares 3 10 11 2 4 2" xfId="45971" xr:uid="{00000000-0005-0000-0000-0000AB210000}"/>
    <cellStyle name="Separador de milhares 3 10 11 2 5" xfId="13683" xr:uid="{00000000-0005-0000-0000-0000AC210000}"/>
    <cellStyle name="Separador de milhares 3 10 11 2 5 2" xfId="39876" xr:uid="{00000000-0005-0000-0000-0000AD210000}"/>
    <cellStyle name="Separador de milhares 3 10 11 2 6" xfId="33490" xr:uid="{00000000-0005-0000-0000-0000AE210000}"/>
    <cellStyle name="Separador de milhares 3 10 11 3" xfId="8970" xr:uid="{00000000-0005-0000-0000-0000AF210000}"/>
    <cellStyle name="Separador de milhares 3 10 11 3 2" xfId="27184" xr:uid="{00000000-0005-0000-0000-0000B0210000}"/>
    <cellStyle name="Separador de milhares 3 10 11 3 2 2" xfId="53365" xr:uid="{00000000-0005-0000-0000-0000B1210000}"/>
    <cellStyle name="Separador de milhares 3 10 11 3 3" xfId="21270" xr:uid="{00000000-0005-0000-0000-0000B2210000}"/>
    <cellStyle name="Separador de milhares 3 10 11 3 3 2" xfId="47457" xr:uid="{00000000-0005-0000-0000-0000B3210000}"/>
    <cellStyle name="Separador de milhares 3 10 11 3 4" xfId="15356" xr:uid="{00000000-0005-0000-0000-0000B4210000}"/>
    <cellStyle name="Separador de milhares 3 10 11 3 4 2" xfId="41549" xr:uid="{00000000-0005-0000-0000-0000B5210000}"/>
    <cellStyle name="Separador de milhares 3 10 11 3 5" xfId="35163" xr:uid="{00000000-0005-0000-0000-0000B6210000}"/>
    <cellStyle name="Separador de milhares 3 10 11 4" xfId="5595" xr:uid="{00000000-0005-0000-0000-0000B7210000}"/>
    <cellStyle name="Separador de milhares 3 10 11 4 2" xfId="24227" xr:uid="{00000000-0005-0000-0000-0000B8210000}"/>
    <cellStyle name="Separador de milhares 3 10 11 4 2 2" xfId="50411" xr:uid="{00000000-0005-0000-0000-0000B9210000}"/>
    <cellStyle name="Separador de milhares 3 10 11 4 3" xfId="31791" xr:uid="{00000000-0005-0000-0000-0000BA210000}"/>
    <cellStyle name="Separador de milhares 3 10 11 5" xfId="18313" xr:uid="{00000000-0005-0000-0000-0000BB210000}"/>
    <cellStyle name="Separador de milhares 3 10 11 5 2" xfId="44503" xr:uid="{00000000-0005-0000-0000-0000BC210000}"/>
    <cellStyle name="Separador de milhares 3 10 11 6" xfId="11982" xr:uid="{00000000-0005-0000-0000-0000BD210000}"/>
    <cellStyle name="Separador de milhares 3 10 11 6 2" xfId="38175" xr:uid="{00000000-0005-0000-0000-0000BE210000}"/>
    <cellStyle name="Separador de milhares 3 10 11 7" xfId="30093" xr:uid="{00000000-0005-0000-0000-0000BF210000}"/>
    <cellStyle name="Separador de milhares 3 10 12" xfId="3636" xr:uid="{00000000-0005-0000-0000-0000C0210000}"/>
    <cellStyle name="Separador de milhares 3 10 12 2" xfId="7441" xr:uid="{00000000-0005-0000-0000-0000C1210000}"/>
    <cellStyle name="Separador de milhares 3 10 12 2 2" xfId="10585" xr:uid="{00000000-0005-0000-0000-0000C2210000}"/>
    <cellStyle name="Separador de milhares 3 10 12 2 2 2" xfId="28799" xr:uid="{00000000-0005-0000-0000-0000C3210000}"/>
    <cellStyle name="Separador de milhares 3 10 12 2 2 2 2" xfId="54980" xr:uid="{00000000-0005-0000-0000-0000C4210000}"/>
    <cellStyle name="Separador de milhares 3 10 12 2 2 3" xfId="22885" xr:uid="{00000000-0005-0000-0000-0000C5210000}"/>
    <cellStyle name="Separador de milhares 3 10 12 2 2 3 2" xfId="49072" xr:uid="{00000000-0005-0000-0000-0000C6210000}"/>
    <cellStyle name="Separador de milhares 3 10 12 2 2 4" xfId="16971" xr:uid="{00000000-0005-0000-0000-0000C7210000}"/>
    <cellStyle name="Separador de milhares 3 10 12 2 2 4 2" xfId="43164" xr:uid="{00000000-0005-0000-0000-0000C8210000}"/>
    <cellStyle name="Separador de milhares 3 10 12 2 2 5" xfId="36778" xr:uid="{00000000-0005-0000-0000-0000C9210000}"/>
    <cellStyle name="Separador de milhares 3 10 12 2 3" xfId="25842" xr:uid="{00000000-0005-0000-0000-0000CA210000}"/>
    <cellStyle name="Separador de milhares 3 10 12 2 3 2" xfId="52026" xr:uid="{00000000-0005-0000-0000-0000CB210000}"/>
    <cellStyle name="Separador de milhares 3 10 12 2 4" xfId="19928" xr:uid="{00000000-0005-0000-0000-0000CC210000}"/>
    <cellStyle name="Separador de milhares 3 10 12 2 4 2" xfId="46118" xr:uid="{00000000-0005-0000-0000-0000CD210000}"/>
    <cellStyle name="Separador de milhares 3 10 12 2 5" xfId="13830" xr:uid="{00000000-0005-0000-0000-0000CE210000}"/>
    <cellStyle name="Separador de milhares 3 10 12 2 5 2" xfId="40023" xr:uid="{00000000-0005-0000-0000-0000CF210000}"/>
    <cellStyle name="Separador de milhares 3 10 12 2 6" xfId="33637" xr:uid="{00000000-0005-0000-0000-0000D0210000}"/>
    <cellStyle name="Separador de milhares 3 10 12 3" xfId="9117" xr:uid="{00000000-0005-0000-0000-0000D1210000}"/>
    <cellStyle name="Separador de milhares 3 10 12 3 2" xfId="27331" xr:uid="{00000000-0005-0000-0000-0000D2210000}"/>
    <cellStyle name="Separador de milhares 3 10 12 3 2 2" xfId="53512" xr:uid="{00000000-0005-0000-0000-0000D3210000}"/>
    <cellStyle name="Separador de milhares 3 10 12 3 3" xfId="21417" xr:uid="{00000000-0005-0000-0000-0000D4210000}"/>
    <cellStyle name="Separador de milhares 3 10 12 3 3 2" xfId="47604" xr:uid="{00000000-0005-0000-0000-0000D5210000}"/>
    <cellStyle name="Separador de milhares 3 10 12 3 4" xfId="15503" xr:uid="{00000000-0005-0000-0000-0000D6210000}"/>
    <cellStyle name="Separador de milhares 3 10 12 3 4 2" xfId="41696" xr:uid="{00000000-0005-0000-0000-0000D7210000}"/>
    <cellStyle name="Separador de milhares 3 10 12 3 5" xfId="35310" xr:uid="{00000000-0005-0000-0000-0000D8210000}"/>
    <cellStyle name="Separador de milhares 3 10 12 4" xfId="5742" xr:uid="{00000000-0005-0000-0000-0000D9210000}"/>
    <cellStyle name="Separador de milhares 3 10 12 4 2" xfId="24374" xr:uid="{00000000-0005-0000-0000-0000DA210000}"/>
    <cellStyle name="Separador de milhares 3 10 12 4 2 2" xfId="50558" xr:uid="{00000000-0005-0000-0000-0000DB210000}"/>
    <cellStyle name="Separador de milhares 3 10 12 4 3" xfId="31938" xr:uid="{00000000-0005-0000-0000-0000DC210000}"/>
    <cellStyle name="Separador de milhares 3 10 12 5" xfId="18460" xr:uid="{00000000-0005-0000-0000-0000DD210000}"/>
    <cellStyle name="Separador de milhares 3 10 12 5 2" xfId="44650" xr:uid="{00000000-0005-0000-0000-0000DE210000}"/>
    <cellStyle name="Separador de milhares 3 10 12 6" xfId="12129" xr:uid="{00000000-0005-0000-0000-0000DF210000}"/>
    <cellStyle name="Separador de milhares 3 10 12 6 2" xfId="38322" xr:uid="{00000000-0005-0000-0000-0000E0210000}"/>
    <cellStyle name="Separador de milhares 3 10 12 7" xfId="30240" xr:uid="{00000000-0005-0000-0000-0000E1210000}"/>
    <cellStyle name="Separador de milhares 3 10 13" xfId="6425" xr:uid="{00000000-0005-0000-0000-0000E2210000}"/>
    <cellStyle name="Separador de milhares 3 10 13 2" xfId="9581" xr:uid="{00000000-0005-0000-0000-0000E3210000}"/>
    <cellStyle name="Separador de milhares 3 10 13 2 2" xfId="27795" xr:uid="{00000000-0005-0000-0000-0000E4210000}"/>
    <cellStyle name="Separador de milhares 3 10 13 2 2 2" xfId="53976" xr:uid="{00000000-0005-0000-0000-0000E5210000}"/>
    <cellStyle name="Separador de milhares 3 10 13 2 3" xfId="21881" xr:uid="{00000000-0005-0000-0000-0000E6210000}"/>
    <cellStyle name="Separador de milhares 3 10 13 2 3 2" xfId="48068" xr:uid="{00000000-0005-0000-0000-0000E7210000}"/>
    <cellStyle name="Separador de milhares 3 10 13 2 4" xfId="15967" xr:uid="{00000000-0005-0000-0000-0000E8210000}"/>
    <cellStyle name="Separador de milhares 3 10 13 2 4 2" xfId="42160" xr:uid="{00000000-0005-0000-0000-0000E9210000}"/>
    <cellStyle name="Separador de milhares 3 10 13 2 5" xfId="35774" xr:uid="{00000000-0005-0000-0000-0000EA210000}"/>
    <cellStyle name="Separador de milhares 3 10 13 3" xfId="24838" xr:uid="{00000000-0005-0000-0000-0000EB210000}"/>
    <cellStyle name="Separador de milhares 3 10 13 3 2" xfId="51022" xr:uid="{00000000-0005-0000-0000-0000EC210000}"/>
    <cellStyle name="Separador de milhares 3 10 13 4" xfId="18924" xr:uid="{00000000-0005-0000-0000-0000ED210000}"/>
    <cellStyle name="Separador de milhares 3 10 13 4 2" xfId="45114" xr:uid="{00000000-0005-0000-0000-0000EE210000}"/>
    <cellStyle name="Separador de milhares 3 10 13 5" xfId="12814" xr:uid="{00000000-0005-0000-0000-0000EF210000}"/>
    <cellStyle name="Separador de milhares 3 10 13 5 2" xfId="39007" xr:uid="{00000000-0005-0000-0000-0000F0210000}"/>
    <cellStyle name="Separador de milhares 3 10 13 6" xfId="32621" xr:uid="{00000000-0005-0000-0000-0000F1210000}"/>
    <cellStyle name="Separador de milhares 3 10 14" xfId="8110" xr:uid="{00000000-0005-0000-0000-0000F2210000}"/>
    <cellStyle name="Separador de milhares 3 10 14 2" xfId="26324" xr:uid="{00000000-0005-0000-0000-0000F3210000}"/>
    <cellStyle name="Separador de milhares 3 10 14 2 2" xfId="52508" xr:uid="{00000000-0005-0000-0000-0000F4210000}"/>
    <cellStyle name="Separador de milhares 3 10 14 3" xfId="20410" xr:uid="{00000000-0005-0000-0000-0000F5210000}"/>
    <cellStyle name="Separador de milhares 3 10 14 3 2" xfId="46600" xr:uid="{00000000-0005-0000-0000-0000F6210000}"/>
    <cellStyle name="Separador de milhares 3 10 14 4" xfId="14499" xr:uid="{00000000-0005-0000-0000-0000F7210000}"/>
    <cellStyle name="Separador de milhares 3 10 14 4 2" xfId="40692" xr:uid="{00000000-0005-0000-0000-0000F8210000}"/>
    <cellStyle name="Separador de milhares 3 10 14 5" xfId="34306" xr:uid="{00000000-0005-0000-0000-0000F9210000}"/>
    <cellStyle name="Separador de milhares 3 10 15" xfId="4723" xr:uid="{00000000-0005-0000-0000-0000FA210000}"/>
    <cellStyle name="Separador de milhares 3 10 15 2" xfId="23367" xr:uid="{00000000-0005-0000-0000-0000FB210000}"/>
    <cellStyle name="Separador de milhares 3 10 15 2 2" xfId="49554" xr:uid="{00000000-0005-0000-0000-0000FC210000}"/>
    <cellStyle name="Separador de milhares 3 10 15 3" xfId="30922" xr:uid="{00000000-0005-0000-0000-0000FD210000}"/>
    <cellStyle name="Separador de milhares 3 10 16" xfId="17453" xr:uid="{00000000-0005-0000-0000-0000FE210000}"/>
    <cellStyle name="Separador de milhares 3 10 16 2" xfId="43646" xr:uid="{00000000-0005-0000-0000-0000FF210000}"/>
    <cellStyle name="Separador de milhares 3 10 17" xfId="11113" xr:uid="{00000000-0005-0000-0000-000000220000}"/>
    <cellStyle name="Separador de milhares 3 10 17 2" xfId="37306" xr:uid="{00000000-0005-0000-0000-000001220000}"/>
    <cellStyle name="Separador de milhares 3 10 18" xfId="29224" xr:uid="{00000000-0005-0000-0000-000002220000}"/>
    <cellStyle name="Separador de milhares 3 10 2" xfId="173" xr:uid="{00000000-0005-0000-0000-000003220000}"/>
    <cellStyle name="Separador de milhares 3 10 2 10" xfId="6454" xr:uid="{00000000-0005-0000-0000-000004220000}"/>
    <cellStyle name="Separador de milhares 3 10 2 10 2" xfId="9608" xr:uid="{00000000-0005-0000-0000-000005220000}"/>
    <cellStyle name="Separador de milhares 3 10 2 10 2 2" xfId="27822" xr:uid="{00000000-0005-0000-0000-000006220000}"/>
    <cellStyle name="Separador de milhares 3 10 2 10 2 2 2" xfId="54003" xr:uid="{00000000-0005-0000-0000-000007220000}"/>
    <cellStyle name="Separador de milhares 3 10 2 10 2 3" xfId="21908" xr:uid="{00000000-0005-0000-0000-000008220000}"/>
    <cellStyle name="Separador de milhares 3 10 2 10 2 3 2" xfId="48095" xr:uid="{00000000-0005-0000-0000-000009220000}"/>
    <cellStyle name="Separador de milhares 3 10 2 10 2 4" xfId="15994" xr:uid="{00000000-0005-0000-0000-00000A220000}"/>
    <cellStyle name="Separador de milhares 3 10 2 10 2 4 2" xfId="42187" xr:uid="{00000000-0005-0000-0000-00000B220000}"/>
    <cellStyle name="Separador de milhares 3 10 2 10 2 5" xfId="35801" xr:uid="{00000000-0005-0000-0000-00000C220000}"/>
    <cellStyle name="Separador de milhares 3 10 2 10 3" xfId="24865" xr:uid="{00000000-0005-0000-0000-00000D220000}"/>
    <cellStyle name="Separador de milhares 3 10 2 10 3 2" xfId="51049" xr:uid="{00000000-0005-0000-0000-00000E220000}"/>
    <cellStyle name="Separador de milhares 3 10 2 10 4" xfId="18951" xr:uid="{00000000-0005-0000-0000-00000F220000}"/>
    <cellStyle name="Separador de milhares 3 10 2 10 4 2" xfId="45141" xr:uid="{00000000-0005-0000-0000-000010220000}"/>
    <cellStyle name="Separador de milhares 3 10 2 10 5" xfId="12843" xr:uid="{00000000-0005-0000-0000-000011220000}"/>
    <cellStyle name="Separador de milhares 3 10 2 10 5 2" xfId="39036" xr:uid="{00000000-0005-0000-0000-000012220000}"/>
    <cellStyle name="Separador de milhares 3 10 2 10 6" xfId="32650" xr:uid="{00000000-0005-0000-0000-000013220000}"/>
    <cellStyle name="Separador de milhares 3 10 2 11" xfId="8137" xr:uid="{00000000-0005-0000-0000-000014220000}"/>
    <cellStyle name="Separador de milhares 3 10 2 11 2" xfId="26351" xr:uid="{00000000-0005-0000-0000-000015220000}"/>
    <cellStyle name="Separador de milhares 3 10 2 11 2 2" xfId="52535" xr:uid="{00000000-0005-0000-0000-000016220000}"/>
    <cellStyle name="Separador de milhares 3 10 2 11 3" xfId="20437" xr:uid="{00000000-0005-0000-0000-000017220000}"/>
    <cellStyle name="Separador de milhares 3 10 2 11 3 2" xfId="46627" xr:uid="{00000000-0005-0000-0000-000018220000}"/>
    <cellStyle name="Separador de milhares 3 10 2 11 4" xfId="14526" xr:uid="{00000000-0005-0000-0000-000019220000}"/>
    <cellStyle name="Separador de milhares 3 10 2 11 4 2" xfId="40719" xr:uid="{00000000-0005-0000-0000-00001A220000}"/>
    <cellStyle name="Separador de milhares 3 10 2 11 5" xfId="34333" xr:uid="{00000000-0005-0000-0000-00001B220000}"/>
    <cellStyle name="Separador de milhares 3 10 2 12" xfId="4753" xr:uid="{00000000-0005-0000-0000-00001C220000}"/>
    <cellStyle name="Separador de milhares 3 10 2 12 2" xfId="23394" xr:uid="{00000000-0005-0000-0000-00001D220000}"/>
    <cellStyle name="Separador de milhares 3 10 2 12 2 2" xfId="49581" xr:uid="{00000000-0005-0000-0000-00001E220000}"/>
    <cellStyle name="Separador de milhares 3 10 2 12 3" xfId="30951" xr:uid="{00000000-0005-0000-0000-00001F220000}"/>
    <cellStyle name="Separador de milhares 3 10 2 13" xfId="17480" xr:uid="{00000000-0005-0000-0000-000020220000}"/>
    <cellStyle name="Separador de milhares 3 10 2 13 2" xfId="43673" xr:uid="{00000000-0005-0000-0000-000021220000}"/>
    <cellStyle name="Separador de milhares 3 10 2 14" xfId="11142" xr:uid="{00000000-0005-0000-0000-000022220000}"/>
    <cellStyle name="Separador de milhares 3 10 2 14 2" xfId="37335" xr:uid="{00000000-0005-0000-0000-000023220000}"/>
    <cellStyle name="Separador de milhares 3 10 2 15" xfId="29254" xr:uid="{00000000-0005-0000-0000-000024220000}"/>
    <cellStyle name="Separador de milhares 3 10 2 2" xfId="446" xr:uid="{00000000-0005-0000-0000-000025220000}"/>
    <cellStyle name="Separador de milhares 3 10 2 2 10" xfId="17554" xr:uid="{00000000-0005-0000-0000-000026220000}"/>
    <cellStyle name="Separador de milhares 3 10 2 2 10 2" xfId="43747" xr:uid="{00000000-0005-0000-0000-000027220000}"/>
    <cellStyle name="Separador de milhares 3 10 2 2 11" xfId="11223" xr:uid="{00000000-0005-0000-0000-000028220000}"/>
    <cellStyle name="Separador de milhares 3 10 2 2 11 2" xfId="37416" xr:uid="{00000000-0005-0000-0000-000029220000}"/>
    <cellStyle name="Separador de milhares 3 10 2 2 12" xfId="29334" xr:uid="{00000000-0005-0000-0000-00002A220000}"/>
    <cellStyle name="Separador de milhares 3 10 2 2 2" xfId="1965" xr:uid="{00000000-0005-0000-0000-00002B220000}"/>
    <cellStyle name="Separador de milhares 3 10 2 2 2 2" xfId="6973" xr:uid="{00000000-0005-0000-0000-00002C220000}"/>
    <cellStyle name="Separador de milhares 3 10 2 2 2 2 2" xfId="10120" xr:uid="{00000000-0005-0000-0000-00002D220000}"/>
    <cellStyle name="Separador de milhares 3 10 2 2 2 2 2 2" xfId="28334" xr:uid="{00000000-0005-0000-0000-00002E220000}"/>
    <cellStyle name="Separador de milhares 3 10 2 2 2 2 2 2 2" xfId="54515" xr:uid="{00000000-0005-0000-0000-00002F220000}"/>
    <cellStyle name="Separador de milhares 3 10 2 2 2 2 2 3" xfId="22420" xr:uid="{00000000-0005-0000-0000-000030220000}"/>
    <cellStyle name="Separador de milhares 3 10 2 2 2 2 2 3 2" xfId="48607" xr:uid="{00000000-0005-0000-0000-000031220000}"/>
    <cellStyle name="Separador de milhares 3 10 2 2 2 2 2 4" xfId="16506" xr:uid="{00000000-0005-0000-0000-000032220000}"/>
    <cellStyle name="Separador de milhares 3 10 2 2 2 2 2 4 2" xfId="42699" xr:uid="{00000000-0005-0000-0000-000033220000}"/>
    <cellStyle name="Separador de milhares 3 10 2 2 2 2 2 5" xfId="36313" xr:uid="{00000000-0005-0000-0000-000034220000}"/>
    <cellStyle name="Separador de milhares 3 10 2 2 2 2 3" xfId="25377" xr:uid="{00000000-0005-0000-0000-000035220000}"/>
    <cellStyle name="Separador de milhares 3 10 2 2 2 2 3 2" xfId="51561" xr:uid="{00000000-0005-0000-0000-000036220000}"/>
    <cellStyle name="Separador de milhares 3 10 2 2 2 2 4" xfId="19463" xr:uid="{00000000-0005-0000-0000-000037220000}"/>
    <cellStyle name="Separador de milhares 3 10 2 2 2 2 4 2" xfId="45653" xr:uid="{00000000-0005-0000-0000-000038220000}"/>
    <cellStyle name="Separador de milhares 3 10 2 2 2 2 5" xfId="13362" xr:uid="{00000000-0005-0000-0000-000039220000}"/>
    <cellStyle name="Separador de milhares 3 10 2 2 2 2 5 2" xfId="39555" xr:uid="{00000000-0005-0000-0000-00003A220000}"/>
    <cellStyle name="Separador de milhares 3 10 2 2 2 2 6" xfId="33169" xr:uid="{00000000-0005-0000-0000-00003B220000}"/>
    <cellStyle name="Separador de milhares 3 10 2 2 2 3" xfId="8652" xr:uid="{00000000-0005-0000-0000-00003C220000}"/>
    <cellStyle name="Separador de milhares 3 10 2 2 2 3 2" xfId="26866" xr:uid="{00000000-0005-0000-0000-00003D220000}"/>
    <cellStyle name="Separador de milhares 3 10 2 2 2 3 2 2" xfId="53047" xr:uid="{00000000-0005-0000-0000-00003E220000}"/>
    <cellStyle name="Separador de milhares 3 10 2 2 2 3 3" xfId="20952" xr:uid="{00000000-0005-0000-0000-00003F220000}"/>
    <cellStyle name="Separador de milhares 3 10 2 2 2 3 3 2" xfId="47139" xr:uid="{00000000-0005-0000-0000-000040220000}"/>
    <cellStyle name="Separador de milhares 3 10 2 2 2 3 4" xfId="15038" xr:uid="{00000000-0005-0000-0000-000041220000}"/>
    <cellStyle name="Separador de milhares 3 10 2 2 2 3 4 2" xfId="41231" xr:uid="{00000000-0005-0000-0000-000042220000}"/>
    <cellStyle name="Separador de milhares 3 10 2 2 2 3 5" xfId="34845" xr:uid="{00000000-0005-0000-0000-000043220000}"/>
    <cellStyle name="Separador de milhares 3 10 2 2 2 4" xfId="5274" xr:uid="{00000000-0005-0000-0000-000044220000}"/>
    <cellStyle name="Separador de milhares 3 10 2 2 2 4 2" xfId="23909" xr:uid="{00000000-0005-0000-0000-000045220000}"/>
    <cellStyle name="Separador de milhares 3 10 2 2 2 4 2 2" xfId="50093" xr:uid="{00000000-0005-0000-0000-000046220000}"/>
    <cellStyle name="Separador de milhares 3 10 2 2 2 4 3" xfId="31470" xr:uid="{00000000-0005-0000-0000-000047220000}"/>
    <cellStyle name="Separador de milhares 3 10 2 2 2 5" xfId="17995" xr:uid="{00000000-0005-0000-0000-000048220000}"/>
    <cellStyle name="Separador de milhares 3 10 2 2 2 5 2" xfId="44185" xr:uid="{00000000-0005-0000-0000-000049220000}"/>
    <cellStyle name="Separador de milhares 3 10 2 2 2 6" xfId="11661" xr:uid="{00000000-0005-0000-0000-00004A220000}"/>
    <cellStyle name="Separador de milhares 3 10 2 2 2 6 2" xfId="37854" xr:uid="{00000000-0005-0000-0000-00004B220000}"/>
    <cellStyle name="Separador de milhares 3 10 2 2 2 7" xfId="29772" xr:uid="{00000000-0005-0000-0000-00004C220000}"/>
    <cellStyle name="Separador de milhares 3 10 2 2 3" xfId="2495" xr:uid="{00000000-0005-0000-0000-00004D220000}"/>
    <cellStyle name="Separador de milhares 3 10 2 2 3 2" xfId="7123" xr:uid="{00000000-0005-0000-0000-00004E220000}"/>
    <cellStyle name="Separador de milhares 3 10 2 2 3 2 2" xfId="10267" xr:uid="{00000000-0005-0000-0000-00004F220000}"/>
    <cellStyle name="Separador de milhares 3 10 2 2 3 2 2 2" xfId="28481" xr:uid="{00000000-0005-0000-0000-000050220000}"/>
    <cellStyle name="Separador de milhares 3 10 2 2 3 2 2 2 2" xfId="54662" xr:uid="{00000000-0005-0000-0000-000051220000}"/>
    <cellStyle name="Separador de milhares 3 10 2 2 3 2 2 3" xfId="22567" xr:uid="{00000000-0005-0000-0000-000052220000}"/>
    <cellStyle name="Separador de milhares 3 10 2 2 3 2 2 3 2" xfId="48754" xr:uid="{00000000-0005-0000-0000-000053220000}"/>
    <cellStyle name="Separador de milhares 3 10 2 2 3 2 2 4" xfId="16653" xr:uid="{00000000-0005-0000-0000-000054220000}"/>
    <cellStyle name="Separador de milhares 3 10 2 2 3 2 2 4 2" xfId="42846" xr:uid="{00000000-0005-0000-0000-000055220000}"/>
    <cellStyle name="Separador de milhares 3 10 2 2 3 2 2 5" xfId="36460" xr:uid="{00000000-0005-0000-0000-000056220000}"/>
    <cellStyle name="Separador de milhares 3 10 2 2 3 2 3" xfId="25524" xr:uid="{00000000-0005-0000-0000-000057220000}"/>
    <cellStyle name="Separador de milhares 3 10 2 2 3 2 3 2" xfId="51708" xr:uid="{00000000-0005-0000-0000-000058220000}"/>
    <cellStyle name="Separador de milhares 3 10 2 2 3 2 4" xfId="19610" xr:uid="{00000000-0005-0000-0000-000059220000}"/>
    <cellStyle name="Separador de milhares 3 10 2 2 3 2 4 2" xfId="45800" xr:uid="{00000000-0005-0000-0000-00005A220000}"/>
    <cellStyle name="Separador de milhares 3 10 2 2 3 2 5" xfId="13512" xr:uid="{00000000-0005-0000-0000-00005B220000}"/>
    <cellStyle name="Separador de milhares 3 10 2 2 3 2 5 2" xfId="39705" xr:uid="{00000000-0005-0000-0000-00005C220000}"/>
    <cellStyle name="Separador de milhares 3 10 2 2 3 2 6" xfId="33319" xr:uid="{00000000-0005-0000-0000-00005D220000}"/>
    <cellStyle name="Separador de milhares 3 10 2 2 3 3" xfId="8799" xr:uid="{00000000-0005-0000-0000-00005E220000}"/>
    <cellStyle name="Separador de milhares 3 10 2 2 3 3 2" xfId="27013" xr:uid="{00000000-0005-0000-0000-00005F220000}"/>
    <cellStyle name="Separador de milhares 3 10 2 2 3 3 2 2" xfId="53194" xr:uid="{00000000-0005-0000-0000-000060220000}"/>
    <cellStyle name="Separador de milhares 3 10 2 2 3 3 3" xfId="21099" xr:uid="{00000000-0005-0000-0000-000061220000}"/>
    <cellStyle name="Separador de milhares 3 10 2 2 3 3 3 2" xfId="47286" xr:uid="{00000000-0005-0000-0000-000062220000}"/>
    <cellStyle name="Separador de milhares 3 10 2 2 3 3 4" xfId="15185" xr:uid="{00000000-0005-0000-0000-000063220000}"/>
    <cellStyle name="Separador de milhares 3 10 2 2 3 3 4 2" xfId="41378" xr:uid="{00000000-0005-0000-0000-000064220000}"/>
    <cellStyle name="Separador de milhares 3 10 2 2 3 3 5" xfId="34992" xr:uid="{00000000-0005-0000-0000-000065220000}"/>
    <cellStyle name="Separador de milhares 3 10 2 2 3 4" xfId="5424" xr:uid="{00000000-0005-0000-0000-000066220000}"/>
    <cellStyle name="Separador de milhares 3 10 2 2 3 4 2" xfId="24056" xr:uid="{00000000-0005-0000-0000-000067220000}"/>
    <cellStyle name="Separador de milhares 3 10 2 2 3 4 2 2" xfId="50240" xr:uid="{00000000-0005-0000-0000-000068220000}"/>
    <cellStyle name="Separador de milhares 3 10 2 2 3 4 3" xfId="31620" xr:uid="{00000000-0005-0000-0000-000069220000}"/>
    <cellStyle name="Separador de milhares 3 10 2 2 3 5" xfId="18142" xr:uid="{00000000-0005-0000-0000-00006A220000}"/>
    <cellStyle name="Separador de milhares 3 10 2 2 3 5 2" xfId="44332" xr:uid="{00000000-0005-0000-0000-00006B220000}"/>
    <cellStyle name="Separador de milhares 3 10 2 2 3 6" xfId="11811" xr:uid="{00000000-0005-0000-0000-00006C220000}"/>
    <cellStyle name="Separador de milhares 3 10 2 2 3 6 2" xfId="38004" xr:uid="{00000000-0005-0000-0000-00006D220000}"/>
    <cellStyle name="Separador de milhares 3 10 2 2 3 7" xfId="29922" xr:uid="{00000000-0005-0000-0000-00006E220000}"/>
    <cellStyle name="Separador de milhares 3 10 2 2 4" xfId="3022" xr:uid="{00000000-0005-0000-0000-00006F220000}"/>
    <cellStyle name="Separador de milhares 3 10 2 2 4 2" xfId="7270" xr:uid="{00000000-0005-0000-0000-000070220000}"/>
    <cellStyle name="Separador de milhares 3 10 2 2 4 2 2" xfId="10414" xr:uid="{00000000-0005-0000-0000-000071220000}"/>
    <cellStyle name="Separador de milhares 3 10 2 2 4 2 2 2" xfId="28628" xr:uid="{00000000-0005-0000-0000-000072220000}"/>
    <cellStyle name="Separador de milhares 3 10 2 2 4 2 2 2 2" xfId="54809" xr:uid="{00000000-0005-0000-0000-000073220000}"/>
    <cellStyle name="Separador de milhares 3 10 2 2 4 2 2 3" xfId="22714" xr:uid="{00000000-0005-0000-0000-000074220000}"/>
    <cellStyle name="Separador de milhares 3 10 2 2 4 2 2 3 2" xfId="48901" xr:uid="{00000000-0005-0000-0000-000075220000}"/>
    <cellStyle name="Separador de milhares 3 10 2 2 4 2 2 4" xfId="16800" xr:uid="{00000000-0005-0000-0000-000076220000}"/>
    <cellStyle name="Separador de milhares 3 10 2 2 4 2 2 4 2" xfId="42993" xr:uid="{00000000-0005-0000-0000-000077220000}"/>
    <cellStyle name="Separador de milhares 3 10 2 2 4 2 2 5" xfId="36607" xr:uid="{00000000-0005-0000-0000-000078220000}"/>
    <cellStyle name="Separador de milhares 3 10 2 2 4 2 3" xfId="25671" xr:uid="{00000000-0005-0000-0000-000079220000}"/>
    <cellStyle name="Separador de milhares 3 10 2 2 4 2 3 2" xfId="51855" xr:uid="{00000000-0005-0000-0000-00007A220000}"/>
    <cellStyle name="Separador de milhares 3 10 2 2 4 2 4" xfId="19757" xr:uid="{00000000-0005-0000-0000-00007B220000}"/>
    <cellStyle name="Separador de milhares 3 10 2 2 4 2 4 2" xfId="45947" xr:uid="{00000000-0005-0000-0000-00007C220000}"/>
    <cellStyle name="Separador de milhares 3 10 2 2 4 2 5" xfId="13659" xr:uid="{00000000-0005-0000-0000-00007D220000}"/>
    <cellStyle name="Separador de milhares 3 10 2 2 4 2 5 2" xfId="39852" xr:uid="{00000000-0005-0000-0000-00007E220000}"/>
    <cellStyle name="Separador de milhares 3 10 2 2 4 2 6" xfId="33466" xr:uid="{00000000-0005-0000-0000-00007F220000}"/>
    <cellStyle name="Separador de milhares 3 10 2 2 4 3" xfId="8946" xr:uid="{00000000-0005-0000-0000-000080220000}"/>
    <cellStyle name="Separador de milhares 3 10 2 2 4 3 2" xfId="27160" xr:uid="{00000000-0005-0000-0000-000081220000}"/>
    <cellStyle name="Separador de milhares 3 10 2 2 4 3 2 2" xfId="53341" xr:uid="{00000000-0005-0000-0000-000082220000}"/>
    <cellStyle name="Separador de milhares 3 10 2 2 4 3 3" xfId="21246" xr:uid="{00000000-0005-0000-0000-000083220000}"/>
    <cellStyle name="Separador de milhares 3 10 2 2 4 3 3 2" xfId="47433" xr:uid="{00000000-0005-0000-0000-000084220000}"/>
    <cellStyle name="Separador de milhares 3 10 2 2 4 3 4" xfId="15332" xr:uid="{00000000-0005-0000-0000-000085220000}"/>
    <cellStyle name="Separador de milhares 3 10 2 2 4 3 4 2" xfId="41525" xr:uid="{00000000-0005-0000-0000-000086220000}"/>
    <cellStyle name="Separador de milhares 3 10 2 2 4 3 5" xfId="35139" xr:uid="{00000000-0005-0000-0000-000087220000}"/>
    <cellStyle name="Separador de milhares 3 10 2 2 4 4" xfId="5571" xr:uid="{00000000-0005-0000-0000-000088220000}"/>
    <cellStyle name="Separador de milhares 3 10 2 2 4 4 2" xfId="24203" xr:uid="{00000000-0005-0000-0000-000089220000}"/>
    <cellStyle name="Separador de milhares 3 10 2 2 4 4 2 2" xfId="50387" xr:uid="{00000000-0005-0000-0000-00008A220000}"/>
    <cellStyle name="Separador de milhares 3 10 2 2 4 4 3" xfId="31767" xr:uid="{00000000-0005-0000-0000-00008B220000}"/>
    <cellStyle name="Separador de milhares 3 10 2 2 4 5" xfId="18289" xr:uid="{00000000-0005-0000-0000-00008C220000}"/>
    <cellStyle name="Separador de milhares 3 10 2 2 4 5 2" xfId="44479" xr:uid="{00000000-0005-0000-0000-00008D220000}"/>
    <cellStyle name="Separador de milhares 3 10 2 2 4 6" xfId="11958" xr:uid="{00000000-0005-0000-0000-00008E220000}"/>
    <cellStyle name="Separador de milhares 3 10 2 2 4 6 2" xfId="38151" xr:uid="{00000000-0005-0000-0000-00008F220000}"/>
    <cellStyle name="Separador de milhares 3 10 2 2 4 7" xfId="30069" xr:uid="{00000000-0005-0000-0000-000090220000}"/>
    <cellStyle name="Separador de milhares 3 10 2 2 5" xfId="3549" xr:uid="{00000000-0005-0000-0000-000091220000}"/>
    <cellStyle name="Separador de milhares 3 10 2 2 5 2" xfId="7417" xr:uid="{00000000-0005-0000-0000-000092220000}"/>
    <cellStyle name="Separador de milhares 3 10 2 2 5 2 2" xfId="10561" xr:uid="{00000000-0005-0000-0000-000093220000}"/>
    <cellStyle name="Separador de milhares 3 10 2 2 5 2 2 2" xfId="28775" xr:uid="{00000000-0005-0000-0000-000094220000}"/>
    <cellStyle name="Separador de milhares 3 10 2 2 5 2 2 2 2" xfId="54956" xr:uid="{00000000-0005-0000-0000-000095220000}"/>
    <cellStyle name="Separador de milhares 3 10 2 2 5 2 2 3" xfId="22861" xr:uid="{00000000-0005-0000-0000-000096220000}"/>
    <cellStyle name="Separador de milhares 3 10 2 2 5 2 2 3 2" xfId="49048" xr:uid="{00000000-0005-0000-0000-000097220000}"/>
    <cellStyle name="Separador de milhares 3 10 2 2 5 2 2 4" xfId="16947" xr:uid="{00000000-0005-0000-0000-000098220000}"/>
    <cellStyle name="Separador de milhares 3 10 2 2 5 2 2 4 2" xfId="43140" xr:uid="{00000000-0005-0000-0000-000099220000}"/>
    <cellStyle name="Separador de milhares 3 10 2 2 5 2 2 5" xfId="36754" xr:uid="{00000000-0005-0000-0000-00009A220000}"/>
    <cellStyle name="Separador de milhares 3 10 2 2 5 2 3" xfId="25818" xr:uid="{00000000-0005-0000-0000-00009B220000}"/>
    <cellStyle name="Separador de milhares 3 10 2 2 5 2 3 2" xfId="52002" xr:uid="{00000000-0005-0000-0000-00009C220000}"/>
    <cellStyle name="Separador de milhares 3 10 2 2 5 2 4" xfId="19904" xr:uid="{00000000-0005-0000-0000-00009D220000}"/>
    <cellStyle name="Separador de milhares 3 10 2 2 5 2 4 2" xfId="46094" xr:uid="{00000000-0005-0000-0000-00009E220000}"/>
    <cellStyle name="Separador de milhares 3 10 2 2 5 2 5" xfId="13806" xr:uid="{00000000-0005-0000-0000-00009F220000}"/>
    <cellStyle name="Separador de milhares 3 10 2 2 5 2 5 2" xfId="39999" xr:uid="{00000000-0005-0000-0000-0000A0220000}"/>
    <cellStyle name="Separador de milhares 3 10 2 2 5 2 6" xfId="33613" xr:uid="{00000000-0005-0000-0000-0000A1220000}"/>
    <cellStyle name="Separador de milhares 3 10 2 2 5 3" xfId="9093" xr:uid="{00000000-0005-0000-0000-0000A2220000}"/>
    <cellStyle name="Separador de milhares 3 10 2 2 5 3 2" xfId="27307" xr:uid="{00000000-0005-0000-0000-0000A3220000}"/>
    <cellStyle name="Separador de milhares 3 10 2 2 5 3 2 2" xfId="53488" xr:uid="{00000000-0005-0000-0000-0000A4220000}"/>
    <cellStyle name="Separador de milhares 3 10 2 2 5 3 3" xfId="21393" xr:uid="{00000000-0005-0000-0000-0000A5220000}"/>
    <cellStyle name="Separador de milhares 3 10 2 2 5 3 3 2" xfId="47580" xr:uid="{00000000-0005-0000-0000-0000A6220000}"/>
    <cellStyle name="Separador de milhares 3 10 2 2 5 3 4" xfId="15479" xr:uid="{00000000-0005-0000-0000-0000A7220000}"/>
    <cellStyle name="Separador de milhares 3 10 2 2 5 3 4 2" xfId="41672" xr:uid="{00000000-0005-0000-0000-0000A8220000}"/>
    <cellStyle name="Separador de milhares 3 10 2 2 5 3 5" xfId="35286" xr:uid="{00000000-0005-0000-0000-0000A9220000}"/>
    <cellStyle name="Separador de milhares 3 10 2 2 5 4" xfId="5718" xr:uid="{00000000-0005-0000-0000-0000AA220000}"/>
    <cellStyle name="Separador de milhares 3 10 2 2 5 4 2" xfId="24350" xr:uid="{00000000-0005-0000-0000-0000AB220000}"/>
    <cellStyle name="Separador de milhares 3 10 2 2 5 4 2 2" xfId="50534" xr:uid="{00000000-0005-0000-0000-0000AC220000}"/>
    <cellStyle name="Separador de milhares 3 10 2 2 5 4 3" xfId="31914" xr:uid="{00000000-0005-0000-0000-0000AD220000}"/>
    <cellStyle name="Separador de milhares 3 10 2 2 5 5" xfId="18436" xr:uid="{00000000-0005-0000-0000-0000AE220000}"/>
    <cellStyle name="Separador de milhares 3 10 2 2 5 5 2" xfId="44626" xr:uid="{00000000-0005-0000-0000-0000AF220000}"/>
    <cellStyle name="Separador de milhares 3 10 2 2 5 6" xfId="12105" xr:uid="{00000000-0005-0000-0000-0000B0220000}"/>
    <cellStyle name="Separador de milhares 3 10 2 2 5 6 2" xfId="38298" xr:uid="{00000000-0005-0000-0000-0000B1220000}"/>
    <cellStyle name="Separador de milhares 3 10 2 2 5 7" xfId="30216" xr:uid="{00000000-0005-0000-0000-0000B2220000}"/>
    <cellStyle name="Separador de milhares 3 10 2 2 6" xfId="4076" xr:uid="{00000000-0005-0000-0000-0000B3220000}"/>
    <cellStyle name="Separador de milhares 3 10 2 2 6 2" xfId="7564" xr:uid="{00000000-0005-0000-0000-0000B4220000}"/>
    <cellStyle name="Separador de milhares 3 10 2 2 6 2 2" xfId="10708" xr:uid="{00000000-0005-0000-0000-0000B5220000}"/>
    <cellStyle name="Separador de milhares 3 10 2 2 6 2 2 2" xfId="28922" xr:uid="{00000000-0005-0000-0000-0000B6220000}"/>
    <cellStyle name="Separador de milhares 3 10 2 2 6 2 2 2 2" xfId="55103" xr:uid="{00000000-0005-0000-0000-0000B7220000}"/>
    <cellStyle name="Separador de milhares 3 10 2 2 6 2 2 3" xfId="23008" xr:uid="{00000000-0005-0000-0000-0000B8220000}"/>
    <cellStyle name="Separador de milhares 3 10 2 2 6 2 2 3 2" xfId="49195" xr:uid="{00000000-0005-0000-0000-0000B9220000}"/>
    <cellStyle name="Separador de milhares 3 10 2 2 6 2 2 4" xfId="17094" xr:uid="{00000000-0005-0000-0000-0000BA220000}"/>
    <cellStyle name="Separador de milhares 3 10 2 2 6 2 2 4 2" xfId="43287" xr:uid="{00000000-0005-0000-0000-0000BB220000}"/>
    <cellStyle name="Separador de milhares 3 10 2 2 6 2 2 5" xfId="36901" xr:uid="{00000000-0005-0000-0000-0000BC220000}"/>
    <cellStyle name="Separador de milhares 3 10 2 2 6 2 3" xfId="25965" xr:uid="{00000000-0005-0000-0000-0000BD220000}"/>
    <cellStyle name="Separador de milhares 3 10 2 2 6 2 3 2" xfId="52149" xr:uid="{00000000-0005-0000-0000-0000BE220000}"/>
    <cellStyle name="Separador de milhares 3 10 2 2 6 2 4" xfId="20051" xr:uid="{00000000-0005-0000-0000-0000BF220000}"/>
    <cellStyle name="Separador de milhares 3 10 2 2 6 2 4 2" xfId="46241" xr:uid="{00000000-0005-0000-0000-0000C0220000}"/>
    <cellStyle name="Separador de milhares 3 10 2 2 6 2 5" xfId="13953" xr:uid="{00000000-0005-0000-0000-0000C1220000}"/>
    <cellStyle name="Separador de milhares 3 10 2 2 6 2 5 2" xfId="40146" xr:uid="{00000000-0005-0000-0000-0000C2220000}"/>
    <cellStyle name="Separador de milhares 3 10 2 2 6 2 6" xfId="33760" xr:uid="{00000000-0005-0000-0000-0000C3220000}"/>
    <cellStyle name="Separador de milhares 3 10 2 2 6 3" xfId="9240" xr:uid="{00000000-0005-0000-0000-0000C4220000}"/>
    <cellStyle name="Separador de milhares 3 10 2 2 6 3 2" xfId="27454" xr:uid="{00000000-0005-0000-0000-0000C5220000}"/>
    <cellStyle name="Separador de milhares 3 10 2 2 6 3 2 2" xfId="53635" xr:uid="{00000000-0005-0000-0000-0000C6220000}"/>
    <cellStyle name="Separador de milhares 3 10 2 2 6 3 3" xfId="21540" xr:uid="{00000000-0005-0000-0000-0000C7220000}"/>
    <cellStyle name="Separador de milhares 3 10 2 2 6 3 3 2" xfId="47727" xr:uid="{00000000-0005-0000-0000-0000C8220000}"/>
    <cellStyle name="Separador de milhares 3 10 2 2 6 3 4" xfId="15626" xr:uid="{00000000-0005-0000-0000-0000C9220000}"/>
    <cellStyle name="Separador de milhares 3 10 2 2 6 3 4 2" xfId="41819" xr:uid="{00000000-0005-0000-0000-0000CA220000}"/>
    <cellStyle name="Separador de milhares 3 10 2 2 6 3 5" xfId="35433" xr:uid="{00000000-0005-0000-0000-0000CB220000}"/>
    <cellStyle name="Separador de milhares 3 10 2 2 6 4" xfId="5865" xr:uid="{00000000-0005-0000-0000-0000CC220000}"/>
    <cellStyle name="Separador de milhares 3 10 2 2 6 4 2" xfId="24497" xr:uid="{00000000-0005-0000-0000-0000CD220000}"/>
    <cellStyle name="Separador de milhares 3 10 2 2 6 4 2 2" xfId="50681" xr:uid="{00000000-0005-0000-0000-0000CE220000}"/>
    <cellStyle name="Separador de milhares 3 10 2 2 6 4 3" xfId="32061" xr:uid="{00000000-0005-0000-0000-0000CF220000}"/>
    <cellStyle name="Separador de milhares 3 10 2 2 6 5" xfId="18583" xr:uid="{00000000-0005-0000-0000-0000D0220000}"/>
    <cellStyle name="Separador de milhares 3 10 2 2 6 5 2" xfId="44773" xr:uid="{00000000-0005-0000-0000-0000D1220000}"/>
    <cellStyle name="Separador de milhares 3 10 2 2 6 6" xfId="12252" xr:uid="{00000000-0005-0000-0000-0000D2220000}"/>
    <cellStyle name="Separador de milhares 3 10 2 2 6 6 2" xfId="38445" xr:uid="{00000000-0005-0000-0000-0000D3220000}"/>
    <cellStyle name="Separador de milhares 3 10 2 2 6 7" xfId="30363" xr:uid="{00000000-0005-0000-0000-0000D4220000}"/>
    <cellStyle name="Separador de milhares 3 10 2 2 7" xfId="6535" xr:uid="{00000000-0005-0000-0000-0000D5220000}"/>
    <cellStyle name="Separador de milhares 3 10 2 2 7 2" xfId="9682" xr:uid="{00000000-0005-0000-0000-0000D6220000}"/>
    <cellStyle name="Separador de milhares 3 10 2 2 7 2 2" xfId="27896" xr:uid="{00000000-0005-0000-0000-0000D7220000}"/>
    <cellStyle name="Separador de milhares 3 10 2 2 7 2 2 2" xfId="54077" xr:uid="{00000000-0005-0000-0000-0000D8220000}"/>
    <cellStyle name="Separador de milhares 3 10 2 2 7 2 3" xfId="21982" xr:uid="{00000000-0005-0000-0000-0000D9220000}"/>
    <cellStyle name="Separador de milhares 3 10 2 2 7 2 3 2" xfId="48169" xr:uid="{00000000-0005-0000-0000-0000DA220000}"/>
    <cellStyle name="Separador de milhares 3 10 2 2 7 2 4" xfId="16068" xr:uid="{00000000-0005-0000-0000-0000DB220000}"/>
    <cellStyle name="Separador de milhares 3 10 2 2 7 2 4 2" xfId="42261" xr:uid="{00000000-0005-0000-0000-0000DC220000}"/>
    <cellStyle name="Separador de milhares 3 10 2 2 7 2 5" xfId="35875" xr:uid="{00000000-0005-0000-0000-0000DD220000}"/>
    <cellStyle name="Separador de milhares 3 10 2 2 7 3" xfId="24939" xr:uid="{00000000-0005-0000-0000-0000DE220000}"/>
    <cellStyle name="Separador de milhares 3 10 2 2 7 3 2" xfId="51123" xr:uid="{00000000-0005-0000-0000-0000DF220000}"/>
    <cellStyle name="Separador de milhares 3 10 2 2 7 4" xfId="19025" xr:uid="{00000000-0005-0000-0000-0000E0220000}"/>
    <cellStyle name="Separador de milhares 3 10 2 2 7 4 2" xfId="45215" xr:uid="{00000000-0005-0000-0000-0000E1220000}"/>
    <cellStyle name="Separador de milhares 3 10 2 2 7 5" xfId="12924" xr:uid="{00000000-0005-0000-0000-0000E2220000}"/>
    <cellStyle name="Separador de milhares 3 10 2 2 7 5 2" xfId="39117" xr:uid="{00000000-0005-0000-0000-0000E3220000}"/>
    <cellStyle name="Separador de milhares 3 10 2 2 7 6" xfId="32731" xr:uid="{00000000-0005-0000-0000-0000E4220000}"/>
    <cellStyle name="Separador de milhares 3 10 2 2 8" xfId="8211" xr:uid="{00000000-0005-0000-0000-0000E5220000}"/>
    <cellStyle name="Separador de milhares 3 10 2 2 8 2" xfId="26425" xr:uid="{00000000-0005-0000-0000-0000E6220000}"/>
    <cellStyle name="Separador de milhares 3 10 2 2 8 2 2" xfId="52609" xr:uid="{00000000-0005-0000-0000-0000E7220000}"/>
    <cellStyle name="Separador de milhares 3 10 2 2 8 3" xfId="20511" xr:uid="{00000000-0005-0000-0000-0000E8220000}"/>
    <cellStyle name="Separador de milhares 3 10 2 2 8 3 2" xfId="46701" xr:uid="{00000000-0005-0000-0000-0000E9220000}"/>
    <cellStyle name="Separador de milhares 3 10 2 2 8 4" xfId="14600" xr:uid="{00000000-0005-0000-0000-0000EA220000}"/>
    <cellStyle name="Separador de milhares 3 10 2 2 8 4 2" xfId="40793" xr:uid="{00000000-0005-0000-0000-0000EB220000}"/>
    <cellStyle name="Separador de milhares 3 10 2 2 8 5" xfId="34407" xr:uid="{00000000-0005-0000-0000-0000EC220000}"/>
    <cellStyle name="Separador de milhares 3 10 2 2 9" xfId="4834" xr:uid="{00000000-0005-0000-0000-0000ED220000}"/>
    <cellStyle name="Separador de milhares 3 10 2 2 9 2" xfId="23468" xr:uid="{00000000-0005-0000-0000-0000EE220000}"/>
    <cellStyle name="Separador de milhares 3 10 2 2 9 2 2" xfId="49655" xr:uid="{00000000-0005-0000-0000-0000EF220000}"/>
    <cellStyle name="Separador de milhares 3 10 2 2 9 3" xfId="31032" xr:uid="{00000000-0005-0000-0000-0000F0220000}"/>
    <cellStyle name="Separador de milhares 3 10 2 3" xfId="919" xr:uid="{00000000-0005-0000-0000-0000F1220000}"/>
    <cellStyle name="Separador de milhares 3 10 2 3 2" xfId="6686" xr:uid="{00000000-0005-0000-0000-0000F2220000}"/>
    <cellStyle name="Separador de milhares 3 10 2 3 2 2" xfId="9833" xr:uid="{00000000-0005-0000-0000-0000F3220000}"/>
    <cellStyle name="Separador de milhares 3 10 2 3 2 2 2" xfId="28047" xr:uid="{00000000-0005-0000-0000-0000F4220000}"/>
    <cellStyle name="Separador de milhares 3 10 2 3 2 2 2 2" xfId="54228" xr:uid="{00000000-0005-0000-0000-0000F5220000}"/>
    <cellStyle name="Separador de milhares 3 10 2 3 2 2 3" xfId="22133" xr:uid="{00000000-0005-0000-0000-0000F6220000}"/>
    <cellStyle name="Separador de milhares 3 10 2 3 2 2 3 2" xfId="48320" xr:uid="{00000000-0005-0000-0000-0000F7220000}"/>
    <cellStyle name="Separador de milhares 3 10 2 3 2 2 4" xfId="16219" xr:uid="{00000000-0005-0000-0000-0000F8220000}"/>
    <cellStyle name="Separador de milhares 3 10 2 3 2 2 4 2" xfId="42412" xr:uid="{00000000-0005-0000-0000-0000F9220000}"/>
    <cellStyle name="Separador de milhares 3 10 2 3 2 2 5" xfId="36026" xr:uid="{00000000-0005-0000-0000-0000FA220000}"/>
    <cellStyle name="Separador de milhares 3 10 2 3 2 3" xfId="25090" xr:uid="{00000000-0005-0000-0000-0000FB220000}"/>
    <cellStyle name="Separador de milhares 3 10 2 3 2 3 2" xfId="51274" xr:uid="{00000000-0005-0000-0000-0000FC220000}"/>
    <cellStyle name="Separador de milhares 3 10 2 3 2 4" xfId="19176" xr:uid="{00000000-0005-0000-0000-0000FD220000}"/>
    <cellStyle name="Separador de milhares 3 10 2 3 2 4 2" xfId="45366" xr:uid="{00000000-0005-0000-0000-0000FE220000}"/>
    <cellStyle name="Separador de milhares 3 10 2 3 2 5" xfId="13075" xr:uid="{00000000-0005-0000-0000-0000FF220000}"/>
    <cellStyle name="Separador de milhares 3 10 2 3 2 5 2" xfId="39268" xr:uid="{00000000-0005-0000-0000-000000230000}"/>
    <cellStyle name="Separador de milhares 3 10 2 3 2 6" xfId="32882" xr:uid="{00000000-0005-0000-0000-000001230000}"/>
    <cellStyle name="Separador de milhares 3 10 2 3 3" xfId="8365" xr:uid="{00000000-0005-0000-0000-000002230000}"/>
    <cellStyle name="Separador de milhares 3 10 2 3 3 2" xfId="26579" xr:uid="{00000000-0005-0000-0000-000003230000}"/>
    <cellStyle name="Separador de milhares 3 10 2 3 3 2 2" xfId="52760" xr:uid="{00000000-0005-0000-0000-000004230000}"/>
    <cellStyle name="Separador de milhares 3 10 2 3 3 3" xfId="20665" xr:uid="{00000000-0005-0000-0000-000005230000}"/>
    <cellStyle name="Separador de milhares 3 10 2 3 3 3 2" xfId="46852" xr:uid="{00000000-0005-0000-0000-000006230000}"/>
    <cellStyle name="Separador de milhares 3 10 2 3 3 4" xfId="14751" xr:uid="{00000000-0005-0000-0000-000007230000}"/>
    <cellStyle name="Separador de milhares 3 10 2 3 3 4 2" xfId="40944" xr:uid="{00000000-0005-0000-0000-000008230000}"/>
    <cellStyle name="Separador de milhares 3 10 2 3 3 5" xfId="34558" xr:uid="{00000000-0005-0000-0000-000009230000}"/>
    <cellStyle name="Separador de milhares 3 10 2 3 4" xfId="4987" xr:uid="{00000000-0005-0000-0000-00000A230000}"/>
    <cellStyle name="Separador de milhares 3 10 2 3 4 2" xfId="23622" xr:uid="{00000000-0005-0000-0000-00000B230000}"/>
    <cellStyle name="Separador de milhares 3 10 2 3 4 2 2" xfId="49806" xr:uid="{00000000-0005-0000-0000-00000C230000}"/>
    <cellStyle name="Separador de milhares 3 10 2 3 4 3" xfId="31183" xr:uid="{00000000-0005-0000-0000-00000D230000}"/>
    <cellStyle name="Separador de milhares 3 10 2 3 5" xfId="17708" xr:uid="{00000000-0005-0000-0000-00000E230000}"/>
    <cellStyle name="Separador de milhares 3 10 2 3 5 2" xfId="43898" xr:uid="{00000000-0005-0000-0000-00000F230000}"/>
    <cellStyle name="Separador de milhares 3 10 2 3 6" xfId="11374" xr:uid="{00000000-0005-0000-0000-000010230000}"/>
    <cellStyle name="Separador de milhares 3 10 2 3 6 2" xfId="37567" xr:uid="{00000000-0005-0000-0000-000011230000}"/>
    <cellStyle name="Separador de milhares 3 10 2 3 7" xfId="29485" xr:uid="{00000000-0005-0000-0000-000012230000}"/>
    <cellStyle name="Separador de milhares 3 10 2 4" xfId="1270" xr:uid="{00000000-0005-0000-0000-000013230000}"/>
    <cellStyle name="Separador de milhares 3 10 2 4 2" xfId="6784" xr:uid="{00000000-0005-0000-0000-000014230000}"/>
    <cellStyle name="Separador de milhares 3 10 2 4 2 2" xfId="9931" xr:uid="{00000000-0005-0000-0000-000015230000}"/>
    <cellStyle name="Separador de milhares 3 10 2 4 2 2 2" xfId="28145" xr:uid="{00000000-0005-0000-0000-000016230000}"/>
    <cellStyle name="Separador de milhares 3 10 2 4 2 2 2 2" xfId="54326" xr:uid="{00000000-0005-0000-0000-000017230000}"/>
    <cellStyle name="Separador de milhares 3 10 2 4 2 2 3" xfId="22231" xr:uid="{00000000-0005-0000-0000-000018230000}"/>
    <cellStyle name="Separador de milhares 3 10 2 4 2 2 3 2" xfId="48418" xr:uid="{00000000-0005-0000-0000-000019230000}"/>
    <cellStyle name="Separador de milhares 3 10 2 4 2 2 4" xfId="16317" xr:uid="{00000000-0005-0000-0000-00001A230000}"/>
    <cellStyle name="Separador de milhares 3 10 2 4 2 2 4 2" xfId="42510" xr:uid="{00000000-0005-0000-0000-00001B230000}"/>
    <cellStyle name="Separador de milhares 3 10 2 4 2 2 5" xfId="36124" xr:uid="{00000000-0005-0000-0000-00001C230000}"/>
    <cellStyle name="Separador de milhares 3 10 2 4 2 3" xfId="25188" xr:uid="{00000000-0005-0000-0000-00001D230000}"/>
    <cellStyle name="Separador de milhares 3 10 2 4 2 3 2" xfId="51372" xr:uid="{00000000-0005-0000-0000-00001E230000}"/>
    <cellStyle name="Separador de milhares 3 10 2 4 2 4" xfId="19274" xr:uid="{00000000-0005-0000-0000-00001F230000}"/>
    <cellStyle name="Separador de milhares 3 10 2 4 2 4 2" xfId="45464" xr:uid="{00000000-0005-0000-0000-000020230000}"/>
    <cellStyle name="Separador de milhares 3 10 2 4 2 5" xfId="13173" xr:uid="{00000000-0005-0000-0000-000021230000}"/>
    <cellStyle name="Separador de milhares 3 10 2 4 2 5 2" xfId="39366" xr:uid="{00000000-0005-0000-0000-000022230000}"/>
    <cellStyle name="Separador de milhares 3 10 2 4 2 6" xfId="32980" xr:uid="{00000000-0005-0000-0000-000023230000}"/>
    <cellStyle name="Separador de milhares 3 10 2 4 3" xfId="8463" xr:uid="{00000000-0005-0000-0000-000024230000}"/>
    <cellStyle name="Separador de milhares 3 10 2 4 3 2" xfId="26677" xr:uid="{00000000-0005-0000-0000-000025230000}"/>
    <cellStyle name="Separador de milhares 3 10 2 4 3 2 2" xfId="52858" xr:uid="{00000000-0005-0000-0000-000026230000}"/>
    <cellStyle name="Separador de milhares 3 10 2 4 3 3" xfId="20763" xr:uid="{00000000-0005-0000-0000-000027230000}"/>
    <cellStyle name="Separador de milhares 3 10 2 4 3 3 2" xfId="46950" xr:uid="{00000000-0005-0000-0000-000028230000}"/>
    <cellStyle name="Separador de milhares 3 10 2 4 3 4" xfId="14849" xr:uid="{00000000-0005-0000-0000-000029230000}"/>
    <cellStyle name="Separador de milhares 3 10 2 4 3 4 2" xfId="41042" xr:uid="{00000000-0005-0000-0000-00002A230000}"/>
    <cellStyle name="Separador de milhares 3 10 2 4 3 5" xfId="34656" xr:uid="{00000000-0005-0000-0000-00002B230000}"/>
    <cellStyle name="Separador de milhares 3 10 2 4 4" xfId="5085" xr:uid="{00000000-0005-0000-0000-00002C230000}"/>
    <cellStyle name="Separador de milhares 3 10 2 4 4 2" xfId="23720" xr:uid="{00000000-0005-0000-0000-00002D230000}"/>
    <cellStyle name="Separador de milhares 3 10 2 4 4 2 2" xfId="49904" xr:uid="{00000000-0005-0000-0000-00002E230000}"/>
    <cellStyle name="Separador de milhares 3 10 2 4 4 3" xfId="31281" xr:uid="{00000000-0005-0000-0000-00002F230000}"/>
    <cellStyle name="Separador de milhares 3 10 2 4 5" xfId="17806" xr:uid="{00000000-0005-0000-0000-000030230000}"/>
    <cellStyle name="Separador de milhares 3 10 2 4 5 2" xfId="43996" xr:uid="{00000000-0005-0000-0000-000031230000}"/>
    <cellStyle name="Separador de milhares 3 10 2 4 6" xfId="11472" xr:uid="{00000000-0005-0000-0000-000032230000}"/>
    <cellStyle name="Separador de milhares 3 10 2 4 6 2" xfId="37665" xr:uid="{00000000-0005-0000-0000-000033230000}"/>
    <cellStyle name="Separador de milhares 3 10 2 4 7" xfId="29583" xr:uid="{00000000-0005-0000-0000-000034230000}"/>
    <cellStyle name="Separador de milhares 3 10 2 5" xfId="1705" xr:uid="{00000000-0005-0000-0000-000035230000}"/>
    <cellStyle name="Separador de milhares 3 10 2 5 2" xfId="6903" xr:uid="{00000000-0005-0000-0000-000036230000}"/>
    <cellStyle name="Separador de milhares 3 10 2 5 2 2" xfId="10050" xr:uid="{00000000-0005-0000-0000-000037230000}"/>
    <cellStyle name="Separador de milhares 3 10 2 5 2 2 2" xfId="28264" xr:uid="{00000000-0005-0000-0000-000038230000}"/>
    <cellStyle name="Separador de milhares 3 10 2 5 2 2 2 2" xfId="54445" xr:uid="{00000000-0005-0000-0000-000039230000}"/>
    <cellStyle name="Separador de milhares 3 10 2 5 2 2 3" xfId="22350" xr:uid="{00000000-0005-0000-0000-00003A230000}"/>
    <cellStyle name="Separador de milhares 3 10 2 5 2 2 3 2" xfId="48537" xr:uid="{00000000-0005-0000-0000-00003B230000}"/>
    <cellStyle name="Separador de milhares 3 10 2 5 2 2 4" xfId="16436" xr:uid="{00000000-0005-0000-0000-00003C230000}"/>
    <cellStyle name="Separador de milhares 3 10 2 5 2 2 4 2" xfId="42629" xr:uid="{00000000-0005-0000-0000-00003D230000}"/>
    <cellStyle name="Separador de milhares 3 10 2 5 2 2 5" xfId="36243" xr:uid="{00000000-0005-0000-0000-00003E230000}"/>
    <cellStyle name="Separador de milhares 3 10 2 5 2 3" xfId="25307" xr:uid="{00000000-0005-0000-0000-00003F230000}"/>
    <cellStyle name="Separador de milhares 3 10 2 5 2 3 2" xfId="51491" xr:uid="{00000000-0005-0000-0000-000040230000}"/>
    <cellStyle name="Separador de milhares 3 10 2 5 2 4" xfId="19393" xr:uid="{00000000-0005-0000-0000-000041230000}"/>
    <cellStyle name="Separador de milhares 3 10 2 5 2 4 2" xfId="45583" xr:uid="{00000000-0005-0000-0000-000042230000}"/>
    <cellStyle name="Separador de milhares 3 10 2 5 2 5" xfId="13292" xr:uid="{00000000-0005-0000-0000-000043230000}"/>
    <cellStyle name="Separador de milhares 3 10 2 5 2 5 2" xfId="39485" xr:uid="{00000000-0005-0000-0000-000044230000}"/>
    <cellStyle name="Separador de milhares 3 10 2 5 2 6" xfId="33099" xr:uid="{00000000-0005-0000-0000-000045230000}"/>
    <cellStyle name="Separador de milhares 3 10 2 5 3" xfId="8582" xr:uid="{00000000-0005-0000-0000-000046230000}"/>
    <cellStyle name="Separador de milhares 3 10 2 5 3 2" xfId="26796" xr:uid="{00000000-0005-0000-0000-000047230000}"/>
    <cellStyle name="Separador de milhares 3 10 2 5 3 2 2" xfId="52977" xr:uid="{00000000-0005-0000-0000-000048230000}"/>
    <cellStyle name="Separador de milhares 3 10 2 5 3 3" xfId="20882" xr:uid="{00000000-0005-0000-0000-000049230000}"/>
    <cellStyle name="Separador de milhares 3 10 2 5 3 3 2" xfId="47069" xr:uid="{00000000-0005-0000-0000-00004A230000}"/>
    <cellStyle name="Separador de milhares 3 10 2 5 3 4" xfId="14968" xr:uid="{00000000-0005-0000-0000-00004B230000}"/>
    <cellStyle name="Separador de milhares 3 10 2 5 3 4 2" xfId="41161" xr:uid="{00000000-0005-0000-0000-00004C230000}"/>
    <cellStyle name="Separador de milhares 3 10 2 5 3 5" xfId="34775" xr:uid="{00000000-0005-0000-0000-00004D230000}"/>
    <cellStyle name="Separador de milhares 3 10 2 5 4" xfId="5204" xr:uid="{00000000-0005-0000-0000-00004E230000}"/>
    <cellStyle name="Separador de milhares 3 10 2 5 4 2" xfId="23839" xr:uid="{00000000-0005-0000-0000-00004F230000}"/>
    <cellStyle name="Separador de milhares 3 10 2 5 4 2 2" xfId="50023" xr:uid="{00000000-0005-0000-0000-000050230000}"/>
    <cellStyle name="Separador de milhares 3 10 2 5 4 3" xfId="31400" xr:uid="{00000000-0005-0000-0000-000051230000}"/>
    <cellStyle name="Separador de milhares 3 10 2 5 5" xfId="17925" xr:uid="{00000000-0005-0000-0000-000052230000}"/>
    <cellStyle name="Separador de milhares 3 10 2 5 5 2" xfId="44115" xr:uid="{00000000-0005-0000-0000-000053230000}"/>
    <cellStyle name="Separador de milhares 3 10 2 5 6" xfId="11591" xr:uid="{00000000-0005-0000-0000-000054230000}"/>
    <cellStyle name="Separador de milhares 3 10 2 5 6 2" xfId="37784" xr:uid="{00000000-0005-0000-0000-000055230000}"/>
    <cellStyle name="Separador de milhares 3 10 2 5 7" xfId="29702" xr:uid="{00000000-0005-0000-0000-000056230000}"/>
    <cellStyle name="Separador de milhares 3 10 2 6" xfId="2235" xr:uid="{00000000-0005-0000-0000-000057230000}"/>
    <cellStyle name="Separador de milhares 3 10 2 6 2" xfId="7053" xr:uid="{00000000-0005-0000-0000-000058230000}"/>
    <cellStyle name="Separador de milhares 3 10 2 6 2 2" xfId="10197" xr:uid="{00000000-0005-0000-0000-000059230000}"/>
    <cellStyle name="Separador de milhares 3 10 2 6 2 2 2" xfId="28411" xr:uid="{00000000-0005-0000-0000-00005A230000}"/>
    <cellStyle name="Separador de milhares 3 10 2 6 2 2 2 2" xfId="54592" xr:uid="{00000000-0005-0000-0000-00005B230000}"/>
    <cellStyle name="Separador de milhares 3 10 2 6 2 2 3" xfId="22497" xr:uid="{00000000-0005-0000-0000-00005C230000}"/>
    <cellStyle name="Separador de milhares 3 10 2 6 2 2 3 2" xfId="48684" xr:uid="{00000000-0005-0000-0000-00005D230000}"/>
    <cellStyle name="Separador de milhares 3 10 2 6 2 2 4" xfId="16583" xr:uid="{00000000-0005-0000-0000-00005E230000}"/>
    <cellStyle name="Separador de milhares 3 10 2 6 2 2 4 2" xfId="42776" xr:uid="{00000000-0005-0000-0000-00005F230000}"/>
    <cellStyle name="Separador de milhares 3 10 2 6 2 2 5" xfId="36390" xr:uid="{00000000-0005-0000-0000-000060230000}"/>
    <cellStyle name="Separador de milhares 3 10 2 6 2 3" xfId="25454" xr:uid="{00000000-0005-0000-0000-000061230000}"/>
    <cellStyle name="Separador de milhares 3 10 2 6 2 3 2" xfId="51638" xr:uid="{00000000-0005-0000-0000-000062230000}"/>
    <cellStyle name="Separador de milhares 3 10 2 6 2 4" xfId="19540" xr:uid="{00000000-0005-0000-0000-000063230000}"/>
    <cellStyle name="Separador de milhares 3 10 2 6 2 4 2" xfId="45730" xr:uid="{00000000-0005-0000-0000-000064230000}"/>
    <cellStyle name="Separador de milhares 3 10 2 6 2 5" xfId="13442" xr:uid="{00000000-0005-0000-0000-000065230000}"/>
    <cellStyle name="Separador de milhares 3 10 2 6 2 5 2" xfId="39635" xr:uid="{00000000-0005-0000-0000-000066230000}"/>
    <cellStyle name="Separador de milhares 3 10 2 6 2 6" xfId="33249" xr:uid="{00000000-0005-0000-0000-000067230000}"/>
    <cellStyle name="Separador de milhares 3 10 2 6 3" xfId="8729" xr:uid="{00000000-0005-0000-0000-000068230000}"/>
    <cellStyle name="Separador de milhares 3 10 2 6 3 2" xfId="26943" xr:uid="{00000000-0005-0000-0000-000069230000}"/>
    <cellStyle name="Separador de milhares 3 10 2 6 3 2 2" xfId="53124" xr:uid="{00000000-0005-0000-0000-00006A230000}"/>
    <cellStyle name="Separador de milhares 3 10 2 6 3 3" xfId="21029" xr:uid="{00000000-0005-0000-0000-00006B230000}"/>
    <cellStyle name="Separador de milhares 3 10 2 6 3 3 2" xfId="47216" xr:uid="{00000000-0005-0000-0000-00006C230000}"/>
    <cellStyle name="Separador de milhares 3 10 2 6 3 4" xfId="15115" xr:uid="{00000000-0005-0000-0000-00006D230000}"/>
    <cellStyle name="Separador de milhares 3 10 2 6 3 4 2" xfId="41308" xr:uid="{00000000-0005-0000-0000-00006E230000}"/>
    <cellStyle name="Separador de milhares 3 10 2 6 3 5" xfId="34922" xr:uid="{00000000-0005-0000-0000-00006F230000}"/>
    <cellStyle name="Separador de milhares 3 10 2 6 4" xfId="5354" xr:uid="{00000000-0005-0000-0000-000070230000}"/>
    <cellStyle name="Separador de milhares 3 10 2 6 4 2" xfId="23986" xr:uid="{00000000-0005-0000-0000-000071230000}"/>
    <cellStyle name="Separador de milhares 3 10 2 6 4 2 2" xfId="50170" xr:uid="{00000000-0005-0000-0000-000072230000}"/>
    <cellStyle name="Separador de milhares 3 10 2 6 4 3" xfId="31550" xr:uid="{00000000-0005-0000-0000-000073230000}"/>
    <cellStyle name="Separador de milhares 3 10 2 6 5" xfId="18072" xr:uid="{00000000-0005-0000-0000-000074230000}"/>
    <cellStyle name="Separador de milhares 3 10 2 6 5 2" xfId="44262" xr:uid="{00000000-0005-0000-0000-000075230000}"/>
    <cellStyle name="Separador de milhares 3 10 2 6 6" xfId="11741" xr:uid="{00000000-0005-0000-0000-000076230000}"/>
    <cellStyle name="Separador de milhares 3 10 2 6 6 2" xfId="37934" xr:uid="{00000000-0005-0000-0000-000077230000}"/>
    <cellStyle name="Separador de milhares 3 10 2 6 7" xfId="29852" xr:uid="{00000000-0005-0000-0000-000078230000}"/>
    <cellStyle name="Separador de milhares 3 10 2 7" xfId="2762" xr:uid="{00000000-0005-0000-0000-000079230000}"/>
    <cellStyle name="Separador de milhares 3 10 2 7 2" xfId="7200" xr:uid="{00000000-0005-0000-0000-00007A230000}"/>
    <cellStyle name="Separador de milhares 3 10 2 7 2 2" xfId="10344" xr:uid="{00000000-0005-0000-0000-00007B230000}"/>
    <cellStyle name="Separador de milhares 3 10 2 7 2 2 2" xfId="28558" xr:uid="{00000000-0005-0000-0000-00007C230000}"/>
    <cellStyle name="Separador de milhares 3 10 2 7 2 2 2 2" xfId="54739" xr:uid="{00000000-0005-0000-0000-00007D230000}"/>
    <cellStyle name="Separador de milhares 3 10 2 7 2 2 3" xfId="22644" xr:uid="{00000000-0005-0000-0000-00007E230000}"/>
    <cellStyle name="Separador de milhares 3 10 2 7 2 2 3 2" xfId="48831" xr:uid="{00000000-0005-0000-0000-00007F230000}"/>
    <cellStyle name="Separador de milhares 3 10 2 7 2 2 4" xfId="16730" xr:uid="{00000000-0005-0000-0000-000080230000}"/>
    <cellStyle name="Separador de milhares 3 10 2 7 2 2 4 2" xfId="42923" xr:uid="{00000000-0005-0000-0000-000081230000}"/>
    <cellStyle name="Separador de milhares 3 10 2 7 2 2 5" xfId="36537" xr:uid="{00000000-0005-0000-0000-000082230000}"/>
    <cellStyle name="Separador de milhares 3 10 2 7 2 3" xfId="25601" xr:uid="{00000000-0005-0000-0000-000083230000}"/>
    <cellStyle name="Separador de milhares 3 10 2 7 2 3 2" xfId="51785" xr:uid="{00000000-0005-0000-0000-000084230000}"/>
    <cellStyle name="Separador de milhares 3 10 2 7 2 4" xfId="19687" xr:uid="{00000000-0005-0000-0000-000085230000}"/>
    <cellStyle name="Separador de milhares 3 10 2 7 2 4 2" xfId="45877" xr:uid="{00000000-0005-0000-0000-000086230000}"/>
    <cellStyle name="Separador de milhares 3 10 2 7 2 5" xfId="13589" xr:uid="{00000000-0005-0000-0000-000087230000}"/>
    <cellStyle name="Separador de milhares 3 10 2 7 2 5 2" xfId="39782" xr:uid="{00000000-0005-0000-0000-000088230000}"/>
    <cellStyle name="Separador de milhares 3 10 2 7 2 6" xfId="33396" xr:uid="{00000000-0005-0000-0000-000089230000}"/>
    <cellStyle name="Separador de milhares 3 10 2 7 3" xfId="8876" xr:uid="{00000000-0005-0000-0000-00008A230000}"/>
    <cellStyle name="Separador de milhares 3 10 2 7 3 2" xfId="27090" xr:uid="{00000000-0005-0000-0000-00008B230000}"/>
    <cellStyle name="Separador de milhares 3 10 2 7 3 2 2" xfId="53271" xr:uid="{00000000-0005-0000-0000-00008C230000}"/>
    <cellStyle name="Separador de milhares 3 10 2 7 3 3" xfId="21176" xr:uid="{00000000-0005-0000-0000-00008D230000}"/>
    <cellStyle name="Separador de milhares 3 10 2 7 3 3 2" xfId="47363" xr:uid="{00000000-0005-0000-0000-00008E230000}"/>
    <cellStyle name="Separador de milhares 3 10 2 7 3 4" xfId="15262" xr:uid="{00000000-0005-0000-0000-00008F230000}"/>
    <cellStyle name="Separador de milhares 3 10 2 7 3 4 2" xfId="41455" xr:uid="{00000000-0005-0000-0000-000090230000}"/>
    <cellStyle name="Separador de milhares 3 10 2 7 3 5" xfId="35069" xr:uid="{00000000-0005-0000-0000-000091230000}"/>
    <cellStyle name="Separador de milhares 3 10 2 7 4" xfId="5501" xr:uid="{00000000-0005-0000-0000-000092230000}"/>
    <cellStyle name="Separador de milhares 3 10 2 7 4 2" xfId="24133" xr:uid="{00000000-0005-0000-0000-000093230000}"/>
    <cellStyle name="Separador de milhares 3 10 2 7 4 2 2" xfId="50317" xr:uid="{00000000-0005-0000-0000-000094230000}"/>
    <cellStyle name="Separador de milhares 3 10 2 7 4 3" xfId="31697" xr:uid="{00000000-0005-0000-0000-000095230000}"/>
    <cellStyle name="Separador de milhares 3 10 2 7 5" xfId="18219" xr:uid="{00000000-0005-0000-0000-000096230000}"/>
    <cellStyle name="Separador de milhares 3 10 2 7 5 2" xfId="44409" xr:uid="{00000000-0005-0000-0000-000097230000}"/>
    <cellStyle name="Separador de milhares 3 10 2 7 6" xfId="11888" xr:uid="{00000000-0005-0000-0000-000098230000}"/>
    <cellStyle name="Separador de milhares 3 10 2 7 6 2" xfId="38081" xr:uid="{00000000-0005-0000-0000-000099230000}"/>
    <cellStyle name="Separador de milhares 3 10 2 7 7" xfId="29999" xr:uid="{00000000-0005-0000-0000-00009A230000}"/>
    <cellStyle name="Separador de milhares 3 10 2 8" xfId="3289" xr:uid="{00000000-0005-0000-0000-00009B230000}"/>
    <cellStyle name="Separador de milhares 3 10 2 8 2" xfId="7347" xr:uid="{00000000-0005-0000-0000-00009C230000}"/>
    <cellStyle name="Separador de milhares 3 10 2 8 2 2" xfId="10491" xr:uid="{00000000-0005-0000-0000-00009D230000}"/>
    <cellStyle name="Separador de milhares 3 10 2 8 2 2 2" xfId="28705" xr:uid="{00000000-0005-0000-0000-00009E230000}"/>
    <cellStyle name="Separador de milhares 3 10 2 8 2 2 2 2" xfId="54886" xr:uid="{00000000-0005-0000-0000-00009F230000}"/>
    <cellStyle name="Separador de milhares 3 10 2 8 2 2 3" xfId="22791" xr:uid="{00000000-0005-0000-0000-0000A0230000}"/>
    <cellStyle name="Separador de milhares 3 10 2 8 2 2 3 2" xfId="48978" xr:uid="{00000000-0005-0000-0000-0000A1230000}"/>
    <cellStyle name="Separador de milhares 3 10 2 8 2 2 4" xfId="16877" xr:uid="{00000000-0005-0000-0000-0000A2230000}"/>
    <cellStyle name="Separador de milhares 3 10 2 8 2 2 4 2" xfId="43070" xr:uid="{00000000-0005-0000-0000-0000A3230000}"/>
    <cellStyle name="Separador de milhares 3 10 2 8 2 2 5" xfId="36684" xr:uid="{00000000-0005-0000-0000-0000A4230000}"/>
    <cellStyle name="Separador de milhares 3 10 2 8 2 3" xfId="25748" xr:uid="{00000000-0005-0000-0000-0000A5230000}"/>
    <cellStyle name="Separador de milhares 3 10 2 8 2 3 2" xfId="51932" xr:uid="{00000000-0005-0000-0000-0000A6230000}"/>
    <cellStyle name="Separador de milhares 3 10 2 8 2 4" xfId="19834" xr:uid="{00000000-0005-0000-0000-0000A7230000}"/>
    <cellStyle name="Separador de milhares 3 10 2 8 2 4 2" xfId="46024" xr:uid="{00000000-0005-0000-0000-0000A8230000}"/>
    <cellStyle name="Separador de milhares 3 10 2 8 2 5" xfId="13736" xr:uid="{00000000-0005-0000-0000-0000A9230000}"/>
    <cellStyle name="Separador de milhares 3 10 2 8 2 5 2" xfId="39929" xr:uid="{00000000-0005-0000-0000-0000AA230000}"/>
    <cellStyle name="Separador de milhares 3 10 2 8 2 6" xfId="33543" xr:uid="{00000000-0005-0000-0000-0000AB230000}"/>
    <cellStyle name="Separador de milhares 3 10 2 8 3" xfId="9023" xr:uid="{00000000-0005-0000-0000-0000AC230000}"/>
    <cellStyle name="Separador de milhares 3 10 2 8 3 2" xfId="27237" xr:uid="{00000000-0005-0000-0000-0000AD230000}"/>
    <cellStyle name="Separador de milhares 3 10 2 8 3 2 2" xfId="53418" xr:uid="{00000000-0005-0000-0000-0000AE230000}"/>
    <cellStyle name="Separador de milhares 3 10 2 8 3 3" xfId="21323" xr:uid="{00000000-0005-0000-0000-0000AF230000}"/>
    <cellStyle name="Separador de milhares 3 10 2 8 3 3 2" xfId="47510" xr:uid="{00000000-0005-0000-0000-0000B0230000}"/>
    <cellStyle name="Separador de milhares 3 10 2 8 3 4" xfId="15409" xr:uid="{00000000-0005-0000-0000-0000B1230000}"/>
    <cellStyle name="Separador de milhares 3 10 2 8 3 4 2" xfId="41602" xr:uid="{00000000-0005-0000-0000-0000B2230000}"/>
    <cellStyle name="Separador de milhares 3 10 2 8 3 5" xfId="35216" xr:uid="{00000000-0005-0000-0000-0000B3230000}"/>
    <cellStyle name="Separador de milhares 3 10 2 8 4" xfId="5648" xr:uid="{00000000-0005-0000-0000-0000B4230000}"/>
    <cellStyle name="Separador de milhares 3 10 2 8 4 2" xfId="24280" xr:uid="{00000000-0005-0000-0000-0000B5230000}"/>
    <cellStyle name="Separador de milhares 3 10 2 8 4 2 2" xfId="50464" xr:uid="{00000000-0005-0000-0000-0000B6230000}"/>
    <cellStyle name="Separador de milhares 3 10 2 8 4 3" xfId="31844" xr:uid="{00000000-0005-0000-0000-0000B7230000}"/>
    <cellStyle name="Separador de milhares 3 10 2 8 5" xfId="18366" xr:uid="{00000000-0005-0000-0000-0000B8230000}"/>
    <cellStyle name="Separador de milhares 3 10 2 8 5 2" xfId="44556" xr:uid="{00000000-0005-0000-0000-0000B9230000}"/>
    <cellStyle name="Separador de milhares 3 10 2 8 6" xfId="12035" xr:uid="{00000000-0005-0000-0000-0000BA230000}"/>
    <cellStyle name="Separador de milhares 3 10 2 8 6 2" xfId="38228" xr:uid="{00000000-0005-0000-0000-0000BB230000}"/>
    <cellStyle name="Separador de milhares 3 10 2 8 7" xfId="30146" xr:uid="{00000000-0005-0000-0000-0000BC230000}"/>
    <cellStyle name="Separador de milhares 3 10 2 9" xfId="3816" xr:uid="{00000000-0005-0000-0000-0000BD230000}"/>
    <cellStyle name="Separador de milhares 3 10 2 9 2" xfId="7494" xr:uid="{00000000-0005-0000-0000-0000BE230000}"/>
    <cellStyle name="Separador de milhares 3 10 2 9 2 2" xfId="10638" xr:uid="{00000000-0005-0000-0000-0000BF230000}"/>
    <cellStyle name="Separador de milhares 3 10 2 9 2 2 2" xfId="28852" xr:uid="{00000000-0005-0000-0000-0000C0230000}"/>
    <cellStyle name="Separador de milhares 3 10 2 9 2 2 2 2" xfId="55033" xr:uid="{00000000-0005-0000-0000-0000C1230000}"/>
    <cellStyle name="Separador de milhares 3 10 2 9 2 2 3" xfId="22938" xr:uid="{00000000-0005-0000-0000-0000C2230000}"/>
    <cellStyle name="Separador de milhares 3 10 2 9 2 2 3 2" xfId="49125" xr:uid="{00000000-0005-0000-0000-0000C3230000}"/>
    <cellStyle name="Separador de milhares 3 10 2 9 2 2 4" xfId="17024" xr:uid="{00000000-0005-0000-0000-0000C4230000}"/>
    <cellStyle name="Separador de milhares 3 10 2 9 2 2 4 2" xfId="43217" xr:uid="{00000000-0005-0000-0000-0000C5230000}"/>
    <cellStyle name="Separador de milhares 3 10 2 9 2 2 5" xfId="36831" xr:uid="{00000000-0005-0000-0000-0000C6230000}"/>
    <cellStyle name="Separador de milhares 3 10 2 9 2 3" xfId="25895" xr:uid="{00000000-0005-0000-0000-0000C7230000}"/>
    <cellStyle name="Separador de milhares 3 10 2 9 2 3 2" xfId="52079" xr:uid="{00000000-0005-0000-0000-0000C8230000}"/>
    <cellStyle name="Separador de milhares 3 10 2 9 2 4" xfId="19981" xr:uid="{00000000-0005-0000-0000-0000C9230000}"/>
    <cellStyle name="Separador de milhares 3 10 2 9 2 4 2" xfId="46171" xr:uid="{00000000-0005-0000-0000-0000CA230000}"/>
    <cellStyle name="Separador de milhares 3 10 2 9 2 5" xfId="13883" xr:uid="{00000000-0005-0000-0000-0000CB230000}"/>
    <cellStyle name="Separador de milhares 3 10 2 9 2 5 2" xfId="40076" xr:uid="{00000000-0005-0000-0000-0000CC230000}"/>
    <cellStyle name="Separador de milhares 3 10 2 9 2 6" xfId="33690" xr:uid="{00000000-0005-0000-0000-0000CD230000}"/>
    <cellStyle name="Separador de milhares 3 10 2 9 3" xfId="9170" xr:uid="{00000000-0005-0000-0000-0000CE230000}"/>
    <cellStyle name="Separador de milhares 3 10 2 9 3 2" xfId="27384" xr:uid="{00000000-0005-0000-0000-0000CF230000}"/>
    <cellStyle name="Separador de milhares 3 10 2 9 3 2 2" xfId="53565" xr:uid="{00000000-0005-0000-0000-0000D0230000}"/>
    <cellStyle name="Separador de milhares 3 10 2 9 3 3" xfId="21470" xr:uid="{00000000-0005-0000-0000-0000D1230000}"/>
    <cellStyle name="Separador de milhares 3 10 2 9 3 3 2" xfId="47657" xr:uid="{00000000-0005-0000-0000-0000D2230000}"/>
    <cellStyle name="Separador de milhares 3 10 2 9 3 4" xfId="15556" xr:uid="{00000000-0005-0000-0000-0000D3230000}"/>
    <cellStyle name="Separador de milhares 3 10 2 9 3 4 2" xfId="41749" xr:uid="{00000000-0005-0000-0000-0000D4230000}"/>
    <cellStyle name="Separador de milhares 3 10 2 9 3 5" xfId="35363" xr:uid="{00000000-0005-0000-0000-0000D5230000}"/>
    <cellStyle name="Separador de milhares 3 10 2 9 4" xfId="5795" xr:uid="{00000000-0005-0000-0000-0000D6230000}"/>
    <cellStyle name="Separador de milhares 3 10 2 9 4 2" xfId="24427" xr:uid="{00000000-0005-0000-0000-0000D7230000}"/>
    <cellStyle name="Separador de milhares 3 10 2 9 4 2 2" xfId="50611" xr:uid="{00000000-0005-0000-0000-0000D8230000}"/>
    <cellStyle name="Separador de milhares 3 10 2 9 4 3" xfId="31991" xr:uid="{00000000-0005-0000-0000-0000D9230000}"/>
    <cellStyle name="Separador de milhares 3 10 2 9 5" xfId="18513" xr:uid="{00000000-0005-0000-0000-0000DA230000}"/>
    <cellStyle name="Separador de milhares 3 10 2 9 5 2" xfId="44703" xr:uid="{00000000-0005-0000-0000-0000DB230000}"/>
    <cellStyle name="Separador de milhares 3 10 2 9 6" xfId="12182" xr:uid="{00000000-0005-0000-0000-0000DC230000}"/>
    <cellStyle name="Separador de milhares 3 10 2 9 6 2" xfId="38375" xr:uid="{00000000-0005-0000-0000-0000DD230000}"/>
    <cellStyle name="Separador de milhares 3 10 2 9 7" xfId="30293" xr:uid="{00000000-0005-0000-0000-0000DE230000}"/>
    <cellStyle name="Separador de milhares 3 10 3" xfId="268" xr:uid="{00000000-0005-0000-0000-0000DF230000}"/>
    <cellStyle name="Separador de milhares 3 10 3 10" xfId="6485" xr:uid="{00000000-0005-0000-0000-0000E0230000}"/>
    <cellStyle name="Separador de milhares 3 10 3 10 2" xfId="9636" xr:uid="{00000000-0005-0000-0000-0000E1230000}"/>
    <cellStyle name="Separador de milhares 3 10 3 10 2 2" xfId="27850" xr:uid="{00000000-0005-0000-0000-0000E2230000}"/>
    <cellStyle name="Separador de milhares 3 10 3 10 2 2 2" xfId="54031" xr:uid="{00000000-0005-0000-0000-0000E3230000}"/>
    <cellStyle name="Separador de milhares 3 10 3 10 2 3" xfId="21936" xr:uid="{00000000-0005-0000-0000-0000E4230000}"/>
    <cellStyle name="Separador de milhares 3 10 3 10 2 3 2" xfId="48123" xr:uid="{00000000-0005-0000-0000-0000E5230000}"/>
    <cellStyle name="Separador de milhares 3 10 3 10 2 4" xfId="16022" xr:uid="{00000000-0005-0000-0000-0000E6230000}"/>
    <cellStyle name="Separador de milhares 3 10 3 10 2 4 2" xfId="42215" xr:uid="{00000000-0005-0000-0000-0000E7230000}"/>
    <cellStyle name="Separador de milhares 3 10 3 10 2 5" xfId="35829" xr:uid="{00000000-0005-0000-0000-0000E8230000}"/>
    <cellStyle name="Separador de milhares 3 10 3 10 3" xfId="24893" xr:uid="{00000000-0005-0000-0000-0000E9230000}"/>
    <cellStyle name="Separador de milhares 3 10 3 10 3 2" xfId="51077" xr:uid="{00000000-0005-0000-0000-0000EA230000}"/>
    <cellStyle name="Separador de milhares 3 10 3 10 4" xfId="18979" xr:uid="{00000000-0005-0000-0000-0000EB230000}"/>
    <cellStyle name="Separador de milhares 3 10 3 10 4 2" xfId="45169" xr:uid="{00000000-0005-0000-0000-0000EC230000}"/>
    <cellStyle name="Separador de milhares 3 10 3 10 5" xfId="12874" xr:uid="{00000000-0005-0000-0000-0000ED230000}"/>
    <cellStyle name="Separador de milhares 3 10 3 10 5 2" xfId="39067" xr:uid="{00000000-0005-0000-0000-0000EE230000}"/>
    <cellStyle name="Separador de milhares 3 10 3 10 6" xfId="32681" xr:uid="{00000000-0005-0000-0000-0000EF230000}"/>
    <cellStyle name="Separador de milhares 3 10 3 11" xfId="8165" xr:uid="{00000000-0005-0000-0000-0000F0230000}"/>
    <cellStyle name="Separador de milhares 3 10 3 11 2" xfId="26379" xr:uid="{00000000-0005-0000-0000-0000F1230000}"/>
    <cellStyle name="Separador de milhares 3 10 3 11 2 2" xfId="52563" xr:uid="{00000000-0005-0000-0000-0000F2230000}"/>
    <cellStyle name="Separador de milhares 3 10 3 11 3" xfId="20465" xr:uid="{00000000-0005-0000-0000-0000F3230000}"/>
    <cellStyle name="Separador de milhares 3 10 3 11 3 2" xfId="46655" xr:uid="{00000000-0005-0000-0000-0000F4230000}"/>
    <cellStyle name="Separador de milhares 3 10 3 11 4" xfId="14554" xr:uid="{00000000-0005-0000-0000-0000F5230000}"/>
    <cellStyle name="Separador de milhares 3 10 3 11 4 2" xfId="40747" xr:uid="{00000000-0005-0000-0000-0000F6230000}"/>
    <cellStyle name="Separador de milhares 3 10 3 11 5" xfId="34361" xr:uid="{00000000-0005-0000-0000-0000F7230000}"/>
    <cellStyle name="Separador de milhares 3 10 3 12" xfId="4784" xr:uid="{00000000-0005-0000-0000-0000F8230000}"/>
    <cellStyle name="Separador de milhares 3 10 3 12 2" xfId="23422" xr:uid="{00000000-0005-0000-0000-0000F9230000}"/>
    <cellStyle name="Separador de milhares 3 10 3 12 2 2" xfId="49609" xr:uid="{00000000-0005-0000-0000-0000FA230000}"/>
    <cellStyle name="Separador de milhares 3 10 3 12 3" xfId="30982" xr:uid="{00000000-0005-0000-0000-0000FB230000}"/>
    <cellStyle name="Separador de milhares 3 10 3 13" xfId="17508" xr:uid="{00000000-0005-0000-0000-0000FC230000}"/>
    <cellStyle name="Separador de milhares 3 10 3 13 2" xfId="43701" xr:uid="{00000000-0005-0000-0000-0000FD230000}"/>
    <cellStyle name="Separador de milhares 3 10 3 14" xfId="11173" xr:uid="{00000000-0005-0000-0000-0000FE230000}"/>
    <cellStyle name="Separador de milhares 3 10 3 14 2" xfId="37366" xr:uid="{00000000-0005-0000-0000-0000FF230000}"/>
    <cellStyle name="Separador de milhares 3 10 3 15" xfId="29284" xr:uid="{00000000-0005-0000-0000-000000240000}"/>
    <cellStyle name="Separador de milhares 3 10 3 2" xfId="531" xr:uid="{00000000-0005-0000-0000-000001240000}"/>
    <cellStyle name="Separador de milhares 3 10 3 2 2" xfId="6556" xr:uid="{00000000-0005-0000-0000-000002240000}"/>
    <cellStyle name="Separador de milhares 3 10 3 2 2 2" xfId="9703" xr:uid="{00000000-0005-0000-0000-000003240000}"/>
    <cellStyle name="Separador de milhares 3 10 3 2 2 2 2" xfId="27917" xr:uid="{00000000-0005-0000-0000-000004240000}"/>
    <cellStyle name="Separador de milhares 3 10 3 2 2 2 2 2" xfId="54098" xr:uid="{00000000-0005-0000-0000-000005240000}"/>
    <cellStyle name="Separador de milhares 3 10 3 2 2 2 3" xfId="22003" xr:uid="{00000000-0005-0000-0000-000006240000}"/>
    <cellStyle name="Separador de milhares 3 10 3 2 2 2 3 2" xfId="48190" xr:uid="{00000000-0005-0000-0000-000007240000}"/>
    <cellStyle name="Separador de milhares 3 10 3 2 2 2 4" xfId="16089" xr:uid="{00000000-0005-0000-0000-000008240000}"/>
    <cellStyle name="Separador de milhares 3 10 3 2 2 2 4 2" xfId="42282" xr:uid="{00000000-0005-0000-0000-000009240000}"/>
    <cellStyle name="Separador de milhares 3 10 3 2 2 2 5" xfId="35896" xr:uid="{00000000-0005-0000-0000-00000A240000}"/>
    <cellStyle name="Separador de milhares 3 10 3 2 2 3" xfId="24960" xr:uid="{00000000-0005-0000-0000-00000B240000}"/>
    <cellStyle name="Separador de milhares 3 10 3 2 2 3 2" xfId="51144" xr:uid="{00000000-0005-0000-0000-00000C240000}"/>
    <cellStyle name="Separador de milhares 3 10 3 2 2 4" xfId="19046" xr:uid="{00000000-0005-0000-0000-00000D240000}"/>
    <cellStyle name="Separador de milhares 3 10 3 2 2 4 2" xfId="45236" xr:uid="{00000000-0005-0000-0000-00000E240000}"/>
    <cellStyle name="Separador de milhares 3 10 3 2 2 5" xfId="12945" xr:uid="{00000000-0005-0000-0000-00000F240000}"/>
    <cellStyle name="Separador de milhares 3 10 3 2 2 5 2" xfId="39138" xr:uid="{00000000-0005-0000-0000-000010240000}"/>
    <cellStyle name="Separador de milhares 3 10 3 2 2 6" xfId="32752" xr:uid="{00000000-0005-0000-0000-000011240000}"/>
    <cellStyle name="Separador de milhares 3 10 3 2 3" xfId="8232" xr:uid="{00000000-0005-0000-0000-000012240000}"/>
    <cellStyle name="Separador de milhares 3 10 3 2 3 2" xfId="26446" xr:uid="{00000000-0005-0000-0000-000013240000}"/>
    <cellStyle name="Separador de milhares 3 10 3 2 3 2 2" xfId="52630" xr:uid="{00000000-0005-0000-0000-000014240000}"/>
    <cellStyle name="Separador de milhares 3 10 3 2 3 3" xfId="20532" xr:uid="{00000000-0005-0000-0000-000015240000}"/>
    <cellStyle name="Separador de milhares 3 10 3 2 3 3 2" xfId="46722" xr:uid="{00000000-0005-0000-0000-000016240000}"/>
    <cellStyle name="Separador de milhares 3 10 3 2 3 4" xfId="14621" xr:uid="{00000000-0005-0000-0000-000017240000}"/>
    <cellStyle name="Separador de milhares 3 10 3 2 3 4 2" xfId="40814" xr:uid="{00000000-0005-0000-0000-000018240000}"/>
    <cellStyle name="Separador de milhares 3 10 3 2 3 5" xfId="34428" xr:uid="{00000000-0005-0000-0000-000019240000}"/>
    <cellStyle name="Separador de milhares 3 10 3 2 4" xfId="4855" xr:uid="{00000000-0005-0000-0000-00001A240000}"/>
    <cellStyle name="Separador de milhares 3 10 3 2 4 2" xfId="23489" xr:uid="{00000000-0005-0000-0000-00001B240000}"/>
    <cellStyle name="Separador de milhares 3 10 3 2 4 2 2" xfId="49676" xr:uid="{00000000-0005-0000-0000-00001C240000}"/>
    <cellStyle name="Separador de milhares 3 10 3 2 4 3" xfId="31053" xr:uid="{00000000-0005-0000-0000-00001D240000}"/>
    <cellStyle name="Separador de milhares 3 10 3 2 5" xfId="17575" xr:uid="{00000000-0005-0000-0000-00001E240000}"/>
    <cellStyle name="Separador de milhares 3 10 3 2 5 2" xfId="43768" xr:uid="{00000000-0005-0000-0000-00001F240000}"/>
    <cellStyle name="Separador de milhares 3 10 3 2 6" xfId="11244" xr:uid="{00000000-0005-0000-0000-000020240000}"/>
    <cellStyle name="Separador de milhares 3 10 3 2 6 2" xfId="37437" xr:uid="{00000000-0005-0000-0000-000021240000}"/>
    <cellStyle name="Separador de milhares 3 10 3 2 7" xfId="29355" xr:uid="{00000000-0005-0000-0000-000022240000}"/>
    <cellStyle name="Separador de milhares 3 10 3 3" xfId="828" xr:uid="{00000000-0005-0000-0000-000023240000}"/>
    <cellStyle name="Separador de milhares 3 10 3 3 2" xfId="6658" xr:uid="{00000000-0005-0000-0000-000024240000}"/>
    <cellStyle name="Separador de milhares 3 10 3 3 2 2" xfId="9805" xr:uid="{00000000-0005-0000-0000-000025240000}"/>
    <cellStyle name="Separador de milhares 3 10 3 3 2 2 2" xfId="28019" xr:uid="{00000000-0005-0000-0000-000026240000}"/>
    <cellStyle name="Separador de milhares 3 10 3 3 2 2 2 2" xfId="54200" xr:uid="{00000000-0005-0000-0000-000027240000}"/>
    <cellStyle name="Separador de milhares 3 10 3 3 2 2 3" xfId="22105" xr:uid="{00000000-0005-0000-0000-000028240000}"/>
    <cellStyle name="Separador de milhares 3 10 3 3 2 2 3 2" xfId="48292" xr:uid="{00000000-0005-0000-0000-000029240000}"/>
    <cellStyle name="Separador de milhares 3 10 3 3 2 2 4" xfId="16191" xr:uid="{00000000-0005-0000-0000-00002A240000}"/>
    <cellStyle name="Separador de milhares 3 10 3 3 2 2 4 2" xfId="42384" xr:uid="{00000000-0005-0000-0000-00002B240000}"/>
    <cellStyle name="Separador de milhares 3 10 3 3 2 2 5" xfId="35998" xr:uid="{00000000-0005-0000-0000-00002C240000}"/>
    <cellStyle name="Separador de milhares 3 10 3 3 2 3" xfId="25062" xr:uid="{00000000-0005-0000-0000-00002D240000}"/>
    <cellStyle name="Separador de milhares 3 10 3 3 2 3 2" xfId="51246" xr:uid="{00000000-0005-0000-0000-00002E240000}"/>
    <cellStyle name="Separador de milhares 3 10 3 3 2 4" xfId="19148" xr:uid="{00000000-0005-0000-0000-00002F240000}"/>
    <cellStyle name="Separador de milhares 3 10 3 3 2 4 2" xfId="45338" xr:uid="{00000000-0005-0000-0000-000030240000}"/>
    <cellStyle name="Separador de milhares 3 10 3 3 2 5" xfId="13047" xr:uid="{00000000-0005-0000-0000-000031240000}"/>
    <cellStyle name="Separador de milhares 3 10 3 3 2 5 2" xfId="39240" xr:uid="{00000000-0005-0000-0000-000032240000}"/>
    <cellStyle name="Separador de milhares 3 10 3 3 2 6" xfId="32854" xr:uid="{00000000-0005-0000-0000-000033240000}"/>
    <cellStyle name="Separador de milhares 3 10 3 3 3" xfId="8337" xr:uid="{00000000-0005-0000-0000-000034240000}"/>
    <cellStyle name="Separador de milhares 3 10 3 3 3 2" xfId="26551" xr:uid="{00000000-0005-0000-0000-000035240000}"/>
    <cellStyle name="Separador de milhares 3 10 3 3 3 2 2" xfId="52732" xr:uid="{00000000-0005-0000-0000-000036240000}"/>
    <cellStyle name="Separador de milhares 3 10 3 3 3 3" xfId="20637" xr:uid="{00000000-0005-0000-0000-000037240000}"/>
    <cellStyle name="Separador de milhares 3 10 3 3 3 3 2" xfId="46824" xr:uid="{00000000-0005-0000-0000-000038240000}"/>
    <cellStyle name="Separador de milhares 3 10 3 3 3 4" xfId="14723" xr:uid="{00000000-0005-0000-0000-000039240000}"/>
    <cellStyle name="Separador de milhares 3 10 3 3 3 4 2" xfId="40916" xr:uid="{00000000-0005-0000-0000-00003A240000}"/>
    <cellStyle name="Separador de milhares 3 10 3 3 3 5" xfId="34530" xr:uid="{00000000-0005-0000-0000-00003B240000}"/>
    <cellStyle name="Separador de milhares 3 10 3 3 4" xfId="4959" xr:uid="{00000000-0005-0000-0000-00003C240000}"/>
    <cellStyle name="Separador de milhares 3 10 3 3 4 2" xfId="23594" xr:uid="{00000000-0005-0000-0000-00003D240000}"/>
    <cellStyle name="Separador de milhares 3 10 3 3 4 2 2" xfId="49778" xr:uid="{00000000-0005-0000-0000-00003E240000}"/>
    <cellStyle name="Separador de milhares 3 10 3 3 4 3" xfId="31155" xr:uid="{00000000-0005-0000-0000-00003F240000}"/>
    <cellStyle name="Separador de milhares 3 10 3 3 5" xfId="17680" xr:uid="{00000000-0005-0000-0000-000040240000}"/>
    <cellStyle name="Separador de milhares 3 10 3 3 5 2" xfId="43870" xr:uid="{00000000-0005-0000-0000-000041240000}"/>
    <cellStyle name="Separador de milhares 3 10 3 3 6" xfId="11346" xr:uid="{00000000-0005-0000-0000-000042240000}"/>
    <cellStyle name="Separador de milhares 3 10 3 3 6 2" xfId="37539" xr:uid="{00000000-0005-0000-0000-000043240000}"/>
    <cellStyle name="Separador de milhares 3 10 3 3 7" xfId="29457" xr:uid="{00000000-0005-0000-0000-000044240000}"/>
    <cellStyle name="Separador de milhares 3 10 3 4" xfId="1179" xr:uid="{00000000-0005-0000-0000-000045240000}"/>
    <cellStyle name="Separador de milhares 3 10 3 4 2" xfId="6756" xr:uid="{00000000-0005-0000-0000-000046240000}"/>
    <cellStyle name="Separador de milhares 3 10 3 4 2 2" xfId="9903" xr:uid="{00000000-0005-0000-0000-000047240000}"/>
    <cellStyle name="Separador de milhares 3 10 3 4 2 2 2" xfId="28117" xr:uid="{00000000-0005-0000-0000-000048240000}"/>
    <cellStyle name="Separador de milhares 3 10 3 4 2 2 2 2" xfId="54298" xr:uid="{00000000-0005-0000-0000-000049240000}"/>
    <cellStyle name="Separador de milhares 3 10 3 4 2 2 3" xfId="22203" xr:uid="{00000000-0005-0000-0000-00004A240000}"/>
    <cellStyle name="Separador de milhares 3 10 3 4 2 2 3 2" xfId="48390" xr:uid="{00000000-0005-0000-0000-00004B240000}"/>
    <cellStyle name="Separador de milhares 3 10 3 4 2 2 4" xfId="16289" xr:uid="{00000000-0005-0000-0000-00004C240000}"/>
    <cellStyle name="Separador de milhares 3 10 3 4 2 2 4 2" xfId="42482" xr:uid="{00000000-0005-0000-0000-00004D240000}"/>
    <cellStyle name="Separador de milhares 3 10 3 4 2 2 5" xfId="36096" xr:uid="{00000000-0005-0000-0000-00004E240000}"/>
    <cellStyle name="Separador de milhares 3 10 3 4 2 3" xfId="25160" xr:uid="{00000000-0005-0000-0000-00004F240000}"/>
    <cellStyle name="Separador de milhares 3 10 3 4 2 3 2" xfId="51344" xr:uid="{00000000-0005-0000-0000-000050240000}"/>
    <cellStyle name="Separador de milhares 3 10 3 4 2 4" xfId="19246" xr:uid="{00000000-0005-0000-0000-000051240000}"/>
    <cellStyle name="Separador de milhares 3 10 3 4 2 4 2" xfId="45436" xr:uid="{00000000-0005-0000-0000-000052240000}"/>
    <cellStyle name="Separador de milhares 3 10 3 4 2 5" xfId="13145" xr:uid="{00000000-0005-0000-0000-000053240000}"/>
    <cellStyle name="Separador de milhares 3 10 3 4 2 5 2" xfId="39338" xr:uid="{00000000-0005-0000-0000-000054240000}"/>
    <cellStyle name="Separador de milhares 3 10 3 4 2 6" xfId="32952" xr:uid="{00000000-0005-0000-0000-000055240000}"/>
    <cellStyle name="Separador de milhares 3 10 3 4 3" xfId="8435" xr:uid="{00000000-0005-0000-0000-000056240000}"/>
    <cellStyle name="Separador de milhares 3 10 3 4 3 2" xfId="26649" xr:uid="{00000000-0005-0000-0000-000057240000}"/>
    <cellStyle name="Separador de milhares 3 10 3 4 3 2 2" xfId="52830" xr:uid="{00000000-0005-0000-0000-000058240000}"/>
    <cellStyle name="Separador de milhares 3 10 3 4 3 3" xfId="20735" xr:uid="{00000000-0005-0000-0000-000059240000}"/>
    <cellStyle name="Separador de milhares 3 10 3 4 3 3 2" xfId="46922" xr:uid="{00000000-0005-0000-0000-00005A240000}"/>
    <cellStyle name="Separador de milhares 3 10 3 4 3 4" xfId="14821" xr:uid="{00000000-0005-0000-0000-00005B240000}"/>
    <cellStyle name="Separador de milhares 3 10 3 4 3 4 2" xfId="41014" xr:uid="{00000000-0005-0000-0000-00005C240000}"/>
    <cellStyle name="Separador de milhares 3 10 3 4 3 5" xfId="34628" xr:uid="{00000000-0005-0000-0000-00005D240000}"/>
    <cellStyle name="Separador de milhares 3 10 3 4 4" xfId="5057" xr:uid="{00000000-0005-0000-0000-00005E240000}"/>
    <cellStyle name="Separador de milhares 3 10 3 4 4 2" xfId="23692" xr:uid="{00000000-0005-0000-0000-00005F240000}"/>
    <cellStyle name="Separador de milhares 3 10 3 4 4 2 2" xfId="49876" xr:uid="{00000000-0005-0000-0000-000060240000}"/>
    <cellStyle name="Separador de milhares 3 10 3 4 4 3" xfId="31253" xr:uid="{00000000-0005-0000-0000-000061240000}"/>
    <cellStyle name="Separador de milhares 3 10 3 4 5" xfId="17778" xr:uid="{00000000-0005-0000-0000-000062240000}"/>
    <cellStyle name="Separador de milhares 3 10 3 4 5 2" xfId="43968" xr:uid="{00000000-0005-0000-0000-000063240000}"/>
    <cellStyle name="Separador de milhares 3 10 3 4 6" xfId="11444" xr:uid="{00000000-0005-0000-0000-000064240000}"/>
    <cellStyle name="Separador de milhares 3 10 3 4 6 2" xfId="37637" xr:uid="{00000000-0005-0000-0000-000065240000}"/>
    <cellStyle name="Separador de milhares 3 10 3 4 7" xfId="29555" xr:uid="{00000000-0005-0000-0000-000066240000}"/>
    <cellStyle name="Separador de milhares 3 10 3 5" xfId="1614" xr:uid="{00000000-0005-0000-0000-000067240000}"/>
    <cellStyle name="Separador de milhares 3 10 3 5 2" xfId="6875" xr:uid="{00000000-0005-0000-0000-000068240000}"/>
    <cellStyle name="Separador de milhares 3 10 3 5 2 2" xfId="10022" xr:uid="{00000000-0005-0000-0000-000069240000}"/>
    <cellStyle name="Separador de milhares 3 10 3 5 2 2 2" xfId="28236" xr:uid="{00000000-0005-0000-0000-00006A240000}"/>
    <cellStyle name="Separador de milhares 3 10 3 5 2 2 2 2" xfId="54417" xr:uid="{00000000-0005-0000-0000-00006B240000}"/>
    <cellStyle name="Separador de milhares 3 10 3 5 2 2 3" xfId="22322" xr:uid="{00000000-0005-0000-0000-00006C240000}"/>
    <cellStyle name="Separador de milhares 3 10 3 5 2 2 3 2" xfId="48509" xr:uid="{00000000-0005-0000-0000-00006D240000}"/>
    <cellStyle name="Separador de milhares 3 10 3 5 2 2 4" xfId="16408" xr:uid="{00000000-0005-0000-0000-00006E240000}"/>
    <cellStyle name="Separador de milhares 3 10 3 5 2 2 4 2" xfId="42601" xr:uid="{00000000-0005-0000-0000-00006F240000}"/>
    <cellStyle name="Separador de milhares 3 10 3 5 2 2 5" xfId="36215" xr:uid="{00000000-0005-0000-0000-000070240000}"/>
    <cellStyle name="Separador de milhares 3 10 3 5 2 3" xfId="25279" xr:uid="{00000000-0005-0000-0000-000071240000}"/>
    <cellStyle name="Separador de milhares 3 10 3 5 2 3 2" xfId="51463" xr:uid="{00000000-0005-0000-0000-000072240000}"/>
    <cellStyle name="Separador de milhares 3 10 3 5 2 4" xfId="19365" xr:uid="{00000000-0005-0000-0000-000073240000}"/>
    <cellStyle name="Separador de milhares 3 10 3 5 2 4 2" xfId="45555" xr:uid="{00000000-0005-0000-0000-000074240000}"/>
    <cellStyle name="Separador de milhares 3 10 3 5 2 5" xfId="13264" xr:uid="{00000000-0005-0000-0000-000075240000}"/>
    <cellStyle name="Separador de milhares 3 10 3 5 2 5 2" xfId="39457" xr:uid="{00000000-0005-0000-0000-000076240000}"/>
    <cellStyle name="Separador de milhares 3 10 3 5 2 6" xfId="33071" xr:uid="{00000000-0005-0000-0000-000077240000}"/>
    <cellStyle name="Separador de milhares 3 10 3 5 3" xfId="8554" xr:uid="{00000000-0005-0000-0000-000078240000}"/>
    <cellStyle name="Separador de milhares 3 10 3 5 3 2" xfId="26768" xr:uid="{00000000-0005-0000-0000-000079240000}"/>
    <cellStyle name="Separador de milhares 3 10 3 5 3 2 2" xfId="52949" xr:uid="{00000000-0005-0000-0000-00007A240000}"/>
    <cellStyle name="Separador de milhares 3 10 3 5 3 3" xfId="20854" xr:uid="{00000000-0005-0000-0000-00007B240000}"/>
    <cellStyle name="Separador de milhares 3 10 3 5 3 3 2" xfId="47041" xr:uid="{00000000-0005-0000-0000-00007C240000}"/>
    <cellStyle name="Separador de milhares 3 10 3 5 3 4" xfId="14940" xr:uid="{00000000-0005-0000-0000-00007D240000}"/>
    <cellStyle name="Separador de milhares 3 10 3 5 3 4 2" xfId="41133" xr:uid="{00000000-0005-0000-0000-00007E240000}"/>
    <cellStyle name="Separador de milhares 3 10 3 5 3 5" xfId="34747" xr:uid="{00000000-0005-0000-0000-00007F240000}"/>
    <cellStyle name="Separador de milhares 3 10 3 5 4" xfId="5176" xr:uid="{00000000-0005-0000-0000-000080240000}"/>
    <cellStyle name="Separador de milhares 3 10 3 5 4 2" xfId="23811" xr:uid="{00000000-0005-0000-0000-000081240000}"/>
    <cellStyle name="Separador de milhares 3 10 3 5 4 2 2" xfId="49995" xr:uid="{00000000-0005-0000-0000-000082240000}"/>
    <cellStyle name="Separador de milhares 3 10 3 5 4 3" xfId="31372" xr:uid="{00000000-0005-0000-0000-000083240000}"/>
    <cellStyle name="Separador de milhares 3 10 3 5 5" xfId="17897" xr:uid="{00000000-0005-0000-0000-000084240000}"/>
    <cellStyle name="Separador de milhares 3 10 3 5 5 2" xfId="44087" xr:uid="{00000000-0005-0000-0000-000085240000}"/>
    <cellStyle name="Separador de milhares 3 10 3 5 6" xfId="11563" xr:uid="{00000000-0005-0000-0000-000086240000}"/>
    <cellStyle name="Separador de milhares 3 10 3 5 6 2" xfId="37756" xr:uid="{00000000-0005-0000-0000-000087240000}"/>
    <cellStyle name="Separador de milhares 3 10 3 5 7" xfId="29674" xr:uid="{00000000-0005-0000-0000-000088240000}"/>
    <cellStyle name="Separador de milhares 3 10 3 6" xfId="2144" xr:uid="{00000000-0005-0000-0000-000089240000}"/>
    <cellStyle name="Separador de milhares 3 10 3 6 2" xfId="7025" xr:uid="{00000000-0005-0000-0000-00008A240000}"/>
    <cellStyle name="Separador de milhares 3 10 3 6 2 2" xfId="10169" xr:uid="{00000000-0005-0000-0000-00008B240000}"/>
    <cellStyle name="Separador de milhares 3 10 3 6 2 2 2" xfId="28383" xr:uid="{00000000-0005-0000-0000-00008C240000}"/>
    <cellStyle name="Separador de milhares 3 10 3 6 2 2 2 2" xfId="54564" xr:uid="{00000000-0005-0000-0000-00008D240000}"/>
    <cellStyle name="Separador de milhares 3 10 3 6 2 2 3" xfId="22469" xr:uid="{00000000-0005-0000-0000-00008E240000}"/>
    <cellStyle name="Separador de milhares 3 10 3 6 2 2 3 2" xfId="48656" xr:uid="{00000000-0005-0000-0000-00008F240000}"/>
    <cellStyle name="Separador de milhares 3 10 3 6 2 2 4" xfId="16555" xr:uid="{00000000-0005-0000-0000-000090240000}"/>
    <cellStyle name="Separador de milhares 3 10 3 6 2 2 4 2" xfId="42748" xr:uid="{00000000-0005-0000-0000-000091240000}"/>
    <cellStyle name="Separador de milhares 3 10 3 6 2 2 5" xfId="36362" xr:uid="{00000000-0005-0000-0000-000092240000}"/>
    <cellStyle name="Separador de milhares 3 10 3 6 2 3" xfId="25426" xr:uid="{00000000-0005-0000-0000-000093240000}"/>
    <cellStyle name="Separador de milhares 3 10 3 6 2 3 2" xfId="51610" xr:uid="{00000000-0005-0000-0000-000094240000}"/>
    <cellStyle name="Separador de milhares 3 10 3 6 2 4" xfId="19512" xr:uid="{00000000-0005-0000-0000-000095240000}"/>
    <cellStyle name="Separador de milhares 3 10 3 6 2 4 2" xfId="45702" xr:uid="{00000000-0005-0000-0000-000096240000}"/>
    <cellStyle name="Separador de milhares 3 10 3 6 2 5" xfId="13414" xr:uid="{00000000-0005-0000-0000-000097240000}"/>
    <cellStyle name="Separador de milhares 3 10 3 6 2 5 2" xfId="39607" xr:uid="{00000000-0005-0000-0000-000098240000}"/>
    <cellStyle name="Separador de milhares 3 10 3 6 2 6" xfId="33221" xr:uid="{00000000-0005-0000-0000-000099240000}"/>
    <cellStyle name="Separador de milhares 3 10 3 6 3" xfId="8701" xr:uid="{00000000-0005-0000-0000-00009A240000}"/>
    <cellStyle name="Separador de milhares 3 10 3 6 3 2" xfId="26915" xr:uid="{00000000-0005-0000-0000-00009B240000}"/>
    <cellStyle name="Separador de milhares 3 10 3 6 3 2 2" xfId="53096" xr:uid="{00000000-0005-0000-0000-00009C240000}"/>
    <cellStyle name="Separador de milhares 3 10 3 6 3 3" xfId="21001" xr:uid="{00000000-0005-0000-0000-00009D240000}"/>
    <cellStyle name="Separador de milhares 3 10 3 6 3 3 2" xfId="47188" xr:uid="{00000000-0005-0000-0000-00009E240000}"/>
    <cellStyle name="Separador de milhares 3 10 3 6 3 4" xfId="15087" xr:uid="{00000000-0005-0000-0000-00009F240000}"/>
    <cellStyle name="Separador de milhares 3 10 3 6 3 4 2" xfId="41280" xr:uid="{00000000-0005-0000-0000-0000A0240000}"/>
    <cellStyle name="Separador de milhares 3 10 3 6 3 5" xfId="34894" xr:uid="{00000000-0005-0000-0000-0000A1240000}"/>
    <cellStyle name="Separador de milhares 3 10 3 6 4" xfId="5326" xr:uid="{00000000-0005-0000-0000-0000A2240000}"/>
    <cellStyle name="Separador de milhares 3 10 3 6 4 2" xfId="23958" xr:uid="{00000000-0005-0000-0000-0000A3240000}"/>
    <cellStyle name="Separador de milhares 3 10 3 6 4 2 2" xfId="50142" xr:uid="{00000000-0005-0000-0000-0000A4240000}"/>
    <cellStyle name="Separador de milhares 3 10 3 6 4 3" xfId="31522" xr:uid="{00000000-0005-0000-0000-0000A5240000}"/>
    <cellStyle name="Separador de milhares 3 10 3 6 5" xfId="18044" xr:uid="{00000000-0005-0000-0000-0000A6240000}"/>
    <cellStyle name="Separador de milhares 3 10 3 6 5 2" xfId="44234" xr:uid="{00000000-0005-0000-0000-0000A7240000}"/>
    <cellStyle name="Separador de milhares 3 10 3 6 6" xfId="11713" xr:uid="{00000000-0005-0000-0000-0000A8240000}"/>
    <cellStyle name="Separador de milhares 3 10 3 6 6 2" xfId="37906" xr:uid="{00000000-0005-0000-0000-0000A9240000}"/>
    <cellStyle name="Separador de milhares 3 10 3 6 7" xfId="29824" xr:uid="{00000000-0005-0000-0000-0000AA240000}"/>
    <cellStyle name="Separador de milhares 3 10 3 7" xfId="2671" xr:uid="{00000000-0005-0000-0000-0000AB240000}"/>
    <cellStyle name="Separador de milhares 3 10 3 7 2" xfId="7172" xr:uid="{00000000-0005-0000-0000-0000AC240000}"/>
    <cellStyle name="Separador de milhares 3 10 3 7 2 2" xfId="10316" xr:uid="{00000000-0005-0000-0000-0000AD240000}"/>
    <cellStyle name="Separador de milhares 3 10 3 7 2 2 2" xfId="28530" xr:uid="{00000000-0005-0000-0000-0000AE240000}"/>
    <cellStyle name="Separador de milhares 3 10 3 7 2 2 2 2" xfId="54711" xr:uid="{00000000-0005-0000-0000-0000AF240000}"/>
    <cellStyle name="Separador de milhares 3 10 3 7 2 2 3" xfId="22616" xr:uid="{00000000-0005-0000-0000-0000B0240000}"/>
    <cellStyle name="Separador de milhares 3 10 3 7 2 2 3 2" xfId="48803" xr:uid="{00000000-0005-0000-0000-0000B1240000}"/>
    <cellStyle name="Separador de milhares 3 10 3 7 2 2 4" xfId="16702" xr:uid="{00000000-0005-0000-0000-0000B2240000}"/>
    <cellStyle name="Separador de milhares 3 10 3 7 2 2 4 2" xfId="42895" xr:uid="{00000000-0005-0000-0000-0000B3240000}"/>
    <cellStyle name="Separador de milhares 3 10 3 7 2 2 5" xfId="36509" xr:uid="{00000000-0005-0000-0000-0000B4240000}"/>
    <cellStyle name="Separador de milhares 3 10 3 7 2 3" xfId="25573" xr:uid="{00000000-0005-0000-0000-0000B5240000}"/>
    <cellStyle name="Separador de milhares 3 10 3 7 2 3 2" xfId="51757" xr:uid="{00000000-0005-0000-0000-0000B6240000}"/>
    <cellStyle name="Separador de milhares 3 10 3 7 2 4" xfId="19659" xr:uid="{00000000-0005-0000-0000-0000B7240000}"/>
    <cellStyle name="Separador de milhares 3 10 3 7 2 4 2" xfId="45849" xr:uid="{00000000-0005-0000-0000-0000B8240000}"/>
    <cellStyle name="Separador de milhares 3 10 3 7 2 5" xfId="13561" xr:uid="{00000000-0005-0000-0000-0000B9240000}"/>
    <cellStyle name="Separador de milhares 3 10 3 7 2 5 2" xfId="39754" xr:uid="{00000000-0005-0000-0000-0000BA240000}"/>
    <cellStyle name="Separador de milhares 3 10 3 7 2 6" xfId="33368" xr:uid="{00000000-0005-0000-0000-0000BB240000}"/>
    <cellStyle name="Separador de milhares 3 10 3 7 3" xfId="8848" xr:uid="{00000000-0005-0000-0000-0000BC240000}"/>
    <cellStyle name="Separador de milhares 3 10 3 7 3 2" xfId="27062" xr:uid="{00000000-0005-0000-0000-0000BD240000}"/>
    <cellStyle name="Separador de milhares 3 10 3 7 3 2 2" xfId="53243" xr:uid="{00000000-0005-0000-0000-0000BE240000}"/>
    <cellStyle name="Separador de milhares 3 10 3 7 3 3" xfId="21148" xr:uid="{00000000-0005-0000-0000-0000BF240000}"/>
    <cellStyle name="Separador de milhares 3 10 3 7 3 3 2" xfId="47335" xr:uid="{00000000-0005-0000-0000-0000C0240000}"/>
    <cellStyle name="Separador de milhares 3 10 3 7 3 4" xfId="15234" xr:uid="{00000000-0005-0000-0000-0000C1240000}"/>
    <cellStyle name="Separador de milhares 3 10 3 7 3 4 2" xfId="41427" xr:uid="{00000000-0005-0000-0000-0000C2240000}"/>
    <cellStyle name="Separador de milhares 3 10 3 7 3 5" xfId="35041" xr:uid="{00000000-0005-0000-0000-0000C3240000}"/>
    <cellStyle name="Separador de milhares 3 10 3 7 4" xfId="5473" xr:uid="{00000000-0005-0000-0000-0000C4240000}"/>
    <cellStyle name="Separador de milhares 3 10 3 7 4 2" xfId="24105" xr:uid="{00000000-0005-0000-0000-0000C5240000}"/>
    <cellStyle name="Separador de milhares 3 10 3 7 4 2 2" xfId="50289" xr:uid="{00000000-0005-0000-0000-0000C6240000}"/>
    <cellStyle name="Separador de milhares 3 10 3 7 4 3" xfId="31669" xr:uid="{00000000-0005-0000-0000-0000C7240000}"/>
    <cellStyle name="Separador de milhares 3 10 3 7 5" xfId="18191" xr:uid="{00000000-0005-0000-0000-0000C8240000}"/>
    <cellStyle name="Separador de milhares 3 10 3 7 5 2" xfId="44381" xr:uid="{00000000-0005-0000-0000-0000C9240000}"/>
    <cellStyle name="Separador de milhares 3 10 3 7 6" xfId="11860" xr:uid="{00000000-0005-0000-0000-0000CA240000}"/>
    <cellStyle name="Separador de milhares 3 10 3 7 6 2" xfId="38053" xr:uid="{00000000-0005-0000-0000-0000CB240000}"/>
    <cellStyle name="Separador de milhares 3 10 3 7 7" xfId="29971" xr:uid="{00000000-0005-0000-0000-0000CC240000}"/>
    <cellStyle name="Separador de milhares 3 10 3 8" xfId="3198" xr:uid="{00000000-0005-0000-0000-0000CD240000}"/>
    <cellStyle name="Separador de milhares 3 10 3 8 2" xfId="7319" xr:uid="{00000000-0005-0000-0000-0000CE240000}"/>
    <cellStyle name="Separador de milhares 3 10 3 8 2 2" xfId="10463" xr:uid="{00000000-0005-0000-0000-0000CF240000}"/>
    <cellStyle name="Separador de milhares 3 10 3 8 2 2 2" xfId="28677" xr:uid="{00000000-0005-0000-0000-0000D0240000}"/>
    <cellStyle name="Separador de milhares 3 10 3 8 2 2 2 2" xfId="54858" xr:uid="{00000000-0005-0000-0000-0000D1240000}"/>
    <cellStyle name="Separador de milhares 3 10 3 8 2 2 3" xfId="22763" xr:uid="{00000000-0005-0000-0000-0000D2240000}"/>
    <cellStyle name="Separador de milhares 3 10 3 8 2 2 3 2" xfId="48950" xr:uid="{00000000-0005-0000-0000-0000D3240000}"/>
    <cellStyle name="Separador de milhares 3 10 3 8 2 2 4" xfId="16849" xr:uid="{00000000-0005-0000-0000-0000D4240000}"/>
    <cellStyle name="Separador de milhares 3 10 3 8 2 2 4 2" xfId="43042" xr:uid="{00000000-0005-0000-0000-0000D5240000}"/>
    <cellStyle name="Separador de milhares 3 10 3 8 2 2 5" xfId="36656" xr:uid="{00000000-0005-0000-0000-0000D6240000}"/>
    <cellStyle name="Separador de milhares 3 10 3 8 2 3" xfId="25720" xr:uid="{00000000-0005-0000-0000-0000D7240000}"/>
    <cellStyle name="Separador de milhares 3 10 3 8 2 3 2" xfId="51904" xr:uid="{00000000-0005-0000-0000-0000D8240000}"/>
    <cellStyle name="Separador de milhares 3 10 3 8 2 4" xfId="19806" xr:uid="{00000000-0005-0000-0000-0000D9240000}"/>
    <cellStyle name="Separador de milhares 3 10 3 8 2 4 2" xfId="45996" xr:uid="{00000000-0005-0000-0000-0000DA240000}"/>
    <cellStyle name="Separador de milhares 3 10 3 8 2 5" xfId="13708" xr:uid="{00000000-0005-0000-0000-0000DB240000}"/>
    <cellStyle name="Separador de milhares 3 10 3 8 2 5 2" xfId="39901" xr:uid="{00000000-0005-0000-0000-0000DC240000}"/>
    <cellStyle name="Separador de milhares 3 10 3 8 2 6" xfId="33515" xr:uid="{00000000-0005-0000-0000-0000DD240000}"/>
    <cellStyle name="Separador de milhares 3 10 3 8 3" xfId="8995" xr:uid="{00000000-0005-0000-0000-0000DE240000}"/>
    <cellStyle name="Separador de milhares 3 10 3 8 3 2" xfId="27209" xr:uid="{00000000-0005-0000-0000-0000DF240000}"/>
    <cellStyle name="Separador de milhares 3 10 3 8 3 2 2" xfId="53390" xr:uid="{00000000-0005-0000-0000-0000E0240000}"/>
    <cellStyle name="Separador de milhares 3 10 3 8 3 3" xfId="21295" xr:uid="{00000000-0005-0000-0000-0000E1240000}"/>
    <cellStyle name="Separador de milhares 3 10 3 8 3 3 2" xfId="47482" xr:uid="{00000000-0005-0000-0000-0000E2240000}"/>
    <cellStyle name="Separador de milhares 3 10 3 8 3 4" xfId="15381" xr:uid="{00000000-0005-0000-0000-0000E3240000}"/>
    <cellStyle name="Separador de milhares 3 10 3 8 3 4 2" xfId="41574" xr:uid="{00000000-0005-0000-0000-0000E4240000}"/>
    <cellStyle name="Separador de milhares 3 10 3 8 3 5" xfId="35188" xr:uid="{00000000-0005-0000-0000-0000E5240000}"/>
    <cellStyle name="Separador de milhares 3 10 3 8 4" xfId="5620" xr:uid="{00000000-0005-0000-0000-0000E6240000}"/>
    <cellStyle name="Separador de milhares 3 10 3 8 4 2" xfId="24252" xr:uid="{00000000-0005-0000-0000-0000E7240000}"/>
    <cellStyle name="Separador de milhares 3 10 3 8 4 2 2" xfId="50436" xr:uid="{00000000-0005-0000-0000-0000E8240000}"/>
    <cellStyle name="Separador de milhares 3 10 3 8 4 3" xfId="31816" xr:uid="{00000000-0005-0000-0000-0000E9240000}"/>
    <cellStyle name="Separador de milhares 3 10 3 8 5" xfId="18338" xr:uid="{00000000-0005-0000-0000-0000EA240000}"/>
    <cellStyle name="Separador de milhares 3 10 3 8 5 2" xfId="44528" xr:uid="{00000000-0005-0000-0000-0000EB240000}"/>
    <cellStyle name="Separador de milhares 3 10 3 8 6" xfId="12007" xr:uid="{00000000-0005-0000-0000-0000EC240000}"/>
    <cellStyle name="Separador de milhares 3 10 3 8 6 2" xfId="38200" xr:uid="{00000000-0005-0000-0000-0000ED240000}"/>
    <cellStyle name="Separador de milhares 3 10 3 8 7" xfId="30118" xr:uid="{00000000-0005-0000-0000-0000EE240000}"/>
    <cellStyle name="Separador de milhares 3 10 3 9" xfId="3725" xr:uid="{00000000-0005-0000-0000-0000EF240000}"/>
    <cellStyle name="Separador de milhares 3 10 3 9 2" xfId="7466" xr:uid="{00000000-0005-0000-0000-0000F0240000}"/>
    <cellStyle name="Separador de milhares 3 10 3 9 2 2" xfId="10610" xr:uid="{00000000-0005-0000-0000-0000F1240000}"/>
    <cellStyle name="Separador de milhares 3 10 3 9 2 2 2" xfId="28824" xr:uid="{00000000-0005-0000-0000-0000F2240000}"/>
    <cellStyle name="Separador de milhares 3 10 3 9 2 2 2 2" xfId="55005" xr:uid="{00000000-0005-0000-0000-0000F3240000}"/>
    <cellStyle name="Separador de milhares 3 10 3 9 2 2 3" xfId="22910" xr:uid="{00000000-0005-0000-0000-0000F4240000}"/>
    <cellStyle name="Separador de milhares 3 10 3 9 2 2 3 2" xfId="49097" xr:uid="{00000000-0005-0000-0000-0000F5240000}"/>
    <cellStyle name="Separador de milhares 3 10 3 9 2 2 4" xfId="16996" xr:uid="{00000000-0005-0000-0000-0000F6240000}"/>
    <cellStyle name="Separador de milhares 3 10 3 9 2 2 4 2" xfId="43189" xr:uid="{00000000-0005-0000-0000-0000F7240000}"/>
    <cellStyle name="Separador de milhares 3 10 3 9 2 2 5" xfId="36803" xr:uid="{00000000-0005-0000-0000-0000F8240000}"/>
    <cellStyle name="Separador de milhares 3 10 3 9 2 3" xfId="25867" xr:uid="{00000000-0005-0000-0000-0000F9240000}"/>
    <cellStyle name="Separador de milhares 3 10 3 9 2 3 2" xfId="52051" xr:uid="{00000000-0005-0000-0000-0000FA240000}"/>
    <cellStyle name="Separador de milhares 3 10 3 9 2 4" xfId="19953" xr:uid="{00000000-0005-0000-0000-0000FB240000}"/>
    <cellStyle name="Separador de milhares 3 10 3 9 2 4 2" xfId="46143" xr:uid="{00000000-0005-0000-0000-0000FC240000}"/>
    <cellStyle name="Separador de milhares 3 10 3 9 2 5" xfId="13855" xr:uid="{00000000-0005-0000-0000-0000FD240000}"/>
    <cellStyle name="Separador de milhares 3 10 3 9 2 5 2" xfId="40048" xr:uid="{00000000-0005-0000-0000-0000FE240000}"/>
    <cellStyle name="Separador de milhares 3 10 3 9 2 6" xfId="33662" xr:uid="{00000000-0005-0000-0000-0000FF240000}"/>
    <cellStyle name="Separador de milhares 3 10 3 9 3" xfId="9142" xr:uid="{00000000-0005-0000-0000-000000250000}"/>
    <cellStyle name="Separador de milhares 3 10 3 9 3 2" xfId="27356" xr:uid="{00000000-0005-0000-0000-000001250000}"/>
    <cellStyle name="Separador de milhares 3 10 3 9 3 2 2" xfId="53537" xr:uid="{00000000-0005-0000-0000-000002250000}"/>
    <cellStyle name="Separador de milhares 3 10 3 9 3 3" xfId="21442" xr:uid="{00000000-0005-0000-0000-000003250000}"/>
    <cellStyle name="Separador de milhares 3 10 3 9 3 3 2" xfId="47629" xr:uid="{00000000-0005-0000-0000-000004250000}"/>
    <cellStyle name="Separador de milhares 3 10 3 9 3 4" xfId="15528" xr:uid="{00000000-0005-0000-0000-000005250000}"/>
    <cellStyle name="Separador de milhares 3 10 3 9 3 4 2" xfId="41721" xr:uid="{00000000-0005-0000-0000-000006250000}"/>
    <cellStyle name="Separador de milhares 3 10 3 9 3 5" xfId="35335" xr:uid="{00000000-0005-0000-0000-000007250000}"/>
    <cellStyle name="Separador de milhares 3 10 3 9 4" xfId="5767" xr:uid="{00000000-0005-0000-0000-000008250000}"/>
    <cellStyle name="Separador de milhares 3 10 3 9 4 2" xfId="24399" xr:uid="{00000000-0005-0000-0000-000009250000}"/>
    <cellStyle name="Separador de milhares 3 10 3 9 4 2 2" xfId="50583" xr:uid="{00000000-0005-0000-0000-00000A250000}"/>
    <cellStyle name="Separador de milhares 3 10 3 9 4 3" xfId="31963" xr:uid="{00000000-0005-0000-0000-00000B250000}"/>
    <cellStyle name="Separador de milhares 3 10 3 9 5" xfId="18485" xr:uid="{00000000-0005-0000-0000-00000C250000}"/>
    <cellStyle name="Separador de milhares 3 10 3 9 5 2" xfId="44675" xr:uid="{00000000-0005-0000-0000-00000D250000}"/>
    <cellStyle name="Separador de milhares 3 10 3 9 6" xfId="12154" xr:uid="{00000000-0005-0000-0000-00000E250000}"/>
    <cellStyle name="Separador de milhares 3 10 3 9 6 2" xfId="38347" xr:uid="{00000000-0005-0000-0000-00000F250000}"/>
    <cellStyle name="Separador de milhares 3 10 3 9 7" xfId="30265" xr:uid="{00000000-0005-0000-0000-000010250000}"/>
    <cellStyle name="Separador de milhares 3 10 4" xfId="361" xr:uid="{00000000-0005-0000-0000-000011250000}"/>
    <cellStyle name="Separador de milhares 3 10 4 10" xfId="6513" xr:uid="{00000000-0005-0000-0000-000012250000}"/>
    <cellStyle name="Separador de milhares 3 10 4 10 2" xfId="9661" xr:uid="{00000000-0005-0000-0000-000013250000}"/>
    <cellStyle name="Separador de milhares 3 10 4 10 2 2" xfId="27875" xr:uid="{00000000-0005-0000-0000-000014250000}"/>
    <cellStyle name="Separador de milhares 3 10 4 10 2 2 2" xfId="54056" xr:uid="{00000000-0005-0000-0000-000015250000}"/>
    <cellStyle name="Separador de milhares 3 10 4 10 2 3" xfId="21961" xr:uid="{00000000-0005-0000-0000-000016250000}"/>
    <cellStyle name="Separador de milhares 3 10 4 10 2 3 2" xfId="48148" xr:uid="{00000000-0005-0000-0000-000017250000}"/>
    <cellStyle name="Separador de milhares 3 10 4 10 2 4" xfId="16047" xr:uid="{00000000-0005-0000-0000-000018250000}"/>
    <cellStyle name="Separador de milhares 3 10 4 10 2 4 2" xfId="42240" xr:uid="{00000000-0005-0000-0000-000019250000}"/>
    <cellStyle name="Separador de milhares 3 10 4 10 2 5" xfId="35854" xr:uid="{00000000-0005-0000-0000-00001A250000}"/>
    <cellStyle name="Separador de milhares 3 10 4 10 3" xfId="24918" xr:uid="{00000000-0005-0000-0000-00001B250000}"/>
    <cellStyle name="Separador de milhares 3 10 4 10 3 2" xfId="51102" xr:uid="{00000000-0005-0000-0000-00001C250000}"/>
    <cellStyle name="Separador de milhares 3 10 4 10 4" xfId="19004" xr:uid="{00000000-0005-0000-0000-00001D250000}"/>
    <cellStyle name="Separador de milhares 3 10 4 10 4 2" xfId="45194" xr:uid="{00000000-0005-0000-0000-00001E250000}"/>
    <cellStyle name="Separador de milhares 3 10 4 10 5" xfId="12902" xr:uid="{00000000-0005-0000-0000-00001F250000}"/>
    <cellStyle name="Separador de milhares 3 10 4 10 5 2" xfId="39095" xr:uid="{00000000-0005-0000-0000-000020250000}"/>
    <cellStyle name="Separador de milhares 3 10 4 10 6" xfId="32709" xr:uid="{00000000-0005-0000-0000-000021250000}"/>
    <cellStyle name="Separador de milhares 3 10 4 11" xfId="8190" xr:uid="{00000000-0005-0000-0000-000022250000}"/>
    <cellStyle name="Separador de milhares 3 10 4 11 2" xfId="26404" xr:uid="{00000000-0005-0000-0000-000023250000}"/>
    <cellStyle name="Separador de milhares 3 10 4 11 2 2" xfId="52588" xr:uid="{00000000-0005-0000-0000-000024250000}"/>
    <cellStyle name="Separador de milhares 3 10 4 11 3" xfId="20490" xr:uid="{00000000-0005-0000-0000-000025250000}"/>
    <cellStyle name="Separador de milhares 3 10 4 11 3 2" xfId="46680" xr:uid="{00000000-0005-0000-0000-000026250000}"/>
    <cellStyle name="Separador de milhares 3 10 4 11 4" xfId="14579" xr:uid="{00000000-0005-0000-0000-000027250000}"/>
    <cellStyle name="Separador de milhares 3 10 4 11 4 2" xfId="40772" xr:uid="{00000000-0005-0000-0000-000028250000}"/>
    <cellStyle name="Separador de milhares 3 10 4 11 5" xfId="34386" xr:uid="{00000000-0005-0000-0000-000029250000}"/>
    <cellStyle name="Separador de milhares 3 10 4 12" xfId="4812" xr:uid="{00000000-0005-0000-0000-00002A250000}"/>
    <cellStyle name="Separador de milhares 3 10 4 12 2" xfId="23447" xr:uid="{00000000-0005-0000-0000-00002B250000}"/>
    <cellStyle name="Separador de milhares 3 10 4 12 2 2" xfId="49634" xr:uid="{00000000-0005-0000-0000-00002C250000}"/>
    <cellStyle name="Separador de milhares 3 10 4 12 3" xfId="31010" xr:uid="{00000000-0005-0000-0000-00002D250000}"/>
    <cellStyle name="Separador de milhares 3 10 4 13" xfId="17533" xr:uid="{00000000-0005-0000-0000-00002E250000}"/>
    <cellStyle name="Separador de milhares 3 10 4 13 2" xfId="43726" xr:uid="{00000000-0005-0000-0000-00002F250000}"/>
    <cellStyle name="Separador de milhares 3 10 4 14" xfId="11201" xr:uid="{00000000-0005-0000-0000-000030250000}"/>
    <cellStyle name="Separador de milhares 3 10 4 14 2" xfId="37394" xr:uid="{00000000-0005-0000-0000-000031250000}"/>
    <cellStyle name="Separador de milhares 3 10 4 15" xfId="29312" xr:uid="{00000000-0005-0000-0000-000032250000}"/>
    <cellStyle name="Separador de milhares 3 10 4 2" xfId="1006" xr:uid="{00000000-0005-0000-0000-000033250000}"/>
    <cellStyle name="Separador de milhares 3 10 4 2 2" xfId="6710" xr:uid="{00000000-0005-0000-0000-000034250000}"/>
    <cellStyle name="Separador de milhares 3 10 4 2 2 2" xfId="9857" xr:uid="{00000000-0005-0000-0000-000035250000}"/>
    <cellStyle name="Separador de milhares 3 10 4 2 2 2 2" xfId="28071" xr:uid="{00000000-0005-0000-0000-000036250000}"/>
    <cellStyle name="Separador de milhares 3 10 4 2 2 2 2 2" xfId="54252" xr:uid="{00000000-0005-0000-0000-000037250000}"/>
    <cellStyle name="Separador de milhares 3 10 4 2 2 2 3" xfId="22157" xr:uid="{00000000-0005-0000-0000-000038250000}"/>
    <cellStyle name="Separador de milhares 3 10 4 2 2 2 3 2" xfId="48344" xr:uid="{00000000-0005-0000-0000-000039250000}"/>
    <cellStyle name="Separador de milhares 3 10 4 2 2 2 4" xfId="16243" xr:uid="{00000000-0005-0000-0000-00003A250000}"/>
    <cellStyle name="Separador de milhares 3 10 4 2 2 2 4 2" xfId="42436" xr:uid="{00000000-0005-0000-0000-00003B250000}"/>
    <cellStyle name="Separador de milhares 3 10 4 2 2 2 5" xfId="36050" xr:uid="{00000000-0005-0000-0000-00003C250000}"/>
    <cellStyle name="Separador de milhares 3 10 4 2 2 3" xfId="25114" xr:uid="{00000000-0005-0000-0000-00003D250000}"/>
    <cellStyle name="Separador de milhares 3 10 4 2 2 3 2" xfId="51298" xr:uid="{00000000-0005-0000-0000-00003E250000}"/>
    <cellStyle name="Separador de milhares 3 10 4 2 2 4" xfId="19200" xr:uid="{00000000-0005-0000-0000-00003F250000}"/>
    <cellStyle name="Separador de milhares 3 10 4 2 2 4 2" xfId="45390" xr:uid="{00000000-0005-0000-0000-000040250000}"/>
    <cellStyle name="Separador de milhares 3 10 4 2 2 5" xfId="13099" xr:uid="{00000000-0005-0000-0000-000041250000}"/>
    <cellStyle name="Separador de milhares 3 10 4 2 2 5 2" xfId="39292" xr:uid="{00000000-0005-0000-0000-000042250000}"/>
    <cellStyle name="Separador de milhares 3 10 4 2 2 6" xfId="32906" xr:uid="{00000000-0005-0000-0000-000043250000}"/>
    <cellStyle name="Separador de milhares 3 10 4 2 3" xfId="8389" xr:uid="{00000000-0005-0000-0000-000044250000}"/>
    <cellStyle name="Separador de milhares 3 10 4 2 3 2" xfId="26603" xr:uid="{00000000-0005-0000-0000-000045250000}"/>
    <cellStyle name="Separador de milhares 3 10 4 2 3 2 2" xfId="52784" xr:uid="{00000000-0005-0000-0000-000046250000}"/>
    <cellStyle name="Separador de milhares 3 10 4 2 3 3" xfId="20689" xr:uid="{00000000-0005-0000-0000-000047250000}"/>
    <cellStyle name="Separador de milhares 3 10 4 2 3 3 2" xfId="46876" xr:uid="{00000000-0005-0000-0000-000048250000}"/>
    <cellStyle name="Separador de milhares 3 10 4 2 3 4" xfId="14775" xr:uid="{00000000-0005-0000-0000-000049250000}"/>
    <cellStyle name="Separador de milhares 3 10 4 2 3 4 2" xfId="40968" xr:uid="{00000000-0005-0000-0000-00004A250000}"/>
    <cellStyle name="Separador de milhares 3 10 4 2 3 5" xfId="34582" xr:uid="{00000000-0005-0000-0000-00004B250000}"/>
    <cellStyle name="Separador de milhares 3 10 4 2 4" xfId="5011" xr:uid="{00000000-0005-0000-0000-00004C250000}"/>
    <cellStyle name="Separador de milhares 3 10 4 2 4 2" xfId="23646" xr:uid="{00000000-0005-0000-0000-00004D250000}"/>
    <cellStyle name="Separador de milhares 3 10 4 2 4 2 2" xfId="49830" xr:uid="{00000000-0005-0000-0000-00004E250000}"/>
    <cellStyle name="Separador de milhares 3 10 4 2 4 3" xfId="31207" xr:uid="{00000000-0005-0000-0000-00004F250000}"/>
    <cellStyle name="Separador de milhares 3 10 4 2 5" xfId="17732" xr:uid="{00000000-0005-0000-0000-000050250000}"/>
    <cellStyle name="Separador de milhares 3 10 4 2 5 2" xfId="43922" xr:uid="{00000000-0005-0000-0000-000051250000}"/>
    <cellStyle name="Separador de milhares 3 10 4 2 6" xfId="11398" xr:uid="{00000000-0005-0000-0000-000052250000}"/>
    <cellStyle name="Separador de milhares 3 10 4 2 6 2" xfId="37591" xr:uid="{00000000-0005-0000-0000-000053250000}"/>
    <cellStyle name="Separador de milhares 3 10 4 2 7" xfId="29509" xr:uid="{00000000-0005-0000-0000-000054250000}"/>
    <cellStyle name="Separador de milhares 3 10 4 3" xfId="1357" xr:uid="{00000000-0005-0000-0000-000055250000}"/>
    <cellStyle name="Separador de milhares 3 10 4 3 2" xfId="6808" xr:uid="{00000000-0005-0000-0000-000056250000}"/>
    <cellStyle name="Separador de milhares 3 10 4 3 2 2" xfId="9955" xr:uid="{00000000-0005-0000-0000-000057250000}"/>
    <cellStyle name="Separador de milhares 3 10 4 3 2 2 2" xfId="28169" xr:uid="{00000000-0005-0000-0000-000058250000}"/>
    <cellStyle name="Separador de milhares 3 10 4 3 2 2 2 2" xfId="54350" xr:uid="{00000000-0005-0000-0000-000059250000}"/>
    <cellStyle name="Separador de milhares 3 10 4 3 2 2 3" xfId="22255" xr:uid="{00000000-0005-0000-0000-00005A250000}"/>
    <cellStyle name="Separador de milhares 3 10 4 3 2 2 3 2" xfId="48442" xr:uid="{00000000-0005-0000-0000-00005B250000}"/>
    <cellStyle name="Separador de milhares 3 10 4 3 2 2 4" xfId="16341" xr:uid="{00000000-0005-0000-0000-00005C250000}"/>
    <cellStyle name="Separador de milhares 3 10 4 3 2 2 4 2" xfId="42534" xr:uid="{00000000-0005-0000-0000-00005D250000}"/>
    <cellStyle name="Separador de milhares 3 10 4 3 2 2 5" xfId="36148" xr:uid="{00000000-0005-0000-0000-00005E250000}"/>
    <cellStyle name="Separador de milhares 3 10 4 3 2 3" xfId="25212" xr:uid="{00000000-0005-0000-0000-00005F250000}"/>
    <cellStyle name="Separador de milhares 3 10 4 3 2 3 2" xfId="51396" xr:uid="{00000000-0005-0000-0000-000060250000}"/>
    <cellStyle name="Separador de milhares 3 10 4 3 2 4" xfId="19298" xr:uid="{00000000-0005-0000-0000-000061250000}"/>
    <cellStyle name="Separador de milhares 3 10 4 3 2 4 2" xfId="45488" xr:uid="{00000000-0005-0000-0000-000062250000}"/>
    <cellStyle name="Separador de milhares 3 10 4 3 2 5" xfId="13197" xr:uid="{00000000-0005-0000-0000-000063250000}"/>
    <cellStyle name="Separador de milhares 3 10 4 3 2 5 2" xfId="39390" xr:uid="{00000000-0005-0000-0000-000064250000}"/>
    <cellStyle name="Separador de milhares 3 10 4 3 2 6" xfId="33004" xr:uid="{00000000-0005-0000-0000-000065250000}"/>
    <cellStyle name="Separador de milhares 3 10 4 3 3" xfId="8487" xr:uid="{00000000-0005-0000-0000-000066250000}"/>
    <cellStyle name="Separador de milhares 3 10 4 3 3 2" xfId="26701" xr:uid="{00000000-0005-0000-0000-000067250000}"/>
    <cellStyle name="Separador de milhares 3 10 4 3 3 2 2" xfId="52882" xr:uid="{00000000-0005-0000-0000-000068250000}"/>
    <cellStyle name="Separador de milhares 3 10 4 3 3 3" xfId="20787" xr:uid="{00000000-0005-0000-0000-000069250000}"/>
    <cellStyle name="Separador de milhares 3 10 4 3 3 3 2" xfId="46974" xr:uid="{00000000-0005-0000-0000-00006A250000}"/>
    <cellStyle name="Separador de milhares 3 10 4 3 3 4" xfId="14873" xr:uid="{00000000-0005-0000-0000-00006B250000}"/>
    <cellStyle name="Separador de milhares 3 10 4 3 3 4 2" xfId="41066" xr:uid="{00000000-0005-0000-0000-00006C250000}"/>
    <cellStyle name="Separador de milhares 3 10 4 3 3 5" xfId="34680" xr:uid="{00000000-0005-0000-0000-00006D250000}"/>
    <cellStyle name="Separador de milhares 3 10 4 3 4" xfId="5109" xr:uid="{00000000-0005-0000-0000-00006E250000}"/>
    <cellStyle name="Separador de milhares 3 10 4 3 4 2" xfId="23744" xr:uid="{00000000-0005-0000-0000-00006F250000}"/>
    <cellStyle name="Separador de milhares 3 10 4 3 4 2 2" xfId="49928" xr:uid="{00000000-0005-0000-0000-000070250000}"/>
    <cellStyle name="Separador de milhares 3 10 4 3 4 3" xfId="31305" xr:uid="{00000000-0005-0000-0000-000071250000}"/>
    <cellStyle name="Separador de milhares 3 10 4 3 5" xfId="17830" xr:uid="{00000000-0005-0000-0000-000072250000}"/>
    <cellStyle name="Separador de milhares 3 10 4 3 5 2" xfId="44020" xr:uid="{00000000-0005-0000-0000-000073250000}"/>
    <cellStyle name="Separador de milhares 3 10 4 3 6" xfId="11496" xr:uid="{00000000-0005-0000-0000-000074250000}"/>
    <cellStyle name="Separador de milhares 3 10 4 3 6 2" xfId="37689" xr:uid="{00000000-0005-0000-0000-000075250000}"/>
    <cellStyle name="Separador de milhares 3 10 4 3 7" xfId="29607" xr:uid="{00000000-0005-0000-0000-000076250000}"/>
    <cellStyle name="Separador de milhares 3 10 4 4" xfId="1792" xr:uid="{00000000-0005-0000-0000-000077250000}"/>
    <cellStyle name="Separador de milhares 3 10 4 4 2" xfId="6927" xr:uid="{00000000-0005-0000-0000-000078250000}"/>
    <cellStyle name="Separador de milhares 3 10 4 4 2 2" xfId="10074" xr:uid="{00000000-0005-0000-0000-000079250000}"/>
    <cellStyle name="Separador de milhares 3 10 4 4 2 2 2" xfId="28288" xr:uid="{00000000-0005-0000-0000-00007A250000}"/>
    <cellStyle name="Separador de milhares 3 10 4 4 2 2 2 2" xfId="54469" xr:uid="{00000000-0005-0000-0000-00007B250000}"/>
    <cellStyle name="Separador de milhares 3 10 4 4 2 2 3" xfId="22374" xr:uid="{00000000-0005-0000-0000-00007C250000}"/>
    <cellStyle name="Separador de milhares 3 10 4 4 2 2 3 2" xfId="48561" xr:uid="{00000000-0005-0000-0000-00007D250000}"/>
    <cellStyle name="Separador de milhares 3 10 4 4 2 2 4" xfId="16460" xr:uid="{00000000-0005-0000-0000-00007E250000}"/>
    <cellStyle name="Separador de milhares 3 10 4 4 2 2 4 2" xfId="42653" xr:uid="{00000000-0005-0000-0000-00007F250000}"/>
    <cellStyle name="Separador de milhares 3 10 4 4 2 2 5" xfId="36267" xr:uid="{00000000-0005-0000-0000-000080250000}"/>
    <cellStyle name="Separador de milhares 3 10 4 4 2 3" xfId="25331" xr:uid="{00000000-0005-0000-0000-000081250000}"/>
    <cellStyle name="Separador de milhares 3 10 4 4 2 3 2" xfId="51515" xr:uid="{00000000-0005-0000-0000-000082250000}"/>
    <cellStyle name="Separador de milhares 3 10 4 4 2 4" xfId="19417" xr:uid="{00000000-0005-0000-0000-000083250000}"/>
    <cellStyle name="Separador de milhares 3 10 4 4 2 4 2" xfId="45607" xr:uid="{00000000-0005-0000-0000-000084250000}"/>
    <cellStyle name="Separador de milhares 3 10 4 4 2 5" xfId="13316" xr:uid="{00000000-0005-0000-0000-000085250000}"/>
    <cellStyle name="Separador de milhares 3 10 4 4 2 5 2" xfId="39509" xr:uid="{00000000-0005-0000-0000-000086250000}"/>
    <cellStyle name="Separador de milhares 3 10 4 4 2 6" xfId="33123" xr:uid="{00000000-0005-0000-0000-000087250000}"/>
    <cellStyle name="Separador de milhares 3 10 4 4 3" xfId="8606" xr:uid="{00000000-0005-0000-0000-000088250000}"/>
    <cellStyle name="Separador de milhares 3 10 4 4 3 2" xfId="26820" xr:uid="{00000000-0005-0000-0000-000089250000}"/>
    <cellStyle name="Separador de milhares 3 10 4 4 3 2 2" xfId="53001" xr:uid="{00000000-0005-0000-0000-00008A250000}"/>
    <cellStyle name="Separador de milhares 3 10 4 4 3 3" xfId="20906" xr:uid="{00000000-0005-0000-0000-00008B250000}"/>
    <cellStyle name="Separador de milhares 3 10 4 4 3 3 2" xfId="47093" xr:uid="{00000000-0005-0000-0000-00008C250000}"/>
    <cellStyle name="Separador de milhares 3 10 4 4 3 4" xfId="14992" xr:uid="{00000000-0005-0000-0000-00008D250000}"/>
    <cellStyle name="Separador de milhares 3 10 4 4 3 4 2" xfId="41185" xr:uid="{00000000-0005-0000-0000-00008E250000}"/>
    <cellStyle name="Separador de milhares 3 10 4 4 3 5" xfId="34799" xr:uid="{00000000-0005-0000-0000-00008F250000}"/>
    <cellStyle name="Separador de milhares 3 10 4 4 4" xfId="5228" xr:uid="{00000000-0005-0000-0000-000090250000}"/>
    <cellStyle name="Separador de milhares 3 10 4 4 4 2" xfId="23863" xr:uid="{00000000-0005-0000-0000-000091250000}"/>
    <cellStyle name="Separador de milhares 3 10 4 4 4 2 2" xfId="50047" xr:uid="{00000000-0005-0000-0000-000092250000}"/>
    <cellStyle name="Separador de milhares 3 10 4 4 4 3" xfId="31424" xr:uid="{00000000-0005-0000-0000-000093250000}"/>
    <cellStyle name="Separador de milhares 3 10 4 4 5" xfId="17949" xr:uid="{00000000-0005-0000-0000-000094250000}"/>
    <cellStyle name="Separador de milhares 3 10 4 4 5 2" xfId="44139" xr:uid="{00000000-0005-0000-0000-000095250000}"/>
    <cellStyle name="Separador de milhares 3 10 4 4 6" xfId="11615" xr:uid="{00000000-0005-0000-0000-000096250000}"/>
    <cellStyle name="Separador de milhares 3 10 4 4 6 2" xfId="37808" xr:uid="{00000000-0005-0000-0000-000097250000}"/>
    <cellStyle name="Separador de milhares 3 10 4 4 7" xfId="29726" xr:uid="{00000000-0005-0000-0000-000098250000}"/>
    <cellStyle name="Separador de milhares 3 10 4 5" xfId="2322" xr:uid="{00000000-0005-0000-0000-000099250000}"/>
    <cellStyle name="Separador de milhares 3 10 4 5 2" xfId="7077" xr:uid="{00000000-0005-0000-0000-00009A250000}"/>
    <cellStyle name="Separador de milhares 3 10 4 5 2 2" xfId="10221" xr:uid="{00000000-0005-0000-0000-00009B250000}"/>
    <cellStyle name="Separador de milhares 3 10 4 5 2 2 2" xfId="28435" xr:uid="{00000000-0005-0000-0000-00009C250000}"/>
    <cellStyle name="Separador de milhares 3 10 4 5 2 2 2 2" xfId="54616" xr:uid="{00000000-0005-0000-0000-00009D250000}"/>
    <cellStyle name="Separador de milhares 3 10 4 5 2 2 3" xfId="22521" xr:uid="{00000000-0005-0000-0000-00009E250000}"/>
    <cellStyle name="Separador de milhares 3 10 4 5 2 2 3 2" xfId="48708" xr:uid="{00000000-0005-0000-0000-00009F250000}"/>
    <cellStyle name="Separador de milhares 3 10 4 5 2 2 4" xfId="16607" xr:uid="{00000000-0005-0000-0000-0000A0250000}"/>
    <cellStyle name="Separador de milhares 3 10 4 5 2 2 4 2" xfId="42800" xr:uid="{00000000-0005-0000-0000-0000A1250000}"/>
    <cellStyle name="Separador de milhares 3 10 4 5 2 2 5" xfId="36414" xr:uid="{00000000-0005-0000-0000-0000A2250000}"/>
    <cellStyle name="Separador de milhares 3 10 4 5 2 3" xfId="25478" xr:uid="{00000000-0005-0000-0000-0000A3250000}"/>
    <cellStyle name="Separador de milhares 3 10 4 5 2 3 2" xfId="51662" xr:uid="{00000000-0005-0000-0000-0000A4250000}"/>
    <cellStyle name="Separador de milhares 3 10 4 5 2 4" xfId="19564" xr:uid="{00000000-0005-0000-0000-0000A5250000}"/>
    <cellStyle name="Separador de milhares 3 10 4 5 2 4 2" xfId="45754" xr:uid="{00000000-0005-0000-0000-0000A6250000}"/>
    <cellStyle name="Separador de milhares 3 10 4 5 2 5" xfId="13466" xr:uid="{00000000-0005-0000-0000-0000A7250000}"/>
    <cellStyle name="Separador de milhares 3 10 4 5 2 5 2" xfId="39659" xr:uid="{00000000-0005-0000-0000-0000A8250000}"/>
    <cellStyle name="Separador de milhares 3 10 4 5 2 6" xfId="33273" xr:uid="{00000000-0005-0000-0000-0000A9250000}"/>
    <cellStyle name="Separador de milhares 3 10 4 5 3" xfId="8753" xr:uid="{00000000-0005-0000-0000-0000AA250000}"/>
    <cellStyle name="Separador de milhares 3 10 4 5 3 2" xfId="26967" xr:uid="{00000000-0005-0000-0000-0000AB250000}"/>
    <cellStyle name="Separador de milhares 3 10 4 5 3 2 2" xfId="53148" xr:uid="{00000000-0005-0000-0000-0000AC250000}"/>
    <cellStyle name="Separador de milhares 3 10 4 5 3 3" xfId="21053" xr:uid="{00000000-0005-0000-0000-0000AD250000}"/>
    <cellStyle name="Separador de milhares 3 10 4 5 3 3 2" xfId="47240" xr:uid="{00000000-0005-0000-0000-0000AE250000}"/>
    <cellStyle name="Separador de milhares 3 10 4 5 3 4" xfId="15139" xr:uid="{00000000-0005-0000-0000-0000AF250000}"/>
    <cellStyle name="Separador de milhares 3 10 4 5 3 4 2" xfId="41332" xr:uid="{00000000-0005-0000-0000-0000B0250000}"/>
    <cellStyle name="Separador de milhares 3 10 4 5 3 5" xfId="34946" xr:uid="{00000000-0005-0000-0000-0000B1250000}"/>
    <cellStyle name="Separador de milhares 3 10 4 5 4" xfId="5378" xr:uid="{00000000-0005-0000-0000-0000B2250000}"/>
    <cellStyle name="Separador de milhares 3 10 4 5 4 2" xfId="24010" xr:uid="{00000000-0005-0000-0000-0000B3250000}"/>
    <cellStyle name="Separador de milhares 3 10 4 5 4 2 2" xfId="50194" xr:uid="{00000000-0005-0000-0000-0000B4250000}"/>
    <cellStyle name="Separador de milhares 3 10 4 5 4 3" xfId="31574" xr:uid="{00000000-0005-0000-0000-0000B5250000}"/>
    <cellStyle name="Separador de milhares 3 10 4 5 5" xfId="18096" xr:uid="{00000000-0005-0000-0000-0000B6250000}"/>
    <cellStyle name="Separador de milhares 3 10 4 5 5 2" xfId="44286" xr:uid="{00000000-0005-0000-0000-0000B7250000}"/>
    <cellStyle name="Separador de milhares 3 10 4 5 6" xfId="11765" xr:uid="{00000000-0005-0000-0000-0000B8250000}"/>
    <cellStyle name="Separador de milhares 3 10 4 5 6 2" xfId="37958" xr:uid="{00000000-0005-0000-0000-0000B9250000}"/>
    <cellStyle name="Separador de milhares 3 10 4 5 7" xfId="29876" xr:uid="{00000000-0005-0000-0000-0000BA250000}"/>
    <cellStyle name="Separador de milhares 3 10 4 6" xfId="2849" xr:uid="{00000000-0005-0000-0000-0000BB250000}"/>
    <cellStyle name="Separador de milhares 3 10 4 6 2" xfId="7224" xr:uid="{00000000-0005-0000-0000-0000BC250000}"/>
    <cellStyle name="Separador de milhares 3 10 4 6 2 2" xfId="10368" xr:uid="{00000000-0005-0000-0000-0000BD250000}"/>
    <cellStyle name="Separador de milhares 3 10 4 6 2 2 2" xfId="28582" xr:uid="{00000000-0005-0000-0000-0000BE250000}"/>
    <cellStyle name="Separador de milhares 3 10 4 6 2 2 2 2" xfId="54763" xr:uid="{00000000-0005-0000-0000-0000BF250000}"/>
    <cellStyle name="Separador de milhares 3 10 4 6 2 2 3" xfId="22668" xr:uid="{00000000-0005-0000-0000-0000C0250000}"/>
    <cellStyle name="Separador de milhares 3 10 4 6 2 2 3 2" xfId="48855" xr:uid="{00000000-0005-0000-0000-0000C1250000}"/>
    <cellStyle name="Separador de milhares 3 10 4 6 2 2 4" xfId="16754" xr:uid="{00000000-0005-0000-0000-0000C2250000}"/>
    <cellStyle name="Separador de milhares 3 10 4 6 2 2 4 2" xfId="42947" xr:uid="{00000000-0005-0000-0000-0000C3250000}"/>
    <cellStyle name="Separador de milhares 3 10 4 6 2 2 5" xfId="36561" xr:uid="{00000000-0005-0000-0000-0000C4250000}"/>
    <cellStyle name="Separador de milhares 3 10 4 6 2 3" xfId="25625" xr:uid="{00000000-0005-0000-0000-0000C5250000}"/>
    <cellStyle name="Separador de milhares 3 10 4 6 2 3 2" xfId="51809" xr:uid="{00000000-0005-0000-0000-0000C6250000}"/>
    <cellStyle name="Separador de milhares 3 10 4 6 2 4" xfId="19711" xr:uid="{00000000-0005-0000-0000-0000C7250000}"/>
    <cellStyle name="Separador de milhares 3 10 4 6 2 4 2" xfId="45901" xr:uid="{00000000-0005-0000-0000-0000C8250000}"/>
    <cellStyle name="Separador de milhares 3 10 4 6 2 5" xfId="13613" xr:uid="{00000000-0005-0000-0000-0000C9250000}"/>
    <cellStyle name="Separador de milhares 3 10 4 6 2 5 2" xfId="39806" xr:uid="{00000000-0005-0000-0000-0000CA250000}"/>
    <cellStyle name="Separador de milhares 3 10 4 6 2 6" xfId="33420" xr:uid="{00000000-0005-0000-0000-0000CB250000}"/>
    <cellStyle name="Separador de milhares 3 10 4 6 3" xfId="8900" xr:uid="{00000000-0005-0000-0000-0000CC250000}"/>
    <cellStyle name="Separador de milhares 3 10 4 6 3 2" xfId="27114" xr:uid="{00000000-0005-0000-0000-0000CD250000}"/>
    <cellStyle name="Separador de milhares 3 10 4 6 3 2 2" xfId="53295" xr:uid="{00000000-0005-0000-0000-0000CE250000}"/>
    <cellStyle name="Separador de milhares 3 10 4 6 3 3" xfId="21200" xr:uid="{00000000-0005-0000-0000-0000CF250000}"/>
    <cellStyle name="Separador de milhares 3 10 4 6 3 3 2" xfId="47387" xr:uid="{00000000-0005-0000-0000-0000D0250000}"/>
    <cellStyle name="Separador de milhares 3 10 4 6 3 4" xfId="15286" xr:uid="{00000000-0005-0000-0000-0000D1250000}"/>
    <cellStyle name="Separador de milhares 3 10 4 6 3 4 2" xfId="41479" xr:uid="{00000000-0005-0000-0000-0000D2250000}"/>
    <cellStyle name="Separador de milhares 3 10 4 6 3 5" xfId="35093" xr:uid="{00000000-0005-0000-0000-0000D3250000}"/>
    <cellStyle name="Separador de milhares 3 10 4 6 4" xfId="5525" xr:uid="{00000000-0005-0000-0000-0000D4250000}"/>
    <cellStyle name="Separador de milhares 3 10 4 6 4 2" xfId="24157" xr:uid="{00000000-0005-0000-0000-0000D5250000}"/>
    <cellStyle name="Separador de milhares 3 10 4 6 4 2 2" xfId="50341" xr:uid="{00000000-0005-0000-0000-0000D6250000}"/>
    <cellStyle name="Separador de milhares 3 10 4 6 4 3" xfId="31721" xr:uid="{00000000-0005-0000-0000-0000D7250000}"/>
    <cellStyle name="Separador de milhares 3 10 4 6 5" xfId="18243" xr:uid="{00000000-0005-0000-0000-0000D8250000}"/>
    <cellStyle name="Separador de milhares 3 10 4 6 5 2" xfId="44433" xr:uid="{00000000-0005-0000-0000-0000D9250000}"/>
    <cellStyle name="Separador de milhares 3 10 4 6 6" xfId="11912" xr:uid="{00000000-0005-0000-0000-0000DA250000}"/>
    <cellStyle name="Separador de milhares 3 10 4 6 6 2" xfId="38105" xr:uid="{00000000-0005-0000-0000-0000DB250000}"/>
    <cellStyle name="Separador de milhares 3 10 4 6 7" xfId="30023" xr:uid="{00000000-0005-0000-0000-0000DC250000}"/>
    <cellStyle name="Separador de milhares 3 10 4 7" xfId="3376" xr:uid="{00000000-0005-0000-0000-0000DD250000}"/>
    <cellStyle name="Separador de milhares 3 10 4 7 2" xfId="7371" xr:uid="{00000000-0005-0000-0000-0000DE250000}"/>
    <cellStyle name="Separador de milhares 3 10 4 7 2 2" xfId="10515" xr:uid="{00000000-0005-0000-0000-0000DF250000}"/>
    <cellStyle name="Separador de milhares 3 10 4 7 2 2 2" xfId="28729" xr:uid="{00000000-0005-0000-0000-0000E0250000}"/>
    <cellStyle name="Separador de milhares 3 10 4 7 2 2 2 2" xfId="54910" xr:uid="{00000000-0005-0000-0000-0000E1250000}"/>
    <cellStyle name="Separador de milhares 3 10 4 7 2 2 3" xfId="22815" xr:uid="{00000000-0005-0000-0000-0000E2250000}"/>
    <cellStyle name="Separador de milhares 3 10 4 7 2 2 3 2" xfId="49002" xr:uid="{00000000-0005-0000-0000-0000E3250000}"/>
    <cellStyle name="Separador de milhares 3 10 4 7 2 2 4" xfId="16901" xr:uid="{00000000-0005-0000-0000-0000E4250000}"/>
    <cellStyle name="Separador de milhares 3 10 4 7 2 2 4 2" xfId="43094" xr:uid="{00000000-0005-0000-0000-0000E5250000}"/>
    <cellStyle name="Separador de milhares 3 10 4 7 2 2 5" xfId="36708" xr:uid="{00000000-0005-0000-0000-0000E6250000}"/>
    <cellStyle name="Separador de milhares 3 10 4 7 2 3" xfId="25772" xr:uid="{00000000-0005-0000-0000-0000E7250000}"/>
    <cellStyle name="Separador de milhares 3 10 4 7 2 3 2" xfId="51956" xr:uid="{00000000-0005-0000-0000-0000E8250000}"/>
    <cellStyle name="Separador de milhares 3 10 4 7 2 4" xfId="19858" xr:uid="{00000000-0005-0000-0000-0000E9250000}"/>
    <cellStyle name="Separador de milhares 3 10 4 7 2 4 2" xfId="46048" xr:uid="{00000000-0005-0000-0000-0000EA250000}"/>
    <cellStyle name="Separador de milhares 3 10 4 7 2 5" xfId="13760" xr:uid="{00000000-0005-0000-0000-0000EB250000}"/>
    <cellStyle name="Separador de milhares 3 10 4 7 2 5 2" xfId="39953" xr:uid="{00000000-0005-0000-0000-0000EC250000}"/>
    <cellStyle name="Separador de milhares 3 10 4 7 2 6" xfId="33567" xr:uid="{00000000-0005-0000-0000-0000ED250000}"/>
    <cellStyle name="Separador de milhares 3 10 4 7 3" xfId="9047" xr:uid="{00000000-0005-0000-0000-0000EE250000}"/>
    <cellStyle name="Separador de milhares 3 10 4 7 3 2" xfId="27261" xr:uid="{00000000-0005-0000-0000-0000EF250000}"/>
    <cellStyle name="Separador de milhares 3 10 4 7 3 2 2" xfId="53442" xr:uid="{00000000-0005-0000-0000-0000F0250000}"/>
    <cellStyle name="Separador de milhares 3 10 4 7 3 3" xfId="21347" xr:uid="{00000000-0005-0000-0000-0000F1250000}"/>
    <cellStyle name="Separador de milhares 3 10 4 7 3 3 2" xfId="47534" xr:uid="{00000000-0005-0000-0000-0000F2250000}"/>
    <cellStyle name="Separador de milhares 3 10 4 7 3 4" xfId="15433" xr:uid="{00000000-0005-0000-0000-0000F3250000}"/>
    <cellStyle name="Separador de milhares 3 10 4 7 3 4 2" xfId="41626" xr:uid="{00000000-0005-0000-0000-0000F4250000}"/>
    <cellStyle name="Separador de milhares 3 10 4 7 3 5" xfId="35240" xr:uid="{00000000-0005-0000-0000-0000F5250000}"/>
    <cellStyle name="Separador de milhares 3 10 4 7 4" xfId="5672" xr:uid="{00000000-0005-0000-0000-0000F6250000}"/>
    <cellStyle name="Separador de milhares 3 10 4 7 4 2" xfId="24304" xr:uid="{00000000-0005-0000-0000-0000F7250000}"/>
    <cellStyle name="Separador de milhares 3 10 4 7 4 2 2" xfId="50488" xr:uid="{00000000-0005-0000-0000-0000F8250000}"/>
    <cellStyle name="Separador de milhares 3 10 4 7 4 3" xfId="31868" xr:uid="{00000000-0005-0000-0000-0000F9250000}"/>
    <cellStyle name="Separador de milhares 3 10 4 7 5" xfId="18390" xr:uid="{00000000-0005-0000-0000-0000FA250000}"/>
    <cellStyle name="Separador de milhares 3 10 4 7 5 2" xfId="44580" xr:uid="{00000000-0005-0000-0000-0000FB250000}"/>
    <cellStyle name="Separador de milhares 3 10 4 7 6" xfId="12059" xr:uid="{00000000-0005-0000-0000-0000FC250000}"/>
    <cellStyle name="Separador de milhares 3 10 4 7 6 2" xfId="38252" xr:uid="{00000000-0005-0000-0000-0000FD250000}"/>
    <cellStyle name="Separador de milhares 3 10 4 7 7" xfId="30170" xr:uid="{00000000-0005-0000-0000-0000FE250000}"/>
    <cellStyle name="Separador de milhares 3 10 4 8" xfId="3903" xr:uid="{00000000-0005-0000-0000-0000FF250000}"/>
    <cellStyle name="Separador de milhares 3 10 4 8 2" xfId="7518" xr:uid="{00000000-0005-0000-0000-000000260000}"/>
    <cellStyle name="Separador de milhares 3 10 4 8 2 2" xfId="10662" xr:uid="{00000000-0005-0000-0000-000001260000}"/>
    <cellStyle name="Separador de milhares 3 10 4 8 2 2 2" xfId="28876" xr:uid="{00000000-0005-0000-0000-000002260000}"/>
    <cellStyle name="Separador de milhares 3 10 4 8 2 2 2 2" xfId="55057" xr:uid="{00000000-0005-0000-0000-000003260000}"/>
    <cellStyle name="Separador de milhares 3 10 4 8 2 2 3" xfId="22962" xr:uid="{00000000-0005-0000-0000-000004260000}"/>
    <cellStyle name="Separador de milhares 3 10 4 8 2 2 3 2" xfId="49149" xr:uid="{00000000-0005-0000-0000-000005260000}"/>
    <cellStyle name="Separador de milhares 3 10 4 8 2 2 4" xfId="17048" xr:uid="{00000000-0005-0000-0000-000006260000}"/>
    <cellStyle name="Separador de milhares 3 10 4 8 2 2 4 2" xfId="43241" xr:uid="{00000000-0005-0000-0000-000007260000}"/>
    <cellStyle name="Separador de milhares 3 10 4 8 2 2 5" xfId="36855" xr:uid="{00000000-0005-0000-0000-000008260000}"/>
    <cellStyle name="Separador de milhares 3 10 4 8 2 3" xfId="25919" xr:uid="{00000000-0005-0000-0000-000009260000}"/>
    <cellStyle name="Separador de milhares 3 10 4 8 2 3 2" xfId="52103" xr:uid="{00000000-0005-0000-0000-00000A260000}"/>
    <cellStyle name="Separador de milhares 3 10 4 8 2 4" xfId="20005" xr:uid="{00000000-0005-0000-0000-00000B260000}"/>
    <cellStyle name="Separador de milhares 3 10 4 8 2 4 2" xfId="46195" xr:uid="{00000000-0005-0000-0000-00000C260000}"/>
    <cellStyle name="Separador de milhares 3 10 4 8 2 5" xfId="13907" xr:uid="{00000000-0005-0000-0000-00000D260000}"/>
    <cellStyle name="Separador de milhares 3 10 4 8 2 5 2" xfId="40100" xr:uid="{00000000-0005-0000-0000-00000E260000}"/>
    <cellStyle name="Separador de milhares 3 10 4 8 2 6" xfId="33714" xr:uid="{00000000-0005-0000-0000-00000F260000}"/>
    <cellStyle name="Separador de milhares 3 10 4 8 3" xfId="9194" xr:uid="{00000000-0005-0000-0000-000010260000}"/>
    <cellStyle name="Separador de milhares 3 10 4 8 3 2" xfId="27408" xr:uid="{00000000-0005-0000-0000-000011260000}"/>
    <cellStyle name="Separador de milhares 3 10 4 8 3 2 2" xfId="53589" xr:uid="{00000000-0005-0000-0000-000012260000}"/>
    <cellStyle name="Separador de milhares 3 10 4 8 3 3" xfId="21494" xr:uid="{00000000-0005-0000-0000-000013260000}"/>
    <cellStyle name="Separador de milhares 3 10 4 8 3 3 2" xfId="47681" xr:uid="{00000000-0005-0000-0000-000014260000}"/>
    <cellStyle name="Separador de milhares 3 10 4 8 3 4" xfId="15580" xr:uid="{00000000-0005-0000-0000-000015260000}"/>
    <cellStyle name="Separador de milhares 3 10 4 8 3 4 2" xfId="41773" xr:uid="{00000000-0005-0000-0000-000016260000}"/>
    <cellStyle name="Separador de milhares 3 10 4 8 3 5" xfId="35387" xr:uid="{00000000-0005-0000-0000-000017260000}"/>
    <cellStyle name="Separador de milhares 3 10 4 8 4" xfId="5819" xr:uid="{00000000-0005-0000-0000-000018260000}"/>
    <cellStyle name="Separador de milhares 3 10 4 8 4 2" xfId="24451" xr:uid="{00000000-0005-0000-0000-000019260000}"/>
    <cellStyle name="Separador de milhares 3 10 4 8 4 2 2" xfId="50635" xr:uid="{00000000-0005-0000-0000-00001A260000}"/>
    <cellStyle name="Separador de milhares 3 10 4 8 4 3" xfId="32015" xr:uid="{00000000-0005-0000-0000-00001B260000}"/>
    <cellStyle name="Separador de milhares 3 10 4 8 5" xfId="18537" xr:uid="{00000000-0005-0000-0000-00001C260000}"/>
    <cellStyle name="Separador de milhares 3 10 4 8 5 2" xfId="44727" xr:uid="{00000000-0005-0000-0000-00001D260000}"/>
    <cellStyle name="Separador de milhares 3 10 4 8 6" xfId="12206" xr:uid="{00000000-0005-0000-0000-00001E260000}"/>
    <cellStyle name="Separador de milhares 3 10 4 8 6 2" xfId="38399" xr:uid="{00000000-0005-0000-0000-00001F260000}"/>
    <cellStyle name="Separador de milhares 3 10 4 8 7" xfId="30317" xr:uid="{00000000-0005-0000-0000-000020260000}"/>
    <cellStyle name="Separador de milhares 3 10 4 9" xfId="677" xr:uid="{00000000-0005-0000-0000-000021260000}"/>
    <cellStyle name="Separador de milhares 3 10 4 9 2" xfId="6612" xr:uid="{00000000-0005-0000-0000-000022260000}"/>
    <cellStyle name="Separador de milhares 3 10 4 9 2 2" xfId="9759" xr:uid="{00000000-0005-0000-0000-000023260000}"/>
    <cellStyle name="Separador de milhares 3 10 4 9 2 2 2" xfId="27973" xr:uid="{00000000-0005-0000-0000-000024260000}"/>
    <cellStyle name="Separador de milhares 3 10 4 9 2 2 2 2" xfId="54154" xr:uid="{00000000-0005-0000-0000-000025260000}"/>
    <cellStyle name="Separador de milhares 3 10 4 9 2 2 3" xfId="22059" xr:uid="{00000000-0005-0000-0000-000026260000}"/>
    <cellStyle name="Separador de milhares 3 10 4 9 2 2 3 2" xfId="48246" xr:uid="{00000000-0005-0000-0000-000027260000}"/>
    <cellStyle name="Separador de milhares 3 10 4 9 2 2 4" xfId="16145" xr:uid="{00000000-0005-0000-0000-000028260000}"/>
    <cellStyle name="Separador de milhares 3 10 4 9 2 2 4 2" xfId="42338" xr:uid="{00000000-0005-0000-0000-000029260000}"/>
    <cellStyle name="Separador de milhares 3 10 4 9 2 2 5" xfId="35952" xr:uid="{00000000-0005-0000-0000-00002A260000}"/>
    <cellStyle name="Separador de milhares 3 10 4 9 2 3" xfId="25016" xr:uid="{00000000-0005-0000-0000-00002B260000}"/>
    <cellStyle name="Separador de milhares 3 10 4 9 2 3 2" xfId="51200" xr:uid="{00000000-0005-0000-0000-00002C260000}"/>
    <cellStyle name="Separador de milhares 3 10 4 9 2 4" xfId="19102" xr:uid="{00000000-0005-0000-0000-00002D260000}"/>
    <cellStyle name="Separador de milhares 3 10 4 9 2 4 2" xfId="45292" xr:uid="{00000000-0005-0000-0000-00002E260000}"/>
    <cellStyle name="Separador de milhares 3 10 4 9 2 5" xfId="13001" xr:uid="{00000000-0005-0000-0000-00002F260000}"/>
    <cellStyle name="Separador de milhares 3 10 4 9 2 5 2" xfId="39194" xr:uid="{00000000-0005-0000-0000-000030260000}"/>
    <cellStyle name="Separador de milhares 3 10 4 9 2 6" xfId="32808" xr:uid="{00000000-0005-0000-0000-000031260000}"/>
    <cellStyle name="Separador de milhares 3 10 4 9 3" xfId="8291" xr:uid="{00000000-0005-0000-0000-000032260000}"/>
    <cellStyle name="Separador de milhares 3 10 4 9 3 2" xfId="26505" xr:uid="{00000000-0005-0000-0000-000033260000}"/>
    <cellStyle name="Separador de milhares 3 10 4 9 3 2 2" xfId="52686" xr:uid="{00000000-0005-0000-0000-000034260000}"/>
    <cellStyle name="Separador de milhares 3 10 4 9 3 3" xfId="20591" xr:uid="{00000000-0005-0000-0000-000035260000}"/>
    <cellStyle name="Separador de milhares 3 10 4 9 3 3 2" xfId="46778" xr:uid="{00000000-0005-0000-0000-000036260000}"/>
    <cellStyle name="Separador de milhares 3 10 4 9 3 4" xfId="14677" xr:uid="{00000000-0005-0000-0000-000037260000}"/>
    <cellStyle name="Separador de milhares 3 10 4 9 3 4 2" xfId="40870" xr:uid="{00000000-0005-0000-0000-000038260000}"/>
    <cellStyle name="Separador de milhares 3 10 4 9 3 5" xfId="34484" xr:uid="{00000000-0005-0000-0000-000039260000}"/>
    <cellStyle name="Separador de milhares 3 10 4 9 4" xfId="4913" xr:uid="{00000000-0005-0000-0000-00003A260000}"/>
    <cellStyle name="Separador de milhares 3 10 4 9 4 2" xfId="23548" xr:uid="{00000000-0005-0000-0000-00003B260000}"/>
    <cellStyle name="Separador de milhares 3 10 4 9 4 2 2" xfId="49732" xr:uid="{00000000-0005-0000-0000-00003C260000}"/>
    <cellStyle name="Separador de milhares 3 10 4 9 4 3" xfId="31109" xr:uid="{00000000-0005-0000-0000-00003D260000}"/>
    <cellStyle name="Separador de milhares 3 10 4 9 5" xfId="17634" xr:uid="{00000000-0005-0000-0000-00003E260000}"/>
    <cellStyle name="Separador de milhares 3 10 4 9 5 2" xfId="43824" xr:uid="{00000000-0005-0000-0000-00003F260000}"/>
    <cellStyle name="Separador de milhares 3 10 4 9 6" xfId="11300" xr:uid="{00000000-0005-0000-0000-000040260000}"/>
    <cellStyle name="Separador de milhares 3 10 4 9 6 2" xfId="37493" xr:uid="{00000000-0005-0000-0000-000041260000}"/>
    <cellStyle name="Separador de milhares 3 10 4 9 7" xfId="29411" xr:uid="{00000000-0005-0000-0000-000042260000}"/>
    <cellStyle name="Separador de milhares 3 10 5" xfId="618" xr:uid="{00000000-0005-0000-0000-000043260000}"/>
    <cellStyle name="Separador de milhares 3 10 5 10" xfId="4877" xr:uid="{00000000-0005-0000-0000-000044260000}"/>
    <cellStyle name="Separador de milhares 3 10 5 10 2" xfId="23511" xr:uid="{00000000-0005-0000-0000-000045260000}"/>
    <cellStyle name="Separador de milhares 3 10 5 10 2 2" xfId="49698" xr:uid="{00000000-0005-0000-0000-000046260000}"/>
    <cellStyle name="Separador de milhares 3 10 5 10 3" xfId="31075" xr:uid="{00000000-0005-0000-0000-000047260000}"/>
    <cellStyle name="Separador de milhares 3 10 5 11" xfId="17597" xr:uid="{00000000-0005-0000-0000-000048260000}"/>
    <cellStyle name="Separador de milhares 3 10 5 11 2" xfId="43790" xr:uid="{00000000-0005-0000-0000-000049260000}"/>
    <cellStyle name="Separador de milhares 3 10 5 12" xfId="11266" xr:uid="{00000000-0005-0000-0000-00004A260000}"/>
    <cellStyle name="Separador de milhares 3 10 5 12 2" xfId="37459" xr:uid="{00000000-0005-0000-0000-00004B260000}"/>
    <cellStyle name="Separador de milhares 3 10 5 13" xfId="29377" xr:uid="{00000000-0005-0000-0000-00004C260000}"/>
    <cellStyle name="Separador de milhares 3 10 5 2" xfId="1441" xr:uid="{00000000-0005-0000-0000-00004D260000}"/>
    <cellStyle name="Separador de milhares 3 10 5 2 2" xfId="6829" xr:uid="{00000000-0005-0000-0000-00004E260000}"/>
    <cellStyle name="Separador de milhares 3 10 5 2 2 2" xfId="9976" xr:uid="{00000000-0005-0000-0000-00004F260000}"/>
    <cellStyle name="Separador de milhares 3 10 5 2 2 2 2" xfId="28190" xr:uid="{00000000-0005-0000-0000-000050260000}"/>
    <cellStyle name="Separador de milhares 3 10 5 2 2 2 2 2" xfId="54371" xr:uid="{00000000-0005-0000-0000-000051260000}"/>
    <cellStyle name="Separador de milhares 3 10 5 2 2 2 3" xfId="22276" xr:uid="{00000000-0005-0000-0000-000052260000}"/>
    <cellStyle name="Separador de milhares 3 10 5 2 2 2 3 2" xfId="48463" xr:uid="{00000000-0005-0000-0000-000053260000}"/>
    <cellStyle name="Separador de milhares 3 10 5 2 2 2 4" xfId="16362" xr:uid="{00000000-0005-0000-0000-000054260000}"/>
    <cellStyle name="Separador de milhares 3 10 5 2 2 2 4 2" xfId="42555" xr:uid="{00000000-0005-0000-0000-000055260000}"/>
    <cellStyle name="Separador de milhares 3 10 5 2 2 2 5" xfId="36169" xr:uid="{00000000-0005-0000-0000-000056260000}"/>
    <cellStyle name="Separador de milhares 3 10 5 2 2 3" xfId="25233" xr:uid="{00000000-0005-0000-0000-000057260000}"/>
    <cellStyle name="Separador de milhares 3 10 5 2 2 3 2" xfId="51417" xr:uid="{00000000-0005-0000-0000-000058260000}"/>
    <cellStyle name="Separador de milhares 3 10 5 2 2 4" xfId="19319" xr:uid="{00000000-0005-0000-0000-000059260000}"/>
    <cellStyle name="Separador de milhares 3 10 5 2 2 4 2" xfId="45509" xr:uid="{00000000-0005-0000-0000-00005A260000}"/>
    <cellStyle name="Separador de milhares 3 10 5 2 2 5" xfId="13218" xr:uid="{00000000-0005-0000-0000-00005B260000}"/>
    <cellStyle name="Separador de milhares 3 10 5 2 2 5 2" xfId="39411" xr:uid="{00000000-0005-0000-0000-00005C260000}"/>
    <cellStyle name="Separador de milhares 3 10 5 2 2 6" xfId="33025" xr:uid="{00000000-0005-0000-0000-00005D260000}"/>
    <cellStyle name="Separador de milhares 3 10 5 2 3" xfId="8508" xr:uid="{00000000-0005-0000-0000-00005E260000}"/>
    <cellStyle name="Separador de milhares 3 10 5 2 3 2" xfId="26722" xr:uid="{00000000-0005-0000-0000-00005F260000}"/>
    <cellStyle name="Separador de milhares 3 10 5 2 3 2 2" xfId="52903" xr:uid="{00000000-0005-0000-0000-000060260000}"/>
    <cellStyle name="Separador de milhares 3 10 5 2 3 3" xfId="20808" xr:uid="{00000000-0005-0000-0000-000061260000}"/>
    <cellStyle name="Separador de milhares 3 10 5 2 3 3 2" xfId="46995" xr:uid="{00000000-0005-0000-0000-000062260000}"/>
    <cellStyle name="Separador de milhares 3 10 5 2 3 4" xfId="14894" xr:uid="{00000000-0005-0000-0000-000063260000}"/>
    <cellStyle name="Separador de milhares 3 10 5 2 3 4 2" xfId="41087" xr:uid="{00000000-0005-0000-0000-000064260000}"/>
    <cellStyle name="Separador de milhares 3 10 5 2 3 5" xfId="34701" xr:uid="{00000000-0005-0000-0000-000065260000}"/>
    <cellStyle name="Separador de milhares 3 10 5 2 4" xfId="5130" xr:uid="{00000000-0005-0000-0000-000066260000}"/>
    <cellStyle name="Separador de milhares 3 10 5 2 4 2" xfId="23765" xr:uid="{00000000-0005-0000-0000-000067260000}"/>
    <cellStyle name="Separador de milhares 3 10 5 2 4 2 2" xfId="49949" xr:uid="{00000000-0005-0000-0000-000068260000}"/>
    <cellStyle name="Separador de milhares 3 10 5 2 4 3" xfId="31326" xr:uid="{00000000-0005-0000-0000-000069260000}"/>
    <cellStyle name="Separador de milhares 3 10 5 2 5" xfId="17851" xr:uid="{00000000-0005-0000-0000-00006A260000}"/>
    <cellStyle name="Separador de milhares 3 10 5 2 5 2" xfId="44041" xr:uid="{00000000-0005-0000-0000-00006B260000}"/>
    <cellStyle name="Separador de milhares 3 10 5 2 6" xfId="11517" xr:uid="{00000000-0005-0000-0000-00006C260000}"/>
    <cellStyle name="Separador de milhares 3 10 5 2 6 2" xfId="37710" xr:uid="{00000000-0005-0000-0000-00006D260000}"/>
    <cellStyle name="Separador de milhares 3 10 5 2 7" xfId="29628" xr:uid="{00000000-0005-0000-0000-00006E260000}"/>
    <cellStyle name="Separador de milhares 3 10 5 3" xfId="1876" xr:uid="{00000000-0005-0000-0000-00006F260000}"/>
    <cellStyle name="Separador de milhares 3 10 5 3 2" xfId="6948" xr:uid="{00000000-0005-0000-0000-000070260000}"/>
    <cellStyle name="Separador de milhares 3 10 5 3 2 2" xfId="10095" xr:uid="{00000000-0005-0000-0000-000071260000}"/>
    <cellStyle name="Separador de milhares 3 10 5 3 2 2 2" xfId="28309" xr:uid="{00000000-0005-0000-0000-000072260000}"/>
    <cellStyle name="Separador de milhares 3 10 5 3 2 2 2 2" xfId="54490" xr:uid="{00000000-0005-0000-0000-000073260000}"/>
    <cellStyle name="Separador de milhares 3 10 5 3 2 2 3" xfId="22395" xr:uid="{00000000-0005-0000-0000-000074260000}"/>
    <cellStyle name="Separador de milhares 3 10 5 3 2 2 3 2" xfId="48582" xr:uid="{00000000-0005-0000-0000-000075260000}"/>
    <cellStyle name="Separador de milhares 3 10 5 3 2 2 4" xfId="16481" xr:uid="{00000000-0005-0000-0000-000076260000}"/>
    <cellStyle name="Separador de milhares 3 10 5 3 2 2 4 2" xfId="42674" xr:uid="{00000000-0005-0000-0000-000077260000}"/>
    <cellStyle name="Separador de milhares 3 10 5 3 2 2 5" xfId="36288" xr:uid="{00000000-0005-0000-0000-000078260000}"/>
    <cellStyle name="Separador de milhares 3 10 5 3 2 3" xfId="25352" xr:uid="{00000000-0005-0000-0000-000079260000}"/>
    <cellStyle name="Separador de milhares 3 10 5 3 2 3 2" xfId="51536" xr:uid="{00000000-0005-0000-0000-00007A260000}"/>
    <cellStyle name="Separador de milhares 3 10 5 3 2 4" xfId="19438" xr:uid="{00000000-0005-0000-0000-00007B260000}"/>
    <cellStyle name="Separador de milhares 3 10 5 3 2 4 2" xfId="45628" xr:uid="{00000000-0005-0000-0000-00007C260000}"/>
    <cellStyle name="Separador de milhares 3 10 5 3 2 5" xfId="13337" xr:uid="{00000000-0005-0000-0000-00007D260000}"/>
    <cellStyle name="Separador de milhares 3 10 5 3 2 5 2" xfId="39530" xr:uid="{00000000-0005-0000-0000-00007E260000}"/>
    <cellStyle name="Separador de milhares 3 10 5 3 2 6" xfId="33144" xr:uid="{00000000-0005-0000-0000-00007F260000}"/>
    <cellStyle name="Separador de milhares 3 10 5 3 3" xfId="8627" xr:uid="{00000000-0005-0000-0000-000080260000}"/>
    <cellStyle name="Separador de milhares 3 10 5 3 3 2" xfId="26841" xr:uid="{00000000-0005-0000-0000-000081260000}"/>
    <cellStyle name="Separador de milhares 3 10 5 3 3 2 2" xfId="53022" xr:uid="{00000000-0005-0000-0000-000082260000}"/>
    <cellStyle name="Separador de milhares 3 10 5 3 3 3" xfId="20927" xr:uid="{00000000-0005-0000-0000-000083260000}"/>
    <cellStyle name="Separador de milhares 3 10 5 3 3 3 2" xfId="47114" xr:uid="{00000000-0005-0000-0000-000084260000}"/>
    <cellStyle name="Separador de milhares 3 10 5 3 3 4" xfId="15013" xr:uid="{00000000-0005-0000-0000-000085260000}"/>
    <cellStyle name="Separador de milhares 3 10 5 3 3 4 2" xfId="41206" xr:uid="{00000000-0005-0000-0000-000086260000}"/>
    <cellStyle name="Separador de milhares 3 10 5 3 3 5" xfId="34820" xr:uid="{00000000-0005-0000-0000-000087260000}"/>
    <cellStyle name="Separador de milhares 3 10 5 3 4" xfId="5249" xr:uid="{00000000-0005-0000-0000-000088260000}"/>
    <cellStyle name="Separador de milhares 3 10 5 3 4 2" xfId="23884" xr:uid="{00000000-0005-0000-0000-000089260000}"/>
    <cellStyle name="Separador de milhares 3 10 5 3 4 2 2" xfId="50068" xr:uid="{00000000-0005-0000-0000-00008A260000}"/>
    <cellStyle name="Separador de milhares 3 10 5 3 4 3" xfId="31445" xr:uid="{00000000-0005-0000-0000-00008B260000}"/>
    <cellStyle name="Separador de milhares 3 10 5 3 5" xfId="17970" xr:uid="{00000000-0005-0000-0000-00008C260000}"/>
    <cellStyle name="Separador de milhares 3 10 5 3 5 2" xfId="44160" xr:uid="{00000000-0005-0000-0000-00008D260000}"/>
    <cellStyle name="Separador de milhares 3 10 5 3 6" xfId="11636" xr:uid="{00000000-0005-0000-0000-00008E260000}"/>
    <cellStyle name="Separador de milhares 3 10 5 3 6 2" xfId="37829" xr:uid="{00000000-0005-0000-0000-00008F260000}"/>
    <cellStyle name="Separador de milhares 3 10 5 3 7" xfId="29747" xr:uid="{00000000-0005-0000-0000-000090260000}"/>
    <cellStyle name="Separador de milhares 3 10 5 4" xfId="2406" xr:uid="{00000000-0005-0000-0000-000091260000}"/>
    <cellStyle name="Separador de milhares 3 10 5 4 2" xfId="7098" xr:uid="{00000000-0005-0000-0000-000092260000}"/>
    <cellStyle name="Separador de milhares 3 10 5 4 2 2" xfId="10242" xr:uid="{00000000-0005-0000-0000-000093260000}"/>
    <cellStyle name="Separador de milhares 3 10 5 4 2 2 2" xfId="28456" xr:uid="{00000000-0005-0000-0000-000094260000}"/>
    <cellStyle name="Separador de milhares 3 10 5 4 2 2 2 2" xfId="54637" xr:uid="{00000000-0005-0000-0000-000095260000}"/>
    <cellStyle name="Separador de milhares 3 10 5 4 2 2 3" xfId="22542" xr:uid="{00000000-0005-0000-0000-000096260000}"/>
    <cellStyle name="Separador de milhares 3 10 5 4 2 2 3 2" xfId="48729" xr:uid="{00000000-0005-0000-0000-000097260000}"/>
    <cellStyle name="Separador de milhares 3 10 5 4 2 2 4" xfId="16628" xr:uid="{00000000-0005-0000-0000-000098260000}"/>
    <cellStyle name="Separador de milhares 3 10 5 4 2 2 4 2" xfId="42821" xr:uid="{00000000-0005-0000-0000-000099260000}"/>
    <cellStyle name="Separador de milhares 3 10 5 4 2 2 5" xfId="36435" xr:uid="{00000000-0005-0000-0000-00009A260000}"/>
    <cellStyle name="Separador de milhares 3 10 5 4 2 3" xfId="25499" xr:uid="{00000000-0005-0000-0000-00009B260000}"/>
    <cellStyle name="Separador de milhares 3 10 5 4 2 3 2" xfId="51683" xr:uid="{00000000-0005-0000-0000-00009C260000}"/>
    <cellStyle name="Separador de milhares 3 10 5 4 2 4" xfId="19585" xr:uid="{00000000-0005-0000-0000-00009D260000}"/>
    <cellStyle name="Separador de milhares 3 10 5 4 2 4 2" xfId="45775" xr:uid="{00000000-0005-0000-0000-00009E260000}"/>
    <cellStyle name="Separador de milhares 3 10 5 4 2 5" xfId="13487" xr:uid="{00000000-0005-0000-0000-00009F260000}"/>
    <cellStyle name="Separador de milhares 3 10 5 4 2 5 2" xfId="39680" xr:uid="{00000000-0005-0000-0000-0000A0260000}"/>
    <cellStyle name="Separador de milhares 3 10 5 4 2 6" xfId="33294" xr:uid="{00000000-0005-0000-0000-0000A1260000}"/>
    <cellStyle name="Separador de milhares 3 10 5 4 3" xfId="8774" xr:uid="{00000000-0005-0000-0000-0000A2260000}"/>
    <cellStyle name="Separador de milhares 3 10 5 4 3 2" xfId="26988" xr:uid="{00000000-0005-0000-0000-0000A3260000}"/>
    <cellStyle name="Separador de milhares 3 10 5 4 3 2 2" xfId="53169" xr:uid="{00000000-0005-0000-0000-0000A4260000}"/>
    <cellStyle name="Separador de milhares 3 10 5 4 3 3" xfId="21074" xr:uid="{00000000-0005-0000-0000-0000A5260000}"/>
    <cellStyle name="Separador de milhares 3 10 5 4 3 3 2" xfId="47261" xr:uid="{00000000-0005-0000-0000-0000A6260000}"/>
    <cellStyle name="Separador de milhares 3 10 5 4 3 4" xfId="15160" xr:uid="{00000000-0005-0000-0000-0000A7260000}"/>
    <cellStyle name="Separador de milhares 3 10 5 4 3 4 2" xfId="41353" xr:uid="{00000000-0005-0000-0000-0000A8260000}"/>
    <cellStyle name="Separador de milhares 3 10 5 4 3 5" xfId="34967" xr:uid="{00000000-0005-0000-0000-0000A9260000}"/>
    <cellStyle name="Separador de milhares 3 10 5 4 4" xfId="5399" xr:uid="{00000000-0005-0000-0000-0000AA260000}"/>
    <cellStyle name="Separador de milhares 3 10 5 4 4 2" xfId="24031" xr:uid="{00000000-0005-0000-0000-0000AB260000}"/>
    <cellStyle name="Separador de milhares 3 10 5 4 4 2 2" xfId="50215" xr:uid="{00000000-0005-0000-0000-0000AC260000}"/>
    <cellStyle name="Separador de milhares 3 10 5 4 4 3" xfId="31595" xr:uid="{00000000-0005-0000-0000-0000AD260000}"/>
    <cellStyle name="Separador de milhares 3 10 5 4 5" xfId="18117" xr:uid="{00000000-0005-0000-0000-0000AE260000}"/>
    <cellStyle name="Separador de milhares 3 10 5 4 5 2" xfId="44307" xr:uid="{00000000-0005-0000-0000-0000AF260000}"/>
    <cellStyle name="Separador de milhares 3 10 5 4 6" xfId="11786" xr:uid="{00000000-0005-0000-0000-0000B0260000}"/>
    <cellStyle name="Separador de milhares 3 10 5 4 6 2" xfId="37979" xr:uid="{00000000-0005-0000-0000-0000B1260000}"/>
    <cellStyle name="Separador de milhares 3 10 5 4 7" xfId="29897" xr:uid="{00000000-0005-0000-0000-0000B2260000}"/>
    <cellStyle name="Separador de milhares 3 10 5 5" xfId="2933" xr:uid="{00000000-0005-0000-0000-0000B3260000}"/>
    <cellStyle name="Separador de milhares 3 10 5 5 2" xfId="7245" xr:uid="{00000000-0005-0000-0000-0000B4260000}"/>
    <cellStyle name="Separador de milhares 3 10 5 5 2 2" xfId="10389" xr:uid="{00000000-0005-0000-0000-0000B5260000}"/>
    <cellStyle name="Separador de milhares 3 10 5 5 2 2 2" xfId="28603" xr:uid="{00000000-0005-0000-0000-0000B6260000}"/>
    <cellStyle name="Separador de milhares 3 10 5 5 2 2 2 2" xfId="54784" xr:uid="{00000000-0005-0000-0000-0000B7260000}"/>
    <cellStyle name="Separador de milhares 3 10 5 5 2 2 3" xfId="22689" xr:uid="{00000000-0005-0000-0000-0000B8260000}"/>
    <cellStyle name="Separador de milhares 3 10 5 5 2 2 3 2" xfId="48876" xr:uid="{00000000-0005-0000-0000-0000B9260000}"/>
    <cellStyle name="Separador de milhares 3 10 5 5 2 2 4" xfId="16775" xr:uid="{00000000-0005-0000-0000-0000BA260000}"/>
    <cellStyle name="Separador de milhares 3 10 5 5 2 2 4 2" xfId="42968" xr:uid="{00000000-0005-0000-0000-0000BB260000}"/>
    <cellStyle name="Separador de milhares 3 10 5 5 2 2 5" xfId="36582" xr:uid="{00000000-0005-0000-0000-0000BC260000}"/>
    <cellStyle name="Separador de milhares 3 10 5 5 2 3" xfId="25646" xr:uid="{00000000-0005-0000-0000-0000BD260000}"/>
    <cellStyle name="Separador de milhares 3 10 5 5 2 3 2" xfId="51830" xr:uid="{00000000-0005-0000-0000-0000BE260000}"/>
    <cellStyle name="Separador de milhares 3 10 5 5 2 4" xfId="19732" xr:uid="{00000000-0005-0000-0000-0000BF260000}"/>
    <cellStyle name="Separador de milhares 3 10 5 5 2 4 2" xfId="45922" xr:uid="{00000000-0005-0000-0000-0000C0260000}"/>
    <cellStyle name="Separador de milhares 3 10 5 5 2 5" xfId="13634" xr:uid="{00000000-0005-0000-0000-0000C1260000}"/>
    <cellStyle name="Separador de milhares 3 10 5 5 2 5 2" xfId="39827" xr:uid="{00000000-0005-0000-0000-0000C2260000}"/>
    <cellStyle name="Separador de milhares 3 10 5 5 2 6" xfId="33441" xr:uid="{00000000-0005-0000-0000-0000C3260000}"/>
    <cellStyle name="Separador de milhares 3 10 5 5 3" xfId="8921" xr:uid="{00000000-0005-0000-0000-0000C4260000}"/>
    <cellStyle name="Separador de milhares 3 10 5 5 3 2" xfId="27135" xr:uid="{00000000-0005-0000-0000-0000C5260000}"/>
    <cellStyle name="Separador de milhares 3 10 5 5 3 2 2" xfId="53316" xr:uid="{00000000-0005-0000-0000-0000C6260000}"/>
    <cellStyle name="Separador de milhares 3 10 5 5 3 3" xfId="21221" xr:uid="{00000000-0005-0000-0000-0000C7260000}"/>
    <cellStyle name="Separador de milhares 3 10 5 5 3 3 2" xfId="47408" xr:uid="{00000000-0005-0000-0000-0000C8260000}"/>
    <cellStyle name="Separador de milhares 3 10 5 5 3 4" xfId="15307" xr:uid="{00000000-0005-0000-0000-0000C9260000}"/>
    <cellStyle name="Separador de milhares 3 10 5 5 3 4 2" xfId="41500" xr:uid="{00000000-0005-0000-0000-0000CA260000}"/>
    <cellStyle name="Separador de milhares 3 10 5 5 3 5" xfId="35114" xr:uid="{00000000-0005-0000-0000-0000CB260000}"/>
    <cellStyle name="Separador de milhares 3 10 5 5 4" xfId="5546" xr:uid="{00000000-0005-0000-0000-0000CC260000}"/>
    <cellStyle name="Separador de milhares 3 10 5 5 4 2" xfId="24178" xr:uid="{00000000-0005-0000-0000-0000CD260000}"/>
    <cellStyle name="Separador de milhares 3 10 5 5 4 2 2" xfId="50362" xr:uid="{00000000-0005-0000-0000-0000CE260000}"/>
    <cellStyle name="Separador de milhares 3 10 5 5 4 3" xfId="31742" xr:uid="{00000000-0005-0000-0000-0000CF260000}"/>
    <cellStyle name="Separador de milhares 3 10 5 5 5" xfId="18264" xr:uid="{00000000-0005-0000-0000-0000D0260000}"/>
    <cellStyle name="Separador de milhares 3 10 5 5 5 2" xfId="44454" xr:uid="{00000000-0005-0000-0000-0000D1260000}"/>
    <cellStyle name="Separador de milhares 3 10 5 5 6" xfId="11933" xr:uid="{00000000-0005-0000-0000-0000D2260000}"/>
    <cellStyle name="Separador de milhares 3 10 5 5 6 2" xfId="38126" xr:uid="{00000000-0005-0000-0000-0000D3260000}"/>
    <cellStyle name="Separador de milhares 3 10 5 5 7" xfId="30044" xr:uid="{00000000-0005-0000-0000-0000D4260000}"/>
    <cellStyle name="Separador de milhares 3 10 5 6" xfId="3460" xr:uid="{00000000-0005-0000-0000-0000D5260000}"/>
    <cellStyle name="Separador de milhares 3 10 5 6 2" xfId="7392" xr:uid="{00000000-0005-0000-0000-0000D6260000}"/>
    <cellStyle name="Separador de milhares 3 10 5 6 2 2" xfId="10536" xr:uid="{00000000-0005-0000-0000-0000D7260000}"/>
    <cellStyle name="Separador de milhares 3 10 5 6 2 2 2" xfId="28750" xr:uid="{00000000-0005-0000-0000-0000D8260000}"/>
    <cellStyle name="Separador de milhares 3 10 5 6 2 2 2 2" xfId="54931" xr:uid="{00000000-0005-0000-0000-0000D9260000}"/>
    <cellStyle name="Separador de milhares 3 10 5 6 2 2 3" xfId="22836" xr:uid="{00000000-0005-0000-0000-0000DA260000}"/>
    <cellStyle name="Separador de milhares 3 10 5 6 2 2 3 2" xfId="49023" xr:uid="{00000000-0005-0000-0000-0000DB260000}"/>
    <cellStyle name="Separador de milhares 3 10 5 6 2 2 4" xfId="16922" xr:uid="{00000000-0005-0000-0000-0000DC260000}"/>
    <cellStyle name="Separador de milhares 3 10 5 6 2 2 4 2" xfId="43115" xr:uid="{00000000-0005-0000-0000-0000DD260000}"/>
    <cellStyle name="Separador de milhares 3 10 5 6 2 2 5" xfId="36729" xr:uid="{00000000-0005-0000-0000-0000DE260000}"/>
    <cellStyle name="Separador de milhares 3 10 5 6 2 3" xfId="25793" xr:uid="{00000000-0005-0000-0000-0000DF260000}"/>
    <cellStyle name="Separador de milhares 3 10 5 6 2 3 2" xfId="51977" xr:uid="{00000000-0005-0000-0000-0000E0260000}"/>
    <cellStyle name="Separador de milhares 3 10 5 6 2 4" xfId="19879" xr:uid="{00000000-0005-0000-0000-0000E1260000}"/>
    <cellStyle name="Separador de milhares 3 10 5 6 2 4 2" xfId="46069" xr:uid="{00000000-0005-0000-0000-0000E2260000}"/>
    <cellStyle name="Separador de milhares 3 10 5 6 2 5" xfId="13781" xr:uid="{00000000-0005-0000-0000-0000E3260000}"/>
    <cellStyle name="Separador de milhares 3 10 5 6 2 5 2" xfId="39974" xr:uid="{00000000-0005-0000-0000-0000E4260000}"/>
    <cellStyle name="Separador de milhares 3 10 5 6 2 6" xfId="33588" xr:uid="{00000000-0005-0000-0000-0000E5260000}"/>
    <cellStyle name="Separador de milhares 3 10 5 6 3" xfId="9068" xr:uid="{00000000-0005-0000-0000-0000E6260000}"/>
    <cellStyle name="Separador de milhares 3 10 5 6 3 2" xfId="27282" xr:uid="{00000000-0005-0000-0000-0000E7260000}"/>
    <cellStyle name="Separador de milhares 3 10 5 6 3 2 2" xfId="53463" xr:uid="{00000000-0005-0000-0000-0000E8260000}"/>
    <cellStyle name="Separador de milhares 3 10 5 6 3 3" xfId="21368" xr:uid="{00000000-0005-0000-0000-0000E9260000}"/>
    <cellStyle name="Separador de milhares 3 10 5 6 3 3 2" xfId="47555" xr:uid="{00000000-0005-0000-0000-0000EA260000}"/>
    <cellStyle name="Separador de milhares 3 10 5 6 3 4" xfId="15454" xr:uid="{00000000-0005-0000-0000-0000EB260000}"/>
    <cellStyle name="Separador de milhares 3 10 5 6 3 4 2" xfId="41647" xr:uid="{00000000-0005-0000-0000-0000EC260000}"/>
    <cellStyle name="Separador de milhares 3 10 5 6 3 5" xfId="35261" xr:uid="{00000000-0005-0000-0000-0000ED260000}"/>
    <cellStyle name="Separador de milhares 3 10 5 6 4" xfId="5693" xr:uid="{00000000-0005-0000-0000-0000EE260000}"/>
    <cellStyle name="Separador de milhares 3 10 5 6 4 2" xfId="24325" xr:uid="{00000000-0005-0000-0000-0000EF260000}"/>
    <cellStyle name="Separador de milhares 3 10 5 6 4 2 2" xfId="50509" xr:uid="{00000000-0005-0000-0000-0000F0260000}"/>
    <cellStyle name="Separador de milhares 3 10 5 6 4 3" xfId="31889" xr:uid="{00000000-0005-0000-0000-0000F1260000}"/>
    <cellStyle name="Separador de milhares 3 10 5 6 5" xfId="18411" xr:uid="{00000000-0005-0000-0000-0000F2260000}"/>
    <cellStyle name="Separador de milhares 3 10 5 6 5 2" xfId="44601" xr:uid="{00000000-0005-0000-0000-0000F3260000}"/>
    <cellStyle name="Separador de milhares 3 10 5 6 6" xfId="12080" xr:uid="{00000000-0005-0000-0000-0000F4260000}"/>
    <cellStyle name="Separador de milhares 3 10 5 6 6 2" xfId="38273" xr:uid="{00000000-0005-0000-0000-0000F5260000}"/>
    <cellStyle name="Separador de milhares 3 10 5 6 7" xfId="30191" xr:uid="{00000000-0005-0000-0000-0000F6260000}"/>
    <cellStyle name="Separador de milhares 3 10 5 7" xfId="3987" xr:uid="{00000000-0005-0000-0000-0000F7260000}"/>
    <cellStyle name="Separador de milhares 3 10 5 7 2" xfId="7539" xr:uid="{00000000-0005-0000-0000-0000F8260000}"/>
    <cellStyle name="Separador de milhares 3 10 5 7 2 2" xfId="10683" xr:uid="{00000000-0005-0000-0000-0000F9260000}"/>
    <cellStyle name="Separador de milhares 3 10 5 7 2 2 2" xfId="28897" xr:uid="{00000000-0005-0000-0000-0000FA260000}"/>
    <cellStyle name="Separador de milhares 3 10 5 7 2 2 2 2" xfId="55078" xr:uid="{00000000-0005-0000-0000-0000FB260000}"/>
    <cellStyle name="Separador de milhares 3 10 5 7 2 2 3" xfId="22983" xr:uid="{00000000-0005-0000-0000-0000FC260000}"/>
    <cellStyle name="Separador de milhares 3 10 5 7 2 2 3 2" xfId="49170" xr:uid="{00000000-0005-0000-0000-0000FD260000}"/>
    <cellStyle name="Separador de milhares 3 10 5 7 2 2 4" xfId="17069" xr:uid="{00000000-0005-0000-0000-0000FE260000}"/>
    <cellStyle name="Separador de milhares 3 10 5 7 2 2 4 2" xfId="43262" xr:uid="{00000000-0005-0000-0000-0000FF260000}"/>
    <cellStyle name="Separador de milhares 3 10 5 7 2 2 5" xfId="36876" xr:uid="{00000000-0005-0000-0000-000000270000}"/>
    <cellStyle name="Separador de milhares 3 10 5 7 2 3" xfId="25940" xr:uid="{00000000-0005-0000-0000-000001270000}"/>
    <cellStyle name="Separador de milhares 3 10 5 7 2 3 2" xfId="52124" xr:uid="{00000000-0005-0000-0000-000002270000}"/>
    <cellStyle name="Separador de milhares 3 10 5 7 2 4" xfId="20026" xr:uid="{00000000-0005-0000-0000-000003270000}"/>
    <cellStyle name="Separador de milhares 3 10 5 7 2 4 2" xfId="46216" xr:uid="{00000000-0005-0000-0000-000004270000}"/>
    <cellStyle name="Separador de milhares 3 10 5 7 2 5" xfId="13928" xr:uid="{00000000-0005-0000-0000-000005270000}"/>
    <cellStyle name="Separador de milhares 3 10 5 7 2 5 2" xfId="40121" xr:uid="{00000000-0005-0000-0000-000006270000}"/>
    <cellStyle name="Separador de milhares 3 10 5 7 2 6" xfId="33735" xr:uid="{00000000-0005-0000-0000-000007270000}"/>
    <cellStyle name="Separador de milhares 3 10 5 7 3" xfId="9215" xr:uid="{00000000-0005-0000-0000-000008270000}"/>
    <cellStyle name="Separador de milhares 3 10 5 7 3 2" xfId="27429" xr:uid="{00000000-0005-0000-0000-000009270000}"/>
    <cellStyle name="Separador de milhares 3 10 5 7 3 2 2" xfId="53610" xr:uid="{00000000-0005-0000-0000-00000A270000}"/>
    <cellStyle name="Separador de milhares 3 10 5 7 3 3" xfId="21515" xr:uid="{00000000-0005-0000-0000-00000B270000}"/>
    <cellStyle name="Separador de milhares 3 10 5 7 3 3 2" xfId="47702" xr:uid="{00000000-0005-0000-0000-00000C270000}"/>
    <cellStyle name="Separador de milhares 3 10 5 7 3 4" xfId="15601" xr:uid="{00000000-0005-0000-0000-00000D270000}"/>
    <cellStyle name="Separador de milhares 3 10 5 7 3 4 2" xfId="41794" xr:uid="{00000000-0005-0000-0000-00000E270000}"/>
    <cellStyle name="Separador de milhares 3 10 5 7 3 5" xfId="35408" xr:uid="{00000000-0005-0000-0000-00000F270000}"/>
    <cellStyle name="Separador de milhares 3 10 5 7 4" xfId="5840" xr:uid="{00000000-0005-0000-0000-000010270000}"/>
    <cellStyle name="Separador de milhares 3 10 5 7 4 2" xfId="24472" xr:uid="{00000000-0005-0000-0000-000011270000}"/>
    <cellStyle name="Separador de milhares 3 10 5 7 4 2 2" xfId="50656" xr:uid="{00000000-0005-0000-0000-000012270000}"/>
    <cellStyle name="Separador de milhares 3 10 5 7 4 3" xfId="32036" xr:uid="{00000000-0005-0000-0000-000013270000}"/>
    <cellStyle name="Separador de milhares 3 10 5 7 5" xfId="18558" xr:uid="{00000000-0005-0000-0000-000014270000}"/>
    <cellStyle name="Separador de milhares 3 10 5 7 5 2" xfId="44748" xr:uid="{00000000-0005-0000-0000-000015270000}"/>
    <cellStyle name="Separador de milhares 3 10 5 7 6" xfId="12227" xr:uid="{00000000-0005-0000-0000-000016270000}"/>
    <cellStyle name="Separador de milhares 3 10 5 7 6 2" xfId="38420" xr:uid="{00000000-0005-0000-0000-000017270000}"/>
    <cellStyle name="Separador de milhares 3 10 5 7 7" xfId="30338" xr:uid="{00000000-0005-0000-0000-000018270000}"/>
    <cellStyle name="Separador de milhares 3 10 5 8" xfId="6578" xr:uid="{00000000-0005-0000-0000-000019270000}"/>
    <cellStyle name="Separador de milhares 3 10 5 8 2" xfId="9725" xr:uid="{00000000-0005-0000-0000-00001A270000}"/>
    <cellStyle name="Separador de milhares 3 10 5 8 2 2" xfId="27939" xr:uid="{00000000-0005-0000-0000-00001B270000}"/>
    <cellStyle name="Separador de milhares 3 10 5 8 2 2 2" xfId="54120" xr:uid="{00000000-0005-0000-0000-00001C270000}"/>
    <cellStyle name="Separador de milhares 3 10 5 8 2 3" xfId="22025" xr:uid="{00000000-0005-0000-0000-00001D270000}"/>
    <cellStyle name="Separador de milhares 3 10 5 8 2 3 2" xfId="48212" xr:uid="{00000000-0005-0000-0000-00001E270000}"/>
    <cellStyle name="Separador de milhares 3 10 5 8 2 4" xfId="16111" xr:uid="{00000000-0005-0000-0000-00001F270000}"/>
    <cellStyle name="Separador de milhares 3 10 5 8 2 4 2" xfId="42304" xr:uid="{00000000-0005-0000-0000-000020270000}"/>
    <cellStyle name="Separador de milhares 3 10 5 8 2 5" xfId="35918" xr:uid="{00000000-0005-0000-0000-000021270000}"/>
    <cellStyle name="Separador de milhares 3 10 5 8 3" xfId="24982" xr:uid="{00000000-0005-0000-0000-000022270000}"/>
    <cellStyle name="Separador de milhares 3 10 5 8 3 2" xfId="51166" xr:uid="{00000000-0005-0000-0000-000023270000}"/>
    <cellStyle name="Separador de milhares 3 10 5 8 4" xfId="19068" xr:uid="{00000000-0005-0000-0000-000024270000}"/>
    <cellStyle name="Separador de milhares 3 10 5 8 4 2" xfId="45258" xr:uid="{00000000-0005-0000-0000-000025270000}"/>
    <cellStyle name="Separador de milhares 3 10 5 8 5" xfId="12967" xr:uid="{00000000-0005-0000-0000-000026270000}"/>
    <cellStyle name="Separador de milhares 3 10 5 8 5 2" xfId="39160" xr:uid="{00000000-0005-0000-0000-000027270000}"/>
    <cellStyle name="Separador de milhares 3 10 5 8 6" xfId="32774" xr:uid="{00000000-0005-0000-0000-000028270000}"/>
    <cellStyle name="Separador de milhares 3 10 5 9" xfId="8254" xr:uid="{00000000-0005-0000-0000-000029270000}"/>
    <cellStyle name="Separador de milhares 3 10 5 9 2" xfId="26468" xr:uid="{00000000-0005-0000-0000-00002A270000}"/>
    <cellStyle name="Separador de milhares 3 10 5 9 2 2" xfId="52652" xr:uid="{00000000-0005-0000-0000-00002B270000}"/>
    <cellStyle name="Separador de milhares 3 10 5 9 3" xfId="20554" xr:uid="{00000000-0005-0000-0000-00002C270000}"/>
    <cellStyle name="Separador de milhares 3 10 5 9 3 2" xfId="46744" xr:uid="{00000000-0005-0000-0000-00002D270000}"/>
    <cellStyle name="Separador de milhares 3 10 5 9 4" xfId="14643" xr:uid="{00000000-0005-0000-0000-00002E270000}"/>
    <cellStyle name="Separador de milhares 3 10 5 9 4 2" xfId="40836" xr:uid="{00000000-0005-0000-0000-00002F270000}"/>
    <cellStyle name="Separador de milhares 3 10 5 9 5" xfId="34450" xr:uid="{00000000-0005-0000-0000-000030270000}"/>
    <cellStyle name="Separador de milhares 3 10 6" xfId="739" xr:uid="{00000000-0005-0000-0000-000031270000}"/>
    <cellStyle name="Separador de milhares 3 10 6 2" xfId="4163" xr:uid="{00000000-0005-0000-0000-000032270000}"/>
    <cellStyle name="Separador de milhares 3 10 6 2 2" xfId="7588" xr:uid="{00000000-0005-0000-0000-000033270000}"/>
    <cellStyle name="Separador de milhares 3 10 6 2 2 2" xfId="10732" xr:uid="{00000000-0005-0000-0000-000034270000}"/>
    <cellStyle name="Separador de milhares 3 10 6 2 2 2 2" xfId="28946" xr:uid="{00000000-0005-0000-0000-000035270000}"/>
    <cellStyle name="Separador de milhares 3 10 6 2 2 2 2 2" xfId="55127" xr:uid="{00000000-0005-0000-0000-000036270000}"/>
    <cellStyle name="Separador de milhares 3 10 6 2 2 2 3" xfId="23032" xr:uid="{00000000-0005-0000-0000-000037270000}"/>
    <cellStyle name="Separador de milhares 3 10 6 2 2 2 3 2" xfId="49219" xr:uid="{00000000-0005-0000-0000-000038270000}"/>
    <cellStyle name="Separador de milhares 3 10 6 2 2 2 4" xfId="17118" xr:uid="{00000000-0005-0000-0000-000039270000}"/>
    <cellStyle name="Separador de milhares 3 10 6 2 2 2 4 2" xfId="43311" xr:uid="{00000000-0005-0000-0000-00003A270000}"/>
    <cellStyle name="Separador de milhares 3 10 6 2 2 2 5" xfId="36925" xr:uid="{00000000-0005-0000-0000-00003B270000}"/>
    <cellStyle name="Separador de milhares 3 10 6 2 2 3" xfId="25989" xr:uid="{00000000-0005-0000-0000-00003C270000}"/>
    <cellStyle name="Separador de milhares 3 10 6 2 2 3 2" xfId="52173" xr:uid="{00000000-0005-0000-0000-00003D270000}"/>
    <cellStyle name="Separador de milhares 3 10 6 2 2 4" xfId="20075" xr:uid="{00000000-0005-0000-0000-00003E270000}"/>
    <cellStyle name="Separador de milhares 3 10 6 2 2 4 2" xfId="46265" xr:uid="{00000000-0005-0000-0000-00003F270000}"/>
    <cellStyle name="Separador de milhares 3 10 6 2 2 5" xfId="13977" xr:uid="{00000000-0005-0000-0000-000040270000}"/>
    <cellStyle name="Separador de milhares 3 10 6 2 2 5 2" xfId="40170" xr:uid="{00000000-0005-0000-0000-000041270000}"/>
    <cellStyle name="Separador de milhares 3 10 6 2 2 6" xfId="33784" xr:uid="{00000000-0005-0000-0000-000042270000}"/>
    <cellStyle name="Separador de milhares 3 10 6 2 3" xfId="9264" xr:uid="{00000000-0005-0000-0000-000043270000}"/>
    <cellStyle name="Separador de milhares 3 10 6 2 3 2" xfId="27478" xr:uid="{00000000-0005-0000-0000-000044270000}"/>
    <cellStyle name="Separador de milhares 3 10 6 2 3 2 2" xfId="53659" xr:uid="{00000000-0005-0000-0000-000045270000}"/>
    <cellStyle name="Separador de milhares 3 10 6 2 3 3" xfId="21564" xr:uid="{00000000-0005-0000-0000-000046270000}"/>
    <cellStyle name="Separador de milhares 3 10 6 2 3 3 2" xfId="47751" xr:uid="{00000000-0005-0000-0000-000047270000}"/>
    <cellStyle name="Separador de milhares 3 10 6 2 3 4" xfId="15650" xr:uid="{00000000-0005-0000-0000-000048270000}"/>
    <cellStyle name="Separador de milhares 3 10 6 2 3 4 2" xfId="41843" xr:uid="{00000000-0005-0000-0000-000049270000}"/>
    <cellStyle name="Separador de milhares 3 10 6 2 3 5" xfId="35457" xr:uid="{00000000-0005-0000-0000-00004A270000}"/>
    <cellStyle name="Separador de milhares 3 10 6 2 4" xfId="5889" xr:uid="{00000000-0005-0000-0000-00004B270000}"/>
    <cellStyle name="Separador de milhares 3 10 6 2 4 2" xfId="24521" xr:uid="{00000000-0005-0000-0000-00004C270000}"/>
    <cellStyle name="Separador de milhares 3 10 6 2 4 2 2" xfId="50705" xr:uid="{00000000-0005-0000-0000-00004D270000}"/>
    <cellStyle name="Separador de milhares 3 10 6 2 4 3" xfId="32085" xr:uid="{00000000-0005-0000-0000-00004E270000}"/>
    <cellStyle name="Separador de milhares 3 10 6 2 5" xfId="18607" xr:uid="{00000000-0005-0000-0000-00004F270000}"/>
    <cellStyle name="Separador de milhares 3 10 6 2 5 2" xfId="44797" xr:uid="{00000000-0005-0000-0000-000050270000}"/>
    <cellStyle name="Separador de milhares 3 10 6 2 6" xfId="12276" xr:uid="{00000000-0005-0000-0000-000051270000}"/>
    <cellStyle name="Separador de milhares 3 10 6 2 6 2" xfId="38469" xr:uid="{00000000-0005-0000-0000-000052270000}"/>
    <cellStyle name="Separador de milhares 3 10 6 2 7" xfId="30387" xr:uid="{00000000-0005-0000-0000-000053270000}"/>
    <cellStyle name="Separador de milhares 3 10 6 3" xfId="6633" xr:uid="{00000000-0005-0000-0000-000054270000}"/>
    <cellStyle name="Separador de milhares 3 10 6 3 2" xfId="9780" xr:uid="{00000000-0005-0000-0000-000055270000}"/>
    <cellStyle name="Separador de milhares 3 10 6 3 2 2" xfId="27994" xr:uid="{00000000-0005-0000-0000-000056270000}"/>
    <cellStyle name="Separador de milhares 3 10 6 3 2 2 2" xfId="54175" xr:uid="{00000000-0005-0000-0000-000057270000}"/>
    <cellStyle name="Separador de milhares 3 10 6 3 2 3" xfId="22080" xr:uid="{00000000-0005-0000-0000-000058270000}"/>
    <cellStyle name="Separador de milhares 3 10 6 3 2 3 2" xfId="48267" xr:uid="{00000000-0005-0000-0000-000059270000}"/>
    <cellStyle name="Separador de milhares 3 10 6 3 2 4" xfId="16166" xr:uid="{00000000-0005-0000-0000-00005A270000}"/>
    <cellStyle name="Separador de milhares 3 10 6 3 2 4 2" xfId="42359" xr:uid="{00000000-0005-0000-0000-00005B270000}"/>
    <cellStyle name="Separador de milhares 3 10 6 3 2 5" xfId="35973" xr:uid="{00000000-0005-0000-0000-00005C270000}"/>
    <cellStyle name="Separador de milhares 3 10 6 3 3" xfId="25037" xr:uid="{00000000-0005-0000-0000-00005D270000}"/>
    <cellStyle name="Separador de milhares 3 10 6 3 3 2" xfId="51221" xr:uid="{00000000-0005-0000-0000-00005E270000}"/>
    <cellStyle name="Separador de milhares 3 10 6 3 4" xfId="19123" xr:uid="{00000000-0005-0000-0000-00005F270000}"/>
    <cellStyle name="Separador de milhares 3 10 6 3 4 2" xfId="45313" xr:uid="{00000000-0005-0000-0000-000060270000}"/>
    <cellStyle name="Separador de milhares 3 10 6 3 5" xfId="13022" xr:uid="{00000000-0005-0000-0000-000061270000}"/>
    <cellStyle name="Separador de milhares 3 10 6 3 5 2" xfId="39215" xr:uid="{00000000-0005-0000-0000-000062270000}"/>
    <cellStyle name="Separador de milhares 3 10 6 3 6" xfId="32829" xr:uid="{00000000-0005-0000-0000-000063270000}"/>
    <cellStyle name="Separador de milhares 3 10 6 4" xfId="8312" xr:uid="{00000000-0005-0000-0000-000064270000}"/>
    <cellStyle name="Separador de milhares 3 10 6 4 2" xfId="26526" xr:uid="{00000000-0005-0000-0000-000065270000}"/>
    <cellStyle name="Separador de milhares 3 10 6 4 2 2" xfId="52707" xr:uid="{00000000-0005-0000-0000-000066270000}"/>
    <cellStyle name="Separador de milhares 3 10 6 4 3" xfId="20612" xr:uid="{00000000-0005-0000-0000-000067270000}"/>
    <cellStyle name="Separador de milhares 3 10 6 4 3 2" xfId="46799" xr:uid="{00000000-0005-0000-0000-000068270000}"/>
    <cellStyle name="Separador de milhares 3 10 6 4 4" xfId="14698" xr:uid="{00000000-0005-0000-0000-000069270000}"/>
    <cellStyle name="Separador de milhares 3 10 6 4 4 2" xfId="40891" xr:uid="{00000000-0005-0000-0000-00006A270000}"/>
    <cellStyle name="Separador de milhares 3 10 6 4 5" xfId="34505" xr:uid="{00000000-0005-0000-0000-00006B270000}"/>
    <cellStyle name="Separador de milhares 3 10 6 5" xfId="4934" xr:uid="{00000000-0005-0000-0000-00006C270000}"/>
    <cellStyle name="Separador de milhares 3 10 6 5 2" xfId="23569" xr:uid="{00000000-0005-0000-0000-00006D270000}"/>
    <cellStyle name="Separador de milhares 3 10 6 5 2 2" xfId="49753" xr:uid="{00000000-0005-0000-0000-00006E270000}"/>
    <cellStyle name="Separador de milhares 3 10 6 5 3" xfId="31130" xr:uid="{00000000-0005-0000-0000-00006F270000}"/>
    <cellStyle name="Separador de milhares 3 10 6 6" xfId="17655" xr:uid="{00000000-0005-0000-0000-000070270000}"/>
    <cellStyle name="Separador de milhares 3 10 6 6 2" xfId="43845" xr:uid="{00000000-0005-0000-0000-000071270000}"/>
    <cellStyle name="Separador de milhares 3 10 6 7" xfId="11321" xr:uid="{00000000-0005-0000-0000-000072270000}"/>
    <cellStyle name="Separador de milhares 3 10 6 7 2" xfId="37514" xr:uid="{00000000-0005-0000-0000-000073270000}"/>
    <cellStyle name="Separador de milhares 3 10 6 8" xfId="29432" xr:uid="{00000000-0005-0000-0000-000074270000}"/>
    <cellStyle name="Separador de milhares 3 10 7" xfId="1090" xr:uid="{00000000-0005-0000-0000-000075270000}"/>
    <cellStyle name="Separador de milhares 3 10 7 2" xfId="6731" xr:uid="{00000000-0005-0000-0000-000076270000}"/>
    <cellStyle name="Separador de milhares 3 10 7 2 2" xfId="9878" xr:uid="{00000000-0005-0000-0000-000077270000}"/>
    <cellStyle name="Separador de milhares 3 10 7 2 2 2" xfId="28092" xr:uid="{00000000-0005-0000-0000-000078270000}"/>
    <cellStyle name="Separador de milhares 3 10 7 2 2 2 2" xfId="54273" xr:uid="{00000000-0005-0000-0000-000079270000}"/>
    <cellStyle name="Separador de milhares 3 10 7 2 2 3" xfId="22178" xr:uid="{00000000-0005-0000-0000-00007A270000}"/>
    <cellStyle name="Separador de milhares 3 10 7 2 2 3 2" xfId="48365" xr:uid="{00000000-0005-0000-0000-00007B270000}"/>
    <cellStyle name="Separador de milhares 3 10 7 2 2 4" xfId="16264" xr:uid="{00000000-0005-0000-0000-00007C270000}"/>
    <cellStyle name="Separador de milhares 3 10 7 2 2 4 2" xfId="42457" xr:uid="{00000000-0005-0000-0000-00007D270000}"/>
    <cellStyle name="Separador de milhares 3 10 7 2 2 5" xfId="36071" xr:uid="{00000000-0005-0000-0000-00007E270000}"/>
    <cellStyle name="Separador de milhares 3 10 7 2 3" xfId="25135" xr:uid="{00000000-0005-0000-0000-00007F270000}"/>
    <cellStyle name="Separador de milhares 3 10 7 2 3 2" xfId="51319" xr:uid="{00000000-0005-0000-0000-000080270000}"/>
    <cellStyle name="Separador de milhares 3 10 7 2 4" xfId="19221" xr:uid="{00000000-0005-0000-0000-000081270000}"/>
    <cellStyle name="Separador de milhares 3 10 7 2 4 2" xfId="45411" xr:uid="{00000000-0005-0000-0000-000082270000}"/>
    <cellStyle name="Separador de milhares 3 10 7 2 5" xfId="13120" xr:uid="{00000000-0005-0000-0000-000083270000}"/>
    <cellStyle name="Separador de milhares 3 10 7 2 5 2" xfId="39313" xr:uid="{00000000-0005-0000-0000-000084270000}"/>
    <cellStyle name="Separador de milhares 3 10 7 2 6" xfId="32927" xr:uid="{00000000-0005-0000-0000-000085270000}"/>
    <cellStyle name="Separador de milhares 3 10 7 3" xfId="8410" xr:uid="{00000000-0005-0000-0000-000086270000}"/>
    <cellStyle name="Separador de milhares 3 10 7 3 2" xfId="26624" xr:uid="{00000000-0005-0000-0000-000087270000}"/>
    <cellStyle name="Separador de milhares 3 10 7 3 2 2" xfId="52805" xr:uid="{00000000-0005-0000-0000-000088270000}"/>
    <cellStyle name="Separador de milhares 3 10 7 3 3" xfId="20710" xr:uid="{00000000-0005-0000-0000-000089270000}"/>
    <cellStyle name="Separador de milhares 3 10 7 3 3 2" xfId="46897" xr:uid="{00000000-0005-0000-0000-00008A270000}"/>
    <cellStyle name="Separador de milhares 3 10 7 3 4" xfId="14796" xr:uid="{00000000-0005-0000-0000-00008B270000}"/>
    <cellStyle name="Separador de milhares 3 10 7 3 4 2" xfId="40989" xr:uid="{00000000-0005-0000-0000-00008C270000}"/>
    <cellStyle name="Separador de milhares 3 10 7 3 5" xfId="34603" xr:uid="{00000000-0005-0000-0000-00008D270000}"/>
    <cellStyle name="Separador de milhares 3 10 7 4" xfId="5032" xr:uid="{00000000-0005-0000-0000-00008E270000}"/>
    <cellStyle name="Separador de milhares 3 10 7 4 2" xfId="23667" xr:uid="{00000000-0005-0000-0000-00008F270000}"/>
    <cellStyle name="Separador de milhares 3 10 7 4 2 2" xfId="49851" xr:uid="{00000000-0005-0000-0000-000090270000}"/>
    <cellStyle name="Separador de milhares 3 10 7 4 3" xfId="31228" xr:uid="{00000000-0005-0000-0000-000091270000}"/>
    <cellStyle name="Separador de milhares 3 10 7 5" xfId="17753" xr:uid="{00000000-0005-0000-0000-000092270000}"/>
    <cellStyle name="Separador de milhares 3 10 7 5 2" xfId="43943" xr:uid="{00000000-0005-0000-0000-000093270000}"/>
    <cellStyle name="Separador de milhares 3 10 7 6" xfId="11419" xr:uid="{00000000-0005-0000-0000-000094270000}"/>
    <cellStyle name="Separador de milhares 3 10 7 6 2" xfId="37612" xr:uid="{00000000-0005-0000-0000-000095270000}"/>
    <cellStyle name="Separador de milhares 3 10 7 7" xfId="29530" xr:uid="{00000000-0005-0000-0000-000096270000}"/>
    <cellStyle name="Separador de milhares 3 10 8" xfId="1525" xr:uid="{00000000-0005-0000-0000-000097270000}"/>
    <cellStyle name="Separador de milhares 3 10 8 2" xfId="6850" xr:uid="{00000000-0005-0000-0000-000098270000}"/>
    <cellStyle name="Separador de milhares 3 10 8 2 2" xfId="9997" xr:uid="{00000000-0005-0000-0000-000099270000}"/>
    <cellStyle name="Separador de milhares 3 10 8 2 2 2" xfId="28211" xr:uid="{00000000-0005-0000-0000-00009A270000}"/>
    <cellStyle name="Separador de milhares 3 10 8 2 2 2 2" xfId="54392" xr:uid="{00000000-0005-0000-0000-00009B270000}"/>
    <cellStyle name="Separador de milhares 3 10 8 2 2 3" xfId="22297" xr:uid="{00000000-0005-0000-0000-00009C270000}"/>
    <cellStyle name="Separador de milhares 3 10 8 2 2 3 2" xfId="48484" xr:uid="{00000000-0005-0000-0000-00009D270000}"/>
    <cellStyle name="Separador de milhares 3 10 8 2 2 4" xfId="16383" xr:uid="{00000000-0005-0000-0000-00009E270000}"/>
    <cellStyle name="Separador de milhares 3 10 8 2 2 4 2" xfId="42576" xr:uid="{00000000-0005-0000-0000-00009F270000}"/>
    <cellStyle name="Separador de milhares 3 10 8 2 2 5" xfId="36190" xr:uid="{00000000-0005-0000-0000-0000A0270000}"/>
    <cellStyle name="Separador de milhares 3 10 8 2 3" xfId="25254" xr:uid="{00000000-0005-0000-0000-0000A1270000}"/>
    <cellStyle name="Separador de milhares 3 10 8 2 3 2" xfId="51438" xr:uid="{00000000-0005-0000-0000-0000A2270000}"/>
    <cellStyle name="Separador de milhares 3 10 8 2 4" xfId="19340" xr:uid="{00000000-0005-0000-0000-0000A3270000}"/>
    <cellStyle name="Separador de milhares 3 10 8 2 4 2" xfId="45530" xr:uid="{00000000-0005-0000-0000-0000A4270000}"/>
    <cellStyle name="Separador de milhares 3 10 8 2 5" xfId="13239" xr:uid="{00000000-0005-0000-0000-0000A5270000}"/>
    <cellStyle name="Separador de milhares 3 10 8 2 5 2" xfId="39432" xr:uid="{00000000-0005-0000-0000-0000A6270000}"/>
    <cellStyle name="Separador de milhares 3 10 8 2 6" xfId="33046" xr:uid="{00000000-0005-0000-0000-0000A7270000}"/>
    <cellStyle name="Separador de milhares 3 10 8 3" xfId="8529" xr:uid="{00000000-0005-0000-0000-0000A8270000}"/>
    <cellStyle name="Separador de milhares 3 10 8 3 2" xfId="26743" xr:uid="{00000000-0005-0000-0000-0000A9270000}"/>
    <cellStyle name="Separador de milhares 3 10 8 3 2 2" xfId="52924" xr:uid="{00000000-0005-0000-0000-0000AA270000}"/>
    <cellStyle name="Separador de milhares 3 10 8 3 3" xfId="20829" xr:uid="{00000000-0005-0000-0000-0000AB270000}"/>
    <cellStyle name="Separador de milhares 3 10 8 3 3 2" xfId="47016" xr:uid="{00000000-0005-0000-0000-0000AC270000}"/>
    <cellStyle name="Separador de milhares 3 10 8 3 4" xfId="14915" xr:uid="{00000000-0005-0000-0000-0000AD270000}"/>
    <cellStyle name="Separador de milhares 3 10 8 3 4 2" xfId="41108" xr:uid="{00000000-0005-0000-0000-0000AE270000}"/>
    <cellStyle name="Separador de milhares 3 10 8 3 5" xfId="34722" xr:uid="{00000000-0005-0000-0000-0000AF270000}"/>
    <cellStyle name="Separador de milhares 3 10 8 4" xfId="5151" xr:uid="{00000000-0005-0000-0000-0000B0270000}"/>
    <cellStyle name="Separador de milhares 3 10 8 4 2" xfId="23786" xr:uid="{00000000-0005-0000-0000-0000B1270000}"/>
    <cellStyle name="Separador de milhares 3 10 8 4 2 2" xfId="49970" xr:uid="{00000000-0005-0000-0000-0000B2270000}"/>
    <cellStyle name="Separador de milhares 3 10 8 4 3" xfId="31347" xr:uid="{00000000-0005-0000-0000-0000B3270000}"/>
    <cellStyle name="Separador de milhares 3 10 8 5" xfId="17872" xr:uid="{00000000-0005-0000-0000-0000B4270000}"/>
    <cellStyle name="Separador de milhares 3 10 8 5 2" xfId="44062" xr:uid="{00000000-0005-0000-0000-0000B5270000}"/>
    <cellStyle name="Separador de milhares 3 10 8 6" xfId="11538" xr:uid="{00000000-0005-0000-0000-0000B6270000}"/>
    <cellStyle name="Separador de milhares 3 10 8 6 2" xfId="37731" xr:uid="{00000000-0005-0000-0000-0000B7270000}"/>
    <cellStyle name="Separador de milhares 3 10 8 7" xfId="29649" xr:uid="{00000000-0005-0000-0000-0000B8270000}"/>
    <cellStyle name="Separador de milhares 3 10 9" xfId="2055" xr:uid="{00000000-0005-0000-0000-0000B9270000}"/>
    <cellStyle name="Separador de milhares 3 10 9 2" xfId="7000" xr:uid="{00000000-0005-0000-0000-0000BA270000}"/>
    <cellStyle name="Separador de milhares 3 10 9 2 2" xfId="10144" xr:uid="{00000000-0005-0000-0000-0000BB270000}"/>
    <cellStyle name="Separador de milhares 3 10 9 2 2 2" xfId="28358" xr:uid="{00000000-0005-0000-0000-0000BC270000}"/>
    <cellStyle name="Separador de milhares 3 10 9 2 2 2 2" xfId="54539" xr:uid="{00000000-0005-0000-0000-0000BD270000}"/>
    <cellStyle name="Separador de milhares 3 10 9 2 2 3" xfId="22444" xr:uid="{00000000-0005-0000-0000-0000BE270000}"/>
    <cellStyle name="Separador de milhares 3 10 9 2 2 3 2" xfId="48631" xr:uid="{00000000-0005-0000-0000-0000BF270000}"/>
    <cellStyle name="Separador de milhares 3 10 9 2 2 4" xfId="16530" xr:uid="{00000000-0005-0000-0000-0000C0270000}"/>
    <cellStyle name="Separador de milhares 3 10 9 2 2 4 2" xfId="42723" xr:uid="{00000000-0005-0000-0000-0000C1270000}"/>
    <cellStyle name="Separador de milhares 3 10 9 2 2 5" xfId="36337" xr:uid="{00000000-0005-0000-0000-0000C2270000}"/>
    <cellStyle name="Separador de milhares 3 10 9 2 3" xfId="25401" xr:uid="{00000000-0005-0000-0000-0000C3270000}"/>
    <cellStyle name="Separador de milhares 3 10 9 2 3 2" xfId="51585" xr:uid="{00000000-0005-0000-0000-0000C4270000}"/>
    <cellStyle name="Separador de milhares 3 10 9 2 4" xfId="19487" xr:uid="{00000000-0005-0000-0000-0000C5270000}"/>
    <cellStyle name="Separador de milhares 3 10 9 2 4 2" xfId="45677" xr:uid="{00000000-0005-0000-0000-0000C6270000}"/>
    <cellStyle name="Separador de milhares 3 10 9 2 5" xfId="13389" xr:uid="{00000000-0005-0000-0000-0000C7270000}"/>
    <cellStyle name="Separador de milhares 3 10 9 2 5 2" xfId="39582" xr:uid="{00000000-0005-0000-0000-0000C8270000}"/>
    <cellStyle name="Separador de milhares 3 10 9 2 6" xfId="33196" xr:uid="{00000000-0005-0000-0000-0000C9270000}"/>
    <cellStyle name="Separador de milhares 3 10 9 3" xfId="8676" xr:uid="{00000000-0005-0000-0000-0000CA270000}"/>
    <cellStyle name="Separador de milhares 3 10 9 3 2" xfId="26890" xr:uid="{00000000-0005-0000-0000-0000CB270000}"/>
    <cellStyle name="Separador de milhares 3 10 9 3 2 2" xfId="53071" xr:uid="{00000000-0005-0000-0000-0000CC270000}"/>
    <cellStyle name="Separador de milhares 3 10 9 3 3" xfId="20976" xr:uid="{00000000-0005-0000-0000-0000CD270000}"/>
    <cellStyle name="Separador de milhares 3 10 9 3 3 2" xfId="47163" xr:uid="{00000000-0005-0000-0000-0000CE270000}"/>
    <cellStyle name="Separador de milhares 3 10 9 3 4" xfId="15062" xr:uid="{00000000-0005-0000-0000-0000CF270000}"/>
    <cellStyle name="Separador de milhares 3 10 9 3 4 2" xfId="41255" xr:uid="{00000000-0005-0000-0000-0000D0270000}"/>
    <cellStyle name="Separador de milhares 3 10 9 3 5" xfId="34869" xr:uid="{00000000-0005-0000-0000-0000D1270000}"/>
    <cellStyle name="Separador de milhares 3 10 9 4" xfId="5301" xr:uid="{00000000-0005-0000-0000-0000D2270000}"/>
    <cellStyle name="Separador de milhares 3 10 9 4 2" xfId="23933" xr:uid="{00000000-0005-0000-0000-0000D3270000}"/>
    <cellStyle name="Separador de milhares 3 10 9 4 2 2" xfId="50117" xr:uid="{00000000-0005-0000-0000-0000D4270000}"/>
    <cellStyle name="Separador de milhares 3 10 9 4 3" xfId="31497" xr:uid="{00000000-0005-0000-0000-0000D5270000}"/>
    <cellStyle name="Separador de milhares 3 10 9 5" xfId="18019" xr:uid="{00000000-0005-0000-0000-0000D6270000}"/>
    <cellStyle name="Separador de milhares 3 10 9 5 2" xfId="44209" xr:uid="{00000000-0005-0000-0000-0000D7270000}"/>
    <cellStyle name="Separador de milhares 3 10 9 6" xfId="11688" xr:uid="{00000000-0005-0000-0000-0000D8270000}"/>
    <cellStyle name="Separador de milhares 3 10 9 6 2" xfId="37881" xr:uid="{00000000-0005-0000-0000-0000D9270000}"/>
    <cellStyle name="Separador de milhares 3 10 9 7" xfId="29799" xr:uid="{00000000-0005-0000-0000-0000DA270000}"/>
    <cellStyle name="Separador de milhares 3 11" xfId="87" xr:uid="{00000000-0005-0000-0000-0000DB270000}"/>
    <cellStyle name="Separador de milhares 3 11 10" xfId="2590" xr:uid="{00000000-0005-0000-0000-0000DC270000}"/>
    <cellStyle name="Separador de milhares 3 11 10 2" xfId="7149" xr:uid="{00000000-0005-0000-0000-0000DD270000}"/>
    <cellStyle name="Separador de milhares 3 11 10 2 2" xfId="10293" xr:uid="{00000000-0005-0000-0000-0000DE270000}"/>
    <cellStyle name="Separador de milhares 3 11 10 2 2 2" xfId="28507" xr:uid="{00000000-0005-0000-0000-0000DF270000}"/>
    <cellStyle name="Separador de milhares 3 11 10 2 2 2 2" xfId="54688" xr:uid="{00000000-0005-0000-0000-0000E0270000}"/>
    <cellStyle name="Separador de milhares 3 11 10 2 2 3" xfId="22593" xr:uid="{00000000-0005-0000-0000-0000E1270000}"/>
    <cellStyle name="Separador de milhares 3 11 10 2 2 3 2" xfId="48780" xr:uid="{00000000-0005-0000-0000-0000E2270000}"/>
    <cellStyle name="Separador de milhares 3 11 10 2 2 4" xfId="16679" xr:uid="{00000000-0005-0000-0000-0000E3270000}"/>
    <cellStyle name="Separador de milhares 3 11 10 2 2 4 2" xfId="42872" xr:uid="{00000000-0005-0000-0000-0000E4270000}"/>
    <cellStyle name="Separador de milhares 3 11 10 2 2 5" xfId="36486" xr:uid="{00000000-0005-0000-0000-0000E5270000}"/>
    <cellStyle name="Separador de milhares 3 11 10 2 3" xfId="25550" xr:uid="{00000000-0005-0000-0000-0000E6270000}"/>
    <cellStyle name="Separador de milhares 3 11 10 2 3 2" xfId="51734" xr:uid="{00000000-0005-0000-0000-0000E7270000}"/>
    <cellStyle name="Separador de milhares 3 11 10 2 4" xfId="19636" xr:uid="{00000000-0005-0000-0000-0000E8270000}"/>
    <cellStyle name="Separador de milhares 3 11 10 2 4 2" xfId="45826" xr:uid="{00000000-0005-0000-0000-0000E9270000}"/>
    <cellStyle name="Separador de milhares 3 11 10 2 5" xfId="13538" xr:uid="{00000000-0005-0000-0000-0000EA270000}"/>
    <cellStyle name="Separador de milhares 3 11 10 2 5 2" xfId="39731" xr:uid="{00000000-0005-0000-0000-0000EB270000}"/>
    <cellStyle name="Separador de milhares 3 11 10 2 6" xfId="33345" xr:uid="{00000000-0005-0000-0000-0000EC270000}"/>
    <cellStyle name="Separador de milhares 3 11 10 3" xfId="8825" xr:uid="{00000000-0005-0000-0000-0000ED270000}"/>
    <cellStyle name="Separador de milhares 3 11 10 3 2" xfId="27039" xr:uid="{00000000-0005-0000-0000-0000EE270000}"/>
    <cellStyle name="Separador de milhares 3 11 10 3 2 2" xfId="53220" xr:uid="{00000000-0005-0000-0000-0000EF270000}"/>
    <cellStyle name="Separador de milhares 3 11 10 3 3" xfId="21125" xr:uid="{00000000-0005-0000-0000-0000F0270000}"/>
    <cellStyle name="Separador de milhares 3 11 10 3 3 2" xfId="47312" xr:uid="{00000000-0005-0000-0000-0000F1270000}"/>
    <cellStyle name="Separador de milhares 3 11 10 3 4" xfId="15211" xr:uid="{00000000-0005-0000-0000-0000F2270000}"/>
    <cellStyle name="Separador de milhares 3 11 10 3 4 2" xfId="41404" xr:uid="{00000000-0005-0000-0000-0000F3270000}"/>
    <cellStyle name="Separador de milhares 3 11 10 3 5" xfId="35018" xr:uid="{00000000-0005-0000-0000-0000F4270000}"/>
    <cellStyle name="Separador de milhares 3 11 10 4" xfId="5450" xr:uid="{00000000-0005-0000-0000-0000F5270000}"/>
    <cellStyle name="Separador de milhares 3 11 10 4 2" xfId="24082" xr:uid="{00000000-0005-0000-0000-0000F6270000}"/>
    <cellStyle name="Separador de milhares 3 11 10 4 2 2" xfId="50266" xr:uid="{00000000-0005-0000-0000-0000F7270000}"/>
    <cellStyle name="Separador de milhares 3 11 10 4 3" xfId="31646" xr:uid="{00000000-0005-0000-0000-0000F8270000}"/>
    <cellStyle name="Separador de milhares 3 11 10 5" xfId="18168" xr:uid="{00000000-0005-0000-0000-0000F9270000}"/>
    <cellStyle name="Separador de milhares 3 11 10 5 2" xfId="44358" xr:uid="{00000000-0005-0000-0000-0000FA270000}"/>
    <cellStyle name="Separador de milhares 3 11 10 6" xfId="11837" xr:uid="{00000000-0005-0000-0000-0000FB270000}"/>
    <cellStyle name="Separador de milhares 3 11 10 6 2" xfId="38030" xr:uid="{00000000-0005-0000-0000-0000FC270000}"/>
    <cellStyle name="Separador de milhares 3 11 10 7" xfId="29948" xr:uid="{00000000-0005-0000-0000-0000FD270000}"/>
    <cellStyle name="Separador de milhares 3 11 11" xfId="3117" xr:uid="{00000000-0005-0000-0000-0000FE270000}"/>
    <cellStyle name="Separador de milhares 3 11 11 2" xfId="7296" xr:uid="{00000000-0005-0000-0000-0000FF270000}"/>
    <cellStyle name="Separador de milhares 3 11 11 2 2" xfId="10440" xr:uid="{00000000-0005-0000-0000-000000280000}"/>
    <cellStyle name="Separador de milhares 3 11 11 2 2 2" xfId="28654" xr:uid="{00000000-0005-0000-0000-000001280000}"/>
    <cellStyle name="Separador de milhares 3 11 11 2 2 2 2" xfId="54835" xr:uid="{00000000-0005-0000-0000-000002280000}"/>
    <cellStyle name="Separador de milhares 3 11 11 2 2 3" xfId="22740" xr:uid="{00000000-0005-0000-0000-000003280000}"/>
    <cellStyle name="Separador de milhares 3 11 11 2 2 3 2" xfId="48927" xr:uid="{00000000-0005-0000-0000-000004280000}"/>
    <cellStyle name="Separador de milhares 3 11 11 2 2 4" xfId="16826" xr:uid="{00000000-0005-0000-0000-000005280000}"/>
    <cellStyle name="Separador de milhares 3 11 11 2 2 4 2" xfId="43019" xr:uid="{00000000-0005-0000-0000-000006280000}"/>
    <cellStyle name="Separador de milhares 3 11 11 2 2 5" xfId="36633" xr:uid="{00000000-0005-0000-0000-000007280000}"/>
    <cellStyle name="Separador de milhares 3 11 11 2 3" xfId="25697" xr:uid="{00000000-0005-0000-0000-000008280000}"/>
    <cellStyle name="Separador de milhares 3 11 11 2 3 2" xfId="51881" xr:uid="{00000000-0005-0000-0000-000009280000}"/>
    <cellStyle name="Separador de milhares 3 11 11 2 4" xfId="19783" xr:uid="{00000000-0005-0000-0000-00000A280000}"/>
    <cellStyle name="Separador de milhares 3 11 11 2 4 2" xfId="45973" xr:uid="{00000000-0005-0000-0000-00000B280000}"/>
    <cellStyle name="Separador de milhares 3 11 11 2 5" xfId="13685" xr:uid="{00000000-0005-0000-0000-00000C280000}"/>
    <cellStyle name="Separador de milhares 3 11 11 2 5 2" xfId="39878" xr:uid="{00000000-0005-0000-0000-00000D280000}"/>
    <cellStyle name="Separador de milhares 3 11 11 2 6" xfId="33492" xr:uid="{00000000-0005-0000-0000-00000E280000}"/>
    <cellStyle name="Separador de milhares 3 11 11 3" xfId="8972" xr:uid="{00000000-0005-0000-0000-00000F280000}"/>
    <cellStyle name="Separador de milhares 3 11 11 3 2" xfId="27186" xr:uid="{00000000-0005-0000-0000-000010280000}"/>
    <cellStyle name="Separador de milhares 3 11 11 3 2 2" xfId="53367" xr:uid="{00000000-0005-0000-0000-000011280000}"/>
    <cellStyle name="Separador de milhares 3 11 11 3 3" xfId="21272" xr:uid="{00000000-0005-0000-0000-000012280000}"/>
    <cellStyle name="Separador de milhares 3 11 11 3 3 2" xfId="47459" xr:uid="{00000000-0005-0000-0000-000013280000}"/>
    <cellStyle name="Separador de milhares 3 11 11 3 4" xfId="15358" xr:uid="{00000000-0005-0000-0000-000014280000}"/>
    <cellStyle name="Separador de milhares 3 11 11 3 4 2" xfId="41551" xr:uid="{00000000-0005-0000-0000-000015280000}"/>
    <cellStyle name="Separador de milhares 3 11 11 3 5" xfId="35165" xr:uid="{00000000-0005-0000-0000-000016280000}"/>
    <cellStyle name="Separador de milhares 3 11 11 4" xfId="5597" xr:uid="{00000000-0005-0000-0000-000017280000}"/>
    <cellStyle name="Separador de milhares 3 11 11 4 2" xfId="24229" xr:uid="{00000000-0005-0000-0000-000018280000}"/>
    <cellStyle name="Separador de milhares 3 11 11 4 2 2" xfId="50413" xr:uid="{00000000-0005-0000-0000-000019280000}"/>
    <cellStyle name="Separador de milhares 3 11 11 4 3" xfId="31793" xr:uid="{00000000-0005-0000-0000-00001A280000}"/>
    <cellStyle name="Separador de milhares 3 11 11 5" xfId="18315" xr:uid="{00000000-0005-0000-0000-00001B280000}"/>
    <cellStyle name="Separador de milhares 3 11 11 5 2" xfId="44505" xr:uid="{00000000-0005-0000-0000-00001C280000}"/>
    <cellStyle name="Separador de milhares 3 11 11 6" xfId="11984" xr:uid="{00000000-0005-0000-0000-00001D280000}"/>
    <cellStyle name="Separador de milhares 3 11 11 6 2" xfId="38177" xr:uid="{00000000-0005-0000-0000-00001E280000}"/>
    <cellStyle name="Separador de milhares 3 11 11 7" xfId="30095" xr:uid="{00000000-0005-0000-0000-00001F280000}"/>
    <cellStyle name="Separador de milhares 3 11 12" xfId="3644" xr:uid="{00000000-0005-0000-0000-000020280000}"/>
    <cellStyle name="Separador de milhares 3 11 12 2" xfId="7443" xr:uid="{00000000-0005-0000-0000-000021280000}"/>
    <cellStyle name="Separador de milhares 3 11 12 2 2" xfId="10587" xr:uid="{00000000-0005-0000-0000-000022280000}"/>
    <cellStyle name="Separador de milhares 3 11 12 2 2 2" xfId="28801" xr:uid="{00000000-0005-0000-0000-000023280000}"/>
    <cellStyle name="Separador de milhares 3 11 12 2 2 2 2" xfId="54982" xr:uid="{00000000-0005-0000-0000-000024280000}"/>
    <cellStyle name="Separador de milhares 3 11 12 2 2 3" xfId="22887" xr:uid="{00000000-0005-0000-0000-000025280000}"/>
    <cellStyle name="Separador de milhares 3 11 12 2 2 3 2" xfId="49074" xr:uid="{00000000-0005-0000-0000-000026280000}"/>
    <cellStyle name="Separador de milhares 3 11 12 2 2 4" xfId="16973" xr:uid="{00000000-0005-0000-0000-000027280000}"/>
    <cellStyle name="Separador de milhares 3 11 12 2 2 4 2" xfId="43166" xr:uid="{00000000-0005-0000-0000-000028280000}"/>
    <cellStyle name="Separador de milhares 3 11 12 2 2 5" xfId="36780" xr:uid="{00000000-0005-0000-0000-000029280000}"/>
    <cellStyle name="Separador de milhares 3 11 12 2 3" xfId="25844" xr:uid="{00000000-0005-0000-0000-00002A280000}"/>
    <cellStyle name="Separador de milhares 3 11 12 2 3 2" xfId="52028" xr:uid="{00000000-0005-0000-0000-00002B280000}"/>
    <cellStyle name="Separador de milhares 3 11 12 2 4" xfId="19930" xr:uid="{00000000-0005-0000-0000-00002C280000}"/>
    <cellStyle name="Separador de milhares 3 11 12 2 4 2" xfId="46120" xr:uid="{00000000-0005-0000-0000-00002D280000}"/>
    <cellStyle name="Separador de milhares 3 11 12 2 5" xfId="13832" xr:uid="{00000000-0005-0000-0000-00002E280000}"/>
    <cellStyle name="Separador de milhares 3 11 12 2 5 2" xfId="40025" xr:uid="{00000000-0005-0000-0000-00002F280000}"/>
    <cellStyle name="Separador de milhares 3 11 12 2 6" xfId="33639" xr:uid="{00000000-0005-0000-0000-000030280000}"/>
    <cellStyle name="Separador de milhares 3 11 12 3" xfId="9119" xr:uid="{00000000-0005-0000-0000-000031280000}"/>
    <cellStyle name="Separador de milhares 3 11 12 3 2" xfId="27333" xr:uid="{00000000-0005-0000-0000-000032280000}"/>
    <cellStyle name="Separador de milhares 3 11 12 3 2 2" xfId="53514" xr:uid="{00000000-0005-0000-0000-000033280000}"/>
    <cellStyle name="Separador de milhares 3 11 12 3 3" xfId="21419" xr:uid="{00000000-0005-0000-0000-000034280000}"/>
    <cellStyle name="Separador de milhares 3 11 12 3 3 2" xfId="47606" xr:uid="{00000000-0005-0000-0000-000035280000}"/>
    <cellStyle name="Separador de milhares 3 11 12 3 4" xfId="15505" xr:uid="{00000000-0005-0000-0000-000036280000}"/>
    <cellStyle name="Separador de milhares 3 11 12 3 4 2" xfId="41698" xr:uid="{00000000-0005-0000-0000-000037280000}"/>
    <cellStyle name="Separador de milhares 3 11 12 3 5" xfId="35312" xr:uid="{00000000-0005-0000-0000-000038280000}"/>
    <cellStyle name="Separador de milhares 3 11 12 4" xfId="5744" xr:uid="{00000000-0005-0000-0000-000039280000}"/>
    <cellStyle name="Separador de milhares 3 11 12 4 2" xfId="24376" xr:uid="{00000000-0005-0000-0000-00003A280000}"/>
    <cellStyle name="Separador de milhares 3 11 12 4 2 2" xfId="50560" xr:uid="{00000000-0005-0000-0000-00003B280000}"/>
    <cellStyle name="Separador de milhares 3 11 12 4 3" xfId="31940" xr:uid="{00000000-0005-0000-0000-00003C280000}"/>
    <cellStyle name="Separador de milhares 3 11 12 5" xfId="18462" xr:uid="{00000000-0005-0000-0000-00003D280000}"/>
    <cellStyle name="Separador de milhares 3 11 12 5 2" xfId="44652" xr:uid="{00000000-0005-0000-0000-00003E280000}"/>
    <cellStyle name="Separador de milhares 3 11 12 6" xfId="12131" xr:uid="{00000000-0005-0000-0000-00003F280000}"/>
    <cellStyle name="Separador de milhares 3 11 12 6 2" xfId="38324" xr:uid="{00000000-0005-0000-0000-000040280000}"/>
    <cellStyle name="Separador de milhares 3 11 12 7" xfId="30242" xr:uid="{00000000-0005-0000-0000-000041280000}"/>
    <cellStyle name="Separador de milhares 3 11 13" xfId="6427" xr:uid="{00000000-0005-0000-0000-000042280000}"/>
    <cellStyle name="Separador de milhares 3 11 13 2" xfId="9583" xr:uid="{00000000-0005-0000-0000-000043280000}"/>
    <cellStyle name="Separador de milhares 3 11 13 2 2" xfId="27797" xr:uid="{00000000-0005-0000-0000-000044280000}"/>
    <cellStyle name="Separador de milhares 3 11 13 2 2 2" xfId="53978" xr:uid="{00000000-0005-0000-0000-000045280000}"/>
    <cellStyle name="Separador de milhares 3 11 13 2 3" xfId="21883" xr:uid="{00000000-0005-0000-0000-000046280000}"/>
    <cellStyle name="Separador de milhares 3 11 13 2 3 2" xfId="48070" xr:uid="{00000000-0005-0000-0000-000047280000}"/>
    <cellStyle name="Separador de milhares 3 11 13 2 4" xfId="15969" xr:uid="{00000000-0005-0000-0000-000048280000}"/>
    <cellStyle name="Separador de milhares 3 11 13 2 4 2" xfId="42162" xr:uid="{00000000-0005-0000-0000-000049280000}"/>
    <cellStyle name="Separador de milhares 3 11 13 2 5" xfId="35776" xr:uid="{00000000-0005-0000-0000-00004A280000}"/>
    <cellStyle name="Separador de milhares 3 11 13 3" xfId="24840" xr:uid="{00000000-0005-0000-0000-00004B280000}"/>
    <cellStyle name="Separador de milhares 3 11 13 3 2" xfId="51024" xr:uid="{00000000-0005-0000-0000-00004C280000}"/>
    <cellStyle name="Separador de milhares 3 11 13 4" xfId="18926" xr:uid="{00000000-0005-0000-0000-00004D280000}"/>
    <cellStyle name="Separador de milhares 3 11 13 4 2" xfId="45116" xr:uid="{00000000-0005-0000-0000-00004E280000}"/>
    <cellStyle name="Separador de milhares 3 11 13 5" xfId="12816" xr:uid="{00000000-0005-0000-0000-00004F280000}"/>
    <cellStyle name="Separador de milhares 3 11 13 5 2" xfId="39009" xr:uid="{00000000-0005-0000-0000-000050280000}"/>
    <cellStyle name="Separador de milhares 3 11 13 6" xfId="32623" xr:uid="{00000000-0005-0000-0000-000051280000}"/>
    <cellStyle name="Separador de milhares 3 11 14" xfId="8112" xr:uid="{00000000-0005-0000-0000-000052280000}"/>
    <cellStyle name="Separador de milhares 3 11 14 2" xfId="26326" xr:uid="{00000000-0005-0000-0000-000053280000}"/>
    <cellStyle name="Separador de milhares 3 11 14 2 2" xfId="52510" xr:uid="{00000000-0005-0000-0000-000054280000}"/>
    <cellStyle name="Separador de milhares 3 11 14 3" xfId="20412" xr:uid="{00000000-0005-0000-0000-000055280000}"/>
    <cellStyle name="Separador de milhares 3 11 14 3 2" xfId="46602" xr:uid="{00000000-0005-0000-0000-000056280000}"/>
    <cellStyle name="Separador de milhares 3 11 14 4" xfId="14501" xr:uid="{00000000-0005-0000-0000-000057280000}"/>
    <cellStyle name="Separador de milhares 3 11 14 4 2" xfId="40694" xr:uid="{00000000-0005-0000-0000-000058280000}"/>
    <cellStyle name="Separador de milhares 3 11 14 5" xfId="34308" xr:uid="{00000000-0005-0000-0000-000059280000}"/>
    <cellStyle name="Separador de milhares 3 11 15" xfId="4725" xr:uid="{00000000-0005-0000-0000-00005A280000}"/>
    <cellStyle name="Separador de milhares 3 11 15 2" xfId="23369" xr:uid="{00000000-0005-0000-0000-00005B280000}"/>
    <cellStyle name="Separador de milhares 3 11 15 2 2" xfId="49556" xr:uid="{00000000-0005-0000-0000-00005C280000}"/>
    <cellStyle name="Separador de milhares 3 11 15 3" xfId="30924" xr:uid="{00000000-0005-0000-0000-00005D280000}"/>
    <cellStyle name="Separador de milhares 3 11 16" xfId="17455" xr:uid="{00000000-0005-0000-0000-00005E280000}"/>
    <cellStyle name="Separador de milhares 3 11 16 2" xfId="43648" xr:uid="{00000000-0005-0000-0000-00005F280000}"/>
    <cellStyle name="Separador de milhares 3 11 17" xfId="11115" xr:uid="{00000000-0005-0000-0000-000060280000}"/>
    <cellStyle name="Separador de milhares 3 11 17 2" xfId="37308" xr:uid="{00000000-0005-0000-0000-000061280000}"/>
    <cellStyle name="Separador de milhares 3 11 18" xfId="29226" xr:uid="{00000000-0005-0000-0000-000062280000}"/>
    <cellStyle name="Separador de milhares 3 11 2" xfId="181" xr:uid="{00000000-0005-0000-0000-000063280000}"/>
    <cellStyle name="Separador de milhares 3 11 2 10" xfId="6456" xr:uid="{00000000-0005-0000-0000-000064280000}"/>
    <cellStyle name="Separador de milhares 3 11 2 10 2" xfId="9610" xr:uid="{00000000-0005-0000-0000-000065280000}"/>
    <cellStyle name="Separador de milhares 3 11 2 10 2 2" xfId="27824" xr:uid="{00000000-0005-0000-0000-000066280000}"/>
    <cellStyle name="Separador de milhares 3 11 2 10 2 2 2" xfId="54005" xr:uid="{00000000-0005-0000-0000-000067280000}"/>
    <cellStyle name="Separador de milhares 3 11 2 10 2 3" xfId="21910" xr:uid="{00000000-0005-0000-0000-000068280000}"/>
    <cellStyle name="Separador de milhares 3 11 2 10 2 3 2" xfId="48097" xr:uid="{00000000-0005-0000-0000-000069280000}"/>
    <cellStyle name="Separador de milhares 3 11 2 10 2 4" xfId="15996" xr:uid="{00000000-0005-0000-0000-00006A280000}"/>
    <cellStyle name="Separador de milhares 3 11 2 10 2 4 2" xfId="42189" xr:uid="{00000000-0005-0000-0000-00006B280000}"/>
    <cellStyle name="Separador de milhares 3 11 2 10 2 5" xfId="35803" xr:uid="{00000000-0005-0000-0000-00006C280000}"/>
    <cellStyle name="Separador de milhares 3 11 2 10 3" xfId="24867" xr:uid="{00000000-0005-0000-0000-00006D280000}"/>
    <cellStyle name="Separador de milhares 3 11 2 10 3 2" xfId="51051" xr:uid="{00000000-0005-0000-0000-00006E280000}"/>
    <cellStyle name="Separador de milhares 3 11 2 10 4" xfId="18953" xr:uid="{00000000-0005-0000-0000-00006F280000}"/>
    <cellStyle name="Separador de milhares 3 11 2 10 4 2" xfId="45143" xr:uid="{00000000-0005-0000-0000-000070280000}"/>
    <cellStyle name="Separador de milhares 3 11 2 10 5" xfId="12845" xr:uid="{00000000-0005-0000-0000-000071280000}"/>
    <cellStyle name="Separador de milhares 3 11 2 10 5 2" xfId="39038" xr:uid="{00000000-0005-0000-0000-000072280000}"/>
    <cellStyle name="Separador de milhares 3 11 2 10 6" xfId="32652" xr:uid="{00000000-0005-0000-0000-000073280000}"/>
    <cellStyle name="Separador de milhares 3 11 2 11" xfId="8139" xr:uid="{00000000-0005-0000-0000-000074280000}"/>
    <cellStyle name="Separador de milhares 3 11 2 11 2" xfId="26353" xr:uid="{00000000-0005-0000-0000-000075280000}"/>
    <cellStyle name="Separador de milhares 3 11 2 11 2 2" xfId="52537" xr:uid="{00000000-0005-0000-0000-000076280000}"/>
    <cellStyle name="Separador de milhares 3 11 2 11 3" xfId="20439" xr:uid="{00000000-0005-0000-0000-000077280000}"/>
    <cellStyle name="Separador de milhares 3 11 2 11 3 2" xfId="46629" xr:uid="{00000000-0005-0000-0000-000078280000}"/>
    <cellStyle name="Separador de milhares 3 11 2 11 4" xfId="14528" xr:uid="{00000000-0005-0000-0000-000079280000}"/>
    <cellStyle name="Separador de milhares 3 11 2 11 4 2" xfId="40721" xr:uid="{00000000-0005-0000-0000-00007A280000}"/>
    <cellStyle name="Separador de milhares 3 11 2 11 5" xfId="34335" xr:uid="{00000000-0005-0000-0000-00007B280000}"/>
    <cellStyle name="Separador de milhares 3 11 2 12" xfId="4755" xr:uid="{00000000-0005-0000-0000-00007C280000}"/>
    <cellStyle name="Separador de milhares 3 11 2 12 2" xfId="23396" xr:uid="{00000000-0005-0000-0000-00007D280000}"/>
    <cellStyle name="Separador de milhares 3 11 2 12 2 2" xfId="49583" xr:uid="{00000000-0005-0000-0000-00007E280000}"/>
    <cellStyle name="Separador de milhares 3 11 2 12 3" xfId="30953" xr:uid="{00000000-0005-0000-0000-00007F280000}"/>
    <cellStyle name="Separador de milhares 3 11 2 13" xfId="17482" xr:uid="{00000000-0005-0000-0000-000080280000}"/>
    <cellStyle name="Separador de milhares 3 11 2 13 2" xfId="43675" xr:uid="{00000000-0005-0000-0000-000081280000}"/>
    <cellStyle name="Separador de milhares 3 11 2 14" xfId="11144" xr:uid="{00000000-0005-0000-0000-000082280000}"/>
    <cellStyle name="Separador de milhares 3 11 2 14 2" xfId="37337" xr:uid="{00000000-0005-0000-0000-000083280000}"/>
    <cellStyle name="Separador de milhares 3 11 2 15" xfId="29256" xr:uid="{00000000-0005-0000-0000-000084280000}"/>
    <cellStyle name="Separador de milhares 3 11 2 2" xfId="454" xr:uid="{00000000-0005-0000-0000-000085280000}"/>
    <cellStyle name="Separador de milhares 3 11 2 2 10" xfId="17556" xr:uid="{00000000-0005-0000-0000-000086280000}"/>
    <cellStyle name="Separador de milhares 3 11 2 2 10 2" xfId="43749" xr:uid="{00000000-0005-0000-0000-000087280000}"/>
    <cellStyle name="Separador de milhares 3 11 2 2 11" xfId="11225" xr:uid="{00000000-0005-0000-0000-000088280000}"/>
    <cellStyle name="Separador de milhares 3 11 2 2 11 2" xfId="37418" xr:uid="{00000000-0005-0000-0000-000089280000}"/>
    <cellStyle name="Separador de milhares 3 11 2 2 12" xfId="29336" xr:uid="{00000000-0005-0000-0000-00008A280000}"/>
    <cellStyle name="Separador de milhares 3 11 2 2 2" xfId="1973" xr:uid="{00000000-0005-0000-0000-00008B280000}"/>
    <cellStyle name="Separador de milhares 3 11 2 2 2 2" xfId="6975" xr:uid="{00000000-0005-0000-0000-00008C280000}"/>
    <cellStyle name="Separador de milhares 3 11 2 2 2 2 2" xfId="10122" xr:uid="{00000000-0005-0000-0000-00008D280000}"/>
    <cellStyle name="Separador de milhares 3 11 2 2 2 2 2 2" xfId="28336" xr:uid="{00000000-0005-0000-0000-00008E280000}"/>
    <cellStyle name="Separador de milhares 3 11 2 2 2 2 2 2 2" xfId="54517" xr:uid="{00000000-0005-0000-0000-00008F280000}"/>
    <cellStyle name="Separador de milhares 3 11 2 2 2 2 2 3" xfId="22422" xr:uid="{00000000-0005-0000-0000-000090280000}"/>
    <cellStyle name="Separador de milhares 3 11 2 2 2 2 2 3 2" xfId="48609" xr:uid="{00000000-0005-0000-0000-000091280000}"/>
    <cellStyle name="Separador de milhares 3 11 2 2 2 2 2 4" xfId="16508" xr:uid="{00000000-0005-0000-0000-000092280000}"/>
    <cellStyle name="Separador de milhares 3 11 2 2 2 2 2 4 2" xfId="42701" xr:uid="{00000000-0005-0000-0000-000093280000}"/>
    <cellStyle name="Separador de milhares 3 11 2 2 2 2 2 5" xfId="36315" xr:uid="{00000000-0005-0000-0000-000094280000}"/>
    <cellStyle name="Separador de milhares 3 11 2 2 2 2 3" xfId="25379" xr:uid="{00000000-0005-0000-0000-000095280000}"/>
    <cellStyle name="Separador de milhares 3 11 2 2 2 2 3 2" xfId="51563" xr:uid="{00000000-0005-0000-0000-000096280000}"/>
    <cellStyle name="Separador de milhares 3 11 2 2 2 2 4" xfId="19465" xr:uid="{00000000-0005-0000-0000-000097280000}"/>
    <cellStyle name="Separador de milhares 3 11 2 2 2 2 4 2" xfId="45655" xr:uid="{00000000-0005-0000-0000-000098280000}"/>
    <cellStyle name="Separador de milhares 3 11 2 2 2 2 5" xfId="13364" xr:uid="{00000000-0005-0000-0000-000099280000}"/>
    <cellStyle name="Separador de milhares 3 11 2 2 2 2 5 2" xfId="39557" xr:uid="{00000000-0005-0000-0000-00009A280000}"/>
    <cellStyle name="Separador de milhares 3 11 2 2 2 2 6" xfId="33171" xr:uid="{00000000-0005-0000-0000-00009B280000}"/>
    <cellStyle name="Separador de milhares 3 11 2 2 2 3" xfId="8654" xr:uid="{00000000-0005-0000-0000-00009C280000}"/>
    <cellStyle name="Separador de milhares 3 11 2 2 2 3 2" xfId="26868" xr:uid="{00000000-0005-0000-0000-00009D280000}"/>
    <cellStyle name="Separador de milhares 3 11 2 2 2 3 2 2" xfId="53049" xr:uid="{00000000-0005-0000-0000-00009E280000}"/>
    <cellStyle name="Separador de milhares 3 11 2 2 2 3 3" xfId="20954" xr:uid="{00000000-0005-0000-0000-00009F280000}"/>
    <cellStyle name="Separador de milhares 3 11 2 2 2 3 3 2" xfId="47141" xr:uid="{00000000-0005-0000-0000-0000A0280000}"/>
    <cellStyle name="Separador de milhares 3 11 2 2 2 3 4" xfId="15040" xr:uid="{00000000-0005-0000-0000-0000A1280000}"/>
    <cellStyle name="Separador de milhares 3 11 2 2 2 3 4 2" xfId="41233" xr:uid="{00000000-0005-0000-0000-0000A2280000}"/>
    <cellStyle name="Separador de milhares 3 11 2 2 2 3 5" xfId="34847" xr:uid="{00000000-0005-0000-0000-0000A3280000}"/>
    <cellStyle name="Separador de milhares 3 11 2 2 2 4" xfId="5276" xr:uid="{00000000-0005-0000-0000-0000A4280000}"/>
    <cellStyle name="Separador de milhares 3 11 2 2 2 4 2" xfId="23911" xr:uid="{00000000-0005-0000-0000-0000A5280000}"/>
    <cellStyle name="Separador de milhares 3 11 2 2 2 4 2 2" xfId="50095" xr:uid="{00000000-0005-0000-0000-0000A6280000}"/>
    <cellStyle name="Separador de milhares 3 11 2 2 2 4 3" xfId="31472" xr:uid="{00000000-0005-0000-0000-0000A7280000}"/>
    <cellStyle name="Separador de milhares 3 11 2 2 2 5" xfId="17997" xr:uid="{00000000-0005-0000-0000-0000A8280000}"/>
    <cellStyle name="Separador de milhares 3 11 2 2 2 5 2" xfId="44187" xr:uid="{00000000-0005-0000-0000-0000A9280000}"/>
    <cellStyle name="Separador de milhares 3 11 2 2 2 6" xfId="11663" xr:uid="{00000000-0005-0000-0000-0000AA280000}"/>
    <cellStyle name="Separador de milhares 3 11 2 2 2 6 2" xfId="37856" xr:uid="{00000000-0005-0000-0000-0000AB280000}"/>
    <cellStyle name="Separador de milhares 3 11 2 2 2 7" xfId="29774" xr:uid="{00000000-0005-0000-0000-0000AC280000}"/>
    <cellStyle name="Separador de milhares 3 11 2 2 3" xfId="2503" xr:uid="{00000000-0005-0000-0000-0000AD280000}"/>
    <cellStyle name="Separador de milhares 3 11 2 2 3 2" xfId="7125" xr:uid="{00000000-0005-0000-0000-0000AE280000}"/>
    <cellStyle name="Separador de milhares 3 11 2 2 3 2 2" xfId="10269" xr:uid="{00000000-0005-0000-0000-0000AF280000}"/>
    <cellStyle name="Separador de milhares 3 11 2 2 3 2 2 2" xfId="28483" xr:uid="{00000000-0005-0000-0000-0000B0280000}"/>
    <cellStyle name="Separador de milhares 3 11 2 2 3 2 2 2 2" xfId="54664" xr:uid="{00000000-0005-0000-0000-0000B1280000}"/>
    <cellStyle name="Separador de milhares 3 11 2 2 3 2 2 3" xfId="22569" xr:uid="{00000000-0005-0000-0000-0000B2280000}"/>
    <cellStyle name="Separador de milhares 3 11 2 2 3 2 2 3 2" xfId="48756" xr:uid="{00000000-0005-0000-0000-0000B3280000}"/>
    <cellStyle name="Separador de milhares 3 11 2 2 3 2 2 4" xfId="16655" xr:uid="{00000000-0005-0000-0000-0000B4280000}"/>
    <cellStyle name="Separador de milhares 3 11 2 2 3 2 2 4 2" xfId="42848" xr:uid="{00000000-0005-0000-0000-0000B5280000}"/>
    <cellStyle name="Separador de milhares 3 11 2 2 3 2 2 5" xfId="36462" xr:uid="{00000000-0005-0000-0000-0000B6280000}"/>
    <cellStyle name="Separador de milhares 3 11 2 2 3 2 3" xfId="25526" xr:uid="{00000000-0005-0000-0000-0000B7280000}"/>
    <cellStyle name="Separador de milhares 3 11 2 2 3 2 3 2" xfId="51710" xr:uid="{00000000-0005-0000-0000-0000B8280000}"/>
    <cellStyle name="Separador de milhares 3 11 2 2 3 2 4" xfId="19612" xr:uid="{00000000-0005-0000-0000-0000B9280000}"/>
    <cellStyle name="Separador de milhares 3 11 2 2 3 2 4 2" xfId="45802" xr:uid="{00000000-0005-0000-0000-0000BA280000}"/>
    <cellStyle name="Separador de milhares 3 11 2 2 3 2 5" xfId="13514" xr:uid="{00000000-0005-0000-0000-0000BB280000}"/>
    <cellStyle name="Separador de milhares 3 11 2 2 3 2 5 2" xfId="39707" xr:uid="{00000000-0005-0000-0000-0000BC280000}"/>
    <cellStyle name="Separador de milhares 3 11 2 2 3 2 6" xfId="33321" xr:uid="{00000000-0005-0000-0000-0000BD280000}"/>
    <cellStyle name="Separador de milhares 3 11 2 2 3 3" xfId="8801" xr:uid="{00000000-0005-0000-0000-0000BE280000}"/>
    <cellStyle name="Separador de milhares 3 11 2 2 3 3 2" xfId="27015" xr:uid="{00000000-0005-0000-0000-0000BF280000}"/>
    <cellStyle name="Separador de milhares 3 11 2 2 3 3 2 2" xfId="53196" xr:uid="{00000000-0005-0000-0000-0000C0280000}"/>
    <cellStyle name="Separador de milhares 3 11 2 2 3 3 3" xfId="21101" xr:uid="{00000000-0005-0000-0000-0000C1280000}"/>
    <cellStyle name="Separador de milhares 3 11 2 2 3 3 3 2" xfId="47288" xr:uid="{00000000-0005-0000-0000-0000C2280000}"/>
    <cellStyle name="Separador de milhares 3 11 2 2 3 3 4" xfId="15187" xr:uid="{00000000-0005-0000-0000-0000C3280000}"/>
    <cellStyle name="Separador de milhares 3 11 2 2 3 3 4 2" xfId="41380" xr:uid="{00000000-0005-0000-0000-0000C4280000}"/>
    <cellStyle name="Separador de milhares 3 11 2 2 3 3 5" xfId="34994" xr:uid="{00000000-0005-0000-0000-0000C5280000}"/>
    <cellStyle name="Separador de milhares 3 11 2 2 3 4" xfId="5426" xr:uid="{00000000-0005-0000-0000-0000C6280000}"/>
    <cellStyle name="Separador de milhares 3 11 2 2 3 4 2" xfId="24058" xr:uid="{00000000-0005-0000-0000-0000C7280000}"/>
    <cellStyle name="Separador de milhares 3 11 2 2 3 4 2 2" xfId="50242" xr:uid="{00000000-0005-0000-0000-0000C8280000}"/>
    <cellStyle name="Separador de milhares 3 11 2 2 3 4 3" xfId="31622" xr:uid="{00000000-0005-0000-0000-0000C9280000}"/>
    <cellStyle name="Separador de milhares 3 11 2 2 3 5" xfId="18144" xr:uid="{00000000-0005-0000-0000-0000CA280000}"/>
    <cellStyle name="Separador de milhares 3 11 2 2 3 5 2" xfId="44334" xr:uid="{00000000-0005-0000-0000-0000CB280000}"/>
    <cellStyle name="Separador de milhares 3 11 2 2 3 6" xfId="11813" xr:uid="{00000000-0005-0000-0000-0000CC280000}"/>
    <cellStyle name="Separador de milhares 3 11 2 2 3 6 2" xfId="38006" xr:uid="{00000000-0005-0000-0000-0000CD280000}"/>
    <cellStyle name="Separador de milhares 3 11 2 2 3 7" xfId="29924" xr:uid="{00000000-0005-0000-0000-0000CE280000}"/>
    <cellStyle name="Separador de milhares 3 11 2 2 4" xfId="3030" xr:uid="{00000000-0005-0000-0000-0000CF280000}"/>
    <cellStyle name="Separador de milhares 3 11 2 2 4 2" xfId="7272" xr:uid="{00000000-0005-0000-0000-0000D0280000}"/>
    <cellStyle name="Separador de milhares 3 11 2 2 4 2 2" xfId="10416" xr:uid="{00000000-0005-0000-0000-0000D1280000}"/>
    <cellStyle name="Separador de milhares 3 11 2 2 4 2 2 2" xfId="28630" xr:uid="{00000000-0005-0000-0000-0000D2280000}"/>
    <cellStyle name="Separador de milhares 3 11 2 2 4 2 2 2 2" xfId="54811" xr:uid="{00000000-0005-0000-0000-0000D3280000}"/>
    <cellStyle name="Separador de milhares 3 11 2 2 4 2 2 3" xfId="22716" xr:uid="{00000000-0005-0000-0000-0000D4280000}"/>
    <cellStyle name="Separador de milhares 3 11 2 2 4 2 2 3 2" xfId="48903" xr:uid="{00000000-0005-0000-0000-0000D5280000}"/>
    <cellStyle name="Separador de milhares 3 11 2 2 4 2 2 4" xfId="16802" xr:uid="{00000000-0005-0000-0000-0000D6280000}"/>
    <cellStyle name="Separador de milhares 3 11 2 2 4 2 2 4 2" xfId="42995" xr:uid="{00000000-0005-0000-0000-0000D7280000}"/>
    <cellStyle name="Separador de milhares 3 11 2 2 4 2 2 5" xfId="36609" xr:uid="{00000000-0005-0000-0000-0000D8280000}"/>
    <cellStyle name="Separador de milhares 3 11 2 2 4 2 3" xfId="25673" xr:uid="{00000000-0005-0000-0000-0000D9280000}"/>
    <cellStyle name="Separador de milhares 3 11 2 2 4 2 3 2" xfId="51857" xr:uid="{00000000-0005-0000-0000-0000DA280000}"/>
    <cellStyle name="Separador de milhares 3 11 2 2 4 2 4" xfId="19759" xr:uid="{00000000-0005-0000-0000-0000DB280000}"/>
    <cellStyle name="Separador de milhares 3 11 2 2 4 2 4 2" xfId="45949" xr:uid="{00000000-0005-0000-0000-0000DC280000}"/>
    <cellStyle name="Separador de milhares 3 11 2 2 4 2 5" xfId="13661" xr:uid="{00000000-0005-0000-0000-0000DD280000}"/>
    <cellStyle name="Separador de milhares 3 11 2 2 4 2 5 2" xfId="39854" xr:uid="{00000000-0005-0000-0000-0000DE280000}"/>
    <cellStyle name="Separador de milhares 3 11 2 2 4 2 6" xfId="33468" xr:uid="{00000000-0005-0000-0000-0000DF280000}"/>
    <cellStyle name="Separador de milhares 3 11 2 2 4 3" xfId="8948" xr:uid="{00000000-0005-0000-0000-0000E0280000}"/>
    <cellStyle name="Separador de milhares 3 11 2 2 4 3 2" xfId="27162" xr:uid="{00000000-0005-0000-0000-0000E1280000}"/>
    <cellStyle name="Separador de milhares 3 11 2 2 4 3 2 2" xfId="53343" xr:uid="{00000000-0005-0000-0000-0000E2280000}"/>
    <cellStyle name="Separador de milhares 3 11 2 2 4 3 3" xfId="21248" xr:uid="{00000000-0005-0000-0000-0000E3280000}"/>
    <cellStyle name="Separador de milhares 3 11 2 2 4 3 3 2" xfId="47435" xr:uid="{00000000-0005-0000-0000-0000E4280000}"/>
    <cellStyle name="Separador de milhares 3 11 2 2 4 3 4" xfId="15334" xr:uid="{00000000-0005-0000-0000-0000E5280000}"/>
    <cellStyle name="Separador de milhares 3 11 2 2 4 3 4 2" xfId="41527" xr:uid="{00000000-0005-0000-0000-0000E6280000}"/>
    <cellStyle name="Separador de milhares 3 11 2 2 4 3 5" xfId="35141" xr:uid="{00000000-0005-0000-0000-0000E7280000}"/>
    <cellStyle name="Separador de milhares 3 11 2 2 4 4" xfId="5573" xr:uid="{00000000-0005-0000-0000-0000E8280000}"/>
    <cellStyle name="Separador de milhares 3 11 2 2 4 4 2" xfId="24205" xr:uid="{00000000-0005-0000-0000-0000E9280000}"/>
    <cellStyle name="Separador de milhares 3 11 2 2 4 4 2 2" xfId="50389" xr:uid="{00000000-0005-0000-0000-0000EA280000}"/>
    <cellStyle name="Separador de milhares 3 11 2 2 4 4 3" xfId="31769" xr:uid="{00000000-0005-0000-0000-0000EB280000}"/>
    <cellStyle name="Separador de milhares 3 11 2 2 4 5" xfId="18291" xr:uid="{00000000-0005-0000-0000-0000EC280000}"/>
    <cellStyle name="Separador de milhares 3 11 2 2 4 5 2" xfId="44481" xr:uid="{00000000-0005-0000-0000-0000ED280000}"/>
    <cellStyle name="Separador de milhares 3 11 2 2 4 6" xfId="11960" xr:uid="{00000000-0005-0000-0000-0000EE280000}"/>
    <cellStyle name="Separador de milhares 3 11 2 2 4 6 2" xfId="38153" xr:uid="{00000000-0005-0000-0000-0000EF280000}"/>
    <cellStyle name="Separador de milhares 3 11 2 2 4 7" xfId="30071" xr:uid="{00000000-0005-0000-0000-0000F0280000}"/>
    <cellStyle name="Separador de milhares 3 11 2 2 5" xfId="3557" xr:uid="{00000000-0005-0000-0000-0000F1280000}"/>
    <cellStyle name="Separador de milhares 3 11 2 2 5 2" xfId="7419" xr:uid="{00000000-0005-0000-0000-0000F2280000}"/>
    <cellStyle name="Separador de milhares 3 11 2 2 5 2 2" xfId="10563" xr:uid="{00000000-0005-0000-0000-0000F3280000}"/>
    <cellStyle name="Separador de milhares 3 11 2 2 5 2 2 2" xfId="28777" xr:uid="{00000000-0005-0000-0000-0000F4280000}"/>
    <cellStyle name="Separador de milhares 3 11 2 2 5 2 2 2 2" xfId="54958" xr:uid="{00000000-0005-0000-0000-0000F5280000}"/>
    <cellStyle name="Separador de milhares 3 11 2 2 5 2 2 3" xfId="22863" xr:uid="{00000000-0005-0000-0000-0000F6280000}"/>
    <cellStyle name="Separador de milhares 3 11 2 2 5 2 2 3 2" xfId="49050" xr:uid="{00000000-0005-0000-0000-0000F7280000}"/>
    <cellStyle name="Separador de milhares 3 11 2 2 5 2 2 4" xfId="16949" xr:uid="{00000000-0005-0000-0000-0000F8280000}"/>
    <cellStyle name="Separador de milhares 3 11 2 2 5 2 2 4 2" xfId="43142" xr:uid="{00000000-0005-0000-0000-0000F9280000}"/>
    <cellStyle name="Separador de milhares 3 11 2 2 5 2 2 5" xfId="36756" xr:uid="{00000000-0005-0000-0000-0000FA280000}"/>
    <cellStyle name="Separador de milhares 3 11 2 2 5 2 3" xfId="25820" xr:uid="{00000000-0005-0000-0000-0000FB280000}"/>
    <cellStyle name="Separador de milhares 3 11 2 2 5 2 3 2" xfId="52004" xr:uid="{00000000-0005-0000-0000-0000FC280000}"/>
    <cellStyle name="Separador de milhares 3 11 2 2 5 2 4" xfId="19906" xr:uid="{00000000-0005-0000-0000-0000FD280000}"/>
    <cellStyle name="Separador de milhares 3 11 2 2 5 2 4 2" xfId="46096" xr:uid="{00000000-0005-0000-0000-0000FE280000}"/>
    <cellStyle name="Separador de milhares 3 11 2 2 5 2 5" xfId="13808" xr:uid="{00000000-0005-0000-0000-0000FF280000}"/>
    <cellStyle name="Separador de milhares 3 11 2 2 5 2 5 2" xfId="40001" xr:uid="{00000000-0005-0000-0000-000000290000}"/>
    <cellStyle name="Separador de milhares 3 11 2 2 5 2 6" xfId="33615" xr:uid="{00000000-0005-0000-0000-000001290000}"/>
    <cellStyle name="Separador de milhares 3 11 2 2 5 3" xfId="9095" xr:uid="{00000000-0005-0000-0000-000002290000}"/>
    <cellStyle name="Separador de milhares 3 11 2 2 5 3 2" xfId="27309" xr:uid="{00000000-0005-0000-0000-000003290000}"/>
    <cellStyle name="Separador de milhares 3 11 2 2 5 3 2 2" xfId="53490" xr:uid="{00000000-0005-0000-0000-000004290000}"/>
    <cellStyle name="Separador de milhares 3 11 2 2 5 3 3" xfId="21395" xr:uid="{00000000-0005-0000-0000-000005290000}"/>
    <cellStyle name="Separador de milhares 3 11 2 2 5 3 3 2" xfId="47582" xr:uid="{00000000-0005-0000-0000-000006290000}"/>
    <cellStyle name="Separador de milhares 3 11 2 2 5 3 4" xfId="15481" xr:uid="{00000000-0005-0000-0000-000007290000}"/>
    <cellStyle name="Separador de milhares 3 11 2 2 5 3 4 2" xfId="41674" xr:uid="{00000000-0005-0000-0000-000008290000}"/>
    <cellStyle name="Separador de milhares 3 11 2 2 5 3 5" xfId="35288" xr:uid="{00000000-0005-0000-0000-000009290000}"/>
    <cellStyle name="Separador de milhares 3 11 2 2 5 4" xfId="5720" xr:uid="{00000000-0005-0000-0000-00000A290000}"/>
    <cellStyle name="Separador de milhares 3 11 2 2 5 4 2" xfId="24352" xr:uid="{00000000-0005-0000-0000-00000B290000}"/>
    <cellStyle name="Separador de milhares 3 11 2 2 5 4 2 2" xfId="50536" xr:uid="{00000000-0005-0000-0000-00000C290000}"/>
    <cellStyle name="Separador de milhares 3 11 2 2 5 4 3" xfId="31916" xr:uid="{00000000-0005-0000-0000-00000D290000}"/>
    <cellStyle name="Separador de milhares 3 11 2 2 5 5" xfId="18438" xr:uid="{00000000-0005-0000-0000-00000E290000}"/>
    <cellStyle name="Separador de milhares 3 11 2 2 5 5 2" xfId="44628" xr:uid="{00000000-0005-0000-0000-00000F290000}"/>
    <cellStyle name="Separador de milhares 3 11 2 2 5 6" xfId="12107" xr:uid="{00000000-0005-0000-0000-000010290000}"/>
    <cellStyle name="Separador de milhares 3 11 2 2 5 6 2" xfId="38300" xr:uid="{00000000-0005-0000-0000-000011290000}"/>
    <cellStyle name="Separador de milhares 3 11 2 2 5 7" xfId="30218" xr:uid="{00000000-0005-0000-0000-000012290000}"/>
    <cellStyle name="Separador de milhares 3 11 2 2 6" xfId="4084" xr:uid="{00000000-0005-0000-0000-000013290000}"/>
    <cellStyle name="Separador de milhares 3 11 2 2 6 2" xfId="7566" xr:uid="{00000000-0005-0000-0000-000014290000}"/>
    <cellStyle name="Separador de milhares 3 11 2 2 6 2 2" xfId="10710" xr:uid="{00000000-0005-0000-0000-000015290000}"/>
    <cellStyle name="Separador de milhares 3 11 2 2 6 2 2 2" xfId="28924" xr:uid="{00000000-0005-0000-0000-000016290000}"/>
    <cellStyle name="Separador de milhares 3 11 2 2 6 2 2 2 2" xfId="55105" xr:uid="{00000000-0005-0000-0000-000017290000}"/>
    <cellStyle name="Separador de milhares 3 11 2 2 6 2 2 3" xfId="23010" xr:uid="{00000000-0005-0000-0000-000018290000}"/>
    <cellStyle name="Separador de milhares 3 11 2 2 6 2 2 3 2" xfId="49197" xr:uid="{00000000-0005-0000-0000-000019290000}"/>
    <cellStyle name="Separador de milhares 3 11 2 2 6 2 2 4" xfId="17096" xr:uid="{00000000-0005-0000-0000-00001A290000}"/>
    <cellStyle name="Separador de milhares 3 11 2 2 6 2 2 4 2" xfId="43289" xr:uid="{00000000-0005-0000-0000-00001B290000}"/>
    <cellStyle name="Separador de milhares 3 11 2 2 6 2 2 5" xfId="36903" xr:uid="{00000000-0005-0000-0000-00001C290000}"/>
    <cellStyle name="Separador de milhares 3 11 2 2 6 2 3" xfId="25967" xr:uid="{00000000-0005-0000-0000-00001D290000}"/>
    <cellStyle name="Separador de milhares 3 11 2 2 6 2 3 2" xfId="52151" xr:uid="{00000000-0005-0000-0000-00001E290000}"/>
    <cellStyle name="Separador de milhares 3 11 2 2 6 2 4" xfId="20053" xr:uid="{00000000-0005-0000-0000-00001F290000}"/>
    <cellStyle name="Separador de milhares 3 11 2 2 6 2 4 2" xfId="46243" xr:uid="{00000000-0005-0000-0000-000020290000}"/>
    <cellStyle name="Separador de milhares 3 11 2 2 6 2 5" xfId="13955" xr:uid="{00000000-0005-0000-0000-000021290000}"/>
    <cellStyle name="Separador de milhares 3 11 2 2 6 2 5 2" xfId="40148" xr:uid="{00000000-0005-0000-0000-000022290000}"/>
    <cellStyle name="Separador de milhares 3 11 2 2 6 2 6" xfId="33762" xr:uid="{00000000-0005-0000-0000-000023290000}"/>
    <cellStyle name="Separador de milhares 3 11 2 2 6 3" xfId="9242" xr:uid="{00000000-0005-0000-0000-000024290000}"/>
    <cellStyle name="Separador de milhares 3 11 2 2 6 3 2" xfId="27456" xr:uid="{00000000-0005-0000-0000-000025290000}"/>
    <cellStyle name="Separador de milhares 3 11 2 2 6 3 2 2" xfId="53637" xr:uid="{00000000-0005-0000-0000-000026290000}"/>
    <cellStyle name="Separador de milhares 3 11 2 2 6 3 3" xfId="21542" xr:uid="{00000000-0005-0000-0000-000027290000}"/>
    <cellStyle name="Separador de milhares 3 11 2 2 6 3 3 2" xfId="47729" xr:uid="{00000000-0005-0000-0000-000028290000}"/>
    <cellStyle name="Separador de milhares 3 11 2 2 6 3 4" xfId="15628" xr:uid="{00000000-0005-0000-0000-000029290000}"/>
    <cellStyle name="Separador de milhares 3 11 2 2 6 3 4 2" xfId="41821" xr:uid="{00000000-0005-0000-0000-00002A290000}"/>
    <cellStyle name="Separador de milhares 3 11 2 2 6 3 5" xfId="35435" xr:uid="{00000000-0005-0000-0000-00002B290000}"/>
    <cellStyle name="Separador de milhares 3 11 2 2 6 4" xfId="5867" xr:uid="{00000000-0005-0000-0000-00002C290000}"/>
    <cellStyle name="Separador de milhares 3 11 2 2 6 4 2" xfId="24499" xr:uid="{00000000-0005-0000-0000-00002D290000}"/>
    <cellStyle name="Separador de milhares 3 11 2 2 6 4 2 2" xfId="50683" xr:uid="{00000000-0005-0000-0000-00002E290000}"/>
    <cellStyle name="Separador de milhares 3 11 2 2 6 4 3" xfId="32063" xr:uid="{00000000-0005-0000-0000-00002F290000}"/>
    <cellStyle name="Separador de milhares 3 11 2 2 6 5" xfId="18585" xr:uid="{00000000-0005-0000-0000-000030290000}"/>
    <cellStyle name="Separador de milhares 3 11 2 2 6 5 2" xfId="44775" xr:uid="{00000000-0005-0000-0000-000031290000}"/>
    <cellStyle name="Separador de milhares 3 11 2 2 6 6" xfId="12254" xr:uid="{00000000-0005-0000-0000-000032290000}"/>
    <cellStyle name="Separador de milhares 3 11 2 2 6 6 2" xfId="38447" xr:uid="{00000000-0005-0000-0000-000033290000}"/>
    <cellStyle name="Separador de milhares 3 11 2 2 6 7" xfId="30365" xr:uid="{00000000-0005-0000-0000-000034290000}"/>
    <cellStyle name="Separador de milhares 3 11 2 2 7" xfId="6537" xr:uid="{00000000-0005-0000-0000-000035290000}"/>
    <cellStyle name="Separador de milhares 3 11 2 2 7 2" xfId="9684" xr:uid="{00000000-0005-0000-0000-000036290000}"/>
    <cellStyle name="Separador de milhares 3 11 2 2 7 2 2" xfId="27898" xr:uid="{00000000-0005-0000-0000-000037290000}"/>
    <cellStyle name="Separador de milhares 3 11 2 2 7 2 2 2" xfId="54079" xr:uid="{00000000-0005-0000-0000-000038290000}"/>
    <cellStyle name="Separador de milhares 3 11 2 2 7 2 3" xfId="21984" xr:uid="{00000000-0005-0000-0000-000039290000}"/>
    <cellStyle name="Separador de milhares 3 11 2 2 7 2 3 2" xfId="48171" xr:uid="{00000000-0005-0000-0000-00003A290000}"/>
    <cellStyle name="Separador de milhares 3 11 2 2 7 2 4" xfId="16070" xr:uid="{00000000-0005-0000-0000-00003B290000}"/>
    <cellStyle name="Separador de milhares 3 11 2 2 7 2 4 2" xfId="42263" xr:uid="{00000000-0005-0000-0000-00003C290000}"/>
    <cellStyle name="Separador de milhares 3 11 2 2 7 2 5" xfId="35877" xr:uid="{00000000-0005-0000-0000-00003D290000}"/>
    <cellStyle name="Separador de milhares 3 11 2 2 7 3" xfId="24941" xr:uid="{00000000-0005-0000-0000-00003E290000}"/>
    <cellStyle name="Separador de milhares 3 11 2 2 7 3 2" xfId="51125" xr:uid="{00000000-0005-0000-0000-00003F290000}"/>
    <cellStyle name="Separador de milhares 3 11 2 2 7 4" xfId="19027" xr:uid="{00000000-0005-0000-0000-000040290000}"/>
    <cellStyle name="Separador de milhares 3 11 2 2 7 4 2" xfId="45217" xr:uid="{00000000-0005-0000-0000-000041290000}"/>
    <cellStyle name="Separador de milhares 3 11 2 2 7 5" xfId="12926" xr:uid="{00000000-0005-0000-0000-000042290000}"/>
    <cellStyle name="Separador de milhares 3 11 2 2 7 5 2" xfId="39119" xr:uid="{00000000-0005-0000-0000-000043290000}"/>
    <cellStyle name="Separador de milhares 3 11 2 2 7 6" xfId="32733" xr:uid="{00000000-0005-0000-0000-000044290000}"/>
    <cellStyle name="Separador de milhares 3 11 2 2 8" xfId="8213" xr:uid="{00000000-0005-0000-0000-000045290000}"/>
    <cellStyle name="Separador de milhares 3 11 2 2 8 2" xfId="26427" xr:uid="{00000000-0005-0000-0000-000046290000}"/>
    <cellStyle name="Separador de milhares 3 11 2 2 8 2 2" xfId="52611" xr:uid="{00000000-0005-0000-0000-000047290000}"/>
    <cellStyle name="Separador de milhares 3 11 2 2 8 3" xfId="20513" xr:uid="{00000000-0005-0000-0000-000048290000}"/>
    <cellStyle name="Separador de milhares 3 11 2 2 8 3 2" xfId="46703" xr:uid="{00000000-0005-0000-0000-000049290000}"/>
    <cellStyle name="Separador de milhares 3 11 2 2 8 4" xfId="14602" xr:uid="{00000000-0005-0000-0000-00004A290000}"/>
    <cellStyle name="Separador de milhares 3 11 2 2 8 4 2" xfId="40795" xr:uid="{00000000-0005-0000-0000-00004B290000}"/>
    <cellStyle name="Separador de milhares 3 11 2 2 8 5" xfId="34409" xr:uid="{00000000-0005-0000-0000-00004C290000}"/>
    <cellStyle name="Separador de milhares 3 11 2 2 9" xfId="4836" xr:uid="{00000000-0005-0000-0000-00004D290000}"/>
    <cellStyle name="Separador de milhares 3 11 2 2 9 2" xfId="23470" xr:uid="{00000000-0005-0000-0000-00004E290000}"/>
    <cellStyle name="Separador de milhares 3 11 2 2 9 2 2" xfId="49657" xr:uid="{00000000-0005-0000-0000-00004F290000}"/>
    <cellStyle name="Separador de milhares 3 11 2 2 9 3" xfId="31034" xr:uid="{00000000-0005-0000-0000-000050290000}"/>
    <cellStyle name="Separador de milhares 3 11 2 3" xfId="927" xr:uid="{00000000-0005-0000-0000-000051290000}"/>
    <cellStyle name="Separador de milhares 3 11 2 3 2" xfId="6688" xr:uid="{00000000-0005-0000-0000-000052290000}"/>
    <cellStyle name="Separador de milhares 3 11 2 3 2 2" xfId="9835" xr:uid="{00000000-0005-0000-0000-000053290000}"/>
    <cellStyle name="Separador de milhares 3 11 2 3 2 2 2" xfId="28049" xr:uid="{00000000-0005-0000-0000-000054290000}"/>
    <cellStyle name="Separador de milhares 3 11 2 3 2 2 2 2" xfId="54230" xr:uid="{00000000-0005-0000-0000-000055290000}"/>
    <cellStyle name="Separador de milhares 3 11 2 3 2 2 3" xfId="22135" xr:uid="{00000000-0005-0000-0000-000056290000}"/>
    <cellStyle name="Separador de milhares 3 11 2 3 2 2 3 2" xfId="48322" xr:uid="{00000000-0005-0000-0000-000057290000}"/>
    <cellStyle name="Separador de milhares 3 11 2 3 2 2 4" xfId="16221" xr:uid="{00000000-0005-0000-0000-000058290000}"/>
    <cellStyle name="Separador de milhares 3 11 2 3 2 2 4 2" xfId="42414" xr:uid="{00000000-0005-0000-0000-000059290000}"/>
    <cellStyle name="Separador de milhares 3 11 2 3 2 2 5" xfId="36028" xr:uid="{00000000-0005-0000-0000-00005A290000}"/>
    <cellStyle name="Separador de milhares 3 11 2 3 2 3" xfId="25092" xr:uid="{00000000-0005-0000-0000-00005B290000}"/>
    <cellStyle name="Separador de milhares 3 11 2 3 2 3 2" xfId="51276" xr:uid="{00000000-0005-0000-0000-00005C290000}"/>
    <cellStyle name="Separador de milhares 3 11 2 3 2 4" xfId="19178" xr:uid="{00000000-0005-0000-0000-00005D290000}"/>
    <cellStyle name="Separador de milhares 3 11 2 3 2 4 2" xfId="45368" xr:uid="{00000000-0005-0000-0000-00005E290000}"/>
    <cellStyle name="Separador de milhares 3 11 2 3 2 5" xfId="13077" xr:uid="{00000000-0005-0000-0000-00005F290000}"/>
    <cellStyle name="Separador de milhares 3 11 2 3 2 5 2" xfId="39270" xr:uid="{00000000-0005-0000-0000-000060290000}"/>
    <cellStyle name="Separador de milhares 3 11 2 3 2 6" xfId="32884" xr:uid="{00000000-0005-0000-0000-000061290000}"/>
    <cellStyle name="Separador de milhares 3 11 2 3 3" xfId="8367" xr:uid="{00000000-0005-0000-0000-000062290000}"/>
    <cellStyle name="Separador de milhares 3 11 2 3 3 2" xfId="26581" xr:uid="{00000000-0005-0000-0000-000063290000}"/>
    <cellStyle name="Separador de milhares 3 11 2 3 3 2 2" xfId="52762" xr:uid="{00000000-0005-0000-0000-000064290000}"/>
    <cellStyle name="Separador de milhares 3 11 2 3 3 3" xfId="20667" xr:uid="{00000000-0005-0000-0000-000065290000}"/>
    <cellStyle name="Separador de milhares 3 11 2 3 3 3 2" xfId="46854" xr:uid="{00000000-0005-0000-0000-000066290000}"/>
    <cellStyle name="Separador de milhares 3 11 2 3 3 4" xfId="14753" xr:uid="{00000000-0005-0000-0000-000067290000}"/>
    <cellStyle name="Separador de milhares 3 11 2 3 3 4 2" xfId="40946" xr:uid="{00000000-0005-0000-0000-000068290000}"/>
    <cellStyle name="Separador de milhares 3 11 2 3 3 5" xfId="34560" xr:uid="{00000000-0005-0000-0000-000069290000}"/>
    <cellStyle name="Separador de milhares 3 11 2 3 4" xfId="4989" xr:uid="{00000000-0005-0000-0000-00006A290000}"/>
    <cellStyle name="Separador de milhares 3 11 2 3 4 2" xfId="23624" xr:uid="{00000000-0005-0000-0000-00006B290000}"/>
    <cellStyle name="Separador de milhares 3 11 2 3 4 2 2" xfId="49808" xr:uid="{00000000-0005-0000-0000-00006C290000}"/>
    <cellStyle name="Separador de milhares 3 11 2 3 4 3" xfId="31185" xr:uid="{00000000-0005-0000-0000-00006D290000}"/>
    <cellStyle name="Separador de milhares 3 11 2 3 5" xfId="17710" xr:uid="{00000000-0005-0000-0000-00006E290000}"/>
    <cellStyle name="Separador de milhares 3 11 2 3 5 2" xfId="43900" xr:uid="{00000000-0005-0000-0000-00006F290000}"/>
    <cellStyle name="Separador de milhares 3 11 2 3 6" xfId="11376" xr:uid="{00000000-0005-0000-0000-000070290000}"/>
    <cellStyle name="Separador de milhares 3 11 2 3 6 2" xfId="37569" xr:uid="{00000000-0005-0000-0000-000071290000}"/>
    <cellStyle name="Separador de milhares 3 11 2 3 7" xfId="29487" xr:uid="{00000000-0005-0000-0000-000072290000}"/>
    <cellStyle name="Separador de milhares 3 11 2 4" xfId="1278" xr:uid="{00000000-0005-0000-0000-000073290000}"/>
    <cellStyle name="Separador de milhares 3 11 2 4 2" xfId="6786" xr:uid="{00000000-0005-0000-0000-000074290000}"/>
    <cellStyle name="Separador de milhares 3 11 2 4 2 2" xfId="9933" xr:uid="{00000000-0005-0000-0000-000075290000}"/>
    <cellStyle name="Separador de milhares 3 11 2 4 2 2 2" xfId="28147" xr:uid="{00000000-0005-0000-0000-000076290000}"/>
    <cellStyle name="Separador de milhares 3 11 2 4 2 2 2 2" xfId="54328" xr:uid="{00000000-0005-0000-0000-000077290000}"/>
    <cellStyle name="Separador de milhares 3 11 2 4 2 2 3" xfId="22233" xr:uid="{00000000-0005-0000-0000-000078290000}"/>
    <cellStyle name="Separador de milhares 3 11 2 4 2 2 3 2" xfId="48420" xr:uid="{00000000-0005-0000-0000-000079290000}"/>
    <cellStyle name="Separador de milhares 3 11 2 4 2 2 4" xfId="16319" xr:uid="{00000000-0005-0000-0000-00007A290000}"/>
    <cellStyle name="Separador de milhares 3 11 2 4 2 2 4 2" xfId="42512" xr:uid="{00000000-0005-0000-0000-00007B290000}"/>
    <cellStyle name="Separador de milhares 3 11 2 4 2 2 5" xfId="36126" xr:uid="{00000000-0005-0000-0000-00007C290000}"/>
    <cellStyle name="Separador de milhares 3 11 2 4 2 3" xfId="25190" xr:uid="{00000000-0005-0000-0000-00007D290000}"/>
    <cellStyle name="Separador de milhares 3 11 2 4 2 3 2" xfId="51374" xr:uid="{00000000-0005-0000-0000-00007E290000}"/>
    <cellStyle name="Separador de milhares 3 11 2 4 2 4" xfId="19276" xr:uid="{00000000-0005-0000-0000-00007F290000}"/>
    <cellStyle name="Separador de milhares 3 11 2 4 2 4 2" xfId="45466" xr:uid="{00000000-0005-0000-0000-000080290000}"/>
    <cellStyle name="Separador de milhares 3 11 2 4 2 5" xfId="13175" xr:uid="{00000000-0005-0000-0000-000081290000}"/>
    <cellStyle name="Separador de milhares 3 11 2 4 2 5 2" xfId="39368" xr:uid="{00000000-0005-0000-0000-000082290000}"/>
    <cellStyle name="Separador de milhares 3 11 2 4 2 6" xfId="32982" xr:uid="{00000000-0005-0000-0000-000083290000}"/>
    <cellStyle name="Separador de milhares 3 11 2 4 3" xfId="8465" xr:uid="{00000000-0005-0000-0000-000084290000}"/>
    <cellStyle name="Separador de milhares 3 11 2 4 3 2" xfId="26679" xr:uid="{00000000-0005-0000-0000-000085290000}"/>
    <cellStyle name="Separador de milhares 3 11 2 4 3 2 2" xfId="52860" xr:uid="{00000000-0005-0000-0000-000086290000}"/>
    <cellStyle name="Separador de milhares 3 11 2 4 3 3" xfId="20765" xr:uid="{00000000-0005-0000-0000-000087290000}"/>
    <cellStyle name="Separador de milhares 3 11 2 4 3 3 2" xfId="46952" xr:uid="{00000000-0005-0000-0000-000088290000}"/>
    <cellStyle name="Separador de milhares 3 11 2 4 3 4" xfId="14851" xr:uid="{00000000-0005-0000-0000-000089290000}"/>
    <cellStyle name="Separador de milhares 3 11 2 4 3 4 2" xfId="41044" xr:uid="{00000000-0005-0000-0000-00008A290000}"/>
    <cellStyle name="Separador de milhares 3 11 2 4 3 5" xfId="34658" xr:uid="{00000000-0005-0000-0000-00008B290000}"/>
    <cellStyle name="Separador de milhares 3 11 2 4 4" xfId="5087" xr:uid="{00000000-0005-0000-0000-00008C290000}"/>
    <cellStyle name="Separador de milhares 3 11 2 4 4 2" xfId="23722" xr:uid="{00000000-0005-0000-0000-00008D290000}"/>
    <cellStyle name="Separador de milhares 3 11 2 4 4 2 2" xfId="49906" xr:uid="{00000000-0005-0000-0000-00008E290000}"/>
    <cellStyle name="Separador de milhares 3 11 2 4 4 3" xfId="31283" xr:uid="{00000000-0005-0000-0000-00008F290000}"/>
    <cellStyle name="Separador de milhares 3 11 2 4 5" xfId="17808" xr:uid="{00000000-0005-0000-0000-000090290000}"/>
    <cellStyle name="Separador de milhares 3 11 2 4 5 2" xfId="43998" xr:uid="{00000000-0005-0000-0000-000091290000}"/>
    <cellStyle name="Separador de milhares 3 11 2 4 6" xfId="11474" xr:uid="{00000000-0005-0000-0000-000092290000}"/>
    <cellStyle name="Separador de milhares 3 11 2 4 6 2" xfId="37667" xr:uid="{00000000-0005-0000-0000-000093290000}"/>
    <cellStyle name="Separador de milhares 3 11 2 4 7" xfId="29585" xr:uid="{00000000-0005-0000-0000-000094290000}"/>
    <cellStyle name="Separador de milhares 3 11 2 5" xfId="1713" xr:uid="{00000000-0005-0000-0000-000095290000}"/>
    <cellStyle name="Separador de milhares 3 11 2 5 2" xfId="6905" xr:uid="{00000000-0005-0000-0000-000096290000}"/>
    <cellStyle name="Separador de milhares 3 11 2 5 2 2" xfId="10052" xr:uid="{00000000-0005-0000-0000-000097290000}"/>
    <cellStyle name="Separador de milhares 3 11 2 5 2 2 2" xfId="28266" xr:uid="{00000000-0005-0000-0000-000098290000}"/>
    <cellStyle name="Separador de milhares 3 11 2 5 2 2 2 2" xfId="54447" xr:uid="{00000000-0005-0000-0000-000099290000}"/>
    <cellStyle name="Separador de milhares 3 11 2 5 2 2 3" xfId="22352" xr:uid="{00000000-0005-0000-0000-00009A290000}"/>
    <cellStyle name="Separador de milhares 3 11 2 5 2 2 3 2" xfId="48539" xr:uid="{00000000-0005-0000-0000-00009B290000}"/>
    <cellStyle name="Separador de milhares 3 11 2 5 2 2 4" xfId="16438" xr:uid="{00000000-0005-0000-0000-00009C290000}"/>
    <cellStyle name="Separador de milhares 3 11 2 5 2 2 4 2" xfId="42631" xr:uid="{00000000-0005-0000-0000-00009D290000}"/>
    <cellStyle name="Separador de milhares 3 11 2 5 2 2 5" xfId="36245" xr:uid="{00000000-0005-0000-0000-00009E290000}"/>
    <cellStyle name="Separador de milhares 3 11 2 5 2 3" xfId="25309" xr:uid="{00000000-0005-0000-0000-00009F290000}"/>
    <cellStyle name="Separador de milhares 3 11 2 5 2 3 2" xfId="51493" xr:uid="{00000000-0005-0000-0000-0000A0290000}"/>
    <cellStyle name="Separador de milhares 3 11 2 5 2 4" xfId="19395" xr:uid="{00000000-0005-0000-0000-0000A1290000}"/>
    <cellStyle name="Separador de milhares 3 11 2 5 2 4 2" xfId="45585" xr:uid="{00000000-0005-0000-0000-0000A2290000}"/>
    <cellStyle name="Separador de milhares 3 11 2 5 2 5" xfId="13294" xr:uid="{00000000-0005-0000-0000-0000A3290000}"/>
    <cellStyle name="Separador de milhares 3 11 2 5 2 5 2" xfId="39487" xr:uid="{00000000-0005-0000-0000-0000A4290000}"/>
    <cellStyle name="Separador de milhares 3 11 2 5 2 6" xfId="33101" xr:uid="{00000000-0005-0000-0000-0000A5290000}"/>
    <cellStyle name="Separador de milhares 3 11 2 5 3" xfId="8584" xr:uid="{00000000-0005-0000-0000-0000A6290000}"/>
    <cellStyle name="Separador de milhares 3 11 2 5 3 2" xfId="26798" xr:uid="{00000000-0005-0000-0000-0000A7290000}"/>
    <cellStyle name="Separador de milhares 3 11 2 5 3 2 2" xfId="52979" xr:uid="{00000000-0005-0000-0000-0000A8290000}"/>
    <cellStyle name="Separador de milhares 3 11 2 5 3 3" xfId="20884" xr:uid="{00000000-0005-0000-0000-0000A9290000}"/>
    <cellStyle name="Separador de milhares 3 11 2 5 3 3 2" xfId="47071" xr:uid="{00000000-0005-0000-0000-0000AA290000}"/>
    <cellStyle name="Separador de milhares 3 11 2 5 3 4" xfId="14970" xr:uid="{00000000-0005-0000-0000-0000AB290000}"/>
    <cellStyle name="Separador de milhares 3 11 2 5 3 4 2" xfId="41163" xr:uid="{00000000-0005-0000-0000-0000AC290000}"/>
    <cellStyle name="Separador de milhares 3 11 2 5 3 5" xfId="34777" xr:uid="{00000000-0005-0000-0000-0000AD290000}"/>
    <cellStyle name="Separador de milhares 3 11 2 5 4" xfId="5206" xr:uid="{00000000-0005-0000-0000-0000AE290000}"/>
    <cellStyle name="Separador de milhares 3 11 2 5 4 2" xfId="23841" xr:uid="{00000000-0005-0000-0000-0000AF290000}"/>
    <cellStyle name="Separador de milhares 3 11 2 5 4 2 2" xfId="50025" xr:uid="{00000000-0005-0000-0000-0000B0290000}"/>
    <cellStyle name="Separador de milhares 3 11 2 5 4 3" xfId="31402" xr:uid="{00000000-0005-0000-0000-0000B1290000}"/>
    <cellStyle name="Separador de milhares 3 11 2 5 5" xfId="17927" xr:uid="{00000000-0005-0000-0000-0000B2290000}"/>
    <cellStyle name="Separador de milhares 3 11 2 5 5 2" xfId="44117" xr:uid="{00000000-0005-0000-0000-0000B3290000}"/>
    <cellStyle name="Separador de milhares 3 11 2 5 6" xfId="11593" xr:uid="{00000000-0005-0000-0000-0000B4290000}"/>
    <cellStyle name="Separador de milhares 3 11 2 5 6 2" xfId="37786" xr:uid="{00000000-0005-0000-0000-0000B5290000}"/>
    <cellStyle name="Separador de milhares 3 11 2 5 7" xfId="29704" xr:uid="{00000000-0005-0000-0000-0000B6290000}"/>
    <cellStyle name="Separador de milhares 3 11 2 6" xfId="2243" xr:uid="{00000000-0005-0000-0000-0000B7290000}"/>
    <cellStyle name="Separador de milhares 3 11 2 6 2" xfId="7055" xr:uid="{00000000-0005-0000-0000-0000B8290000}"/>
    <cellStyle name="Separador de milhares 3 11 2 6 2 2" xfId="10199" xr:uid="{00000000-0005-0000-0000-0000B9290000}"/>
    <cellStyle name="Separador de milhares 3 11 2 6 2 2 2" xfId="28413" xr:uid="{00000000-0005-0000-0000-0000BA290000}"/>
    <cellStyle name="Separador de milhares 3 11 2 6 2 2 2 2" xfId="54594" xr:uid="{00000000-0005-0000-0000-0000BB290000}"/>
    <cellStyle name="Separador de milhares 3 11 2 6 2 2 3" xfId="22499" xr:uid="{00000000-0005-0000-0000-0000BC290000}"/>
    <cellStyle name="Separador de milhares 3 11 2 6 2 2 3 2" xfId="48686" xr:uid="{00000000-0005-0000-0000-0000BD290000}"/>
    <cellStyle name="Separador de milhares 3 11 2 6 2 2 4" xfId="16585" xr:uid="{00000000-0005-0000-0000-0000BE290000}"/>
    <cellStyle name="Separador de milhares 3 11 2 6 2 2 4 2" xfId="42778" xr:uid="{00000000-0005-0000-0000-0000BF290000}"/>
    <cellStyle name="Separador de milhares 3 11 2 6 2 2 5" xfId="36392" xr:uid="{00000000-0005-0000-0000-0000C0290000}"/>
    <cellStyle name="Separador de milhares 3 11 2 6 2 3" xfId="25456" xr:uid="{00000000-0005-0000-0000-0000C1290000}"/>
    <cellStyle name="Separador de milhares 3 11 2 6 2 3 2" xfId="51640" xr:uid="{00000000-0005-0000-0000-0000C2290000}"/>
    <cellStyle name="Separador de milhares 3 11 2 6 2 4" xfId="19542" xr:uid="{00000000-0005-0000-0000-0000C3290000}"/>
    <cellStyle name="Separador de milhares 3 11 2 6 2 4 2" xfId="45732" xr:uid="{00000000-0005-0000-0000-0000C4290000}"/>
    <cellStyle name="Separador de milhares 3 11 2 6 2 5" xfId="13444" xr:uid="{00000000-0005-0000-0000-0000C5290000}"/>
    <cellStyle name="Separador de milhares 3 11 2 6 2 5 2" xfId="39637" xr:uid="{00000000-0005-0000-0000-0000C6290000}"/>
    <cellStyle name="Separador de milhares 3 11 2 6 2 6" xfId="33251" xr:uid="{00000000-0005-0000-0000-0000C7290000}"/>
    <cellStyle name="Separador de milhares 3 11 2 6 3" xfId="8731" xr:uid="{00000000-0005-0000-0000-0000C8290000}"/>
    <cellStyle name="Separador de milhares 3 11 2 6 3 2" xfId="26945" xr:uid="{00000000-0005-0000-0000-0000C9290000}"/>
    <cellStyle name="Separador de milhares 3 11 2 6 3 2 2" xfId="53126" xr:uid="{00000000-0005-0000-0000-0000CA290000}"/>
    <cellStyle name="Separador de milhares 3 11 2 6 3 3" xfId="21031" xr:uid="{00000000-0005-0000-0000-0000CB290000}"/>
    <cellStyle name="Separador de milhares 3 11 2 6 3 3 2" xfId="47218" xr:uid="{00000000-0005-0000-0000-0000CC290000}"/>
    <cellStyle name="Separador de milhares 3 11 2 6 3 4" xfId="15117" xr:uid="{00000000-0005-0000-0000-0000CD290000}"/>
    <cellStyle name="Separador de milhares 3 11 2 6 3 4 2" xfId="41310" xr:uid="{00000000-0005-0000-0000-0000CE290000}"/>
    <cellStyle name="Separador de milhares 3 11 2 6 3 5" xfId="34924" xr:uid="{00000000-0005-0000-0000-0000CF290000}"/>
    <cellStyle name="Separador de milhares 3 11 2 6 4" xfId="5356" xr:uid="{00000000-0005-0000-0000-0000D0290000}"/>
    <cellStyle name="Separador de milhares 3 11 2 6 4 2" xfId="23988" xr:uid="{00000000-0005-0000-0000-0000D1290000}"/>
    <cellStyle name="Separador de milhares 3 11 2 6 4 2 2" xfId="50172" xr:uid="{00000000-0005-0000-0000-0000D2290000}"/>
    <cellStyle name="Separador de milhares 3 11 2 6 4 3" xfId="31552" xr:uid="{00000000-0005-0000-0000-0000D3290000}"/>
    <cellStyle name="Separador de milhares 3 11 2 6 5" xfId="18074" xr:uid="{00000000-0005-0000-0000-0000D4290000}"/>
    <cellStyle name="Separador de milhares 3 11 2 6 5 2" xfId="44264" xr:uid="{00000000-0005-0000-0000-0000D5290000}"/>
    <cellStyle name="Separador de milhares 3 11 2 6 6" xfId="11743" xr:uid="{00000000-0005-0000-0000-0000D6290000}"/>
    <cellStyle name="Separador de milhares 3 11 2 6 6 2" xfId="37936" xr:uid="{00000000-0005-0000-0000-0000D7290000}"/>
    <cellStyle name="Separador de milhares 3 11 2 6 7" xfId="29854" xr:uid="{00000000-0005-0000-0000-0000D8290000}"/>
    <cellStyle name="Separador de milhares 3 11 2 7" xfId="2770" xr:uid="{00000000-0005-0000-0000-0000D9290000}"/>
    <cellStyle name="Separador de milhares 3 11 2 7 2" xfId="7202" xr:uid="{00000000-0005-0000-0000-0000DA290000}"/>
    <cellStyle name="Separador de milhares 3 11 2 7 2 2" xfId="10346" xr:uid="{00000000-0005-0000-0000-0000DB290000}"/>
    <cellStyle name="Separador de milhares 3 11 2 7 2 2 2" xfId="28560" xr:uid="{00000000-0005-0000-0000-0000DC290000}"/>
    <cellStyle name="Separador de milhares 3 11 2 7 2 2 2 2" xfId="54741" xr:uid="{00000000-0005-0000-0000-0000DD290000}"/>
    <cellStyle name="Separador de milhares 3 11 2 7 2 2 3" xfId="22646" xr:uid="{00000000-0005-0000-0000-0000DE290000}"/>
    <cellStyle name="Separador de milhares 3 11 2 7 2 2 3 2" xfId="48833" xr:uid="{00000000-0005-0000-0000-0000DF290000}"/>
    <cellStyle name="Separador de milhares 3 11 2 7 2 2 4" xfId="16732" xr:uid="{00000000-0005-0000-0000-0000E0290000}"/>
    <cellStyle name="Separador de milhares 3 11 2 7 2 2 4 2" xfId="42925" xr:uid="{00000000-0005-0000-0000-0000E1290000}"/>
    <cellStyle name="Separador de milhares 3 11 2 7 2 2 5" xfId="36539" xr:uid="{00000000-0005-0000-0000-0000E2290000}"/>
    <cellStyle name="Separador de milhares 3 11 2 7 2 3" xfId="25603" xr:uid="{00000000-0005-0000-0000-0000E3290000}"/>
    <cellStyle name="Separador de milhares 3 11 2 7 2 3 2" xfId="51787" xr:uid="{00000000-0005-0000-0000-0000E4290000}"/>
    <cellStyle name="Separador de milhares 3 11 2 7 2 4" xfId="19689" xr:uid="{00000000-0005-0000-0000-0000E5290000}"/>
    <cellStyle name="Separador de milhares 3 11 2 7 2 4 2" xfId="45879" xr:uid="{00000000-0005-0000-0000-0000E6290000}"/>
    <cellStyle name="Separador de milhares 3 11 2 7 2 5" xfId="13591" xr:uid="{00000000-0005-0000-0000-0000E7290000}"/>
    <cellStyle name="Separador de milhares 3 11 2 7 2 5 2" xfId="39784" xr:uid="{00000000-0005-0000-0000-0000E8290000}"/>
    <cellStyle name="Separador de milhares 3 11 2 7 2 6" xfId="33398" xr:uid="{00000000-0005-0000-0000-0000E9290000}"/>
    <cellStyle name="Separador de milhares 3 11 2 7 3" xfId="8878" xr:uid="{00000000-0005-0000-0000-0000EA290000}"/>
    <cellStyle name="Separador de milhares 3 11 2 7 3 2" xfId="27092" xr:uid="{00000000-0005-0000-0000-0000EB290000}"/>
    <cellStyle name="Separador de milhares 3 11 2 7 3 2 2" xfId="53273" xr:uid="{00000000-0005-0000-0000-0000EC290000}"/>
    <cellStyle name="Separador de milhares 3 11 2 7 3 3" xfId="21178" xr:uid="{00000000-0005-0000-0000-0000ED290000}"/>
    <cellStyle name="Separador de milhares 3 11 2 7 3 3 2" xfId="47365" xr:uid="{00000000-0005-0000-0000-0000EE290000}"/>
    <cellStyle name="Separador de milhares 3 11 2 7 3 4" xfId="15264" xr:uid="{00000000-0005-0000-0000-0000EF290000}"/>
    <cellStyle name="Separador de milhares 3 11 2 7 3 4 2" xfId="41457" xr:uid="{00000000-0005-0000-0000-0000F0290000}"/>
    <cellStyle name="Separador de milhares 3 11 2 7 3 5" xfId="35071" xr:uid="{00000000-0005-0000-0000-0000F1290000}"/>
    <cellStyle name="Separador de milhares 3 11 2 7 4" xfId="5503" xr:uid="{00000000-0005-0000-0000-0000F2290000}"/>
    <cellStyle name="Separador de milhares 3 11 2 7 4 2" xfId="24135" xr:uid="{00000000-0005-0000-0000-0000F3290000}"/>
    <cellStyle name="Separador de milhares 3 11 2 7 4 2 2" xfId="50319" xr:uid="{00000000-0005-0000-0000-0000F4290000}"/>
    <cellStyle name="Separador de milhares 3 11 2 7 4 3" xfId="31699" xr:uid="{00000000-0005-0000-0000-0000F5290000}"/>
    <cellStyle name="Separador de milhares 3 11 2 7 5" xfId="18221" xr:uid="{00000000-0005-0000-0000-0000F6290000}"/>
    <cellStyle name="Separador de milhares 3 11 2 7 5 2" xfId="44411" xr:uid="{00000000-0005-0000-0000-0000F7290000}"/>
    <cellStyle name="Separador de milhares 3 11 2 7 6" xfId="11890" xr:uid="{00000000-0005-0000-0000-0000F8290000}"/>
    <cellStyle name="Separador de milhares 3 11 2 7 6 2" xfId="38083" xr:uid="{00000000-0005-0000-0000-0000F9290000}"/>
    <cellStyle name="Separador de milhares 3 11 2 7 7" xfId="30001" xr:uid="{00000000-0005-0000-0000-0000FA290000}"/>
    <cellStyle name="Separador de milhares 3 11 2 8" xfId="3297" xr:uid="{00000000-0005-0000-0000-0000FB290000}"/>
    <cellStyle name="Separador de milhares 3 11 2 8 2" xfId="7349" xr:uid="{00000000-0005-0000-0000-0000FC290000}"/>
    <cellStyle name="Separador de milhares 3 11 2 8 2 2" xfId="10493" xr:uid="{00000000-0005-0000-0000-0000FD290000}"/>
    <cellStyle name="Separador de milhares 3 11 2 8 2 2 2" xfId="28707" xr:uid="{00000000-0005-0000-0000-0000FE290000}"/>
    <cellStyle name="Separador de milhares 3 11 2 8 2 2 2 2" xfId="54888" xr:uid="{00000000-0005-0000-0000-0000FF290000}"/>
    <cellStyle name="Separador de milhares 3 11 2 8 2 2 3" xfId="22793" xr:uid="{00000000-0005-0000-0000-0000002A0000}"/>
    <cellStyle name="Separador de milhares 3 11 2 8 2 2 3 2" xfId="48980" xr:uid="{00000000-0005-0000-0000-0000012A0000}"/>
    <cellStyle name="Separador de milhares 3 11 2 8 2 2 4" xfId="16879" xr:uid="{00000000-0005-0000-0000-0000022A0000}"/>
    <cellStyle name="Separador de milhares 3 11 2 8 2 2 4 2" xfId="43072" xr:uid="{00000000-0005-0000-0000-0000032A0000}"/>
    <cellStyle name="Separador de milhares 3 11 2 8 2 2 5" xfId="36686" xr:uid="{00000000-0005-0000-0000-0000042A0000}"/>
    <cellStyle name="Separador de milhares 3 11 2 8 2 3" xfId="25750" xr:uid="{00000000-0005-0000-0000-0000052A0000}"/>
    <cellStyle name="Separador de milhares 3 11 2 8 2 3 2" xfId="51934" xr:uid="{00000000-0005-0000-0000-0000062A0000}"/>
    <cellStyle name="Separador de milhares 3 11 2 8 2 4" xfId="19836" xr:uid="{00000000-0005-0000-0000-0000072A0000}"/>
    <cellStyle name="Separador de milhares 3 11 2 8 2 4 2" xfId="46026" xr:uid="{00000000-0005-0000-0000-0000082A0000}"/>
    <cellStyle name="Separador de milhares 3 11 2 8 2 5" xfId="13738" xr:uid="{00000000-0005-0000-0000-0000092A0000}"/>
    <cellStyle name="Separador de milhares 3 11 2 8 2 5 2" xfId="39931" xr:uid="{00000000-0005-0000-0000-00000A2A0000}"/>
    <cellStyle name="Separador de milhares 3 11 2 8 2 6" xfId="33545" xr:uid="{00000000-0005-0000-0000-00000B2A0000}"/>
    <cellStyle name="Separador de milhares 3 11 2 8 3" xfId="9025" xr:uid="{00000000-0005-0000-0000-00000C2A0000}"/>
    <cellStyle name="Separador de milhares 3 11 2 8 3 2" xfId="27239" xr:uid="{00000000-0005-0000-0000-00000D2A0000}"/>
    <cellStyle name="Separador de milhares 3 11 2 8 3 2 2" xfId="53420" xr:uid="{00000000-0005-0000-0000-00000E2A0000}"/>
    <cellStyle name="Separador de milhares 3 11 2 8 3 3" xfId="21325" xr:uid="{00000000-0005-0000-0000-00000F2A0000}"/>
    <cellStyle name="Separador de milhares 3 11 2 8 3 3 2" xfId="47512" xr:uid="{00000000-0005-0000-0000-0000102A0000}"/>
    <cellStyle name="Separador de milhares 3 11 2 8 3 4" xfId="15411" xr:uid="{00000000-0005-0000-0000-0000112A0000}"/>
    <cellStyle name="Separador de milhares 3 11 2 8 3 4 2" xfId="41604" xr:uid="{00000000-0005-0000-0000-0000122A0000}"/>
    <cellStyle name="Separador de milhares 3 11 2 8 3 5" xfId="35218" xr:uid="{00000000-0005-0000-0000-0000132A0000}"/>
    <cellStyle name="Separador de milhares 3 11 2 8 4" xfId="5650" xr:uid="{00000000-0005-0000-0000-0000142A0000}"/>
    <cellStyle name="Separador de milhares 3 11 2 8 4 2" xfId="24282" xr:uid="{00000000-0005-0000-0000-0000152A0000}"/>
    <cellStyle name="Separador de milhares 3 11 2 8 4 2 2" xfId="50466" xr:uid="{00000000-0005-0000-0000-0000162A0000}"/>
    <cellStyle name="Separador de milhares 3 11 2 8 4 3" xfId="31846" xr:uid="{00000000-0005-0000-0000-0000172A0000}"/>
    <cellStyle name="Separador de milhares 3 11 2 8 5" xfId="18368" xr:uid="{00000000-0005-0000-0000-0000182A0000}"/>
    <cellStyle name="Separador de milhares 3 11 2 8 5 2" xfId="44558" xr:uid="{00000000-0005-0000-0000-0000192A0000}"/>
    <cellStyle name="Separador de milhares 3 11 2 8 6" xfId="12037" xr:uid="{00000000-0005-0000-0000-00001A2A0000}"/>
    <cellStyle name="Separador de milhares 3 11 2 8 6 2" xfId="38230" xr:uid="{00000000-0005-0000-0000-00001B2A0000}"/>
    <cellStyle name="Separador de milhares 3 11 2 8 7" xfId="30148" xr:uid="{00000000-0005-0000-0000-00001C2A0000}"/>
    <cellStyle name="Separador de milhares 3 11 2 9" xfId="3824" xr:uid="{00000000-0005-0000-0000-00001D2A0000}"/>
    <cellStyle name="Separador de milhares 3 11 2 9 2" xfId="7496" xr:uid="{00000000-0005-0000-0000-00001E2A0000}"/>
    <cellStyle name="Separador de milhares 3 11 2 9 2 2" xfId="10640" xr:uid="{00000000-0005-0000-0000-00001F2A0000}"/>
    <cellStyle name="Separador de milhares 3 11 2 9 2 2 2" xfId="28854" xr:uid="{00000000-0005-0000-0000-0000202A0000}"/>
    <cellStyle name="Separador de milhares 3 11 2 9 2 2 2 2" xfId="55035" xr:uid="{00000000-0005-0000-0000-0000212A0000}"/>
    <cellStyle name="Separador de milhares 3 11 2 9 2 2 3" xfId="22940" xr:uid="{00000000-0005-0000-0000-0000222A0000}"/>
    <cellStyle name="Separador de milhares 3 11 2 9 2 2 3 2" xfId="49127" xr:uid="{00000000-0005-0000-0000-0000232A0000}"/>
    <cellStyle name="Separador de milhares 3 11 2 9 2 2 4" xfId="17026" xr:uid="{00000000-0005-0000-0000-0000242A0000}"/>
    <cellStyle name="Separador de milhares 3 11 2 9 2 2 4 2" xfId="43219" xr:uid="{00000000-0005-0000-0000-0000252A0000}"/>
    <cellStyle name="Separador de milhares 3 11 2 9 2 2 5" xfId="36833" xr:uid="{00000000-0005-0000-0000-0000262A0000}"/>
    <cellStyle name="Separador de milhares 3 11 2 9 2 3" xfId="25897" xr:uid="{00000000-0005-0000-0000-0000272A0000}"/>
    <cellStyle name="Separador de milhares 3 11 2 9 2 3 2" xfId="52081" xr:uid="{00000000-0005-0000-0000-0000282A0000}"/>
    <cellStyle name="Separador de milhares 3 11 2 9 2 4" xfId="19983" xr:uid="{00000000-0005-0000-0000-0000292A0000}"/>
    <cellStyle name="Separador de milhares 3 11 2 9 2 4 2" xfId="46173" xr:uid="{00000000-0005-0000-0000-00002A2A0000}"/>
    <cellStyle name="Separador de milhares 3 11 2 9 2 5" xfId="13885" xr:uid="{00000000-0005-0000-0000-00002B2A0000}"/>
    <cellStyle name="Separador de milhares 3 11 2 9 2 5 2" xfId="40078" xr:uid="{00000000-0005-0000-0000-00002C2A0000}"/>
    <cellStyle name="Separador de milhares 3 11 2 9 2 6" xfId="33692" xr:uid="{00000000-0005-0000-0000-00002D2A0000}"/>
    <cellStyle name="Separador de milhares 3 11 2 9 3" xfId="9172" xr:uid="{00000000-0005-0000-0000-00002E2A0000}"/>
    <cellStyle name="Separador de milhares 3 11 2 9 3 2" xfId="27386" xr:uid="{00000000-0005-0000-0000-00002F2A0000}"/>
    <cellStyle name="Separador de milhares 3 11 2 9 3 2 2" xfId="53567" xr:uid="{00000000-0005-0000-0000-0000302A0000}"/>
    <cellStyle name="Separador de milhares 3 11 2 9 3 3" xfId="21472" xr:uid="{00000000-0005-0000-0000-0000312A0000}"/>
    <cellStyle name="Separador de milhares 3 11 2 9 3 3 2" xfId="47659" xr:uid="{00000000-0005-0000-0000-0000322A0000}"/>
    <cellStyle name="Separador de milhares 3 11 2 9 3 4" xfId="15558" xr:uid="{00000000-0005-0000-0000-0000332A0000}"/>
    <cellStyle name="Separador de milhares 3 11 2 9 3 4 2" xfId="41751" xr:uid="{00000000-0005-0000-0000-0000342A0000}"/>
    <cellStyle name="Separador de milhares 3 11 2 9 3 5" xfId="35365" xr:uid="{00000000-0005-0000-0000-0000352A0000}"/>
    <cellStyle name="Separador de milhares 3 11 2 9 4" xfId="5797" xr:uid="{00000000-0005-0000-0000-0000362A0000}"/>
    <cellStyle name="Separador de milhares 3 11 2 9 4 2" xfId="24429" xr:uid="{00000000-0005-0000-0000-0000372A0000}"/>
    <cellStyle name="Separador de milhares 3 11 2 9 4 2 2" xfId="50613" xr:uid="{00000000-0005-0000-0000-0000382A0000}"/>
    <cellStyle name="Separador de milhares 3 11 2 9 4 3" xfId="31993" xr:uid="{00000000-0005-0000-0000-0000392A0000}"/>
    <cellStyle name="Separador de milhares 3 11 2 9 5" xfId="18515" xr:uid="{00000000-0005-0000-0000-00003A2A0000}"/>
    <cellStyle name="Separador de milhares 3 11 2 9 5 2" xfId="44705" xr:uid="{00000000-0005-0000-0000-00003B2A0000}"/>
    <cellStyle name="Separador de milhares 3 11 2 9 6" xfId="12184" xr:uid="{00000000-0005-0000-0000-00003C2A0000}"/>
    <cellStyle name="Separador de milhares 3 11 2 9 6 2" xfId="38377" xr:uid="{00000000-0005-0000-0000-00003D2A0000}"/>
    <cellStyle name="Separador de milhares 3 11 2 9 7" xfId="30295" xr:uid="{00000000-0005-0000-0000-00003E2A0000}"/>
    <cellStyle name="Separador de milhares 3 11 3" xfId="276" xr:uid="{00000000-0005-0000-0000-00003F2A0000}"/>
    <cellStyle name="Separador de milhares 3 11 3 10" xfId="6487" xr:uid="{00000000-0005-0000-0000-0000402A0000}"/>
    <cellStyle name="Separador de milhares 3 11 3 10 2" xfId="9638" xr:uid="{00000000-0005-0000-0000-0000412A0000}"/>
    <cellStyle name="Separador de milhares 3 11 3 10 2 2" xfId="27852" xr:uid="{00000000-0005-0000-0000-0000422A0000}"/>
    <cellStyle name="Separador de milhares 3 11 3 10 2 2 2" xfId="54033" xr:uid="{00000000-0005-0000-0000-0000432A0000}"/>
    <cellStyle name="Separador de milhares 3 11 3 10 2 3" xfId="21938" xr:uid="{00000000-0005-0000-0000-0000442A0000}"/>
    <cellStyle name="Separador de milhares 3 11 3 10 2 3 2" xfId="48125" xr:uid="{00000000-0005-0000-0000-0000452A0000}"/>
    <cellStyle name="Separador de milhares 3 11 3 10 2 4" xfId="16024" xr:uid="{00000000-0005-0000-0000-0000462A0000}"/>
    <cellStyle name="Separador de milhares 3 11 3 10 2 4 2" xfId="42217" xr:uid="{00000000-0005-0000-0000-0000472A0000}"/>
    <cellStyle name="Separador de milhares 3 11 3 10 2 5" xfId="35831" xr:uid="{00000000-0005-0000-0000-0000482A0000}"/>
    <cellStyle name="Separador de milhares 3 11 3 10 3" xfId="24895" xr:uid="{00000000-0005-0000-0000-0000492A0000}"/>
    <cellStyle name="Separador de milhares 3 11 3 10 3 2" xfId="51079" xr:uid="{00000000-0005-0000-0000-00004A2A0000}"/>
    <cellStyle name="Separador de milhares 3 11 3 10 4" xfId="18981" xr:uid="{00000000-0005-0000-0000-00004B2A0000}"/>
    <cellStyle name="Separador de milhares 3 11 3 10 4 2" xfId="45171" xr:uid="{00000000-0005-0000-0000-00004C2A0000}"/>
    <cellStyle name="Separador de milhares 3 11 3 10 5" xfId="12876" xr:uid="{00000000-0005-0000-0000-00004D2A0000}"/>
    <cellStyle name="Separador de milhares 3 11 3 10 5 2" xfId="39069" xr:uid="{00000000-0005-0000-0000-00004E2A0000}"/>
    <cellStyle name="Separador de milhares 3 11 3 10 6" xfId="32683" xr:uid="{00000000-0005-0000-0000-00004F2A0000}"/>
    <cellStyle name="Separador de milhares 3 11 3 11" xfId="8167" xr:uid="{00000000-0005-0000-0000-0000502A0000}"/>
    <cellStyle name="Separador de milhares 3 11 3 11 2" xfId="26381" xr:uid="{00000000-0005-0000-0000-0000512A0000}"/>
    <cellStyle name="Separador de milhares 3 11 3 11 2 2" xfId="52565" xr:uid="{00000000-0005-0000-0000-0000522A0000}"/>
    <cellStyle name="Separador de milhares 3 11 3 11 3" xfId="20467" xr:uid="{00000000-0005-0000-0000-0000532A0000}"/>
    <cellStyle name="Separador de milhares 3 11 3 11 3 2" xfId="46657" xr:uid="{00000000-0005-0000-0000-0000542A0000}"/>
    <cellStyle name="Separador de milhares 3 11 3 11 4" xfId="14556" xr:uid="{00000000-0005-0000-0000-0000552A0000}"/>
    <cellStyle name="Separador de milhares 3 11 3 11 4 2" xfId="40749" xr:uid="{00000000-0005-0000-0000-0000562A0000}"/>
    <cellStyle name="Separador de milhares 3 11 3 11 5" xfId="34363" xr:uid="{00000000-0005-0000-0000-0000572A0000}"/>
    <cellStyle name="Separador de milhares 3 11 3 12" xfId="4786" xr:uid="{00000000-0005-0000-0000-0000582A0000}"/>
    <cellStyle name="Separador de milhares 3 11 3 12 2" xfId="23424" xr:uid="{00000000-0005-0000-0000-0000592A0000}"/>
    <cellStyle name="Separador de milhares 3 11 3 12 2 2" xfId="49611" xr:uid="{00000000-0005-0000-0000-00005A2A0000}"/>
    <cellStyle name="Separador de milhares 3 11 3 12 3" xfId="30984" xr:uid="{00000000-0005-0000-0000-00005B2A0000}"/>
    <cellStyle name="Separador de milhares 3 11 3 13" xfId="17510" xr:uid="{00000000-0005-0000-0000-00005C2A0000}"/>
    <cellStyle name="Separador de milhares 3 11 3 13 2" xfId="43703" xr:uid="{00000000-0005-0000-0000-00005D2A0000}"/>
    <cellStyle name="Separador de milhares 3 11 3 14" xfId="11175" xr:uid="{00000000-0005-0000-0000-00005E2A0000}"/>
    <cellStyle name="Separador de milhares 3 11 3 14 2" xfId="37368" xr:uid="{00000000-0005-0000-0000-00005F2A0000}"/>
    <cellStyle name="Separador de milhares 3 11 3 15" xfId="29286" xr:uid="{00000000-0005-0000-0000-0000602A0000}"/>
    <cellStyle name="Separador de milhares 3 11 3 2" xfId="539" xr:uid="{00000000-0005-0000-0000-0000612A0000}"/>
    <cellStyle name="Separador de milhares 3 11 3 2 2" xfId="6558" xr:uid="{00000000-0005-0000-0000-0000622A0000}"/>
    <cellStyle name="Separador de milhares 3 11 3 2 2 2" xfId="9705" xr:uid="{00000000-0005-0000-0000-0000632A0000}"/>
    <cellStyle name="Separador de milhares 3 11 3 2 2 2 2" xfId="27919" xr:uid="{00000000-0005-0000-0000-0000642A0000}"/>
    <cellStyle name="Separador de milhares 3 11 3 2 2 2 2 2" xfId="54100" xr:uid="{00000000-0005-0000-0000-0000652A0000}"/>
    <cellStyle name="Separador de milhares 3 11 3 2 2 2 3" xfId="22005" xr:uid="{00000000-0005-0000-0000-0000662A0000}"/>
    <cellStyle name="Separador de milhares 3 11 3 2 2 2 3 2" xfId="48192" xr:uid="{00000000-0005-0000-0000-0000672A0000}"/>
    <cellStyle name="Separador de milhares 3 11 3 2 2 2 4" xfId="16091" xr:uid="{00000000-0005-0000-0000-0000682A0000}"/>
    <cellStyle name="Separador de milhares 3 11 3 2 2 2 4 2" xfId="42284" xr:uid="{00000000-0005-0000-0000-0000692A0000}"/>
    <cellStyle name="Separador de milhares 3 11 3 2 2 2 5" xfId="35898" xr:uid="{00000000-0005-0000-0000-00006A2A0000}"/>
    <cellStyle name="Separador de milhares 3 11 3 2 2 3" xfId="24962" xr:uid="{00000000-0005-0000-0000-00006B2A0000}"/>
    <cellStyle name="Separador de milhares 3 11 3 2 2 3 2" xfId="51146" xr:uid="{00000000-0005-0000-0000-00006C2A0000}"/>
    <cellStyle name="Separador de milhares 3 11 3 2 2 4" xfId="19048" xr:uid="{00000000-0005-0000-0000-00006D2A0000}"/>
    <cellStyle name="Separador de milhares 3 11 3 2 2 4 2" xfId="45238" xr:uid="{00000000-0005-0000-0000-00006E2A0000}"/>
    <cellStyle name="Separador de milhares 3 11 3 2 2 5" xfId="12947" xr:uid="{00000000-0005-0000-0000-00006F2A0000}"/>
    <cellStyle name="Separador de milhares 3 11 3 2 2 5 2" xfId="39140" xr:uid="{00000000-0005-0000-0000-0000702A0000}"/>
    <cellStyle name="Separador de milhares 3 11 3 2 2 6" xfId="32754" xr:uid="{00000000-0005-0000-0000-0000712A0000}"/>
    <cellStyle name="Separador de milhares 3 11 3 2 3" xfId="8234" xr:uid="{00000000-0005-0000-0000-0000722A0000}"/>
    <cellStyle name="Separador de milhares 3 11 3 2 3 2" xfId="26448" xr:uid="{00000000-0005-0000-0000-0000732A0000}"/>
    <cellStyle name="Separador de milhares 3 11 3 2 3 2 2" xfId="52632" xr:uid="{00000000-0005-0000-0000-0000742A0000}"/>
    <cellStyle name="Separador de milhares 3 11 3 2 3 3" xfId="20534" xr:uid="{00000000-0005-0000-0000-0000752A0000}"/>
    <cellStyle name="Separador de milhares 3 11 3 2 3 3 2" xfId="46724" xr:uid="{00000000-0005-0000-0000-0000762A0000}"/>
    <cellStyle name="Separador de milhares 3 11 3 2 3 4" xfId="14623" xr:uid="{00000000-0005-0000-0000-0000772A0000}"/>
    <cellStyle name="Separador de milhares 3 11 3 2 3 4 2" xfId="40816" xr:uid="{00000000-0005-0000-0000-0000782A0000}"/>
    <cellStyle name="Separador de milhares 3 11 3 2 3 5" xfId="34430" xr:uid="{00000000-0005-0000-0000-0000792A0000}"/>
    <cellStyle name="Separador de milhares 3 11 3 2 4" xfId="4857" xr:uid="{00000000-0005-0000-0000-00007A2A0000}"/>
    <cellStyle name="Separador de milhares 3 11 3 2 4 2" xfId="23491" xr:uid="{00000000-0005-0000-0000-00007B2A0000}"/>
    <cellStyle name="Separador de milhares 3 11 3 2 4 2 2" xfId="49678" xr:uid="{00000000-0005-0000-0000-00007C2A0000}"/>
    <cellStyle name="Separador de milhares 3 11 3 2 4 3" xfId="31055" xr:uid="{00000000-0005-0000-0000-00007D2A0000}"/>
    <cellStyle name="Separador de milhares 3 11 3 2 5" xfId="17577" xr:uid="{00000000-0005-0000-0000-00007E2A0000}"/>
    <cellStyle name="Separador de milhares 3 11 3 2 5 2" xfId="43770" xr:uid="{00000000-0005-0000-0000-00007F2A0000}"/>
    <cellStyle name="Separador de milhares 3 11 3 2 6" xfId="11246" xr:uid="{00000000-0005-0000-0000-0000802A0000}"/>
    <cellStyle name="Separador de milhares 3 11 3 2 6 2" xfId="37439" xr:uid="{00000000-0005-0000-0000-0000812A0000}"/>
    <cellStyle name="Separador de milhares 3 11 3 2 7" xfId="29357" xr:uid="{00000000-0005-0000-0000-0000822A0000}"/>
    <cellStyle name="Separador de milhares 3 11 3 3" xfId="836" xr:uid="{00000000-0005-0000-0000-0000832A0000}"/>
    <cellStyle name="Separador de milhares 3 11 3 3 2" xfId="6660" xr:uid="{00000000-0005-0000-0000-0000842A0000}"/>
    <cellStyle name="Separador de milhares 3 11 3 3 2 2" xfId="9807" xr:uid="{00000000-0005-0000-0000-0000852A0000}"/>
    <cellStyle name="Separador de milhares 3 11 3 3 2 2 2" xfId="28021" xr:uid="{00000000-0005-0000-0000-0000862A0000}"/>
    <cellStyle name="Separador de milhares 3 11 3 3 2 2 2 2" xfId="54202" xr:uid="{00000000-0005-0000-0000-0000872A0000}"/>
    <cellStyle name="Separador de milhares 3 11 3 3 2 2 3" xfId="22107" xr:uid="{00000000-0005-0000-0000-0000882A0000}"/>
    <cellStyle name="Separador de milhares 3 11 3 3 2 2 3 2" xfId="48294" xr:uid="{00000000-0005-0000-0000-0000892A0000}"/>
    <cellStyle name="Separador de milhares 3 11 3 3 2 2 4" xfId="16193" xr:uid="{00000000-0005-0000-0000-00008A2A0000}"/>
    <cellStyle name="Separador de milhares 3 11 3 3 2 2 4 2" xfId="42386" xr:uid="{00000000-0005-0000-0000-00008B2A0000}"/>
    <cellStyle name="Separador de milhares 3 11 3 3 2 2 5" xfId="36000" xr:uid="{00000000-0005-0000-0000-00008C2A0000}"/>
    <cellStyle name="Separador de milhares 3 11 3 3 2 3" xfId="25064" xr:uid="{00000000-0005-0000-0000-00008D2A0000}"/>
    <cellStyle name="Separador de milhares 3 11 3 3 2 3 2" xfId="51248" xr:uid="{00000000-0005-0000-0000-00008E2A0000}"/>
    <cellStyle name="Separador de milhares 3 11 3 3 2 4" xfId="19150" xr:uid="{00000000-0005-0000-0000-00008F2A0000}"/>
    <cellStyle name="Separador de milhares 3 11 3 3 2 4 2" xfId="45340" xr:uid="{00000000-0005-0000-0000-0000902A0000}"/>
    <cellStyle name="Separador de milhares 3 11 3 3 2 5" xfId="13049" xr:uid="{00000000-0005-0000-0000-0000912A0000}"/>
    <cellStyle name="Separador de milhares 3 11 3 3 2 5 2" xfId="39242" xr:uid="{00000000-0005-0000-0000-0000922A0000}"/>
    <cellStyle name="Separador de milhares 3 11 3 3 2 6" xfId="32856" xr:uid="{00000000-0005-0000-0000-0000932A0000}"/>
    <cellStyle name="Separador de milhares 3 11 3 3 3" xfId="8339" xr:uid="{00000000-0005-0000-0000-0000942A0000}"/>
    <cellStyle name="Separador de milhares 3 11 3 3 3 2" xfId="26553" xr:uid="{00000000-0005-0000-0000-0000952A0000}"/>
    <cellStyle name="Separador de milhares 3 11 3 3 3 2 2" xfId="52734" xr:uid="{00000000-0005-0000-0000-0000962A0000}"/>
    <cellStyle name="Separador de milhares 3 11 3 3 3 3" xfId="20639" xr:uid="{00000000-0005-0000-0000-0000972A0000}"/>
    <cellStyle name="Separador de milhares 3 11 3 3 3 3 2" xfId="46826" xr:uid="{00000000-0005-0000-0000-0000982A0000}"/>
    <cellStyle name="Separador de milhares 3 11 3 3 3 4" xfId="14725" xr:uid="{00000000-0005-0000-0000-0000992A0000}"/>
    <cellStyle name="Separador de milhares 3 11 3 3 3 4 2" xfId="40918" xr:uid="{00000000-0005-0000-0000-00009A2A0000}"/>
    <cellStyle name="Separador de milhares 3 11 3 3 3 5" xfId="34532" xr:uid="{00000000-0005-0000-0000-00009B2A0000}"/>
    <cellStyle name="Separador de milhares 3 11 3 3 4" xfId="4961" xr:uid="{00000000-0005-0000-0000-00009C2A0000}"/>
    <cellStyle name="Separador de milhares 3 11 3 3 4 2" xfId="23596" xr:uid="{00000000-0005-0000-0000-00009D2A0000}"/>
    <cellStyle name="Separador de milhares 3 11 3 3 4 2 2" xfId="49780" xr:uid="{00000000-0005-0000-0000-00009E2A0000}"/>
    <cellStyle name="Separador de milhares 3 11 3 3 4 3" xfId="31157" xr:uid="{00000000-0005-0000-0000-00009F2A0000}"/>
    <cellStyle name="Separador de milhares 3 11 3 3 5" xfId="17682" xr:uid="{00000000-0005-0000-0000-0000A02A0000}"/>
    <cellStyle name="Separador de milhares 3 11 3 3 5 2" xfId="43872" xr:uid="{00000000-0005-0000-0000-0000A12A0000}"/>
    <cellStyle name="Separador de milhares 3 11 3 3 6" xfId="11348" xr:uid="{00000000-0005-0000-0000-0000A22A0000}"/>
    <cellStyle name="Separador de milhares 3 11 3 3 6 2" xfId="37541" xr:uid="{00000000-0005-0000-0000-0000A32A0000}"/>
    <cellStyle name="Separador de milhares 3 11 3 3 7" xfId="29459" xr:uid="{00000000-0005-0000-0000-0000A42A0000}"/>
    <cellStyle name="Separador de milhares 3 11 3 4" xfId="1187" xr:uid="{00000000-0005-0000-0000-0000A52A0000}"/>
    <cellStyle name="Separador de milhares 3 11 3 4 2" xfId="6758" xr:uid="{00000000-0005-0000-0000-0000A62A0000}"/>
    <cellStyle name="Separador de milhares 3 11 3 4 2 2" xfId="9905" xr:uid="{00000000-0005-0000-0000-0000A72A0000}"/>
    <cellStyle name="Separador de milhares 3 11 3 4 2 2 2" xfId="28119" xr:uid="{00000000-0005-0000-0000-0000A82A0000}"/>
    <cellStyle name="Separador de milhares 3 11 3 4 2 2 2 2" xfId="54300" xr:uid="{00000000-0005-0000-0000-0000A92A0000}"/>
    <cellStyle name="Separador de milhares 3 11 3 4 2 2 3" xfId="22205" xr:uid="{00000000-0005-0000-0000-0000AA2A0000}"/>
    <cellStyle name="Separador de milhares 3 11 3 4 2 2 3 2" xfId="48392" xr:uid="{00000000-0005-0000-0000-0000AB2A0000}"/>
    <cellStyle name="Separador de milhares 3 11 3 4 2 2 4" xfId="16291" xr:uid="{00000000-0005-0000-0000-0000AC2A0000}"/>
    <cellStyle name="Separador de milhares 3 11 3 4 2 2 4 2" xfId="42484" xr:uid="{00000000-0005-0000-0000-0000AD2A0000}"/>
    <cellStyle name="Separador de milhares 3 11 3 4 2 2 5" xfId="36098" xr:uid="{00000000-0005-0000-0000-0000AE2A0000}"/>
    <cellStyle name="Separador de milhares 3 11 3 4 2 3" xfId="25162" xr:uid="{00000000-0005-0000-0000-0000AF2A0000}"/>
    <cellStyle name="Separador de milhares 3 11 3 4 2 3 2" xfId="51346" xr:uid="{00000000-0005-0000-0000-0000B02A0000}"/>
    <cellStyle name="Separador de milhares 3 11 3 4 2 4" xfId="19248" xr:uid="{00000000-0005-0000-0000-0000B12A0000}"/>
    <cellStyle name="Separador de milhares 3 11 3 4 2 4 2" xfId="45438" xr:uid="{00000000-0005-0000-0000-0000B22A0000}"/>
    <cellStyle name="Separador de milhares 3 11 3 4 2 5" xfId="13147" xr:uid="{00000000-0005-0000-0000-0000B32A0000}"/>
    <cellStyle name="Separador de milhares 3 11 3 4 2 5 2" xfId="39340" xr:uid="{00000000-0005-0000-0000-0000B42A0000}"/>
    <cellStyle name="Separador de milhares 3 11 3 4 2 6" xfId="32954" xr:uid="{00000000-0005-0000-0000-0000B52A0000}"/>
    <cellStyle name="Separador de milhares 3 11 3 4 3" xfId="8437" xr:uid="{00000000-0005-0000-0000-0000B62A0000}"/>
    <cellStyle name="Separador de milhares 3 11 3 4 3 2" xfId="26651" xr:uid="{00000000-0005-0000-0000-0000B72A0000}"/>
    <cellStyle name="Separador de milhares 3 11 3 4 3 2 2" xfId="52832" xr:uid="{00000000-0005-0000-0000-0000B82A0000}"/>
    <cellStyle name="Separador de milhares 3 11 3 4 3 3" xfId="20737" xr:uid="{00000000-0005-0000-0000-0000B92A0000}"/>
    <cellStyle name="Separador de milhares 3 11 3 4 3 3 2" xfId="46924" xr:uid="{00000000-0005-0000-0000-0000BA2A0000}"/>
    <cellStyle name="Separador de milhares 3 11 3 4 3 4" xfId="14823" xr:uid="{00000000-0005-0000-0000-0000BB2A0000}"/>
    <cellStyle name="Separador de milhares 3 11 3 4 3 4 2" xfId="41016" xr:uid="{00000000-0005-0000-0000-0000BC2A0000}"/>
    <cellStyle name="Separador de milhares 3 11 3 4 3 5" xfId="34630" xr:uid="{00000000-0005-0000-0000-0000BD2A0000}"/>
    <cellStyle name="Separador de milhares 3 11 3 4 4" xfId="5059" xr:uid="{00000000-0005-0000-0000-0000BE2A0000}"/>
    <cellStyle name="Separador de milhares 3 11 3 4 4 2" xfId="23694" xr:uid="{00000000-0005-0000-0000-0000BF2A0000}"/>
    <cellStyle name="Separador de milhares 3 11 3 4 4 2 2" xfId="49878" xr:uid="{00000000-0005-0000-0000-0000C02A0000}"/>
    <cellStyle name="Separador de milhares 3 11 3 4 4 3" xfId="31255" xr:uid="{00000000-0005-0000-0000-0000C12A0000}"/>
    <cellStyle name="Separador de milhares 3 11 3 4 5" xfId="17780" xr:uid="{00000000-0005-0000-0000-0000C22A0000}"/>
    <cellStyle name="Separador de milhares 3 11 3 4 5 2" xfId="43970" xr:uid="{00000000-0005-0000-0000-0000C32A0000}"/>
    <cellStyle name="Separador de milhares 3 11 3 4 6" xfId="11446" xr:uid="{00000000-0005-0000-0000-0000C42A0000}"/>
    <cellStyle name="Separador de milhares 3 11 3 4 6 2" xfId="37639" xr:uid="{00000000-0005-0000-0000-0000C52A0000}"/>
    <cellStyle name="Separador de milhares 3 11 3 4 7" xfId="29557" xr:uid="{00000000-0005-0000-0000-0000C62A0000}"/>
    <cellStyle name="Separador de milhares 3 11 3 5" xfId="1622" xr:uid="{00000000-0005-0000-0000-0000C72A0000}"/>
    <cellStyle name="Separador de milhares 3 11 3 5 2" xfId="6877" xr:uid="{00000000-0005-0000-0000-0000C82A0000}"/>
    <cellStyle name="Separador de milhares 3 11 3 5 2 2" xfId="10024" xr:uid="{00000000-0005-0000-0000-0000C92A0000}"/>
    <cellStyle name="Separador de milhares 3 11 3 5 2 2 2" xfId="28238" xr:uid="{00000000-0005-0000-0000-0000CA2A0000}"/>
    <cellStyle name="Separador de milhares 3 11 3 5 2 2 2 2" xfId="54419" xr:uid="{00000000-0005-0000-0000-0000CB2A0000}"/>
    <cellStyle name="Separador de milhares 3 11 3 5 2 2 3" xfId="22324" xr:uid="{00000000-0005-0000-0000-0000CC2A0000}"/>
    <cellStyle name="Separador de milhares 3 11 3 5 2 2 3 2" xfId="48511" xr:uid="{00000000-0005-0000-0000-0000CD2A0000}"/>
    <cellStyle name="Separador de milhares 3 11 3 5 2 2 4" xfId="16410" xr:uid="{00000000-0005-0000-0000-0000CE2A0000}"/>
    <cellStyle name="Separador de milhares 3 11 3 5 2 2 4 2" xfId="42603" xr:uid="{00000000-0005-0000-0000-0000CF2A0000}"/>
    <cellStyle name="Separador de milhares 3 11 3 5 2 2 5" xfId="36217" xr:uid="{00000000-0005-0000-0000-0000D02A0000}"/>
    <cellStyle name="Separador de milhares 3 11 3 5 2 3" xfId="25281" xr:uid="{00000000-0005-0000-0000-0000D12A0000}"/>
    <cellStyle name="Separador de milhares 3 11 3 5 2 3 2" xfId="51465" xr:uid="{00000000-0005-0000-0000-0000D22A0000}"/>
    <cellStyle name="Separador de milhares 3 11 3 5 2 4" xfId="19367" xr:uid="{00000000-0005-0000-0000-0000D32A0000}"/>
    <cellStyle name="Separador de milhares 3 11 3 5 2 4 2" xfId="45557" xr:uid="{00000000-0005-0000-0000-0000D42A0000}"/>
    <cellStyle name="Separador de milhares 3 11 3 5 2 5" xfId="13266" xr:uid="{00000000-0005-0000-0000-0000D52A0000}"/>
    <cellStyle name="Separador de milhares 3 11 3 5 2 5 2" xfId="39459" xr:uid="{00000000-0005-0000-0000-0000D62A0000}"/>
    <cellStyle name="Separador de milhares 3 11 3 5 2 6" xfId="33073" xr:uid="{00000000-0005-0000-0000-0000D72A0000}"/>
    <cellStyle name="Separador de milhares 3 11 3 5 3" xfId="8556" xr:uid="{00000000-0005-0000-0000-0000D82A0000}"/>
    <cellStyle name="Separador de milhares 3 11 3 5 3 2" xfId="26770" xr:uid="{00000000-0005-0000-0000-0000D92A0000}"/>
    <cellStyle name="Separador de milhares 3 11 3 5 3 2 2" xfId="52951" xr:uid="{00000000-0005-0000-0000-0000DA2A0000}"/>
    <cellStyle name="Separador de milhares 3 11 3 5 3 3" xfId="20856" xr:uid="{00000000-0005-0000-0000-0000DB2A0000}"/>
    <cellStyle name="Separador de milhares 3 11 3 5 3 3 2" xfId="47043" xr:uid="{00000000-0005-0000-0000-0000DC2A0000}"/>
    <cellStyle name="Separador de milhares 3 11 3 5 3 4" xfId="14942" xr:uid="{00000000-0005-0000-0000-0000DD2A0000}"/>
    <cellStyle name="Separador de milhares 3 11 3 5 3 4 2" xfId="41135" xr:uid="{00000000-0005-0000-0000-0000DE2A0000}"/>
    <cellStyle name="Separador de milhares 3 11 3 5 3 5" xfId="34749" xr:uid="{00000000-0005-0000-0000-0000DF2A0000}"/>
    <cellStyle name="Separador de milhares 3 11 3 5 4" xfId="5178" xr:uid="{00000000-0005-0000-0000-0000E02A0000}"/>
    <cellStyle name="Separador de milhares 3 11 3 5 4 2" xfId="23813" xr:uid="{00000000-0005-0000-0000-0000E12A0000}"/>
    <cellStyle name="Separador de milhares 3 11 3 5 4 2 2" xfId="49997" xr:uid="{00000000-0005-0000-0000-0000E22A0000}"/>
    <cellStyle name="Separador de milhares 3 11 3 5 4 3" xfId="31374" xr:uid="{00000000-0005-0000-0000-0000E32A0000}"/>
    <cellStyle name="Separador de milhares 3 11 3 5 5" xfId="17899" xr:uid="{00000000-0005-0000-0000-0000E42A0000}"/>
    <cellStyle name="Separador de milhares 3 11 3 5 5 2" xfId="44089" xr:uid="{00000000-0005-0000-0000-0000E52A0000}"/>
    <cellStyle name="Separador de milhares 3 11 3 5 6" xfId="11565" xr:uid="{00000000-0005-0000-0000-0000E62A0000}"/>
    <cellStyle name="Separador de milhares 3 11 3 5 6 2" xfId="37758" xr:uid="{00000000-0005-0000-0000-0000E72A0000}"/>
    <cellStyle name="Separador de milhares 3 11 3 5 7" xfId="29676" xr:uid="{00000000-0005-0000-0000-0000E82A0000}"/>
    <cellStyle name="Separador de milhares 3 11 3 6" xfId="2152" xr:uid="{00000000-0005-0000-0000-0000E92A0000}"/>
    <cellStyle name="Separador de milhares 3 11 3 6 2" xfId="7027" xr:uid="{00000000-0005-0000-0000-0000EA2A0000}"/>
    <cellStyle name="Separador de milhares 3 11 3 6 2 2" xfId="10171" xr:uid="{00000000-0005-0000-0000-0000EB2A0000}"/>
    <cellStyle name="Separador de milhares 3 11 3 6 2 2 2" xfId="28385" xr:uid="{00000000-0005-0000-0000-0000EC2A0000}"/>
    <cellStyle name="Separador de milhares 3 11 3 6 2 2 2 2" xfId="54566" xr:uid="{00000000-0005-0000-0000-0000ED2A0000}"/>
    <cellStyle name="Separador de milhares 3 11 3 6 2 2 3" xfId="22471" xr:uid="{00000000-0005-0000-0000-0000EE2A0000}"/>
    <cellStyle name="Separador de milhares 3 11 3 6 2 2 3 2" xfId="48658" xr:uid="{00000000-0005-0000-0000-0000EF2A0000}"/>
    <cellStyle name="Separador de milhares 3 11 3 6 2 2 4" xfId="16557" xr:uid="{00000000-0005-0000-0000-0000F02A0000}"/>
    <cellStyle name="Separador de milhares 3 11 3 6 2 2 4 2" xfId="42750" xr:uid="{00000000-0005-0000-0000-0000F12A0000}"/>
    <cellStyle name="Separador de milhares 3 11 3 6 2 2 5" xfId="36364" xr:uid="{00000000-0005-0000-0000-0000F22A0000}"/>
    <cellStyle name="Separador de milhares 3 11 3 6 2 3" xfId="25428" xr:uid="{00000000-0005-0000-0000-0000F32A0000}"/>
    <cellStyle name="Separador de milhares 3 11 3 6 2 3 2" xfId="51612" xr:uid="{00000000-0005-0000-0000-0000F42A0000}"/>
    <cellStyle name="Separador de milhares 3 11 3 6 2 4" xfId="19514" xr:uid="{00000000-0005-0000-0000-0000F52A0000}"/>
    <cellStyle name="Separador de milhares 3 11 3 6 2 4 2" xfId="45704" xr:uid="{00000000-0005-0000-0000-0000F62A0000}"/>
    <cellStyle name="Separador de milhares 3 11 3 6 2 5" xfId="13416" xr:uid="{00000000-0005-0000-0000-0000F72A0000}"/>
    <cellStyle name="Separador de milhares 3 11 3 6 2 5 2" xfId="39609" xr:uid="{00000000-0005-0000-0000-0000F82A0000}"/>
    <cellStyle name="Separador de milhares 3 11 3 6 2 6" xfId="33223" xr:uid="{00000000-0005-0000-0000-0000F92A0000}"/>
    <cellStyle name="Separador de milhares 3 11 3 6 3" xfId="8703" xr:uid="{00000000-0005-0000-0000-0000FA2A0000}"/>
    <cellStyle name="Separador de milhares 3 11 3 6 3 2" xfId="26917" xr:uid="{00000000-0005-0000-0000-0000FB2A0000}"/>
    <cellStyle name="Separador de milhares 3 11 3 6 3 2 2" xfId="53098" xr:uid="{00000000-0005-0000-0000-0000FC2A0000}"/>
    <cellStyle name="Separador de milhares 3 11 3 6 3 3" xfId="21003" xr:uid="{00000000-0005-0000-0000-0000FD2A0000}"/>
    <cellStyle name="Separador de milhares 3 11 3 6 3 3 2" xfId="47190" xr:uid="{00000000-0005-0000-0000-0000FE2A0000}"/>
    <cellStyle name="Separador de milhares 3 11 3 6 3 4" xfId="15089" xr:uid="{00000000-0005-0000-0000-0000FF2A0000}"/>
    <cellStyle name="Separador de milhares 3 11 3 6 3 4 2" xfId="41282" xr:uid="{00000000-0005-0000-0000-0000002B0000}"/>
    <cellStyle name="Separador de milhares 3 11 3 6 3 5" xfId="34896" xr:uid="{00000000-0005-0000-0000-0000012B0000}"/>
    <cellStyle name="Separador de milhares 3 11 3 6 4" xfId="5328" xr:uid="{00000000-0005-0000-0000-0000022B0000}"/>
    <cellStyle name="Separador de milhares 3 11 3 6 4 2" xfId="23960" xr:uid="{00000000-0005-0000-0000-0000032B0000}"/>
    <cellStyle name="Separador de milhares 3 11 3 6 4 2 2" xfId="50144" xr:uid="{00000000-0005-0000-0000-0000042B0000}"/>
    <cellStyle name="Separador de milhares 3 11 3 6 4 3" xfId="31524" xr:uid="{00000000-0005-0000-0000-0000052B0000}"/>
    <cellStyle name="Separador de milhares 3 11 3 6 5" xfId="18046" xr:uid="{00000000-0005-0000-0000-0000062B0000}"/>
    <cellStyle name="Separador de milhares 3 11 3 6 5 2" xfId="44236" xr:uid="{00000000-0005-0000-0000-0000072B0000}"/>
    <cellStyle name="Separador de milhares 3 11 3 6 6" xfId="11715" xr:uid="{00000000-0005-0000-0000-0000082B0000}"/>
    <cellStyle name="Separador de milhares 3 11 3 6 6 2" xfId="37908" xr:uid="{00000000-0005-0000-0000-0000092B0000}"/>
    <cellStyle name="Separador de milhares 3 11 3 6 7" xfId="29826" xr:uid="{00000000-0005-0000-0000-00000A2B0000}"/>
    <cellStyle name="Separador de milhares 3 11 3 7" xfId="2679" xr:uid="{00000000-0005-0000-0000-00000B2B0000}"/>
    <cellStyle name="Separador de milhares 3 11 3 7 2" xfId="7174" xr:uid="{00000000-0005-0000-0000-00000C2B0000}"/>
    <cellStyle name="Separador de milhares 3 11 3 7 2 2" xfId="10318" xr:uid="{00000000-0005-0000-0000-00000D2B0000}"/>
    <cellStyle name="Separador de milhares 3 11 3 7 2 2 2" xfId="28532" xr:uid="{00000000-0005-0000-0000-00000E2B0000}"/>
    <cellStyle name="Separador de milhares 3 11 3 7 2 2 2 2" xfId="54713" xr:uid="{00000000-0005-0000-0000-00000F2B0000}"/>
    <cellStyle name="Separador de milhares 3 11 3 7 2 2 3" xfId="22618" xr:uid="{00000000-0005-0000-0000-0000102B0000}"/>
    <cellStyle name="Separador de milhares 3 11 3 7 2 2 3 2" xfId="48805" xr:uid="{00000000-0005-0000-0000-0000112B0000}"/>
    <cellStyle name="Separador de milhares 3 11 3 7 2 2 4" xfId="16704" xr:uid="{00000000-0005-0000-0000-0000122B0000}"/>
    <cellStyle name="Separador de milhares 3 11 3 7 2 2 4 2" xfId="42897" xr:uid="{00000000-0005-0000-0000-0000132B0000}"/>
    <cellStyle name="Separador de milhares 3 11 3 7 2 2 5" xfId="36511" xr:uid="{00000000-0005-0000-0000-0000142B0000}"/>
    <cellStyle name="Separador de milhares 3 11 3 7 2 3" xfId="25575" xr:uid="{00000000-0005-0000-0000-0000152B0000}"/>
    <cellStyle name="Separador de milhares 3 11 3 7 2 3 2" xfId="51759" xr:uid="{00000000-0005-0000-0000-0000162B0000}"/>
    <cellStyle name="Separador de milhares 3 11 3 7 2 4" xfId="19661" xr:uid="{00000000-0005-0000-0000-0000172B0000}"/>
    <cellStyle name="Separador de milhares 3 11 3 7 2 4 2" xfId="45851" xr:uid="{00000000-0005-0000-0000-0000182B0000}"/>
    <cellStyle name="Separador de milhares 3 11 3 7 2 5" xfId="13563" xr:uid="{00000000-0005-0000-0000-0000192B0000}"/>
    <cellStyle name="Separador de milhares 3 11 3 7 2 5 2" xfId="39756" xr:uid="{00000000-0005-0000-0000-00001A2B0000}"/>
    <cellStyle name="Separador de milhares 3 11 3 7 2 6" xfId="33370" xr:uid="{00000000-0005-0000-0000-00001B2B0000}"/>
    <cellStyle name="Separador de milhares 3 11 3 7 3" xfId="8850" xr:uid="{00000000-0005-0000-0000-00001C2B0000}"/>
    <cellStyle name="Separador de milhares 3 11 3 7 3 2" xfId="27064" xr:uid="{00000000-0005-0000-0000-00001D2B0000}"/>
    <cellStyle name="Separador de milhares 3 11 3 7 3 2 2" xfId="53245" xr:uid="{00000000-0005-0000-0000-00001E2B0000}"/>
    <cellStyle name="Separador de milhares 3 11 3 7 3 3" xfId="21150" xr:uid="{00000000-0005-0000-0000-00001F2B0000}"/>
    <cellStyle name="Separador de milhares 3 11 3 7 3 3 2" xfId="47337" xr:uid="{00000000-0005-0000-0000-0000202B0000}"/>
    <cellStyle name="Separador de milhares 3 11 3 7 3 4" xfId="15236" xr:uid="{00000000-0005-0000-0000-0000212B0000}"/>
    <cellStyle name="Separador de milhares 3 11 3 7 3 4 2" xfId="41429" xr:uid="{00000000-0005-0000-0000-0000222B0000}"/>
    <cellStyle name="Separador de milhares 3 11 3 7 3 5" xfId="35043" xr:uid="{00000000-0005-0000-0000-0000232B0000}"/>
    <cellStyle name="Separador de milhares 3 11 3 7 4" xfId="5475" xr:uid="{00000000-0005-0000-0000-0000242B0000}"/>
    <cellStyle name="Separador de milhares 3 11 3 7 4 2" xfId="24107" xr:uid="{00000000-0005-0000-0000-0000252B0000}"/>
    <cellStyle name="Separador de milhares 3 11 3 7 4 2 2" xfId="50291" xr:uid="{00000000-0005-0000-0000-0000262B0000}"/>
    <cellStyle name="Separador de milhares 3 11 3 7 4 3" xfId="31671" xr:uid="{00000000-0005-0000-0000-0000272B0000}"/>
    <cellStyle name="Separador de milhares 3 11 3 7 5" xfId="18193" xr:uid="{00000000-0005-0000-0000-0000282B0000}"/>
    <cellStyle name="Separador de milhares 3 11 3 7 5 2" xfId="44383" xr:uid="{00000000-0005-0000-0000-0000292B0000}"/>
    <cellStyle name="Separador de milhares 3 11 3 7 6" xfId="11862" xr:uid="{00000000-0005-0000-0000-00002A2B0000}"/>
    <cellStyle name="Separador de milhares 3 11 3 7 6 2" xfId="38055" xr:uid="{00000000-0005-0000-0000-00002B2B0000}"/>
    <cellStyle name="Separador de milhares 3 11 3 7 7" xfId="29973" xr:uid="{00000000-0005-0000-0000-00002C2B0000}"/>
    <cellStyle name="Separador de milhares 3 11 3 8" xfId="3206" xr:uid="{00000000-0005-0000-0000-00002D2B0000}"/>
    <cellStyle name="Separador de milhares 3 11 3 8 2" xfId="7321" xr:uid="{00000000-0005-0000-0000-00002E2B0000}"/>
    <cellStyle name="Separador de milhares 3 11 3 8 2 2" xfId="10465" xr:uid="{00000000-0005-0000-0000-00002F2B0000}"/>
    <cellStyle name="Separador de milhares 3 11 3 8 2 2 2" xfId="28679" xr:uid="{00000000-0005-0000-0000-0000302B0000}"/>
    <cellStyle name="Separador de milhares 3 11 3 8 2 2 2 2" xfId="54860" xr:uid="{00000000-0005-0000-0000-0000312B0000}"/>
    <cellStyle name="Separador de milhares 3 11 3 8 2 2 3" xfId="22765" xr:uid="{00000000-0005-0000-0000-0000322B0000}"/>
    <cellStyle name="Separador de milhares 3 11 3 8 2 2 3 2" xfId="48952" xr:uid="{00000000-0005-0000-0000-0000332B0000}"/>
    <cellStyle name="Separador de milhares 3 11 3 8 2 2 4" xfId="16851" xr:uid="{00000000-0005-0000-0000-0000342B0000}"/>
    <cellStyle name="Separador de milhares 3 11 3 8 2 2 4 2" xfId="43044" xr:uid="{00000000-0005-0000-0000-0000352B0000}"/>
    <cellStyle name="Separador de milhares 3 11 3 8 2 2 5" xfId="36658" xr:uid="{00000000-0005-0000-0000-0000362B0000}"/>
    <cellStyle name="Separador de milhares 3 11 3 8 2 3" xfId="25722" xr:uid="{00000000-0005-0000-0000-0000372B0000}"/>
    <cellStyle name="Separador de milhares 3 11 3 8 2 3 2" xfId="51906" xr:uid="{00000000-0005-0000-0000-0000382B0000}"/>
    <cellStyle name="Separador de milhares 3 11 3 8 2 4" xfId="19808" xr:uid="{00000000-0005-0000-0000-0000392B0000}"/>
    <cellStyle name="Separador de milhares 3 11 3 8 2 4 2" xfId="45998" xr:uid="{00000000-0005-0000-0000-00003A2B0000}"/>
    <cellStyle name="Separador de milhares 3 11 3 8 2 5" xfId="13710" xr:uid="{00000000-0005-0000-0000-00003B2B0000}"/>
    <cellStyle name="Separador de milhares 3 11 3 8 2 5 2" xfId="39903" xr:uid="{00000000-0005-0000-0000-00003C2B0000}"/>
    <cellStyle name="Separador de milhares 3 11 3 8 2 6" xfId="33517" xr:uid="{00000000-0005-0000-0000-00003D2B0000}"/>
    <cellStyle name="Separador de milhares 3 11 3 8 3" xfId="8997" xr:uid="{00000000-0005-0000-0000-00003E2B0000}"/>
    <cellStyle name="Separador de milhares 3 11 3 8 3 2" xfId="27211" xr:uid="{00000000-0005-0000-0000-00003F2B0000}"/>
    <cellStyle name="Separador de milhares 3 11 3 8 3 2 2" xfId="53392" xr:uid="{00000000-0005-0000-0000-0000402B0000}"/>
    <cellStyle name="Separador de milhares 3 11 3 8 3 3" xfId="21297" xr:uid="{00000000-0005-0000-0000-0000412B0000}"/>
    <cellStyle name="Separador de milhares 3 11 3 8 3 3 2" xfId="47484" xr:uid="{00000000-0005-0000-0000-0000422B0000}"/>
    <cellStyle name="Separador de milhares 3 11 3 8 3 4" xfId="15383" xr:uid="{00000000-0005-0000-0000-0000432B0000}"/>
    <cellStyle name="Separador de milhares 3 11 3 8 3 4 2" xfId="41576" xr:uid="{00000000-0005-0000-0000-0000442B0000}"/>
    <cellStyle name="Separador de milhares 3 11 3 8 3 5" xfId="35190" xr:uid="{00000000-0005-0000-0000-0000452B0000}"/>
    <cellStyle name="Separador de milhares 3 11 3 8 4" xfId="5622" xr:uid="{00000000-0005-0000-0000-0000462B0000}"/>
    <cellStyle name="Separador de milhares 3 11 3 8 4 2" xfId="24254" xr:uid="{00000000-0005-0000-0000-0000472B0000}"/>
    <cellStyle name="Separador de milhares 3 11 3 8 4 2 2" xfId="50438" xr:uid="{00000000-0005-0000-0000-0000482B0000}"/>
    <cellStyle name="Separador de milhares 3 11 3 8 4 3" xfId="31818" xr:uid="{00000000-0005-0000-0000-0000492B0000}"/>
    <cellStyle name="Separador de milhares 3 11 3 8 5" xfId="18340" xr:uid="{00000000-0005-0000-0000-00004A2B0000}"/>
    <cellStyle name="Separador de milhares 3 11 3 8 5 2" xfId="44530" xr:uid="{00000000-0005-0000-0000-00004B2B0000}"/>
    <cellStyle name="Separador de milhares 3 11 3 8 6" xfId="12009" xr:uid="{00000000-0005-0000-0000-00004C2B0000}"/>
    <cellStyle name="Separador de milhares 3 11 3 8 6 2" xfId="38202" xr:uid="{00000000-0005-0000-0000-00004D2B0000}"/>
    <cellStyle name="Separador de milhares 3 11 3 8 7" xfId="30120" xr:uid="{00000000-0005-0000-0000-00004E2B0000}"/>
    <cellStyle name="Separador de milhares 3 11 3 9" xfId="3733" xr:uid="{00000000-0005-0000-0000-00004F2B0000}"/>
    <cellStyle name="Separador de milhares 3 11 3 9 2" xfId="7468" xr:uid="{00000000-0005-0000-0000-0000502B0000}"/>
    <cellStyle name="Separador de milhares 3 11 3 9 2 2" xfId="10612" xr:uid="{00000000-0005-0000-0000-0000512B0000}"/>
    <cellStyle name="Separador de milhares 3 11 3 9 2 2 2" xfId="28826" xr:uid="{00000000-0005-0000-0000-0000522B0000}"/>
    <cellStyle name="Separador de milhares 3 11 3 9 2 2 2 2" xfId="55007" xr:uid="{00000000-0005-0000-0000-0000532B0000}"/>
    <cellStyle name="Separador de milhares 3 11 3 9 2 2 3" xfId="22912" xr:uid="{00000000-0005-0000-0000-0000542B0000}"/>
    <cellStyle name="Separador de milhares 3 11 3 9 2 2 3 2" xfId="49099" xr:uid="{00000000-0005-0000-0000-0000552B0000}"/>
    <cellStyle name="Separador de milhares 3 11 3 9 2 2 4" xfId="16998" xr:uid="{00000000-0005-0000-0000-0000562B0000}"/>
    <cellStyle name="Separador de milhares 3 11 3 9 2 2 4 2" xfId="43191" xr:uid="{00000000-0005-0000-0000-0000572B0000}"/>
    <cellStyle name="Separador de milhares 3 11 3 9 2 2 5" xfId="36805" xr:uid="{00000000-0005-0000-0000-0000582B0000}"/>
    <cellStyle name="Separador de milhares 3 11 3 9 2 3" xfId="25869" xr:uid="{00000000-0005-0000-0000-0000592B0000}"/>
    <cellStyle name="Separador de milhares 3 11 3 9 2 3 2" xfId="52053" xr:uid="{00000000-0005-0000-0000-00005A2B0000}"/>
    <cellStyle name="Separador de milhares 3 11 3 9 2 4" xfId="19955" xr:uid="{00000000-0005-0000-0000-00005B2B0000}"/>
    <cellStyle name="Separador de milhares 3 11 3 9 2 4 2" xfId="46145" xr:uid="{00000000-0005-0000-0000-00005C2B0000}"/>
    <cellStyle name="Separador de milhares 3 11 3 9 2 5" xfId="13857" xr:uid="{00000000-0005-0000-0000-00005D2B0000}"/>
    <cellStyle name="Separador de milhares 3 11 3 9 2 5 2" xfId="40050" xr:uid="{00000000-0005-0000-0000-00005E2B0000}"/>
    <cellStyle name="Separador de milhares 3 11 3 9 2 6" xfId="33664" xr:uid="{00000000-0005-0000-0000-00005F2B0000}"/>
    <cellStyle name="Separador de milhares 3 11 3 9 3" xfId="9144" xr:uid="{00000000-0005-0000-0000-0000602B0000}"/>
    <cellStyle name="Separador de milhares 3 11 3 9 3 2" xfId="27358" xr:uid="{00000000-0005-0000-0000-0000612B0000}"/>
    <cellStyle name="Separador de milhares 3 11 3 9 3 2 2" xfId="53539" xr:uid="{00000000-0005-0000-0000-0000622B0000}"/>
    <cellStyle name="Separador de milhares 3 11 3 9 3 3" xfId="21444" xr:uid="{00000000-0005-0000-0000-0000632B0000}"/>
    <cellStyle name="Separador de milhares 3 11 3 9 3 3 2" xfId="47631" xr:uid="{00000000-0005-0000-0000-0000642B0000}"/>
    <cellStyle name="Separador de milhares 3 11 3 9 3 4" xfId="15530" xr:uid="{00000000-0005-0000-0000-0000652B0000}"/>
    <cellStyle name="Separador de milhares 3 11 3 9 3 4 2" xfId="41723" xr:uid="{00000000-0005-0000-0000-0000662B0000}"/>
    <cellStyle name="Separador de milhares 3 11 3 9 3 5" xfId="35337" xr:uid="{00000000-0005-0000-0000-0000672B0000}"/>
    <cellStyle name="Separador de milhares 3 11 3 9 4" xfId="5769" xr:uid="{00000000-0005-0000-0000-0000682B0000}"/>
    <cellStyle name="Separador de milhares 3 11 3 9 4 2" xfId="24401" xr:uid="{00000000-0005-0000-0000-0000692B0000}"/>
    <cellStyle name="Separador de milhares 3 11 3 9 4 2 2" xfId="50585" xr:uid="{00000000-0005-0000-0000-00006A2B0000}"/>
    <cellStyle name="Separador de milhares 3 11 3 9 4 3" xfId="31965" xr:uid="{00000000-0005-0000-0000-00006B2B0000}"/>
    <cellStyle name="Separador de milhares 3 11 3 9 5" xfId="18487" xr:uid="{00000000-0005-0000-0000-00006C2B0000}"/>
    <cellStyle name="Separador de milhares 3 11 3 9 5 2" xfId="44677" xr:uid="{00000000-0005-0000-0000-00006D2B0000}"/>
    <cellStyle name="Separador de milhares 3 11 3 9 6" xfId="12156" xr:uid="{00000000-0005-0000-0000-00006E2B0000}"/>
    <cellStyle name="Separador de milhares 3 11 3 9 6 2" xfId="38349" xr:uid="{00000000-0005-0000-0000-00006F2B0000}"/>
    <cellStyle name="Separador de milhares 3 11 3 9 7" xfId="30267" xr:uid="{00000000-0005-0000-0000-0000702B0000}"/>
    <cellStyle name="Separador de milhares 3 11 4" xfId="369" xr:uid="{00000000-0005-0000-0000-0000712B0000}"/>
    <cellStyle name="Separador de milhares 3 11 4 10" xfId="6515" xr:uid="{00000000-0005-0000-0000-0000722B0000}"/>
    <cellStyle name="Separador de milhares 3 11 4 10 2" xfId="9663" xr:uid="{00000000-0005-0000-0000-0000732B0000}"/>
    <cellStyle name="Separador de milhares 3 11 4 10 2 2" xfId="27877" xr:uid="{00000000-0005-0000-0000-0000742B0000}"/>
    <cellStyle name="Separador de milhares 3 11 4 10 2 2 2" xfId="54058" xr:uid="{00000000-0005-0000-0000-0000752B0000}"/>
    <cellStyle name="Separador de milhares 3 11 4 10 2 3" xfId="21963" xr:uid="{00000000-0005-0000-0000-0000762B0000}"/>
    <cellStyle name="Separador de milhares 3 11 4 10 2 3 2" xfId="48150" xr:uid="{00000000-0005-0000-0000-0000772B0000}"/>
    <cellStyle name="Separador de milhares 3 11 4 10 2 4" xfId="16049" xr:uid="{00000000-0005-0000-0000-0000782B0000}"/>
    <cellStyle name="Separador de milhares 3 11 4 10 2 4 2" xfId="42242" xr:uid="{00000000-0005-0000-0000-0000792B0000}"/>
    <cellStyle name="Separador de milhares 3 11 4 10 2 5" xfId="35856" xr:uid="{00000000-0005-0000-0000-00007A2B0000}"/>
    <cellStyle name="Separador de milhares 3 11 4 10 3" xfId="24920" xr:uid="{00000000-0005-0000-0000-00007B2B0000}"/>
    <cellStyle name="Separador de milhares 3 11 4 10 3 2" xfId="51104" xr:uid="{00000000-0005-0000-0000-00007C2B0000}"/>
    <cellStyle name="Separador de milhares 3 11 4 10 4" xfId="19006" xr:uid="{00000000-0005-0000-0000-00007D2B0000}"/>
    <cellStyle name="Separador de milhares 3 11 4 10 4 2" xfId="45196" xr:uid="{00000000-0005-0000-0000-00007E2B0000}"/>
    <cellStyle name="Separador de milhares 3 11 4 10 5" xfId="12904" xr:uid="{00000000-0005-0000-0000-00007F2B0000}"/>
    <cellStyle name="Separador de milhares 3 11 4 10 5 2" xfId="39097" xr:uid="{00000000-0005-0000-0000-0000802B0000}"/>
    <cellStyle name="Separador de milhares 3 11 4 10 6" xfId="32711" xr:uid="{00000000-0005-0000-0000-0000812B0000}"/>
    <cellStyle name="Separador de milhares 3 11 4 11" xfId="8192" xr:uid="{00000000-0005-0000-0000-0000822B0000}"/>
    <cellStyle name="Separador de milhares 3 11 4 11 2" xfId="26406" xr:uid="{00000000-0005-0000-0000-0000832B0000}"/>
    <cellStyle name="Separador de milhares 3 11 4 11 2 2" xfId="52590" xr:uid="{00000000-0005-0000-0000-0000842B0000}"/>
    <cellStyle name="Separador de milhares 3 11 4 11 3" xfId="20492" xr:uid="{00000000-0005-0000-0000-0000852B0000}"/>
    <cellStyle name="Separador de milhares 3 11 4 11 3 2" xfId="46682" xr:uid="{00000000-0005-0000-0000-0000862B0000}"/>
    <cellStyle name="Separador de milhares 3 11 4 11 4" xfId="14581" xr:uid="{00000000-0005-0000-0000-0000872B0000}"/>
    <cellStyle name="Separador de milhares 3 11 4 11 4 2" xfId="40774" xr:uid="{00000000-0005-0000-0000-0000882B0000}"/>
    <cellStyle name="Separador de milhares 3 11 4 11 5" xfId="34388" xr:uid="{00000000-0005-0000-0000-0000892B0000}"/>
    <cellStyle name="Separador de milhares 3 11 4 12" xfId="4814" xr:uid="{00000000-0005-0000-0000-00008A2B0000}"/>
    <cellStyle name="Separador de milhares 3 11 4 12 2" xfId="23449" xr:uid="{00000000-0005-0000-0000-00008B2B0000}"/>
    <cellStyle name="Separador de milhares 3 11 4 12 2 2" xfId="49636" xr:uid="{00000000-0005-0000-0000-00008C2B0000}"/>
    <cellStyle name="Separador de milhares 3 11 4 12 3" xfId="31012" xr:uid="{00000000-0005-0000-0000-00008D2B0000}"/>
    <cellStyle name="Separador de milhares 3 11 4 13" xfId="17535" xr:uid="{00000000-0005-0000-0000-00008E2B0000}"/>
    <cellStyle name="Separador de milhares 3 11 4 13 2" xfId="43728" xr:uid="{00000000-0005-0000-0000-00008F2B0000}"/>
    <cellStyle name="Separador de milhares 3 11 4 14" xfId="11203" xr:uid="{00000000-0005-0000-0000-0000902B0000}"/>
    <cellStyle name="Separador de milhares 3 11 4 14 2" xfId="37396" xr:uid="{00000000-0005-0000-0000-0000912B0000}"/>
    <cellStyle name="Separador de milhares 3 11 4 15" xfId="29314" xr:uid="{00000000-0005-0000-0000-0000922B0000}"/>
    <cellStyle name="Separador de milhares 3 11 4 2" xfId="1014" xr:uid="{00000000-0005-0000-0000-0000932B0000}"/>
    <cellStyle name="Separador de milhares 3 11 4 2 2" xfId="6712" xr:uid="{00000000-0005-0000-0000-0000942B0000}"/>
    <cellStyle name="Separador de milhares 3 11 4 2 2 2" xfId="9859" xr:uid="{00000000-0005-0000-0000-0000952B0000}"/>
    <cellStyle name="Separador de milhares 3 11 4 2 2 2 2" xfId="28073" xr:uid="{00000000-0005-0000-0000-0000962B0000}"/>
    <cellStyle name="Separador de milhares 3 11 4 2 2 2 2 2" xfId="54254" xr:uid="{00000000-0005-0000-0000-0000972B0000}"/>
    <cellStyle name="Separador de milhares 3 11 4 2 2 2 3" xfId="22159" xr:uid="{00000000-0005-0000-0000-0000982B0000}"/>
    <cellStyle name="Separador de milhares 3 11 4 2 2 2 3 2" xfId="48346" xr:uid="{00000000-0005-0000-0000-0000992B0000}"/>
    <cellStyle name="Separador de milhares 3 11 4 2 2 2 4" xfId="16245" xr:uid="{00000000-0005-0000-0000-00009A2B0000}"/>
    <cellStyle name="Separador de milhares 3 11 4 2 2 2 4 2" xfId="42438" xr:uid="{00000000-0005-0000-0000-00009B2B0000}"/>
    <cellStyle name="Separador de milhares 3 11 4 2 2 2 5" xfId="36052" xr:uid="{00000000-0005-0000-0000-00009C2B0000}"/>
    <cellStyle name="Separador de milhares 3 11 4 2 2 3" xfId="25116" xr:uid="{00000000-0005-0000-0000-00009D2B0000}"/>
    <cellStyle name="Separador de milhares 3 11 4 2 2 3 2" xfId="51300" xr:uid="{00000000-0005-0000-0000-00009E2B0000}"/>
    <cellStyle name="Separador de milhares 3 11 4 2 2 4" xfId="19202" xr:uid="{00000000-0005-0000-0000-00009F2B0000}"/>
    <cellStyle name="Separador de milhares 3 11 4 2 2 4 2" xfId="45392" xr:uid="{00000000-0005-0000-0000-0000A02B0000}"/>
    <cellStyle name="Separador de milhares 3 11 4 2 2 5" xfId="13101" xr:uid="{00000000-0005-0000-0000-0000A12B0000}"/>
    <cellStyle name="Separador de milhares 3 11 4 2 2 5 2" xfId="39294" xr:uid="{00000000-0005-0000-0000-0000A22B0000}"/>
    <cellStyle name="Separador de milhares 3 11 4 2 2 6" xfId="32908" xr:uid="{00000000-0005-0000-0000-0000A32B0000}"/>
    <cellStyle name="Separador de milhares 3 11 4 2 3" xfId="8391" xr:uid="{00000000-0005-0000-0000-0000A42B0000}"/>
    <cellStyle name="Separador de milhares 3 11 4 2 3 2" xfId="26605" xr:uid="{00000000-0005-0000-0000-0000A52B0000}"/>
    <cellStyle name="Separador de milhares 3 11 4 2 3 2 2" xfId="52786" xr:uid="{00000000-0005-0000-0000-0000A62B0000}"/>
    <cellStyle name="Separador de milhares 3 11 4 2 3 3" xfId="20691" xr:uid="{00000000-0005-0000-0000-0000A72B0000}"/>
    <cellStyle name="Separador de milhares 3 11 4 2 3 3 2" xfId="46878" xr:uid="{00000000-0005-0000-0000-0000A82B0000}"/>
    <cellStyle name="Separador de milhares 3 11 4 2 3 4" xfId="14777" xr:uid="{00000000-0005-0000-0000-0000A92B0000}"/>
    <cellStyle name="Separador de milhares 3 11 4 2 3 4 2" xfId="40970" xr:uid="{00000000-0005-0000-0000-0000AA2B0000}"/>
    <cellStyle name="Separador de milhares 3 11 4 2 3 5" xfId="34584" xr:uid="{00000000-0005-0000-0000-0000AB2B0000}"/>
    <cellStyle name="Separador de milhares 3 11 4 2 4" xfId="5013" xr:uid="{00000000-0005-0000-0000-0000AC2B0000}"/>
    <cellStyle name="Separador de milhares 3 11 4 2 4 2" xfId="23648" xr:uid="{00000000-0005-0000-0000-0000AD2B0000}"/>
    <cellStyle name="Separador de milhares 3 11 4 2 4 2 2" xfId="49832" xr:uid="{00000000-0005-0000-0000-0000AE2B0000}"/>
    <cellStyle name="Separador de milhares 3 11 4 2 4 3" xfId="31209" xr:uid="{00000000-0005-0000-0000-0000AF2B0000}"/>
    <cellStyle name="Separador de milhares 3 11 4 2 5" xfId="17734" xr:uid="{00000000-0005-0000-0000-0000B02B0000}"/>
    <cellStyle name="Separador de milhares 3 11 4 2 5 2" xfId="43924" xr:uid="{00000000-0005-0000-0000-0000B12B0000}"/>
    <cellStyle name="Separador de milhares 3 11 4 2 6" xfId="11400" xr:uid="{00000000-0005-0000-0000-0000B22B0000}"/>
    <cellStyle name="Separador de milhares 3 11 4 2 6 2" xfId="37593" xr:uid="{00000000-0005-0000-0000-0000B32B0000}"/>
    <cellStyle name="Separador de milhares 3 11 4 2 7" xfId="29511" xr:uid="{00000000-0005-0000-0000-0000B42B0000}"/>
    <cellStyle name="Separador de milhares 3 11 4 3" xfId="1365" xr:uid="{00000000-0005-0000-0000-0000B52B0000}"/>
    <cellStyle name="Separador de milhares 3 11 4 3 2" xfId="6810" xr:uid="{00000000-0005-0000-0000-0000B62B0000}"/>
    <cellStyle name="Separador de milhares 3 11 4 3 2 2" xfId="9957" xr:uid="{00000000-0005-0000-0000-0000B72B0000}"/>
    <cellStyle name="Separador de milhares 3 11 4 3 2 2 2" xfId="28171" xr:uid="{00000000-0005-0000-0000-0000B82B0000}"/>
    <cellStyle name="Separador de milhares 3 11 4 3 2 2 2 2" xfId="54352" xr:uid="{00000000-0005-0000-0000-0000B92B0000}"/>
    <cellStyle name="Separador de milhares 3 11 4 3 2 2 3" xfId="22257" xr:uid="{00000000-0005-0000-0000-0000BA2B0000}"/>
    <cellStyle name="Separador de milhares 3 11 4 3 2 2 3 2" xfId="48444" xr:uid="{00000000-0005-0000-0000-0000BB2B0000}"/>
    <cellStyle name="Separador de milhares 3 11 4 3 2 2 4" xfId="16343" xr:uid="{00000000-0005-0000-0000-0000BC2B0000}"/>
    <cellStyle name="Separador de milhares 3 11 4 3 2 2 4 2" xfId="42536" xr:uid="{00000000-0005-0000-0000-0000BD2B0000}"/>
    <cellStyle name="Separador de milhares 3 11 4 3 2 2 5" xfId="36150" xr:uid="{00000000-0005-0000-0000-0000BE2B0000}"/>
    <cellStyle name="Separador de milhares 3 11 4 3 2 3" xfId="25214" xr:uid="{00000000-0005-0000-0000-0000BF2B0000}"/>
    <cellStyle name="Separador de milhares 3 11 4 3 2 3 2" xfId="51398" xr:uid="{00000000-0005-0000-0000-0000C02B0000}"/>
    <cellStyle name="Separador de milhares 3 11 4 3 2 4" xfId="19300" xr:uid="{00000000-0005-0000-0000-0000C12B0000}"/>
    <cellStyle name="Separador de milhares 3 11 4 3 2 4 2" xfId="45490" xr:uid="{00000000-0005-0000-0000-0000C22B0000}"/>
    <cellStyle name="Separador de milhares 3 11 4 3 2 5" xfId="13199" xr:uid="{00000000-0005-0000-0000-0000C32B0000}"/>
    <cellStyle name="Separador de milhares 3 11 4 3 2 5 2" xfId="39392" xr:uid="{00000000-0005-0000-0000-0000C42B0000}"/>
    <cellStyle name="Separador de milhares 3 11 4 3 2 6" xfId="33006" xr:uid="{00000000-0005-0000-0000-0000C52B0000}"/>
    <cellStyle name="Separador de milhares 3 11 4 3 3" xfId="8489" xr:uid="{00000000-0005-0000-0000-0000C62B0000}"/>
    <cellStyle name="Separador de milhares 3 11 4 3 3 2" xfId="26703" xr:uid="{00000000-0005-0000-0000-0000C72B0000}"/>
    <cellStyle name="Separador de milhares 3 11 4 3 3 2 2" xfId="52884" xr:uid="{00000000-0005-0000-0000-0000C82B0000}"/>
    <cellStyle name="Separador de milhares 3 11 4 3 3 3" xfId="20789" xr:uid="{00000000-0005-0000-0000-0000C92B0000}"/>
    <cellStyle name="Separador de milhares 3 11 4 3 3 3 2" xfId="46976" xr:uid="{00000000-0005-0000-0000-0000CA2B0000}"/>
    <cellStyle name="Separador de milhares 3 11 4 3 3 4" xfId="14875" xr:uid="{00000000-0005-0000-0000-0000CB2B0000}"/>
    <cellStyle name="Separador de milhares 3 11 4 3 3 4 2" xfId="41068" xr:uid="{00000000-0005-0000-0000-0000CC2B0000}"/>
    <cellStyle name="Separador de milhares 3 11 4 3 3 5" xfId="34682" xr:uid="{00000000-0005-0000-0000-0000CD2B0000}"/>
    <cellStyle name="Separador de milhares 3 11 4 3 4" xfId="5111" xr:uid="{00000000-0005-0000-0000-0000CE2B0000}"/>
    <cellStyle name="Separador de milhares 3 11 4 3 4 2" xfId="23746" xr:uid="{00000000-0005-0000-0000-0000CF2B0000}"/>
    <cellStyle name="Separador de milhares 3 11 4 3 4 2 2" xfId="49930" xr:uid="{00000000-0005-0000-0000-0000D02B0000}"/>
    <cellStyle name="Separador de milhares 3 11 4 3 4 3" xfId="31307" xr:uid="{00000000-0005-0000-0000-0000D12B0000}"/>
    <cellStyle name="Separador de milhares 3 11 4 3 5" xfId="17832" xr:uid="{00000000-0005-0000-0000-0000D22B0000}"/>
    <cellStyle name="Separador de milhares 3 11 4 3 5 2" xfId="44022" xr:uid="{00000000-0005-0000-0000-0000D32B0000}"/>
    <cellStyle name="Separador de milhares 3 11 4 3 6" xfId="11498" xr:uid="{00000000-0005-0000-0000-0000D42B0000}"/>
    <cellStyle name="Separador de milhares 3 11 4 3 6 2" xfId="37691" xr:uid="{00000000-0005-0000-0000-0000D52B0000}"/>
    <cellStyle name="Separador de milhares 3 11 4 3 7" xfId="29609" xr:uid="{00000000-0005-0000-0000-0000D62B0000}"/>
    <cellStyle name="Separador de milhares 3 11 4 4" xfId="1800" xr:uid="{00000000-0005-0000-0000-0000D72B0000}"/>
    <cellStyle name="Separador de milhares 3 11 4 4 2" xfId="6929" xr:uid="{00000000-0005-0000-0000-0000D82B0000}"/>
    <cellStyle name="Separador de milhares 3 11 4 4 2 2" xfId="10076" xr:uid="{00000000-0005-0000-0000-0000D92B0000}"/>
    <cellStyle name="Separador de milhares 3 11 4 4 2 2 2" xfId="28290" xr:uid="{00000000-0005-0000-0000-0000DA2B0000}"/>
    <cellStyle name="Separador de milhares 3 11 4 4 2 2 2 2" xfId="54471" xr:uid="{00000000-0005-0000-0000-0000DB2B0000}"/>
    <cellStyle name="Separador de milhares 3 11 4 4 2 2 3" xfId="22376" xr:uid="{00000000-0005-0000-0000-0000DC2B0000}"/>
    <cellStyle name="Separador de milhares 3 11 4 4 2 2 3 2" xfId="48563" xr:uid="{00000000-0005-0000-0000-0000DD2B0000}"/>
    <cellStyle name="Separador de milhares 3 11 4 4 2 2 4" xfId="16462" xr:uid="{00000000-0005-0000-0000-0000DE2B0000}"/>
    <cellStyle name="Separador de milhares 3 11 4 4 2 2 4 2" xfId="42655" xr:uid="{00000000-0005-0000-0000-0000DF2B0000}"/>
    <cellStyle name="Separador de milhares 3 11 4 4 2 2 5" xfId="36269" xr:uid="{00000000-0005-0000-0000-0000E02B0000}"/>
    <cellStyle name="Separador de milhares 3 11 4 4 2 3" xfId="25333" xr:uid="{00000000-0005-0000-0000-0000E12B0000}"/>
    <cellStyle name="Separador de milhares 3 11 4 4 2 3 2" xfId="51517" xr:uid="{00000000-0005-0000-0000-0000E22B0000}"/>
    <cellStyle name="Separador de milhares 3 11 4 4 2 4" xfId="19419" xr:uid="{00000000-0005-0000-0000-0000E32B0000}"/>
    <cellStyle name="Separador de milhares 3 11 4 4 2 4 2" xfId="45609" xr:uid="{00000000-0005-0000-0000-0000E42B0000}"/>
    <cellStyle name="Separador de milhares 3 11 4 4 2 5" xfId="13318" xr:uid="{00000000-0005-0000-0000-0000E52B0000}"/>
    <cellStyle name="Separador de milhares 3 11 4 4 2 5 2" xfId="39511" xr:uid="{00000000-0005-0000-0000-0000E62B0000}"/>
    <cellStyle name="Separador de milhares 3 11 4 4 2 6" xfId="33125" xr:uid="{00000000-0005-0000-0000-0000E72B0000}"/>
    <cellStyle name="Separador de milhares 3 11 4 4 3" xfId="8608" xr:uid="{00000000-0005-0000-0000-0000E82B0000}"/>
    <cellStyle name="Separador de milhares 3 11 4 4 3 2" xfId="26822" xr:uid="{00000000-0005-0000-0000-0000E92B0000}"/>
    <cellStyle name="Separador de milhares 3 11 4 4 3 2 2" xfId="53003" xr:uid="{00000000-0005-0000-0000-0000EA2B0000}"/>
    <cellStyle name="Separador de milhares 3 11 4 4 3 3" xfId="20908" xr:uid="{00000000-0005-0000-0000-0000EB2B0000}"/>
    <cellStyle name="Separador de milhares 3 11 4 4 3 3 2" xfId="47095" xr:uid="{00000000-0005-0000-0000-0000EC2B0000}"/>
    <cellStyle name="Separador de milhares 3 11 4 4 3 4" xfId="14994" xr:uid="{00000000-0005-0000-0000-0000ED2B0000}"/>
    <cellStyle name="Separador de milhares 3 11 4 4 3 4 2" xfId="41187" xr:uid="{00000000-0005-0000-0000-0000EE2B0000}"/>
    <cellStyle name="Separador de milhares 3 11 4 4 3 5" xfId="34801" xr:uid="{00000000-0005-0000-0000-0000EF2B0000}"/>
    <cellStyle name="Separador de milhares 3 11 4 4 4" xfId="5230" xr:uid="{00000000-0005-0000-0000-0000F02B0000}"/>
    <cellStyle name="Separador de milhares 3 11 4 4 4 2" xfId="23865" xr:uid="{00000000-0005-0000-0000-0000F12B0000}"/>
    <cellStyle name="Separador de milhares 3 11 4 4 4 2 2" xfId="50049" xr:uid="{00000000-0005-0000-0000-0000F22B0000}"/>
    <cellStyle name="Separador de milhares 3 11 4 4 4 3" xfId="31426" xr:uid="{00000000-0005-0000-0000-0000F32B0000}"/>
    <cellStyle name="Separador de milhares 3 11 4 4 5" xfId="17951" xr:uid="{00000000-0005-0000-0000-0000F42B0000}"/>
    <cellStyle name="Separador de milhares 3 11 4 4 5 2" xfId="44141" xr:uid="{00000000-0005-0000-0000-0000F52B0000}"/>
    <cellStyle name="Separador de milhares 3 11 4 4 6" xfId="11617" xr:uid="{00000000-0005-0000-0000-0000F62B0000}"/>
    <cellStyle name="Separador de milhares 3 11 4 4 6 2" xfId="37810" xr:uid="{00000000-0005-0000-0000-0000F72B0000}"/>
    <cellStyle name="Separador de milhares 3 11 4 4 7" xfId="29728" xr:uid="{00000000-0005-0000-0000-0000F82B0000}"/>
    <cellStyle name="Separador de milhares 3 11 4 5" xfId="2330" xr:uid="{00000000-0005-0000-0000-0000F92B0000}"/>
    <cellStyle name="Separador de milhares 3 11 4 5 2" xfId="7079" xr:uid="{00000000-0005-0000-0000-0000FA2B0000}"/>
    <cellStyle name="Separador de milhares 3 11 4 5 2 2" xfId="10223" xr:uid="{00000000-0005-0000-0000-0000FB2B0000}"/>
    <cellStyle name="Separador de milhares 3 11 4 5 2 2 2" xfId="28437" xr:uid="{00000000-0005-0000-0000-0000FC2B0000}"/>
    <cellStyle name="Separador de milhares 3 11 4 5 2 2 2 2" xfId="54618" xr:uid="{00000000-0005-0000-0000-0000FD2B0000}"/>
    <cellStyle name="Separador de milhares 3 11 4 5 2 2 3" xfId="22523" xr:uid="{00000000-0005-0000-0000-0000FE2B0000}"/>
    <cellStyle name="Separador de milhares 3 11 4 5 2 2 3 2" xfId="48710" xr:uid="{00000000-0005-0000-0000-0000FF2B0000}"/>
    <cellStyle name="Separador de milhares 3 11 4 5 2 2 4" xfId="16609" xr:uid="{00000000-0005-0000-0000-0000002C0000}"/>
    <cellStyle name="Separador de milhares 3 11 4 5 2 2 4 2" xfId="42802" xr:uid="{00000000-0005-0000-0000-0000012C0000}"/>
    <cellStyle name="Separador de milhares 3 11 4 5 2 2 5" xfId="36416" xr:uid="{00000000-0005-0000-0000-0000022C0000}"/>
    <cellStyle name="Separador de milhares 3 11 4 5 2 3" xfId="25480" xr:uid="{00000000-0005-0000-0000-0000032C0000}"/>
    <cellStyle name="Separador de milhares 3 11 4 5 2 3 2" xfId="51664" xr:uid="{00000000-0005-0000-0000-0000042C0000}"/>
    <cellStyle name="Separador de milhares 3 11 4 5 2 4" xfId="19566" xr:uid="{00000000-0005-0000-0000-0000052C0000}"/>
    <cellStyle name="Separador de milhares 3 11 4 5 2 4 2" xfId="45756" xr:uid="{00000000-0005-0000-0000-0000062C0000}"/>
    <cellStyle name="Separador de milhares 3 11 4 5 2 5" xfId="13468" xr:uid="{00000000-0005-0000-0000-0000072C0000}"/>
    <cellStyle name="Separador de milhares 3 11 4 5 2 5 2" xfId="39661" xr:uid="{00000000-0005-0000-0000-0000082C0000}"/>
    <cellStyle name="Separador de milhares 3 11 4 5 2 6" xfId="33275" xr:uid="{00000000-0005-0000-0000-0000092C0000}"/>
    <cellStyle name="Separador de milhares 3 11 4 5 3" xfId="8755" xr:uid="{00000000-0005-0000-0000-00000A2C0000}"/>
    <cellStyle name="Separador de milhares 3 11 4 5 3 2" xfId="26969" xr:uid="{00000000-0005-0000-0000-00000B2C0000}"/>
    <cellStyle name="Separador de milhares 3 11 4 5 3 2 2" xfId="53150" xr:uid="{00000000-0005-0000-0000-00000C2C0000}"/>
    <cellStyle name="Separador de milhares 3 11 4 5 3 3" xfId="21055" xr:uid="{00000000-0005-0000-0000-00000D2C0000}"/>
    <cellStyle name="Separador de milhares 3 11 4 5 3 3 2" xfId="47242" xr:uid="{00000000-0005-0000-0000-00000E2C0000}"/>
    <cellStyle name="Separador de milhares 3 11 4 5 3 4" xfId="15141" xr:uid="{00000000-0005-0000-0000-00000F2C0000}"/>
    <cellStyle name="Separador de milhares 3 11 4 5 3 4 2" xfId="41334" xr:uid="{00000000-0005-0000-0000-0000102C0000}"/>
    <cellStyle name="Separador de milhares 3 11 4 5 3 5" xfId="34948" xr:uid="{00000000-0005-0000-0000-0000112C0000}"/>
    <cellStyle name="Separador de milhares 3 11 4 5 4" xfId="5380" xr:uid="{00000000-0005-0000-0000-0000122C0000}"/>
    <cellStyle name="Separador de milhares 3 11 4 5 4 2" xfId="24012" xr:uid="{00000000-0005-0000-0000-0000132C0000}"/>
    <cellStyle name="Separador de milhares 3 11 4 5 4 2 2" xfId="50196" xr:uid="{00000000-0005-0000-0000-0000142C0000}"/>
    <cellStyle name="Separador de milhares 3 11 4 5 4 3" xfId="31576" xr:uid="{00000000-0005-0000-0000-0000152C0000}"/>
    <cellStyle name="Separador de milhares 3 11 4 5 5" xfId="18098" xr:uid="{00000000-0005-0000-0000-0000162C0000}"/>
    <cellStyle name="Separador de milhares 3 11 4 5 5 2" xfId="44288" xr:uid="{00000000-0005-0000-0000-0000172C0000}"/>
    <cellStyle name="Separador de milhares 3 11 4 5 6" xfId="11767" xr:uid="{00000000-0005-0000-0000-0000182C0000}"/>
    <cellStyle name="Separador de milhares 3 11 4 5 6 2" xfId="37960" xr:uid="{00000000-0005-0000-0000-0000192C0000}"/>
    <cellStyle name="Separador de milhares 3 11 4 5 7" xfId="29878" xr:uid="{00000000-0005-0000-0000-00001A2C0000}"/>
    <cellStyle name="Separador de milhares 3 11 4 6" xfId="2857" xr:uid="{00000000-0005-0000-0000-00001B2C0000}"/>
    <cellStyle name="Separador de milhares 3 11 4 6 2" xfId="7226" xr:uid="{00000000-0005-0000-0000-00001C2C0000}"/>
    <cellStyle name="Separador de milhares 3 11 4 6 2 2" xfId="10370" xr:uid="{00000000-0005-0000-0000-00001D2C0000}"/>
    <cellStyle name="Separador de milhares 3 11 4 6 2 2 2" xfId="28584" xr:uid="{00000000-0005-0000-0000-00001E2C0000}"/>
    <cellStyle name="Separador de milhares 3 11 4 6 2 2 2 2" xfId="54765" xr:uid="{00000000-0005-0000-0000-00001F2C0000}"/>
    <cellStyle name="Separador de milhares 3 11 4 6 2 2 3" xfId="22670" xr:uid="{00000000-0005-0000-0000-0000202C0000}"/>
    <cellStyle name="Separador de milhares 3 11 4 6 2 2 3 2" xfId="48857" xr:uid="{00000000-0005-0000-0000-0000212C0000}"/>
    <cellStyle name="Separador de milhares 3 11 4 6 2 2 4" xfId="16756" xr:uid="{00000000-0005-0000-0000-0000222C0000}"/>
    <cellStyle name="Separador de milhares 3 11 4 6 2 2 4 2" xfId="42949" xr:uid="{00000000-0005-0000-0000-0000232C0000}"/>
    <cellStyle name="Separador de milhares 3 11 4 6 2 2 5" xfId="36563" xr:uid="{00000000-0005-0000-0000-0000242C0000}"/>
    <cellStyle name="Separador de milhares 3 11 4 6 2 3" xfId="25627" xr:uid="{00000000-0005-0000-0000-0000252C0000}"/>
    <cellStyle name="Separador de milhares 3 11 4 6 2 3 2" xfId="51811" xr:uid="{00000000-0005-0000-0000-0000262C0000}"/>
    <cellStyle name="Separador de milhares 3 11 4 6 2 4" xfId="19713" xr:uid="{00000000-0005-0000-0000-0000272C0000}"/>
    <cellStyle name="Separador de milhares 3 11 4 6 2 4 2" xfId="45903" xr:uid="{00000000-0005-0000-0000-0000282C0000}"/>
    <cellStyle name="Separador de milhares 3 11 4 6 2 5" xfId="13615" xr:uid="{00000000-0005-0000-0000-0000292C0000}"/>
    <cellStyle name="Separador de milhares 3 11 4 6 2 5 2" xfId="39808" xr:uid="{00000000-0005-0000-0000-00002A2C0000}"/>
    <cellStyle name="Separador de milhares 3 11 4 6 2 6" xfId="33422" xr:uid="{00000000-0005-0000-0000-00002B2C0000}"/>
    <cellStyle name="Separador de milhares 3 11 4 6 3" xfId="8902" xr:uid="{00000000-0005-0000-0000-00002C2C0000}"/>
    <cellStyle name="Separador de milhares 3 11 4 6 3 2" xfId="27116" xr:uid="{00000000-0005-0000-0000-00002D2C0000}"/>
    <cellStyle name="Separador de milhares 3 11 4 6 3 2 2" xfId="53297" xr:uid="{00000000-0005-0000-0000-00002E2C0000}"/>
    <cellStyle name="Separador de milhares 3 11 4 6 3 3" xfId="21202" xr:uid="{00000000-0005-0000-0000-00002F2C0000}"/>
    <cellStyle name="Separador de milhares 3 11 4 6 3 3 2" xfId="47389" xr:uid="{00000000-0005-0000-0000-0000302C0000}"/>
    <cellStyle name="Separador de milhares 3 11 4 6 3 4" xfId="15288" xr:uid="{00000000-0005-0000-0000-0000312C0000}"/>
    <cellStyle name="Separador de milhares 3 11 4 6 3 4 2" xfId="41481" xr:uid="{00000000-0005-0000-0000-0000322C0000}"/>
    <cellStyle name="Separador de milhares 3 11 4 6 3 5" xfId="35095" xr:uid="{00000000-0005-0000-0000-0000332C0000}"/>
    <cellStyle name="Separador de milhares 3 11 4 6 4" xfId="5527" xr:uid="{00000000-0005-0000-0000-0000342C0000}"/>
    <cellStyle name="Separador de milhares 3 11 4 6 4 2" xfId="24159" xr:uid="{00000000-0005-0000-0000-0000352C0000}"/>
    <cellStyle name="Separador de milhares 3 11 4 6 4 2 2" xfId="50343" xr:uid="{00000000-0005-0000-0000-0000362C0000}"/>
    <cellStyle name="Separador de milhares 3 11 4 6 4 3" xfId="31723" xr:uid="{00000000-0005-0000-0000-0000372C0000}"/>
    <cellStyle name="Separador de milhares 3 11 4 6 5" xfId="18245" xr:uid="{00000000-0005-0000-0000-0000382C0000}"/>
    <cellStyle name="Separador de milhares 3 11 4 6 5 2" xfId="44435" xr:uid="{00000000-0005-0000-0000-0000392C0000}"/>
    <cellStyle name="Separador de milhares 3 11 4 6 6" xfId="11914" xr:uid="{00000000-0005-0000-0000-00003A2C0000}"/>
    <cellStyle name="Separador de milhares 3 11 4 6 6 2" xfId="38107" xr:uid="{00000000-0005-0000-0000-00003B2C0000}"/>
    <cellStyle name="Separador de milhares 3 11 4 6 7" xfId="30025" xr:uid="{00000000-0005-0000-0000-00003C2C0000}"/>
    <cellStyle name="Separador de milhares 3 11 4 7" xfId="3384" xr:uid="{00000000-0005-0000-0000-00003D2C0000}"/>
    <cellStyle name="Separador de milhares 3 11 4 7 2" xfId="7373" xr:uid="{00000000-0005-0000-0000-00003E2C0000}"/>
    <cellStyle name="Separador de milhares 3 11 4 7 2 2" xfId="10517" xr:uid="{00000000-0005-0000-0000-00003F2C0000}"/>
    <cellStyle name="Separador de milhares 3 11 4 7 2 2 2" xfId="28731" xr:uid="{00000000-0005-0000-0000-0000402C0000}"/>
    <cellStyle name="Separador de milhares 3 11 4 7 2 2 2 2" xfId="54912" xr:uid="{00000000-0005-0000-0000-0000412C0000}"/>
    <cellStyle name="Separador de milhares 3 11 4 7 2 2 3" xfId="22817" xr:uid="{00000000-0005-0000-0000-0000422C0000}"/>
    <cellStyle name="Separador de milhares 3 11 4 7 2 2 3 2" xfId="49004" xr:uid="{00000000-0005-0000-0000-0000432C0000}"/>
    <cellStyle name="Separador de milhares 3 11 4 7 2 2 4" xfId="16903" xr:uid="{00000000-0005-0000-0000-0000442C0000}"/>
    <cellStyle name="Separador de milhares 3 11 4 7 2 2 4 2" xfId="43096" xr:uid="{00000000-0005-0000-0000-0000452C0000}"/>
    <cellStyle name="Separador de milhares 3 11 4 7 2 2 5" xfId="36710" xr:uid="{00000000-0005-0000-0000-0000462C0000}"/>
    <cellStyle name="Separador de milhares 3 11 4 7 2 3" xfId="25774" xr:uid="{00000000-0005-0000-0000-0000472C0000}"/>
    <cellStyle name="Separador de milhares 3 11 4 7 2 3 2" xfId="51958" xr:uid="{00000000-0005-0000-0000-0000482C0000}"/>
    <cellStyle name="Separador de milhares 3 11 4 7 2 4" xfId="19860" xr:uid="{00000000-0005-0000-0000-0000492C0000}"/>
    <cellStyle name="Separador de milhares 3 11 4 7 2 4 2" xfId="46050" xr:uid="{00000000-0005-0000-0000-00004A2C0000}"/>
    <cellStyle name="Separador de milhares 3 11 4 7 2 5" xfId="13762" xr:uid="{00000000-0005-0000-0000-00004B2C0000}"/>
    <cellStyle name="Separador de milhares 3 11 4 7 2 5 2" xfId="39955" xr:uid="{00000000-0005-0000-0000-00004C2C0000}"/>
    <cellStyle name="Separador de milhares 3 11 4 7 2 6" xfId="33569" xr:uid="{00000000-0005-0000-0000-00004D2C0000}"/>
    <cellStyle name="Separador de milhares 3 11 4 7 3" xfId="9049" xr:uid="{00000000-0005-0000-0000-00004E2C0000}"/>
    <cellStyle name="Separador de milhares 3 11 4 7 3 2" xfId="27263" xr:uid="{00000000-0005-0000-0000-00004F2C0000}"/>
    <cellStyle name="Separador de milhares 3 11 4 7 3 2 2" xfId="53444" xr:uid="{00000000-0005-0000-0000-0000502C0000}"/>
    <cellStyle name="Separador de milhares 3 11 4 7 3 3" xfId="21349" xr:uid="{00000000-0005-0000-0000-0000512C0000}"/>
    <cellStyle name="Separador de milhares 3 11 4 7 3 3 2" xfId="47536" xr:uid="{00000000-0005-0000-0000-0000522C0000}"/>
    <cellStyle name="Separador de milhares 3 11 4 7 3 4" xfId="15435" xr:uid="{00000000-0005-0000-0000-0000532C0000}"/>
    <cellStyle name="Separador de milhares 3 11 4 7 3 4 2" xfId="41628" xr:uid="{00000000-0005-0000-0000-0000542C0000}"/>
    <cellStyle name="Separador de milhares 3 11 4 7 3 5" xfId="35242" xr:uid="{00000000-0005-0000-0000-0000552C0000}"/>
    <cellStyle name="Separador de milhares 3 11 4 7 4" xfId="5674" xr:uid="{00000000-0005-0000-0000-0000562C0000}"/>
    <cellStyle name="Separador de milhares 3 11 4 7 4 2" xfId="24306" xr:uid="{00000000-0005-0000-0000-0000572C0000}"/>
    <cellStyle name="Separador de milhares 3 11 4 7 4 2 2" xfId="50490" xr:uid="{00000000-0005-0000-0000-0000582C0000}"/>
    <cellStyle name="Separador de milhares 3 11 4 7 4 3" xfId="31870" xr:uid="{00000000-0005-0000-0000-0000592C0000}"/>
    <cellStyle name="Separador de milhares 3 11 4 7 5" xfId="18392" xr:uid="{00000000-0005-0000-0000-00005A2C0000}"/>
    <cellStyle name="Separador de milhares 3 11 4 7 5 2" xfId="44582" xr:uid="{00000000-0005-0000-0000-00005B2C0000}"/>
    <cellStyle name="Separador de milhares 3 11 4 7 6" xfId="12061" xr:uid="{00000000-0005-0000-0000-00005C2C0000}"/>
    <cellStyle name="Separador de milhares 3 11 4 7 6 2" xfId="38254" xr:uid="{00000000-0005-0000-0000-00005D2C0000}"/>
    <cellStyle name="Separador de milhares 3 11 4 7 7" xfId="30172" xr:uid="{00000000-0005-0000-0000-00005E2C0000}"/>
    <cellStyle name="Separador de milhares 3 11 4 8" xfId="3911" xr:uid="{00000000-0005-0000-0000-00005F2C0000}"/>
    <cellStyle name="Separador de milhares 3 11 4 8 2" xfId="7520" xr:uid="{00000000-0005-0000-0000-0000602C0000}"/>
    <cellStyle name="Separador de milhares 3 11 4 8 2 2" xfId="10664" xr:uid="{00000000-0005-0000-0000-0000612C0000}"/>
    <cellStyle name="Separador de milhares 3 11 4 8 2 2 2" xfId="28878" xr:uid="{00000000-0005-0000-0000-0000622C0000}"/>
    <cellStyle name="Separador de milhares 3 11 4 8 2 2 2 2" xfId="55059" xr:uid="{00000000-0005-0000-0000-0000632C0000}"/>
    <cellStyle name="Separador de milhares 3 11 4 8 2 2 3" xfId="22964" xr:uid="{00000000-0005-0000-0000-0000642C0000}"/>
    <cellStyle name="Separador de milhares 3 11 4 8 2 2 3 2" xfId="49151" xr:uid="{00000000-0005-0000-0000-0000652C0000}"/>
    <cellStyle name="Separador de milhares 3 11 4 8 2 2 4" xfId="17050" xr:uid="{00000000-0005-0000-0000-0000662C0000}"/>
    <cellStyle name="Separador de milhares 3 11 4 8 2 2 4 2" xfId="43243" xr:uid="{00000000-0005-0000-0000-0000672C0000}"/>
    <cellStyle name="Separador de milhares 3 11 4 8 2 2 5" xfId="36857" xr:uid="{00000000-0005-0000-0000-0000682C0000}"/>
    <cellStyle name="Separador de milhares 3 11 4 8 2 3" xfId="25921" xr:uid="{00000000-0005-0000-0000-0000692C0000}"/>
    <cellStyle name="Separador de milhares 3 11 4 8 2 3 2" xfId="52105" xr:uid="{00000000-0005-0000-0000-00006A2C0000}"/>
    <cellStyle name="Separador de milhares 3 11 4 8 2 4" xfId="20007" xr:uid="{00000000-0005-0000-0000-00006B2C0000}"/>
    <cellStyle name="Separador de milhares 3 11 4 8 2 4 2" xfId="46197" xr:uid="{00000000-0005-0000-0000-00006C2C0000}"/>
    <cellStyle name="Separador de milhares 3 11 4 8 2 5" xfId="13909" xr:uid="{00000000-0005-0000-0000-00006D2C0000}"/>
    <cellStyle name="Separador de milhares 3 11 4 8 2 5 2" xfId="40102" xr:uid="{00000000-0005-0000-0000-00006E2C0000}"/>
    <cellStyle name="Separador de milhares 3 11 4 8 2 6" xfId="33716" xr:uid="{00000000-0005-0000-0000-00006F2C0000}"/>
    <cellStyle name="Separador de milhares 3 11 4 8 3" xfId="9196" xr:uid="{00000000-0005-0000-0000-0000702C0000}"/>
    <cellStyle name="Separador de milhares 3 11 4 8 3 2" xfId="27410" xr:uid="{00000000-0005-0000-0000-0000712C0000}"/>
    <cellStyle name="Separador de milhares 3 11 4 8 3 2 2" xfId="53591" xr:uid="{00000000-0005-0000-0000-0000722C0000}"/>
    <cellStyle name="Separador de milhares 3 11 4 8 3 3" xfId="21496" xr:uid="{00000000-0005-0000-0000-0000732C0000}"/>
    <cellStyle name="Separador de milhares 3 11 4 8 3 3 2" xfId="47683" xr:uid="{00000000-0005-0000-0000-0000742C0000}"/>
    <cellStyle name="Separador de milhares 3 11 4 8 3 4" xfId="15582" xr:uid="{00000000-0005-0000-0000-0000752C0000}"/>
    <cellStyle name="Separador de milhares 3 11 4 8 3 4 2" xfId="41775" xr:uid="{00000000-0005-0000-0000-0000762C0000}"/>
    <cellStyle name="Separador de milhares 3 11 4 8 3 5" xfId="35389" xr:uid="{00000000-0005-0000-0000-0000772C0000}"/>
    <cellStyle name="Separador de milhares 3 11 4 8 4" xfId="5821" xr:uid="{00000000-0005-0000-0000-0000782C0000}"/>
    <cellStyle name="Separador de milhares 3 11 4 8 4 2" xfId="24453" xr:uid="{00000000-0005-0000-0000-0000792C0000}"/>
    <cellStyle name="Separador de milhares 3 11 4 8 4 2 2" xfId="50637" xr:uid="{00000000-0005-0000-0000-00007A2C0000}"/>
    <cellStyle name="Separador de milhares 3 11 4 8 4 3" xfId="32017" xr:uid="{00000000-0005-0000-0000-00007B2C0000}"/>
    <cellStyle name="Separador de milhares 3 11 4 8 5" xfId="18539" xr:uid="{00000000-0005-0000-0000-00007C2C0000}"/>
    <cellStyle name="Separador de milhares 3 11 4 8 5 2" xfId="44729" xr:uid="{00000000-0005-0000-0000-00007D2C0000}"/>
    <cellStyle name="Separador de milhares 3 11 4 8 6" xfId="12208" xr:uid="{00000000-0005-0000-0000-00007E2C0000}"/>
    <cellStyle name="Separador de milhares 3 11 4 8 6 2" xfId="38401" xr:uid="{00000000-0005-0000-0000-00007F2C0000}"/>
    <cellStyle name="Separador de milhares 3 11 4 8 7" xfId="30319" xr:uid="{00000000-0005-0000-0000-0000802C0000}"/>
    <cellStyle name="Separador de milhares 3 11 4 9" xfId="679" xr:uid="{00000000-0005-0000-0000-0000812C0000}"/>
    <cellStyle name="Separador de milhares 3 11 4 9 2" xfId="6614" xr:uid="{00000000-0005-0000-0000-0000822C0000}"/>
    <cellStyle name="Separador de milhares 3 11 4 9 2 2" xfId="9761" xr:uid="{00000000-0005-0000-0000-0000832C0000}"/>
    <cellStyle name="Separador de milhares 3 11 4 9 2 2 2" xfId="27975" xr:uid="{00000000-0005-0000-0000-0000842C0000}"/>
    <cellStyle name="Separador de milhares 3 11 4 9 2 2 2 2" xfId="54156" xr:uid="{00000000-0005-0000-0000-0000852C0000}"/>
    <cellStyle name="Separador de milhares 3 11 4 9 2 2 3" xfId="22061" xr:uid="{00000000-0005-0000-0000-0000862C0000}"/>
    <cellStyle name="Separador de milhares 3 11 4 9 2 2 3 2" xfId="48248" xr:uid="{00000000-0005-0000-0000-0000872C0000}"/>
    <cellStyle name="Separador de milhares 3 11 4 9 2 2 4" xfId="16147" xr:uid="{00000000-0005-0000-0000-0000882C0000}"/>
    <cellStyle name="Separador de milhares 3 11 4 9 2 2 4 2" xfId="42340" xr:uid="{00000000-0005-0000-0000-0000892C0000}"/>
    <cellStyle name="Separador de milhares 3 11 4 9 2 2 5" xfId="35954" xr:uid="{00000000-0005-0000-0000-00008A2C0000}"/>
    <cellStyle name="Separador de milhares 3 11 4 9 2 3" xfId="25018" xr:uid="{00000000-0005-0000-0000-00008B2C0000}"/>
    <cellStyle name="Separador de milhares 3 11 4 9 2 3 2" xfId="51202" xr:uid="{00000000-0005-0000-0000-00008C2C0000}"/>
    <cellStyle name="Separador de milhares 3 11 4 9 2 4" xfId="19104" xr:uid="{00000000-0005-0000-0000-00008D2C0000}"/>
    <cellStyle name="Separador de milhares 3 11 4 9 2 4 2" xfId="45294" xr:uid="{00000000-0005-0000-0000-00008E2C0000}"/>
    <cellStyle name="Separador de milhares 3 11 4 9 2 5" xfId="13003" xr:uid="{00000000-0005-0000-0000-00008F2C0000}"/>
    <cellStyle name="Separador de milhares 3 11 4 9 2 5 2" xfId="39196" xr:uid="{00000000-0005-0000-0000-0000902C0000}"/>
    <cellStyle name="Separador de milhares 3 11 4 9 2 6" xfId="32810" xr:uid="{00000000-0005-0000-0000-0000912C0000}"/>
    <cellStyle name="Separador de milhares 3 11 4 9 3" xfId="8293" xr:uid="{00000000-0005-0000-0000-0000922C0000}"/>
    <cellStyle name="Separador de milhares 3 11 4 9 3 2" xfId="26507" xr:uid="{00000000-0005-0000-0000-0000932C0000}"/>
    <cellStyle name="Separador de milhares 3 11 4 9 3 2 2" xfId="52688" xr:uid="{00000000-0005-0000-0000-0000942C0000}"/>
    <cellStyle name="Separador de milhares 3 11 4 9 3 3" xfId="20593" xr:uid="{00000000-0005-0000-0000-0000952C0000}"/>
    <cellStyle name="Separador de milhares 3 11 4 9 3 3 2" xfId="46780" xr:uid="{00000000-0005-0000-0000-0000962C0000}"/>
    <cellStyle name="Separador de milhares 3 11 4 9 3 4" xfId="14679" xr:uid="{00000000-0005-0000-0000-0000972C0000}"/>
    <cellStyle name="Separador de milhares 3 11 4 9 3 4 2" xfId="40872" xr:uid="{00000000-0005-0000-0000-0000982C0000}"/>
    <cellStyle name="Separador de milhares 3 11 4 9 3 5" xfId="34486" xr:uid="{00000000-0005-0000-0000-0000992C0000}"/>
    <cellStyle name="Separador de milhares 3 11 4 9 4" xfId="4915" xr:uid="{00000000-0005-0000-0000-00009A2C0000}"/>
    <cellStyle name="Separador de milhares 3 11 4 9 4 2" xfId="23550" xr:uid="{00000000-0005-0000-0000-00009B2C0000}"/>
    <cellStyle name="Separador de milhares 3 11 4 9 4 2 2" xfId="49734" xr:uid="{00000000-0005-0000-0000-00009C2C0000}"/>
    <cellStyle name="Separador de milhares 3 11 4 9 4 3" xfId="31111" xr:uid="{00000000-0005-0000-0000-00009D2C0000}"/>
    <cellStyle name="Separador de milhares 3 11 4 9 5" xfId="17636" xr:uid="{00000000-0005-0000-0000-00009E2C0000}"/>
    <cellStyle name="Separador de milhares 3 11 4 9 5 2" xfId="43826" xr:uid="{00000000-0005-0000-0000-00009F2C0000}"/>
    <cellStyle name="Separador de milhares 3 11 4 9 6" xfId="11302" xr:uid="{00000000-0005-0000-0000-0000A02C0000}"/>
    <cellStyle name="Separador de milhares 3 11 4 9 6 2" xfId="37495" xr:uid="{00000000-0005-0000-0000-0000A12C0000}"/>
    <cellStyle name="Separador de milhares 3 11 4 9 7" xfId="29413" xr:uid="{00000000-0005-0000-0000-0000A22C0000}"/>
    <cellStyle name="Separador de milhares 3 11 5" xfId="626" xr:uid="{00000000-0005-0000-0000-0000A32C0000}"/>
    <cellStyle name="Separador de milhares 3 11 5 10" xfId="4879" xr:uid="{00000000-0005-0000-0000-0000A42C0000}"/>
    <cellStyle name="Separador de milhares 3 11 5 10 2" xfId="23513" xr:uid="{00000000-0005-0000-0000-0000A52C0000}"/>
    <cellStyle name="Separador de milhares 3 11 5 10 2 2" xfId="49700" xr:uid="{00000000-0005-0000-0000-0000A62C0000}"/>
    <cellStyle name="Separador de milhares 3 11 5 10 3" xfId="31077" xr:uid="{00000000-0005-0000-0000-0000A72C0000}"/>
    <cellStyle name="Separador de milhares 3 11 5 11" xfId="17599" xr:uid="{00000000-0005-0000-0000-0000A82C0000}"/>
    <cellStyle name="Separador de milhares 3 11 5 11 2" xfId="43792" xr:uid="{00000000-0005-0000-0000-0000A92C0000}"/>
    <cellStyle name="Separador de milhares 3 11 5 12" xfId="11268" xr:uid="{00000000-0005-0000-0000-0000AA2C0000}"/>
    <cellStyle name="Separador de milhares 3 11 5 12 2" xfId="37461" xr:uid="{00000000-0005-0000-0000-0000AB2C0000}"/>
    <cellStyle name="Separador de milhares 3 11 5 13" xfId="29379" xr:uid="{00000000-0005-0000-0000-0000AC2C0000}"/>
    <cellStyle name="Separador de milhares 3 11 5 2" xfId="1449" xr:uid="{00000000-0005-0000-0000-0000AD2C0000}"/>
    <cellStyle name="Separador de milhares 3 11 5 2 2" xfId="6831" xr:uid="{00000000-0005-0000-0000-0000AE2C0000}"/>
    <cellStyle name="Separador de milhares 3 11 5 2 2 2" xfId="9978" xr:uid="{00000000-0005-0000-0000-0000AF2C0000}"/>
    <cellStyle name="Separador de milhares 3 11 5 2 2 2 2" xfId="28192" xr:uid="{00000000-0005-0000-0000-0000B02C0000}"/>
    <cellStyle name="Separador de milhares 3 11 5 2 2 2 2 2" xfId="54373" xr:uid="{00000000-0005-0000-0000-0000B12C0000}"/>
    <cellStyle name="Separador de milhares 3 11 5 2 2 2 3" xfId="22278" xr:uid="{00000000-0005-0000-0000-0000B22C0000}"/>
    <cellStyle name="Separador de milhares 3 11 5 2 2 2 3 2" xfId="48465" xr:uid="{00000000-0005-0000-0000-0000B32C0000}"/>
    <cellStyle name="Separador de milhares 3 11 5 2 2 2 4" xfId="16364" xr:uid="{00000000-0005-0000-0000-0000B42C0000}"/>
    <cellStyle name="Separador de milhares 3 11 5 2 2 2 4 2" xfId="42557" xr:uid="{00000000-0005-0000-0000-0000B52C0000}"/>
    <cellStyle name="Separador de milhares 3 11 5 2 2 2 5" xfId="36171" xr:uid="{00000000-0005-0000-0000-0000B62C0000}"/>
    <cellStyle name="Separador de milhares 3 11 5 2 2 3" xfId="25235" xr:uid="{00000000-0005-0000-0000-0000B72C0000}"/>
    <cellStyle name="Separador de milhares 3 11 5 2 2 3 2" xfId="51419" xr:uid="{00000000-0005-0000-0000-0000B82C0000}"/>
    <cellStyle name="Separador de milhares 3 11 5 2 2 4" xfId="19321" xr:uid="{00000000-0005-0000-0000-0000B92C0000}"/>
    <cellStyle name="Separador de milhares 3 11 5 2 2 4 2" xfId="45511" xr:uid="{00000000-0005-0000-0000-0000BA2C0000}"/>
    <cellStyle name="Separador de milhares 3 11 5 2 2 5" xfId="13220" xr:uid="{00000000-0005-0000-0000-0000BB2C0000}"/>
    <cellStyle name="Separador de milhares 3 11 5 2 2 5 2" xfId="39413" xr:uid="{00000000-0005-0000-0000-0000BC2C0000}"/>
    <cellStyle name="Separador de milhares 3 11 5 2 2 6" xfId="33027" xr:uid="{00000000-0005-0000-0000-0000BD2C0000}"/>
    <cellStyle name="Separador de milhares 3 11 5 2 3" xfId="8510" xr:uid="{00000000-0005-0000-0000-0000BE2C0000}"/>
    <cellStyle name="Separador de milhares 3 11 5 2 3 2" xfId="26724" xr:uid="{00000000-0005-0000-0000-0000BF2C0000}"/>
    <cellStyle name="Separador de milhares 3 11 5 2 3 2 2" xfId="52905" xr:uid="{00000000-0005-0000-0000-0000C02C0000}"/>
    <cellStyle name="Separador de milhares 3 11 5 2 3 3" xfId="20810" xr:uid="{00000000-0005-0000-0000-0000C12C0000}"/>
    <cellStyle name="Separador de milhares 3 11 5 2 3 3 2" xfId="46997" xr:uid="{00000000-0005-0000-0000-0000C22C0000}"/>
    <cellStyle name="Separador de milhares 3 11 5 2 3 4" xfId="14896" xr:uid="{00000000-0005-0000-0000-0000C32C0000}"/>
    <cellStyle name="Separador de milhares 3 11 5 2 3 4 2" xfId="41089" xr:uid="{00000000-0005-0000-0000-0000C42C0000}"/>
    <cellStyle name="Separador de milhares 3 11 5 2 3 5" xfId="34703" xr:uid="{00000000-0005-0000-0000-0000C52C0000}"/>
    <cellStyle name="Separador de milhares 3 11 5 2 4" xfId="5132" xr:uid="{00000000-0005-0000-0000-0000C62C0000}"/>
    <cellStyle name="Separador de milhares 3 11 5 2 4 2" xfId="23767" xr:uid="{00000000-0005-0000-0000-0000C72C0000}"/>
    <cellStyle name="Separador de milhares 3 11 5 2 4 2 2" xfId="49951" xr:uid="{00000000-0005-0000-0000-0000C82C0000}"/>
    <cellStyle name="Separador de milhares 3 11 5 2 4 3" xfId="31328" xr:uid="{00000000-0005-0000-0000-0000C92C0000}"/>
    <cellStyle name="Separador de milhares 3 11 5 2 5" xfId="17853" xr:uid="{00000000-0005-0000-0000-0000CA2C0000}"/>
    <cellStyle name="Separador de milhares 3 11 5 2 5 2" xfId="44043" xr:uid="{00000000-0005-0000-0000-0000CB2C0000}"/>
    <cellStyle name="Separador de milhares 3 11 5 2 6" xfId="11519" xr:uid="{00000000-0005-0000-0000-0000CC2C0000}"/>
    <cellStyle name="Separador de milhares 3 11 5 2 6 2" xfId="37712" xr:uid="{00000000-0005-0000-0000-0000CD2C0000}"/>
    <cellStyle name="Separador de milhares 3 11 5 2 7" xfId="29630" xr:uid="{00000000-0005-0000-0000-0000CE2C0000}"/>
    <cellStyle name="Separador de milhares 3 11 5 3" xfId="1884" xr:uid="{00000000-0005-0000-0000-0000CF2C0000}"/>
    <cellStyle name="Separador de milhares 3 11 5 3 2" xfId="6950" xr:uid="{00000000-0005-0000-0000-0000D02C0000}"/>
    <cellStyle name="Separador de milhares 3 11 5 3 2 2" xfId="10097" xr:uid="{00000000-0005-0000-0000-0000D12C0000}"/>
    <cellStyle name="Separador de milhares 3 11 5 3 2 2 2" xfId="28311" xr:uid="{00000000-0005-0000-0000-0000D22C0000}"/>
    <cellStyle name="Separador de milhares 3 11 5 3 2 2 2 2" xfId="54492" xr:uid="{00000000-0005-0000-0000-0000D32C0000}"/>
    <cellStyle name="Separador de milhares 3 11 5 3 2 2 3" xfId="22397" xr:uid="{00000000-0005-0000-0000-0000D42C0000}"/>
    <cellStyle name="Separador de milhares 3 11 5 3 2 2 3 2" xfId="48584" xr:uid="{00000000-0005-0000-0000-0000D52C0000}"/>
    <cellStyle name="Separador de milhares 3 11 5 3 2 2 4" xfId="16483" xr:uid="{00000000-0005-0000-0000-0000D62C0000}"/>
    <cellStyle name="Separador de milhares 3 11 5 3 2 2 4 2" xfId="42676" xr:uid="{00000000-0005-0000-0000-0000D72C0000}"/>
    <cellStyle name="Separador de milhares 3 11 5 3 2 2 5" xfId="36290" xr:uid="{00000000-0005-0000-0000-0000D82C0000}"/>
    <cellStyle name="Separador de milhares 3 11 5 3 2 3" xfId="25354" xr:uid="{00000000-0005-0000-0000-0000D92C0000}"/>
    <cellStyle name="Separador de milhares 3 11 5 3 2 3 2" xfId="51538" xr:uid="{00000000-0005-0000-0000-0000DA2C0000}"/>
    <cellStyle name="Separador de milhares 3 11 5 3 2 4" xfId="19440" xr:uid="{00000000-0005-0000-0000-0000DB2C0000}"/>
    <cellStyle name="Separador de milhares 3 11 5 3 2 4 2" xfId="45630" xr:uid="{00000000-0005-0000-0000-0000DC2C0000}"/>
    <cellStyle name="Separador de milhares 3 11 5 3 2 5" xfId="13339" xr:uid="{00000000-0005-0000-0000-0000DD2C0000}"/>
    <cellStyle name="Separador de milhares 3 11 5 3 2 5 2" xfId="39532" xr:uid="{00000000-0005-0000-0000-0000DE2C0000}"/>
    <cellStyle name="Separador de milhares 3 11 5 3 2 6" xfId="33146" xr:uid="{00000000-0005-0000-0000-0000DF2C0000}"/>
    <cellStyle name="Separador de milhares 3 11 5 3 3" xfId="8629" xr:uid="{00000000-0005-0000-0000-0000E02C0000}"/>
    <cellStyle name="Separador de milhares 3 11 5 3 3 2" xfId="26843" xr:uid="{00000000-0005-0000-0000-0000E12C0000}"/>
    <cellStyle name="Separador de milhares 3 11 5 3 3 2 2" xfId="53024" xr:uid="{00000000-0005-0000-0000-0000E22C0000}"/>
    <cellStyle name="Separador de milhares 3 11 5 3 3 3" xfId="20929" xr:uid="{00000000-0005-0000-0000-0000E32C0000}"/>
    <cellStyle name="Separador de milhares 3 11 5 3 3 3 2" xfId="47116" xr:uid="{00000000-0005-0000-0000-0000E42C0000}"/>
    <cellStyle name="Separador de milhares 3 11 5 3 3 4" xfId="15015" xr:uid="{00000000-0005-0000-0000-0000E52C0000}"/>
    <cellStyle name="Separador de milhares 3 11 5 3 3 4 2" xfId="41208" xr:uid="{00000000-0005-0000-0000-0000E62C0000}"/>
    <cellStyle name="Separador de milhares 3 11 5 3 3 5" xfId="34822" xr:uid="{00000000-0005-0000-0000-0000E72C0000}"/>
    <cellStyle name="Separador de milhares 3 11 5 3 4" xfId="5251" xr:uid="{00000000-0005-0000-0000-0000E82C0000}"/>
    <cellStyle name="Separador de milhares 3 11 5 3 4 2" xfId="23886" xr:uid="{00000000-0005-0000-0000-0000E92C0000}"/>
    <cellStyle name="Separador de milhares 3 11 5 3 4 2 2" xfId="50070" xr:uid="{00000000-0005-0000-0000-0000EA2C0000}"/>
    <cellStyle name="Separador de milhares 3 11 5 3 4 3" xfId="31447" xr:uid="{00000000-0005-0000-0000-0000EB2C0000}"/>
    <cellStyle name="Separador de milhares 3 11 5 3 5" xfId="17972" xr:uid="{00000000-0005-0000-0000-0000EC2C0000}"/>
    <cellStyle name="Separador de milhares 3 11 5 3 5 2" xfId="44162" xr:uid="{00000000-0005-0000-0000-0000ED2C0000}"/>
    <cellStyle name="Separador de milhares 3 11 5 3 6" xfId="11638" xr:uid="{00000000-0005-0000-0000-0000EE2C0000}"/>
    <cellStyle name="Separador de milhares 3 11 5 3 6 2" xfId="37831" xr:uid="{00000000-0005-0000-0000-0000EF2C0000}"/>
    <cellStyle name="Separador de milhares 3 11 5 3 7" xfId="29749" xr:uid="{00000000-0005-0000-0000-0000F02C0000}"/>
    <cellStyle name="Separador de milhares 3 11 5 4" xfId="2414" xr:uid="{00000000-0005-0000-0000-0000F12C0000}"/>
    <cellStyle name="Separador de milhares 3 11 5 4 2" xfId="7100" xr:uid="{00000000-0005-0000-0000-0000F22C0000}"/>
    <cellStyle name="Separador de milhares 3 11 5 4 2 2" xfId="10244" xr:uid="{00000000-0005-0000-0000-0000F32C0000}"/>
    <cellStyle name="Separador de milhares 3 11 5 4 2 2 2" xfId="28458" xr:uid="{00000000-0005-0000-0000-0000F42C0000}"/>
    <cellStyle name="Separador de milhares 3 11 5 4 2 2 2 2" xfId="54639" xr:uid="{00000000-0005-0000-0000-0000F52C0000}"/>
    <cellStyle name="Separador de milhares 3 11 5 4 2 2 3" xfId="22544" xr:uid="{00000000-0005-0000-0000-0000F62C0000}"/>
    <cellStyle name="Separador de milhares 3 11 5 4 2 2 3 2" xfId="48731" xr:uid="{00000000-0005-0000-0000-0000F72C0000}"/>
    <cellStyle name="Separador de milhares 3 11 5 4 2 2 4" xfId="16630" xr:uid="{00000000-0005-0000-0000-0000F82C0000}"/>
    <cellStyle name="Separador de milhares 3 11 5 4 2 2 4 2" xfId="42823" xr:uid="{00000000-0005-0000-0000-0000F92C0000}"/>
    <cellStyle name="Separador de milhares 3 11 5 4 2 2 5" xfId="36437" xr:uid="{00000000-0005-0000-0000-0000FA2C0000}"/>
    <cellStyle name="Separador de milhares 3 11 5 4 2 3" xfId="25501" xr:uid="{00000000-0005-0000-0000-0000FB2C0000}"/>
    <cellStyle name="Separador de milhares 3 11 5 4 2 3 2" xfId="51685" xr:uid="{00000000-0005-0000-0000-0000FC2C0000}"/>
    <cellStyle name="Separador de milhares 3 11 5 4 2 4" xfId="19587" xr:uid="{00000000-0005-0000-0000-0000FD2C0000}"/>
    <cellStyle name="Separador de milhares 3 11 5 4 2 4 2" xfId="45777" xr:uid="{00000000-0005-0000-0000-0000FE2C0000}"/>
    <cellStyle name="Separador de milhares 3 11 5 4 2 5" xfId="13489" xr:uid="{00000000-0005-0000-0000-0000FF2C0000}"/>
    <cellStyle name="Separador de milhares 3 11 5 4 2 5 2" xfId="39682" xr:uid="{00000000-0005-0000-0000-0000002D0000}"/>
    <cellStyle name="Separador de milhares 3 11 5 4 2 6" xfId="33296" xr:uid="{00000000-0005-0000-0000-0000012D0000}"/>
    <cellStyle name="Separador de milhares 3 11 5 4 3" xfId="8776" xr:uid="{00000000-0005-0000-0000-0000022D0000}"/>
    <cellStyle name="Separador de milhares 3 11 5 4 3 2" xfId="26990" xr:uid="{00000000-0005-0000-0000-0000032D0000}"/>
    <cellStyle name="Separador de milhares 3 11 5 4 3 2 2" xfId="53171" xr:uid="{00000000-0005-0000-0000-0000042D0000}"/>
    <cellStyle name="Separador de milhares 3 11 5 4 3 3" xfId="21076" xr:uid="{00000000-0005-0000-0000-0000052D0000}"/>
    <cellStyle name="Separador de milhares 3 11 5 4 3 3 2" xfId="47263" xr:uid="{00000000-0005-0000-0000-0000062D0000}"/>
    <cellStyle name="Separador de milhares 3 11 5 4 3 4" xfId="15162" xr:uid="{00000000-0005-0000-0000-0000072D0000}"/>
    <cellStyle name="Separador de milhares 3 11 5 4 3 4 2" xfId="41355" xr:uid="{00000000-0005-0000-0000-0000082D0000}"/>
    <cellStyle name="Separador de milhares 3 11 5 4 3 5" xfId="34969" xr:uid="{00000000-0005-0000-0000-0000092D0000}"/>
    <cellStyle name="Separador de milhares 3 11 5 4 4" xfId="5401" xr:uid="{00000000-0005-0000-0000-00000A2D0000}"/>
    <cellStyle name="Separador de milhares 3 11 5 4 4 2" xfId="24033" xr:uid="{00000000-0005-0000-0000-00000B2D0000}"/>
    <cellStyle name="Separador de milhares 3 11 5 4 4 2 2" xfId="50217" xr:uid="{00000000-0005-0000-0000-00000C2D0000}"/>
    <cellStyle name="Separador de milhares 3 11 5 4 4 3" xfId="31597" xr:uid="{00000000-0005-0000-0000-00000D2D0000}"/>
    <cellStyle name="Separador de milhares 3 11 5 4 5" xfId="18119" xr:uid="{00000000-0005-0000-0000-00000E2D0000}"/>
    <cellStyle name="Separador de milhares 3 11 5 4 5 2" xfId="44309" xr:uid="{00000000-0005-0000-0000-00000F2D0000}"/>
    <cellStyle name="Separador de milhares 3 11 5 4 6" xfId="11788" xr:uid="{00000000-0005-0000-0000-0000102D0000}"/>
    <cellStyle name="Separador de milhares 3 11 5 4 6 2" xfId="37981" xr:uid="{00000000-0005-0000-0000-0000112D0000}"/>
    <cellStyle name="Separador de milhares 3 11 5 4 7" xfId="29899" xr:uid="{00000000-0005-0000-0000-0000122D0000}"/>
    <cellStyle name="Separador de milhares 3 11 5 5" xfId="2941" xr:uid="{00000000-0005-0000-0000-0000132D0000}"/>
    <cellStyle name="Separador de milhares 3 11 5 5 2" xfId="7247" xr:uid="{00000000-0005-0000-0000-0000142D0000}"/>
    <cellStyle name="Separador de milhares 3 11 5 5 2 2" xfId="10391" xr:uid="{00000000-0005-0000-0000-0000152D0000}"/>
    <cellStyle name="Separador de milhares 3 11 5 5 2 2 2" xfId="28605" xr:uid="{00000000-0005-0000-0000-0000162D0000}"/>
    <cellStyle name="Separador de milhares 3 11 5 5 2 2 2 2" xfId="54786" xr:uid="{00000000-0005-0000-0000-0000172D0000}"/>
    <cellStyle name="Separador de milhares 3 11 5 5 2 2 3" xfId="22691" xr:uid="{00000000-0005-0000-0000-0000182D0000}"/>
    <cellStyle name="Separador de milhares 3 11 5 5 2 2 3 2" xfId="48878" xr:uid="{00000000-0005-0000-0000-0000192D0000}"/>
    <cellStyle name="Separador de milhares 3 11 5 5 2 2 4" xfId="16777" xr:uid="{00000000-0005-0000-0000-00001A2D0000}"/>
    <cellStyle name="Separador de milhares 3 11 5 5 2 2 4 2" xfId="42970" xr:uid="{00000000-0005-0000-0000-00001B2D0000}"/>
    <cellStyle name="Separador de milhares 3 11 5 5 2 2 5" xfId="36584" xr:uid="{00000000-0005-0000-0000-00001C2D0000}"/>
    <cellStyle name="Separador de milhares 3 11 5 5 2 3" xfId="25648" xr:uid="{00000000-0005-0000-0000-00001D2D0000}"/>
    <cellStyle name="Separador de milhares 3 11 5 5 2 3 2" xfId="51832" xr:uid="{00000000-0005-0000-0000-00001E2D0000}"/>
    <cellStyle name="Separador de milhares 3 11 5 5 2 4" xfId="19734" xr:uid="{00000000-0005-0000-0000-00001F2D0000}"/>
    <cellStyle name="Separador de milhares 3 11 5 5 2 4 2" xfId="45924" xr:uid="{00000000-0005-0000-0000-0000202D0000}"/>
    <cellStyle name="Separador de milhares 3 11 5 5 2 5" xfId="13636" xr:uid="{00000000-0005-0000-0000-0000212D0000}"/>
    <cellStyle name="Separador de milhares 3 11 5 5 2 5 2" xfId="39829" xr:uid="{00000000-0005-0000-0000-0000222D0000}"/>
    <cellStyle name="Separador de milhares 3 11 5 5 2 6" xfId="33443" xr:uid="{00000000-0005-0000-0000-0000232D0000}"/>
    <cellStyle name="Separador de milhares 3 11 5 5 3" xfId="8923" xr:uid="{00000000-0005-0000-0000-0000242D0000}"/>
    <cellStyle name="Separador de milhares 3 11 5 5 3 2" xfId="27137" xr:uid="{00000000-0005-0000-0000-0000252D0000}"/>
    <cellStyle name="Separador de milhares 3 11 5 5 3 2 2" xfId="53318" xr:uid="{00000000-0005-0000-0000-0000262D0000}"/>
    <cellStyle name="Separador de milhares 3 11 5 5 3 3" xfId="21223" xr:uid="{00000000-0005-0000-0000-0000272D0000}"/>
    <cellStyle name="Separador de milhares 3 11 5 5 3 3 2" xfId="47410" xr:uid="{00000000-0005-0000-0000-0000282D0000}"/>
    <cellStyle name="Separador de milhares 3 11 5 5 3 4" xfId="15309" xr:uid="{00000000-0005-0000-0000-0000292D0000}"/>
    <cellStyle name="Separador de milhares 3 11 5 5 3 4 2" xfId="41502" xr:uid="{00000000-0005-0000-0000-00002A2D0000}"/>
    <cellStyle name="Separador de milhares 3 11 5 5 3 5" xfId="35116" xr:uid="{00000000-0005-0000-0000-00002B2D0000}"/>
    <cellStyle name="Separador de milhares 3 11 5 5 4" xfId="5548" xr:uid="{00000000-0005-0000-0000-00002C2D0000}"/>
    <cellStyle name="Separador de milhares 3 11 5 5 4 2" xfId="24180" xr:uid="{00000000-0005-0000-0000-00002D2D0000}"/>
    <cellStyle name="Separador de milhares 3 11 5 5 4 2 2" xfId="50364" xr:uid="{00000000-0005-0000-0000-00002E2D0000}"/>
    <cellStyle name="Separador de milhares 3 11 5 5 4 3" xfId="31744" xr:uid="{00000000-0005-0000-0000-00002F2D0000}"/>
    <cellStyle name="Separador de milhares 3 11 5 5 5" xfId="18266" xr:uid="{00000000-0005-0000-0000-0000302D0000}"/>
    <cellStyle name="Separador de milhares 3 11 5 5 5 2" xfId="44456" xr:uid="{00000000-0005-0000-0000-0000312D0000}"/>
    <cellStyle name="Separador de milhares 3 11 5 5 6" xfId="11935" xr:uid="{00000000-0005-0000-0000-0000322D0000}"/>
    <cellStyle name="Separador de milhares 3 11 5 5 6 2" xfId="38128" xr:uid="{00000000-0005-0000-0000-0000332D0000}"/>
    <cellStyle name="Separador de milhares 3 11 5 5 7" xfId="30046" xr:uid="{00000000-0005-0000-0000-0000342D0000}"/>
    <cellStyle name="Separador de milhares 3 11 5 6" xfId="3468" xr:uid="{00000000-0005-0000-0000-0000352D0000}"/>
    <cellStyle name="Separador de milhares 3 11 5 6 2" xfId="7394" xr:uid="{00000000-0005-0000-0000-0000362D0000}"/>
    <cellStyle name="Separador de milhares 3 11 5 6 2 2" xfId="10538" xr:uid="{00000000-0005-0000-0000-0000372D0000}"/>
    <cellStyle name="Separador de milhares 3 11 5 6 2 2 2" xfId="28752" xr:uid="{00000000-0005-0000-0000-0000382D0000}"/>
    <cellStyle name="Separador de milhares 3 11 5 6 2 2 2 2" xfId="54933" xr:uid="{00000000-0005-0000-0000-0000392D0000}"/>
    <cellStyle name="Separador de milhares 3 11 5 6 2 2 3" xfId="22838" xr:uid="{00000000-0005-0000-0000-00003A2D0000}"/>
    <cellStyle name="Separador de milhares 3 11 5 6 2 2 3 2" xfId="49025" xr:uid="{00000000-0005-0000-0000-00003B2D0000}"/>
    <cellStyle name="Separador de milhares 3 11 5 6 2 2 4" xfId="16924" xr:uid="{00000000-0005-0000-0000-00003C2D0000}"/>
    <cellStyle name="Separador de milhares 3 11 5 6 2 2 4 2" xfId="43117" xr:uid="{00000000-0005-0000-0000-00003D2D0000}"/>
    <cellStyle name="Separador de milhares 3 11 5 6 2 2 5" xfId="36731" xr:uid="{00000000-0005-0000-0000-00003E2D0000}"/>
    <cellStyle name="Separador de milhares 3 11 5 6 2 3" xfId="25795" xr:uid="{00000000-0005-0000-0000-00003F2D0000}"/>
    <cellStyle name="Separador de milhares 3 11 5 6 2 3 2" xfId="51979" xr:uid="{00000000-0005-0000-0000-0000402D0000}"/>
    <cellStyle name="Separador de milhares 3 11 5 6 2 4" xfId="19881" xr:uid="{00000000-0005-0000-0000-0000412D0000}"/>
    <cellStyle name="Separador de milhares 3 11 5 6 2 4 2" xfId="46071" xr:uid="{00000000-0005-0000-0000-0000422D0000}"/>
    <cellStyle name="Separador de milhares 3 11 5 6 2 5" xfId="13783" xr:uid="{00000000-0005-0000-0000-0000432D0000}"/>
    <cellStyle name="Separador de milhares 3 11 5 6 2 5 2" xfId="39976" xr:uid="{00000000-0005-0000-0000-0000442D0000}"/>
    <cellStyle name="Separador de milhares 3 11 5 6 2 6" xfId="33590" xr:uid="{00000000-0005-0000-0000-0000452D0000}"/>
    <cellStyle name="Separador de milhares 3 11 5 6 3" xfId="9070" xr:uid="{00000000-0005-0000-0000-0000462D0000}"/>
    <cellStyle name="Separador de milhares 3 11 5 6 3 2" xfId="27284" xr:uid="{00000000-0005-0000-0000-0000472D0000}"/>
    <cellStyle name="Separador de milhares 3 11 5 6 3 2 2" xfId="53465" xr:uid="{00000000-0005-0000-0000-0000482D0000}"/>
    <cellStyle name="Separador de milhares 3 11 5 6 3 3" xfId="21370" xr:uid="{00000000-0005-0000-0000-0000492D0000}"/>
    <cellStyle name="Separador de milhares 3 11 5 6 3 3 2" xfId="47557" xr:uid="{00000000-0005-0000-0000-00004A2D0000}"/>
    <cellStyle name="Separador de milhares 3 11 5 6 3 4" xfId="15456" xr:uid="{00000000-0005-0000-0000-00004B2D0000}"/>
    <cellStyle name="Separador de milhares 3 11 5 6 3 4 2" xfId="41649" xr:uid="{00000000-0005-0000-0000-00004C2D0000}"/>
    <cellStyle name="Separador de milhares 3 11 5 6 3 5" xfId="35263" xr:uid="{00000000-0005-0000-0000-00004D2D0000}"/>
    <cellStyle name="Separador de milhares 3 11 5 6 4" xfId="5695" xr:uid="{00000000-0005-0000-0000-00004E2D0000}"/>
    <cellStyle name="Separador de milhares 3 11 5 6 4 2" xfId="24327" xr:uid="{00000000-0005-0000-0000-00004F2D0000}"/>
    <cellStyle name="Separador de milhares 3 11 5 6 4 2 2" xfId="50511" xr:uid="{00000000-0005-0000-0000-0000502D0000}"/>
    <cellStyle name="Separador de milhares 3 11 5 6 4 3" xfId="31891" xr:uid="{00000000-0005-0000-0000-0000512D0000}"/>
    <cellStyle name="Separador de milhares 3 11 5 6 5" xfId="18413" xr:uid="{00000000-0005-0000-0000-0000522D0000}"/>
    <cellStyle name="Separador de milhares 3 11 5 6 5 2" xfId="44603" xr:uid="{00000000-0005-0000-0000-0000532D0000}"/>
    <cellStyle name="Separador de milhares 3 11 5 6 6" xfId="12082" xr:uid="{00000000-0005-0000-0000-0000542D0000}"/>
    <cellStyle name="Separador de milhares 3 11 5 6 6 2" xfId="38275" xr:uid="{00000000-0005-0000-0000-0000552D0000}"/>
    <cellStyle name="Separador de milhares 3 11 5 6 7" xfId="30193" xr:uid="{00000000-0005-0000-0000-0000562D0000}"/>
    <cellStyle name="Separador de milhares 3 11 5 7" xfId="3995" xr:uid="{00000000-0005-0000-0000-0000572D0000}"/>
    <cellStyle name="Separador de milhares 3 11 5 7 2" xfId="7541" xr:uid="{00000000-0005-0000-0000-0000582D0000}"/>
    <cellStyle name="Separador de milhares 3 11 5 7 2 2" xfId="10685" xr:uid="{00000000-0005-0000-0000-0000592D0000}"/>
    <cellStyle name="Separador de milhares 3 11 5 7 2 2 2" xfId="28899" xr:uid="{00000000-0005-0000-0000-00005A2D0000}"/>
    <cellStyle name="Separador de milhares 3 11 5 7 2 2 2 2" xfId="55080" xr:uid="{00000000-0005-0000-0000-00005B2D0000}"/>
    <cellStyle name="Separador de milhares 3 11 5 7 2 2 3" xfId="22985" xr:uid="{00000000-0005-0000-0000-00005C2D0000}"/>
    <cellStyle name="Separador de milhares 3 11 5 7 2 2 3 2" xfId="49172" xr:uid="{00000000-0005-0000-0000-00005D2D0000}"/>
    <cellStyle name="Separador de milhares 3 11 5 7 2 2 4" xfId="17071" xr:uid="{00000000-0005-0000-0000-00005E2D0000}"/>
    <cellStyle name="Separador de milhares 3 11 5 7 2 2 4 2" xfId="43264" xr:uid="{00000000-0005-0000-0000-00005F2D0000}"/>
    <cellStyle name="Separador de milhares 3 11 5 7 2 2 5" xfId="36878" xr:uid="{00000000-0005-0000-0000-0000602D0000}"/>
    <cellStyle name="Separador de milhares 3 11 5 7 2 3" xfId="25942" xr:uid="{00000000-0005-0000-0000-0000612D0000}"/>
    <cellStyle name="Separador de milhares 3 11 5 7 2 3 2" xfId="52126" xr:uid="{00000000-0005-0000-0000-0000622D0000}"/>
    <cellStyle name="Separador de milhares 3 11 5 7 2 4" xfId="20028" xr:uid="{00000000-0005-0000-0000-0000632D0000}"/>
    <cellStyle name="Separador de milhares 3 11 5 7 2 4 2" xfId="46218" xr:uid="{00000000-0005-0000-0000-0000642D0000}"/>
    <cellStyle name="Separador de milhares 3 11 5 7 2 5" xfId="13930" xr:uid="{00000000-0005-0000-0000-0000652D0000}"/>
    <cellStyle name="Separador de milhares 3 11 5 7 2 5 2" xfId="40123" xr:uid="{00000000-0005-0000-0000-0000662D0000}"/>
    <cellStyle name="Separador de milhares 3 11 5 7 2 6" xfId="33737" xr:uid="{00000000-0005-0000-0000-0000672D0000}"/>
    <cellStyle name="Separador de milhares 3 11 5 7 3" xfId="9217" xr:uid="{00000000-0005-0000-0000-0000682D0000}"/>
    <cellStyle name="Separador de milhares 3 11 5 7 3 2" xfId="27431" xr:uid="{00000000-0005-0000-0000-0000692D0000}"/>
    <cellStyle name="Separador de milhares 3 11 5 7 3 2 2" xfId="53612" xr:uid="{00000000-0005-0000-0000-00006A2D0000}"/>
    <cellStyle name="Separador de milhares 3 11 5 7 3 3" xfId="21517" xr:uid="{00000000-0005-0000-0000-00006B2D0000}"/>
    <cellStyle name="Separador de milhares 3 11 5 7 3 3 2" xfId="47704" xr:uid="{00000000-0005-0000-0000-00006C2D0000}"/>
    <cellStyle name="Separador de milhares 3 11 5 7 3 4" xfId="15603" xr:uid="{00000000-0005-0000-0000-00006D2D0000}"/>
    <cellStyle name="Separador de milhares 3 11 5 7 3 4 2" xfId="41796" xr:uid="{00000000-0005-0000-0000-00006E2D0000}"/>
    <cellStyle name="Separador de milhares 3 11 5 7 3 5" xfId="35410" xr:uid="{00000000-0005-0000-0000-00006F2D0000}"/>
    <cellStyle name="Separador de milhares 3 11 5 7 4" xfId="5842" xr:uid="{00000000-0005-0000-0000-0000702D0000}"/>
    <cellStyle name="Separador de milhares 3 11 5 7 4 2" xfId="24474" xr:uid="{00000000-0005-0000-0000-0000712D0000}"/>
    <cellStyle name="Separador de milhares 3 11 5 7 4 2 2" xfId="50658" xr:uid="{00000000-0005-0000-0000-0000722D0000}"/>
    <cellStyle name="Separador de milhares 3 11 5 7 4 3" xfId="32038" xr:uid="{00000000-0005-0000-0000-0000732D0000}"/>
    <cellStyle name="Separador de milhares 3 11 5 7 5" xfId="18560" xr:uid="{00000000-0005-0000-0000-0000742D0000}"/>
    <cellStyle name="Separador de milhares 3 11 5 7 5 2" xfId="44750" xr:uid="{00000000-0005-0000-0000-0000752D0000}"/>
    <cellStyle name="Separador de milhares 3 11 5 7 6" xfId="12229" xr:uid="{00000000-0005-0000-0000-0000762D0000}"/>
    <cellStyle name="Separador de milhares 3 11 5 7 6 2" xfId="38422" xr:uid="{00000000-0005-0000-0000-0000772D0000}"/>
    <cellStyle name="Separador de milhares 3 11 5 7 7" xfId="30340" xr:uid="{00000000-0005-0000-0000-0000782D0000}"/>
    <cellStyle name="Separador de milhares 3 11 5 8" xfId="6580" xr:uid="{00000000-0005-0000-0000-0000792D0000}"/>
    <cellStyle name="Separador de milhares 3 11 5 8 2" xfId="9727" xr:uid="{00000000-0005-0000-0000-00007A2D0000}"/>
    <cellStyle name="Separador de milhares 3 11 5 8 2 2" xfId="27941" xr:uid="{00000000-0005-0000-0000-00007B2D0000}"/>
    <cellStyle name="Separador de milhares 3 11 5 8 2 2 2" xfId="54122" xr:uid="{00000000-0005-0000-0000-00007C2D0000}"/>
    <cellStyle name="Separador de milhares 3 11 5 8 2 3" xfId="22027" xr:uid="{00000000-0005-0000-0000-00007D2D0000}"/>
    <cellStyle name="Separador de milhares 3 11 5 8 2 3 2" xfId="48214" xr:uid="{00000000-0005-0000-0000-00007E2D0000}"/>
    <cellStyle name="Separador de milhares 3 11 5 8 2 4" xfId="16113" xr:uid="{00000000-0005-0000-0000-00007F2D0000}"/>
    <cellStyle name="Separador de milhares 3 11 5 8 2 4 2" xfId="42306" xr:uid="{00000000-0005-0000-0000-0000802D0000}"/>
    <cellStyle name="Separador de milhares 3 11 5 8 2 5" xfId="35920" xr:uid="{00000000-0005-0000-0000-0000812D0000}"/>
    <cellStyle name="Separador de milhares 3 11 5 8 3" xfId="24984" xr:uid="{00000000-0005-0000-0000-0000822D0000}"/>
    <cellStyle name="Separador de milhares 3 11 5 8 3 2" xfId="51168" xr:uid="{00000000-0005-0000-0000-0000832D0000}"/>
    <cellStyle name="Separador de milhares 3 11 5 8 4" xfId="19070" xr:uid="{00000000-0005-0000-0000-0000842D0000}"/>
    <cellStyle name="Separador de milhares 3 11 5 8 4 2" xfId="45260" xr:uid="{00000000-0005-0000-0000-0000852D0000}"/>
    <cellStyle name="Separador de milhares 3 11 5 8 5" xfId="12969" xr:uid="{00000000-0005-0000-0000-0000862D0000}"/>
    <cellStyle name="Separador de milhares 3 11 5 8 5 2" xfId="39162" xr:uid="{00000000-0005-0000-0000-0000872D0000}"/>
    <cellStyle name="Separador de milhares 3 11 5 8 6" xfId="32776" xr:uid="{00000000-0005-0000-0000-0000882D0000}"/>
    <cellStyle name="Separador de milhares 3 11 5 9" xfId="8256" xr:uid="{00000000-0005-0000-0000-0000892D0000}"/>
    <cellStyle name="Separador de milhares 3 11 5 9 2" xfId="26470" xr:uid="{00000000-0005-0000-0000-00008A2D0000}"/>
    <cellStyle name="Separador de milhares 3 11 5 9 2 2" xfId="52654" xr:uid="{00000000-0005-0000-0000-00008B2D0000}"/>
    <cellStyle name="Separador de milhares 3 11 5 9 3" xfId="20556" xr:uid="{00000000-0005-0000-0000-00008C2D0000}"/>
    <cellStyle name="Separador de milhares 3 11 5 9 3 2" xfId="46746" xr:uid="{00000000-0005-0000-0000-00008D2D0000}"/>
    <cellStyle name="Separador de milhares 3 11 5 9 4" xfId="14645" xr:uid="{00000000-0005-0000-0000-00008E2D0000}"/>
    <cellStyle name="Separador de milhares 3 11 5 9 4 2" xfId="40838" xr:uid="{00000000-0005-0000-0000-00008F2D0000}"/>
    <cellStyle name="Separador de milhares 3 11 5 9 5" xfId="34452" xr:uid="{00000000-0005-0000-0000-0000902D0000}"/>
    <cellStyle name="Separador de milhares 3 11 6" xfId="747" xr:uid="{00000000-0005-0000-0000-0000912D0000}"/>
    <cellStyle name="Separador de milhares 3 11 6 2" xfId="4171" xr:uid="{00000000-0005-0000-0000-0000922D0000}"/>
    <cellStyle name="Separador de milhares 3 11 6 2 2" xfId="7590" xr:uid="{00000000-0005-0000-0000-0000932D0000}"/>
    <cellStyle name="Separador de milhares 3 11 6 2 2 2" xfId="10734" xr:uid="{00000000-0005-0000-0000-0000942D0000}"/>
    <cellStyle name="Separador de milhares 3 11 6 2 2 2 2" xfId="28948" xr:uid="{00000000-0005-0000-0000-0000952D0000}"/>
    <cellStyle name="Separador de milhares 3 11 6 2 2 2 2 2" xfId="55129" xr:uid="{00000000-0005-0000-0000-0000962D0000}"/>
    <cellStyle name="Separador de milhares 3 11 6 2 2 2 3" xfId="23034" xr:uid="{00000000-0005-0000-0000-0000972D0000}"/>
    <cellStyle name="Separador de milhares 3 11 6 2 2 2 3 2" xfId="49221" xr:uid="{00000000-0005-0000-0000-0000982D0000}"/>
    <cellStyle name="Separador de milhares 3 11 6 2 2 2 4" xfId="17120" xr:uid="{00000000-0005-0000-0000-0000992D0000}"/>
    <cellStyle name="Separador de milhares 3 11 6 2 2 2 4 2" xfId="43313" xr:uid="{00000000-0005-0000-0000-00009A2D0000}"/>
    <cellStyle name="Separador de milhares 3 11 6 2 2 2 5" xfId="36927" xr:uid="{00000000-0005-0000-0000-00009B2D0000}"/>
    <cellStyle name="Separador de milhares 3 11 6 2 2 3" xfId="25991" xr:uid="{00000000-0005-0000-0000-00009C2D0000}"/>
    <cellStyle name="Separador de milhares 3 11 6 2 2 3 2" xfId="52175" xr:uid="{00000000-0005-0000-0000-00009D2D0000}"/>
    <cellStyle name="Separador de milhares 3 11 6 2 2 4" xfId="20077" xr:uid="{00000000-0005-0000-0000-00009E2D0000}"/>
    <cellStyle name="Separador de milhares 3 11 6 2 2 4 2" xfId="46267" xr:uid="{00000000-0005-0000-0000-00009F2D0000}"/>
    <cellStyle name="Separador de milhares 3 11 6 2 2 5" xfId="13979" xr:uid="{00000000-0005-0000-0000-0000A02D0000}"/>
    <cellStyle name="Separador de milhares 3 11 6 2 2 5 2" xfId="40172" xr:uid="{00000000-0005-0000-0000-0000A12D0000}"/>
    <cellStyle name="Separador de milhares 3 11 6 2 2 6" xfId="33786" xr:uid="{00000000-0005-0000-0000-0000A22D0000}"/>
    <cellStyle name="Separador de milhares 3 11 6 2 3" xfId="9266" xr:uid="{00000000-0005-0000-0000-0000A32D0000}"/>
    <cellStyle name="Separador de milhares 3 11 6 2 3 2" xfId="27480" xr:uid="{00000000-0005-0000-0000-0000A42D0000}"/>
    <cellStyle name="Separador de milhares 3 11 6 2 3 2 2" xfId="53661" xr:uid="{00000000-0005-0000-0000-0000A52D0000}"/>
    <cellStyle name="Separador de milhares 3 11 6 2 3 3" xfId="21566" xr:uid="{00000000-0005-0000-0000-0000A62D0000}"/>
    <cellStyle name="Separador de milhares 3 11 6 2 3 3 2" xfId="47753" xr:uid="{00000000-0005-0000-0000-0000A72D0000}"/>
    <cellStyle name="Separador de milhares 3 11 6 2 3 4" xfId="15652" xr:uid="{00000000-0005-0000-0000-0000A82D0000}"/>
    <cellStyle name="Separador de milhares 3 11 6 2 3 4 2" xfId="41845" xr:uid="{00000000-0005-0000-0000-0000A92D0000}"/>
    <cellStyle name="Separador de milhares 3 11 6 2 3 5" xfId="35459" xr:uid="{00000000-0005-0000-0000-0000AA2D0000}"/>
    <cellStyle name="Separador de milhares 3 11 6 2 4" xfId="5891" xr:uid="{00000000-0005-0000-0000-0000AB2D0000}"/>
    <cellStyle name="Separador de milhares 3 11 6 2 4 2" xfId="24523" xr:uid="{00000000-0005-0000-0000-0000AC2D0000}"/>
    <cellStyle name="Separador de milhares 3 11 6 2 4 2 2" xfId="50707" xr:uid="{00000000-0005-0000-0000-0000AD2D0000}"/>
    <cellStyle name="Separador de milhares 3 11 6 2 4 3" xfId="32087" xr:uid="{00000000-0005-0000-0000-0000AE2D0000}"/>
    <cellStyle name="Separador de milhares 3 11 6 2 5" xfId="18609" xr:uid="{00000000-0005-0000-0000-0000AF2D0000}"/>
    <cellStyle name="Separador de milhares 3 11 6 2 5 2" xfId="44799" xr:uid="{00000000-0005-0000-0000-0000B02D0000}"/>
    <cellStyle name="Separador de milhares 3 11 6 2 6" xfId="12278" xr:uid="{00000000-0005-0000-0000-0000B12D0000}"/>
    <cellStyle name="Separador de milhares 3 11 6 2 6 2" xfId="38471" xr:uid="{00000000-0005-0000-0000-0000B22D0000}"/>
    <cellStyle name="Separador de milhares 3 11 6 2 7" xfId="30389" xr:uid="{00000000-0005-0000-0000-0000B32D0000}"/>
    <cellStyle name="Separador de milhares 3 11 6 3" xfId="6635" xr:uid="{00000000-0005-0000-0000-0000B42D0000}"/>
    <cellStyle name="Separador de milhares 3 11 6 3 2" xfId="9782" xr:uid="{00000000-0005-0000-0000-0000B52D0000}"/>
    <cellStyle name="Separador de milhares 3 11 6 3 2 2" xfId="27996" xr:uid="{00000000-0005-0000-0000-0000B62D0000}"/>
    <cellStyle name="Separador de milhares 3 11 6 3 2 2 2" xfId="54177" xr:uid="{00000000-0005-0000-0000-0000B72D0000}"/>
    <cellStyle name="Separador de milhares 3 11 6 3 2 3" xfId="22082" xr:uid="{00000000-0005-0000-0000-0000B82D0000}"/>
    <cellStyle name="Separador de milhares 3 11 6 3 2 3 2" xfId="48269" xr:uid="{00000000-0005-0000-0000-0000B92D0000}"/>
    <cellStyle name="Separador de milhares 3 11 6 3 2 4" xfId="16168" xr:uid="{00000000-0005-0000-0000-0000BA2D0000}"/>
    <cellStyle name="Separador de milhares 3 11 6 3 2 4 2" xfId="42361" xr:uid="{00000000-0005-0000-0000-0000BB2D0000}"/>
    <cellStyle name="Separador de milhares 3 11 6 3 2 5" xfId="35975" xr:uid="{00000000-0005-0000-0000-0000BC2D0000}"/>
    <cellStyle name="Separador de milhares 3 11 6 3 3" xfId="25039" xr:uid="{00000000-0005-0000-0000-0000BD2D0000}"/>
    <cellStyle name="Separador de milhares 3 11 6 3 3 2" xfId="51223" xr:uid="{00000000-0005-0000-0000-0000BE2D0000}"/>
    <cellStyle name="Separador de milhares 3 11 6 3 4" xfId="19125" xr:uid="{00000000-0005-0000-0000-0000BF2D0000}"/>
    <cellStyle name="Separador de milhares 3 11 6 3 4 2" xfId="45315" xr:uid="{00000000-0005-0000-0000-0000C02D0000}"/>
    <cellStyle name="Separador de milhares 3 11 6 3 5" xfId="13024" xr:uid="{00000000-0005-0000-0000-0000C12D0000}"/>
    <cellStyle name="Separador de milhares 3 11 6 3 5 2" xfId="39217" xr:uid="{00000000-0005-0000-0000-0000C22D0000}"/>
    <cellStyle name="Separador de milhares 3 11 6 3 6" xfId="32831" xr:uid="{00000000-0005-0000-0000-0000C32D0000}"/>
    <cellStyle name="Separador de milhares 3 11 6 4" xfId="8314" xr:uid="{00000000-0005-0000-0000-0000C42D0000}"/>
    <cellStyle name="Separador de milhares 3 11 6 4 2" xfId="26528" xr:uid="{00000000-0005-0000-0000-0000C52D0000}"/>
    <cellStyle name="Separador de milhares 3 11 6 4 2 2" xfId="52709" xr:uid="{00000000-0005-0000-0000-0000C62D0000}"/>
    <cellStyle name="Separador de milhares 3 11 6 4 3" xfId="20614" xr:uid="{00000000-0005-0000-0000-0000C72D0000}"/>
    <cellStyle name="Separador de milhares 3 11 6 4 3 2" xfId="46801" xr:uid="{00000000-0005-0000-0000-0000C82D0000}"/>
    <cellStyle name="Separador de milhares 3 11 6 4 4" xfId="14700" xr:uid="{00000000-0005-0000-0000-0000C92D0000}"/>
    <cellStyle name="Separador de milhares 3 11 6 4 4 2" xfId="40893" xr:uid="{00000000-0005-0000-0000-0000CA2D0000}"/>
    <cellStyle name="Separador de milhares 3 11 6 4 5" xfId="34507" xr:uid="{00000000-0005-0000-0000-0000CB2D0000}"/>
    <cellStyle name="Separador de milhares 3 11 6 5" xfId="4936" xr:uid="{00000000-0005-0000-0000-0000CC2D0000}"/>
    <cellStyle name="Separador de milhares 3 11 6 5 2" xfId="23571" xr:uid="{00000000-0005-0000-0000-0000CD2D0000}"/>
    <cellStyle name="Separador de milhares 3 11 6 5 2 2" xfId="49755" xr:uid="{00000000-0005-0000-0000-0000CE2D0000}"/>
    <cellStyle name="Separador de milhares 3 11 6 5 3" xfId="31132" xr:uid="{00000000-0005-0000-0000-0000CF2D0000}"/>
    <cellStyle name="Separador de milhares 3 11 6 6" xfId="17657" xr:uid="{00000000-0005-0000-0000-0000D02D0000}"/>
    <cellStyle name="Separador de milhares 3 11 6 6 2" xfId="43847" xr:uid="{00000000-0005-0000-0000-0000D12D0000}"/>
    <cellStyle name="Separador de milhares 3 11 6 7" xfId="11323" xr:uid="{00000000-0005-0000-0000-0000D22D0000}"/>
    <cellStyle name="Separador de milhares 3 11 6 7 2" xfId="37516" xr:uid="{00000000-0005-0000-0000-0000D32D0000}"/>
    <cellStyle name="Separador de milhares 3 11 6 8" xfId="29434" xr:uid="{00000000-0005-0000-0000-0000D42D0000}"/>
    <cellStyle name="Separador de milhares 3 11 7" xfId="1098" xr:uid="{00000000-0005-0000-0000-0000D52D0000}"/>
    <cellStyle name="Separador de milhares 3 11 7 2" xfId="6733" xr:uid="{00000000-0005-0000-0000-0000D62D0000}"/>
    <cellStyle name="Separador de milhares 3 11 7 2 2" xfId="9880" xr:uid="{00000000-0005-0000-0000-0000D72D0000}"/>
    <cellStyle name="Separador de milhares 3 11 7 2 2 2" xfId="28094" xr:uid="{00000000-0005-0000-0000-0000D82D0000}"/>
    <cellStyle name="Separador de milhares 3 11 7 2 2 2 2" xfId="54275" xr:uid="{00000000-0005-0000-0000-0000D92D0000}"/>
    <cellStyle name="Separador de milhares 3 11 7 2 2 3" xfId="22180" xr:uid="{00000000-0005-0000-0000-0000DA2D0000}"/>
    <cellStyle name="Separador de milhares 3 11 7 2 2 3 2" xfId="48367" xr:uid="{00000000-0005-0000-0000-0000DB2D0000}"/>
    <cellStyle name="Separador de milhares 3 11 7 2 2 4" xfId="16266" xr:uid="{00000000-0005-0000-0000-0000DC2D0000}"/>
    <cellStyle name="Separador de milhares 3 11 7 2 2 4 2" xfId="42459" xr:uid="{00000000-0005-0000-0000-0000DD2D0000}"/>
    <cellStyle name="Separador de milhares 3 11 7 2 2 5" xfId="36073" xr:uid="{00000000-0005-0000-0000-0000DE2D0000}"/>
    <cellStyle name="Separador de milhares 3 11 7 2 3" xfId="25137" xr:uid="{00000000-0005-0000-0000-0000DF2D0000}"/>
    <cellStyle name="Separador de milhares 3 11 7 2 3 2" xfId="51321" xr:uid="{00000000-0005-0000-0000-0000E02D0000}"/>
    <cellStyle name="Separador de milhares 3 11 7 2 4" xfId="19223" xr:uid="{00000000-0005-0000-0000-0000E12D0000}"/>
    <cellStyle name="Separador de milhares 3 11 7 2 4 2" xfId="45413" xr:uid="{00000000-0005-0000-0000-0000E22D0000}"/>
    <cellStyle name="Separador de milhares 3 11 7 2 5" xfId="13122" xr:uid="{00000000-0005-0000-0000-0000E32D0000}"/>
    <cellStyle name="Separador de milhares 3 11 7 2 5 2" xfId="39315" xr:uid="{00000000-0005-0000-0000-0000E42D0000}"/>
    <cellStyle name="Separador de milhares 3 11 7 2 6" xfId="32929" xr:uid="{00000000-0005-0000-0000-0000E52D0000}"/>
    <cellStyle name="Separador de milhares 3 11 7 3" xfId="8412" xr:uid="{00000000-0005-0000-0000-0000E62D0000}"/>
    <cellStyle name="Separador de milhares 3 11 7 3 2" xfId="26626" xr:uid="{00000000-0005-0000-0000-0000E72D0000}"/>
    <cellStyle name="Separador de milhares 3 11 7 3 2 2" xfId="52807" xr:uid="{00000000-0005-0000-0000-0000E82D0000}"/>
    <cellStyle name="Separador de milhares 3 11 7 3 3" xfId="20712" xr:uid="{00000000-0005-0000-0000-0000E92D0000}"/>
    <cellStyle name="Separador de milhares 3 11 7 3 3 2" xfId="46899" xr:uid="{00000000-0005-0000-0000-0000EA2D0000}"/>
    <cellStyle name="Separador de milhares 3 11 7 3 4" xfId="14798" xr:uid="{00000000-0005-0000-0000-0000EB2D0000}"/>
    <cellStyle name="Separador de milhares 3 11 7 3 4 2" xfId="40991" xr:uid="{00000000-0005-0000-0000-0000EC2D0000}"/>
    <cellStyle name="Separador de milhares 3 11 7 3 5" xfId="34605" xr:uid="{00000000-0005-0000-0000-0000ED2D0000}"/>
    <cellStyle name="Separador de milhares 3 11 7 4" xfId="5034" xr:uid="{00000000-0005-0000-0000-0000EE2D0000}"/>
    <cellStyle name="Separador de milhares 3 11 7 4 2" xfId="23669" xr:uid="{00000000-0005-0000-0000-0000EF2D0000}"/>
    <cellStyle name="Separador de milhares 3 11 7 4 2 2" xfId="49853" xr:uid="{00000000-0005-0000-0000-0000F02D0000}"/>
    <cellStyle name="Separador de milhares 3 11 7 4 3" xfId="31230" xr:uid="{00000000-0005-0000-0000-0000F12D0000}"/>
    <cellStyle name="Separador de milhares 3 11 7 5" xfId="17755" xr:uid="{00000000-0005-0000-0000-0000F22D0000}"/>
    <cellStyle name="Separador de milhares 3 11 7 5 2" xfId="43945" xr:uid="{00000000-0005-0000-0000-0000F32D0000}"/>
    <cellStyle name="Separador de milhares 3 11 7 6" xfId="11421" xr:uid="{00000000-0005-0000-0000-0000F42D0000}"/>
    <cellStyle name="Separador de milhares 3 11 7 6 2" xfId="37614" xr:uid="{00000000-0005-0000-0000-0000F52D0000}"/>
    <cellStyle name="Separador de milhares 3 11 7 7" xfId="29532" xr:uid="{00000000-0005-0000-0000-0000F62D0000}"/>
    <cellStyle name="Separador de milhares 3 11 8" xfId="1533" xr:uid="{00000000-0005-0000-0000-0000F72D0000}"/>
    <cellStyle name="Separador de milhares 3 11 8 2" xfId="6852" xr:uid="{00000000-0005-0000-0000-0000F82D0000}"/>
    <cellStyle name="Separador de milhares 3 11 8 2 2" xfId="9999" xr:uid="{00000000-0005-0000-0000-0000F92D0000}"/>
    <cellStyle name="Separador de milhares 3 11 8 2 2 2" xfId="28213" xr:uid="{00000000-0005-0000-0000-0000FA2D0000}"/>
    <cellStyle name="Separador de milhares 3 11 8 2 2 2 2" xfId="54394" xr:uid="{00000000-0005-0000-0000-0000FB2D0000}"/>
    <cellStyle name="Separador de milhares 3 11 8 2 2 3" xfId="22299" xr:uid="{00000000-0005-0000-0000-0000FC2D0000}"/>
    <cellStyle name="Separador de milhares 3 11 8 2 2 3 2" xfId="48486" xr:uid="{00000000-0005-0000-0000-0000FD2D0000}"/>
    <cellStyle name="Separador de milhares 3 11 8 2 2 4" xfId="16385" xr:uid="{00000000-0005-0000-0000-0000FE2D0000}"/>
    <cellStyle name="Separador de milhares 3 11 8 2 2 4 2" xfId="42578" xr:uid="{00000000-0005-0000-0000-0000FF2D0000}"/>
    <cellStyle name="Separador de milhares 3 11 8 2 2 5" xfId="36192" xr:uid="{00000000-0005-0000-0000-0000002E0000}"/>
    <cellStyle name="Separador de milhares 3 11 8 2 3" xfId="25256" xr:uid="{00000000-0005-0000-0000-0000012E0000}"/>
    <cellStyle name="Separador de milhares 3 11 8 2 3 2" xfId="51440" xr:uid="{00000000-0005-0000-0000-0000022E0000}"/>
    <cellStyle name="Separador de milhares 3 11 8 2 4" xfId="19342" xr:uid="{00000000-0005-0000-0000-0000032E0000}"/>
    <cellStyle name="Separador de milhares 3 11 8 2 4 2" xfId="45532" xr:uid="{00000000-0005-0000-0000-0000042E0000}"/>
    <cellStyle name="Separador de milhares 3 11 8 2 5" xfId="13241" xr:uid="{00000000-0005-0000-0000-0000052E0000}"/>
    <cellStyle name="Separador de milhares 3 11 8 2 5 2" xfId="39434" xr:uid="{00000000-0005-0000-0000-0000062E0000}"/>
    <cellStyle name="Separador de milhares 3 11 8 2 6" xfId="33048" xr:uid="{00000000-0005-0000-0000-0000072E0000}"/>
    <cellStyle name="Separador de milhares 3 11 8 3" xfId="8531" xr:uid="{00000000-0005-0000-0000-0000082E0000}"/>
    <cellStyle name="Separador de milhares 3 11 8 3 2" xfId="26745" xr:uid="{00000000-0005-0000-0000-0000092E0000}"/>
    <cellStyle name="Separador de milhares 3 11 8 3 2 2" xfId="52926" xr:uid="{00000000-0005-0000-0000-00000A2E0000}"/>
    <cellStyle name="Separador de milhares 3 11 8 3 3" xfId="20831" xr:uid="{00000000-0005-0000-0000-00000B2E0000}"/>
    <cellStyle name="Separador de milhares 3 11 8 3 3 2" xfId="47018" xr:uid="{00000000-0005-0000-0000-00000C2E0000}"/>
    <cellStyle name="Separador de milhares 3 11 8 3 4" xfId="14917" xr:uid="{00000000-0005-0000-0000-00000D2E0000}"/>
    <cellStyle name="Separador de milhares 3 11 8 3 4 2" xfId="41110" xr:uid="{00000000-0005-0000-0000-00000E2E0000}"/>
    <cellStyle name="Separador de milhares 3 11 8 3 5" xfId="34724" xr:uid="{00000000-0005-0000-0000-00000F2E0000}"/>
    <cellStyle name="Separador de milhares 3 11 8 4" xfId="5153" xr:uid="{00000000-0005-0000-0000-0000102E0000}"/>
    <cellStyle name="Separador de milhares 3 11 8 4 2" xfId="23788" xr:uid="{00000000-0005-0000-0000-0000112E0000}"/>
    <cellStyle name="Separador de milhares 3 11 8 4 2 2" xfId="49972" xr:uid="{00000000-0005-0000-0000-0000122E0000}"/>
    <cellStyle name="Separador de milhares 3 11 8 4 3" xfId="31349" xr:uid="{00000000-0005-0000-0000-0000132E0000}"/>
    <cellStyle name="Separador de milhares 3 11 8 5" xfId="17874" xr:uid="{00000000-0005-0000-0000-0000142E0000}"/>
    <cellStyle name="Separador de milhares 3 11 8 5 2" xfId="44064" xr:uid="{00000000-0005-0000-0000-0000152E0000}"/>
    <cellStyle name="Separador de milhares 3 11 8 6" xfId="11540" xr:uid="{00000000-0005-0000-0000-0000162E0000}"/>
    <cellStyle name="Separador de milhares 3 11 8 6 2" xfId="37733" xr:uid="{00000000-0005-0000-0000-0000172E0000}"/>
    <cellStyle name="Separador de milhares 3 11 8 7" xfId="29651" xr:uid="{00000000-0005-0000-0000-0000182E0000}"/>
    <cellStyle name="Separador de milhares 3 11 9" xfId="2063" xr:uid="{00000000-0005-0000-0000-0000192E0000}"/>
    <cellStyle name="Separador de milhares 3 11 9 2" xfId="7002" xr:uid="{00000000-0005-0000-0000-00001A2E0000}"/>
    <cellStyle name="Separador de milhares 3 11 9 2 2" xfId="10146" xr:uid="{00000000-0005-0000-0000-00001B2E0000}"/>
    <cellStyle name="Separador de milhares 3 11 9 2 2 2" xfId="28360" xr:uid="{00000000-0005-0000-0000-00001C2E0000}"/>
    <cellStyle name="Separador de milhares 3 11 9 2 2 2 2" xfId="54541" xr:uid="{00000000-0005-0000-0000-00001D2E0000}"/>
    <cellStyle name="Separador de milhares 3 11 9 2 2 3" xfId="22446" xr:uid="{00000000-0005-0000-0000-00001E2E0000}"/>
    <cellStyle name="Separador de milhares 3 11 9 2 2 3 2" xfId="48633" xr:uid="{00000000-0005-0000-0000-00001F2E0000}"/>
    <cellStyle name="Separador de milhares 3 11 9 2 2 4" xfId="16532" xr:uid="{00000000-0005-0000-0000-0000202E0000}"/>
    <cellStyle name="Separador de milhares 3 11 9 2 2 4 2" xfId="42725" xr:uid="{00000000-0005-0000-0000-0000212E0000}"/>
    <cellStyle name="Separador de milhares 3 11 9 2 2 5" xfId="36339" xr:uid="{00000000-0005-0000-0000-0000222E0000}"/>
    <cellStyle name="Separador de milhares 3 11 9 2 3" xfId="25403" xr:uid="{00000000-0005-0000-0000-0000232E0000}"/>
    <cellStyle name="Separador de milhares 3 11 9 2 3 2" xfId="51587" xr:uid="{00000000-0005-0000-0000-0000242E0000}"/>
    <cellStyle name="Separador de milhares 3 11 9 2 4" xfId="19489" xr:uid="{00000000-0005-0000-0000-0000252E0000}"/>
    <cellStyle name="Separador de milhares 3 11 9 2 4 2" xfId="45679" xr:uid="{00000000-0005-0000-0000-0000262E0000}"/>
    <cellStyle name="Separador de milhares 3 11 9 2 5" xfId="13391" xr:uid="{00000000-0005-0000-0000-0000272E0000}"/>
    <cellStyle name="Separador de milhares 3 11 9 2 5 2" xfId="39584" xr:uid="{00000000-0005-0000-0000-0000282E0000}"/>
    <cellStyle name="Separador de milhares 3 11 9 2 6" xfId="33198" xr:uid="{00000000-0005-0000-0000-0000292E0000}"/>
    <cellStyle name="Separador de milhares 3 11 9 3" xfId="8678" xr:uid="{00000000-0005-0000-0000-00002A2E0000}"/>
    <cellStyle name="Separador de milhares 3 11 9 3 2" xfId="26892" xr:uid="{00000000-0005-0000-0000-00002B2E0000}"/>
    <cellStyle name="Separador de milhares 3 11 9 3 2 2" xfId="53073" xr:uid="{00000000-0005-0000-0000-00002C2E0000}"/>
    <cellStyle name="Separador de milhares 3 11 9 3 3" xfId="20978" xr:uid="{00000000-0005-0000-0000-00002D2E0000}"/>
    <cellStyle name="Separador de milhares 3 11 9 3 3 2" xfId="47165" xr:uid="{00000000-0005-0000-0000-00002E2E0000}"/>
    <cellStyle name="Separador de milhares 3 11 9 3 4" xfId="15064" xr:uid="{00000000-0005-0000-0000-00002F2E0000}"/>
    <cellStyle name="Separador de milhares 3 11 9 3 4 2" xfId="41257" xr:uid="{00000000-0005-0000-0000-0000302E0000}"/>
    <cellStyle name="Separador de milhares 3 11 9 3 5" xfId="34871" xr:uid="{00000000-0005-0000-0000-0000312E0000}"/>
    <cellStyle name="Separador de milhares 3 11 9 4" xfId="5303" xr:uid="{00000000-0005-0000-0000-0000322E0000}"/>
    <cellStyle name="Separador de milhares 3 11 9 4 2" xfId="23935" xr:uid="{00000000-0005-0000-0000-0000332E0000}"/>
    <cellStyle name="Separador de milhares 3 11 9 4 2 2" xfId="50119" xr:uid="{00000000-0005-0000-0000-0000342E0000}"/>
    <cellStyle name="Separador de milhares 3 11 9 4 3" xfId="31499" xr:uid="{00000000-0005-0000-0000-0000352E0000}"/>
    <cellStyle name="Separador de milhares 3 11 9 5" xfId="18021" xr:uid="{00000000-0005-0000-0000-0000362E0000}"/>
    <cellStyle name="Separador de milhares 3 11 9 5 2" xfId="44211" xr:uid="{00000000-0005-0000-0000-0000372E0000}"/>
    <cellStyle name="Separador de milhares 3 11 9 6" xfId="11690" xr:uid="{00000000-0005-0000-0000-0000382E0000}"/>
    <cellStyle name="Separador de milhares 3 11 9 6 2" xfId="37883" xr:uid="{00000000-0005-0000-0000-0000392E0000}"/>
    <cellStyle name="Separador de milhares 3 11 9 7" xfId="29801" xr:uid="{00000000-0005-0000-0000-00003A2E0000}"/>
    <cellStyle name="Separador de milhares 3 12" xfId="95" xr:uid="{00000000-0005-0000-0000-00003B2E0000}"/>
    <cellStyle name="Separador de milhares 3 12 10" xfId="2598" xr:uid="{00000000-0005-0000-0000-00003C2E0000}"/>
    <cellStyle name="Separador de milhares 3 12 10 2" xfId="7151" xr:uid="{00000000-0005-0000-0000-00003D2E0000}"/>
    <cellStyle name="Separador de milhares 3 12 10 2 2" xfId="10295" xr:uid="{00000000-0005-0000-0000-00003E2E0000}"/>
    <cellStyle name="Separador de milhares 3 12 10 2 2 2" xfId="28509" xr:uid="{00000000-0005-0000-0000-00003F2E0000}"/>
    <cellStyle name="Separador de milhares 3 12 10 2 2 2 2" xfId="54690" xr:uid="{00000000-0005-0000-0000-0000402E0000}"/>
    <cellStyle name="Separador de milhares 3 12 10 2 2 3" xfId="22595" xr:uid="{00000000-0005-0000-0000-0000412E0000}"/>
    <cellStyle name="Separador de milhares 3 12 10 2 2 3 2" xfId="48782" xr:uid="{00000000-0005-0000-0000-0000422E0000}"/>
    <cellStyle name="Separador de milhares 3 12 10 2 2 4" xfId="16681" xr:uid="{00000000-0005-0000-0000-0000432E0000}"/>
    <cellStyle name="Separador de milhares 3 12 10 2 2 4 2" xfId="42874" xr:uid="{00000000-0005-0000-0000-0000442E0000}"/>
    <cellStyle name="Separador de milhares 3 12 10 2 2 5" xfId="36488" xr:uid="{00000000-0005-0000-0000-0000452E0000}"/>
    <cellStyle name="Separador de milhares 3 12 10 2 3" xfId="25552" xr:uid="{00000000-0005-0000-0000-0000462E0000}"/>
    <cellStyle name="Separador de milhares 3 12 10 2 3 2" xfId="51736" xr:uid="{00000000-0005-0000-0000-0000472E0000}"/>
    <cellStyle name="Separador de milhares 3 12 10 2 4" xfId="19638" xr:uid="{00000000-0005-0000-0000-0000482E0000}"/>
    <cellStyle name="Separador de milhares 3 12 10 2 4 2" xfId="45828" xr:uid="{00000000-0005-0000-0000-0000492E0000}"/>
    <cellStyle name="Separador de milhares 3 12 10 2 5" xfId="13540" xr:uid="{00000000-0005-0000-0000-00004A2E0000}"/>
    <cellStyle name="Separador de milhares 3 12 10 2 5 2" xfId="39733" xr:uid="{00000000-0005-0000-0000-00004B2E0000}"/>
    <cellStyle name="Separador de milhares 3 12 10 2 6" xfId="33347" xr:uid="{00000000-0005-0000-0000-00004C2E0000}"/>
    <cellStyle name="Separador de milhares 3 12 10 3" xfId="8827" xr:uid="{00000000-0005-0000-0000-00004D2E0000}"/>
    <cellStyle name="Separador de milhares 3 12 10 3 2" xfId="27041" xr:uid="{00000000-0005-0000-0000-00004E2E0000}"/>
    <cellStyle name="Separador de milhares 3 12 10 3 2 2" xfId="53222" xr:uid="{00000000-0005-0000-0000-00004F2E0000}"/>
    <cellStyle name="Separador de milhares 3 12 10 3 3" xfId="21127" xr:uid="{00000000-0005-0000-0000-0000502E0000}"/>
    <cellStyle name="Separador de milhares 3 12 10 3 3 2" xfId="47314" xr:uid="{00000000-0005-0000-0000-0000512E0000}"/>
    <cellStyle name="Separador de milhares 3 12 10 3 4" xfId="15213" xr:uid="{00000000-0005-0000-0000-0000522E0000}"/>
    <cellStyle name="Separador de milhares 3 12 10 3 4 2" xfId="41406" xr:uid="{00000000-0005-0000-0000-0000532E0000}"/>
    <cellStyle name="Separador de milhares 3 12 10 3 5" xfId="35020" xr:uid="{00000000-0005-0000-0000-0000542E0000}"/>
    <cellStyle name="Separador de milhares 3 12 10 4" xfId="5452" xr:uid="{00000000-0005-0000-0000-0000552E0000}"/>
    <cellStyle name="Separador de milhares 3 12 10 4 2" xfId="24084" xr:uid="{00000000-0005-0000-0000-0000562E0000}"/>
    <cellStyle name="Separador de milhares 3 12 10 4 2 2" xfId="50268" xr:uid="{00000000-0005-0000-0000-0000572E0000}"/>
    <cellStyle name="Separador de milhares 3 12 10 4 3" xfId="31648" xr:uid="{00000000-0005-0000-0000-0000582E0000}"/>
    <cellStyle name="Separador de milhares 3 12 10 5" xfId="18170" xr:uid="{00000000-0005-0000-0000-0000592E0000}"/>
    <cellStyle name="Separador de milhares 3 12 10 5 2" xfId="44360" xr:uid="{00000000-0005-0000-0000-00005A2E0000}"/>
    <cellStyle name="Separador de milhares 3 12 10 6" xfId="11839" xr:uid="{00000000-0005-0000-0000-00005B2E0000}"/>
    <cellStyle name="Separador de milhares 3 12 10 6 2" xfId="38032" xr:uid="{00000000-0005-0000-0000-00005C2E0000}"/>
    <cellStyle name="Separador de milhares 3 12 10 7" xfId="29950" xr:uid="{00000000-0005-0000-0000-00005D2E0000}"/>
    <cellStyle name="Separador de milhares 3 12 11" xfId="3125" xr:uid="{00000000-0005-0000-0000-00005E2E0000}"/>
    <cellStyle name="Separador de milhares 3 12 11 2" xfId="7298" xr:uid="{00000000-0005-0000-0000-00005F2E0000}"/>
    <cellStyle name="Separador de milhares 3 12 11 2 2" xfId="10442" xr:uid="{00000000-0005-0000-0000-0000602E0000}"/>
    <cellStyle name="Separador de milhares 3 12 11 2 2 2" xfId="28656" xr:uid="{00000000-0005-0000-0000-0000612E0000}"/>
    <cellStyle name="Separador de milhares 3 12 11 2 2 2 2" xfId="54837" xr:uid="{00000000-0005-0000-0000-0000622E0000}"/>
    <cellStyle name="Separador de milhares 3 12 11 2 2 3" xfId="22742" xr:uid="{00000000-0005-0000-0000-0000632E0000}"/>
    <cellStyle name="Separador de milhares 3 12 11 2 2 3 2" xfId="48929" xr:uid="{00000000-0005-0000-0000-0000642E0000}"/>
    <cellStyle name="Separador de milhares 3 12 11 2 2 4" xfId="16828" xr:uid="{00000000-0005-0000-0000-0000652E0000}"/>
    <cellStyle name="Separador de milhares 3 12 11 2 2 4 2" xfId="43021" xr:uid="{00000000-0005-0000-0000-0000662E0000}"/>
    <cellStyle name="Separador de milhares 3 12 11 2 2 5" xfId="36635" xr:uid="{00000000-0005-0000-0000-0000672E0000}"/>
    <cellStyle name="Separador de milhares 3 12 11 2 3" xfId="25699" xr:uid="{00000000-0005-0000-0000-0000682E0000}"/>
    <cellStyle name="Separador de milhares 3 12 11 2 3 2" xfId="51883" xr:uid="{00000000-0005-0000-0000-0000692E0000}"/>
    <cellStyle name="Separador de milhares 3 12 11 2 4" xfId="19785" xr:uid="{00000000-0005-0000-0000-00006A2E0000}"/>
    <cellStyle name="Separador de milhares 3 12 11 2 4 2" xfId="45975" xr:uid="{00000000-0005-0000-0000-00006B2E0000}"/>
    <cellStyle name="Separador de milhares 3 12 11 2 5" xfId="13687" xr:uid="{00000000-0005-0000-0000-00006C2E0000}"/>
    <cellStyle name="Separador de milhares 3 12 11 2 5 2" xfId="39880" xr:uid="{00000000-0005-0000-0000-00006D2E0000}"/>
    <cellStyle name="Separador de milhares 3 12 11 2 6" xfId="33494" xr:uid="{00000000-0005-0000-0000-00006E2E0000}"/>
    <cellStyle name="Separador de milhares 3 12 11 3" xfId="8974" xr:uid="{00000000-0005-0000-0000-00006F2E0000}"/>
    <cellStyle name="Separador de milhares 3 12 11 3 2" xfId="27188" xr:uid="{00000000-0005-0000-0000-0000702E0000}"/>
    <cellStyle name="Separador de milhares 3 12 11 3 2 2" xfId="53369" xr:uid="{00000000-0005-0000-0000-0000712E0000}"/>
    <cellStyle name="Separador de milhares 3 12 11 3 3" xfId="21274" xr:uid="{00000000-0005-0000-0000-0000722E0000}"/>
    <cellStyle name="Separador de milhares 3 12 11 3 3 2" xfId="47461" xr:uid="{00000000-0005-0000-0000-0000732E0000}"/>
    <cellStyle name="Separador de milhares 3 12 11 3 4" xfId="15360" xr:uid="{00000000-0005-0000-0000-0000742E0000}"/>
    <cellStyle name="Separador de milhares 3 12 11 3 4 2" xfId="41553" xr:uid="{00000000-0005-0000-0000-0000752E0000}"/>
    <cellStyle name="Separador de milhares 3 12 11 3 5" xfId="35167" xr:uid="{00000000-0005-0000-0000-0000762E0000}"/>
    <cellStyle name="Separador de milhares 3 12 11 4" xfId="5599" xr:uid="{00000000-0005-0000-0000-0000772E0000}"/>
    <cellStyle name="Separador de milhares 3 12 11 4 2" xfId="24231" xr:uid="{00000000-0005-0000-0000-0000782E0000}"/>
    <cellStyle name="Separador de milhares 3 12 11 4 2 2" xfId="50415" xr:uid="{00000000-0005-0000-0000-0000792E0000}"/>
    <cellStyle name="Separador de milhares 3 12 11 4 3" xfId="31795" xr:uid="{00000000-0005-0000-0000-00007A2E0000}"/>
    <cellStyle name="Separador de milhares 3 12 11 5" xfId="18317" xr:uid="{00000000-0005-0000-0000-00007B2E0000}"/>
    <cellStyle name="Separador de milhares 3 12 11 5 2" xfId="44507" xr:uid="{00000000-0005-0000-0000-00007C2E0000}"/>
    <cellStyle name="Separador de milhares 3 12 11 6" xfId="11986" xr:uid="{00000000-0005-0000-0000-00007D2E0000}"/>
    <cellStyle name="Separador de milhares 3 12 11 6 2" xfId="38179" xr:uid="{00000000-0005-0000-0000-00007E2E0000}"/>
    <cellStyle name="Separador de milhares 3 12 11 7" xfId="30097" xr:uid="{00000000-0005-0000-0000-00007F2E0000}"/>
    <cellStyle name="Separador de milhares 3 12 12" xfId="3652" xr:uid="{00000000-0005-0000-0000-0000802E0000}"/>
    <cellStyle name="Separador de milhares 3 12 12 2" xfId="7445" xr:uid="{00000000-0005-0000-0000-0000812E0000}"/>
    <cellStyle name="Separador de milhares 3 12 12 2 2" xfId="10589" xr:uid="{00000000-0005-0000-0000-0000822E0000}"/>
    <cellStyle name="Separador de milhares 3 12 12 2 2 2" xfId="28803" xr:uid="{00000000-0005-0000-0000-0000832E0000}"/>
    <cellStyle name="Separador de milhares 3 12 12 2 2 2 2" xfId="54984" xr:uid="{00000000-0005-0000-0000-0000842E0000}"/>
    <cellStyle name="Separador de milhares 3 12 12 2 2 3" xfId="22889" xr:uid="{00000000-0005-0000-0000-0000852E0000}"/>
    <cellStyle name="Separador de milhares 3 12 12 2 2 3 2" xfId="49076" xr:uid="{00000000-0005-0000-0000-0000862E0000}"/>
    <cellStyle name="Separador de milhares 3 12 12 2 2 4" xfId="16975" xr:uid="{00000000-0005-0000-0000-0000872E0000}"/>
    <cellStyle name="Separador de milhares 3 12 12 2 2 4 2" xfId="43168" xr:uid="{00000000-0005-0000-0000-0000882E0000}"/>
    <cellStyle name="Separador de milhares 3 12 12 2 2 5" xfId="36782" xr:uid="{00000000-0005-0000-0000-0000892E0000}"/>
    <cellStyle name="Separador de milhares 3 12 12 2 3" xfId="25846" xr:uid="{00000000-0005-0000-0000-00008A2E0000}"/>
    <cellStyle name="Separador de milhares 3 12 12 2 3 2" xfId="52030" xr:uid="{00000000-0005-0000-0000-00008B2E0000}"/>
    <cellStyle name="Separador de milhares 3 12 12 2 4" xfId="19932" xr:uid="{00000000-0005-0000-0000-00008C2E0000}"/>
    <cellStyle name="Separador de milhares 3 12 12 2 4 2" xfId="46122" xr:uid="{00000000-0005-0000-0000-00008D2E0000}"/>
    <cellStyle name="Separador de milhares 3 12 12 2 5" xfId="13834" xr:uid="{00000000-0005-0000-0000-00008E2E0000}"/>
    <cellStyle name="Separador de milhares 3 12 12 2 5 2" xfId="40027" xr:uid="{00000000-0005-0000-0000-00008F2E0000}"/>
    <cellStyle name="Separador de milhares 3 12 12 2 6" xfId="33641" xr:uid="{00000000-0005-0000-0000-0000902E0000}"/>
    <cellStyle name="Separador de milhares 3 12 12 3" xfId="9121" xr:uid="{00000000-0005-0000-0000-0000912E0000}"/>
    <cellStyle name="Separador de milhares 3 12 12 3 2" xfId="27335" xr:uid="{00000000-0005-0000-0000-0000922E0000}"/>
    <cellStyle name="Separador de milhares 3 12 12 3 2 2" xfId="53516" xr:uid="{00000000-0005-0000-0000-0000932E0000}"/>
    <cellStyle name="Separador de milhares 3 12 12 3 3" xfId="21421" xr:uid="{00000000-0005-0000-0000-0000942E0000}"/>
    <cellStyle name="Separador de milhares 3 12 12 3 3 2" xfId="47608" xr:uid="{00000000-0005-0000-0000-0000952E0000}"/>
    <cellStyle name="Separador de milhares 3 12 12 3 4" xfId="15507" xr:uid="{00000000-0005-0000-0000-0000962E0000}"/>
    <cellStyle name="Separador de milhares 3 12 12 3 4 2" xfId="41700" xr:uid="{00000000-0005-0000-0000-0000972E0000}"/>
    <cellStyle name="Separador de milhares 3 12 12 3 5" xfId="35314" xr:uid="{00000000-0005-0000-0000-0000982E0000}"/>
    <cellStyle name="Separador de milhares 3 12 12 4" xfId="5746" xr:uid="{00000000-0005-0000-0000-0000992E0000}"/>
    <cellStyle name="Separador de milhares 3 12 12 4 2" xfId="24378" xr:uid="{00000000-0005-0000-0000-00009A2E0000}"/>
    <cellStyle name="Separador de milhares 3 12 12 4 2 2" xfId="50562" xr:uid="{00000000-0005-0000-0000-00009B2E0000}"/>
    <cellStyle name="Separador de milhares 3 12 12 4 3" xfId="31942" xr:uid="{00000000-0005-0000-0000-00009C2E0000}"/>
    <cellStyle name="Separador de milhares 3 12 12 5" xfId="18464" xr:uid="{00000000-0005-0000-0000-00009D2E0000}"/>
    <cellStyle name="Separador de milhares 3 12 12 5 2" xfId="44654" xr:uid="{00000000-0005-0000-0000-00009E2E0000}"/>
    <cellStyle name="Separador de milhares 3 12 12 6" xfId="12133" xr:uid="{00000000-0005-0000-0000-00009F2E0000}"/>
    <cellStyle name="Separador de milhares 3 12 12 6 2" xfId="38326" xr:uid="{00000000-0005-0000-0000-0000A02E0000}"/>
    <cellStyle name="Separador de milhares 3 12 12 7" xfId="30244" xr:uid="{00000000-0005-0000-0000-0000A12E0000}"/>
    <cellStyle name="Separador de milhares 3 12 13" xfId="6429" xr:uid="{00000000-0005-0000-0000-0000A22E0000}"/>
    <cellStyle name="Separador de milhares 3 12 13 2" xfId="9585" xr:uid="{00000000-0005-0000-0000-0000A32E0000}"/>
    <cellStyle name="Separador de milhares 3 12 13 2 2" xfId="27799" xr:uid="{00000000-0005-0000-0000-0000A42E0000}"/>
    <cellStyle name="Separador de milhares 3 12 13 2 2 2" xfId="53980" xr:uid="{00000000-0005-0000-0000-0000A52E0000}"/>
    <cellStyle name="Separador de milhares 3 12 13 2 3" xfId="21885" xr:uid="{00000000-0005-0000-0000-0000A62E0000}"/>
    <cellStyle name="Separador de milhares 3 12 13 2 3 2" xfId="48072" xr:uid="{00000000-0005-0000-0000-0000A72E0000}"/>
    <cellStyle name="Separador de milhares 3 12 13 2 4" xfId="15971" xr:uid="{00000000-0005-0000-0000-0000A82E0000}"/>
    <cellStyle name="Separador de milhares 3 12 13 2 4 2" xfId="42164" xr:uid="{00000000-0005-0000-0000-0000A92E0000}"/>
    <cellStyle name="Separador de milhares 3 12 13 2 5" xfId="35778" xr:uid="{00000000-0005-0000-0000-0000AA2E0000}"/>
    <cellStyle name="Separador de milhares 3 12 13 3" xfId="24842" xr:uid="{00000000-0005-0000-0000-0000AB2E0000}"/>
    <cellStyle name="Separador de milhares 3 12 13 3 2" xfId="51026" xr:uid="{00000000-0005-0000-0000-0000AC2E0000}"/>
    <cellStyle name="Separador de milhares 3 12 13 4" xfId="18928" xr:uid="{00000000-0005-0000-0000-0000AD2E0000}"/>
    <cellStyle name="Separador de milhares 3 12 13 4 2" xfId="45118" xr:uid="{00000000-0005-0000-0000-0000AE2E0000}"/>
    <cellStyle name="Separador de milhares 3 12 13 5" xfId="12818" xr:uid="{00000000-0005-0000-0000-0000AF2E0000}"/>
    <cellStyle name="Separador de milhares 3 12 13 5 2" xfId="39011" xr:uid="{00000000-0005-0000-0000-0000B02E0000}"/>
    <cellStyle name="Separador de milhares 3 12 13 6" xfId="32625" xr:uid="{00000000-0005-0000-0000-0000B12E0000}"/>
    <cellStyle name="Separador de milhares 3 12 14" xfId="8114" xr:uid="{00000000-0005-0000-0000-0000B22E0000}"/>
    <cellStyle name="Separador de milhares 3 12 14 2" xfId="26328" xr:uid="{00000000-0005-0000-0000-0000B32E0000}"/>
    <cellStyle name="Separador de milhares 3 12 14 2 2" xfId="52512" xr:uid="{00000000-0005-0000-0000-0000B42E0000}"/>
    <cellStyle name="Separador de milhares 3 12 14 3" xfId="20414" xr:uid="{00000000-0005-0000-0000-0000B52E0000}"/>
    <cellStyle name="Separador de milhares 3 12 14 3 2" xfId="46604" xr:uid="{00000000-0005-0000-0000-0000B62E0000}"/>
    <cellStyle name="Separador de milhares 3 12 14 4" xfId="14503" xr:uid="{00000000-0005-0000-0000-0000B72E0000}"/>
    <cellStyle name="Separador de milhares 3 12 14 4 2" xfId="40696" xr:uid="{00000000-0005-0000-0000-0000B82E0000}"/>
    <cellStyle name="Separador de milhares 3 12 14 5" xfId="34310" xr:uid="{00000000-0005-0000-0000-0000B92E0000}"/>
    <cellStyle name="Separador de milhares 3 12 15" xfId="4727" xr:uid="{00000000-0005-0000-0000-0000BA2E0000}"/>
    <cellStyle name="Separador de milhares 3 12 15 2" xfId="23371" xr:uid="{00000000-0005-0000-0000-0000BB2E0000}"/>
    <cellStyle name="Separador de milhares 3 12 15 2 2" xfId="49558" xr:uid="{00000000-0005-0000-0000-0000BC2E0000}"/>
    <cellStyle name="Separador de milhares 3 12 15 3" xfId="30926" xr:uid="{00000000-0005-0000-0000-0000BD2E0000}"/>
    <cellStyle name="Separador de milhares 3 12 16" xfId="17457" xr:uid="{00000000-0005-0000-0000-0000BE2E0000}"/>
    <cellStyle name="Separador de milhares 3 12 16 2" xfId="43650" xr:uid="{00000000-0005-0000-0000-0000BF2E0000}"/>
    <cellStyle name="Separador de milhares 3 12 17" xfId="11117" xr:uid="{00000000-0005-0000-0000-0000C02E0000}"/>
    <cellStyle name="Separador de milhares 3 12 17 2" xfId="37310" xr:uid="{00000000-0005-0000-0000-0000C12E0000}"/>
    <cellStyle name="Separador de milhares 3 12 18" xfId="29228" xr:uid="{00000000-0005-0000-0000-0000C22E0000}"/>
    <cellStyle name="Separador de milhares 3 12 2" xfId="189" xr:uid="{00000000-0005-0000-0000-0000C32E0000}"/>
    <cellStyle name="Separador de milhares 3 12 2 10" xfId="6458" xr:uid="{00000000-0005-0000-0000-0000C42E0000}"/>
    <cellStyle name="Separador de milhares 3 12 2 10 2" xfId="9612" xr:uid="{00000000-0005-0000-0000-0000C52E0000}"/>
    <cellStyle name="Separador de milhares 3 12 2 10 2 2" xfId="27826" xr:uid="{00000000-0005-0000-0000-0000C62E0000}"/>
    <cellStyle name="Separador de milhares 3 12 2 10 2 2 2" xfId="54007" xr:uid="{00000000-0005-0000-0000-0000C72E0000}"/>
    <cellStyle name="Separador de milhares 3 12 2 10 2 3" xfId="21912" xr:uid="{00000000-0005-0000-0000-0000C82E0000}"/>
    <cellStyle name="Separador de milhares 3 12 2 10 2 3 2" xfId="48099" xr:uid="{00000000-0005-0000-0000-0000C92E0000}"/>
    <cellStyle name="Separador de milhares 3 12 2 10 2 4" xfId="15998" xr:uid="{00000000-0005-0000-0000-0000CA2E0000}"/>
    <cellStyle name="Separador de milhares 3 12 2 10 2 4 2" xfId="42191" xr:uid="{00000000-0005-0000-0000-0000CB2E0000}"/>
    <cellStyle name="Separador de milhares 3 12 2 10 2 5" xfId="35805" xr:uid="{00000000-0005-0000-0000-0000CC2E0000}"/>
    <cellStyle name="Separador de milhares 3 12 2 10 3" xfId="24869" xr:uid="{00000000-0005-0000-0000-0000CD2E0000}"/>
    <cellStyle name="Separador de milhares 3 12 2 10 3 2" xfId="51053" xr:uid="{00000000-0005-0000-0000-0000CE2E0000}"/>
    <cellStyle name="Separador de milhares 3 12 2 10 4" xfId="18955" xr:uid="{00000000-0005-0000-0000-0000CF2E0000}"/>
    <cellStyle name="Separador de milhares 3 12 2 10 4 2" xfId="45145" xr:uid="{00000000-0005-0000-0000-0000D02E0000}"/>
    <cellStyle name="Separador de milhares 3 12 2 10 5" xfId="12847" xr:uid="{00000000-0005-0000-0000-0000D12E0000}"/>
    <cellStyle name="Separador de milhares 3 12 2 10 5 2" xfId="39040" xr:uid="{00000000-0005-0000-0000-0000D22E0000}"/>
    <cellStyle name="Separador de milhares 3 12 2 10 6" xfId="32654" xr:uid="{00000000-0005-0000-0000-0000D32E0000}"/>
    <cellStyle name="Separador de milhares 3 12 2 11" xfId="8141" xr:uid="{00000000-0005-0000-0000-0000D42E0000}"/>
    <cellStyle name="Separador de milhares 3 12 2 11 2" xfId="26355" xr:uid="{00000000-0005-0000-0000-0000D52E0000}"/>
    <cellStyle name="Separador de milhares 3 12 2 11 2 2" xfId="52539" xr:uid="{00000000-0005-0000-0000-0000D62E0000}"/>
    <cellStyle name="Separador de milhares 3 12 2 11 3" xfId="20441" xr:uid="{00000000-0005-0000-0000-0000D72E0000}"/>
    <cellStyle name="Separador de milhares 3 12 2 11 3 2" xfId="46631" xr:uid="{00000000-0005-0000-0000-0000D82E0000}"/>
    <cellStyle name="Separador de milhares 3 12 2 11 4" xfId="14530" xr:uid="{00000000-0005-0000-0000-0000D92E0000}"/>
    <cellStyle name="Separador de milhares 3 12 2 11 4 2" xfId="40723" xr:uid="{00000000-0005-0000-0000-0000DA2E0000}"/>
    <cellStyle name="Separador de milhares 3 12 2 11 5" xfId="34337" xr:uid="{00000000-0005-0000-0000-0000DB2E0000}"/>
    <cellStyle name="Separador de milhares 3 12 2 12" xfId="4757" xr:uid="{00000000-0005-0000-0000-0000DC2E0000}"/>
    <cellStyle name="Separador de milhares 3 12 2 12 2" xfId="23398" xr:uid="{00000000-0005-0000-0000-0000DD2E0000}"/>
    <cellStyle name="Separador de milhares 3 12 2 12 2 2" xfId="49585" xr:uid="{00000000-0005-0000-0000-0000DE2E0000}"/>
    <cellStyle name="Separador de milhares 3 12 2 12 3" xfId="30955" xr:uid="{00000000-0005-0000-0000-0000DF2E0000}"/>
    <cellStyle name="Separador de milhares 3 12 2 13" xfId="17484" xr:uid="{00000000-0005-0000-0000-0000E02E0000}"/>
    <cellStyle name="Separador de milhares 3 12 2 13 2" xfId="43677" xr:uid="{00000000-0005-0000-0000-0000E12E0000}"/>
    <cellStyle name="Separador de milhares 3 12 2 14" xfId="11146" xr:uid="{00000000-0005-0000-0000-0000E22E0000}"/>
    <cellStyle name="Separador de milhares 3 12 2 14 2" xfId="37339" xr:uid="{00000000-0005-0000-0000-0000E32E0000}"/>
    <cellStyle name="Separador de milhares 3 12 2 15" xfId="29258" xr:uid="{00000000-0005-0000-0000-0000E42E0000}"/>
    <cellStyle name="Separador de milhares 3 12 2 2" xfId="462" xr:uid="{00000000-0005-0000-0000-0000E52E0000}"/>
    <cellStyle name="Separador de milhares 3 12 2 2 10" xfId="17558" xr:uid="{00000000-0005-0000-0000-0000E62E0000}"/>
    <cellStyle name="Separador de milhares 3 12 2 2 10 2" xfId="43751" xr:uid="{00000000-0005-0000-0000-0000E72E0000}"/>
    <cellStyle name="Separador de milhares 3 12 2 2 11" xfId="11227" xr:uid="{00000000-0005-0000-0000-0000E82E0000}"/>
    <cellStyle name="Separador de milhares 3 12 2 2 11 2" xfId="37420" xr:uid="{00000000-0005-0000-0000-0000E92E0000}"/>
    <cellStyle name="Separador de milhares 3 12 2 2 12" xfId="29338" xr:uid="{00000000-0005-0000-0000-0000EA2E0000}"/>
    <cellStyle name="Separador de milhares 3 12 2 2 2" xfId="1981" xr:uid="{00000000-0005-0000-0000-0000EB2E0000}"/>
    <cellStyle name="Separador de milhares 3 12 2 2 2 2" xfId="6977" xr:uid="{00000000-0005-0000-0000-0000EC2E0000}"/>
    <cellStyle name="Separador de milhares 3 12 2 2 2 2 2" xfId="10124" xr:uid="{00000000-0005-0000-0000-0000ED2E0000}"/>
    <cellStyle name="Separador de milhares 3 12 2 2 2 2 2 2" xfId="28338" xr:uid="{00000000-0005-0000-0000-0000EE2E0000}"/>
    <cellStyle name="Separador de milhares 3 12 2 2 2 2 2 2 2" xfId="54519" xr:uid="{00000000-0005-0000-0000-0000EF2E0000}"/>
    <cellStyle name="Separador de milhares 3 12 2 2 2 2 2 3" xfId="22424" xr:uid="{00000000-0005-0000-0000-0000F02E0000}"/>
    <cellStyle name="Separador de milhares 3 12 2 2 2 2 2 3 2" xfId="48611" xr:uid="{00000000-0005-0000-0000-0000F12E0000}"/>
    <cellStyle name="Separador de milhares 3 12 2 2 2 2 2 4" xfId="16510" xr:uid="{00000000-0005-0000-0000-0000F22E0000}"/>
    <cellStyle name="Separador de milhares 3 12 2 2 2 2 2 4 2" xfId="42703" xr:uid="{00000000-0005-0000-0000-0000F32E0000}"/>
    <cellStyle name="Separador de milhares 3 12 2 2 2 2 2 5" xfId="36317" xr:uid="{00000000-0005-0000-0000-0000F42E0000}"/>
    <cellStyle name="Separador de milhares 3 12 2 2 2 2 3" xfId="25381" xr:uid="{00000000-0005-0000-0000-0000F52E0000}"/>
    <cellStyle name="Separador de milhares 3 12 2 2 2 2 3 2" xfId="51565" xr:uid="{00000000-0005-0000-0000-0000F62E0000}"/>
    <cellStyle name="Separador de milhares 3 12 2 2 2 2 4" xfId="19467" xr:uid="{00000000-0005-0000-0000-0000F72E0000}"/>
    <cellStyle name="Separador de milhares 3 12 2 2 2 2 4 2" xfId="45657" xr:uid="{00000000-0005-0000-0000-0000F82E0000}"/>
    <cellStyle name="Separador de milhares 3 12 2 2 2 2 5" xfId="13366" xr:uid="{00000000-0005-0000-0000-0000F92E0000}"/>
    <cellStyle name="Separador de milhares 3 12 2 2 2 2 5 2" xfId="39559" xr:uid="{00000000-0005-0000-0000-0000FA2E0000}"/>
    <cellStyle name="Separador de milhares 3 12 2 2 2 2 6" xfId="33173" xr:uid="{00000000-0005-0000-0000-0000FB2E0000}"/>
    <cellStyle name="Separador de milhares 3 12 2 2 2 3" xfId="8656" xr:uid="{00000000-0005-0000-0000-0000FC2E0000}"/>
    <cellStyle name="Separador de milhares 3 12 2 2 2 3 2" xfId="26870" xr:uid="{00000000-0005-0000-0000-0000FD2E0000}"/>
    <cellStyle name="Separador de milhares 3 12 2 2 2 3 2 2" xfId="53051" xr:uid="{00000000-0005-0000-0000-0000FE2E0000}"/>
    <cellStyle name="Separador de milhares 3 12 2 2 2 3 3" xfId="20956" xr:uid="{00000000-0005-0000-0000-0000FF2E0000}"/>
    <cellStyle name="Separador de milhares 3 12 2 2 2 3 3 2" xfId="47143" xr:uid="{00000000-0005-0000-0000-0000002F0000}"/>
    <cellStyle name="Separador de milhares 3 12 2 2 2 3 4" xfId="15042" xr:uid="{00000000-0005-0000-0000-0000012F0000}"/>
    <cellStyle name="Separador de milhares 3 12 2 2 2 3 4 2" xfId="41235" xr:uid="{00000000-0005-0000-0000-0000022F0000}"/>
    <cellStyle name="Separador de milhares 3 12 2 2 2 3 5" xfId="34849" xr:uid="{00000000-0005-0000-0000-0000032F0000}"/>
    <cellStyle name="Separador de milhares 3 12 2 2 2 4" xfId="5278" xr:uid="{00000000-0005-0000-0000-0000042F0000}"/>
    <cellStyle name="Separador de milhares 3 12 2 2 2 4 2" xfId="23913" xr:uid="{00000000-0005-0000-0000-0000052F0000}"/>
    <cellStyle name="Separador de milhares 3 12 2 2 2 4 2 2" xfId="50097" xr:uid="{00000000-0005-0000-0000-0000062F0000}"/>
    <cellStyle name="Separador de milhares 3 12 2 2 2 4 3" xfId="31474" xr:uid="{00000000-0005-0000-0000-0000072F0000}"/>
    <cellStyle name="Separador de milhares 3 12 2 2 2 5" xfId="17999" xr:uid="{00000000-0005-0000-0000-0000082F0000}"/>
    <cellStyle name="Separador de milhares 3 12 2 2 2 5 2" xfId="44189" xr:uid="{00000000-0005-0000-0000-0000092F0000}"/>
    <cellStyle name="Separador de milhares 3 12 2 2 2 6" xfId="11665" xr:uid="{00000000-0005-0000-0000-00000A2F0000}"/>
    <cellStyle name="Separador de milhares 3 12 2 2 2 6 2" xfId="37858" xr:uid="{00000000-0005-0000-0000-00000B2F0000}"/>
    <cellStyle name="Separador de milhares 3 12 2 2 2 7" xfId="29776" xr:uid="{00000000-0005-0000-0000-00000C2F0000}"/>
    <cellStyle name="Separador de milhares 3 12 2 2 3" xfId="2511" xr:uid="{00000000-0005-0000-0000-00000D2F0000}"/>
    <cellStyle name="Separador de milhares 3 12 2 2 3 2" xfId="7127" xr:uid="{00000000-0005-0000-0000-00000E2F0000}"/>
    <cellStyle name="Separador de milhares 3 12 2 2 3 2 2" xfId="10271" xr:uid="{00000000-0005-0000-0000-00000F2F0000}"/>
    <cellStyle name="Separador de milhares 3 12 2 2 3 2 2 2" xfId="28485" xr:uid="{00000000-0005-0000-0000-0000102F0000}"/>
    <cellStyle name="Separador de milhares 3 12 2 2 3 2 2 2 2" xfId="54666" xr:uid="{00000000-0005-0000-0000-0000112F0000}"/>
    <cellStyle name="Separador de milhares 3 12 2 2 3 2 2 3" xfId="22571" xr:uid="{00000000-0005-0000-0000-0000122F0000}"/>
    <cellStyle name="Separador de milhares 3 12 2 2 3 2 2 3 2" xfId="48758" xr:uid="{00000000-0005-0000-0000-0000132F0000}"/>
    <cellStyle name="Separador de milhares 3 12 2 2 3 2 2 4" xfId="16657" xr:uid="{00000000-0005-0000-0000-0000142F0000}"/>
    <cellStyle name="Separador de milhares 3 12 2 2 3 2 2 4 2" xfId="42850" xr:uid="{00000000-0005-0000-0000-0000152F0000}"/>
    <cellStyle name="Separador de milhares 3 12 2 2 3 2 2 5" xfId="36464" xr:uid="{00000000-0005-0000-0000-0000162F0000}"/>
    <cellStyle name="Separador de milhares 3 12 2 2 3 2 3" xfId="25528" xr:uid="{00000000-0005-0000-0000-0000172F0000}"/>
    <cellStyle name="Separador de milhares 3 12 2 2 3 2 3 2" xfId="51712" xr:uid="{00000000-0005-0000-0000-0000182F0000}"/>
    <cellStyle name="Separador de milhares 3 12 2 2 3 2 4" xfId="19614" xr:uid="{00000000-0005-0000-0000-0000192F0000}"/>
    <cellStyle name="Separador de milhares 3 12 2 2 3 2 4 2" xfId="45804" xr:uid="{00000000-0005-0000-0000-00001A2F0000}"/>
    <cellStyle name="Separador de milhares 3 12 2 2 3 2 5" xfId="13516" xr:uid="{00000000-0005-0000-0000-00001B2F0000}"/>
    <cellStyle name="Separador de milhares 3 12 2 2 3 2 5 2" xfId="39709" xr:uid="{00000000-0005-0000-0000-00001C2F0000}"/>
    <cellStyle name="Separador de milhares 3 12 2 2 3 2 6" xfId="33323" xr:uid="{00000000-0005-0000-0000-00001D2F0000}"/>
    <cellStyle name="Separador de milhares 3 12 2 2 3 3" xfId="8803" xr:uid="{00000000-0005-0000-0000-00001E2F0000}"/>
    <cellStyle name="Separador de milhares 3 12 2 2 3 3 2" xfId="27017" xr:uid="{00000000-0005-0000-0000-00001F2F0000}"/>
    <cellStyle name="Separador de milhares 3 12 2 2 3 3 2 2" xfId="53198" xr:uid="{00000000-0005-0000-0000-0000202F0000}"/>
    <cellStyle name="Separador de milhares 3 12 2 2 3 3 3" xfId="21103" xr:uid="{00000000-0005-0000-0000-0000212F0000}"/>
    <cellStyle name="Separador de milhares 3 12 2 2 3 3 3 2" xfId="47290" xr:uid="{00000000-0005-0000-0000-0000222F0000}"/>
    <cellStyle name="Separador de milhares 3 12 2 2 3 3 4" xfId="15189" xr:uid="{00000000-0005-0000-0000-0000232F0000}"/>
    <cellStyle name="Separador de milhares 3 12 2 2 3 3 4 2" xfId="41382" xr:uid="{00000000-0005-0000-0000-0000242F0000}"/>
    <cellStyle name="Separador de milhares 3 12 2 2 3 3 5" xfId="34996" xr:uid="{00000000-0005-0000-0000-0000252F0000}"/>
    <cellStyle name="Separador de milhares 3 12 2 2 3 4" xfId="5428" xr:uid="{00000000-0005-0000-0000-0000262F0000}"/>
    <cellStyle name="Separador de milhares 3 12 2 2 3 4 2" xfId="24060" xr:uid="{00000000-0005-0000-0000-0000272F0000}"/>
    <cellStyle name="Separador de milhares 3 12 2 2 3 4 2 2" xfId="50244" xr:uid="{00000000-0005-0000-0000-0000282F0000}"/>
    <cellStyle name="Separador de milhares 3 12 2 2 3 4 3" xfId="31624" xr:uid="{00000000-0005-0000-0000-0000292F0000}"/>
    <cellStyle name="Separador de milhares 3 12 2 2 3 5" xfId="18146" xr:uid="{00000000-0005-0000-0000-00002A2F0000}"/>
    <cellStyle name="Separador de milhares 3 12 2 2 3 5 2" xfId="44336" xr:uid="{00000000-0005-0000-0000-00002B2F0000}"/>
    <cellStyle name="Separador de milhares 3 12 2 2 3 6" xfId="11815" xr:uid="{00000000-0005-0000-0000-00002C2F0000}"/>
    <cellStyle name="Separador de milhares 3 12 2 2 3 6 2" xfId="38008" xr:uid="{00000000-0005-0000-0000-00002D2F0000}"/>
    <cellStyle name="Separador de milhares 3 12 2 2 3 7" xfId="29926" xr:uid="{00000000-0005-0000-0000-00002E2F0000}"/>
    <cellStyle name="Separador de milhares 3 12 2 2 4" xfId="3038" xr:uid="{00000000-0005-0000-0000-00002F2F0000}"/>
    <cellStyle name="Separador de milhares 3 12 2 2 4 2" xfId="7274" xr:uid="{00000000-0005-0000-0000-0000302F0000}"/>
    <cellStyle name="Separador de milhares 3 12 2 2 4 2 2" xfId="10418" xr:uid="{00000000-0005-0000-0000-0000312F0000}"/>
    <cellStyle name="Separador de milhares 3 12 2 2 4 2 2 2" xfId="28632" xr:uid="{00000000-0005-0000-0000-0000322F0000}"/>
    <cellStyle name="Separador de milhares 3 12 2 2 4 2 2 2 2" xfId="54813" xr:uid="{00000000-0005-0000-0000-0000332F0000}"/>
    <cellStyle name="Separador de milhares 3 12 2 2 4 2 2 3" xfId="22718" xr:uid="{00000000-0005-0000-0000-0000342F0000}"/>
    <cellStyle name="Separador de milhares 3 12 2 2 4 2 2 3 2" xfId="48905" xr:uid="{00000000-0005-0000-0000-0000352F0000}"/>
    <cellStyle name="Separador de milhares 3 12 2 2 4 2 2 4" xfId="16804" xr:uid="{00000000-0005-0000-0000-0000362F0000}"/>
    <cellStyle name="Separador de milhares 3 12 2 2 4 2 2 4 2" xfId="42997" xr:uid="{00000000-0005-0000-0000-0000372F0000}"/>
    <cellStyle name="Separador de milhares 3 12 2 2 4 2 2 5" xfId="36611" xr:uid="{00000000-0005-0000-0000-0000382F0000}"/>
    <cellStyle name="Separador de milhares 3 12 2 2 4 2 3" xfId="25675" xr:uid="{00000000-0005-0000-0000-0000392F0000}"/>
    <cellStyle name="Separador de milhares 3 12 2 2 4 2 3 2" xfId="51859" xr:uid="{00000000-0005-0000-0000-00003A2F0000}"/>
    <cellStyle name="Separador de milhares 3 12 2 2 4 2 4" xfId="19761" xr:uid="{00000000-0005-0000-0000-00003B2F0000}"/>
    <cellStyle name="Separador de milhares 3 12 2 2 4 2 4 2" xfId="45951" xr:uid="{00000000-0005-0000-0000-00003C2F0000}"/>
    <cellStyle name="Separador de milhares 3 12 2 2 4 2 5" xfId="13663" xr:uid="{00000000-0005-0000-0000-00003D2F0000}"/>
    <cellStyle name="Separador de milhares 3 12 2 2 4 2 5 2" xfId="39856" xr:uid="{00000000-0005-0000-0000-00003E2F0000}"/>
    <cellStyle name="Separador de milhares 3 12 2 2 4 2 6" xfId="33470" xr:uid="{00000000-0005-0000-0000-00003F2F0000}"/>
    <cellStyle name="Separador de milhares 3 12 2 2 4 3" xfId="8950" xr:uid="{00000000-0005-0000-0000-0000402F0000}"/>
    <cellStyle name="Separador de milhares 3 12 2 2 4 3 2" xfId="27164" xr:uid="{00000000-0005-0000-0000-0000412F0000}"/>
    <cellStyle name="Separador de milhares 3 12 2 2 4 3 2 2" xfId="53345" xr:uid="{00000000-0005-0000-0000-0000422F0000}"/>
    <cellStyle name="Separador de milhares 3 12 2 2 4 3 3" xfId="21250" xr:uid="{00000000-0005-0000-0000-0000432F0000}"/>
    <cellStyle name="Separador de milhares 3 12 2 2 4 3 3 2" xfId="47437" xr:uid="{00000000-0005-0000-0000-0000442F0000}"/>
    <cellStyle name="Separador de milhares 3 12 2 2 4 3 4" xfId="15336" xr:uid="{00000000-0005-0000-0000-0000452F0000}"/>
    <cellStyle name="Separador de milhares 3 12 2 2 4 3 4 2" xfId="41529" xr:uid="{00000000-0005-0000-0000-0000462F0000}"/>
    <cellStyle name="Separador de milhares 3 12 2 2 4 3 5" xfId="35143" xr:uid="{00000000-0005-0000-0000-0000472F0000}"/>
    <cellStyle name="Separador de milhares 3 12 2 2 4 4" xfId="5575" xr:uid="{00000000-0005-0000-0000-0000482F0000}"/>
    <cellStyle name="Separador de milhares 3 12 2 2 4 4 2" xfId="24207" xr:uid="{00000000-0005-0000-0000-0000492F0000}"/>
    <cellStyle name="Separador de milhares 3 12 2 2 4 4 2 2" xfId="50391" xr:uid="{00000000-0005-0000-0000-00004A2F0000}"/>
    <cellStyle name="Separador de milhares 3 12 2 2 4 4 3" xfId="31771" xr:uid="{00000000-0005-0000-0000-00004B2F0000}"/>
    <cellStyle name="Separador de milhares 3 12 2 2 4 5" xfId="18293" xr:uid="{00000000-0005-0000-0000-00004C2F0000}"/>
    <cellStyle name="Separador de milhares 3 12 2 2 4 5 2" xfId="44483" xr:uid="{00000000-0005-0000-0000-00004D2F0000}"/>
    <cellStyle name="Separador de milhares 3 12 2 2 4 6" xfId="11962" xr:uid="{00000000-0005-0000-0000-00004E2F0000}"/>
    <cellStyle name="Separador de milhares 3 12 2 2 4 6 2" xfId="38155" xr:uid="{00000000-0005-0000-0000-00004F2F0000}"/>
    <cellStyle name="Separador de milhares 3 12 2 2 4 7" xfId="30073" xr:uid="{00000000-0005-0000-0000-0000502F0000}"/>
    <cellStyle name="Separador de milhares 3 12 2 2 5" xfId="3565" xr:uid="{00000000-0005-0000-0000-0000512F0000}"/>
    <cellStyle name="Separador de milhares 3 12 2 2 5 2" xfId="7421" xr:uid="{00000000-0005-0000-0000-0000522F0000}"/>
    <cellStyle name="Separador de milhares 3 12 2 2 5 2 2" xfId="10565" xr:uid="{00000000-0005-0000-0000-0000532F0000}"/>
    <cellStyle name="Separador de milhares 3 12 2 2 5 2 2 2" xfId="28779" xr:uid="{00000000-0005-0000-0000-0000542F0000}"/>
    <cellStyle name="Separador de milhares 3 12 2 2 5 2 2 2 2" xfId="54960" xr:uid="{00000000-0005-0000-0000-0000552F0000}"/>
    <cellStyle name="Separador de milhares 3 12 2 2 5 2 2 3" xfId="22865" xr:uid="{00000000-0005-0000-0000-0000562F0000}"/>
    <cellStyle name="Separador de milhares 3 12 2 2 5 2 2 3 2" xfId="49052" xr:uid="{00000000-0005-0000-0000-0000572F0000}"/>
    <cellStyle name="Separador de milhares 3 12 2 2 5 2 2 4" xfId="16951" xr:uid="{00000000-0005-0000-0000-0000582F0000}"/>
    <cellStyle name="Separador de milhares 3 12 2 2 5 2 2 4 2" xfId="43144" xr:uid="{00000000-0005-0000-0000-0000592F0000}"/>
    <cellStyle name="Separador de milhares 3 12 2 2 5 2 2 5" xfId="36758" xr:uid="{00000000-0005-0000-0000-00005A2F0000}"/>
    <cellStyle name="Separador de milhares 3 12 2 2 5 2 3" xfId="25822" xr:uid="{00000000-0005-0000-0000-00005B2F0000}"/>
    <cellStyle name="Separador de milhares 3 12 2 2 5 2 3 2" xfId="52006" xr:uid="{00000000-0005-0000-0000-00005C2F0000}"/>
    <cellStyle name="Separador de milhares 3 12 2 2 5 2 4" xfId="19908" xr:uid="{00000000-0005-0000-0000-00005D2F0000}"/>
    <cellStyle name="Separador de milhares 3 12 2 2 5 2 4 2" xfId="46098" xr:uid="{00000000-0005-0000-0000-00005E2F0000}"/>
    <cellStyle name="Separador de milhares 3 12 2 2 5 2 5" xfId="13810" xr:uid="{00000000-0005-0000-0000-00005F2F0000}"/>
    <cellStyle name="Separador de milhares 3 12 2 2 5 2 5 2" xfId="40003" xr:uid="{00000000-0005-0000-0000-0000602F0000}"/>
    <cellStyle name="Separador de milhares 3 12 2 2 5 2 6" xfId="33617" xr:uid="{00000000-0005-0000-0000-0000612F0000}"/>
    <cellStyle name="Separador de milhares 3 12 2 2 5 3" xfId="9097" xr:uid="{00000000-0005-0000-0000-0000622F0000}"/>
    <cellStyle name="Separador de milhares 3 12 2 2 5 3 2" xfId="27311" xr:uid="{00000000-0005-0000-0000-0000632F0000}"/>
    <cellStyle name="Separador de milhares 3 12 2 2 5 3 2 2" xfId="53492" xr:uid="{00000000-0005-0000-0000-0000642F0000}"/>
    <cellStyle name="Separador de milhares 3 12 2 2 5 3 3" xfId="21397" xr:uid="{00000000-0005-0000-0000-0000652F0000}"/>
    <cellStyle name="Separador de milhares 3 12 2 2 5 3 3 2" xfId="47584" xr:uid="{00000000-0005-0000-0000-0000662F0000}"/>
    <cellStyle name="Separador de milhares 3 12 2 2 5 3 4" xfId="15483" xr:uid="{00000000-0005-0000-0000-0000672F0000}"/>
    <cellStyle name="Separador de milhares 3 12 2 2 5 3 4 2" xfId="41676" xr:uid="{00000000-0005-0000-0000-0000682F0000}"/>
    <cellStyle name="Separador de milhares 3 12 2 2 5 3 5" xfId="35290" xr:uid="{00000000-0005-0000-0000-0000692F0000}"/>
    <cellStyle name="Separador de milhares 3 12 2 2 5 4" xfId="5722" xr:uid="{00000000-0005-0000-0000-00006A2F0000}"/>
    <cellStyle name="Separador de milhares 3 12 2 2 5 4 2" xfId="24354" xr:uid="{00000000-0005-0000-0000-00006B2F0000}"/>
    <cellStyle name="Separador de milhares 3 12 2 2 5 4 2 2" xfId="50538" xr:uid="{00000000-0005-0000-0000-00006C2F0000}"/>
    <cellStyle name="Separador de milhares 3 12 2 2 5 4 3" xfId="31918" xr:uid="{00000000-0005-0000-0000-00006D2F0000}"/>
    <cellStyle name="Separador de milhares 3 12 2 2 5 5" xfId="18440" xr:uid="{00000000-0005-0000-0000-00006E2F0000}"/>
    <cellStyle name="Separador de milhares 3 12 2 2 5 5 2" xfId="44630" xr:uid="{00000000-0005-0000-0000-00006F2F0000}"/>
    <cellStyle name="Separador de milhares 3 12 2 2 5 6" xfId="12109" xr:uid="{00000000-0005-0000-0000-0000702F0000}"/>
    <cellStyle name="Separador de milhares 3 12 2 2 5 6 2" xfId="38302" xr:uid="{00000000-0005-0000-0000-0000712F0000}"/>
    <cellStyle name="Separador de milhares 3 12 2 2 5 7" xfId="30220" xr:uid="{00000000-0005-0000-0000-0000722F0000}"/>
    <cellStyle name="Separador de milhares 3 12 2 2 6" xfId="4092" xr:uid="{00000000-0005-0000-0000-0000732F0000}"/>
    <cellStyle name="Separador de milhares 3 12 2 2 6 2" xfId="7568" xr:uid="{00000000-0005-0000-0000-0000742F0000}"/>
    <cellStyle name="Separador de milhares 3 12 2 2 6 2 2" xfId="10712" xr:uid="{00000000-0005-0000-0000-0000752F0000}"/>
    <cellStyle name="Separador de milhares 3 12 2 2 6 2 2 2" xfId="28926" xr:uid="{00000000-0005-0000-0000-0000762F0000}"/>
    <cellStyle name="Separador de milhares 3 12 2 2 6 2 2 2 2" xfId="55107" xr:uid="{00000000-0005-0000-0000-0000772F0000}"/>
    <cellStyle name="Separador de milhares 3 12 2 2 6 2 2 3" xfId="23012" xr:uid="{00000000-0005-0000-0000-0000782F0000}"/>
    <cellStyle name="Separador de milhares 3 12 2 2 6 2 2 3 2" xfId="49199" xr:uid="{00000000-0005-0000-0000-0000792F0000}"/>
    <cellStyle name="Separador de milhares 3 12 2 2 6 2 2 4" xfId="17098" xr:uid="{00000000-0005-0000-0000-00007A2F0000}"/>
    <cellStyle name="Separador de milhares 3 12 2 2 6 2 2 4 2" xfId="43291" xr:uid="{00000000-0005-0000-0000-00007B2F0000}"/>
    <cellStyle name="Separador de milhares 3 12 2 2 6 2 2 5" xfId="36905" xr:uid="{00000000-0005-0000-0000-00007C2F0000}"/>
    <cellStyle name="Separador de milhares 3 12 2 2 6 2 3" xfId="25969" xr:uid="{00000000-0005-0000-0000-00007D2F0000}"/>
    <cellStyle name="Separador de milhares 3 12 2 2 6 2 3 2" xfId="52153" xr:uid="{00000000-0005-0000-0000-00007E2F0000}"/>
    <cellStyle name="Separador de milhares 3 12 2 2 6 2 4" xfId="20055" xr:uid="{00000000-0005-0000-0000-00007F2F0000}"/>
    <cellStyle name="Separador de milhares 3 12 2 2 6 2 4 2" xfId="46245" xr:uid="{00000000-0005-0000-0000-0000802F0000}"/>
    <cellStyle name="Separador de milhares 3 12 2 2 6 2 5" xfId="13957" xr:uid="{00000000-0005-0000-0000-0000812F0000}"/>
    <cellStyle name="Separador de milhares 3 12 2 2 6 2 5 2" xfId="40150" xr:uid="{00000000-0005-0000-0000-0000822F0000}"/>
    <cellStyle name="Separador de milhares 3 12 2 2 6 2 6" xfId="33764" xr:uid="{00000000-0005-0000-0000-0000832F0000}"/>
    <cellStyle name="Separador de milhares 3 12 2 2 6 3" xfId="9244" xr:uid="{00000000-0005-0000-0000-0000842F0000}"/>
    <cellStyle name="Separador de milhares 3 12 2 2 6 3 2" xfId="27458" xr:uid="{00000000-0005-0000-0000-0000852F0000}"/>
    <cellStyle name="Separador de milhares 3 12 2 2 6 3 2 2" xfId="53639" xr:uid="{00000000-0005-0000-0000-0000862F0000}"/>
    <cellStyle name="Separador de milhares 3 12 2 2 6 3 3" xfId="21544" xr:uid="{00000000-0005-0000-0000-0000872F0000}"/>
    <cellStyle name="Separador de milhares 3 12 2 2 6 3 3 2" xfId="47731" xr:uid="{00000000-0005-0000-0000-0000882F0000}"/>
    <cellStyle name="Separador de milhares 3 12 2 2 6 3 4" xfId="15630" xr:uid="{00000000-0005-0000-0000-0000892F0000}"/>
    <cellStyle name="Separador de milhares 3 12 2 2 6 3 4 2" xfId="41823" xr:uid="{00000000-0005-0000-0000-00008A2F0000}"/>
    <cellStyle name="Separador de milhares 3 12 2 2 6 3 5" xfId="35437" xr:uid="{00000000-0005-0000-0000-00008B2F0000}"/>
    <cellStyle name="Separador de milhares 3 12 2 2 6 4" xfId="5869" xr:uid="{00000000-0005-0000-0000-00008C2F0000}"/>
    <cellStyle name="Separador de milhares 3 12 2 2 6 4 2" xfId="24501" xr:uid="{00000000-0005-0000-0000-00008D2F0000}"/>
    <cellStyle name="Separador de milhares 3 12 2 2 6 4 2 2" xfId="50685" xr:uid="{00000000-0005-0000-0000-00008E2F0000}"/>
    <cellStyle name="Separador de milhares 3 12 2 2 6 4 3" xfId="32065" xr:uid="{00000000-0005-0000-0000-00008F2F0000}"/>
    <cellStyle name="Separador de milhares 3 12 2 2 6 5" xfId="18587" xr:uid="{00000000-0005-0000-0000-0000902F0000}"/>
    <cellStyle name="Separador de milhares 3 12 2 2 6 5 2" xfId="44777" xr:uid="{00000000-0005-0000-0000-0000912F0000}"/>
    <cellStyle name="Separador de milhares 3 12 2 2 6 6" xfId="12256" xr:uid="{00000000-0005-0000-0000-0000922F0000}"/>
    <cellStyle name="Separador de milhares 3 12 2 2 6 6 2" xfId="38449" xr:uid="{00000000-0005-0000-0000-0000932F0000}"/>
    <cellStyle name="Separador de milhares 3 12 2 2 6 7" xfId="30367" xr:uid="{00000000-0005-0000-0000-0000942F0000}"/>
    <cellStyle name="Separador de milhares 3 12 2 2 7" xfId="6539" xr:uid="{00000000-0005-0000-0000-0000952F0000}"/>
    <cellStyle name="Separador de milhares 3 12 2 2 7 2" xfId="9686" xr:uid="{00000000-0005-0000-0000-0000962F0000}"/>
    <cellStyle name="Separador de milhares 3 12 2 2 7 2 2" xfId="27900" xr:uid="{00000000-0005-0000-0000-0000972F0000}"/>
    <cellStyle name="Separador de milhares 3 12 2 2 7 2 2 2" xfId="54081" xr:uid="{00000000-0005-0000-0000-0000982F0000}"/>
    <cellStyle name="Separador de milhares 3 12 2 2 7 2 3" xfId="21986" xr:uid="{00000000-0005-0000-0000-0000992F0000}"/>
    <cellStyle name="Separador de milhares 3 12 2 2 7 2 3 2" xfId="48173" xr:uid="{00000000-0005-0000-0000-00009A2F0000}"/>
    <cellStyle name="Separador de milhares 3 12 2 2 7 2 4" xfId="16072" xr:uid="{00000000-0005-0000-0000-00009B2F0000}"/>
    <cellStyle name="Separador de milhares 3 12 2 2 7 2 4 2" xfId="42265" xr:uid="{00000000-0005-0000-0000-00009C2F0000}"/>
    <cellStyle name="Separador de milhares 3 12 2 2 7 2 5" xfId="35879" xr:uid="{00000000-0005-0000-0000-00009D2F0000}"/>
    <cellStyle name="Separador de milhares 3 12 2 2 7 3" xfId="24943" xr:uid="{00000000-0005-0000-0000-00009E2F0000}"/>
    <cellStyle name="Separador de milhares 3 12 2 2 7 3 2" xfId="51127" xr:uid="{00000000-0005-0000-0000-00009F2F0000}"/>
    <cellStyle name="Separador de milhares 3 12 2 2 7 4" xfId="19029" xr:uid="{00000000-0005-0000-0000-0000A02F0000}"/>
    <cellStyle name="Separador de milhares 3 12 2 2 7 4 2" xfId="45219" xr:uid="{00000000-0005-0000-0000-0000A12F0000}"/>
    <cellStyle name="Separador de milhares 3 12 2 2 7 5" xfId="12928" xr:uid="{00000000-0005-0000-0000-0000A22F0000}"/>
    <cellStyle name="Separador de milhares 3 12 2 2 7 5 2" xfId="39121" xr:uid="{00000000-0005-0000-0000-0000A32F0000}"/>
    <cellStyle name="Separador de milhares 3 12 2 2 7 6" xfId="32735" xr:uid="{00000000-0005-0000-0000-0000A42F0000}"/>
    <cellStyle name="Separador de milhares 3 12 2 2 8" xfId="8215" xr:uid="{00000000-0005-0000-0000-0000A52F0000}"/>
    <cellStyle name="Separador de milhares 3 12 2 2 8 2" xfId="26429" xr:uid="{00000000-0005-0000-0000-0000A62F0000}"/>
    <cellStyle name="Separador de milhares 3 12 2 2 8 2 2" xfId="52613" xr:uid="{00000000-0005-0000-0000-0000A72F0000}"/>
    <cellStyle name="Separador de milhares 3 12 2 2 8 3" xfId="20515" xr:uid="{00000000-0005-0000-0000-0000A82F0000}"/>
    <cellStyle name="Separador de milhares 3 12 2 2 8 3 2" xfId="46705" xr:uid="{00000000-0005-0000-0000-0000A92F0000}"/>
    <cellStyle name="Separador de milhares 3 12 2 2 8 4" xfId="14604" xr:uid="{00000000-0005-0000-0000-0000AA2F0000}"/>
    <cellStyle name="Separador de milhares 3 12 2 2 8 4 2" xfId="40797" xr:uid="{00000000-0005-0000-0000-0000AB2F0000}"/>
    <cellStyle name="Separador de milhares 3 12 2 2 8 5" xfId="34411" xr:uid="{00000000-0005-0000-0000-0000AC2F0000}"/>
    <cellStyle name="Separador de milhares 3 12 2 2 9" xfId="4838" xr:uid="{00000000-0005-0000-0000-0000AD2F0000}"/>
    <cellStyle name="Separador de milhares 3 12 2 2 9 2" xfId="23472" xr:uid="{00000000-0005-0000-0000-0000AE2F0000}"/>
    <cellStyle name="Separador de milhares 3 12 2 2 9 2 2" xfId="49659" xr:uid="{00000000-0005-0000-0000-0000AF2F0000}"/>
    <cellStyle name="Separador de milhares 3 12 2 2 9 3" xfId="31036" xr:uid="{00000000-0005-0000-0000-0000B02F0000}"/>
    <cellStyle name="Separador de milhares 3 12 2 3" xfId="935" xr:uid="{00000000-0005-0000-0000-0000B12F0000}"/>
    <cellStyle name="Separador de milhares 3 12 2 3 2" xfId="6690" xr:uid="{00000000-0005-0000-0000-0000B22F0000}"/>
    <cellStyle name="Separador de milhares 3 12 2 3 2 2" xfId="9837" xr:uid="{00000000-0005-0000-0000-0000B32F0000}"/>
    <cellStyle name="Separador de milhares 3 12 2 3 2 2 2" xfId="28051" xr:uid="{00000000-0005-0000-0000-0000B42F0000}"/>
    <cellStyle name="Separador de milhares 3 12 2 3 2 2 2 2" xfId="54232" xr:uid="{00000000-0005-0000-0000-0000B52F0000}"/>
    <cellStyle name="Separador de milhares 3 12 2 3 2 2 3" xfId="22137" xr:uid="{00000000-0005-0000-0000-0000B62F0000}"/>
    <cellStyle name="Separador de milhares 3 12 2 3 2 2 3 2" xfId="48324" xr:uid="{00000000-0005-0000-0000-0000B72F0000}"/>
    <cellStyle name="Separador de milhares 3 12 2 3 2 2 4" xfId="16223" xr:uid="{00000000-0005-0000-0000-0000B82F0000}"/>
    <cellStyle name="Separador de milhares 3 12 2 3 2 2 4 2" xfId="42416" xr:uid="{00000000-0005-0000-0000-0000B92F0000}"/>
    <cellStyle name="Separador de milhares 3 12 2 3 2 2 5" xfId="36030" xr:uid="{00000000-0005-0000-0000-0000BA2F0000}"/>
    <cellStyle name="Separador de milhares 3 12 2 3 2 3" xfId="25094" xr:uid="{00000000-0005-0000-0000-0000BB2F0000}"/>
    <cellStyle name="Separador de milhares 3 12 2 3 2 3 2" xfId="51278" xr:uid="{00000000-0005-0000-0000-0000BC2F0000}"/>
    <cellStyle name="Separador de milhares 3 12 2 3 2 4" xfId="19180" xr:uid="{00000000-0005-0000-0000-0000BD2F0000}"/>
    <cellStyle name="Separador de milhares 3 12 2 3 2 4 2" xfId="45370" xr:uid="{00000000-0005-0000-0000-0000BE2F0000}"/>
    <cellStyle name="Separador de milhares 3 12 2 3 2 5" xfId="13079" xr:uid="{00000000-0005-0000-0000-0000BF2F0000}"/>
    <cellStyle name="Separador de milhares 3 12 2 3 2 5 2" xfId="39272" xr:uid="{00000000-0005-0000-0000-0000C02F0000}"/>
    <cellStyle name="Separador de milhares 3 12 2 3 2 6" xfId="32886" xr:uid="{00000000-0005-0000-0000-0000C12F0000}"/>
    <cellStyle name="Separador de milhares 3 12 2 3 3" xfId="8369" xr:uid="{00000000-0005-0000-0000-0000C22F0000}"/>
    <cellStyle name="Separador de milhares 3 12 2 3 3 2" xfId="26583" xr:uid="{00000000-0005-0000-0000-0000C32F0000}"/>
    <cellStyle name="Separador de milhares 3 12 2 3 3 2 2" xfId="52764" xr:uid="{00000000-0005-0000-0000-0000C42F0000}"/>
    <cellStyle name="Separador de milhares 3 12 2 3 3 3" xfId="20669" xr:uid="{00000000-0005-0000-0000-0000C52F0000}"/>
    <cellStyle name="Separador de milhares 3 12 2 3 3 3 2" xfId="46856" xr:uid="{00000000-0005-0000-0000-0000C62F0000}"/>
    <cellStyle name="Separador de milhares 3 12 2 3 3 4" xfId="14755" xr:uid="{00000000-0005-0000-0000-0000C72F0000}"/>
    <cellStyle name="Separador de milhares 3 12 2 3 3 4 2" xfId="40948" xr:uid="{00000000-0005-0000-0000-0000C82F0000}"/>
    <cellStyle name="Separador de milhares 3 12 2 3 3 5" xfId="34562" xr:uid="{00000000-0005-0000-0000-0000C92F0000}"/>
    <cellStyle name="Separador de milhares 3 12 2 3 4" xfId="4991" xr:uid="{00000000-0005-0000-0000-0000CA2F0000}"/>
    <cellStyle name="Separador de milhares 3 12 2 3 4 2" xfId="23626" xr:uid="{00000000-0005-0000-0000-0000CB2F0000}"/>
    <cellStyle name="Separador de milhares 3 12 2 3 4 2 2" xfId="49810" xr:uid="{00000000-0005-0000-0000-0000CC2F0000}"/>
    <cellStyle name="Separador de milhares 3 12 2 3 4 3" xfId="31187" xr:uid="{00000000-0005-0000-0000-0000CD2F0000}"/>
    <cellStyle name="Separador de milhares 3 12 2 3 5" xfId="17712" xr:uid="{00000000-0005-0000-0000-0000CE2F0000}"/>
    <cellStyle name="Separador de milhares 3 12 2 3 5 2" xfId="43902" xr:uid="{00000000-0005-0000-0000-0000CF2F0000}"/>
    <cellStyle name="Separador de milhares 3 12 2 3 6" xfId="11378" xr:uid="{00000000-0005-0000-0000-0000D02F0000}"/>
    <cellStyle name="Separador de milhares 3 12 2 3 6 2" xfId="37571" xr:uid="{00000000-0005-0000-0000-0000D12F0000}"/>
    <cellStyle name="Separador de milhares 3 12 2 3 7" xfId="29489" xr:uid="{00000000-0005-0000-0000-0000D22F0000}"/>
    <cellStyle name="Separador de milhares 3 12 2 4" xfId="1286" xr:uid="{00000000-0005-0000-0000-0000D32F0000}"/>
    <cellStyle name="Separador de milhares 3 12 2 4 2" xfId="6788" xr:uid="{00000000-0005-0000-0000-0000D42F0000}"/>
    <cellStyle name="Separador de milhares 3 12 2 4 2 2" xfId="9935" xr:uid="{00000000-0005-0000-0000-0000D52F0000}"/>
    <cellStyle name="Separador de milhares 3 12 2 4 2 2 2" xfId="28149" xr:uid="{00000000-0005-0000-0000-0000D62F0000}"/>
    <cellStyle name="Separador de milhares 3 12 2 4 2 2 2 2" xfId="54330" xr:uid="{00000000-0005-0000-0000-0000D72F0000}"/>
    <cellStyle name="Separador de milhares 3 12 2 4 2 2 3" xfId="22235" xr:uid="{00000000-0005-0000-0000-0000D82F0000}"/>
    <cellStyle name="Separador de milhares 3 12 2 4 2 2 3 2" xfId="48422" xr:uid="{00000000-0005-0000-0000-0000D92F0000}"/>
    <cellStyle name="Separador de milhares 3 12 2 4 2 2 4" xfId="16321" xr:uid="{00000000-0005-0000-0000-0000DA2F0000}"/>
    <cellStyle name="Separador de milhares 3 12 2 4 2 2 4 2" xfId="42514" xr:uid="{00000000-0005-0000-0000-0000DB2F0000}"/>
    <cellStyle name="Separador de milhares 3 12 2 4 2 2 5" xfId="36128" xr:uid="{00000000-0005-0000-0000-0000DC2F0000}"/>
    <cellStyle name="Separador de milhares 3 12 2 4 2 3" xfId="25192" xr:uid="{00000000-0005-0000-0000-0000DD2F0000}"/>
    <cellStyle name="Separador de milhares 3 12 2 4 2 3 2" xfId="51376" xr:uid="{00000000-0005-0000-0000-0000DE2F0000}"/>
    <cellStyle name="Separador de milhares 3 12 2 4 2 4" xfId="19278" xr:uid="{00000000-0005-0000-0000-0000DF2F0000}"/>
    <cellStyle name="Separador de milhares 3 12 2 4 2 4 2" xfId="45468" xr:uid="{00000000-0005-0000-0000-0000E02F0000}"/>
    <cellStyle name="Separador de milhares 3 12 2 4 2 5" xfId="13177" xr:uid="{00000000-0005-0000-0000-0000E12F0000}"/>
    <cellStyle name="Separador de milhares 3 12 2 4 2 5 2" xfId="39370" xr:uid="{00000000-0005-0000-0000-0000E22F0000}"/>
    <cellStyle name="Separador de milhares 3 12 2 4 2 6" xfId="32984" xr:uid="{00000000-0005-0000-0000-0000E32F0000}"/>
    <cellStyle name="Separador de milhares 3 12 2 4 3" xfId="8467" xr:uid="{00000000-0005-0000-0000-0000E42F0000}"/>
    <cellStyle name="Separador de milhares 3 12 2 4 3 2" xfId="26681" xr:uid="{00000000-0005-0000-0000-0000E52F0000}"/>
    <cellStyle name="Separador de milhares 3 12 2 4 3 2 2" xfId="52862" xr:uid="{00000000-0005-0000-0000-0000E62F0000}"/>
    <cellStyle name="Separador de milhares 3 12 2 4 3 3" xfId="20767" xr:uid="{00000000-0005-0000-0000-0000E72F0000}"/>
    <cellStyle name="Separador de milhares 3 12 2 4 3 3 2" xfId="46954" xr:uid="{00000000-0005-0000-0000-0000E82F0000}"/>
    <cellStyle name="Separador de milhares 3 12 2 4 3 4" xfId="14853" xr:uid="{00000000-0005-0000-0000-0000E92F0000}"/>
    <cellStyle name="Separador de milhares 3 12 2 4 3 4 2" xfId="41046" xr:uid="{00000000-0005-0000-0000-0000EA2F0000}"/>
    <cellStyle name="Separador de milhares 3 12 2 4 3 5" xfId="34660" xr:uid="{00000000-0005-0000-0000-0000EB2F0000}"/>
    <cellStyle name="Separador de milhares 3 12 2 4 4" xfId="5089" xr:uid="{00000000-0005-0000-0000-0000EC2F0000}"/>
    <cellStyle name="Separador de milhares 3 12 2 4 4 2" xfId="23724" xr:uid="{00000000-0005-0000-0000-0000ED2F0000}"/>
    <cellStyle name="Separador de milhares 3 12 2 4 4 2 2" xfId="49908" xr:uid="{00000000-0005-0000-0000-0000EE2F0000}"/>
    <cellStyle name="Separador de milhares 3 12 2 4 4 3" xfId="31285" xr:uid="{00000000-0005-0000-0000-0000EF2F0000}"/>
    <cellStyle name="Separador de milhares 3 12 2 4 5" xfId="17810" xr:uid="{00000000-0005-0000-0000-0000F02F0000}"/>
    <cellStyle name="Separador de milhares 3 12 2 4 5 2" xfId="44000" xr:uid="{00000000-0005-0000-0000-0000F12F0000}"/>
    <cellStyle name="Separador de milhares 3 12 2 4 6" xfId="11476" xr:uid="{00000000-0005-0000-0000-0000F22F0000}"/>
    <cellStyle name="Separador de milhares 3 12 2 4 6 2" xfId="37669" xr:uid="{00000000-0005-0000-0000-0000F32F0000}"/>
    <cellStyle name="Separador de milhares 3 12 2 4 7" xfId="29587" xr:uid="{00000000-0005-0000-0000-0000F42F0000}"/>
    <cellStyle name="Separador de milhares 3 12 2 5" xfId="1721" xr:uid="{00000000-0005-0000-0000-0000F52F0000}"/>
    <cellStyle name="Separador de milhares 3 12 2 5 2" xfId="6907" xr:uid="{00000000-0005-0000-0000-0000F62F0000}"/>
    <cellStyle name="Separador de milhares 3 12 2 5 2 2" xfId="10054" xr:uid="{00000000-0005-0000-0000-0000F72F0000}"/>
    <cellStyle name="Separador de milhares 3 12 2 5 2 2 2" xfId="28268" xr:uid="{00000000-0005-0000-0000-0000F82F0000}"/>
    <cellStyle name="Separador de milhares 3 12 2 5 2 2 2 2" xfId="54449" xr:uid="{00000000-0005-0000-0000-0000F92F0000}"/>
    <cellStyle name="Separador de milhares 3 12 2 5 2 2 3" xfId="22354" xr:uid="{00000000-0005-0000-0000-0000FA2F0000}"/>
    <cellStyle name="Separador de milhares 3 12 2 5 2 2 3 2" xfId="48541" xr:uid="{00000000-0005-0000-0000-0000FB2F0000}"/>
    <cellStyle name="Separador de milhares 3 12 2 5 2 2 4" xfId="16440" xr:uid="{00000000-0005-0000-0000-0000FC2F0000}"/>
    <cellStyle name="Separador de milhares 3 12 2 5 2 2 4 2" xfId="42633" xr:uid="{00000000-0005-0000-0000-0000FD2F0000}"/>
    <cellStyle name="Separador de milhares 3 12 2 5 2 2 5" xfId="36247" xr:uid="{00000000-0005-0000-0000-0000FE2F0000}"/>
    <cellStyle name="Separador de milhares 3 12 2 5 2 3" xfId="25311" xr:uid="{00000000-0005-0000-0000-0000FF2F0000}"/>
    <cellStyle name="Separador de milhares 3 12 2 5 2 3 2" xfId="51495" xr:uid="{00000000-0005-0000-0000-000000300000}"/>
    <cellStyle name="Separador de milhares 3 12 2 5 2 4" xfId="19397" xr:uid="{00000000-0005-0000-0000-000001300000}"/>
    <cellStyle name="Separador de milhares 3 12 2 5 2 4 2" xfId="45587" xr:uid="{00000000-0005-0000-0000-000002300000}"/>
    <cellStyle name="Separador de milhares 3 12 2 5 2 5" xfId="13296" xr:uid="{00000000-0005-0000-0000-000003300000}"/>
    <cellStyle name="Separador de milhares 3 12 2 5 2 5 2" xfId="39489" xr:uid="{00000000-0005-0000-0000-000004300000}"/>
    <cellStyle name="Separador de milhares 3 12 2 5 2 6" xfId="33103" xr:uid="{00000000-0005-0000-0000-000005300000}"/>
    <cellStyle name="Separador de milhares 3 12 2 5 3" xfId="8586" xr:uid="{00000000-0005-0000-0000-000006300000}"/>
    <cellStyle name="Separador de milhares 3 12 2 5 3 2" xfId="26800" xr:uid="{00000000-0005-0000-0000-000007300000}"/>
    <cellStyle name="Separador de milhares 3 12 2 5 3 2 2" xfId="52981" xr:uid="{00000000-0005-0000-0000-000008300000}"/>
    <cellStyle name="Separador de milhares 3 12 2 5 3 3" xfId="20886" xr:uid="{00000000-0005-0000-0000-000009300000}"/>
    <cellStyle name="Separador de milhares 3 12 2 5 3 3 2" xfId="47073" xr:uid="{00000000-0005-0000-0000-00000A300000}"/>
    <cellStyle name="Separador de milhares 3 12 2 5 3 4" xfId="14972" xr:uid="{00000000-0005-0000-0000-00000B300000}"/>
    <cellStyle name="Separador de milhares 3 12 2 5 3 4 2" xfId="41165" xr:uid="{00000000-0005-0000-0000-00000C300000}"/>
    <cellStyle name="Separador de milhares 3 12 2 5 3 5" xfId="34779" xr:uid="{00000000-0005-0000-0000-00000D300000}"/>
    <cellStyle name="Separador de milhares 3 12 2 5 4" xfId="5208" xr:uid="{00000000-0005-0000-0000-00000E300000}"/>
    <cellStyle name="Separador de milhares 3 12 2 5 4 2" xfId="23843" xr:uid="{00000000-0005-0000-0000-00000F300000}"/>
    <cellStyle name="Separador de milhares 3 12 2 5 4 2 2" xfId="50027" xr:uid="{00000000-0005-0000-0000-000010300000}"/>
    <cellStyle name="Separador de milhares 3 12 2 5 4 3" xfId="31404" xr:uid="{00000000-0005-0000-0000-000011300000}"/>
    <cellStyle name="Separador de milhares 3 12 2 5 5" xfId="17929" xr:uid="{00000000-0005-0000-0000-000012300000}"/>
    <cellStyle name="Separador de milhares 3 12 2 5 5 2" xfId="44119" xr:uid="{00000000-0005-0000-0000-000013300000}"/>
    <cellStyle name="Separador de milhares 3 12 2 5 6" xfId="11595" xr:uid="{00000000-0005-0000-0000-000014300000}"/>
    <cellStyle name="Separador de milhares 3 12 2 5 6 2" xfId="37788" xr:uid="{00000000-0005-0000-0000-000015300000}"/>
    <cellStyle name="Separador de milhares 3 12 2 5 7" xfId="29706" xr:uid="{00000000-0005-0000-0000-000016300000}"/>
    <cellStyle name="Separador de milhares 3 12 2 6" xfId="2251" xr:uid="{00000000-0005-0000-0000-000017300000}"/>
    <cellStyle name="Separador de milhares 3 12 2 6 2" xfId="7057" xr:uid="{00000000-0005-0000-0000-000018300000}"/>
    <cellStyle name="Separador de milhares 3 12 2 6 2 2" xfId="10201" xr:uid="{00000000-0005-0000-0000-000019300000}"/>
    <cellStyle name="Separador de milhares 3 12 2 6 2 2 2" xfId="28415" xr:uid="{00000000-0005-0000-0000-00001A300000}"/>
    <cellStyle name="Separador de milhares 3 12 2 6 2 2 2 2" xfId="54596" xr:uid="{00000000-0005-0000-0000-00001B300000}"/>
    <cellStyle name="Separador de milhares 3 12 2 6 2 2 3" xfId="22501" xr:uid="{00000000-0005-0000-0000-00001C300000}"/>
    <cellStyle name="Separador de milhares 3 12 2 6 2 2 3 2" xfId="48688" xr:uid="{00000000-0005-0000-0000-00001D300000}"/>
    <cellStyle name="Separador de milhares 3 12 2 6 2 2 4" xfId="16587" xr:uid="{00000000-0005-0000-0000-00001E300000}"/>
    <cellStyle name="Separador de milhares 3 12 2 6 2 2 4 2" xfId="42780" xr:uid="{00000000-0005-0000-0000-00001F300000}"/>
    <cellStyle name="Separador de milhares 3 12 2 6 2 2 5" xfId="36394" xr:uid="{00000000-0005-0000-0000-000020300000}"/>
    <cellStyle name="Separador de milhares 3 12 2 6 2 3" xfId="25458" xr:uid="{00000000-0005-0000-0000-000021300000}"/>
    <cellStyle name="Separador de milhares 3 12 2 6 2 3 2" xfId="51642" xr:uid="{00000000-0005-0000-0000-000022300000}"/>
    <cellStyle name="Separador de milhares 3 12 2 6 2 4" xfId="19544" xr:uid="{00000000-0005-0000-0000-000023300000}"/>
    <cellStyle name="Separador de milhares 3 12 2 6 2 4 2" xfId="45734" xr:uid="{00000000-0005-0000-0000-000024300000}"/>
    <cellStyle name="Separador de milhares 3 12 2 6 2 5" xfId="13446" xr:uid="{00000000-0005-0000-0000-000025300000}"/>
    <cellStyle name="Separador de milhares 3 12 2 6 2 5 2" xfId="39639" xr:uid="{00000000-0005-0000-0000-000026300000}"/>
    <cellStyle name="Separador de milhares 3 12 2 6 2 6" xfId="33253" xr:uid="{00000000-0005-0000-0000-000027300000}"/>
    <cellStyle name="Separador de milhares 3 12 2 6 3" xfId="8733" xr:uid="{00000000-0005-0000-0000-000028300000}"/>
    <cellStyle name="Separador de milhares 3 12 2 6 3 2" xfId="26947" xr:uid="{00000000-0005-0000-0000-000029300000}"/>
    <cellStyle name="Separador de milhares 3 12 2 6 3 2 2" xfId="53128" xr:uid="{00000000-0005-0000-0000-00002A300000}"/>
    <cellStyle name="Separador de milhares 3 12 2 6 3 3" xfId="21033" xr:uid="{00000000-0005-0000-0000-00002B300000}"/>
    <cellStyle name="Separador de milhares 3 12 2 6 3 3 2" xfId="47220" xr:uid="{00000000-0005-0000-0000-00002C300000}"/>
    <cellStyle name="Separador de milhares 3 12 2 6 3 4" xfId="15119" xr:uid="{00000000-0005-0000-0000-00002D300000}"/>
    <cellStyle name="Separador de milhares 3 12 2 6 3 4 2" xfId="41312" xr:uid="{00000000-0005-0000-0000-00002E300000}"/>
    <cellStyle name="Separador de milhares 3 12 2 6 3 5" xfId="34926" xr:uid="{00000000-0005-0000-0000-00002F300000}"/>
    <cellStyle name="Separador de milhares 3 12 2 6 4" xfId="5358" xr:uid="{00000000-0005-0000-0000-000030300000}"/>
    <cellStyle name="Separador de milhares 3 12 2 6 4 2" xfId="23990" xr:uid="{00000000-0005-0000-0000-000031300000}"/>
    <cellStyle name="Separador de milhares 3 12 2 6 4 2 2" xfId="50174" xr:uid="{00000000-0005-0000-0000-000032300000}"/>
    <cellStyle name="Separador de milhares 3 12 2 6 4 3" xfId="31554" xr:uid="{00000000-0005-0000-0000-000033300000}"/>
    <cellStyle name="Separador de milhares 3 12 2 6 5" xfId="18076" xr:uid="{00000000-0005-0000-0000-000034300000}"/>
    <cellStyle name="Separador de milhares 3 12 2 6 5 2" xfId="44266" xr:uid="{00000000-0005-0000-0000-000035300000}"/>
    <cellStyle name="Separador de milhares 3 12 2 6 6" xfId="11745" xr:uid="{00000000-0005-0000-0000-000036300000}"/>
    <cellStyle name="Separador de milhares 3 12 2 6 6 2" xfId="37938" xr:uid="{00000000-0005-0000-0000-000037300000}"/>
    <cellStyle name="Separador de milhares 3 12 2 6 7" xfId="29856" xr:uid="{00000000-0005-0000-0000-000038300000}"/>
    <cellStyle name="Separador de milhares 3 12 2 7" xfId="2778" xr:uid="{00000000-0005-0000-0000-000039300000}"/>
    <cellStyle name="Separador de milhares 3 12 2 7 2" xfId="7204" xr:uid="{00000000-0005-0000-0000-00003A300000}"/>
    <cellStyle name="Separador de milhares 3 12 2 7 2 2" xfId="10348" xr:uid="{00000000-0005-0000-0000-00003B300000}"/>
    <cellStyle name="Separador de milhares 3 12 2 7 2 2 2" xfId="28562" xr:uid="{00000000-0005-0000-0000-00003C300000}"/>
    <cellStyle name="Separador de milhares 3 12 2 7 2 2 2 2" xfId="54743" xr:uid="{00000000-0005-0000-0000-00003D300000}"/>
    <cellStyle name="Separador de milhares 3 12 2 7 2 2 3" xfId="22648" xr:uid="{00000000-0005-0000-0000-00003E300000}"/>
    <cellStyle name="Separador de milhares 3 12 2 7 2 2 3 2" xfId="48835" xr:uid="{00000000-0005-0000-0000-00003F300000}"/>
    <cellStyle name="Separador de milhares 3 12 2 7 2 2 4" xfId="16734" xr:uid="{00000000-0005-0000-0000-000040300000}"/>
    <cellStyle name="Separador de milhares 3 12 2 7 2 2 4 2" xfId="42927" xr:uid="{00000000-0005-0000-0000-000041300000}"/>
    <cellStyle name="Separador de milhares 3 12 2 7 2 2 5" xfId="36541" xr:uid="{00000000-0005-0000-0000-000042300000}"/>
    <cellStyle name="Separador de milhares 3 12 2 7 2 3" xfId="25605" xr:uid="{00000000-0005-0000-0000-000043300000}"/>
    <cellStyle name="Separador de milhares 3 12 2 7 2 3 2" xfId="51789" xr:uid="{00000000-0005-0000-0000-000044300000}"/>
    <cellStyle name="Separador de milhares 3 12 2 7 2 4" xfId="19691" xr:uid="{00000000-0005-0000-0000-000045300000}"/>
    <cellStyle name="Separador de milhares 3 12 2 7 2 4 2" xfId="45881" xr:uid="{00000000-0005-0000-0000-000046300000}"/>
    <cellStyle name="Separador de milhares 3 12 2 7 2 5" xfId="13593" xr:uid="{00000000-0005-0000-0000-000047300000}"/>
    <cellStyle name="Separador de milhares 3 12 2 7 2 5 2" xfId="39786" xr:uid="{00000000-0005-0000-0000-000048300000}"/>
    <cellStyle name="Separador de milhares 3 12 2 7 2 6" xfId="33400" xr:uid="{00000000-0005-0000-0000-000049300000}"/>
    <cellStyle name="Separador de milhares 3 12 2 7 3" xfId="8880" xr:uid="{00000000-0005-0000-0000-00004A300000}"/>
    <cellStyle name="Separador de milhares 3 12 2 7 3 2" xfId="27094" xr:uid="{00000000-0005-0000-0000-00004B300000}"/>
    <cellStyle name="Separador de milhares 3 12 2 7 3 2 2" xfId="53275" xr:uid="{00000000-0005-0000-0000-00004C300000}"/>
    <cellStyle name="Separador de milhares 3 12 2 7 3 3" xfId="21180" xr:uid="{00000000-0005-0000-0000-00004D300000}"/>
    <cellStyle name="Separador de milhares 3 12 2 7 3 3 2" xfId="47367" xr:uid="{00000000-0005-0000-0000-00004E300000}"/>
    <cellStyle name="Separador de milhares 3 12 2 7 3 4" xfId="15266" xr:uid="{00000000-0005-0000-0000-00004F300000}"/>
    <cellStyle name="Separador de milhares 3 12 2 7 3 4 2" xfId="41459" xr:uid="{00000000-0005-0000-0000-000050300000}"/>
    <cellStyle name="Separador de milhares 3 12 2 7 3 5" xfId="35073" xr:uid="{00000000-0005-0000-0000-000051300000}"/>
    <cellStyle name="Separador de milhares 3 12 2 7 4" xfId="5505" xr:uid="{00000000-0005-0000-0000-000052300000}"/>
    <cellStyle name="Separador de milhares 3 12 2 7 4 2" xfId="24137" xr:uid="{00000000-0005-0000-0000-000053300000}"/>
    <cellStyle name="Separador de milhares 3 12 2 7 4 2 2" xfId="50321" xr:uid="{00000000-0005-0000-0000-000054300000}"/>
    <cellStyle name="Separador de milhares 3 12 2 7 4 3" xfId="31701" xr:uid="{00000000-0005-0000-0000-000055300000}"/>
    <cellStyle name="Separador de milhares 3 12 2 7 5" xfId="18223" xr:uid="{00000000-0005-0000-0000-000056300000}"/>
    <cellStyle name="Separador de milhares 3 12 2 7 5 2" xfId="44413" xr:uid="{00000000-0005-0000-0000-000057300000}"/>
    <cellStyle name="Separador de milhares 3 12 2 7 6" xfId="11892" xr:uid="{00000000-0005-0000-0000-000058300000}"/>
    <cellStyle name="Separador de milhares 3 12 2 7 6 2" xfId="38085" xr:uid="{00000000-0005-0000-0000-000059300000}"/>
    <cellStyle name="Separador de milhares 3 12 2 7 7" xfId="30003" xr:uid="{00000000-0005-0000-0000-00005A300000}"/>
    <cellStyle name="Separador de milhares 3 12 2 8" xfId="3305" xr:uid="{00000000-0005-0000-0000-00005B300000}"/>
    <cellStyle name="Separador de milhares 3 12 2 8 2" xfId="7351" xr:uid="{00000000-0005-0000-0000-00005C300000}"/>
    <cellStyle name="Separador de milhares 3 12 2 8 2 2" xfId="10495" xr:uid="{00000000-0005-0000-0000-00005D300000}"/>
    <cellStyle name="Separador de milhares 3 12 2 8 2 2 2" xfId="28709" xr:uid="{00000000-0005-0000-0000-00005E300000}"/>
    <cellStyle name="Separador de milhares 3 12 2 8 2 2 2 2" xfId="54890" xr:uid="{00000000-0005-0000-0000-00005F300000}"/>
    <cellStyle name="Separador de milhares 3 12 2 8 2 2 3" xfId="22795" xr:uid="{00000000-0005-0000-0000-000060300000}"/>
    <cellStyle name="Separador de milhares 3 12 2 8 2 2 3 2" xfId="48982" xr:uid="{00000000-0005-0000-0000-000061300000}"/>
    <cellStyle name="Separador de milhares 3 12 2 8 2 2 4" xfId="16881" xr:uid="{00000000-0005-0000-0000-000062300000}"/>
    <cellStyle name="Separador de milhares 3 12 2 8 2 2 4 2" xfId="43074" xr:uid="{00000000-0005-0000-0000-000063300000}"/>
    <cellStyle name="Separador de milhares 3 12 2 8 2 2 5" xfId="36688" xr:uid="{00000000-0005-0000-0000-000064300000}"/>
    <cellStyle name="Separador de milhares 3 12 2 8 2 3" xfId="25752" xr:uid="{00000000-0005-0000-0000-000065300000}"/>
    <cellStyle name="Separador de milhares 3 12 2 8 2 3 2" xfId="51936" xr:uid="{00000000-0005-0000-0000-000066300000}"/>
    <cellStyle name="Separador de milhares 3 12 2 8 2 4" xfId="19838" xr:uid="{00000000-0005-0000-0000-000067300000}"/>
    <cellStyle name="Separador de milhares 3 12 2 8 2 4 2" xfId="46028" xr:uid="{00000000-0005-0000-0000-000068300000}"/>
    <cellStyle name="Separador de milhares 3 12 2 8 2 5" xfId="13740" xr:uid="{00000000-0005-0000-0000-000069300000}"/>
    <cellStyle name="Separador de milhares 3 12 2 8 2 5 2" xfId="39933" xr:uid="{00000000-0005-0000-0000-00006A300000}"/>
    <cellStyle name="Separador de milhares 3 12 2 8 2 6" xfId="33547" xr:uid="{00000000-0005-0000-0000-00006B300000}"/>
    <cellStyle name="Separador de milhares 3 12 2 8 3" xfId="9027" xr:uid="{00000000-0005-0000-0000-00006C300000}"/>
    <cellStyle name="Separador de milhares 3 12 2 8 3 2" xfId="27241" xr:uid="{00000000-0005-0000-0000-00006D300000}"/>
    <cellStyle name="Separador de milhares 3 12 2 8 3 2 2" xfId="53422" xr:uid="{00000000-0005-0000-0000-00006E300000}"/>
    <cellStyle name="Separador de milhares 3 12 2 8 3 3" xfId="21327" xr:uid="{00000000-0005-0000-0000-00006F300000}"/>
    <cellStyle name="Separador de milhares 3 12 2 8 3 3 2" xfId="47514" xr:uid="{00000000-0005-0000-0000-000070300000}"/>
    <cellStyle name="Separador de milhares 3 12 2 8 3 4" xfId="15413" xr:uid="{00000000-0005-0000-0000-000071300000}"/>
    <cellStyle name="Separador de milhares 3 12 2 8 3 4 2" xfId="41606" xr:uid="{00000000-0005-0000-0000-000072300000}"/>
    <cellStyle name="Separador de milhares 3 12 2 8 3 5" xfId="35220" xr:uid="{00000000-0005-0000-0000-000073300000}"/>
    <cellStyle name="Separador de milhares 3 12 2 8 4" xfId="5652" xr:uid="{00000000-0005-0000-0000-000074300000}"/>
    <cellStyle name="Separador de milhares 3 12 2 8 4 2" xfId="24284" xr:uid="{00000000-0005-0000-0000-000075300000}"/>
    <cellStyle name="Separador de milhares 3 12 2 8 4 2 2" xfId="50468" xr:uid="{00000000-0005-0000-0000-000076300000}"/>
    <cellStyle name="Separador de milhares 3 12 2 8 4 3" xfId="31848" xr:uid="{00000000-0005-0000-0000-000077300000}"/>
    <cellStyle name="Separador de milhares 3 12 2 8 5" xfId="18370" xr:uid="{00000000-0005-0000-0000-000078300000}"/>
    <cellStyle name="Separador de milhares 3 12 2 8 5 2" xfId="44560" xr:uid="{00000000-0005-0000-0000-000079300000}"/>
    <cellStyle name="Separador de milhares 3 12 2 8 6" xfId="12039" xr:uid="{00000000-0005-0000-0000-00007A300000}"/>
    <cellStyle name="Separador de milhares 3 12 2 8 6 2" xfId="38232" xr:uid="{00000000-0005-0000-0000-00007B300000}"/>
    <cellStyle name="Separador de milhares 3 12 2 8 7" xfId="30150" xr:uid="{00000000-0005-0000-0000-00007C300000}"/>
    <cellStyle name="Separador de milhares 3 12 2 9" xfId="3832" xr:uid="{00000000-0005-0000-0000-00007D300000}"/>
    <cellStyle name="Separador de milhares 3 12 2 9 2" xfId="7498" xr:uid="{00000000-0005-0000-0000-00007E300000}"/>
    <cellStyle name="Separador de milhares 3 12 2 9 2 2" xfId="10642" xr:uid="{00000000-0005-0000-0000-00007F300000}"/>
    <cellStyle name="Separador de milhares 3 12 2 9 2 2 2" xfId="28856" xr:uid="{00000000-0005-0000-0000-000080300000}"/>
    <cellStyle name="Separador de milhares 3 12 2 9 2 2 2 2" xfId="55037" xr:uid="{00000000-0005-0000-0000-000081300000}"/>
    <cellStyle name="Separador de milhares 3 12 2 9 2 2 3" xfId="22942" xr:uid="{00000000-0005-0000-0000-000082300000}"/>
    <cellStyle name="Separador de milhares 3 12 2 9 2 2 3 2" xfId="49129" xr:uid="{00000000-0005-0000-0000-000083300000}"/>
    <cellStyle name="Separador de milhares 3 12 2 9 2 2 4" xfId="17028" xr:uid="{00000000-0005-0000-0000-000084300000}"/>
    <cellStyle name="Separador de milhares 3 12 2 9 2 2 4 2" xfId="43221" xr:uid="{00000000-0005-0000-0000-000085300000}"/>
    <cellStyle name="Separador de milhares 3 12 2 9 2 2 5" xfId="36835" xr:uid="{00000000-0005-0000-0000-000086300000}"/>
    <cellStyle name="Separador de milhares 3 12 2 9 2 3" xfId="25899" xr:uid="{00000000-0005-0000-0000-000087300000}"/>
    <cellStyle name="Separador de milhares 3 12 2 9 2 3 2" xfId="52083" xr:uid="{00000000-0005-0000-0000-000088300000}"/>
    <cellStyle name="Separador de milhares 3 12 2 9 2 4" xfId="19985" xr:uid="{00000000-0005-0000-0000-000089300000}"/>
    <cellStyle name="Separador de milhares 3 12 2 9 2 4 2" xfId="46175" xr:uid="{00000000-0005-0000-0000-00008A300000}"/>
    <cellStyle name="Separador de milhares 3 12 2 9 2 5" xfId="13887" xr:uid="{00000000-0005-0000-0000-00008B300000}"/>
    <cellStyle name="Separador de milhares 3 12 2 9 2 5 2" xfId="40080" xr:uid="{00000000-0005-0000-0000-00008C300000}"/>
    <cellStyle name="Separador de milhares 3 12 2 9 2 6" xfId="33694" xr:uid="{00000000-0005-0000-0000-00008D300000}"/>
    <cellStyle name="Separador de milhares 3 12 2 9 3" xfId="9174" xr:uid="{00000000-0005-0000-0000-00008E300000}"/>
    <cellStyle name="Separador de milhares 3 12 2 9 3 2" xfId="27388" xr:uid="{00000000-0005-0000-0000-00008F300000}"/>
    <cellStyle name="Separador de milhares 3 12 2 9 3 2 2" xfId="53569" xr:uid="{00000000-0005-0000-0000-000090300000}"/>
    <cellStyle name="Separador de milhares 3 12 2 9 3 3" xfId="21474" xr:uid="{00000000-0005-0000-0000-000091300000}"/>
    <cellStyle name="Separador de milhares 3 12 2 9 3 3 2" xfId="47661" xr:uid="{00000000-0005-0000-0000-000092300000}"/>
    <cellStyle name="Separador de milhares 3 12 2 9 3 4" xfId="15560" xr:uid="{00000000-0005-0000-0000-000093300000}"/>
    <cellStyle name="Separador de milhares 3 12 2 9 3 4 2" xfId="41753" xr:uid="{00000000-0005-0000-0000-000094300000}"/>
    <cellStyle name="Separador de milhares 3 12 2 9 3 5" xfId="35367" xr:uid="{00000000-0005-0000-0000-000095300000}"/>
    <cellStyle name="Separador de milhares 3 12 2 9 4" xfId="5799" xr:uid="{00000000-0005-0000-0000-000096300000}"/>
    <cellStyle name="Separador de milhares 3 12 2 9 4 2" xfId="24431" xr:uid="{00000000-0005-0000-0000-000097300000}"/>
    <cellStyle name="Separador de milhares 3 12 2 9 4 2 2" xfId="50615" xr:uid="{00000000-0005-0000-0000-000098300000}"/>
    <cellStyle name="Separador de milhares 3 12 2 9 4 3" xfId="31995" xr:uid="{00000000-0005-0000-0000-000099300000}"/>
    <cellStyle name="Separador de milhares 3 12 2 9 5" xfId="18517" xr:uid="{00000000-0005-0000-0000-00009A300000}"/>
    <cellStyle name="Separador de milhares 3 12 2 9 5 2" xfId="44707" xr:uid="{00000000-0005-0000-0000-00009B300000}"/>
    <cellStyle name="Separador de milhares 3 12 2 9 6" xfId="12186" xr:uid="{00000000-0005-0000-0000-00009C300000}"/>
    <cellStyle name="Separador de milhares 3 12 2 9 6 2" xfId="38379" xr:uid="{00000000-0005-0000-0000-00009D300000}"/>
    <cellStyle name="Separador de milhares 3 12 2 9 7" xfId="30297" xr:uid="{00000000-0005-0000-0000-00009E300000}"/>
    <cellStyle name="Separador de milhares 3 12 3" xfId="284" xr:uid="{00000000-0005-0000-0000-00009F300000}"/>
    <cellStyle name="Separador de milhares 3 12 3 10" xfId="6489" xr:uid="{00000000-0005-0000-0000-0000A0300000}"/>
    <cellStyle name="Separador de milhares 3 12 3 10 2" xfId="9640" xr:uid="{00000000-0005-0000-0000-0000A1300000}"/>
    <cellStyle name="Separador de milhares 3 12 3 10 2 2" xfId="27854" xr:uid="{00000000-0005-0000-0000-0000A2300000}"/>
    <cellStyle name="Separador de milhares 3 12 3 10 2 2 2" xfId="54035" xr:uid="{00000000-0005-0000-0000-0000A3300000}"/>
    <cellStyle name="Separador de milhares 3 12 3 10 2 3" xfId="21940" xr:uid="{00000000-0005-0000-0000-0000A4300000}"/>
    <cellStyle name="Separador de milhares 3 12 3 10 2 3 2" xfId="48127" xr:uid="{00000000-0005-0000-0000-0000A5300000}"/>
    <cellStyle name="Separador de milhares 3 12 3 10 2 4" xfId="16026" xr:uid="{00000000-0005-0000-0000-0000A6300000}"/>
    <cellStyle name="Separador de milhares 3 12 3 10 2 4 2" xfId="42219" xr:uid="{00000000-0005-0000-0000-0000A7300000}"/>
    <cellStyle name="Separador de milhares 3 12 3 10 2 5" xfId="35833" xr:uid="{00000000-0005-0000-0000-0000A8300000}"/>
    <cellStyle name="Separador de milhares 3 12 3 10 3" xfId="24897" xr:uid="{00000000-0005-0000-0000-0000A9300000}"/>
    <cellStyle name="Separador de milhares 3 12 3 10 3 2" xfId="51081" xr:uid="{00000000-0005-0000-0000-0000AA300000}"/>
    <cellStyle name="Separador de milhares 3 12 3 10 4" xfId="18983" xr:uid="{00000000-0005-0000-0000-0000AB300000}"/>
    <cellStyle name="Separador de milhares 3 12 3 10 4 2" xfId="45173" xr:uid="{00000000-0005-0000-0000-0000AC300000}"/>
    <cellStyle name="Separador de milhares 3 12 3 10 5" xfId="12878" xr:uid="{00000000-0005-0000-0000-0000AD300000}"/>
    <cellStyle name="Separador de milhares 3 12 3 10 5 2" xfId="39071" xr:uid="{00000000-0005-0000-0000-0000AE300000}"/>
    <cellStyle name="Separador de milhares 3 12 3 10 6" xfId="32685" xr:uid="{00000000-0005-0000-0000-0000AF300000}"/>
    <cellStyle name="Separador de milhares 3 12 3 11" xfId="8169" xr:uid="{00000000-0005-0000-0000-0000B0300000}"/>
    <cellStyle name="Separador de milhares 3 12 3 11 2" xfId="26383" xr:uid="{00000000-0005-0000-0000-0000B1300000}"/>
    <cellStyle name="Separador de milhares 3 12 3 11 2 2" xfId="52567" xr:uid="{00000000-0005-0000-0000-0000B2300000}"/>
    <cellStyle name="Separador de milhares 3 12 3 11 3" xfId="20469" xr:uid="{00000000-0005-0000-0000-0000B3300000}"/>
    <cellStyle name="Separador de milhares 3 12 3 11 3 2" xfId="46659" xr:uid="{00000000-0005-0000-0000-0000B4300000}"/>
    <cellStyle name="Separador de milhares 3 12 3 11 4" xfId="14558" xr:uid="{00000000-0005-0000-0000-0000B5300000}"/>
    <cellStyle name="Separador de milhares 3 12 3 11 4 2" xfId="40751" xr:uid="{00000000-0005-0000-0000-0000B6300000}"/>
    <cellStyle name="Separador de milhares 3 12 3 11 5" xfId="34365" xr:uid="{00000000-0005-0000-0000-0000B7300000}"/>
    <cellStyle name="Separador de milhares 3 12 3 12" xfId="4788" xr:uid="{00000000-0005-0000-0000-0000B8300000}"/>
    <cellStyle name="Separador de milhares 3 12 3 12 2" xfId="23426" xr:uid="{00000000-0005-0000-0000-0000B9300000}"/>
    <cellStyle name="Separador de milhares 3 12 3 12 2 2" xfId="49613" xr:uid="{00000000-0005-0000-0000-0000BA300000}"/>
    <cellStyle name="Separador de milhares 3 12 3 12 3" xfId="30986" xr:uid="{00000000-0005-0000-0000-0000BB300000}"/>
    <cellStyle name="Separador de milhares 3 12 3 13" xfId="17512" xr:uid="{00000000-0005-0000-0000-0000BC300000}"/>
    <cellStyle name="Separador de milhares 3 12 3 13 2" xfId="43705" xr:uid="{00000000-0005-0000-0000-0000BD300000}"/>
    <cellStyle name="Separador de milhares 3 12 3 14" xfId="11177" xr:uid="{00000000-0005-0000-0000-0000BE300000}"/>
    <cellStyle name="Separador de milhares 3 12 3 14 2" xfId="37370" xr:uid="{00000000-0005-0000-0000-0000BF300000}"/>
    <cellStyle name="Separador de milhares 3 12 3 15" xfId="29288" xr:uid="{00000000-0005-0000-0000-0000C0300000}"/>
    <cellStyle name="Separador de milhares 3 12 3 2" xfId="547" xr:uid="{00000000-0005-0000-0000-0000C1300000}"/>
    <cellStyle name="Separador de milhares 3 12 3 2 2" xfId="6560" xr:uid="{00000000-0005-0000-0000-0000C2300000}"/>
    <cellStyle name="Separador de milhares 3 12 3 2 2 2" xfId="9707" xr:uid="{00000000-0005-0000-0000-0000C3300000}"/>
    <cellStyle name="Separador de milhares 3 12 3 2 2 2 2" xfId="27921" xr:uid="{00000000-0005-0000-0000-0000C4300000}"/>
    <cellStyle name="Separador de milhares 3 12 3 2 2 2 2 2" xfId="54102" xr:uid="{00000000-0005-0000-0000-0000C5300000}"/>
    <cellStyle name="Separador de milhares 3 12 3 2 2 2 3" xfId="22007" xr:uid="{00000000-0005-0000-0000-0000C6300000}"/>
    <cellStyle name="Separador de milhares 3 12 3 2 2 2 3 2" xfId="48194" xr:uid="{00000000-0005-0000-0000-0000C7300000}"/>
    <cellStyle name="Separador de milhares 3 12 3 2 2 2 4" xfId="16093" xr:uid="{00000000-0005-0000-0000-0000C8300000}"/>
    <cellStyle name="Separador de milhares 3 12 3 2 2 2 4 2" xfId="42286" xr:uid="{00000000-0005-0000-0000-0000C9300000}"/>
    <cellStyle name="Separador de milhares 3 12 3 2 2 2 5" xfId="35900" xr:uid="{00000000-0005-0000-0000-0000CA300000}"/>
    <cellStyle name="Separador de milhares 3 12 3 2 2 3" xfId="24964" xr:uid="{00000000-0005-0000-0000-0000CB300000}"/>
    <cellStyle name="Separador de milhares 3 12 3 2 2 3 2" xfId="51148" xr:uid="{00000000-0005-0000-0000-0000CC300000}"/>
    <cellStyle name="Separador de milhares 3 12 3 2 2 4" xfId="19050" xr:uid="{00000000-0005-0000-0000-0000CD300000}"/>
    <cellStyle name="Separador de milhares 3 12 3 2 2 4 2" xfId="45240" xr:uid="{00000000-0005-0000-0000-0000CE300000}"/>
    <cellStyle name="Separador de milhares 3 12 3 2 2 5" xfId="12949" xr:uid="{00000000-0005-0000-0000-0000CF300000}"/>
    <cellStyle name="Separador de milhares 3 12 3 2 2 5 2" xfId="39142" xr:uid="{00000000-0005-0000-0000-0000D0300000}"/>
    <cellStyle name="Separador de milhares 3 12 3 2 2 6" xfId="32756" xr:uid="{00000000-0005-0000-0000-0000D1300000}"/>
    <cellStyle name="Separador de milhares 3 12 3 2 3" xfId="8236" xr:uid="{00000000-0005-0000-0000-0000D2300000}"/>
    <cellStyle name="Separador de milhares 3 12 3 2 3 2" xfId="26450" xr:uid="{00000000-0005-0000-0000-0000D3300000}"/>
    <cellStyle name="Separador de milhares 3 12 3 2 3 2 2" xfId="52634" xr:uid="{00000000-0005-0000-0000-0000D4300000}"/>
    <cellStyle name="Separador de milhares 3 12 3 2 3 3" xfId="20536" xr:uid="{00000000-0005-0000-0000-0000D5300000}"/>
    <cellStyle name="Separador de milhares 3 12 3 2 3 3 2" xfId="46726" xr:uid="{00000000-0005-0000-0000-0000D6300000}"/>
    <cellStyle name="Separador de milhares 3 12 3 2 3 4" xfId="14625" xr:uid="{00000000-0005-0000-0000-0000D7300000}"/>
    <cellStyle name="Separador de milhares 3 12 3 2 3 4 2" xfId="40818" xr:uid="{00000000-0005-0000-0000-0000D8300000}"/>
    <cellStyle name="Separador de milhares 3 12 3 2 3 5" xfId="34432" xr:uid="{00000000-0005-0000-0000-0000D9300000}"/>
    <cellStyle name="Separador de milhares 3 12 3 2 4" xfId="4859" xr:uid="{00000000-0005-0000-0000-0000DA300000}"/>
    <cellStyle name="Separador de milhares 3 12 3 2 4 2" xfId="23493" xr:uid="{00000000-0005-0000-0000-0000DB300000}"/>
    <cellStyle name="Separador de milhares 3 12 3 2 4 2 2" xfId="49680" xr:uid="{00000000-0005-0000-0000-0000DC300000}"/>
    <cellStyle name="Separador de milhares 3 12 3 2 4 3" xfId="31057" xr:uid="{00000000-0005-0000-0000-0000DD300000}"/>
    <cellStyle name="Separador de milhares 3 12 3 2 5" xfId="17579" xr:uid="{00000000-0005-0000-0000-0000DE300000}"/>
    <cellStyle name="Separador de milhares 3 12 3 2 5 2" xfId="43772" xr:uid="{00000000-0005-0000-0000-0000DF300000}"/>
    <cellStyle name="Separador de milhares 3 12 3 2 6" xfId="11248" xr:uid="{00000000-0005-0000-0000-0000E0300000}"/>
    <cellStyle name="Separador de milhares 3 12 3 2 6 2" xfId="37441" xr:uid="{00000000-0005-0000-0000-0000E1300000}"/>
    <cellStyle name="Separador de milhares 3 12 3 2 7" xfId="29359" xr:uid="{00000000-0005-0000-0000-0000E2300000}"/>
    <cellStyle name="Separador de milhares 3 12 3 3" xfId="844" xr:uid="{00000000-0005-0000-0000-0000E3300000}"/>
    <cellStyle name="Separador de milhares 3 12 3 3 2" xfId="6662" xr:uid="{00000000-0005-0000-0000-0000E4300000}"/>
    <cellStyle name="Separador de milhares 3 12 3 3 2 2" xfId="9809" xr:uid="{00000000-0005-0000-0000-0000E5300000}"/>
    <cellStyle name="Separador de milhares 3 12 3 3 2 2 2" xfId="28023" xr:uid="{00000000-0005-0000-0000-0000E6300000}"/>
    <cellStyle name="Separador de milhares 3 12 3 3 2 2 2 2" xfId="54204" xr:uid="{00000000-0005-0000-0000-0000E7300000}"/>
    <cellStyle name="Separador de milhares 3 12 3 3 2 2 3" xfId="22109" xr:uid="{00000000-0005-0000-0000-0000E8300000}"/>
    <cellStyle name="Separador de milhares 3 12 3 3 2 2 3 2" xfId="48296" xr:uid="{00000000-0005-0000-0000-0000E9300000}"/>
    <cellStyle name="Separador de milhares 3 12 3 3 2 2 4" xfId="16195" xr:uid="{00000000-0005-0000-0000-0000EA300000}"/>
    <cellStyle name="Separador de milhares 3 12 3 3 2 2 4 2" xfId="42388" xr:uid="{00000000-0005-0000-0000-0000EB300000}"/>
    <cellStyle name="Separador de milhares 3 12 3 3 2 2 5" xfId="36002" xr:uid="{00000000-0005-0000-0000-0000EC300000}"/>
    <cellStyle name="Separador de milhares 3 12 3 3 2 3" xfId="25066" xr:uid="{00000000-0005-0000-0000-0000ED300000}"/>
    <cellStyle name="Separador de milhares 3 12 3 3 2 3 2" xfId="51250" xr:uid="{00000000-0005-0000-0000-0000EE300000}"/>
    <cellStyle name="Separador de milhares 3 12 3 3 2 4" xfId="19152" xr:uid="{00000000-0005-0000-0000-0000EF300000}"/>
    <cellStyle name="Separador de milhares 3 12 3 3 2 4 2" xfId="45342" xr:uid="{00000000-0005-0000-0000-0000F0300000}"/>
    <cellStyle name="Separador de milhares 3 12 3 3 2 5" xfId="13051" xr:uid="{00000000-0005-0000-0000-0000F1300000}"/>
    <cellStyle name="Separador de milhares 3 12 3 3 2 5 2" xfId="39244" xr:uid="{00000000-0005-0000-0000-0000F2300000}"/>
    <cellStyle name="Separador de milhares 3 12 3 3 2 6" xfId="32858" xr:uid="{00000000-0005-0000-0000-0000F3300000}"/>
    <cellStyle name="Separador de milhares 3 12 3 3 3" xfId="8341" xr:uid="{00000000-0005-0000-0000-0000F4300000}"/>
    <cellStyle name="Separador de milhares 3 12 3 3 3 2" xfId="26555" xr:uid="{00000000-0005-0000-0000-0000F5300000}"/>
    <cellStyle name="Separador de milhares 3 12 3 3 3 2 2" xfId="52736" xr:uid="{00000000-0005-0000-0000-0000F6300000}"/>
    <cellStyle name="Separador de milhares 3 12 3 3 3 3" xfId="20641" xr:uid="{00000000-0005-0000-0000-0000F7300000}"/>
    <cellStyle name="Separador de milhares 3 12 3 3 3 3 2" xfId="46828" xr:uid="{00000000-0005-0000-0000-0000F8300000}"/>
    <cellStyle name="Separador de milhares 3 12 3 3 3 4" xfId="14727" xr:uid="{00000000-0005-0000-0000-0000F9300000}"/>
    <cellStyle name="Separador de milhares 3 12 3 3 3 4 2" xfId="40920" xr:uid="{00000000-0005-0000-0000-0000FA300000}"/>
    <cellStyle name="Separador de milhares 3 12 3 3 3 5" xfId="34534" xr:uid="{00000000-0005-0000-0000-0000FB300000}"/>
    <cellStyle name="Separador de milhares 3 12 3 3 4" xfId="4963" xr:uid="{00000000-0005-0000-0000-0000FC300000}"/>
    <cellStyle name="Separador de milhares 3 12 3 3 4 2" xfId="23598" xr:uid="{00000000-0005-0000-0000-0000FD300000}"/>
    <cellStyle name="Separador de milhares 3 12 3 3 4 2 2" xfId="49782" xr:uid="{00000000-0005-0000-0000-0000FE300000}"/>
    <cellStyle name="Separador de milhares 3 12 3 3 4 3" xfId="31159" xr:uid="{00000000-0005-0000-0000-0000FF300000}"/>
    <cellStyle name="Separador de milhares 3 12 3 3 5" xfId="17684" xr:uid="{00000000-0005-0000-0000-000000310000}"/>
    <cellStyle name="Separador de milhares 3 12 3 3 5 2" xfId="43874" xr:uid="{00000000-0005-0000-0000-000001310000}"/>
    <cellStyle name="Separador de milhares 3 12 3 3 6" xfId="11350" xr:uid="{00000000-0005-0000-0000-000002310000}"/>
    <cellStyle name="Separador de milhares 3 12 3 3 6 2" xfId="37543" xr:uid="{00000000-0005-0000-0000-000003310000}"/>
    <cellStyle name="Separador de milhares 3 12 3 3 7" xfId="29461" xr:uid="{00000000-0005-0000-0000-000004310000}"/>
    <cellStyle name="Separador de milhares 3 12 3 4" xfId="1195" xr:uid="{00000000-0005-0000-0000-000005310000}"/>
    <cellStyle name="Separador de milhares 3 12 3 4 2" xfId="6760" xr:uid="{00000000-0005-0000-0000-000006310000}"/>
    <cellStyle name="Separador de milhares 3 12 3 4 2 2" xfId="9907" xr:uid="{00000000-0005-0000-0000-000007310000}"/>
    <cellStyle name="Separador de milhares 3 12 3 4 2 2 2" xfId="28121" xr:uid="{00000000-0005-0000-0000-000008310000}"/>
    <cellStyle name="Separador de milhares 3 12 3 4 2 2 2 2" xfId="54302" xr:uid="{00000000-0005-0000-0000-000009310000}"/>
    <cellStyle name="Separador de milhares 3 12 3 4 2 2 3" xfId="22207" xr:uid="{00000000-0005-0000-0000-00000A310000}"/>
    <cellStyle name="Separador de milhares 3 12 3 4 2 2 3 2" xfId="48394" xr:uid="{00000000-0005-0000-0000-00000B310000}"/>
    <cellStyle name="Separador de milhares 3 12 3 4 2 2 4" xfId="16293" xr:uid="{00000000-0005-0000-0000-00000C310000}"/>
    <cellStyle name="Separador de milhares 3 12 3 4 2 2 4 2" xfId="42486" xr:uid="{00000000-0005-0000-0000-00000D310000}"/>
    <cellStyle name="Separador de milhares 3 12 3 4 2 2 5" xfId="36100" xr:uid="{00000000-0005-0000-0000-00000E310000}"/>
    <cellStyle name="Separador de milhares 3 12 3 4 2 3" xfId="25164" xr:uid="{00000000-0005-0000-0000-00000F310000}"/>
    <cellStyle name="Separador de milhares 3 12 3 4 2 3 2" xfId="51348" xr:uid="{00000000-0005-0000-0000-000010310000}"/>
    <cellStyle name="Separador de milhares 3 12 3 4 2 4" xfId="19250" xr:uid="{00000000-0005-0000-0000-000011310000}"/>
    <cellStyle name="Separador de milhares 3 12 3 4 2 4 2" xfId="45440" xr:uid="{00000000-0005-0000-0000-000012310000}"/>
    <cellStyle name="Separador de milhares 3 12 3 4 2 5" xfId="13149" xr:uid="{00000000-0005-0000-0000-000013310000}"/>
    <cellStyle name="Separador de milhares 3 12 3 4 2 5 2" xfId="39342" xr:uid="{00000000-0005-0000-0000-000014310000}"/>
    <cellStyle name="Separador de milhares 3 12 3 4 2 6" xfId="32956" xr:uid="{00000000-0005-0000-0000-000015310000}"/>
    <cellStyle name="Separador de milhares 3 12 3 4 3" xfId="8439" xr:uid="{00000000-0005-0000-0000-000016310000}"/>
    <cellStyle name="Separador de milhares 3 12 3 4 3 2" xfId="26653" xr:uid="{00000000-0005-0000-0000-000017310000}"/>
    <cellStyle name="Separador de milhares 3 12 3 4 3 2 2" xfId="52834" xr:uid="{00000000-0005-0000-0000-000018310000}"/>
    <cellStyle name="Separador de milhares 3 12 3 4 3 3" xfId="20739" xr:uid="{00000000-0005-0000-0000-000019310000}"/>
    <cellStyle name="Separador de milhares 3 12 3 4 3 3 2" xfId="46926" xr:uid="{00000000-0005-0000-0000-00001A310000}"/>
    <cellStyle name="Separador de milhares 3 12 3 4 3 4" xfId="14825" xr:uid="{00000000-0005-0000-0000-00001B310000}"/>
    <cellStyle name="Separador de milhares 3 12 3 4 3 4 2" xfId="41018" xr:uid="{00000000-0005-0000-0000-00001C310000}"/>
    <cellStyle name="Separador de milhares 3 12 3 4 3 5" xfId="34632" xr:uid="{00000000-0005-0000-0000-00001D310000}"/>
    <cellStyle name="Separador de milhares 3 12 3 4 4" xfId="5061" xr:uid="{00000000-0005-0000-0000-00001E310000}"/>
    <cellStyle name="Separador de milhares 3 12 3 4 4 2" xfId="23696" xr:uid="{00000000-0005-0000-0000-00001F310000}"/>
    <cellStyle name="Separador de milhares 3 12 3 4 4 2 2" xfId="49880" xr:uid="{00000000-0005-0000-0000-000020310000}"/>
    <cellStyle name="Separador de milhares 3 12 3 4 4 3" xfId="31257" xr:uid="{00000000-0005-0000-0000-000021310000}"/>
    <cellStyle name="Separador de milhares 3 12 3 4 5" xfId="17782" xr:uid="{00000000-0005-0000-0000-000022310000}"/>
    <cellStyle name="Separador de milhares 3 12 3 4 5 2" xfId="43972" xr:uid="{00000000-0005-0000-0000-000023310000}"/>
    <cellStyle name="Separador de milhares 3 12 3 4 6" xfId="11448" xr:uid="{00000000-0005-0000-0000-000024310000}"/>
    <cellStyle name="Separador de milhares 3 12 3 4 6 2" xfId="37641" xr:uid="{00000000-0005-0000-0000-000025310000}"/>
    <cellStyle name="Separador de milhares 3 12 3 4 7" xfId="29559" xr:uid="{00000000-0005-0000-0000-000026310000}"/>
    <cellStyle name="Separador de milhares 3 12 3 5" xfId="1630" xr:uid="{00000000-0005-0000-0000-000027310000}"/>
    <cellStyle name="Separador de milhares 3 12 3 5 2" xfId="6879" xr:uid="{00000000-0005-0000-0000-000028310000}"/>
    <cellStyle name="Separador de milhares 3 12 3 5 2 2" xfId="10026" xr:uid="{00000000-0005-0000-0000-000029310000}"/>
    <cellStyle name="Separador de milhares 3 12 3 5 2 2 2" xfId="28240" xr:uid="{00000000-0005-0000-0000-00002A310000}"/>
    <cellStyle name="Separador de milhares 3 12 3 5 2 2 2 2" xfId="54421" xr:uid="{00000000-0005-0000-0000-00002B310000}"/>
    <cellStyle name="Separador de milhares 3 12 3 5 2 2 3" xfId="22326" xr:uid="{00000000-0005-0000-0000-00002C310000}"/>
    <cellStyle name="Separador de milhares 3 12 3 5 2 2 3 2" xfId="48513" xr:uid="{00000000-0005-0000-0000-00002D310000}"/>
    <cellStyle name="Separador de milhares 3 12 3 5 2 2 4" xfId="16412" xr:uid="{00000000-0005-0000-0000-00002E310000}"/>
    <cellStyle name="Separador de milhares 3 12 3 5 2 2 4 2" xfId="42605" xr:uid="{00000000-0005-0000-0000-00002F310000}"/>
    <cellStyle name="Separador de milhares 3 12 3 5 2 2 5" xfId="36219" xr:uid="{00000000-0005-0000-0000-000030310000}"/>
    <cellStyle name="Separador de milhares 3 12 3 5 2 3" xfId="25283" xr:uid="{00000000-0005-0000-0000-000031310000}"/>
    <cellStyle name="Separador de milhares 3 12 3 5 2 3 2" xfId="51467" xr:uid="{00000000-0005-0000-0000-000032310000}"/>
    <cellStyle name="Separador de milhares 3 12 3 5 2 4" xfId="19369" xr:uid="{00000000-0005-0000-0000-000033310000}"/>
    <cellStyle name="Separador de milhares 3 12 3 5 2 4 2" xfId="45559" xr:uid="{00000000-0005-0000-0000-000034310000}"/>
    <cellStyle name="Separador de milhares 3 12 3 5 2 5" xfId="13268" xr:uid="{00000000-0005-0000-0000-000035310000}"/>
    <cellStyle name="Separador de milhares 3 12 3 5 2 5 2" xfId="39461" xr:uid="{00000000-0005-0000-0000-000036310000}"/>
    <cellStyle name="Separador de milhares 3 12 3 5 2 6" xfId="33075" xr:uid="{00000000-0005-0000-0000-000037310000}"/>
    <cellStyle name="Separador de milhares 3 12 3 5 3" xfId="8558" xr:uid="{00000000-0005-0000-0000-000038310000}"/>
    <cellStyle name="Separador de milhares 3 12 3 5 3 2" xfId="26772" xr:uid="{00000000-0005-0000-0000-000039310000}"/>
    <cellStyle name="Separador de milhares 3 12 3 5 3 2 2" xfId="52953" xr:uid="{00000000-0005-0000-0000-00003A310000}"/>
    <cellStyle name="Separador de milhares 3 12 3 5 3 3" xfId="20858" xr:uid="{00000000-0005-0000-0000-00003B310000}"/>
    <cellStyle name="Separador de milhares 3 12 3 5 3 3 2" xfId="47045" xr:uid="{00000000-0005-0000-0000-00003C310000}"/>
    <cellStyle name="Separador de milhares 3 12 3 5 3 4" xfId="14944" xr:uid="{00000000-0005-0000-0000-00003D310000}"/>
    <cellStyle name="Separador de milhares 3 12 3 5 3 4 2" xfId="41137" xr:uid="{00000000-0005-0000-0000-00003E310000}"/>
    <cellStyle name="Separador de milhares 3 12 3 5 3 5" xfId="34751" xr:uid="{00000000-0005-0000-0000-00003F310000}"/>
    <cellStyle name="Separador de milhares 3 12 3 5 4" xfId="5180" xr:uid="{00000000-0005-0000-0000-000040310000}"/>
    <cellStyle name="Separador de milhares 3 12 3 5 4 2" xfId="23815" xr:uid="{00000000-0005-0000-0000-000041310000}"/>
    <cellStyle name="Separador de milhares 3 12 3 5 4 2 2" xfId="49999" xr:uid="{00000000-0005-0000-0000-000042310000}"/>
    <cellStyle name="Separador de milhares 3 12 3 5 4 3" xfId="31376" xr:uid="{00000000-0005-0000-0000-000043310000}"/>
    <cellStyle name="Separador de milhares 3 12 3 5 5" xfId="17901" xr:uid="{00000000-0005-0000-0000-000044310000}"/>
    <cellStyle name="Separador de milhares 3 12 3 5 5 2" xfId="44091" xr:uid="{00000000-0005-0000-0000-000045310000}"/>
    <cellStyle name="Separador de milhares 3 12 3 5 6" xfId="11567" xr:uid="{00000000-0005-0000-0000-000046310000}"/>
    <cellStyle name="Separador de milhares 3 12 3 5 6 2" xfId="37760" xr:uid="{00000000-0005-0000-0000-000047310000}"/>
    <cellStyle name="Separador de milhares 3 12 3 5 7" xfId="29678" xr:uid="{00000000-0005-0000-0000-000048310000}"/>
    <cellStyle name="Separador de milhares 3 12 3 6" xfId="2160" xr:uid="{00000000-0005-0000-0000-000049310000}"/>
    <cellStyle name="Separador de milhares 3 12 3 6 2" xfId="7029" xr:uid="{00000000-0005-0000-0000-00004A310000}"/>
    <cellStyle name="Separador de milhares 3 12 3 6 2 2" xfId="10173" xr:uid="{00000000-0005-0000-0000-00004B310000}"/>
    <cellStyle name="Separador de milhares 3 12 3 6 2 2 2" xfId="28387" xr:uid="{00000000-0005-0000-0000-00004C310000}"/>
    <cellStyle name="Separador de milhares 3 12 3 6 2 2 2 2" xfId="54568" xr:uid="{00000000-0005-0000-0000-00004D310000}"/>
    <cellStyle name="Separador de milhares 3 12 3 6 2 2 3" xfId="22473" xr:uid="{00000000-0005-0000-0000-00004E310000}"/>
    <cellStyle name="Separador de milhares 3 12 3 6 2 2 3 2" xfId="48660" xr:uid="{00000000-0005-0000-0000-00004F310000}"/>
    <cellStyle name="Separador de milhares 3 12 3 6 2 2 4" xfId="16559" xr:uid="{00000000-0005-0000-0000-000050310000}"/>
    <cellStyle name="Separador de milhares 3 12 3 6 2 2 4 2" xfId="42752" xr:uid="{00000000-0005-0000-0000-000051310000}"/>
    <cellStyle name="Separador de milhares 3 12 3 6 2 2 5" xfId="36366" xr:uid="{00000000-0005-0000-0000-000052310000}"/>
    <cellStyle name="Separador de milhares 3 12 3 6 2 3" xfId="25430" xr:uid="{00000000-0005-0000-0000-000053310000}"/>
    <cellStyle name="Separador de milhares 3 12 3 6 2 3 2" xfId="51614" xr:uid="{00000000-0005-0000-0000-000054310000}"/>
    <cellStyle name="Separador de milhares 3 12 3 6 2 4" xfId="19516" xr:uid="{00000000-0005-0000-0000-000055310000}"/>
    <cellStyle name="Separador de milhares 3 12 3 6 2 4 2" xfId="45706" xr:uid="{00000000-0005-0000-0000-000056310000}"/>
    <cellStyle name="Separador de milhares 3 12 3 6 2 5" xfId="13418" xr:uid="{00000000-0005-0000-0000-000057310000}"/>
    <cellStyle name="Separador de milhares 3 12 3 6 2 5 2" xfId="39611" xr:uid="{00000000-0005-0000-0000-000058310000}"/>
    <cellStyle name="Separador de milhares 3 12 3 6 2 6" xfId="33225" xr:uid="{00000000-0005-0000-0000-000059310000}"/>
    <cellStyle name="Separador de milhares 3 12 3 6 3" xfId="8705" xr:uid="{00000000-0005-0000-0000-00005A310000}"/>
    <cellStyle name="Separador de milhares 3 12 3 6 3 2" xfId="26919" xr:uid="{00000000-0005-0000-0000-00005B310000}"/>
    <cellStyle name="Separador de milhares 3 12 3 6 3 2 2" xfId="53100" xr:uid="{00000000-0005-0000-0000-00005C310000}"/>
    <cellStyle name="Separador de milhares 3 12 3 6 3 3" xfId="21005" xr:uid="{00000000-0005-0000-0000-00005D310000}"/>
    <cellStyle name="Separador de milhares 3 12 3 6 3 3 2" xfId="47192" xr:uid="{00000000-0005-0000-0000-00005E310000}"/>
    <cellStyle name="Separador de milhares 3 12 3 6 3 4" xfId="15091" xr:uid="{00000000-0005-0000-0000-00005F310000}"/>
    <cellStyle name="Separador de milhares 3 12 3 6 3 4 2" xfId="41284" xr:uid="{00000000-0005-0000-0000-000060310000}"/>
    <cellStyle name="Separador de milhares 3 12 3 6 3 5" xfId="34898" xr:uid="{00000000-0005-0000-0000-000061310000}"/>
    <cellStyle name="Separador de milhares 3 12 3 6 4" xfId="5330" xr:uid="{00000000-0005-0000-0000-000062310000}"/>
    <cellStyle name="Separador de milhares 3 12 3 6 4 2" xfId="23962" xr:uid="{00000000-0005-0000-0000-000063310000}"/>
    <cellStyle name="Separador de milhares 3 12 3 6 4 2 2" xfId="50146" xr:uid="{00000000-0005-0000-0000-000064310000}"/>
    <cellStyle name="Separador de milhares 3 12 3 6 4 3" xfId="31526" xr:uid="{00000000-0005-0000-0000-000065310000}"/>
    <cellStyle name="Separador de milhares 3 12 3 6 5" xfId="18048" xr:uid="{00000000-0005-0000-0000-000066310000}"/>
    <cellStyle name="Separador de milhares 3 12 3 6 5 2" xfId="44238" xr:uid="{00000000-0005-0000-0000-000067310000}"/>
    <cellStyle name="Separador de milhares 3 12 3 6 6" xfId="11717" xr:uid="{00000000-0005-0000-0000-000068310000}"/>
    <cellStyle name="Separador de milhares 3 12 3 6 6 2" xfId="37910" xr:uid="{00000000-0005-0000-0000-000069310000}"/>
    <cellStyle name="Separador de milhares 3 12 3 6 7" xfId="29828" xr:uid="{00000000-0005-0000-0000-00006A310000}"/>
    <cellStyle name="Separador de milhares 3 12 3 7" xfId="2687" xr:uid="{00000000-0005-0000-0000-00006B310000}"/>
    <cellStyle name="Separador de milhares 3 12 3 7 2" xfId="7176" xr:uid="{00000000-0005-0000-0000-00006C310000}"/>
    <cellStyle name="Separador de milhares 3 12 3 7 2 2" xfId="10320" xr:uid="{00000000-0005-0000-0000-00006D310000}"/>
    <cellStyle name="Separador de milhares 3 12 3 7 2 2 2" xfId="28534" xr:uid="{00000000-0005-0000-0000-00006E310000}"/>
    <cellStyle name="Separador de milhares 3 12 3 7 2 2 2 2" xfId="54715" xr:uid="{00000000-0005-0000-0000-00006F310000}"/>
    <cellStyle name="Separador de milhares 3 12 3 7 2 2 3" xfId="22620" xr:uid="{00000000-0005-0000-0000-000070310000}"/>
    <cellStyle name="Separador de milhares 3 12 3 7 2 2 3 2" xfId="48807" xr:uid="{00000000-0005-0000-0000-000071310000}"/>
    <cellStyle name="Separador de milhares 3 12 3 7 2 2 4" xfId="16706" xr:uid="{00000000-0005-0000-0000-000072310000}"/>
    <cellStyle name="Separador de milhares 3 12 3 7 2 2 4 2" xfId="42899" xr:uid="{00000000-0005-0000-0000-000073310000}"/>
    <cellStyle name="Separador de milhares 3 12 3 7 2 2 5" xfId="36513" xr:uid="{00000000-0005-0000-0000-000074310000}"/>
    <cellStyle name="Separador de milhares 3 12 3 7 2 3" xfId="25577" xr:uid="{00000000-0005-0000-0000-000075310000}"/>
    <cellStyle name="Separador de milhares 3 12 3 7 2 3 2" xfId="51761" xr:uid="{00000000-0005-0000-0000-000076310000}"/>
    <cellStyle name="Separador de milhares 3 12 3 7 2 4" xfId="19663" xr:uid="{00000000-0005-0000-0000-000077310000}"/>
    <cellStyle name="Separador de milhares 3 12 3 7 2 4 2" xfId="45853" xr:uid="{00000000-0005-0000-0000-000078310000}"/>
    <cellStyle name="Separador de milhares 3 12 3 7 2 5" xfId="13565" xr:uid="{00000000-0005-0000-0000-000079310000}"/>
    <cellStyle name="Separador de milhares 3 12 3 7 2 5 2" xfId="39758" xr:uid="{00000000-0005-0000-0000-00007A310000}"/>
    <cellStyle name="Separador de milhares 3 12 3 7 2 6" xfId="33372" xr:uid="{00000000-0005-0000-0000-00007B310000}"/>
    <cellStyle name="Separador de milhares 3 12 3 7 3" xfId="8852" xr:uid="{00000000-0005-0000-0000-00007C310000}"/>
    <cellStyle name="Separador de milhares 3 12 3 7 3 2" xfId="27066" xr:uid="{00000000-0005-0000-0000-00007D310000}"/>
    <cellStyle name="Separador de milhares 3 12 3 7 3 2 2" xfId="53247" xr:uid="{00000000-0005-0000-0000-00007E310000}"/>
    <cellStyle name="Separador de milhares 3 12 3 7 3 3" xfId="21152" xr:uid="{00000000-0005-0000-0000-00007F310000}"/>
    <cellStyle name="Separador de milhares 3 12 3 7 3 3 2" xfId="47339" xr:uid="{00000000-0005-0000-0000-000080310000}"/>
    <cellStyle name="Separador de milhares 3 12 3 7 3 4" xfId="15238" xr:uid="{00000000-0005-0000-0000-000081310000}"/>
    <cellStyle name="Separador de milhares 3 12 3 7 3 4 2" xfId="41431" xr:uid="{00000000-0005-0000-0000-000082310000}"/>
    <cellStyle name="Separador de milhares 3 12 3 7 3 5" xfId="35045" xr:uid="{00000000-0005-0000-0000-000083310000}"/>
    <cellStyle name="Separador de milhares 3 12 3 7 4" xfId="5477" xr:uid="{00000000-0005-0000-0000-000084310000}"/>
    <cellStyle name="Separador de milhares 3 12 3 7 4 2" xfId="24109" xr:uid="{00000000-0005-0000-0000-000085310000}"/>
    <cellStyle name="Separador de milhares 3 12 3 7 4 2 2" xfId="50293" xr:uid="{00000000-0005-0000-0000-000086310000}"/>
    <cellStyle name="Separador de milhares 3 12 3 7 4 3" xfId="31673" xr:uid="{00000000-0005-0000-0000-000087310000}"/>
    <cellStyle name="Separador de milhares 3 12 3 7 5" xfId="18195" xr:uid="{00000000-0005-0000-0000-000088310000}"/>
    <cellStyle name="Separador de milhares 3 12 3 7 5 2" xfId="44385" xr:uid="{00000000-0005-0000-0000-000089310000}"/>
    <cellStyle name="Separador de milhares 3 12 3 7 6" xfId="11864" xr:uid="{00000000-0005-0000-0000-00008A310000}"/>
    <cellStyle name="Separador de milhares 3 12 3 7 6 2" xfId="38057" xr:uid="{00000000-0005-0000-0000-00008B310000}"/>
    <cellStyle name="Separador de milhares 3 12 3 7 7" xfId="29975" xr:uid="{00000000-0005-0000-0000-00008C310000}"/>
    <cellStyle name="Separador de milhares 3 12 3 8" xfId="3214" xr:uid="{00000000-0005-0000-0000-00008D310000}"/>
    <cellStyle name="Separador de milhares 3 12 3 8 2" xfId="7323" xr:uid="{00000000-0005-0000-0000-00008E310000}"/>
    <cellStyle name="Separador de milhares 3 12 3 8 2 2" xfId="10467" xr:uid="{00000000-0005-0000-0000-00008F310000}"/>
    <cellStyle name="Separador de milhares 3 12 3 8 2 2 2" xfId="28681" xr:uid="{00000000-0005-0000-0000-000090310000}"/>
    <cellStyle name="Separador de milhares 3 12 3 8 2 2 2 2" xfId="54862" xr:uid="{00000000-0005-0000-0000-000091310000}"/>
    <cellStyle name="Separador de milhares 3 12 3 8 2 2 3" xfId="22767" xr:uid="{00000000-0005-0000-0000-000092310000}"/>
    <cellStyle name="Separador de milhares 3 12 3 8 2 2 3 2" xfId="48954" xr:uid="{00000000-0005-0000-0000-000093310000}"/>
    <cellStyle name="Separador de milhares 3 12 3 8 2 2 4" xfId="16853" xr:uid="{00000000-0005-0000-0000-000094310000}"/>
    <cellStyle name="Separador de milhares 3 12 3 8 2 2 4 2" xfId="43046" xr:uid="{00000000-0005-0000-0000-000095310000}"/>
    <cellStyle name="Separador de milhares 3 12 3 8 2 2 5" xfId="36660" xr:uid="{00000000-0005-0000-0000-000096310000}"/>
    <cellStyle name="Separador de milhares 3 12 3 8 2 3" xfId="25724" xr:uid="{00000000-0005-0000-0000-000097310000}"/>
    <cellStyle name="Separador de milhares 3 12 3 8 2 3 2" xfId="51908" xr:uid="{00000000-0005-0000-0000-000098310000}"/>
    <cellStyle name="Separador de milhares 3 12 3 8 2 4" xfId="19810" xr:uid="{00000000-0005-0000-0000-000099310000}"/>
    <cellStyle name="Separador de milhares 3 12 3 8 2 4 2" xfId="46000" xr:uid="{00000000-0005-0000-0000-00009A310000}"/>
    <cellStyle name="Separador de milhares 3 12 3 8 2 5" xfId="13712" xr:uid="{00000000-0005-0000-0000-00009B310000}"/>
    <cellStyle name="Separador de milhares 3 12 3 8 2 5 2" xfId="39905" xr:uid="{00000000-0005-0000-0000-00009C310000}"/>
    <cellStyle name="Separador de milhares 3 12 3 8 2 6" xfId="33519" xr:uid="{00000000-0005-0000-0000-00009D310000}"/>
    <cellStyle name="Separador de milhares 3 12 3 8 3" xfId="8999" xr:uid="{00000000-0005-0000-0000-00009E310000}"/>
    <cellStyle name="Separador de milhares 3 12 3 8 3 2" xfId="27213" xr:uid="{00000000-0005-0000-0000-00009F310000}"/>
    <cellStyle name="Separador de milhares 3 12 3 8 3 2 2" xfId="53394" xr:uid="{00000000-0005-0000-0000-0000A0310000}"/>
    <cellStyle name="Separador de milhares 3 12 3 8 3 3" xfId="21299" xr:uid="{00000000-0005-0000-0000-0000A1310000}"/>
    <cellStyle name="Separador de milhares 3 12 3 8 3 3 2" xfId="47486" xr:uid="{00000000-0005-0000-0000-0000A2310000}"/>
    <cellStyle name="Separador de milhares 3 12 3 8 3 4" xfId="15385" xr:uid="{00000000-0005-0000-0000-0000A3310000}"/>
    <cellStyle name="Separador de milhares 3 12 3 8 3 4 2" xfId="41578" xr:uid="{00000000-0005-0000-0000-0000A4310000}"/>
    <cellStyle name="Separador de milhares 3 12 3 8 3 5" xfId="35192" xr:uid="{00000000-0005-0000-0000-0000A5310000}"/>
    <cellStyle name="Separador de milhares 3 12 3 8 4" xfId="5624" xr:uid="{00000000-0005-0000-0000-0000A6310000}"/>
    <cellStyle name="Separador de milhares 3 12 3 8 4 2" xfId="24256" xr:uid="{00000000-0005-0000-0000-0000A7310000}"/>
    <cellStyle name="Separador de milhares 3 12 3 8 4 2 2" xfId="50440" xr:uid="{00000000-0005-0000-0000-0000A8310000}"/>
    <cellStyle name="Separador de milhares 3 12 3 8 4 3" xfId="31820" xr:uid="{00000000-0005-0000-0000-0000A9310000}"/>
    <cellStyle name="Separador de milhares 3 12 3 8 5" xfId="18342" xr:uid="{00000000-0005-0000-0000-0000AA310000}"/>
    <cellStyle name="Separador de milhares 3 12 3 8 5 2" xfId="44532" xr:uid="{00000000-0005-0000-0000-0000AB310000}"/>
    <cellStyle name="Separador de milhares 3 12 3 8 6" xfId="12011" xr:uid="{00000000-0005-0000-0000-0000AC310000}"/>
    <cellStyle name="Separador de milhares 3 12 3 8 6 2" xfId="38204" xr:uid="{00000000-0005-0000-0000-0000AD310000}"/>
    <cellStyle name="Separador de milhares 3 12 3 8 7" xfId="30122" xr:uid="{00000000-0005-0000-0000-0000AE310000}"/>
    <cellStyle name="Separador de milhares 3 12 3 9" xfId="3741" xr:uid="{00000000-0005-0000-0000-0000AF310000}"/>
    <cellStyle name="Separador de milhares 3 12 3 9 2" xfId="7470" xr:uid="{00000000-0005-0000-0000-0000B0310000}"/>
    <cellStyle name="Separador de milhares 3 12 3 9 2 2" xfId="10614" xr:uid="{00000000-0005-0000-0000-0000B1310000}"/>
    <cellStyle name="Separador de milhares 3 12 3 9 2 2 2" xfId="28828" xr:uid="{00000000-0005-0000-0000-0000B2310000}"/>
    <cellStyle name="Separador de milhares 3 12 3 9 2 2 2 2" xfId="55009" xr:uid="{00000000-0005-0000-0000-0000B3310000}"/>
    <cellStyle name="Separador de milhares 3 12 3 9 2 2 3" xfId="22914" xr:uid="{00000000-0005-0000-0000-0000B4310000}"/>
    <cellStyle name="Separador de milhares 3 12 3 9 2 2 3 2" xfId="49101" xr:uid="{00000000-0005-0000-0000-0000B5310000}"/>
    <cellStyle name="Separador de milhares 3 12 3 9 2 2 4" xfId="17000" xr:uid="{00000000-0005-0000-0000-0000B6310000}"/>
    <cellStyle name="Separador de milhares 3 12 3 9 2 2 4 2" xfId="43193" xr:uid="{00000000-0005-0000-0000-0000B7310000}"/>
    <cellStyle name="Separador de milhares 3 12 3 9 2 2 5" xfId="36807" xr:uid="{00000000-0005-0000-0000-0000B8310000}"/>
    <cellStyle name="Separador de milhares 3 12 3 9 2 3" xfId="25871" xr:uid="{00000000-0005-0000-0000-0000B9310000}"/>
    <cellStyle name="Separador de milhares 3 12 3 9 2 3 2" xfId="52055" xr:uid="{00000000-0005-0000-0000-0000BA310000}"/>
    <cellStyle name="Separador de milhares 3 12 3 9 2 4" xfId="19957" xr:uid="{00000000-0005-0000-0000-0000BB310000}"/>
    <cellStyle name="Separador de milhares 3 12 3 9 2 4 2" xfId="46147" xr:uid="{00000000-0005-0000-0000-0000BC310000}"/>
    <cellStyle name="Separador de milhares 3 12 3 9 2 5" xfId="13859" xr:uid="{00000000-0005-0000-0000-0000BD310000}"/>
    <cellStyle name="Separador de milhares 3 12 3 9 2 5 2" xfId="40052" xr:uid="{00000000-0005-0000-0000-0000BE310000}"/>
    <cellStyle name="Separador de milhares 3 12 3 9 2 6" xfId="33666" xr:uid="{00000000-0005-0000-0000-0000BF310000}"/>
    <cellStyle name="Separador de milhares 3 12 3 9 3" xfId="9146" xr:uid="{00000000-0005-0000-0000-0000C0310000}"/>
    <cellStyle name="Separador de milhares 3 12 3 9 3 2" xfId="27360" xr:uid="{00000000-0005-0000-0000-0000C1310000}"/>
    <cellStyle name="Separador de milhares 3 12 3 9 3 2 2" xfId="53541" xr:uid="{00000000-0005-0000-0000-0000C2310000}"/>
    <cellStyle name="Separador de milhares 3 12 3 9 3 3" xfId="21446" xr:uid="{00000000-0005-0000-0000-0000C3310000}"/>
    <cellStyle name="Separador de milhares 3 12 3 9 3 3 2" xfId="47633" xr:uid="{00000000-0005-0000-0000-0000C4310000}"/>
    <cellStyle name="Separador de milhares 3 12 3 9 3 4" xfId="15532" xr:uid="{00000000-0005-0000-0000-0000C5310000}"/>
    <cellStyle name="Separador de milhares 3 12 3 9 3 4 2" xfId="41725" xr:uid="{00000000-0005-0000-0000-0000C6310000}"/>
    <cellStyle name="Separador de milhares 3 12 3 9 3 5" xfId="35339" xr:uid="{00000000-0005-0000-0000-0000C7310000}"/>
    <cellStyle name="Separador de milhares 3 12 3 9 4" xfId="5771" xr:uid="{00000000-0005-0000-0000-0000C8310000}"/>
    <cellStyle name="Separador de milhares 3 12 3 9 4 2" xfId="24403" xr:uid="{00000000-0005-0000-0000-0000C9310000}"/>
    <cellStyle name="Separador de milhares 3 12 3 9 4 2 2" xfId="50587" xr:uid="{00000000-0005-0000-0000-0000CA310000}"/>
    <cellStyle name="Separador de milhares 3 12 3 9 4 3" xfId="31967" xr:uid="{00000000-0005-0000-0000-0000CB310000}"/>
    <cellStyle name="Separador de milhares 3 12 3 9 5" xfId="18489" xr:uid="{00000000-0005-0000-0000-0000CC310000}"/>
    <cellStyle name="Separador de milhares 3 12 3 9 5 2" xfId="44679" xr:uid="{00000000-0005-0000-0000-0000CD310000}"/>
    <cellStyle name="Separador de milhares 3 12 3 9 6" xfId="12158" xr:uid="{00000000-0005-0000-0000-0000CE310000}"/>
    <cellStyle name="Separador de milhares 3 12 3 9 6 2" xfId="38351" xr:uid="{00000000-0005-0000-0000-0000CF310000}"/>
    <cellStyle name="Separador de milhares 3 12 3 9 7" xfId="30269" xr:uid="{00000000-0005-0000-0000-0000D0310000}"/>
    <cellStyle name="Separador de milhares 3 12 4" xfId="377" xr:uid="{00000000-0005-0000-0000-0000D1310000}"/>
    <cellStyle name="Separador de milhares 3 12 4 10" xfId="6517" xr:uid="{00000000-0005-0000-0000-0000D2310000}"/>
    <cellStyle name="Separador de milhares 3 12 4 10 2" xfId="9665" xr:uid="{00000000-0005-0000-0000-0000D3310000}"/>
    <cellStyle name="Separador de milhares 3 12 4 10 2 2" xfId="27879" xr:uid="{00000000-0005-0000-0000-0000D4310000}"/>
    <cellStyle name="Separador de milhares 3 12 4 10 2 2 2" xfId="54060" xr:uid="{00000000-0005-0000-0000-0000D5310000}"/>
    <cellStyle name="Separador de milhares 3 12 4 10 2 3" xfId="21965" xr:uid="{00000000-0005-0000-0000-0000D6310000}"/>
    <cellStyle name="Separador de milhares 3 12 4 10 2 3 2" xfId="48152" xr:uid="{00000000-0005-0000-0000-0000D7310000}"/>
    <cellStyle name="Separador de milhares 3 12 4 10 2 4" xfId="16051" xr:uid="{00000000-0005-0000-0000-0000D8310000}"/>
    <cellStyle name="Separador de milhares 3 12 4 10 2 4 2" xfId="42244" xr:uid="{00000000-0005-0000-0000-0000D9310000}"/>
    <cellStyle name="Separador de milhares 3 12 4 10 2 5" xfId="35858" xr:uid="{00000000-0005-0000-0000-0000DA310000}"/>
    <cellStyle name="Separador de milhares 3 12 4 10 3" xfId="24922" xr:uid="{00000000-0005-0000-0000-0000DB310000}"/>
    <cellStyle name="Separador de milhares 3 12 4 10 3 2" xfId="51106" xr:uid="{00000000-0005-0000-0000-0000DC310000}"/>
    <cellStyle name="Separador de milhares 3 12 4 10 4" xfId="19008" xr:uid="{00000000-0005-0000-0000-0000DD310000}"/>
    <cellStyle name="Separador de milhares 3 12 4 10 4 2" xfId="45198" xr:uid="{00000000-0005-0000-0000-0000DE310000}"/>
    <cellStyle name="Separador de milhares 3 12 4 10 5" xfId="12906" xr:uid="{00000000-0005-0000-0000-0000DF310000}"/>
    <cellStyle name="Separador de milhares 3 12 4 10 5 2" xfId="39099" xr:uid="{00000000-0005-0000-0000-0000E0310000}"/>
    <cellStyle name="Separador de milhares 3 12 4 10 6" xfId="32713" xr:uid="{00000000-0005-0000-0000-0000E1310000}"/>
    <cellStyle name="Separador de milhares 3 12 4 11" xfId="8194" xr:uid="{00000000-0005-0000-0000-0000E2310000}"/>
    <cellStyle name="Separador de milhares 3 12 4 11 2" xfId="26408" xr:uid="{00000000-0005-0000-0000-0000E3310000}"/>
    <cellStyle name="Separador de milhares 3 12 4 11 2 2" xfId="52592" xr:uid="{00000000-0005-0000-0000-0000E4310000}"/>
    <cellStyle name="Separador de milhares 3 12 4 11 3" xfId="20494" xr:uid="{00000000-0005-0000-0000-0000E5310000}"/>
    <cellStyle name="Separador de milhares 3 12 4 11 3 2" xfId="46684" xr:uid="{00000000-0005-0000-0000-0000E6310000}"/>
    <cellStyle name="Separador de milhares 3 12 4 11 4" xfId="14583" xr:uid="{00000000-0005-0000-0000-0000E7310000}"/>
    <cellStyle name="Separador de milhares 3 12 4 11 4 2" xfId="40776" xr:uid="{00000000-0005-0000-0000-0000E8310000}"/>
    <cellStyle name="Separador de milhares 3 12 4 11 5" xfId="34390" xr:uid="{00000000-0005-0000-0000-0000E9310000}"/>
    <cellStyle name="Separador de milhares 3 12 4 12" xfId="4816" xr:uid="{00000000-0005-0000-0000-0000EA310000}"/>
    <cellStyle name="Separador de milhares 3 12 4 12 2" xfId="23451" xr:uid="{00000000-0005-0000-0000-0000EB310000}"/>
    <cellStyle name="Separador de milhares 3 12 4 12 2 2" xfId="49638" xr:uid="{00000000-0005-0000-0000-0000EC310000}"/>
    <cellStyle name="Separador de milhares 3 12 4 12 3" xfId="31014" xr:uid="{00000000-0005-0000-0000-0000ED310000}"/>
    <cellStyle name="Separador de milhares 3 12 4 13" xfId="17537" xr:uid="{00000000-0005-0000-0000-0000EE310000}"/>
    <cellStyle name="Separador de milhares 3 12 4 13 2" xfId="43730" xr:uid="{00000000-0005-0000-0000-0000EF310000}"/>
    <cellStyle name="Separador de milhares 3 12 4 14" xfId="11205" xr:uid="{00000000-0005-0000-0000-0000F0310000}"/>
    <cellStyle name="Separador de milhares 3 12 4 14 2" xfId="37398" xr:uid="{00000000-0005-0000-0000-0000F1310000}"/>
    <cellStyle name="Separador de milhares 3 12 4 15" xfId="29316" xr:uid="{00000000-0005-0000-0000-0000F2310000}"/>
    <cellStyle name="Separador de milhares 3 12 4 2" xfId="1022" xr:uid="{00000000-0005-0000-0000-0000F3310000}"/>
    <cellStyle name="Separador de milhares 3 12 4 2 2" xfId="6714" xr:uid="{00000000-0005-0000-0000-0000F4310000}"/>
    <cellStyle name="Separador de milhares 3 12 4 2 2 2" xfId="9861" xr:uid="{00000000-0005-0000-0000-0000F5310000}"/>
    <cellStyle name="Separador de milhares 3 12 4 2 2 2 2" xfId="28075" xr:uid="{00000000-0005-0000-0000-0000F6310000}"/>
    <cellStyle name="Separador de milhares 3 12 4 2 2 2 2 2" xfId="54256" xr:uid="{00000000-0005-0000-0000-0000F7310000}"/>
    <cellStyle name="Separador de milhares 3 12 4 2 2 2 3" xfId="22161" xr:uid="{00000000-0005-0000-0000-0000F8310000}"/>
    <cellStyle name="Separador de milhares 3 12 4 2 2 2 3 2" xfId="48348" xr:uid="{00000000-0005-0000-0000-0000F9310000}"/>
    <cellStyle name="Separador de milhares 3 12 4 2 2 2 4" xfId="16247" xr:uid="{00000000-0005-0000-0000-0000FA310000}"/>
    <cellStyle name="Separador de milhares 3 12 4 2 2 2 4 2" xfId="42440" xr:uid="{00000000-0005-0000-0000-0000FB310000}"/>
    <cellStyle name="Separador de milhares 3 12 4 2 2 2 5" xfId="36054" xr:uid="{00000000-0005-0000-0000-0000FC310000}"/>
    <cellStyle name="Separador de milhares 3 12 4 2 2 3" xfId="25118" xr:uid="{00000000-0005-0000-0000-0000FD310000}"/>
    <cellStyle name="Separador de milhares 3 12 4 2 2 3 2" xfId="51302" xr:uid="{00000000-0005-0000-0000-0000FE310000}"/>
    <cellStyle name="Separador de milhares 3 12 4 2 2 4" xfId="19204" xr:uid="{00000000-0005-0000-0000-0000FF310000}"/>
    <cellStyle name="Separador de milhares 3 12 4 2 2 4 2" xfId="45394" xr:uid="{00000000-0005-0000-0000-000000320000}"/>
    <cellStyle name="Separador de milhares 3 12 4 2 2 5" xfId="13103" xr:uid="{00000000-0005-0000-0000-000001320000}"/>
    <cellStyle name="Separador de milhares 3 12 4 2 2 5 2" xfId="39296" xr:uid="{00000000-0005-0000-0000-000002320000}"/>
    <cellStyle name="Separador de milhares 3 12 4 2 2 6" xfId="32910" xr:uid="{00000000-0005-0000-0000-000003320000}"/>
    <cellStyle name="Separador de milhares 3 12 4 2 3" xfId="8393" xr:uid="{00000000-0005-0000-0000-000004320000}"/>
    <cellStyle name="Separador de milhares 3 12 4 2 3 2" xfId="26607" xr:uid="{00000000-0005-0000-0000-000005320000}"/>
    <cellStyle name="Separador de milhares 3 12 4 2 3 2 2" xfId="52788" xr:uid="{00000000-0005-0000-0000-000006320000}"/>
    <cellStyle name="Separador de milhares 3 12 4 2 3 3" xfId="20693" xr:uid="{00000000-0005-0000-0000-000007320000}"/>
    <cellStyle name="Separador de milhares 3 12 4 2 3 3 2" xfId="46880" xr:uid="{00000000-0005-0000-0000-000008320000}"/>
    <cellStyle name="Separador de milhares 3 12 4 2 3 4" xfId="14779" xr:uid="{00000000-0005-0000-0000-000009320000}"/>
    <cellStyle name="Separador de milhares 3 12 4 2 3 4 2" xfId="40972" xr:uid="{00000000-0005-0000-0000-00000A320000}"/>
    <cellStyle name="Separador de milhares 3 12 4 2 3 5" xfId="34586" xr:uid="{00000000-0005-0000-0000-00000B320000}"/>
    <cellStyle name="Separador de milhares 3 12 4 2 4" xfId="5015" xr:uid="{00000000-0005-0000-0000-00000C320000}"/>
    <cellStyle name="Separador de milhares 3 12 4 2 4 2" xfId="23650" xr:uid="{00000000-0005-0000-0000-00000D320000}"/>
    <cellStyle name="Separador de milhares 3 12 4 2 4 2 2" xfId="49834" xr:uid="{00000000-0005-0000-0000-00000E320000}"/>
    <cellStyle name="Separador de milhares 3 12 4 2 4 3" xfId="31211" xr:uid="{00000000-0005-0000-0000-00000F320000}"/>
    <cellStyle name="Separador de milhares 3 12 4 2 5" xfId="17736" xr:uid="{00000000-0005-0000-0000-000010320000}"/>
    <cellStyle name="Separador de milhares 3 12 4 2 5 2" xfId="43926" xr:uid="{00000000-0005-0000-0000-000011320000}"/>
    <cellStyle name="Separador de milhares 3 12 4 2 6" xfId="11402" xr:uid="{00000000-0005-0000-0000-000012320000}"/>
    <cellStyle name="Separador de milhares 3 12 4 2 6 2" xfId="37595" xr:uid="{00000000-0005-0000-0000-000013320000}"/>
    <cellStyle name="Separador de milhares 3 12 4 2 7" xfId="29513" xr:uid="{00000000-0005-0000-0000-000014320000}"/>
    <cellStyle name="Separador de milhares 3 12 4 3" xfId="1373" xr:uid="{00000000-0005-0000-0000-000015320000}"/>
    <cellStyle name="Separador de milhares 3 12 4 3 2" xfId="6812" xr:uid="{00000000-0005-0000-0000-000016320000}"/>
    <cellStyle name="Separador de milhares 3 12 4 3 2 2" xfId="9959" xr:uid="{00000000-0005-0000-0000-000017320000}"/>
    <cellStyle name="Separador de milhares 3 12 4 3 2 2 2" xfId="28173" xr:uid="{00000000-0005-0000-0000-000018320000}"/>
    <cellStyle name="Separador de milhares 3 12 4 3 2 2 2 2" xfId="54354" xr:uid="{00000000-0005-0000-0000-000019320000}"/>
    <cellStyle name="Separador de milhares 3 12 4 3 2 2 3" xfId="22259" xr:uid="{00000000-0005-0000-0000-00001A320000}"/>
    <cellStyle name="Separador de milhares 3 12 4 3 2 2 3 2" xfId="48446" xr:uid="{00000000-0005-0000-0000-00001B320000}"/>
    <cellStyle name="Separador de milhares 3 12 4 3 2 2 4" xfId="16345" xr:uid="{00000000-0005-0000-0000-00001C320000}"/>
    <cellStyle name="Separador de milhares 3 12 4 3 2 2 4 2" xfId="42538" xr:uid="{00000000-0005-0000-0000-00001D320000}"/>
    <cellStyle name="Separador de milhares 3 12 4 3 2 2 5" xfId="36152" xr:uid="{00000000-0005-0000-0000-00001E320000}"/>
    <cellStyle name="Separador de milhares 3 12 4 3 2 3" xfId="25216" xr:uid="{00000000-0005-0000-0000-00001F320000}"/>
    <cellStyle name="Separador de milhares 3 12 4 3 2 3 2" xfId="51400" xr:uid="{00000000-0005-0000-0000-000020320000}"/>
    <cellStyle name="Separador de milhares 3 12 4 3 2 4" xfId="19302" xr:uid="{00000000-0005-0000-0000-000021320000}"/>
    <cellStyle name="Separador de milhares 3 12 4 3 2 4 2" xfId="45492" xr:uid="{00000000-0005-0000-0000-000022320000}"/>
    <cellStyle name="Separador de milhares 3 12 4 3 2 5" xfId="13201" xr:uid="{00000000-0005-0000-0000-000023320000}"/>
    <cellStyle name="Separador de milhares 3 12 4 3 2 5 2" xfId="39394" xr:uid="{00000000-0005-0000-0000-000024320000}"/>
    <cellStyle name="Separador de milhares 3 12 4 3 2 6" xfId="33008" xr:uid="{00000000-0005-0000-0000-000025320000}"/>
    <cellStyle name="Separador de milhares 3 12 4 3 3" xfId="8491" xr:uid="{00000000-0005-0000-0000-000026320000}"/>
    <cellStyle name="Separador de milhares 3 12 4 3 3 2" xfId="26705" xr:uid="{00000000-0005-0000-0000-000027320000}"/>
    <cellStyle name="Separador de milhares 3 12 4 3 3 2 2" xfId="52886" xr:uid="{00000000-0005-0000-0000-000028320000}"/>
    <cellStyle name="Separador de milhares 3 12 4 3 3 3" xfId="20791" xr:uid="{00000000-0005-0000-0000-000029320000}"/>
    <cellStyle name="Separador de milhares 3 12 4 3 3 3 2" xfId="46978" xr:uid="{00000000-0005-0000-0000-00002A320000}"/>
    <cellStyle name="Separador de milhares 3 12 4 3 3 4" xfId="14877" xr:uid="{00000000-0005-0000-0000-00002B320000}"/>
    <cellStyle name="Separador de milhares 3 12 4 3 3 4 2" xfId="41070" xr:uid="{00000000-0005-0000-0000-00002C320000}"/>
    <cellStyle name="Separador de milhares 3 12 4 3 3 5" xfId="34684" xr:uid="{00000000-0005-0000-0000-00002D320000}"/>
    <cellStyle name="Separador de milhares 3 12 4 3 4" xfId="5113" xr:uid="{00000000-0005-0000-0000-00002E320000}"/>
    <cellStyle name="Separador de milhares 3 12 4 3 4 2" xfId="23748" xr:uid="{00000000-0005-0000-0000-00002F320000}"/>
    <cellStyle name="Separador de milhares 3 12 4 3 4 2 2" xfId="49932" xr:uid="{00000000-0005-0000-0000-000030320000}"/>
    <cellStyle name="Separador de milhares 3 12 4 3 4 3" xfId="31309" xr:uid="{00000000-0005-0000-0000-000031320000}"/>
    <cellStyle name="Separador de milhares 3 12 4 3 5" xfId="17834" xr:uid="{00000000-0005-0000-0000-000032320000}"/>
    <cellStyle name="Separador de milhares 3 12 4 3 5 2" xfId="44024" xr:uid="{00000000-0005-0000-0000-000033320000}"/>
    <cellStyle name="Separador de milhares 3 12 4 3 6" xfId="11500" xr:uid="{00000000-0005-0000-0000-000034320000}"/>
    <cellStyle name="Separador de milhares 3 12 4 3 6 2" xfId="37693" xr:uid="{00000000-0005-0000-0000-000035320000}"/>
    <cellStyle name="Separador de milhares 3 12 4 3 7" xfId="29611" xr:uid="{00000000-0005-0000-0000-000036320000}"/>
    <cellStyle name="Separador de milhares 3 12 4 4" xfId="1808" xr:uid="{00000000-0005-0000-0000-000037320000}"/>
    <cellStyle name="Separador de milhares 3 12 4 4 2" xfId="6931" xr:uid="{00000000-0005-0000-0000-000038320000}"/>
    <cellStyle name="Separador de milhares 3 12 4 4 2 2" xfId="10078" xr:uid="{00000000-0005-0000-0000-000039320000}"/>
    <cellStyle name="Separador de milhares 3 12 4 4 2 2 2" xfId="28292" xr:uid="{00000000-0005-0000-0000-00003A320000}"/>
    <cellStyle name="Separador de milhares 3 12 4 4 2 2 2 2" xfId="54473" xr:uid="{00000000-0005-0000-0000-00003B320000}"/>
    <cellStyle name="Separador de milhares 3 12 4 4 2 2 3" xfId="22378" xr:uid="{00000000-0005-0000-0000-00003C320000}"/>
    <cellStyle name="Separador de milhares 3 12 4 4 2 2 3 2" xfId="48565" xr:uid="{00000000-0005-0000-0000-00003D320000}"/>
    <cellStyle name="Separador de milhares 3 12 4 4 2 2 4" xfId="16464" xr:uid="{00000000-0005-0000-0000-00003E320000}"/>
    <cellStyle name="Separador de milhares 3 12 4 4 2 2 4 2" xfId="42657" xr:uid="{00000000-0005-0000-0000-00003F320000}"/>
    <cellStyle name="Separador de milhares 3 12 4 4 2 2 5" xfId="36271" xr:uid="{00000000-0005-0000-0000-000040320000}"/>
    <cellStyle name="Separador de milhares 3 12 4 4 2 3" xfId="25335" xr:uid="{00000000-0005-0000-0000-000041320000}"/>
    <cellStyle name="Separador de milhares 3 12 4 4 2 3 2" xfId="51519" xr:uid="{00000000-0005-0000-0000-000042320000}"/>
    <cellStyle name="Separador de milhares 3 12 4 4 2 4" xfId="19421" xr:uid="{00000000-0005-0000-0000-000043320000}"/>
    <cellStyle name="Separador de milhares 3 12 4 4 2 4 2" xfId="45611" xr:uid="{00000000-0005-0000-0000-000044320000}"/>
    <cellStyle name="Separador de milhares 3 12 4 4 2 5" xfId="13320" xr:uid="{00000000-0005-0000-0000-000045320000}"/>
    <cellStyle name="Separador de milhares 3 12 4 4 2 5 2" xfId="39513" xr:uid="{00000000-0005-0000-0000-000046320000}"/>
    <cellStyle name="Separador de milhares 3 12 4 4 2 6" xfId="33127" xr:uid="{00000000-0005-0000-0000-000047320000}"/>
    <cellStyle name="Separador de milhares 3 12 4 4 3" xfId="8610" xr:uid="{00000000-0005-0000-0000-000048320000}"/>
    <cellStyle name="Separador de milhares 3 12 4 4 3 2" xfId="26824" xr:uid="{00000000-0005-0000-0000-000049320000}"/>
    <cellStyle name="Separador de milhares 3 12 4 4 3 2 2" xfId="53005" xr:uid="{00000000-0005-0000-0000-00004A320000}"/>
    <cellStyle name="Separador de milhares 3 12 4 4 3 3" xfId="20910" xr:uid="{00000000-0005-0000-0000-00004B320000}"/>
    <cellStyle name="Separador de milhares 3 12 4 4 3 3 2" xfId="47097" xr:uid="{00000000-0005-0000-0000-00004C320000}"/>
    <cellStyle name="Separador de milhares 3 12 4 4 3 4" xfId="14996" xr:uid="{00000000-0005-0000-0000-00004D320000}"/>
    <cellStyle name="Separador de milhares 3 12 4 4 3 4 2" xfId="41189" xr:uid="{00000000-0005-0000-0000-00004E320000}"/>
    <cellStyle name="Separador de milhares 3 12 4 4 3 5" xfId="34803" xr:uid="{00000000-0005-0000-0000-00004F320000}"/>
    <cellStyle name="Separador de milhares 3 12 4 4 4" xfId="5232" xr:uid="{00000000-0005-0000-0000-000050320000}"/>
    <cellStyle name="Separador de milhares 3 12 4 4 4 2" xfId="23867" xr:uid="{00000000-0005-0000-0000-000051320000}"/>
    <cellStyle name="Separador de milhares 3 12 4 4 4 2 2" xfId="50051" xr:uid="{00000000-0005-0000-0000-000052320000}"/>
    <cellStyle name="Separador de milhares 3 12 4 4 4 3" xfId="31428" xr:uid="{00000000-0005-0000-0000-000053320000}"/>
    <cellStyle name="Separador de milhares 3 12 4 4 5" xfId="17953" xr:uid="{00000000-0005-0000-0000-000054320000}"/>
    <cellStyle name="Separador de milhares 3 12 4 4 5 2" xfId="44143" xr:uid="{00000000-0005-0000-0000-000055320000}"/>
    <cellStyle name="Separador de milhares 3 12 4 4 6" xfId="11619" xr:uid="{00000000-0005-0000-0000-000056320000}"/>
    <cellStyle name="Separador de milhares 3 12 4 4 6 2" xfId="37812" xr:uid="{00000000-0005-0000-0000-000057320000}"/>
    <cellStyle name="Separador de milhares 3 12 4 4 7" xfId="29730" xr:uid="{00000000-0005-0000-0000-000058320000}"/>
    <cellStyle name="Separador de milhares 3 12 4 5" xfId="2338" xr:uid="{00000000-0005-0000-0000-000059320000}"/>
    <cellStyle name="Separador de milhares 3 12 4 5 2" xfId="7081" xr:uid="{00000000-0005-0000-0000-00005A320000}"/>
    <cellStyle name="Separador de milhares 3 12 4 5 2 2" xfId="10225" xr:uid="{00000000-0005-0000-0000-00005B320000}"/>
    <cellStyle name="Separador de milhares 3 12 4 5 2 2 2" xfId="28439" xr:uid="{00000000-0005-0000-0000-00005C320000}"/>
    <cellStyle name="Separador de milhares 3 12 4 5 2 2 2 2" xfId="54620" xr:uid="{00000000-0005-0000-0000-00005D320000}"/>
    <cellStyle name="Separador de milhares 3 12 4 5 2 2 3" xfId="22525" xr:uid="{00000000-0005-0000-0000-00005E320000}"/>
    <cellStyle name="Separador de milhares 3 12 4 5 2 2 3 2" xfId="48712" xr:uid="{00000000-0005-0000-0000-00005F320000}"/>
    <cellStyle name="Separador de milhares 3 12 4 5 2 2 4" xfId="16611" xr:uid="{00000000-0005-0000-0000-000060320000}"/>
    <cellStyle name="Separador de milhares 3 12 4 5 2 2 4 2" xfId="42804" xr:uid="{00000000-0005-0000-0000-000061320000}"/>
    <cellStyle name="Separador de milhares 3 12 4 5 2 2 5" xfId="36418" xr:uid="{00000000-0005-0000-0000-000062320000}"/>
    <cellStyle name="Separador de milhares 3 12 4 5 2 3" xfId="25482" xr:uid="{00000000-0005-0000-0000-000063320000}"/>
    <cellStyle name="Separador de milhares 3 12 4 5 2 3 2" xfId="51666" xr:uid="{00000000-0005-0000-0000-000064320000}"/>
    <cellStyle name="Separador de milhares 3 12 4 5 2 4" xfId="19568" xr:uid="{00000000-0005-0000-0000-000065320000}"/>
    <cellStyle name="Separador de milhares 3 12 4 5 2 4 2" xfId="45758" xr:uid="{00000000-0005-0000-0000-000066320000}"/>
    <cellStyle name="Separador de milhares 3 12 4 5 2 5" xfId="13470" xr:uid="{00000000-0005-0000-0000-000067320000}"/>
    <cellStyle name="Separador de milhares 3 12 4 5 2 5 2" xfId="39663" xr:uid="{00000000-0005-0000-0000-000068320000}"/>
    <cellStyle name="Separador de milhares 3 12 4 5 2 6" xfId="33277" xr:uid="{00000000-0005-0000-0000-000069320000}"/>
    <cellStyle name="Separador de milhares 3 12 4 5 3" xfId="8757" xr:uid="{00000000-0005-0000-0000-00006A320000}"/>
    <cellStyle name="Separador de milhares 3 12 4 5 3 2" xfId="26971" xr:uid="{00000000-0005-0000-0000-00006B320000}"/>
    <cellStyle name="Separador de milhares 3 12 4 5 3 2 2" xfId="53152" xr:uid="{00000000-0005-0000-0000-00006C320000}"/>
    <cellStyle name="Separador de milhares 3 12 4 5 3 3" xfId="21057" xr:uid="{00000000-0005-0000-0000-00006D320000}"/>
    <cellStyle name="Separador de milhares 3 12 4 5 3 3 2" xfId="47244" xr:uid="{00000000-0005-0000-0000-00006E320000}"/>
    <cellStyle name="Separador de milhares 3 12 4 5 3 4" xfId="15143" xr:uid="{00000000-0005-0000-0000-00006F320000}"/>
    <cellStyle name="Separador de milhares 3 12 4 5 3 4 2" xfId="41336" xr:uid="{00000000-0005-0000-0000-000070320000}"/>
    <cellStyle name="Separador de milhares 3 12 4 5 3 5" xfId="34950" xr:uid="{00000000-0005-0000-0000-000071320000}"/>
    <cellStyle name="Separador de milhares 3 12 4 5 4" xfId="5382" xr:uid="{00000000-0005-0000-0000-000072320000}"/>
    <cellStyle name="Separador de milhares 3 12 4 5 4 2" xfId="24014" xr:uid="{00000000-0005-0000-0000-000073320000}"/>
    <cellStyle name="Separador de milhares 3 12 4 5 4 2 2" xfId="50198" xr:uid="{00000000-0005-0000-0000-000074320000}"/>
    <cellStyle name="Separador de milhares 3 12 4 5 4 3" xfId="31578" xr:uid="{00000000-0005-0000-0000-000075320000}"/>
    <cellStyle name="Separador de milhares 3 12 4 5 5" xfId="18100" xr:uid="{00000000-0005-0000-0000-000076320000}"/>
    <cellStyle name="Separador de milhares 3 12 4 5 5 2" xfId="44290" xr:uid="{00000000-0005-0000-0000-000077320000}"/>
    <cellStyle name="Separador de milhares 3 12 4 5 6" xfId="11769" xr:uid="{00000000-0005-0000-0000-000078320000}"/>
    <cellStyle name="Separador de milhares 3 12 4 5 6 2" xfId="37962" xr:uid="{00000000-0005-0000-0000-000079320000}"/>
    <cellStyle name="Separador de milhares 3 12 4 5 7" xfId="29880" xr:uid="{00000000-0005-0000-0000-00007A320000}"/>
    <cellStyle name="Separador de milhares 3 12 4 6" xfId="2865" xr:uid="{00000000-0005-0000-0000-00007B320000}"/>
    <cellStyle name="Separador de milhares 3 12 4 6 2" xfId="7228" xr:uid="{00000000-0005-0000-0000-00007C320000}"/>
    <cellStyle name="Separador de milhares 3 12 4 6 2 2" xfId="10372" xr:uid="{00000000-0005-0000-0000-00007D320000}"/>
    <cellStyle name="Separador de milhares 3 12 4 6 2 2 2" xfId="28586" xr:uid="{00000000-0005-0000-0000-00007E320000}"/>
    <cellStyle name="Separador de milhares 3 12 4 6 2 2 2 2" xfId="54767" xr:uid="{00000000-0005-0000-0000-00007F320000}"/>
    <cellStyle name="Separador de milhares 3 12 4 6 2 2 3" xfId="22672" xr:uid="{00000000-0005-0000-0000-000080320000}"/>
    <cellStyle name="Separador de milhares 3 12 4 6 2 2 3 2" xfId="48859" xr:uid="{00000000-0005-0000-0000-000081320000}"/>
    <cellStyle name="Separador de milhares 3 12 4 6 2 2 4" xfId="16758" xr:uid="{00000000-0005-0000-0000-000082320000}"/>
    <cellStyle name="Separador de milhares 3 12 4 6 2 2 4 2" xfId="42951" xr:uid="{00000000-0005-0000-0000-000083320000}"/>
    <cellStyle name="Separador de milhares 3 12 4 6 2 2 5" xfId="36565" xr:uid="{00000000-0005-0000-0000-000084320000}"/>
    <cellStyle name="Separador de milhares 3 12 4 6 2 3" xfId="25629" xr:uid="{00000000-0005-0000-0000-000085320000}"/>
    <cellStyle name="Separador de milhares 3 12 4 6 2 3 2" xfId="51813" xr:uid="{00000000-0005-0000-0000-000086320000}"/>
    <cellStyle name="Separador de milhares 3 12 4 6 2 4" xfId="19715" xr:uid="{00000000-0005-0000-0000-000087320000}"/>
    <cellStyle name="Separador de milhares 3 12 4 6 2 4 2" xfId="45905" xr:uid="{00000000-0005-0000-0000-000088320000}"/>
    <cellStyle name="Separador de milhares 3 12 4 6 2 5" xfId="13617" xr:uid="{00000000-0005-0000-0000-000089320000}"/>
    <cellStyle name="Separador de milhares 3 12 4 6 2 5 2" xfId="39810" xr:uid="{00000000-0005-0000-0000-00008A320000}"/>
    <cellStyle name="Separador de milhares 3 12 4 6 2 6" xfId="33424" xr:uid="{00000000-0005-0000-0000-00008B320000}"/>
    <cellStyle name="Separador de milhares 3 12 4 6 3" xfId="8904" xr:uid="{00000000-0005-0000-0000-00008C320000}"/>
    <cellStyle name="Separador de milhares 3 12 4 6 3 2" xfId="27118" xr:uid="{00000000-0005-0000-0000-00008D320000}"/>
    <cellStyle name="Separador de milhares 3 12 4 6 3 2 2" xfId="53299" xr:uid="{00000000-0005-0000-0000-00008E320000}"/>
    <cellStyle name="Separador de milhares 3 12 4 6 3 3" xfId="21204" xr:uid="{00000000-0005-0000-0000-00008F320000}"/>
    <cellStyle name="Separador de milhares 3 12 4 6 3 3 2" xfId="47391" xr:uid="{00000000-0005-0000-0000-000090320000}"/>
    <cellStyle name="Separador de milhares 3 12 4 6 3 4" xfId="15290" xr:uid="{00000000-0005-0000-0000-000091320000}"/>
    <cellStyle name="Separador de milhares 3 12 4 6 3 4 2" xfId="41483" xr:uid="{00000000-0005-0000-0000-000092320000}"/>
    <cellStyle name="Separador de milhares 3 12 4 6 3 5" xfId="35097" xr:uid="{00000000-0005-0000-0000-000093320000}"/>
    <cellStyle name="Separador de milhares 3 12 4 6 4" xfId="5529" xr:uid="{00000000-0005-0000-0000-000094320000}"/>
    <cellStyle name="Separador de milhares 3 12 4 6 4 2" xfId="24161" xr:uid="{00000000-0005-0000-0000-000095320000}"/>
    <cellStyle name="Separador de milhares 3 12 4 6 4 2 2" xfId="50345" xr:uid="{00000000-0005-0000-0000-000096320000}"/>
    <cellStyle name="Separador de milhares 3 12 4 6 4 3" xfId="31725" xr:uid="{00000000-0005-0000-0000-000097320000}"/>
    <cellStyle name="Separador de milhares 3 12 4 6 5" xfId="18247" xr:uid="{00000000-0005-0000-0000-000098320000}"/>
    <cellStyle name="Separador de milhares 3 12 4 6 5 2" xfId="44437" xr:uid="{00000000-0005-0000-0000-000099320000}"/>
    <cellStyle name="Separador de milhares 3 12 4 6 6" xfId="11916" xr:uid="{00000000-0005-0000-0000-00009A320000}"/>
    <cellStyle name="Separador de milhares 3 12 4 6 6 2" xfId="38109" xr:uid="{00000000-0005-0000-0000-00009B320000}"/>
    <cellStyle name="Separador de milhares 3 12 4 6 7" xfId="30027" xr:uid="{00000000-0005-0000-0000-00009C320000}"/>
    <cellStyle name="Separador de milhares 3 12 4 7" xfId="3392" xr:uid="{00000000-0005-0000-0000-00009D320000}"/>
    <cellStyle name="Separador de milhares 3 12 4 7 2" xfId="7375" xr:uid="{00000000-0005-0000-0000-00009E320000}"/>
    <cellStyle name="Separador de milhares 3 12 4 7 2 2" xfId="10519" xr:uid="{00000000-0005-0000-0000-00009F320000}"/>
    <cellStyle name="Separador de milhares 3 12 4 7 2 2 2" xfId="28733" xr:uid="{00000000-0005-0000-0000-0000A0320000}"/>
    <cellStyle name="Separador de milhares 3 12 4 7 2 2 2 2" xfId="54914" xr:uid="{00000000-0005-0000-0000-0000A1320000}"/>
    <cellStyle name="Separador de milhares 3 12 4 7 2 2 3" xfId="22819" xr:uid="{00000000-0005-0000-0000-0000A2320000}"/>
    <cellStyle name="Separador de milhares 3 12 4 7 2 2 3 2" xfId="49006" xr:uid="{00000000-0005-0000-0000-0000A3320000}"/>
    <cellStyle name="Separador de milhares 3 12 4 7 2 2 4" xfId="16905" xr:uid="{00000000-0005-0000-0000-0000A4320000}"/>
    <cellStyle name="Separador de milhares 3 12 4 7 2 2 4 2" xfId="43098" xr:uid="{00000000-0005-0000-0000-0000A5320000}"/>
    <cellStyle name="Separador de milhares 3 12 4 7 2 2 5" xfId="36712" xr:uid="{00000000-0005-0000-0000-0000A6320000}"/>
    <cellStyle name="Separador de milhares 3 12 4 7 2 3" xfId="25776" xr:uid="{00000000-0005-0000-0000-0000A7320000}"/>
    <cellStyle name="Separador de milhares 3 12 4 7 2 3 2" xfId="51960" xr:uid="{00000000-0005-0000-0000-0000A8320000}"/>
    <cellStyle name="Separador de milhares 3 12 4 7 2 4" xfId="19862" xr:uid="{00000000-0005-0000-0000-0000A9320000}"/>
    <cellStyle name="Separador de milhares 3 12 4 7 2 4 2" xfId="46052" xr:uid="{00000000-0005-0000-0000-0000AA320000}"/>
    <cellStyle name="Separador de milhares 3 12 4 7 2 5" xfId="13764" xr:uid="{00000000-0005-0000-0000-0000AB320000}"/>
    <cellStyle name="Separador de milhares 3 12 4 7 2 5 2" xfId="39957" xr:uid="{00000000-0005-0000-0000-0000AC320000}"/>
    <cellStyle name="Separador de milhares 3 12 4 7 2 6" xfId="33571" xr:uid="{00000000-0005-0000-0000-0000AD320000}"/>
    <cellStyle name="Separador de milhares 3 12 4 7 3" xfId="9051" xr:uid="{00000000-0005-0000-0000-0000AE320000}"/>
    <cellStyle name="Separador de milhares 3 12 4 7 3 2" xfId="27265" xr:uid="{00000000-0005-0000-0000-0000AF320000}"/>
    <cellStyle name="Separador de milhares 3 12 4 7 3 2 2" xfId="53446" xr:uid="{00000000-0005-0000-0000-0000B0320000}"/>
    <cellStyle name="Separador de milhares 3 12 4 7 3 3" xfId="21351" xr:uid="{00000000-0005-0000-0000-0000B1320000}"/>
    <cellStyle name="Separador de milhares 3 12 4 7 3 3 2" xfId="47538" xr:uid="{00000000-0005-0000-0000-0000B2320000}"/>
    <cellStyle name="Separador de milhares 3 12 4 7 3 4" xfId="15437" xr:uid="{00000000-0005-0000-0000-0000B3320000}"/>
    <cellStyle name="Separador de milhares 3 12 4 7 3 4 2" xfId="41630" xr:uid="{00000000-0005-0000-0000-0000B4320000}"/>
    <cellStyle name="Separador de milhares 3 12 4 7 3 5" xfId="35244" xr:uid="{00000000-0005-0000-0000-0000B5320000}"/>
    <cellStyle name="Separador de milhares 3 12 4 7 4" xfId="5676" xr:uid="{00000000-0005-0000-0000-0000B6320000}"/>
    <cellStyle name="Separador de milhares 3 12 4 7 4 2" xfId="24308" xr:uid="{00000000-0005-0000-0000-0000B7320000}"/>
    <cellStyle name="Separador de milhares 3 12 4 7 4 2 2" xfId="50492" xr:uid="{00000000-0005-0000-0000-0000B8320000}"/>
    <cellStyle name="Separador de milhares 3 12 4 7 4 3" xfId="31872" xr:uid="{00000000-0005-0000-0000-0000B9320000}"/>
    <cellStyle name="Separador de milhares 3 12 4 7 5" xfId="18394" xr:uid="{00000000-0005-0000-0000-0000BA320000}"/>
    <cellStyle name="Separador de milhares 3 12 4 7 5 2" xfId="44584" xr:uid="{00000000-0005-0000-0000-0000BB320000}"/>
    <cellStyle name="Separador de milhares 3 12 4 7 6" xfId="12063" xr:uid="{00000000-0005-0000-0000-0000BC320000}"/>
    <cellStyle name="Separador de milhares 3 12 4 7 6 2" xfId="38256" xr:uid="{00000000-0005-0000-0000-0000BD320000}"/>
    <cellStyle name="Separador de milhares 3 12 4 7 7" xfId="30174" xr:uid="{00000000-0005-0000-0000-0000BE320000}"/>
    <cellStyle name="Separador de milhares 3 12 4 8" xfId="3919" xr:uid="{00000000-0005-0000-0000-0000BF320000}"/>
    <cellStyle name="Separador de milhares 3 12 4 8 2" xfId="7522" xr:uid="{00000000-0005-0000-0000-0000C0320000}"/>
    <cellStyle name="Separador de milhares 3 12 4 8 2 2" xfId="10666" xr:uid="{00000000-0005-0000-0000-0000C1320000}"/>
    <cellStyle name="Separador de milhares 3 12 4 8 2 2 2" xfId="28880" xr:uid="{00000000-0005-0000-0000-0000C2320000}"/>
    <cellStyle name="Separador de milhares 3 12 4 8 2 2 2 2" xfId="55061" xr:uid="{00000000-0005-0000-0000-0000C3320000}"/>
    <cellStyle name="Separador de milhares 3 12 4 8 2 2 3" xfId="22966" xr:uid="{00000000-0005-0000-0000-0000C4320000}"/>
    <cellStyle name="Separador de milhares 3 12 4 8 2 2 3 2" xfId="49153" xr:uid="{00000000-0005-0000-0000-0000C5320000}"/>
    <cellStyle name="Separador de milhares 3 12 4 8 2 2 4" xfId="17052" xr:uid="{00000000-0005-0000-0000-0000C6320000}"/>
    <cellStyle name="Separador de milhares 3 12 4 8 2 2 4 2" xfId="43245" xr:uid="{00000000-0005-0000-0000-0000C7320000}"/>
    <cellStyle name="Separador de milhares 3 12 4 8 2 2 5" xfId="36859" xr:uid="{00000000-0005-0000-0000-0000C8320000}"/>
    <cellStyle name="Separador de milhares 3 12 4 8 2 3" xfId="25923" xr:uid="{00000000-0005-0000-0000-0000C9320000}"/>
    <cellStyle name="Separador de milhares 3 12 4 8 2 3 2" xfId="52107" xr:uid="{00000000-0005-0000-0000-0000CA320000}"/>
    <cellStyle name="Separador de milhares 3 12 4 8 2 4" xfId="20009" xr:uid="{00000000-0005-0000-0000-0000CB320000}"/>
    <cellStyle name="Separador de milhares 3 12 4 8 2 4 2" xfId="46199" xr:uid="{00000000-0005-0000-0000-0000CC320000}"/>
    <cellStyle name="Separador de milhares 3 12 4 8 2 5" xfId="13911" xr:uid="{00000000-0005-0000-0000-0000CD320000}"/>
    <cellStyle name="Separador de milhares 3 12 4 8 2 5 2" xfId="40104" xr:uid="{00000000-0005-0000-0000-0000CE320000}"/>
    <cellStyle name="Separador de milhares 3 12 4 8 2 6" xfId="33718" xr:uid="{00000000-0005-0000-0000-0000CF320000}"/>
    <cellStyle name="Separador de milhares 3 12 4 8 3" xfId="9198" xr:uid="{00000000-0005-0000-0000-0000D0320000}"/>
    <cellStyle name="Separador de milhares 3 12 4 8 3 2" xfId="27412" xr:uid="{00000000-0005-0000-0000-0000D1320000}"/>
    <cellStyle name="Separador de milhares 3 12 4 8 3 2 2" xfId="53593" xr:uid="{00000000-0005-0000-0000-0000D2320000}"/>
    <cellStyle name="Separador de milhares 3 12 4 8 3 3" xfId="21498" xr:uid="{00000000-0005-0000-0000-0000D3320000}"/>
    <cellStyle name="Separador de milhares 3 12 4 8 3 3 2" xfId="47685" xr:uid="{00000000-0005-0000-0000-0000D4320000}"/>
    <cellStyle name="Separador de milhares 3 12 4 8 3 4" xfId="15584" xr:uid="{00000000-0005-0000-0000-0000D5320000}"/>
    <cellStyle name="Separador de milhares 3 12 4 8 3 4 2" xfId="41777" xr:uid="{00000000-0005-0000-0000-0000D6320000}"/>
    <cellStyle name="Separador de milhares 3 12 4 8 3 5" xfId="35391" xr:uid="{00000000-0005-0000-0000-0000D7320000}"/>
    <cellStyle name="Separador de milhares 3 12 4 8 4" xfId="5823" xr:uid="{00000000-0005-0000-0000-0000D8320000}"/>
    <cellStyle name="Separador de milhares 3 12 4 8 4 2" xfId="24455" xr:uid="{00000000-0005-0000-0000-0000D9320000}"/>
    <cellStyle name="Separador de milhares 3 12 4 8 4 2 2" xfId="50639" xr:uid="{00000000-0005-0000-0000-0000DA320000}"/>
    <cellStyle name="Separador de milhares 3 12 4 8 4 3" xfId="32019" xr:uid="{00000000-0005-0000-0000-0000DB320000}"/>
    <cellStyle name="Separador de milhares 3 12 4 8 5" xfId="18541" xr:uid="{00000000-0005-0000-0000-0000DC320000}"/>
    <cellStyle name="Separador de milhares 3 12 4 8 5 2" xfId="44731" xr:uid="{00000000-0005-0000-0000-0000DD320000}"/>
    <cellStyle name="Separador de milhares 3 12 4 8 6" xfId="12210" xr:uid="{00000000-0005-0000-0000-0000DE320000}"/>
    <cellStyle name="Separador de milhares 3 12 4 8 6 2" xfId="38403" xr:uid="{00000000-0005-0000-0000-0000DF320000}"/>
    <cellStyle name="Separador de milhares 3 12 4 8 7" xfId="30321" xr:uid="{00000000-0005-0000-0000-0000E0320000}"/>
    <cellStyle name="Separador de milhares 3 12 4 9" xfId="681" xr:uid="{00000000-0005-0000-0000-0000E1320000}"/>
    <cellStyle name="Separador de milhares 3 12 4 9 2" xfId="6616" xr:uid="{00000000-0005-0000-0000-0000E2320000}"/>
    <cellStyle name="Separador de milhares 3 12 4 9 2 2" xfId="9763" xr:uid="{00000000-0005-0000-0000-0000E3320000}"/>
    <cellStyle name="Separador de milhares 3 12 4 9 2 2 2" xfId="27977" xr:uid="{00000000-0005-0000-0000-0000E4320000}"/>
    <cellStyle name="Separador de milhares 3 12 4 9 2 2 2 2" xfId="54158" xr:uid="{00000000-0005-0000-0000-0000E5320000}"/>
    <cellStyle name="Separador de milhares 3 12 4 9 2 2 3" xfId="22063" xr:uid="{00000000-0005-0000-0000-0000E6320000}"/>
    <cellStyle name="Separador de milhares 3 12 4 9 2 2 3 2" xfId="48250" xr:uid="{00000000-0005-0000-0000-0000E7320000}"/>
    <cellStyle name="Separador de milhares 3 12 4 9 2 2 4" xfId="16149" xr:uid="{00000000-0005-0000-0000-0000E8320000}"/>
    <cellStyle name="Separador de milhares 3 12 4 9 2 2 4 2" xfId="42342" xr:uid="{00000000-0005-0000-0000-0000E9320000}"/>
    <cellStyle name="Separador de milhares 3 12 4 9 2 2 5" xfId="35956" xr:uid="{00000000-0005-0000-0000-0000EA320000}"/>
    <cellStyle name="Separador de milhares 3 12 4 9 2 3" xfId="25020" xr:uid="{00000000-0005-0000-0000-0000EB320000}"/>
    <cellStyle name="Separador de milhares 3 12 4 9 2 3 2" xfId="51204" xr:uid="{00000000-0005-0000-0000-0000EC320000}"/>
    <cellStyle name="Separador de milhares 3 12 4 9 2 4" xfId="19106" xr:uid="{00000000-0005-0000-0000-0000ED320000}"/>
    <cellStyle name="Separador de milhares 3 12 4 9 2 4 2" xfId="45296" xr:uid="{00000000-0005-0000-0000-0000EE320000}"/>
    <cellStyle name="Separador de milhares 3 12 4 9 2 5" xfId="13005" xr:uid="{00000000-0005-0000-0000-0000EF320000}"/>
    <cellStyle name="Separador de milhares 3 12 4 9 2 5 2" xfId="39198" xr:uid="{00000000-0005-0000-0000-0000F0320000}"/>
    <cellStyle name="Separador de milhares 3 12 4 9 2 6" xfId="32812" xr:uid="{00000000-0005-0000-0000-0000F1320000}"/>
    <cellStyle name="Separador de milhares 3 12 4 9 3" xfId="8295" xr:uid="{00000000-0005-0000-0000-0000F2320000}"/>
    <cellStyle name="Separador de milhares 3 12 4 9 3 2" xfId="26509" xr:uid="{00000000-0005-0000-0000-0000F3320000}"/>
    <cellStyle name="Separador de milhares 3 12 4 9 3 2 2" xfId="52690" xr:uid="{00000000-0005-0000-0000-0000F4320000}"/>
    <cellStyle name="Separador de milhares 3 12 4 9 3 3" xfId="20595" xr:uid="{00000000-0005-0000-0000-0000F5320000}"/>
    <cellStyle name="Separador de milhares 3 12 4 9 3 3 2" xfId="46782" xr:uid="{00000000-0005-0000-0000-0000F6320000}"/>
    <cellStyle name="Separador de milhares 3 12 4 9 3 4" xfId="14681" xr:uid="{00000000-0005-0000-0000-0000F7320000}"/>
    <cellStyle name="Separador de milhares 3 12 4 9 3 4 2" xfId="40874" xr:uid="{00000000-0005-0000-0000-0000F8320000}"/>
    <cellStyle name="Separador de milhares 3 12 4 9 3 5" xfId="34488" xr:uid="{00000000-0005-0000-0000-0000F9320000}"/>
    <cellStyle name="Separador de milhares 3 12 4 9 4" xfId="4917" xr:uid="{00000000-0005-0000-0000-0000FA320000}"/>
    <cellStyle name="Separador de milhares 3 12 4 9 4 2" xfId="23552" xr:uid="{00000000-0005-0000-0000-0000FB320000}"/>
    <cellStyle name="Separador de milhares 3 12 4 9 4 2 2" xfId="49736" xr:uid="{00000000-0005-0000-0000-0000FC320000}"/>
    <cellStyle name="Separador de milhares 3 12 4 9 4 3" xfId="31113" xr:uid="{00000000-0005-0000-0000-0000FD320000}"/>
    <cellStyle name="Separador de milhares 3 12 4 9 5" xfId="17638" xr:uid="{00000000-0005-0000-0000-0000FE320000}"/>
    <cellStyle name="Separador de milhares 3 12 4 9 5 2" xfId="43828" xr:uid="{00000000-0005-0000-0000-0000FF320000}"/>
    <cellStyle name="Separador de milhares 3 12 4 9 6" xfId="11304" xr:uid="{00000000-0005-0000-0000-000000330000}"/>
    <cellStyle name="Separador de milhares 3 12 4 9 6 2" xfId="37497" xr:uid="{00000000-0005-0000-0000-000001330000}"/>
    <cellStyle name="Separador de milhares 3 12 4 9 7" xfId="29415" xr:uid="{00000000-0005-0000-0000-000002330000}"/>
    <cellStyle name="Separador de milhares 3 12 5" xfId="634" xr:uid="{00000000-0005-0000-0000-000003330000}"/>
    <cellStyle name="Separador de milhares 3 12 5 10" xfId="4881" xr:uid="{00000000-0005-0000-0000-000004330000}"/>
    <cellStyle name="Separador de milhares 3 12 5 10 2" xfId="23515" xr:uid="{00000000-0005-0000-0000-000005330000}"/>
    <cellStyle name="Separador de milhares 3 12 5 10 2 2" xfId="49702" xr:uid="{00000000-0005-0000-0000-000006330000}"/>
    <cellStyle name="Separador de milhares 3 12 5 10 3" xfId="31079" xr:uid="{00000000-0005-0000-0000-000007330000}"/>
    <cellStyle name="Separador de milhares 3 12 5 11" xfId="17601" xr:uid="{00000000-0005-0000-0000-000008330000}"/>
    <cellStyle name="Separador de milhares 3 12 5 11 2" xfId="43794" xr:uid="{00000000-0005-0000-0000-000009330000}"/>
    <cellStyle name="Separador de milhares 3 12 5 12" xfId="11270" xr:uid="{00000000-0005-0000-0000-00000A330000}"/>
    <cellStyle name="Separador de milhares 3 12 5 12 2" xfId="37463" xr:uid="{00000000-0005-0000-0000-00000B330000}"/>
    <cellStyle name="Separador de milhares 3 12 5 13" xfId="29381" xr:uid="{00000000-0005-0000-0000-00000C330000}"/>
    <cellStyle name="Separador de milhares 3 12 5 2" xfId="1457" xr:uid="{00000000-0005-0000-0000-00000D330000}"/>
    <cellStyle name="Separador de milhares 3 12 5 2 2" xfId="6833" xr:uid="{00000000-0005-0000-0000-00000E330000}"/>
    <cellStyle name="Separador de milhares 3 12 5 2 2 2" xfId="9980" xr:uid="{00000000-0005-0000-0000-00000F330000}"/>
    <cellStyle name="Separador de milhares 3 12 5 2 2 2 2" xfId="28194" xr:uid="{00000000-0005-0000-0000-000010330000}"/>
    <cellStyle name="Separador de milhares 3 12 5 2 2 2 2 2" xfId="54375" xr:uid="{00000000-0005-0000-0000-000011330000}"/>
    <cellStyle name="Separador de milhares 3 12 5 2 2 2 3" xfId="22280" xr:uid="{00000000-0005-0000-0000-000012330000}"/>
    <cellStyle name="Separador de milhares 3 12 5 2 2 2 3 2" xfId="48467" xr:uid="{00000000-0005-0000-0000-000013330000}"/>
    <cellStyle name="Separador de milhares 3 12 5 2 2 2 4" xfId="16366" xr:uid="{00000000-0005-0000-0000-000014330000}"/>
    <cellStyle name="Separador de milhares 3 12 5 2 2 2 4 2" xfId="42559" xr:uid="{00000000-0005-0000-0000-000015330000}"/>
    <cellStyle name="Separador de milhares 3 12 5 2 2 2 5" xfId="36173" xr:uid="{00000000-0005-0000-0000-000016330000}"/>
    <cellStyle name="Separador de milhares 3 12 5 2 2 3" xfId="25237" xr:uid="{00000000-0005-0000-0000-000017330000}"/>
    <cellStyle name="Separador de milhares 3 12 5 2 2 3 2" xfId="51421" xr:uid="{00000000-0005-0000-0000-000018330000}"/>
    <cellStyle name="Separador de milhares 3 12 5 2 2 4" xfId="19323" xr:uid="{00000000-0005-0000-0000-000019330000}"/>
    <cellStyle name="Separador de milhares 3 12 5 2 2 4 2" xfId="45513" xr:uid="{00000000-0005-0000-0000-00001A330000}"/>
    <cellStyle name="Separador de milhares 3 12 5 2 2 5" xfId="13222" xr:uid="{00000000-0005-0000-0000-00001B330000}"/>
    <cellStyle name="Separador de milhares 3 12 5 2 2 5 2" xfId="39415" xr:uid="{00000000-0005-0000-0000-00001C330000}"/>
    <cellStyle name="Separador de milhares 3 12 5 2 2 6" xfId="33029" xr:uid="{00000000-0005-0000-0000-00001D330000}"/>
    <cellStyle name="Separador de milhares 3 12 5 2 3" xfId="8512" xr:uid="{00000000-0005-0000-0000-00001E330000}"/>
    <cellStyle name="Separador de milhares 3 12 5 2 3 2" xfId="26726" xr:uid="{00000000-0005-0000-0000-00001F330000}"/>
    <cellStyle name="Separador de milhares 3 12 5 2 3 2 2" xfId="52907" xr:uid="{00000000-0005-0000-0000-000020330000}"/>
    <cellStyle name="Separador de milhares 3 12 5 2 3 3" xfId="20812" xr:uid="{00000000-0005-0000-0000-000021330000}"/>
    <cellStyle name="Separador de milhares 3 12 5 2 3 3 2" xfId="46999" xr:uid="{00000000-0005-0000-0000-000022330000}"/>
    <cellStyle name="Separador de milhares 3 12 5 2 3 4" xfId="14898" xr:uid="{00000000-0005-0000-0000-000023330000}"/>
    <cellStyle name="Separador de milhares 3 12 5 2 3 4 2" xfId="41091" xr:uid="{00000000-0005-0000-0000-000024330000}"/>
    <cellStyle name="Separador de milhares 3 12 5 2 3 5" xfId="34705" xr:uid="{00000000-0005-0000-0000-000025330000}"/>
    <cellStyle name="Separador de milhares 3 12 5 2 4" xfId="5134" xr:uid="{00000000-0005-0000-0000-000026330000}"/>
    <cellStyle name="Separador de milhares 3 12 5 2 4 2" xfId="23769" xr:uid="{00000000-0005-0000-0000-000027330000}"/>
    <cellStyle name="Separador de milhares 3 12 5 2 4 2 2" xfId="49953" xr:uid="{00000000-0005-0000-0000-000028330000}"/>
    <cellStyle name="Separador de milhares 3 12 5 2 4 3" xfId="31330" xr:uid="{00000000-0005-0000-0000-000029330000}"/>
    <cellStyle name="Separador de milhares 3 12 5 2 5" xfId="17855" xr:uid="{00000000-0005-0000-0000-00002A330000}"/>
    <cellStyle name="Separador de milhares 3 12 5 2 5 2" xfId="44045" xr:uid="{00000000-0005-0000-0000-00002B330000}"/>
    <cellStyle name="Separador de milhares 3 12 5 2 6" xfId="11521" xr:uid="{00000000-0005-0000-0000-00002C330000}"/>
    <cellStyle name="Separador de milhares 3 12 5 2 6 2" xfId="37714" xr:uid="{00000000-0005-0000-0000-00002D330000}"/>
    <cellStyle name="Separador de milhares 3 12 5 2 7" xfId="29632" xr:uid="{00000000-0005-0000-0000-00002E330000}"/>
    <cellStyle name="Separador de milhares 3 12 5 3" xfId="1892" xr:uid="{00000000-0005-0000-0000-00002F330000}"/>
    <cellStyle name="Separador de milhares 3 12 5 3 2" xfId="6952" xr:uid="{00000000-0005-0000-0000-000030330000}"/>
    <cellStyle name="Separador de milhares 3 12 5 3 2 2" xfId="10099" xr:uid="{00000000-0005-0000-0000-000031330000}"/>
    <cellStyle name="Separador de milhares 3 12 5 3 2 2 2" xfId="28313" xr:uid="{00000000-0005-0000-0000-000032330000}"/>
    <cellStyle name="Separador de milhares 3 12 5 3 2 2 2 2" xfId="54494" xr:uid="{00000000-0005-0000-0000-000033330000}"/>
    <cellStyle name="Separador de milhares 3 12 5 3 2 2 3" xfId="22399" xr:uid="{00000000-0005-0000-0000-000034330000}"/>
    <cellStyle name="Separador de milhares 3 12 5 3 2 2 3 2" xfId="48586" xr:uid="{00000000-0005-0000-0000-000035330000}"/>
    <cellStyle name="Separador de milhares 3 12 5 3 2 2 4" xfId="16485" xr:uid="{00000000-0005-0000-0000-000036330000}"/>
    <cellStyle name="Separador de milhares 3 12 5 3 2 2 4 2" xfId="42678" xr:uid="{00000000-0005-0000-0000-000037330000}"/>
    <cellStyle name="Separador de milhares 3 12 5 3 2 2 5" xfId="36292" xr:uid="{00000000-0005-0000-0000-000038330000}"/>
    <cellStyle name="Separador de milhares 3 12 5 3 2 3" xfId="25356" xr:uid="{00000000-0005-0000-0000-000039330000}"/>
    <cellStyle name="Separador de milhares 3 12 5 3 2 3 2" xfId="51540" xr:uid="{00000000-0005-0000-0000-00003A330000}"/>
    <cellStyle name="Separador de milhares 3 12 5 3 2 4" xfId="19442" xr:uid="{00000000-0005-0000-0000-00003B330000}"/>
    <cellStyle name="Separador de milhares 3 12 5 3 2 4 2" xfId="45632" xr:uid="{00000000-0005-0000-0000-00003C330000}"/>
    <cellStyle name="Separador de milhares 3 12 5 3 2 5" xfId="13341" xr:uid="{00000000-0005-0000-0000-00003D330000}"/>
    <cellStyle name="Separador de milhares 3 12 5 3 2 5 2" xfId="39534" xr:uid="{00000000-0005-0000-0000-00003E330000}"/>
    <cellStyle name="Separador de milhares 3 12 5 3 2 6" xfId="33148" xr:uid="{00000000-0005-0000-0000-00003F330000}"/>
    <cellStyle name="Separador de milhares 3 12 5 3 3" xfId="8631" xr:uid="{00000000-0005-0000-0000-000040330000}"/>
    <cellStyle name="Separador de milhares 3 12 5 3 3 2" xfId="26845" xr:uid="{00000000-0005-0000-0000-000041330000}"/>
    <cellStyle name="Separador de milhares 3 12 5 3 3 2 2" xfId="53026" xr:uid="{00000000-0005-0000-0000-000042330000}"/>
    <cellStyle name="Separador de milhares 3 12 5 3 3 3" xfId="20931" xr:uid="{00000000-0005-0000-0000-000043330000}"/>
    <cellStyle name="Separador de milhares 3 12 5 3 3 3 2" xfId="47118" xr:uid="{00000000-0005-0000-0000-000044330000}"/>
    <cellStyle name="Separador de milhares 3 12 5 3 3 4" xfId="15017" xr:uid="{00000000-0005-0000-0000-000045330000}"/>
    <cellStyle name="Separador de milhares 3 12 5 3 3 4 2" xfId="41210" xr:uid="{00000000-0005-0000-0000-000046330000}"/>
    <cellStyle name="Separador de milhares 3 12 5 3 3 5" xfId="34824" xr:uid="{00000000-0005-0000-0000-000047330000}"/>
    <cellStyle name="Separador de milhares 3 12 5 3 4" xfId="5253" xr:uid="{00000000-0005-0000-0000-000048330000}"/>
    <cellStyle name="Separador de milhares 3 12 5 3 4 2" xfId="23888" xr:uid="{00000000-0005-0000-0000-000049330000}"/>
    <cellStyle name="Separador de milhares 3 12 5 3 4 2 2" xfId="50072" xr:uid="{00000000-0005-0000-0000-00004A330000}"/>
    <cellStyle name="Separador de milhares 3 12 5 3 4 3" xfId="31449" xr:uid="{00000000-0005-0000-0000-00004B330000}"/>
    <cellStyle name="Separador de milhares 3 12 5 3 5" xfId="17974" xr:uid="{00000000-0005-0000-0000-00004C330000}"/>
    <cellStyle name="Separador de milhares 3 12 5 3 5 2" xfId="44164" xr:uid="{00000000-0005-0000-0000-00004D330000}"/>
    <cellStyle name="Separador de milhares 3 12 5 3 6" xfId="11640" xr:uid="{00000000-0005-0000-0000-00004E330000}"/>
    <cellStyle name="Separador de milhares 3 12 5 3 6 2" xfId="37833" xr:uid="{00000000-0005-0000-0000-00004F330000}"/>
    <cellStyle name="Separador de milhares 3 12 5 3 7" xfId="29751" xr:uid="{00000000-0005-0000-0000-000050330000}"/>
    <cellStyle name="Separador de milhares 3 12 5 4" xfId="2422" xr:uid="{00000000-0005-0000-0000-000051330000}"/>
    <cellStyle name="Separador de milhares 3 12 5 4 2" xfId="7102" xr:uid="{00000000-0005-0000-0000-000052330000}"/>
    <cellStyle name="Separador de milhares 3 12 5 4 2 2" xfId="10246" xr:uid="{00000000-0005-0000-0000-000053330000}"/>
    <cellStyle name="Separador de milhares 3 12 5 4 2 2 2" xfId="28460" xr:uid="{00000000-0005-0000-0000-000054330000}"/>
    <cellStyle name="Separador de milhares 3 12 5 4 2 2 2 2" xfId="54641" xr:uid="{00000000-0005-0000-0000-000055330000}"/>
    <cellStyle name="Separador de milhares 3 12 5 4 2 2 3" xfId="22546" xr:uid="{00000000-0005-0000-0000-000056330000}"/>
    <cellStyle name="Separador de milhares 3 12 5 4 2 2 3 2" xfId="48733" xr:uid="{00000000-0005-0000-0000-000057330000}"/>
    <cellStyle name="Separador de milhares 3 12 5 4 2 2 4" xfId="16632" xr:uid="{00000000-0005-0000-0000-000058330000}"/>
    <cellStyle name="Separador de milhares 3 12 5 4 2 2 4 2" xfId="42825" xr:uid="{00000000-0005-0000-0000-000059330000}"/>
    <cellStyle name="Separador de milhares 3 12 5 4 2 2 5" xfId="36439" xr:uid="{00000000-0005-0000-0000-00005A330000}"/>
    <cellStyle name="Separador de milhares 3 12 5 4 2 3" xfId="25503" xr:uid="{00000000-0005-0000-0000-00005B330000}"/>
    <cellStyle name="Separador de milhares 3 12 5 4 2 3 2" xfId="51687" xr:uid="{00000000-0005-0000-0000-00005C330000}"/>
    <cellStyle name="Separador de milhares 3 12 5 4 2 4" xfId="19589" xr:uid="{00000000-0005-0000-0000-00005D330000}"/>
    <cellStyle name="Separador de milhares 3 12 5 4 2 4 2" xfId="45779" xr:uid="{00000000-0005-0000-0000-00005E330000}"/>
    <cellStyle name="Separador de milhares 3 12 5 4 2 5" xfId="13491" xr:uid="{00000000-0005-0000-0000-00005F330000}"/>
    <cellStyle name="Separador de milhares 3 12 5 4 2 5 2" xfId="39684" xr:uid="{00000000-0005-0000-0000-000060330000}"/>
    <cellStyle name="Separador de milhares 3 12 5 4 2 6" xfId="33298" xr:uid="{00000000-0005-0000-0000-000061330000}"/>
    <cellStyle name="Separador de milhares 3 12 5 4 3" xfId="8778" xr:uid="{00000000-0005-0000-0000-000062330000}"/>
    <cellStyle name="Separador de milhares 3 12 5 4 3 2" xfId="26992" xr:uid="{00000000-0005-0000-0000-000063330000}"/>
    <cellStyle name="Separador de milhares 3 12 5 4 3 2 2" xfId="53173" xr:uid="{00000000-0005-0000-0000-000064330000}"/>
    <cellStyle name="Separador de milhares 3 12 5 4 3 3" xfId="21078" xr:uid="{00000000-0005-0000-0000-000065330000}"/>
    <cellStyle name="Separador de milhares 3 12 5 4 3 3 2" xfId="47265" xr:uid="{00000000-0005-0000-0000-000066330000}"/>
    <cellStyle name="Separador de milhares 3 12 5 4 3 4" xfId="15164" xr:uid="{00000000-0005-0000-0000-000067330000}"/>
    <cellStyle name="Separador de milhares 3 12 5 4 3 4 2" xfId="41357" xr:uid="{00000000-0005-0000-0000-000068330000}"/>
    <cellStyle name="Separador de milhares 3 12 5 4 3 5" xfId="34971" xr:uid="{00000000-0005-0000-0000-000069330000}"/>
    <cellStyle name="Separador de milhares 3 12 5 4 4" xfId="5403" xr:uid="{00000000-0005-0000-0000-00006A330000}"/>
    <cellStyle name="Separador de milhares 3 12 5 4 4 2" xfId="24035" xr:uid="{00000000-0005-0000-0000-00006B330000}"/>
    <cellStyle name="Separador de milhares 3 12 5 4 4 2 2" xfId="50219" xr:uid="{00000000-0005-0000-0000-00006C330000}"/>
    <cellStyle name="Separador de milhares 3 12 5 4 4 3" xfId="31599" xr:uid="{00000000-0005-0000-0000-00006D330000}"/>
    <cellStyle name="Separador de milhares 3 12 5 4 5" xfId="18121" xr:uid="{00000000-0005-0000-0000-00006E330000}"/>
    <cellStyle name="Separador de milhares 3 12 5 4 5 2" xfId="44311" xr:uid="{00000000-0005-0000-0000-00006F330000}"/>
    <cellStyle name="Separador de milhares 3 12 5 4 6" xfId="11790" xr:uid="{00000000-0005-0000-0000-000070330000}"/>
    <cellStyle name="Separador de milhares 3 12 5 4 6 2" xfId="37983" xr:uid="{00000000-0005-0000-0000-000071330000}"/>
    <cellStyle name="Separador de milhares 3 12 5 4 7" xfId="29901" xr:uid="{00000000-0005-0000-0000-000072330000}"/>
    <cellStyle name="Separador de milhares 3 12 5 5" xfId="2949" xr:uid="{00000000-0005-0000-0000-000073330000}"/>
    <cellStyle name="Separador de milhares 3 12 5 5 2" xfId="7249" xr:uid="{00000000-0005-0000-0000-000074330000}"/>
    <cellStyle name="Separador de milhares 3 12 5 5 2 2" xfId="10393" xr:uid="{00000000-0005-0000-0000-000075330000}"/>
    <cellStyle name="Separador de milhares 3 12 5 5 2 2 2" xfId="28607" xr:uid="{00000000-0005-0000-0000-000076330000}"/>
    <cellStyle name="Separador de milhares 3 12 5 5 2 2 2 2" xfId="54788" xr:uid="{00000000-0005-0000-0000-000077330000}"/>
    <cellStyle name="Separador de milhares 3 12 5 5 2 2 3" xfId="22693" xr:uid="{00000000-0005-0000-0000-000078330000}"/>
    <cellStyle name="Separador de milhares 3 12 5 5 2 2 3 2" xfId="48880" xr:uid="{00000000-0005-0000-0000-000079330000}"/>
    <cellStyle name="Separador de milhares 3 12 5 5 2 2 4" xfId="16779" xr:uid="{00000000-0005-0000-0000-00007A330000}"/>
    <cellStyle name="Separador de milhares 3 12 5 5 2 2 4 2" xfId="42972" xr:uid="{00000000-0005-0000-0000-00007B330000}"/>
    <cellStyle name="Separador de milhares 3 12 5 5 2 2 5" xfId="36586" xr:uid="{00000000-0005-0000-0000-00007C330000}"/>
    <cellStyle name="Separador de milhares 3 12 5 5 2 3" xfId="25650" xr:uid="{00000000-0005-0000-0000-00007D330000}"/>
    <cellStyle name="Separador de milhares 3 12 5 5 2 3 2" xfId="51834" xr:uid="{00000000-0005-0000-0000-00007E330000}"/>
    <cellStyle name="Separador de milhares 3 12 5 5 2 4" xfId="19736" xr:uid="{00000000-0005-0000-0000-00007F330000}"/>
    <cellStyle name="Separador de milhares 3 12 5 5 2 4 2" xfId="45926" xr:uid="{00000000-0005-0000-0000-000080330000}"/>
    <cellStyle name="Separador de milhares 3 12 5 5 2 5" xfId="13638" xr:uid="{00000000-0005-0000-0000-000081330000}"/>
    <cellStyle name="Separador de milhares 3 12 5 5 2 5 2" xfId="39831" xr:uid="{00000000-0005-0000-0000-000082330000}"/>
    <cellStyle name="Separador de milhares 3 12 5 5 2 6" xfId="33445" xr:uid="{00000000-0005-0000-0000-000083330000}"/>
    <cellStyle name="Separador de milhares 3 12 5 5 3" xfId="8925" xr:uid="{00000000-0005-0000-0000-000084330000}"/>
    <cellStyle name="Separador de milhares 3 12 5 5 3 2" xfId="27139" xr:uid="{00000000-0005-0000-0000-000085330000}"/>
    <cellStyle name="Separador de milhares 3 12 5 5 3 2 2" xfId="53320" xr:uid="{00000000-0005-0000-0000-000086330000}"/>
    <cellStyle name="Separador de milhares 3 12 5 5 3 3" xfId="21225" xr:uid="{00000000-0005-0000-0000-000087330000}"/>
    <cellStyle name="Separador de milhares 3 12 5 5 3 3 2" xfId="47412" xr:uid="{00000000-0005-0000-0000-000088330000}"/>
    <cellStyle name="Separador de milhares 3 12 5 5 3 4" xfId="15311" xr:uid="{00000000-0005-0000-0000-000089330000}"/>
    <cellStyle name="Separador de milhares 3 12 5 5 3 4 2" xfId="41504" xr:uid="{00000000-0005-0000-0000-00008A330000}"/>
    <cellStyle name="Separador de milhares 3 12 5 5 3 5" xfId="35118" xr:uid="{00000000-0005-0000-0000-00008B330000}"/>
    <cellStyle name="Separador de milhares 3 12 5 5 4" xfId="5550" xr:uid="{00000000-0005-0000-0000-00008C330000}"/>
    <cellStyle name="Separador de milhares 3 12 5 5 4 2" xfId="24182" xr:uid="{00000000-0005-0000-0000-00008D330000}"/>
    <cellStyle name="Separador de milhares 3 12 5 5 4 2 2" xfId="50366" xr:uid="{00000000-0005-0000-0000-00008E330000}"/>
    <cellStyle name="Separador de milhares 3 12 5 5 4 3" xfId="31746" xr:uid="{00000000-0005-0000-0000-00008F330000}"/>
    <cellStyle name="Separador de milhares 3 12 5 5 5" xfId="18268" xr:uid="{00000000-0005-0000-0000-000090330000}"/>
    <cellStyle name="Separador de milhares 3 12 5 5 5 2" xfId="44458" xr:uid="{00000000-0005-0000-0000-000091330000}"/>
    <cellStyle name="Separador de milhares 3 12 5 5 6" xfId="11937" xr:uid="{00000000-0005-0000-0000-000092330000}"/>
    <cellStyle name="Separador de milhares 3 12 5 5 6 2" xfId="38130" xr:uid="{00000000-0005-0000-0000-000093330000}"/>
    <cellStyle name="Separador de milhares 3 12 5 5 7" xfId="30048" xr:uid="{00000000-0005-0000-0000-000094330000}"/>
    <cellStyle name="Separador de milhares 3 12 5 6" xfId="3476" xr:uid="{00000000-0005-0000-0000-000095330000}"/>
    <cellStyle name="Separador de milhares 3 12 5 6 2" xfId="7396" xr:uid="{00000000-0005-0000-0000-000096330000}"/>
    <cellStyle name="Separador de milhares 3 12 5 6 2 2" xfId="10540" xr:uid="{00000000-0005-0000-0000-000097330000}"/>
    <cellStyle name="Separador de milhares 3 12 5 6 2 2 2" xfId="28754" xr:uid="{00000000-0005-0000-0000-000098330000}"/>
    <cellStyle name="Separador de milhares 3 12 5 6 2 2 2 2" xfId="54935" xr:uid="{00000000-0005-0000-0000-000099330000}"/>
    <cellStyle name="Separador de milhares 3 12 5 6 2 2 3" xfId="22840" xr:uid="{00000000-0005-0000-0000-00009A330000}"/>
    <cellStyle name="Separador de milhares 3 12 5 6 2 2 3 2" xfId="49027" xr:uid="{00000000-0005-0000-0000-00009B330000}"/>
    <cellStyle name="Separador de milhares 3 12 5 6 2 2 4" xfId="16926" xr:uid="{00000000-0005-0000-0000-00009C330000}"/>
    <cellStyle name="Separador de milhares 3 12 5 6 2 2 4 2" xfId="43119" xr:uid="{00000000-0005-0000-0000-00009D330000}"/>
    <cellStyle name="Separador de milhares 3 12 5 6 2 2 5" xfId="36733" xr:uid="{00000000-0005-0000-0000-00009E330000}"/>
    <cellStyle name="Separador de milhares 3 12 5 6 2 3" xfId="25797" xr:uid="{00000000-0005-0000-0000-00009F330000}"/>
    <cellStyle name="Separador de milhares 3 12 5 6 2 3 2" xfId="51981" xr:uid="{00000000-0005-0000-0000-0000A0330000}"/>
    <cellStyle name="Separador de milhares 3 12 5 6 2 4" xfId="19883" xr:uid="{00000000-0005-0000-0000-0000A1330000}"/>
    <cellStyle name="Separador de milhares 3 12 5 6 2 4 2" xfId="46073" xr:uid="{00000000-0005-0000-0000-0000A2330000}"/>
    <cellStyle name="Separador de milhares 3 12 5 6 2 5" xfId="13785" xr:uid="{00000000-0005-0000-0000-0000A3330000}"/>
    <cellStyle name="Separador de milhares 3 12 5 6 2 5 2" xfId="39978" xr:uid="{00000000-0005-0000-0000-0000A4330000}"/>
    <cellStyle name="Separador de milhares 3 12 5 6 2 6" xfId="33592" xr:uid="{00000000-0005-0000-0000-0000A5330000}"/>
    <cellStyle name="Separador de milhares 3 12 5 6 3" xfId="9072" xr:uid="{00000000-0005-0000-0000-0000A6330000}"/>
    <cellStyle name="Separador de milhares 3 12 5 6 3 2" xfId="27286" xr:uid="{00000000-0005-0000-0000-0000A7330000}"/>
    <cellStyle name="Separador de milhares 3 12 5 6 3 2 2" xfId="53467" xr:uid="{00000000-0005-0000-0000-0000A8330000}"/>
    <cellStyle name="Separador de milhares 3 12 5 6 3 3" xfId="21372" xr:uid="{00000000-0005-0000-0000-0000A9330000}"/>
    <cellStyle name="Separador de milhares 3 12 5 6 3 3 2" xfId="47559" xr:uid="{00000000-0005-0000-0000-0000AA330000}"/>
    <cellStyle name="Separador de milhares 3 12 5 6 3 4" xfId="15458" xr:uid="{00000000-0005-0000-0000-0000AB330000}"/>
    <cellStyle name="Separador de milhares 3 12 5 6 3 4 2" xfId="41651" xr:uid="{00000000-0005-0000-0000-0000AC330000}"/>
    <cellStyle name="Separador de milhares 3 12 5 6 3 5" xfId="35265" xr:uid="{00000000-0005-0000-0000-0000AD330000}"/>
    <cellStyle name="Separador de milhares 3 12 5 6 4" xfId="5697" xr:uid="{00000000-0005-0000-0000-0000AE330000}"/>
    <cellStyle name="Separador de milhares 3 12 5 6 4 2" xfId="24329" xr:uid="{00000000-0005-0000-0000-0000AF330000}"/>
    <cellStyle name="Separador de milhares 3 12 5 6 4 2 2" xfId="50513" xr:uid="{00000000-0005-0000-0000-0000B0330000}"/>
    <cellStyle name="Separador de milhares 3 12 5 6 4 3" xfId="31893" xr:uid="{00000000-0005-0000-0000-0000B1330000}"/>
    <cellStyle name="Separador de milhares 3 12 5 6 5" xfId="18415" xr:uid="{00000000-0005-0000-0000-0000B2330000}"/>
    <cellStyle name="Separador de milhares 3 12 5 6 5 2" xfId="44605" xr:uid="{00000000-0005-0000-0000-0000B3330000}"/>
    <cellStyle name="Separador de milhares 3 12 5 6 6" xfId="12084" xr:uid="{00000000-0005-0000-0000-0000B4330000}"/>
    <cellStyle name="Separador de milhares 3 12 5 6 6 2" xfId="38277" xr:uid="{00000000-0005-0000-0000-0000B5330000}"/>
    <cellStyle name="Separador de milhares 3 12 5 6 7" xfId="30195" xr:uid="{00000000-0005-0000-0000-0000B6330000}"/>
    <cellStyle name="Separador de milhares 3 12 5 7" xfId="4003" xr:uid="{00000000-0005-0000-0000-0000B7330000}"/>
    <cellStyle name="Separador de milhares 3 12 5 7 2" xfId="7543" xr:uid="{00000000-0005-0000-0000-0000B8330000}"/>
    <cellStyle name="Separador de milhares 3 12 5 7 2 2" xfId="10687" xr:uid="{00000000-0005-0000-0000-0000B9330000}"/>
    <cellStyle name="Separador de milhares 3 12 5 7 2 2 2" xfId="28901" xr:uid="{00000000-0005-0000-0000-0000BA330000}"/>
    <cellStyle name="Separador de milhares 3 12 5 7 2 2 2 2" xfId="55082" xr:uid="{00000000-0005-0000-0000-0000BB330000}"/>
    <cellStyle name="Separador de milhares 3 12 5 7 2 2 3" xfId="22987" xr:uid="{00000000-0005-0000-0000-0000BC330000}"/>
    <cellStyle name="Separador de milhares 3 12 5 7 2 2 3 2" xfId="49174" xr:uid="{00000000-0005-0000-0000-0000BD330000}"/>
    <cellStyle name="Separador de milhares 3 12 5 7 2 2 4" xfId="17073" xr:uid="{00000000-0005-0000-0000-0000BE330000}"/>
    <cellStyle name="Separador de milhares 3 12 5 7 2 2 4 2" xfId="43266" xr:uid="{00000000-0005-0000-0000-0000BF330000}"/>
    <cellStyle name="Separador de milhares 3 12 5 7 2 2 5" xfId="36880" xr:uid="{00000000-0005-0000-0000-0000C0330000}"/>
    <cellStyle name="Separador de milhares 3 12 5 7 2 3" xfId="25944" xr:uid="{00000000-0005-0000-0000-0000C1330000}"/>
    <cellStyle name="Separador de milhares 3 12 5 7 2 3 2" xfId="52128" xr:uid="{00000000-0005-0000-0000-0000C2330000}"/>
    <cellStyle name="Separador de milhares 3 12 5 7 2 4" xfId="20030" xr:uid="{00000000-0005-0000-0000-0000C3330000}"/>
    <cellStyle name="Separador de milhares 3 12 5 7 2 4 2" xfId="46220" xr:uid="{00000000-0005-0000-0000-0000C4330000}"/>
    <cellStyle name="Separador de milhares 3 12 5 7 2 5" xfId="13932" xr:uid="{00000000-0005-0000-0000-0000C5330000}"/>
    <cellStyle name="Separador de milhares 3 12 5 7 2 5 2" xfId="40125" xr:uid="{00000000-0005-0000-0000-0000C6330000}"/>
    <cellStyle name="Separador de milhares 3 12 5 7 2 6" xfId="33739" xr:uid="{00000000-0005-0000-0000-0000C7330000}"/>
    <cellStyle name="Separador de milhares 3 12 5 7 3" xfId="9219" xr:uid="{00000000-0005-0000-0000-0000C8330000}"/>
    <cellStyle name="Separador de milhares 3 12 5 7 3 2" xfId="27433" xr:uid="{00000000-0005-0000-0000-0000C9330000}"/>
    <cellStyle name="Separador de milhares 3 12 5 7 3 2 2" xfId="53614" xr:uid="{00000000-0005-0000-0000-0000CA330000}"/>
    <cellStyle name="Separador de milhares 3 12 5 7 3 3" xfId="21519" xr:uid="{00000000-0005-0000-0000-0000CB330000}"/>
    <cellStyle name="Separador de milhares 3 12 5 7 3 3 2" xfId="47706" xr:uid="{00000000-0005-0000-0000-0000CC330000}"/>
    <cellStyle name="Separador de milhares 3 12 5 7 3 4" xfId="15605" xr:uid="{00000000-0005-0000-0000-0000CD330000}"/>
    <cellStyle name="Separador de milhares 3 12 5 7 3 4 2" xfId="41798" xr:uid="{00000000-0005-0000-0000-0000CE330000}"/>
    <cellStyle name="Separador de milhares 3 12 5 7 3 5" xfId="35412" xr:uid="{00000000-0005-0000-0000-0000CF330000}"/>
    <cellStyle name="Separador de milhares 3 12 5 7 4" xfId="5844" xr:uid="{00000000-0005-0000-0000-0000D0330000}"/>
    <cellStyle name="Separador de milhares 3 12 5 7 4 2" xfId="24476" xr:uid="{00000000-0005-0000-0000-0000D1330000}"/>
    <cellStyle name="Separador de milhares 3 12 5 7 4 2 2" xfId="50660" xr:uid="{00000000-0005-0000-0000-0000D2330000}"/>
    <cellStyle name="Separador de milhares 3 12 5 7 4 3" xfId="32040" xr:uid="{00000000-0005-0000-0000-0000D3330000}"/>
    <cellStyle name="Separador de milhares 3 12 5 7 5" xfId="18562" xr:uid="{00000000-0005-0000-0000-0000D4330000}"/>
    <cellStyle name="Separador de milhares 3 12 5 7 5 2" xfId="44752" xr:uid="{00000000-0005-0000-0000-0000D5330000}"/>
    <cellStyle name="Separador de milhares 3 12 5 7 6" xfId="12231" xr:uid="{00000000-0005-0000-0000-0000D6330000}"/>
    <cellStyle name="Separador de milhares 3 12 5 7 6 2" xfId="38424" xr:uid="{00000000-0005-0000-0000-0000D7330000}"/>
    <cellStyle name="Separador de milhares 3 12 5 7 7" xfId="30342" xr:uid="{00000000-0005-0000-0000-0000D8330000}"/>
    <cellStyle name="Separador de milhares 3 12 5 8" xfId="6582" xr:uid="{00000000-0005-0000-0000-0000D9330000}"/>
    <cellStyle name="Separador de milhares 3 12 5 8 2" xfId="9729" xr:uid="{00000000-0005-0000-0000-0000DA330000}"/>
    <cellStyle name="Separador de milhares 3 12 5 8 2 2" xfId="27943" xr:uid="{00000000-0005-0000-0000-0000DB330000}"/>
    <cellStyle name="Separador de milhares 3 12 5 8 2 2 2" xfId="54124" xr:uid="{00000000-0005-0000-0000-0000DC330000}"/>
    <cellStyle name="Separador de milhares 3 12 5 8 2 3" xfId="22029" xr:uid="{00000000-0005-0000-0000-0000DD330000}"/>
    <cellStyle name="Separador de milhares 3 12 5 8 2 3 2" xfId="48216" xr:uid="{00000000-0005-0000-0000-0000DE330000}"/>
    <cellStyle name="Separador de milhares 3 12 5 8 2 4" xfId="16115" xr:uid="{00000000-0005-0000-0000-0000DF330000}"/>
    <cellStyle name="Separador de milhares 3 12 5 8 2 4 2" xfId="42308" xr:uid="{00000000-0005-0000-0000-0000E0330000}"/>
    <cellStyle name="Separador de milhares 3 12 5 8 2 5" xfId="35922" xr:uid="{00000000-0005-0000-0000-0000E1330000}"/>
    <cellStyle name="Separador de milhares 3 12 5 8 3" xfId="24986" xr:uid="{00000000-0005-0000-0000-0000E2330000}"/>
    <cellStyle name="Separador de milhares 3 12 5 8 3 2" xfId="51170" xr:uid="{00000000-0005-0000-0000-0000E3330000}"/>
    <cellStyle name="Separador de milhares 3 12 5 8 4" xfId="19072" xr:uid="{00000000-0005-0000-0000-0000E4330000}"/>
    <cellStyle name="Separador de milhares 3 12 5 8 4 2" xfId="45262" xr:uid="{00000000-0005-0000-0000-0000E5330000}"/>
    <cellStyle name="Separador de milhares 3 12 5 8 5" xfId="12971" xr:uid="{00000000-0005-0000-0000-0000E6330000}"/>
    <cellStyle name="Separador de milhares 3 12 5 8 5 2" xfId="39164" xr:uid="{00000000-0005-0000-0000-0000E7330000}"/>
    <cellStyle name="Separador de milhares 3 12 5 8 6" xfId="32778" xr:uid="{00000000-0005-0000-0000-0000E8330000}"/>
    <cellStyle name="Separador de milhares 3 12 5 9" xfId="8258" xr:uid="{00000000-0005-0000-0000-0000E9330000}"/>
    <cellStyle name="Separador de milhares 3 12 5 9 2" xfId="26472" xr:uid="{00000000-0005-0000-0000-0000EA330000}"/>
    <cellStyle name="Separador de milhares 3 12 5 9 2 2" xfId="52656" xr:uid="{00000000-0005-0000-0000-0000EB330000}"/>
    <cellStyle name="Separador de milhares 3 12 5 9 3" xfId="20558" xr:uid="{00000000-0005-0000-0000-0000EC330000}"/>
    <cellStyle name="Separador de milhares 3 12 5 9 3 2" xfId="46748" xr:uid="{00000000-0005-0000-0000-0000ED330000}"/>
    <cellStyle name="Separador de milhares 3 12 5 9 4" xfId="14647" xr:uid="{00000000-0005-0000-0000-0000EE330000}"/>
    <cellStyle name="Separador de milhares 3 12 5 9 4 2" xfId="40840" xr:uid="{00000000-0005-0000-0000-0000EF330000}"/>
    <cellStyle name="Separador de milhares 3 12 5 9 5" xfId="34454" xr:uid="{00000000-0005-0000-0000-0000F0330000}"/>
    <cellStyle name="Separador de milhares 3 12 6" xfId="755" xr:uid="{00000000-0005-0000-0000-0000F1330000}"/>
    <cellStyle name="Separador de milhares 3 12 6 2" xfId="4179" xr:uid="{00000000-0005-0000-0000-0000F2330000}"/>
    <cellStyle name="Separador de milhares 3 12 6 2 2" xfId="7592" xr:uid="{00000000-0005-0000-0000-0000F3330000}"/>
    <cellStyle name="Separador de milhares 3 12 6 2 2 2" xfId="10736" xr:uid="{00000000-0005-0000-0000-0000F4330000}"/>
    <cellStyle name="Separador de milhares 3 12 6 2 2 2 2" xfId="28950" xr:uid="{00000000-0005-0000-0000-0000F5330000}"/>
    <cellStyle name="Separador de milhares 3 12 6 2 2 2 2 2" xfId="55131" xr:uid="{00000000-0005-0000-0000-0000F6330000}"/>
    <cellStyle name="Separador de milhares 3 12 6 2 2 2 3" xfId="23036" xr:uid="{00000000-0005-0000-0000-0000F7330000}"/>
    <cellStyle name="Separador de milhares 3 12 6 2 2 2 3 2" xfId="49223" xr:uid="{00000000-0005-0000-0000-0000F8330000}"/>
    <cellStyle name="Separador de milhares 3 12 6 2 2 2 4" xfId="17122" xr:uid="{00000000-0005-0000-0000-0000F9330000}"/>
    <cellStyle name="Separador de milhares 3 12 6 2 2 2 4 2" xfId="43315" xr:uid="{00000000-0005-0000-0000-0000FA330000}"/>
    <cellStyle name="Separador de milhares 3 12 6 2 2 2 5" xfId="36929" xr:uid="{00000000-0005-0000-0000-0000FB330000}"/>
    <cellStyle name="Separador de milhares 3 12 6 2 2 3" xfId="25993" xr:uid="{00000000-0005-0000-0000-0000FC330000}"/>
    <cellStyle name="Separador de milhares 3 12 6 2 2 3 2" xfId="52177" xr:uid="{00000000-0005-0000-0000-0000FD330000}"/>
    <cellStyle name="Separador de milhares 3 12 6 2 2 4" xfId="20079" xr:uid="{00000000-0005-0000-0000-0000FE330000}"/>
    <cellStyle name="Separador de milhares 3 12 6 2 2 4 2" xfId="46269" xr:uid="{00000000-0005-0000-0000-0000FF330000}"/>
    <cellStyle name="Separador de milhares 3 12 6 2 2 5" xfId="13981" xr:uid="{00000000-0005-0000-0000-000000340000}"/>
    <cellStyle name="Separador de milhares 3 12 6 2 2 5 2" xfId="40174" xr:uid="{00000000-0005-0000-0000-000001340000}"/>
    <cellStyle name="Separador de milhares 3 12 6 2 2 6" xfId="33788" xr:uid="{00000000-0005-0000-0000-000002340000}"/>
    <cellStyle name="Separador de milhares 3 12 6 2 3" xfId="9268" xr:uid="{00000000-0005-0000-0000-000003340000}"/>
    <cellStyle name="Separador de milhares 3 12 6 2 3 2" xfId="27482" xr:uid="{00000000-0005-0000-0000-000004340000}"/>
    <cellStyle name="Separador de milhares 3 12 6 2 3 2 2" xfId="53663" xr:uid="{00000000-0005-0000-0000-000005340000}"/>
    <cellStyle name="Separador de milhares 3 12 6 2 3 3" xfId="21568" xr:uid="{00000000-0005-0000-0000-000006340000}"/>
    <cellStyle name="Separador de milhares 3 12 6 2 3 3 2" xfId="47755" xr:uid="{00000000-0005-0000-0000-000007340000}"/>
    <cellStyle name="Separador de milhares 3 12 6 2 3 4" xfId="15654" xr:uid="{00000000-0005-0000-0000-000008340000}"/>
    <cellStyle name="Separador de milhares 3 12 6 2 3 4 2" xfId="41847" xr:uid="{00000000-0005-0000-0000-000009340000}"/>
    <cellStyle name="Separador de milhares 3 12 6 2 3 5" xfId="35461" xr:uid="{00000000-0005-0000-0000-00000A340000}"/>
    <cellStyle name="Separador de milhares 3 12 6 2 4" xfId="5893" xr:uid="{00000000-0005-0000-0000-00000B340000}"/>
    <cellStyle name="Separador de milhares 3 12 6 2 4 2" xfId="24525" xr:uid="{00000000-0005-0000-0000-00000C340000}"/>
    <cellStyle name="Separador de milhares 3 12 6 2 4 2 2" xfId="50709" xr:uid="{00000000-0005-0000-0000-00000D340000}"/>
    <cellStyle name="Separador de milhares 3 12 6 2 4 3" xfId="32089" xr:uid="{00000000-0005-0000-0000-00000E340000}"/>
    <cellStyle name="Separador de milhares 3 12 6 2 5" xfId="18611" xr:uid="{00000000-0005-0000-0000-00000F340000}"/>
    <cellStyle name="Separador de milhares 3 12 6 2 5 2" xfId="44801" xr:uid="{00000000-0005-0000-0000-000010340000}"/>
    <cellStyle name="Separador de milhares 3 12 6 2 6" xfId="12280" xr:uid="{00000000-0005-0000-0000-000011340000}"/>
    <cellStyle name="Separador de milhares 3 12 6 2 6 2" xfId="38473" xr:uid="{00000000-0005-0000-0000-000012340000}"/>
    <cellStyle name="Separador de milhares 3 12 6 2 7" xfId="30391" xr:uid="{00000000-0005-0000-0000-000013340000}"/>
    <cellStyle name="Separador de milhares 3 12 6 3" xfId="6637" xr:uid="{00000000-0005-0000-0000-000014340000}"/>
    <cellStyle name="Separador de milhares 3 12 6 3 2" xfId="9784" xr:uid="{00000000-0005-0000-0000-000015340000}"/>
    <cellStyle name="Separador de milhares 3 12 6 3 2 2" xfId="27998" xr:uid="{00000000-0005-0000-0000-000016340000}"/>
    <cellStyle name="Separador de milhares 3 12 6 3 2 2 2" xfId="54179" xr:uid="{00000000-0005-0000-0000-000017340000}"/>
    <cellStyle name="Separador de milhares 3 12 6 3 2 3" xfId="22084" xr:uid="{00000000-0005-0000-0000-000018340000}"/>
    <cellStyle name="Separador de milhares 3 12 6 3 2 3 2" xfId="48271" xr:uid="{00000000-0005-0000-0000-000019340000}"/>
    <cellStyle name="Separador de milhares 3 12 6 3 2 4" xfId="16170" xr:uid="{00000000-0005-0000-0000-00001A340000}"/>
    <cellStyle name="Separador de milhares 3 12 6 3 2 4 2" xfId="42363" xr:uid="{00000000-0005-0000-0000-00001B340000}"/>
    <cellStyle name="Separador de milhares 3 12 6 3 2 5" xfId="35977" xr:uid="{00000000-0005-0000-0000-00001C340000}"/>
    <cellStyle name="Separador de milhares 3 12 6 3 3" xfId="25041" xr:uid="{00000000-0005-0000-0000-00001D340000}"/>
    <cellStyle name="Separador de milhares 3 12 6 3 3 2" xfId="51225" xr:uid="{00000000-0005-0000-0000-00001E340000}"/>
    <cellStyle name="Separador de milhares 3 12 6 3 4" xfId="19127" xr:uid="{00000000-0005-0000-0000-00001F340000}"/>
    <cellStyle name="Separador de milhares 3 12 6 3 4 2" xfId="45317" xr:uid="{00000000-0005-0000-0000-000020340000}"/>
    <cellStyle name="Separador de milhares 3 12 6 3 5" xfId="13026" xr:uid="{00000000-0005-0000-0000-000021340000}"/>
    <cellStyle name="Separador de milhares 3 12 6 3 5 2" xfId="39219" xr:uid="{00000000-0005-0000-0000-000022340000}"/>
    <cellStyle name="Separador de milhares 3 12 6 3 6" xfId="32833" xr:uid="{00000000-0005-0000-0000-000023340000}"/>
    <cellStyle name="Separador de milhares 3 12 6 4" xfId="8316" xr:uid="{00000000-0005-0000-0000-000024340000}"/>
    <cellStyle name="Separador de milhares 3 12 6 4 2" xfId="26530" xr:uid="{00000000-0005-0000-0000-000025340000}"/>
    <cellStyle name="Separador de milhares 3 12 6 4 2 2" xfId="52711" xr:uid="{00000000-0005-0000-0000-000026340000}"/>
    <cellStyle name="Separador de milhares 3 12 6 4 3" xfId="20616" xr:uid="{00000000-0005-0000-0000-000027340000}"/>
    <cellStyle name="Separador de milhares 3 12 6 4 3 2" xfId="46803" xr:uid="{00000000-0005-0000-0000-000028340000}"/>
    <cellStyle name="Separador de milhares 3 12 6 4 4" xfId="14702" xr:uid="{00000000-0005-0000-0000-000029340000}"/>
    <cellStyle name="Separador de milhares 3 12 6 4 4 2" xfId="40895" xr:uid="{00000000-0005-0000-0000-00002A340000}"/>
    <cellStyle name="Separador de milhares 3 12 6 4 5" xfId="34509" xr:uid="{00000000-0005-0000-0000-00002B340000}"/>
    <cellStyle name="Separador de milhares 3 12 6 5" xfId="4938" xr:uid="{00000000-0005-0000-0000-00002C340000}"/>
    <cellStyle name="Separador de milhares 3 12 6 5 2" xfId="23573" xr:uid="{00000000-0005-0000-0000-00002D340000}"/>
    <cellStyle name="Separador de milhares 3 12 6 5 2 2" xfId="49757" xr:uid="{00000000-0005-0000-0000-00002E340000}"/>
    <cellStyle name="Separador de milhares 3 12 6 5 3" xfId="31134" xr:uid="{00000000-0005-0000-0000-00002F340000}"/>
    <cellStyle name="Separador de milhares 3 12 6 6" xfId="17659" xr:uid="{00000000-0005-0000-0000-000030340000}"/>
    <cellStyle name="Separador de milhares 3 12 6 6 2" xfId="43849" xr:uid="{00000000-0005-0000-0000-000031340000}"/>
    <cellStyle name="Separador de milhares 3 12 6 7" xfId="11325" xr:uid="{00000000-0005-0000-0000-000032340000}"/>
    <cellStyle name="Separador de milhares 3 12 6 7 2" xfId="37518" xr:uid="{00000000-0005-0000-0000-000033340000}"/>
    <cellStyle name="Separador de milhares 3 12 6 8" xfId="29436" xr:uid="{00000000-0005-0000-0000-000034340000}"/>
    <cellStyle name="Separador de milhares 3 12 7" xfId="1106" xr:uid="{00000000-0005-0000-0000-000035340000}"/>
    <cellStyle name="Separador de milhares 3 12 7 2" xfId="6735" xr:uid="{00000000-0005-0000-0000-000036340000}"/>
    <cellStyle name="Separador de milhares 3 12 7 2 2" xfId="9882" xr:uid="{00000000-0005-0000-0000-000037340000}"/>
    <cellStyle name="Separador de milhares 3 12 7 2 2 2" xfId="28096" xr:uid="{00000000-0005-0000-0000-000038340000}"/>
    <cellStyle name="Separador de milhares 3 12 7 2 2 2 2" xfId="54277" xr:uid="{00000000-0005-0000-0000-000039340000}"/>
    <cellStyle name="Separador de milhares 3 12 7 2 2 3" xfId="22182" xr:uid="{00000000-0005-0000-0000-00003A340000}"/>
    <cellStyle name="Separador de milhares 3 12 7 2 2 3 2" xfId="48369" xr:uid="{00000000-0005-0000-0000-00003B340000}"/>
    <cellStyle name="Separador de milhares 3 12 7 2 2 4" xfId="16268" xr:uid="{00000000-0005-0000-0000-00003C340000}"/>
    <cellStyle name="Separador de milhares 3 12 7 2 2 4 2" xfId="42461" xr:uid="{00000000-0005-0000-0000-00003D340000}"/>
    <cellStyle name="Separador de milhares 3 12 7 2 2 5" xfId="36075" xr:uid="{00000000-0005-0000-0000-00003E340000}"/>
    <cellStyle name="Separador de milhares 3 12 7 2 3" xfId="25139" xr:uid="{00000000-0005-0000-0000-00003F340000}"/>
    <cellStyle name="Separador de milhares 3 12 7 2 3 2" xfId="51323" xr:uid="{00000000-0005-0000-0000-000040340000}"/>
    <cellStyle name="Separador de milhares 3 12 7 2 4" xfId="19225" xr:uid="{00000000-0005-0000-0000-000041340000}"/>
    <cellStyle name="Separador de milhares 3 12 7 2 4 2" xfId="45415" xr:uid="{00000000-0005-0000-0000-000042340000}"/>
    <cellStyle name="Separador de milhares 3 12 7 2 5" xfId="13124" xr:uid="{00000000-0005-0000-0000-000043340000}"/>
    <cellStyle name="Separador de milhares 3 12 7 2 5 2" xfId="39317" xr:uid="{00000000-0005-0000-0000-000044340000}"/>
    <cellStyle name="Separador de milhares 3 12 7 2 6" xfId="32931" xr:uid="{00000000-0005-0000-0000-000045340000}"/>
    <cellStyle name="Separador de milhares 3 12 7 3" xfId="8414" xr:uid="{00000000-0005-0000-0000-000046340000}"/>
    <cellStyle name="Separador de milhares 3 12 7 3 2" xfId="26628" xr:uid="{00000000-0005-0000-0000-000047340000}"/>
    <cellStyle name="Separador de milhares 3 12 7 3 2 2" xfId="52809" xr:uid="{00000000-0005-0000-0000-000048340000}"/>
    <cellStyle name="Separador de milhares 3 12 7 3 3" xfId="20714" xr:uid="{00000000-0005-0000-0000-000049340000}"/>
    <cellStyle name="Separador de milhares 3 12 7 3 3 2" xfId="46901" xr:uid="{00000000-0005-0000-0000-00004A340000}"/>
    <cellStyle name="Separador de milhares 3 12 7 3 4" xfId="14800" xr:uid="{00000000-0005-0000-0000-00004B340000}"/>
    <cellStyle name="Separador de milhares 3 12 7 3 4 2" xfId="40993" xr:uid="{00000000-0005-0000-0000-00004C340000}"/>
    <cellStyle name="Separador de milhares 3 12 7 3 5" xfId="34607" xr:uid="{00000000-0005-0000-0000-00004D340000}"/>
    <cellStyle name="Separador de milhares 3 12 7 4" xfId="5036" xr:uid="{00000000-0005-0000-0000-00004E340000}"/>
    <cellStyle name="Separador de milhares 3 12 7 4 2" xfId="23671" xr:uid="{00000000-0005-0000-0000-00004F340000}"/>
    <cellStyle name="Separador de milhares 3 12 7 4 2 2" xfId="49855" xr:uid="{00000000-0005-0000-0000-000050340000}"/>
    <cellStyle name="Separador de milhares 3 12 7 4 3" xfId="31232" xr:uid="{00000000-0005-0000-0000-000051340000}"/>
    <cellStyle name="Separador de milhares 3 12 7 5" xfId="17757" xr:uid="{00000000-0005-0000-0000-000052340000}"/>
    <cellStyle name="Separador de milhares 3 12 7 5 2" xfId="43947" xr:uid="{00000000-0005-0000-0000-000053340000}"/>
    <cellStyle name="Separador de milhares 3 12 7 6" xfId="11423" xr:uid="{00000000-0005-0000-0000-000054340000}"/>
    <cellStyle name="Separador de milhares 3 12 7 6 2" xfId="37616" xr:uid="{00000000-0005-0000-0000-000055340000}"/>
    <cellStyle name="Separador de milhares 3 12 7 7" xfId="29534" xr:uid="{00000000-0005-0000-0000-000056340000}"/>
    <cellStyle name="Separador de milhares 3 12 8" xfId="1541" xr:uid="{00000000-0005-0000-0000-000057340000}"/>
    <cellStyle name="Separador de milhares 3 12 8 2" xfId="6854" xr:uid="{00000000-0005-0000-0000-000058340000}"/>
    <cellStyle name="Separador de milhares 3 12 8 2 2" xfId="10001" xr:uid="{00000000-0005-0000-0000-000059340000}"/>
    <cellStyle name="Separador de milhares 3 12 8 2 2 2" xfId="28215" xr:uid="{00000000-0005-0000-0000-00005A340000}"/>
    <cellStyle name="Separador de milhares 3 12 8 2 2 2 2" xfId="54396" xr:uid="{00000000-0005-0000-0000-00005B340000}"/>
    <cellStyle name="Separador de milhares 3 12 8 2 2 3" xfId="22301" xr:uid="{00000000-0005-0000-0000-00005C340000}"/>
    <cellStyle name="Separador de milhares 3 12 8 2 2 3 2" xfId="48488" xr:uid="{00000000-0005-0000-0000-00005D340000}"/>
    <cellStyle name="Separador de milhares 3 12 8 2 2 4" xfId="16387" xr:uid="{00000000-0005-0000-0000-00005E340000}"/>
    <cellStyle name="Separador de milhares 3 12 8 2 2 4 2" xfId="42580" xr:uid="{00000000-0005-0000-0000-00005F340000}"/>
    <cellStyle name="Separador de milhares 3 12 8 2 2 5" xfId="36194" xr:uid="{00000000-0005-0000-0000-000060340000}"/>
    <cellStyle name="Separador de milhares 3 12 8 2 3" xfId="25258" xr:uid="{00000000-0005-0000-0000-000061340000}"/>
    <cellStyle name="Separador de milhares 3 12 8 2 3 2" xfId="51442" xr:uid="{00000000-0005-0000-0000-000062340000}"/>
    <cellStyle name="Separador de milhares 3 12 8 2 4" xfId="19344" xr:uid="{00000000-0005-0000-0000-000063340000}"/>
    <cellStyle name="Separador de milhares 3 12 8 2 4 2" xfId="45534" xr:uid="{00000000-0005-0000-0000-000064340000}"/>
    <cellStyle name="Separador de milhares 3 12 8 2 5" xfId="13243" xr:uid="{00000000-0005-0000-0000-000065340000}"/>
    <cellStyle name="Separador de milhares 3 12 8 2 5 2" xfId="39436" xr:uid="{00000000-0005-0000-0000-000066340000}"/>
    <cellStyle name="Separador de milhares 3 12 8 2 6" xfId="33050" xr:uid="{00000000-0005-0000-0000-000067340000}"/>
    <cellStyle name="Separador de milhares 3 12 8 3" xfId="8533" xr:uid="{00000000-0005-0000-0000-000068340000}"/>
    <cellStyle name="Separador de milhares 3 12 8 3 2" xfId="26747" xr:uid="{00000000-0005-0000-0000-000069340000}"/>
    <cellStyle name="Separador de milhares 3 12 8 3 2 2" xfId="52928" xr:uid="{00000000-0005-0000-0000-00006A340000}"/>
    <cellStyle name="Separador de milhares 3 12 8 3 3" xfId="20833" xr:uid="{00000000-0005-0000-0000-00006B340000}"/>
    <cellStyle name="Separador de milhares 3 12 8 3 3 2" xfId="47020" xr:uid="{00000000-0005-0000-0000-00006C340000}"/>
    <cellStyle name="Separador de milhares 3 12 8 3 4" xfId="14919" xr:uid="{00000000-0005-0000-0000-00006D340000}"/>
    <cellStyle name="Separador de milhares 3 12 8 3 4 2" xfId="41112" xr:uid="{00000000-0005-0000-0000-00006E340000}"/>
    <cellStyle name="Separador de milhares 3 12 8 3 5" xfId="34726" xr:uid="{00000000-0005-0000-0000-00006F340000}"/>
    <cellStyle name="Separador de milhares 3 12 8 4" xfId="5155" xr:uid="{00000000-0005-0000-0000-000070340000}"/>
    <cellStyle name="Separador de milhares 3 12 8 4 2" xfId="23790" xr:uid="{00000000-0005-0000-0000-000071340000}"/>
    <cellStyle name="Separador de milhares 3 12 8 4 2 2" xfId="49974" xr:uid="{00000000-0005-0000-0000-000072340000}"/>
    <cellStyle name="Separador de milhares 3 12 8 4 3" xfId="31351" xr:uid="{00000000-0005-0000-0000-000073340000}"/>
    <cellStyle name="Separador de milhares 3 12 8 5" xfId="17876" xr:uid="{00000000-0005-0000-0000-000074340000}"/>
    <cellStyle name="Separador de milhares 3 12 8 5 2" xfId="44066" xr:uid="{00000000-0005-0000-0000-000075340000}"/>
    <cellStyle name="Separador de milhares 3 12 8 6" xfId="11542" xr:uid="{00000000-0005-0000-0000-000076340000}"/>
    <cellStyle name="Separador de milhares 3 12 8 6 2" xfId="37735" xr:uid="{00000000-0005-0000-0000-000077340000}"/>
    <cellStyle name="Separador de milhares 3 12 8 7" xfId="29653" xr:uid="{00000000-0005-0000-0000-000078340000}"/>
    <cellStyle name="Separador de milhares 3 12 9" xfId="2071" xr:uid="{00000000-0005-0000-0000-000079340000}"/>
    <cellStyle name="Separador de milhares 3 12 9 2" xfId="7004" xr:uid="{00000000-0005-0000-0000-00007A340000}"/>
    <cellStyle name="Separador de milhares 3 12 9 2 2" xfId="10148" xr:uid="{00000000-0005-0000-0000-00007B340000}"/>
    <cellStyle name="Separador de milhares 3 12 9 2 2 2" xfId="28362" xr:uid="{00000000-0005-0000-0000-00007C340000}"/>
    <cellStyle name="Separador de milhares 3 12 9 2 2 2 2" xfId="54543" xr:uid="{00000000-0005-0000-0000-00007D340000}"/>
    <cellStyle name="Separador de milhares 3 12 9 2 2 3" xfId="22448" xr:uid="{00000000-0005-0000-0000-00007E340000}"/>
    <cellStyle name="Separador de milhares 3 12 9 2 2 3 2" xfId="48635" xr:uid="{00000000-0005-0000-0000-00007F340000}"/>
    <cellStyle name="Separador de milhares 3 12 9 2 2 4" xfId="16534" xr:uid="{00000000-0005-0000-0000-000080340000}"/>
    <cellStyle name="Separador de milhares 3 12 9 2 2 4 2" xfId="42727" xr:uid="{00000000-0005-0000-0000-000081340000}"/>
    <cellStyle name="Separador de milhares 3 12 9 2 2 5" xfId="36341" xr:uid="{00000000-0005-0000-0000-000082340000}"/>
    <cellStyle name="Separador de milhares 3 12 9 2 3" xfId="25405" xr:uid="{00000000-0005-0000-0000-000083340000}"/>
    <cellStyle name="Separador de milhares 3 12 9 2 3 2" xfId="51589" xr:uid="{00000000-0005-0000-0000-000084340000}"/>
    <cellStyle name="Separador de milhares 3 12 9 2 4" xfId="19491" xr:uid="{00000000-0005-0000-0000-000085340000}"/>
    <cellStyle name="Separador de milhares 3 12 9 2 4 2" xfId="45681" xr:uid="{00000000-0005-0000-0000-000086340000}"/>
    <cellStyle name="Separador de milhares 3 12 9 2 5" xfId="13393" xr:uid="{00000000-0005-0000-0000-000087340000}"/>
    <cellStyle name="Separador de milhares 3 12 9 2 5 2" xfId="39586" xr:uid="{00000000-0005-0000-0000-000088340000}"/>
    <cellStyle name="Separador de milhares 3 12 9 2 6" xfId="33200" xr:uid="{00000000-0005-0000-0000-000089340000}"/>
    <cellStyle name="Separador de milhares 3 12 9 3" xfId="8680" xr:uid="{00000000-0005-0000-0000-00008A340000}"/>
    <cellStyle name="Separador de milhares 3 12 9 3 2" xfId="26894" xr:uid="{00000000-0005-0000-0000-00008B340000}"/>
    <cellStyle name="Separador de milhares 3 12 9 3 2 2" xfId="53075" xr:uid="{00000000-0005-0000-0000-00008C340000}"/>
    <cellStyle name="Separador de milhares 3 12 9 3 3" xfId="20980" xr:uid="{00000000-0005-0000-0000-00008D340000}"/>
    <cellStyle name="Separador de milhares 3 12 9 3 3 2" xfId="47167" xr:uid="{00000000-0005-0000-0000-00008E340000}"/>
    <cellStyle name="Separador de milhares 3 12 9 3 4" xfId="15066" xr:uid="{00000000-0005-0000-0000-00008F340000}"/>
    <cellStyle name="Separador de milhares 3 12 9 3 4 2" xfId="41259" xr:uid="{00000000-0005-0000-0000-000090340000}"/>
    <cellStyle name="Separador de milhares 3 12 9 3 5" xfId="34873" xr:uid="{00000000-0005-0000-0000-000091340000}"/>
    <cellStyle name="Separador de milhares 3 12 9 4" xfId="5305" xr:uid="{00000000-0005-0000-0000-000092340000}"/>
    <cellStyle name="Separador de milhares 3 12 9 4 2" xfId="23937" xr:uid="{00000000-0005-0000-0000-000093340000}"/>
    <cellStyle name="Separador de milhares 3 12 9 4 2 2" xfId="50121" xr:uid="{00000000-0005-0000-0000-000094340000}"/>
    <cellStyle name="Separador de milhares 3 12 9 4 3" xfId="31501" xr:uid="{00000000-0005-0000-0000-000095340000}"/>
    <cellStyle name="Separador de milhares 3 12 9 5" xfId="18023" xr:uid="{00000000-0005-0000-0000-000096340000}"/>
    <cellStyle name="Separador de milhares 3 12 9 5 2" xfId="44213" xr:uid="{00000000-0005-0000-0000-000097340000}"/>
    <cellStyle name="Separador de milhares 3 12 9 6" xfId="11692" xr:uid="{00000000-0005-0000-0000-000098340000}"/>
    <cellStyle name="Separador de milhares 3 12 9 6 2" xfId="37885" xr:uid="{00000000-0005-0000-0000-000099340000}"/>
    <cellStyle name="Separador de milhares 3 12 9 7" xfId="29803" xr:uid="{00000000-0005-0000-0000-00009A340000}"/>
    <cellStyle name="Separador de milhares 3 13" xfId="103" xr:uid="{00000000-0005-0000-0000-00009B340000}"/>
    <cellStyle name="Separador de milhares 3 13 10" xfId="2606" xr:uid="{00000000-0005-0000-0000-00009C340000}"/>
    <cellStyle name="Separador de milhares 3 13 10 2" xfId="7153" xr:uid="{00000000-0005-0000-0000-00009D340000}"/>
    <cellStyle name="Separador de milhares 3 13 10 2 2" xfId="10297" xr:uid="{00000000-0005-0000-0000-00009E340000}"/>
    <cellStyle name="Separador de milhares 3 13 10 2 2 2" xfId="28511" xr:uid="{00000000-0005-0000-0000-00009F340000}"/>
    <cellStyle name="Separador de milhares 3 13 10 2 2 2 2" xfId="54692" xr:uid="{00000000-0005-0000-0000-0000A0340000}"/>
    <cellStyle name="Separador de milhares 3 13 10 2 2 3" xfId="22597" xr:uid="{00000000-0005-0000-0000-0000A1340000}"/>
    <cellStyle name="Separador de milhares 3 13 10 2 2 3 2" xfId="48784" xr:uid="{00000000-0005-0000-0000-0000A2340000}"/>
    <cellStyle name="Separador de milhares 3 13 10 2 2 4" xfId="16683" xr:uid="{00000000-0005-0000-0000-0000A3340000}"/>
    <cellStyle name="Separador de milhares 3 13 10 2 2 4 2" xfId="42876" xr:uid="{00000000-0005-0000-0000-0000A4340000}"/>
    <cellStyle name="Separador de milhares 3 13 10 2 2 5" xfId="36490" xr:uid="{00000000-0005-0000-0000-0000A5340000}"/>
    <cellStyle name="Separador de milhares 3 13 10 2 3" xfId="25554" xr:uid="{00000000-0005-0000-0000-0000A6340000}"/>
    <cellStyle name="Separador de milhares 3 13 10 2 3 2" xfId="51738" xr:uid="{00000000-0005-0000-0000-0000A7340000}"/>
    <cellStyle name="Separador de milhares 3 13 10 2 4" xfId="19640" xr:uid="{00000000-0005-0000-0000-0000A8340000}"/>
    <cellStyle name="Separador de milhares 3 13 10 2 4 2" xfId="45830" xr:uid="{00000000-0005-0000-0000-0000A9340000}"/>
    <cellStyle name="Separador de milhares 3 13 10 2 5" xfId="13542" xr:uid="{00000000-0005-0000-0000-0000AA340000}"/>
    <cellStyle name="Separador de milhares 3 13 10 2 5 2" xfId="39735" xr:uid="{00000000-0005-0000-0000-0000AB340000}"/>
    <cellStyle name="Separador de milhares 3 13 10 2 6" xfId="33349" xr:uid="{00000000-0005-0000-0000-0000AC340000}"/>
    <cellStyle name="Separador de milhares 3 13 10 3" xfId="8829" xr:uid="{00000000-0005-0000-0000-0000AD340000}"/>
    <cellStyle name="Separador de milhares 3 13 10 3 2" xfId="27043" xr:uid="{00000000-0005-0000-0000-0000AE340000}"/>
    <cellStyle name="Separador de milhares 3 13 10 3 2 2" xfId="53224" xr:uid="{00000000-0005-0000-0000-0000AF340000}"/>
    <cellStyle name="Separador de milhares 3 13 10 3 3" xfId="21129" xr:uid="{00000000-0005-0000-0000-0000B0340000}"/>
    <cellStyle name="Separador de milhares 3 13 10 3 3 2" xfId="47316" xr:uid="{00000000-0005-0000-0000-0000B1340000}"/>
    <cellStyle name="Separador de milhares 3 13 10 3 4" xfId="15215" xr:uid="{00000000-0005-0000-0000-0000B2340000}"/>
    <cellStyle name="Separador de milhares 3 13 10 3 4 2" xfId="41408" xr:uid="{00000000-0005-0000-0000-0000B3340000}"/>
    <cellStyle name="Separador de milhares 3 13 10 3 5" xfId="35022" xr:uid="{00000000-0005-0000-0000-0000B4340000}"/>
    <cellStyle name="Separador de milhares 3 13 10 4" xfId="5454" xr:uid="{00000000-0005-0000-0000-0000B5340000}"/>
    <cellStyle name="Separador de milhares 3 13 10 4 2" xfId="24086" xr:uid="{00000000-0005-0000-0000-0000B6340000}"/>
    <cellStyle name="Separador de milhares 3 13 10 4 2 2" xfId="50270" xr:uid="{00000000-0005-0000-0000-0000B7340000}"/>
    <cellStyle name="Separador de milhares 3 13 10 4 3" xfId="31650" xr:uid="{00000000-0005-0000-0000-0000B8340000}"/>
    <cellStyle name="Separador de milhares 3 13 10 5" xfId="18172" xr:uid="{00000000-0005-0000-0000-0000B9340000}"/>
    <cellStyle name="Separador de milhares 3 13 10 5 2" xfId="44362" xr:uid="{00000000-0005-0000-0000-0000BA340000}"/>
    <cellStyle name="Separador de milhares 3 13 10 6" xfId="11841" xr:uid="{00000000-0005-0000-0000-0000BB340000}"/>
    <cellStyle name="Separador de milhares 3 13 10 6 2" xfId="38034" xr:uid="{00000000-0005-0000-0000-0000BC340000}"/>
    <cellStyle name="Separador de milhares 3 13 10 7" xfId="29952" xr:uid="{00000000-0005-0000-0000-0000BD340000}"/>
    <cellStyle name="Separador de milhares 3 13 11" xfId="3133" xr:uid="{00000000-0005-0000-0000-0000BE340000}"/>
    <cellStyle name="Separador de milhares 3 13 11 2" xfId="7300" xr:uid="{00000000-0005-0000-0000-0000BF340000}"/>
    <cellStyle name="Separador de milhares 3 13 11 2 2" xfId="10444" xr:uid="{00000000-0005-0000-0000-0000C0340000}"/>
    <cellStyle name="Separador de milhares 3 13 11 2 2 2" xfId="28658" xr:uid="{00000000-0005-0000-0000-0000C1340000}"/>
    <cellStyle name="Separador de milhares 3 13 11 2 2 2 2" xfId="54839" xr:uid="{00000000-0005-0000-0000-0000C2340000}"/>
    <cellStyle name="Separador de milhares 3 13 11 2 2 3" xfId="22744" xr:uid="{00000000-0005-0000-0000-0000C3340000}"/>
    <cellStyle name="Separador de milhares 3 13 11 2 2 3 2" xfId="48931" xr:uid="{00000000-0005-0000-0000-0000C4340000}"/>
    <cellStyle name="Separador de milhares 3 13 11 2 2 4" xfId="16830" xr:uid="{00000000-0005-0000-0000-0000C5340000}"/>
    <cellStyle name="Separador de milhares 3 13 11 2 2 4 2" xfId="43023" xr:uid="{00000000-0005-0000-0000-0000C6340000}"/>
    <cellStyle name="Separador de milhares 3 13 11 2 2 5" xfId="36637" xr:uid="{00000000-0005-0000-0000-0000C7340000}"/>
    <cellStyle name="Separador de milhares 3 13 11 2 3" xfId="25701" xr:uid="{00000000-0005-0000-0000-0000C8340000}"/>
    <cellStyle name="Separador de milhares 3 13 11 2 3 2" xfId="51885" xr:uid="{00000000-0005-0000-0000-0000C9340000}"/>
    <cellStyle name="Separador de milhares 3 13 11 2 4" xfId="19787" xr:uid="{00000000-0005-0000-0000-0000CA340000}"/>
    <cellStyle name="Separador de milhares 3 13 11 2 4 2" xfId="45977" xr:uid="{00000000-0005-0000-0000-0000CB340000}"/>
    <cellStyle name="Separador de milhares 3 13 11 2 5" xfId="13689" xr:uid="{00000000-0005-0000-0000-0000CC340000}"/>
    <cellStyle name="Separador de milhares 3 13 11 2 5 2" xfId="39882" xr:uid="{00000000-0005-0000-0000-0000CD340000}"/>
    <cellStyle name="Separador de milhares 3 13 11 2 6" xfId="33496" xr:uid="{00000000-0005-0000-0000-0000CE340000}"/>
    <cellStyle name="Separador de milhares 3 13 11 3" xfId="8976" xr:uid="{00000000-0005-0000-0000-0000CF340000}"/>
    <cellStyle name="Separador de milhares 3 13 11 3 2" xfId="27190" xr:uid="{00000000-0005-0000-0000-0000D0340000}"/>
    <cellStyle name="Separador de milhares 3 13 11 3 2 2" xfId="53371" xr:uid="{00000000-0005-0000-0000-0000D1340000}"/>
    <cellStyle name="Separador de milhares 3 13 11 3 3" xfId="21276" xr:uid="{00000000-0005-0000-0000-0000D2340000}"/>
    <cellStyle name="Separador de milhares 3 13 11 3 3 2" xfId="47463" xr:uid="{00000000-0005-0000-0000-0000D3340000}"/>
    <cellStyle name="Separador de milhares 3 13 11 3 4" xfId="15362" xr:uid="{00000000-0005-0000-0000-0000D4340000}"/>
    <cellStyle name="Separador de milhares 3 13 11 3 4 2" xfId="41555" xr:uid="{00000000-0005-0000-0000-0000D5340000}"/>
    <cellStyle name="Separador de milhares 3 13 11 3 5" xfId="35169" xr:uid="{00000000-0005-0000-0000-0000D6340000}"/>
    <cellStyle name="Separador de milhares 3 13 11 4" xfId="5601" xr:uid="{00000000-0005-0000-0000-0000D7340000}"/>
    <cellStyle name="Separador de milhares 3 13 11 4 2" xfId="24233" xr:uid="{00000000-0005-0000-0000-0000D8340000}"/>
    <cellStyle name="Separador de milhares 3 13 11 4 2 2" xfId="50417" xr:uid="{00000000-0005-0000-0000-0000D9340000}"/>
    <cellStyle name="Separador de milhares 3 13 11 4 3" xfId="31797" xr:uid="{00000000-0005-0000-0000-0000DA340000}"/>
    <cellStyle name="Separador de milhares 3 13 11 5" xfId="18319" xr:uid="{00000000-0005-0000-0000-0000DB340000}"/>
    <cellStyle name="Separador de milhares 3 13 11 5 2" xfId="44509" xr:uid="{00000000-0005-0000-0000-0000DC340000}"/>
    <cellStyle name="Separador de milhares 3 13 11 6" xfId="11988" xr:uid="{00000000-0005-0000-0000-0000DD340000}"/>
    <cellStyle name="Separador de milhares 3 13 11 6 2" xfId="38181" xr:uid="{00000000-0005-0000-0000-0000DE340000}"/>
    <cellStyle name="Separador de milhares 3 13 11 7" xfId="30099" xr:uid="{00000000-0005-0000-0000-0000DF340000}"/>
    <cellStyle name="Separador de milhares 3 13 12" xfId="3660" xr:uid="{00000000-0005-0000-0000-0000E0340000}"/>
    <cellStyle name="Separador de milhares 3 13 12 2" xfId="7447" xr:uid="{00000000-0005-0000-0000-0000E1340000}"/>
    <cellStyle name="Separador de milhares 3 13 12 2 2" xfId="10591" xr:uid="{00000000-0005-0000-0000-0000E2340000}"/>
    <cellStyle name="Separador de milhares 3 13 12 2 2 2" xfId="28805" xr:uid="{00000000-0005-0000-0000-0000E3340000}"/>
    <cellStyle name="Separador de milhares 3 13 12 2 2 2 2" xfId="54986" xr:uid="{00000000-0005-0000-0000-0000E4340000}"/>
    <cellStyle name="Separador de milhares 3 13 12 2 2 3" xfId="22891" xr:uid="{00000000-0005-0000-0000-0000E5340000}"/>
    <cellStyle name="Separador de milhares 3 13 12 2 2 3 2" xfId="49078" xr:uid="{00000000-0005-0000-0000-0000E6340000}"/>
    <cellStyle name="Separador de milhares 3 13 12 2 2 4" xfId="16977" xr:uid="{00000000-0005-0000-0000-0000E7340000}"/>
    <cellStyle name="Separador de milhares 3 13 12 2 2 4 2" xfId="43170" xr:uid="{00000000-0005-0000-0000-0000E8340000}"/>
    <cellStyle name="Separador de milhares 3 13 12 2 2 5" xfId="36784" xr:uid="{00000000-0005-0000-0000-0000E9340000}"/>
    <cellStyle name="Separador de milhares 3 13 12 2 3" xfId="25848" xr:uid="{00000000-0005-0000-0000-0000EA340000}"/>
    <cellStyle name="Separador de milhares 3 13 12 2 3 2" xfId="52032" xr:uid="{00000000-0005-0000-0000-0000EB340000}"/>
    <cellStyle name="Separador de milhares 3 13 12 2 4" xfId="19934" xr:uid="{00000000-0005-0000-0000-0000EC340000}"/>
    <cellStyle name="Separador de milhares 3 13 12 2 4 2" xfId="46124" xr:uid="{00000000-0005-0000-0000-0000ED340000}"/>
    <cellStyle name="Separador de milhares 3 13 12 2 5" xfId="13836" xr:uid="{00000000-0005-0000-0000-0000EE340000}"/>
    <cellStyle name="Separador de milhares 3 13 12 2 5 2" xfId="40029" xr:uid="{00000000-0005-0000-0000-0000EF340000}"/>
    <cellStyle name="Separador de milhares 3 13 12 2 6" xfId="33643" xr:uid="{00000000-0005-0000-0000-0000F0340000}"/>
    <cellStyle name="Separador de milhares 3 13 12 3" xfId="9123" xr:uid="{00000000-0005-0000-0000-0000F1340000}"/>
    <cellStyle name="Separador de milhares 3 13 12 3 2" xfId="27337" xr:uid="{00000000-0005-0000-0000-0000F2340000}"/>
    <cellStyle name="Separador de milhares 3 13 12 3 2 2" xfId="53518" xr:uid="{00000000-0005-0000-0000-0000F3340000}"/>
    <cellStyle name="Separador de milhares 3 13 12 3 3" xfId="21423" xr:uid="{00000000-0005-0000-0000-0000F4340000}"/>
    <cellStyle name="Separador de milhares 3 13 12 3 3 2" xfId="47610" xr:uid="{00000000-0005-0000-0000-0000F5340000}"/>
    <cellStyle name="Separador de milhares 3 13 12 3 4" xfId="15509" xr:uid="{00000000-0005-0000-0000-0000F6340000}"/>
    <cellStyle name="Separador de milhares 3 13 12 3 4 2" xfId="41702" xr:uid="{00000000-0005-0000-0000-0000F7340000}"/>
    <cellStyle name="Separador de milhares 3 13 12 3 5" xfId="35316" xr:uid="{00000000-0005-0000-0000-0000F8340000}"/>
    <cellStyle name="Separador de milhares 3 13 12 4" xfId="5748" xr:uid="{00000000-0005-0000-0000-0000F9340000}"/>
    <cellStyle name="Separador de milhares 3 13 12 4 2" xfId="24380" xr:uid="{00000000-0005-0000-0000-0000FA340000}"/>
    <cellStyle name="Separador de milhares 3 13 12 4 2 2" xfId="50564" xr:uid="{00000000-0005-0000-0000-0000FB340000}"/>
    <cellStyle name="Separador de milhares 3 13 12 4 3" xfId="31944" xr:uid="{00000000-0005-0000-0000-0000FC340000}"/>
    <cellStyle name="Separador de milhares 3 13 12 5" xfId="18466" xr:uid="{00000000-0005-0000-0000-0000FD340000}"/>
    <cellStyle name="Separador de milhares 3 13 12 5 2" xfId="44656" xr:uid="{00000000-0005-0000-0000-0000FE340000}"/>
    <cellStyle name="Separador de milhares 3 13 12 6" xfId="12135" xr:uid="{00000000-0005-0000-0000-0000FF340000}"/>
    <cellStyle name="Separador de milhares 3 13 12 6 2" xfId="38328" xr:uid="{00000000-0005-0000-0000-000000350000}"/>
    <cellStyle name="Separador de milhares 3 13 12 7" xfId="30246" xr:uid="{00000000-0005-0000-0000-000001350000}"/>
    <cellStyle name="Separador de milhares 3 13 13" xfId="6431" xr:uid="{00000000-0005-0000-0000-000002350000}"/>
    <cellStyle name="Separador de milhares 3 13 13 2" xfId="9587" xr:uid="{00000000-0005-0000-0000-000003350000}"/>
    <cellStyle name="Separador de milhares 3 13 13 2 2" xfId="27801" xr:uid="{00000000-0005-0000-0000-000004350000}"/>
    <cellStyle name="Separador de milhares 3 13 13 2 2 2" xfId="53982" xr:uid="{00000000-0005-0000-0000-000005350000}"/>
    <cellStyle name="Separador de milhares 3 13 13 2 3" xfId="21887" xr:uid="{00000000-0005-0000-0000-000006350000}"/>
    <cellStyle name="Separador de milhares 3 13 13 2 3 2" xfId="48074" xr:uid="{00000000-0005-0000-0000-000007350000}"/>
    <cellStyle name="Separador de milhares 3 13 13 2 4" xfId="15973" xr:uid="{00000000-0005-0000-0000-000008350000}"/>
    <cellStyle name="Separador de milhares 3 13 13 2 4 2" xfId="42166" xr:uid="{00000000-0005-0000-0000-000009350000}"/>
    <cellStyle name="Separador de milhares 3 13 13 2 5" xfId="35780" xr:uid="{00000000-0005-0000-0000-00000A350000}"/>
    <cellStyle name="Separador de milhares 3 13 13 3" xfId="24844" xr:uid="{00000000-0005-0000-0000-00000B350000}"/>
    <cellStyle name="Separador de milhares 3 13 13 3 2" xfId="51028" xr:uid="{00000000-0005-0000-0000-00000C350000}"/>
    <cellStyle name="Separador de milhares 3 13 13 4" xfId="18930" xr:uid="{00000000-0005-0000-0000-00000D350000}"/>
    <cellStyle name="Separador de milhares 3 13 13 4 2" xfId="45120" xr:uid="{00000000-0005-0000-0000-00000E350000}"/>
    <cellStyle name="Separador de milhares 3 13 13 5" xfId="12820" xr:uid="{00000000-0005-0000-0000-00000F350000}"/>
    <cellStyle name="Separador de milhares 3 13 13 5 2" xfId="39013" xr:uid="{00000000-0005-0000-0000-000010350000}"/>
    <cellStyle name="Separador de milhares 3 13 13 6" xfId="32627" xr:uid="{00000000-0005-0000-0000-000011350000}"/>
    <cellStyle name="Separador de milhares 3 13 14" xfId="8116" xr:uid="{00000000-0005-0000-0000-000012350000}"/>
    <cellStyle name="Separador de milhares 3 13 14 2" xfId="26330" xr:uid="{00000000-0005-0000-0000-000013350000}"/>
    <cellStyle name="Separador de milhares 3 13 14 2 2" xfId="52514" xr:uid="{00000000-0005-0000-0000-000014350000}"/>
    <cellStyle name="Separador de milhares 3 13 14 3" xfId="20416" xr:uid="{00000000-0005-0000-0000-000015350000}"/>
    <cellStyle name="Separador de milhares 3 13 14 3 2" xfId="46606" xr:uid="{00000000-0005-0000-0000-000016350000}"/>
    <cellStyle name="Separador de milhares 3 13 14 4" xfId="14505" xr:uid="{00000000-0005-0000-0000-000017350000}"/>
    <cellStyle name="Separador de milhares 3 13 14 4 2" xfId="40698" xr:uid="{00000000-0005-0000-0000-000018350000}"/>
    <cellStyle name="Separador de milhares 3 13 14 5" xfId="34312" xr:uid="{00000000-0005-0000-0000-000019350000}"/>
    <cellStyle name="Separador de milhares 3 13 15" xfId="4729" xr:uid="{00000000-0005-0000-0000-00001A350000}"/>
    <cellStyle name="Separador de milhares 3 13 15 2" xfId="23373" xr:uid="{00000000-0005-0000-0000-00001B350000}"/>
    <cellStyle name="Separador de milhares 3 13 15 2 2" xfId="49560" xr:uid="{00000000-0005-0000-0000-00001C350000}"/>
    <cellStyle name="Separador de milhares 3 13 15 3" xfId="30928" xr:uid="{00000000-0005-0000-0000-00001D350000}"/>
    <cellStyle name="Separador de milhares 3 13 16" xfId="17459" xr:uid="{00000000-0005-0000-0000-00001E350000}"/>
    <cellStyle name="Separador de milhares 3 13 16 2" xfId="43652" xr:uid="{00000000-0005-0000-0000-00001F350000}"/>
    <cellStyle name="Separador de milhares 3 13 17" xfId="11119" xr:uid="{00000000-0005-0000-0000-000020350000}"/>
    <cellStyle name="Separador de milhares 3 13 17 2" xfId="37312" xr:uid="{00000000-0005-0000-0000-000021350000}"/>
    <cellStyle name="Separador de milhares 3 13 18" xfId="29230" xr:uid="{00000000-0005-0000-0000-000022350000}"/>
    <cellStyle name="Separador de milhares 3 13 2" xfId="197" xr:uid="{00000000-0005-0000-0000-000023350000}"/>
    <cellStyle name="Separador de milhares 3 13 2 10" xfId="6460" xr:uid="{00000000-0005-0000-0000-000024350000}"/>
    <cellStyle name="Separador de milhares 3 13 2 10 2" xfId="9614" xr:uid="{00000000-0005-0000-0000-000025350000}"/>
    <cellStyle name="Separador de milhares 3 13 2 10 2 2" xfId="27828" xr:uid="{00000000-0005-0000-0000-000026350000}"/>
    <cellStyle name="Separador de milhares 3 13 2 10 2 2 2" xfId="54009" xr:uid="{00000000-0005-0000-0000-000027350000}"/>
    <cellStyle name="Separador de milhares 3 13 2 10 2 3" xfId="21914" xr:uid="{00000000-0005-0000-0000-000028350000}"/>
    <cellStyle name="Separador de milhares 3 13 2 10 2 3 2" xfId="48101" xr:uid="{00000000-0005-0000-0000-000029350000}"/>
    <cellStyle name="Separador de milhares 3 13 2 10 2 4" xfId="16000" xr:uid="{00000000-0005-0000-0000-00002A350000}"/>
    <cellStyle name="Separador de milhares 3 13 2 10 2 4 2" xfId="42193" xr:uid="{00000000-0005-0000-0000-00002B350000}"/>
    <cellStyle name="Separador de milhares 3 13 2 10 2 5" xfId="35807" xr:uid="{00000000-0005-0000-0000-00002C350000}"/>
    <cellStyle name="Separador de milhares 3 13 2 10 3" xfId="24871" xr:uid="{00000000-0005-0000-0000-00002D350000}"/>
    <cellStyle name="Separador de milhares 3 13 2 10 3 2" xfId="51055" xr:uid="{00000000-0005-0000-0000-00002E350000}"/>
    <cellStyle name="Separador de milhares 3 13 2 10 4" xfId="18957" xr:uid="{00000000-0005-0000-0000-00002F350000}"/>
    <cellStyle name="Separador de milhares 3 13 2 10 4 2" xfId="45147" xr:uid="{00000000-0005-0000-0000-000030350000}"/>
    <cellStyle name="Separador de milhares 3 13 2 10 5" xfId="12849" xr:uid="{00000000-0005-0000-0000-000031350000}"/>
    <cellStyle name="Separador de milhares 3 13 2 10 5 2" xfId="39042" xr:uid="{00000000-0005-0000-0000-000032350000}"/>
    <cellStyle name="Separador de milhares 3 13 2 10 6" xfId="32656" xr:uid="{00000000-0005-0000-0000-000033350000}"/>
    <cellStyle name="Separador de milhares 3 13 2 11" xfId="8143" xr:uid="{00000000-0005-0000-0000-000034350000}"/>
    <cellStyle name="Separador de milhares 3 13 2 11 2" xfId="26357" xr:uid="{00000000-0005-0000-0000-000035350000}"/>
    <cellStyle name="Separador de milhares 3 13 2 11 2 2" xfId="52541" xr:uid="{00000000-0005-0000-0000-000036350000}"/>
    <cellStyle name="Separador de milhares 3 13 2 11 3" xfId="20443" xr:uid="{00000000-0005-0000-0000-000037350000}"/>
    <cellStyle name="Separador de milhares 3 13 2 11 3 2" xfId="46633" xr:uid="{00000000-0005-0000-0000-000038350000}"/>
    <cellStyle name="Separador de milhares 3 13 2 11 4" xfId="14532" xr:uid="{00000000-0005-0000-0000-000039350000}"/>
    <cellStyle name="Separador de milhares 3 13 2 11 4 2" xfId="40725" xr:uid="{00000000-0005-0000-0000-00003A350000}"/>
    <cellStyle name="Separador de milhares 3 13 2 11 5" xfId="34339" xr:uid="{00000000-0005-0000-0000-00003B350000}"/>
    <cellStyle name="Separador de milhares 3 13 2 12" xfId="4759" xr:uid="{00000000-0005-0000-0000-00003C350000}"/>
    <cellStyle name="Separador de milhares 3 13 2 12 2" xfId="23400" xr:uid="{00000000-0005-0000-0000-00003D350000}"/>
    <cellStyle name="Separador de milhares 3 13 2 12 2 2" xfId="49587" xr:uid="{00000000-0005-0000-0000-00003E350000}"/>
    <cellStyle name="Separador de milhares 3 13 2 12 3" xfId="30957" xr:uid="{00000000-0005-0000-0000-00003F350000}"/>
    <cellStyle name="Separador de milhares 3 13 2 13" xfId="17486" xr:uid="{00000000-0005-0000-0000-000040350000}"/>
    <cellStyle name="Separador de milhares 3 13 2 13 2" xfId="43679" xr:uid="{00000000-0005-0000-0000-000041350000}"/>
    <cellStyle name="Separador de milhares 3 13 2 14" xfId="11148" xr:uid="{00000000-0005-0000-0000-000042350000}"/>
    <cellStyle name="Separador de milhares 3 13 2 14 2" xfId="37341" xr:uid="{00000000-0005-0000-0000-000043350000}"/>
    <cellStyle name="Separador de milhares 3 13 2 15" xfId="29260" xr:uid="{00000000-0005-0000-0000-000044350000}"/>
    <cellStyle name="Separador de milhares 3 13 2 2" xfId="470" xr:uid="{00000000-0005-0000-0000-000045350000}"/>
    <cellStyle name="Separador de milhares 3 13 2 2 10" xfId="17560" xr:uid="{00000000-0005-0000-0000-000046350000}"/>
    <cellStyle name="Separador de milhares 3 13 2 2 10 2" xfId="43753" xr:uid="{00000000-0005-0000-0000-000047350000}"/>
    <cellStyle name="Separador de milhares 3 13 2 2 11" xfId="11229" xr:uid="{00000000-0005-0000-0000-000048350000}"/>
    <cellStyle name="Separador de milhares 3 13 2 2 11 2" xfId="37422" xr:uid="{00000000-0005-0000-0000-000049350000}"/>
    <cellStyle name="Separador de milhares 3 13 2 2 12" xfId="29340" xr:uid="{00000000-0005-0000-0000-00004A350000}"/>
    <cellStyle name="Separador de milhares 3 13 2 2 2" xfId="1989" xr:uid="{00000000-0005-0000-0000-00004B350000}"/>
    <cellStyle name="Separador de milhares 3 13 2 2 2 2" xfId="6979" xr:uid="{00000000-0005-0000-0000-00004C350000}"/>
    <cellStyle name="Separador de milhares 3 13 2 2 2 2 2" xfId="10126" xr:uid="{00000000-0005-0000-0000-00004D350000}"/>
    <cellStyle name="Separador de milhares 3 13 2 2 2 2 2 2" xfId="28340" xr:uid="{00000000-0005-0000-0000-00004E350000}"/>
    <cellStyle name="Separador de milhares 3 13 2 2 2 2 2 2 2" xfId="54521" xr:uid="{00000000-0005-0000-0000-00004F350000}"/>
    <cellStyle name="Separador de milhares 3 13 2 2 2 2 2 3" xfId="22426" xr:uid="{00000000-0005-0000-0000-000050350000}"/>
    <cellStyle name="Separador de milhares 3 13 2 2 2 2 2 3 2" xfId="48613" xr:uid="{00000000-0005-0000-0000-000051350000}"/>
    <cellStyle name="Separador de milhares 3 13 2 2 2 2 2 4" xfId="16512" xr:uid="{00000000-0005-0000-0000-000052350000}"/>
    <cellStyle name="Separador de milhares 3 13 2 2 2 2 2 4 2" xfId="42705" xr:uid="{00000000-0005-0000-0000-000053350000}"/>
    <cellStyle name="Separador de milhares 3 13 2 2 2 2 2 5" xfId="36319" xr:uid="{00000000-0005-0000-0000-000054350000}"/>
    <cellStyle name="Separador de milhares 3 13 2 2 2 2 3" xfId="25383" xr:uid="{00000000-0005-0000-0000-000055350000}"/>
    <cellStyle name="Separador de milhares 3 13 2 2 2 2 3 2" xfId="51567" xr:uid="{00000000-0005-0000-0000-000056350000}"/>
    <cellStyle name="Separador de milhares 3 13 2 2 2 2 4" xfId="19469" xr:uid="{00000000-0005-0000-0000-000057350000}"/>
    <cellStyle name="Separador de milhares 3 13 2 2 2 2 4 2" xfId="45659" xr:uid="{00000000-0005-0000-0000-000058350000}"/>
    <cellStyle name="Separador de milhares 3 13 2 2 2 2 5" xfId="13368" xr:uid="{00000000-0005-0000-0000-000059350000}"/>
    <cellStyle name="Separador de milhares 3 13 2 2 2 2 5 2" xfId="39561" xr:uid="{00000000-0005-0000-0000-00005A350000}"/>
    <cellStyle name="Separador de milhares 3 13 2 2 2 2 6" xfId="33175" xr:uid="{00000000-0005-0000-0000-00005B350000}"/>
    <cellStyle name="Separador de milhares 3 13 2 2 2 3" xfId="8658" xr:uid="{00000000-0005-0000-0000-00005C350000}"/>
    <cellStyle name="Separador de milhares 3 13 2 2 2 3 2" xfId="26872" xr:uid="{00000000-0005-0000-0000-00005D350000}"/>
    <cellStyle name="Separador de milhares 3 13 2 2 2 3 2 2" xfId="53053" xr:uid="{00000000-0005-0000-0000-00005E350000}"/>
    <cellStyle name="Separador de milhares 3 13 2 2 2 3 3" xfId="20958" xr:uid="{00000000-0005-0000-0000-00005F350000}"/>
    <cellStyle name="Separador de milhares 3 13 2 2 2 3 3 2" xfId="47145" xr:uid="{00000000-0005-0000-0000-000060350000}"/>
    <cellStyle name="Separador de milhares 3 13 2 2 2 3 4" xfId="15044" xr:uid="{00000000-0005-0000-0000-000061350000}"/>
    <cellStyle name="Separador de milhares 3 13 2 2 2 3 4 2" xfId="41237" xr:uid="{00000000-0005-0000-0000-000062350000}"/>
    <cellStyle name="Separador de milhares 3 13 2 2 2 3 5" xfId="34851" xr:uid="{00000000-0005-0000-0000-000063350000}"/>
    <cellStyle name="Separador de milhares 3 13 2 2 2 4" xfId="5280" xr:uid="{00000000-0005-0000-0000-000064350000}"/>
    <cellStyle name="Separador de milhares 3 13 2 2 2 4 2" xfId="23915" xr:uid="{00000000-0005-0000-0000-000065350000}"/>
    <cellStyle name="Separador de milhares 3 13 2 2 2 4 2 2" xfId="50099" xr:uid="{00000000-0005-0000-0000-000066350000}"/>
    <cellStyle name="Separador de milhares 3 13 2 2 2 4 3" xfId="31476" xr:uid="{00000000-0005-0000-0000-000067350000}"/>
    <cellStyle name="Separador de milhares 3 13 2 2 2 5" xfId="18001" xr:uid="{00000000-0005-0000-0000-000068350000}"/>
    <cellStyle name="Separador de milhares 3 13 2 2 2 5 2" xfId="44191" xr:uid="{00000000-0005-0000-0000-000069350000}"/>
    <cellStyle name="Separador de milhares 3 13 2 2 2 6" xfId="11667" xr:uid="{00000000-0005-0000-0000-00006A350000}"/>
    <cellStyle name="Separador de milhares 3 13 2 2 2 6 2" xfId="37860" xr:uid="{00000000-0005-0000-0000-00006B350000}"/>
    <cellStyle name="Separador de milhares 3 13 2 2 2 7" xfId="29778" xr:uid="{00000000-0005-0000-0000-00006C350000}"/>
    <cellStyle name="Separador de milhares 3 13 2 2 3" xfId="2519" xr:uid="{00000000-0005-0000-0000-00006D350000}"/>
    <cellStyle name="Separador de milhares 3 13 2 2 3 2" xfId="7129" xr:uid="{00000000-0005-0000-0000-00006E350000}"/>
    <cellStyle name="Separador de milhares 3 13 2 2 3 2 2" xfId="10273" xr:uid="{00000000-0005-0000-0000-00006F350000}"/>
    <cellStyle name="Separador de milhares 3 13 2 2 3 2 2 2" xfId="28487" xr:uid="{00000000-0005-0000-0000-000070350000}"/>
    <cellStyle name="Separador de milhares 3 13 2 2 3 2 2 2 2" xfId="54668" xr:uid="{00000000-0005-0000-0000-000071350000}"/>
    <cellStyle name="Separador de milhares 3 13 2 2 3 2 2 3" xfId="22573" xr:uid="{00000000-0005-0000-0000-000072350000}"/>
    <cellStyle name="Separador de milhares 3 13 2 2 3 2 2 3 2" xfId="48760" xr:uid="{00000000-0005-0000-0000-000073350000}"/>
    <cellStyle name="Separador de milhares 3 13 2 2 3 2 2 4" xfId="16659" xr:uid="{00000000-0005-0000-0000-000074350000}"/>
    <cellStyle name="Separador de milhares 3 13 2 2 3 2 2 4 2" xfId="42852" xr:uid="{00000000-0005-0000-0000-000075350000}"/>
    <cellStyle name="Separador de milhares 3 13 2 2 3 2 2 5" xfId="36466" xr:uid="{00000000-0005-0000-0000-000076350000}"/>
    <cellStyle name="Separador de milhares 3 13 2 2 3 2 3" xfId="25530" xr:uid="{00000000-0005-0000-0000-000077350000}"/>
    <cellStyle name="Separador de milhares 3 13 2 2 3 2 3 2" xfId="51714" xr:uid="{00000000-0005-0000-0000-000078350000}"/>
    <cellStyle name="Separador de milhares 3 13 2 2 3 2 4" xfId="19616" xr:uid="{00000000-0005-0000-0000-000079350000}"/>
    <cellStyle name="Separador de milhares 3 13 2 2 3 2 4 2" xfId="45806" xr:uid="{00000000-0005-0000-0000-00007A350000}"/>
    <cellStyle name="Separador de milhares 3 13 2 2 3 2 5" xfId="13518" xr:uid="{00000000-0005-0000-0000-00007B350000}"/>
    <cellStyle name="Separador de milhares 3 13 2 2 3 2 5 2" xfId="39711" xr:uid="{00000000-0005-0000-0000-00007C350000}"/>
    <cellStyle name="Separador de milhares 3 13 2 2 3 2 6" xfId="33325" xr:uid="{00000000-0005-0000-0000-00007D350000}"/>
    <cellStyle name="Separador de milhares 3 13 2 2 3 3" xfId="8805" xr:uid="{00000000-0005-0000-0000-00007E350000}"/>
    <cellStyle name="Separador de milhares 3 13 2 2 3 3 2" xfId="27019" xr:uid="{00000000-0005-0000-0000-00007F350000}"/>
    <cellStyle name="Separador de milhares 3 13 2 2 3 3 2 2" xfId="53200" xr:uid="{00000000-0005-0000-0000-000080350000}"/>
    <cellStyle name="Separador de milhares 3 13 2 2 3 3 3" xfId="21105" xr:uid="{00000000-0005-0000-0000-000081350000}"/>
    <cellStyle name="Separador de milhares 3 13 2 2 3 3 3 2" xfId="47292" xr:uid="{00000000-0005-0000-0000-000082350000}"/>
    <cellStyle name="Separador de milhares 3 13 2 2 3 3 4" xfId="15191" xr:uid="{00000000-0005-0000-0000-000083350000}"/>
    <cellStyle name="Separador de milhares 3 13 2 2 3 3 4 2" xfId="41384" xr:uid="{00000000-0005-0000-0000-000084350000}"/>
    <cellStyle name="Separador de milhares 3 13 2 2 3 3 5" xfId="34998" xr:uid="{00000000-0005-0000-0000-000085350000}"/>
    <cellStyle name="Separador de milhares 3 13 2 2 3 4" xfId="5430" xr:uid="{00000000-0005-0000-0000-000086350000}"/>
    <cellStyle name="Separador de milhares 3 13 2 2 3 4 2" xfId="24062" xr:uid="{00000000-0005-0000-0000-000087350000}"/>
    <cellStyle name="Separador de milhares 3 13 2 2 3 4 2 2" xfId="50246" xr:uid="{00000000-0005-0000-0000-000088350000}"/>
    <cellStyle name="Separador de milhares 3 13 2 2 3 4 3" xfId="31626" xr:uid="{00000000-0005-0000-0000-000089350000}"/>
    <cellStyle name="Separador de milhares 3 13 2 2 3 5" xfId="18148" xr:uid="{00000000-0005-0000-0000-00008A350000}"/>
    <cellStyle name="Separador de milhares 3 13 2 2 3 5 2" xfId="44338" xr:uid="{00000000-0005-0000-0000-00008B350000}"/>
    <cellStyle name="Separador de milhares 3 13 2 2 3 6" xfId="11817" xr:uid="{00000000-0005-0000-0000-00008C350000}"/>
    <cellStyle name="Separador de milhares 3 13 2 2 3 6 2" xfId="38010" xr:uid="{00000000-0005-0000-0000-00008D350000}"/>
    <cellStyle name="Separador de milhares 3 13 2 2 3 7" xfId="29928" xr:uid="{00000000-0005-0000-0000-00008E350000}"/>
    <cellStyle name="Separador de milhares 3 13 2 2 4" xfId="3046" xr:uid="{00000000-0005-0000-0000-00008F350000}"/>
    <cellStyle name="Separador de milhares 3 13 2 2 4 2" xfId="7276" xr:uid="{00000000-0005-0000-0000-000090350000}"/>
    <cellStyle name="Separador de milhares 3 13 2 2 4 2 2" xfId="10420" xr:uid="{00000000-0005-0000-0000-000091350000}"/>
    <cellStyle name="Separador de milhares 3 13 2 2 4 2 2 2" xfId="28634" xr:uid="{00000000-0005-0000-0000-000092350000}"/>
    <cellStyle name="Separador de milhares 3 13 2 2 4 2 2 2 2" xfId="54815" xr:uid="{00000000-0005-0000-0000-000093350000}"/>
    <cellStyle name="Separador de milhares 3 13 2 2 4 2 2 3" xfId="22720" xr:uid="{00000000-0005-0000-0000-000094350000}"/>
    <cellStyle name="Separador de milhares 3 13 2 2 4 2 2 3 2" xfId="48907" xr:uid="{00000000-0005-0000-0000-000095350000}"/>
    <cellStyle name="Separador de milhares 3 13 2 2 4 2 2 4" xfId="16806" xr:uid="{00000000-0005-0000-0000-000096350000}"/>
    <cellStyle name="Separador de milhares 3 13 2 2 4 2 2 4 2" xfId="42999" xr:uid="{00000000-0005-0000-0000-000097350000}"/>
    <cellStyle name="Separador de milhares 3 13 2 2 4 2 2 5" xfId="36613" xr:uid="{00000000-0005-0000-0000-000098350000}"/>
    <cellStyle name="Separador de milhares 3 13 2 2 4 2 3" xfId="25677" xr:uid="{00000000-0005-0000-0000-000099350000}"/>
    <cellStyle name="Separador de milhares 3 13 2 2 4 2 3 2" xfId="51861" xr:uid="{00000000-0005-0000-0000-00009A350000}"/>
    <cellStyle name="Separador de milhares 3 13 2 2 4 2 4" xfId="19763" xr:uid="{00000000-0005-0000-0000-00009B350000}"/>
    <cellStyle name="Separador de milhares 3 13 2 2 4 2 4 2" xfId="45953" xr:uid="{00000000-0005-0000-0000-00009C350000}"/>
    <cellStyle name="Separador de milhares 3 13 2 2 4 2 5" xfId="13665" xr:uid="{00000000-0005-0000-0000-00009D350000}"/>
    <cellStyle name="Separador de milhares 3 13 2 2 4 2 5 2" xfId="39858" xr:uid="{00000000-0005-0000-0000-00009E350000}"/>
    <cellStyle name="Separador de milhares 3 13 2 2 4 2 6" xfId="33472" xr:uid="{00000000-0005-0000-0000-00009F350000}"/>
    <cellStyle name="Separador de milhares 3 13 2 2 4 3" xfId="8952" xr:uid="{00000000-0005-0000-0000-0000A0350000}"/>
    <cellStyle name="Separador de milhares 3 13 2 2 4 3 2" xfId="27166" xr:uid="{00000000-0005-0000-0000-0000A1350000}"/>
    <cellStyle name="Separador de milhares 3 13 2 2 4 3 2 2" xfId="53347" xr:uid="{00000000-0005-0000-0000-0000A2350000}"/>
    <cellStyle name="Separador de milhares 3 13 2 2 4 3 3" xfId="21252" xr:uid="{00000000-0005-0000-0000-0000A3350000}"/>
    <cellStyle name="Separador de milhares 3 13 2 2 4 3 3 2" xfId="47439" xr:uid="{00000000-0005-0000-0000-0000A4350000}"/>
    <cellStyle name="Separador de milhares 3 13 2 2 4 3 4" xfId="15338" xr:uid="{00000000-0005-0000-0000-0000A5350000}"/>
    <cellStyle name="Separador de milhares 3 13 2 2 4 3 4 2" xfId="41531" xr:uid="{00000000-0005-0000-0000-0000A6350000}"/>
    <cellStyle name="Separador de milhares 3 13 2 2 4 3 5" xfId="35145" xr:uid="{00000000-0005-0000-0000-0000A7350000}"/>
    <cellStyle name="Separador de milhares 3 13 2 2 4 4" xfId="5577" xr:uid="{00000000-0005-0000-0000-0000A8350000}"/>
    <cellStyle name="Separador de milhares 3 13 2 2 4 4 2" xfId="24209" xr:uid="{00000000-0005-0000-0000-0000A9350000}"/>
    <cellStyle name="Separador de milhares 3 13 2 2 4 4 2 2" xfId="50393" xr:uid="{00000000-0005-0000-0000-0000AA350000}"/>
    <cellStyle name="Separador de milhares 3 13 2 2 4 4 3" xfId="31773" xr:uid="{00000000-0005-0000-0000-0000AB350000}"/>
    <cellStyle name="Separador de milhares 3 13 2 2 4 5" xfId="18295" xr:uid="{00000000-0005-0000-0000-0000AC350000}"/>
    <cellStyle name="Separador de milhares 3 13 2 2 4 5 2" xfId="44485" xr:uid="{00000000-0005-0000-0000-0000AD350000}"/>
    <cellStyle name="Separador de milhares 3 13 2 2 4 6" xfId="11964" xr:uid="{00000000-0005-0000-0000-0000AE350000}"/>
    <cellStyle name="Separador de milhares 3 13 2 2 4 6 2" xfId="38157" xr:uid="{00000000-0005-0000-0000-0000AF350000}"/>
    <cellStyle name="Separador de milhares 3 13 2 2 4 7" xfId="30075" xr:uid="{00000000-0005-0000-0000-0000B0350000}"/>
    <cellStyle name="Separador de milhares 3 13 2 2 5" xfId="3573" xr:uid="{00000000-0005-0000-0000-0000B1350000}"/>
    <cellStyle name="Separador de milhares 3 13 2 2 5 2" xfId="7423" xr:uid="{00000000-0005-0000-0000-0000B2350000}"/>
    <cellStyle name="Separador de milhares 3 13 2 2 5 2 2" xfId="10567" xr:uid="{00000000-0005-0000-0000-0000B3350000}"/>
    <cellStyle name="Separador de milhares 3 13 2 2 5 2 2 2" xfId="28781" xr:uid="{00000000-0005-0000-0000-0000B4350000}"/>
    <cellStyle name="Separador de milhares 3 13 2 2 5 2 2 2 2" xfId="54962" xr:uid="{00000000-0005-0000-0000-0000B5350000}"/>
    <cellStyle name="Separador de milhares 3 13 2 2 5 2 2 3" xfId="22867" xr:uid="{00000000-0005-0000-0000-0000B6350000}"/>
    <cellStyle name="Separador de milhares 3 13 2 2 5 2 2 3 2" xfId="49054" xr:uid="{00000000-0005-0000-0000-0000B7350000}"/>
    <cellStyle name="Separador de milhares 3 13 2 2 5 2 2 4" xfId="16953" xr:uid="{00000000-0005-0000-0000-0000B8350000}"/>
    <cellStyle name="Separador de milhares 3 13 2 2 5 2 2 4 2" xfId="43146" xr:uid="{00000000-0005-0000-0000-0000B9350000}"/>
    <cellStyle name="Separador de milhares 3 13 2 2 5 2 2 5" xfId="36760" xr:uid="{00000000-0005-0000-0000-0000BA350000}"/>
    <cellStyle name="Separador de milhares 3 13 2 2 5 2 3" xfId="25824" xr:uid="{00000000-0005-0000-0000-0000BB350000}"/>
    <cellStyle name="Separador de milhares 3 13 2 2 5 2 3 2" xfId="52008" xr:uid="{00000000-0005-0000-0000-0000BC350000}"/>
    <cellStyle name="Separador de milhares 3 13 2 2 5 2 4" xfId="19910" xr:uid="{00000000-0005-0000-0000-0000BD350000}"/>
    <cellStyle name="Separador de milhares 3 13 2 2 5 2 4 2" xfId="46100" xr:uid="{00000000-0005-0000-0000-0000BE350000}"/>
    <cellStyle name="Separador de milhares 3 13 2 2 5 2 5" xfId="13812" xr:uid="{00000000-0005-0000-0000-0000BF350000}"/>
    <cellStyle name="Separador de milhares 3 13 2 2 5 2 5 2" xfId="40005" xr:uid="{00000000-0005-0000-0000-0000C0350000}"/>
    <cellStyle name="Separador de milhares 3 13 2 2 5 2 6" xfId="33619" xr:uid="{00000000-0005-0000-0000-0000C1350000}"/>
    <cellStyle name="Separador de milhares 3 13 2 2 5 3" xfId="9099" xr:uid="{00000000-0005-0000-0000-0000C2350000}"/>
    <cellStyle name="Separador de milhares 3 13 2 2 5 3 2" xfId="27313" xr:uid="{00000000-0005-0000-0000-0000C3350000}"/>
    <cellStyle name="Separador de milhares 3 13 2 2 5 3 2 2" xfId="53494" xr:uid="{00000000-0005-0000-0000-0000C4350000}"/>
    <cellStyle name="Separador de milhares 3 13 2 2 5 3 3" xfId="21399" xr:uid="{00000000-0005-0000-0000-0000C5350000}"/>
    <cellStyle name="Separador de milhares 3 13 2 2 5 3 3 2" xfId="47586" xr:uid="{00000000-0005-0000-0000-0000C6350000}"/>
    <cellStyle name="Separador de milhares 3 13 2 2 5 3 4" xfId="15485" xr:uid="{00000000-0005-0000-0000-0000C7350000}"/>
    <cellStyle name="Separador de milhares 3 13 2 2 5 3 4 2" xfId="41678" xr:uid="{00000000-0005-0000-0000-0000C8350000}"/>
    <cellStyle name="Separador de milhares 3 13 2 2 5 3 5" xfId="35292" xr:uid="{00000000-0005-0000-0000-0000C9350000}"/>
    <cellStyle name="Separador de milhares 3 13 2 2 5 4" xfId="5724" xr:uid="{00000000-0005-0000-0000-0000CA350000}"/>
    <cellStyle name="Separador de milhares 3 13 2 2 5 4 2" xfId="24356" xr:uid="{00000000-0005-0000-0000-0000CB350000}"/>
    <cellStyle name="Separador de milhares 3 13 2 2 5 4 2 2" xfId="50540" xr:uid="{00000000-0005-0000-0000-0000CC350000}"/>
    <cellStyle name="Separador de milhares 3 13 2 2 5 4 3" xfId="31920" xr:uid="{00000000-0005-0000-0000-0000CD350000}"/>
    <cellStyle name="Separador de milhares 3 13 2 2 5 5" xfId="18442" xr:uid="{00000000-0005-0000-0000-0000CE350000}"/>
    <cellStyle name="Separador de milhares 3 13 2 2 5 5 2" xfId="44632" xr:uid="{00000000-0005-0000-0000-0000CF350000}"/>
    <cellStyle name="Separador de milhares 3 13 2 2 5 6" xfId="12111" xr:uid="{00000000-0005-0000-0000-0000D0350000}"/>
    <cellStyle name="Separador de milhares 3 13 2 2 5 6 2" xfId="38304" xr:uid="{00000000-0005-0000-0000-0000D1350000}"/>
    <cellStyle name="Separador de milhares 3 13 2 2 5 7" xfId="30222" xr:uid="{00000000-0005-0000-0000-0000D2350000}"/>
    <cellStyle name="Separador de milhares 3 13 2 2 6" xfId="4100" xr:uid="{00000000-0005-0000-0000-0000D3350000}"/>
    <cellStyle name="Separador de milhares 3 13 2 2 6 2" xfId="7570" xr:uid="{00000000-0005-0000-0000-0000D4350000}"/>
    <cellStyle name="Separador de milhares 3 13 2 2 6 2 2" xfId="10714" xr:uid="{00000000-0005-0000-0000-0000D5350000}"/>
    <cellStyle name="Separador de milhares 3 13 2 2 6 2 2 2" xfId="28928" xr:uid="{00000000-0005-0000-0000-0000D6350000}"/>
    <cellStyle name="Separador de milhares 3 13 2 2 6 2 2 2 2" xfId="55109" xr:uid="{00000000-0005-0000-0000-0000D7350000}"/>
    <cellStyle name="Separador de milhares 3 13 2 2 6 2 2 3" xfId="23014" xr:uid="{00000000-0005-0000-0000-0000D8350000}"/>
    <cellStyle name="Separador de milhares 3 13 2 2 6 2 2 3 2" xfId="49201" xr:uid="{00000000-0005-0000-0000-0000D9350000}"/>
    <cellStyle name="Separador de milhares 3 13 2 2 6 2 2 4" xfId="17100" xr:uid="{00000000-0005-0000-0000-0000DA350000}"/>
    <cellStyle name="Separador de milhares 3 13 2 2 6 2 2 4 2" xfId="43293" xr:uid="{00000000-0005-0000-0000-0000DB350000}"/>
    <cellStyle name="Separador de milhares 3 13 2 2 6 2 2 5" xfId="36907" xr:uid="{00000000-0005-0000-0000-0000DC350000}"/>
    <cellStyle name="Separador de milhares 3 13 2 2 6 2 3" xfId="25971" xr:uid="{00000000-0005-0000-0000-0000DD350000}"/>
    <cellStyle name="Separador de milhares 3 13 2 2 6 2 3 2" xfId="52155" xr:uid="{00000000-0005-0000-0000-0000DE350000}"/>
    <cellStyle name="Separador de milhares 3 13 2 2 6 2 4" xfId="20057" xr:uid="{00000000-0005-0000-0000-0000DF350000}"/>
    <cellStyle name="Separador de milhares 3 13 2 2 6 2 4 2" xfId="46247" xr:uid="{00000000-0005-0000-0000-0000E0350000}"/>
    <cellStyle name="Separador de milhares 3 13 2 2 6 2 5" xfId="13959" xr:uid="{00000000-0005-0000-0000-0000E1350000}"/>
    <cellStyle name="Separador de milhares 3 13 2 2 6 2 5 2" xfId="40152" xr:uid="{00000000-0005-0000-0000-0000E2350000}"/>
    <cellStyle name="Separador de milhares 3 13 2 2 6 2 6" xfId="33766" xr:uid="{00000000-0005-0000-0000-0000E3350000}"/>
    <cellStyle name="Separador de milhares 3 13 2 2 6 3" xfId="9246" xr:uid="{00000000-0005-0000-0000-0000E4350000}"/>
    <cellStyle name="Separador de milhares 3 13 2 2 6 3 2" xfId="27460" xr:uid="{00000000-0005-0000-0000-0000E5350000}"/>
    <cellStyle name="Separador de milhares 3 13 2 2 6 3 2 2" xfId="53641" xr:uid="{00000000-0005-0000-0000-0000E6350000}"/>
    <cellStyle name="Separador de milhares 3 13 2 2 6 3 3" xfId="21546" xr:uid="{00000000-0005-0000-0000-0000E7350000}"/>
    <cellStyle name="Separador de milhares 3 13 2 2 6 3 3 2" xfId="47733" xr:uid="{00000000-0005-0000-0000-0000E8350000}"/>
    <cellStyle name="Separador de milhares 3 13 2 2 6 3 4" xfId="15632" xr:uid="{00000000-0005-0000-0000-0000E9350000}"/>
    <cellStyle name="Separador de milhares 3 13 2 2 6 3 4 2" xfId="41825" xr:uid="{00000000-0005-0000-0000-0000EA350000}"/>
    <cellStyle name="Separador de milhares 3 13 2 2 6 3 5" xfId="35439" xr:uid="{00000000-0005-0000-0000-0000EB350000}"/>
    <cellStyle name="Separador de milhares 3 13 2 2 6 4" xfId="5871" xr:uid="{00000000-0005-0000-0000-0000EC350000}"/>
    <cellStyle name="Separador de milhares 3 13 2 2 6 4 2" xfId="24503" xr:uid="{00000000-0005-0000-0000-0000ED350000}"/>
    <cellStyle name="Separador de milhares 3 13 2 2 6 4 2 2" xfId="50687" xr:uid="{00000000-0005-0000-0000-0000EE350000}"/>
    <cellStyle name="Separador de milhares 3 13 2 2 6 4 3" xfId="32067" xr:uid="{00000000-0005-0000-0000-0000EF350000}"/>
    <cellStyle name="Separador de milhares 3 13 2 2 6 5" xfId="18589" xr:uid="{00000000-0005-0000-0000-0000F0350000}"/>
    <cellStyle name="Separador de milhares 3 13 2 2 6 5 2" xfId="44779" xr:uid="{00000000-0005-0000-0000-0000F1350000}"/>
    <cellStyle name="Separador de milhares 3 13 2 2 6 6" xfId="12258" xr:uid="{00000000-0005-0000-0000-0000F2350000}"/>
    <cellStyle name="Separador de milhares 3 13 2 2 6 6 2" xfId="38451" xr:uid="{00000000-0005-0000-0000-0000F3350000}"/>
    <cellStyle name="Separador de milhares 3 13 2 2 6 7" xfId="30369" xr:uid="{00000000-0005-0000-0000-0000F4350000}"/>
    <cellStyle name="Separador de milhares 3 13 2 2 7" xfId="6541" xr:uid="{00000000-0005-0000-0000-0000F5350000}"/>
    <cellStyle name="Separador de milhares 3 13 2 2 7 2" xfId="9688" xr:uid="{00000000-0005-0000-0000-0000F6350000}"/>
    <cellStyle name="Separador de milhares 3 13 2 2 7 2 2" xfId="27902" xr:uid="{00000000-0005-0000-0000-0000F7350000}"/>
    <cellStyle name="Separador de milhares 3 13 2 2 7 2 2 2" xfId="54083" xr:uid="{00000000-0005-0000-0000-0000F8350000}"/>
    <cellStyle name="Separador de milhares 3 13 2 2 7 2 3" xfId="21988" xr:uid="{00000000-0005-0000-0000-0000F9350000}"/>
    <cellStyle name="Separador de milhares 3 13 2 2 7 2 3 2" xfId="48175" xr:uid="{00000000-0005-0000-0000-0000FA350000}"/>
    <cellStyle name="Separador de milhares 3 13 2 2 7 2 4" xfId="16074" xr:uid="{00000000-0005-0000-0000-0000FB350000}"/>
    <cellStyle name="Separador de milhares 3 13 2 2 7 2 4 2" xfId="42267" xr:uid="{00000000-0005-0000-0000-0000FC350000}"/>
    <cellStyle name="Separador de milhares 3 13 2 2 7 2 5" xfId="35881" xr:uid="{00000000-0005-0000-0000-0000FD350000}"/>
    <cellStyle name="Separador de milhares 3 13 2 2 7 3" xfId="24945" xr:uid="{00000000-0005-0000-0000-0000FE350000}"/>
    <cellStyle name="Separador de milhares 3 13 2 2 7 3 2" xfId="51129" xr:uid="{00000000-0005-0000-0000-0000FF350000}"/>
    <cellStyle name="Separador de milhares 3 13 2 2 7 4" xfId="19031" xr:uid="{00000000-0005-0000-0000-000000360000}"/>
    <cellStyle name="Separador de milhares 3 13 2 2 7 4 2" xfId="45221" xr:uid="{00000000-0005-0000-0000-000001360000}"/>
    <cellStyle name="Separador de milhares 3 13 2 2 7 5" xfId="12930" xr:uid="{00000000-0005-0000-0000-000002360000}"/>
    <cellStyle name="Separador de milhares 3 13 2 2 7 5 2" xfId="39123" xr:uid="{00000000-0005-0000-0000-000003360000}"/>
    <cellStyle name="Separador de milhares 3 13 2 2 7 6" xfId="32737" xr:uid="{00000000-0005-0000-0000-000004360000}"/>
    <cellStyle name="Separador de milhares 3 13 2 2 8" xfId="8217" xr:uid="{00000000-0005-0000-0000-000005360000}"/>
    <cellStyle name="Separador de milhares 3 13 2 2 8 2" xfId="26431" xr:uid="{00000000-0005-0000-0000-000006360000}"/>
    <cellStyle name="Separador de milhares 3 13 2 2 8 2 2" xfId="52615" xr:uid="{00000000-0005-0000-0000-000007360000}"/>
    <cellStyle name="Separador de milhares 3 13 2 2 8 3" xfId="20517" xr:uid="{00000000-0005-0000-0000-000008360000}"/>
    <cellStyle name="Separador de milhares 3 13 2 2 8 3 2" xfId="46707" xr:uid="{00000000-0005-0000-0000-000009360000}"/>
    <cellStyle name="Separador de milhares 3 13 2 2 8 4" xfId="14606" xr:uid="{00000000-0005-0000-0000-00000A360000}"/>
    <cellStyle name="Separador de milhares 3 13 2 2 8 4 2" xfId="40799" xr:uid="{00000000-0005-0000-0000-00000B360000}"/>
    <cellStyle name="Separador de milhares 3 13 2 2 8 5" xfId="34413" xr:uid="{00000000-0005-0000-0000-00000C360000}"/>
    <cellStyle name="Separador de milhares 3 13 2 2 9" xfId="4840" xr:uid="{00000000-0005-0000-0000-00000D360000}"/>
    <cellStyle name="Separador de milhares 3 13 2 2 9 2" xfId="23474" xr:uid="{00000000-0005-0000-0000-00000E360000}"/>
    <cellStyle name="Separador de milhares 3 13 2 2 9 2 2" xfId="49661" xr:uid="{00000000-0005-0000-0000-00000F360000}"/>
    <cellStyle name="Separador de milhares 3 13 2 2 9 3" xfId="31038" xr:uid="{00000000-0005-0000-0000-000010360000}"/>
    <cellStyle name="Separador de milhares 3 13 2 3" xfId="943" xr:uid="{00000000-0005-0000-0000-000011360000}"/>
    <cellStyle name="Separador de milhares 3 13 2 3 2" xfId="6692" xr:uid="{00000000-0005-0000-0000-000012360000}"/>
    <cellStyle name="Separador de milhares 3 13 2 3 2 2" xfId="9839" xr:uid="{00000000-0005-0000-0000-000013360000}"/>
    <cellStyle name="Separador de milhares 3 13 2 3 2 2 2" xfId="28053" xr:uid="{00000000-0005-0000-0000-000014360000}"/>
    <cellStyle name="Separador de milhares 3 13 2 3 2 2 2 2" xfId="54234" xr:uid="{00000000-0005-0000-0000-000015360000}"/>
    <cellStyle name="Separador de milhares 3 13 2 3 2 2 3" xfId="22139" xr:uid="{00000000-0005-0000-0000-000016360000}"/>
    <cellStyle name="Separador de milhares 3 13 2 3 2 2 3 2" xfId="48326" xr:uid="{00000000-0005-0000-0000-000017360000}"/>
    <cellStyle name="Separador de milhares 3 13 2 3 2 2 4" xfId="16225" xr:uid="{00000000-0005-0000-0000-000018360000}"/>
    <cellStyle name="Separador de milhares 3 13 2 3 2 2 4 2" xfId="42418" xr:uid="{00000000-0005-0000-0000-000019360000}"/>
    <cellStyle name="Separador de milhares 3 13 2 3 2 2 5" xfId="36032" xr:uid="{00000000-0005-0000-0000-00001A360000}"/>
    <cellStyle name="Separador de milhares 3 13 2 3 2 3" xfId="25096" xr:uid="{00000000-0005-0000-0000-00001B360000}"/>
    <cellStyle name="Separador de milhares 3 13 2 3 2 3 2" xfId="51280" xr:uid="{00000000-0005-0000-0000-00001C360000}"/>
    <cellStyle name="Separador de milhares 3 13 2 3 2 4" xfId="19182" xr:uid="{00000000-0005-0000-0000-00001D360000}"/>
    <cellStyle name="Separador de milhares 3 13 2 3 2 4 2" xfId="45372" xr:uid="{00000000-0005-0000-0000-00001E360000}"/>
    <cellStyle name="Separador de milhares 3 13 2 3 2 5" xfId="13081" xr:uid="{00000000-0005-0000-0000-00001F360000}"/>
    <cellStyle name="Separador de milhares 3 13 2 3 2 5 2" xfId="39274" xr:uid="{00000000-0005-0000-0000-000020360000}"/>
    <cellStyle name="Separador de milhares 3 13 2 3 2 6" xfId="32888" xr:uid="{00000000-0005-0000-0000-000021360000}"/>
    <cellStyle name="Separador de milhares 3 13 2 3 3" xfId="8371" xr:uid="{00000000-0005-0000-0000-000022360000}"/>
    <cellStyle name="Separador de milhares 3 13 2 3 3 2" xfId="26585" xr:uid="{00000000-0005-0000-0000-000023360000}"/>
    <cellStyle name="Separador de milhares 3 13 2 3 3 2 2" xfId="52766" xr:uid="{00000000-0005-0000-0000-000024360000}"/>
    <cellStyle name="Separador de milhares 3 13 2 3 3 3" xfId="20671" xr:uid="{00000000-0005-0000-0000-000025360000}"/>
    <cellStyle name="Separador de milhares 3 13 2 3 3 3 2" xfId="46858" xr:uid="{00000000-0005-0000-0000-000026360000}"/>
    <cellStyle name="Separador de milhares 3 13 2 3 3 4" xfId="14757" xr:uid="{00000000-0005-0000-0000-000027360000}"/>
    <cellStyle name="Separador de milhares 3 13 2 3 3 4 2" xfId="40950" xr:uid="{00000000-0005-0000-0000-000028360000}"/>
    <cellStyle name="Separador de milhares 3 13 2 3 3 5" xfId="34564" xr:uid="{00000000-0005-0000-0000-000029360000}"/>
    <cellStyle name="Separador de milhares 3 13 2 3 4" xfId="4993" xr:uid="{00000000-0005-0000-0000-00002A360000}"/>
    <cellStyle name="Separador de milhares 3 13 2 3 4 2" xfId="23628" xr:uid="{00000000-0005-0000-0000-00002B360000}"/>
    <cellStyle name="Separador de milhares 3 13 2 3 4 2 2" xfId="49812" xr:uid="{00000000-0005-0000-0000-00002C360000}"/>
    <cellStyle name="Separador de milhares 3 13 2 3 4 3" xfId="31189" xr:uid="{00000000-0005-0000-0000-00002D360000}"/>
    <cellStyle name="Separador de milhares 3 13 2 3 5" xfId="17714" xr:uid="{00000000-0005-0000-0000-00002E360000}"/>
    <cellStyle name="Separador de milhares 3 13 2 3 5 2" xfId="43904" xr:uid="{00000000-0005-0000-0000-00002F360000}"/>
    <cellStyle name="Separador de milhares 3 13 2 3 6" xfId="11380" xr:uid="{00000000-0005-0000-0000-000030360000}"/>
    <cellStyle name="Separador de milhares 3 13 2 3 6 2" xfId="37573" xr:uid="{00000000-0005-0000-0000-000031360000}"/>
    <cellStyle name="Separador de milhares 3 13 2 3 7" xfId="29491" xr:uid="{00000000-0005-0000-0000-000032360000}"/>
    <cellStyle name="Separador de milhares 3 13 2 4" xfId="1294" xr:uid="{00000000-0005-0000-0000-000033360000}"/>
    <cellStyle name="Separador de milhares 3 13 2 4 2" xfId="6790" xr:uid="{00000000-0005-0000-0000-000034360000}"/>
    <cellStyle name="Separador de milhares 3 13 2 4 2 2" xfId="9937" xr:uid="{00000000-0005-0000-0000-000035360000}"/>
    <cellStyle name="Separador de milhares 3 13 2 4 2 2 2" xfId="28151" xr:uid="{00000000-0005-0000-0000-000036360000}"/>
    <cellStyle name="Separador de milhares 3 13 2 4 2 2 2 2" xfId="54332" xr:uid="{00000000-0005-0000-0000-000037360000}"/>
    <cellStyle name="Separador de milhares 3 13 2 4 2 2 3" xfId="22237" xr:uid="{00000000-0005-0000-0000-000038360000}"/>
    <cellStyle name="Separador de milhares 3 13 2 4 2 2 3 2" xfId="48424" xr:uid="{00000000-0005-0000-0000-000039360000}"/>
    <cellStyle name="Separador de milhares 3 13 2 4 2 2 4" xfId="16323" xr:uid="{00000000-0005-0000-0000-00003A360000}"/>
    <cellStyle name="Separador de milhares 3 13 2 4 2 2 4 2" xfId="42516" xr:uid="{00000000-0005-0000-0000-00003B360000}"/>
    <cellStyle name="Separador de milhares 3 13 2 4 2 2 5" xfId="36130" xr:uid="{00000000-0005-0000-0000-00003C360000}"/>
    <cellStyle name="Separador de milhares 3 13 2 4 2 3" xfId="25194" xr:uid="{00000000-0005-0000-0000-00003D360000}"/>
    <cellStyle name="Separador de milhares 3 13 2 4 2 3 2" xfId="51378" xr:uid="{00000000-0005-0000-0000-00003E360000}"/>
    <cellStyle name="Separador de milhares 3 13 2 4 2 4" xfId="19280" xr:uid="{00000000-0005-0000-0000-00003F360000}"/>
    <cellStyle name="Separador de milhares 3 13 2 4 2 4 2" xfId="45470" xr:uid="{00000000-0005-0000-0000-000040360000}"/>
    <cellStyle name="Separador de milhares 3 13 2 4 2 5" xfId="13179" xr:uid="{00000000-0005-0000-0000-000041360000}"/>
    <cellStyle name="Separador de milhares 3 13 2 4 2 5 2" xfId="39372" xr:uid="{00000000-0005-0000-0000-000042360000}"/>
    <cellStyle name="Separador de milhares 3 13 2 4 2 6" xfId="32986" xr:uid="{00000000-0005-0000-0000-000043360000}"/>
    <cellStyle name="Separador de milhares 3 13 2 4 3" xfId="8469" xr:uid="{00000000-0005-0000-0000-000044360000}"/>
    <cellStyle name="Separador de milhares 3 13 2 4 3 2" xfId="26683" xr:uid="{00000000-0005-0000-0000-000045360000}"/>
    <cellStyle name="Separador de milhares 3 13 2 4 3 2 2" xfId="52864" xr:uid="{00000000-0005-0000-0000-000046360000}"/>
    <cellStyle name="Separador de milhares 3 13 2 4 3 3" xfId="20769" xr:uid="{00000000-0005-0000-0000-000047360000}"/>
    <cellStyle name="Separador de milhares 3 13 2 4 3 3 2" xfId="46956" xr:uid="{00000000-0005-0000-0000-000048360000}"/>
    <cellStyle name="Separador de milhares 3 13 2 4 3 4" xfId="14855" xr:uid="{00000000-0005-0000-0000-000049360000}"/>
    <cellStyle name="Separador de milhares 3 13 2 4 3 4 2" xfId="41048" xr:uid="{00000000-0005-0000-0000-00004A360000}"/>
    <cellStyle name="Separador de milhares 3 13 2 4 3 5" xfId="34662" xr:uid="{00000000-0005-0000-0000-00004B360000}"/>
    <cellStyle name="Separador de milhares 3 13 2 4 4" xfId="5091" xr:uid="{00000000-0005-0000-0000-00004C360000}"/>
    <cellStyle name="Separador de milhares 3 13 2 4 4 2" xfId="23726" xr:uid="{00000000-0005-0000-0000-00004D360000}"/>
    <cellStyle name="Separador de milhares 3 13 2 4 4 2 2" xfId="49910" xr:uid="{00000000-0005-0000-0000-00004E360000}"/>
    <cellStyle name="Separador de milhares 3 13 2 4 4 3" xfId="31287" xr:uid="{00000000-0005-0000-0000-00004F360000}"/>
    <cellStyle name="Separador de milhares 3 13 2 4 5" xfId="17812" xr:uid="{00000000-0005-0000-0000-000050360000}"/>
    <cellStyle name="Separador de milhares 3 13 2 4 5 2" xfId="44002" xr:uid="{00000000-0005-0000-0000-000051360000}"/>
    <cellStyle name="Separador de milhares 3 13 2 4 6" xfId="11478" xr:uid="{00000000-0005-0000-0000-000052360000}"/>
    <cellStyle name="Separador de milhares 3 13 2 4 6 2" xfId="37671" xr:uid="{00000000-0005-0000-0000-000053360000}"/>
    <cellStyle name="Separador de milhares 3 13 2 4 7" xfId="29589" xr:uid="{00000000-0005-0000-0000-000054360000}"/>
    <cellStyle name="Separador de milhares 3 13 2 5" xfId="1729" xr:uid="{00000000-0005-0000-0000-000055360000}"/>
    <cellStyle name="Separador de milhares 3 13 2 5 2" xfId="6909" xr:uid="{00000000-0005-0000-0000-000056360000}"/>
    <cellStyle name="Separador de milhares 3 13 2 5 2 2" xfId="10056" xr:uid="{00000000-0005-0000-0000-000057360000}"/>
    <cellStyle name="Separador de milhares 3 13 2 5 2 2 2" xfId="28270" xr:uid="{00000000-0005-0000-0000-000058360000}"/>
    <cellStyle name="Separador de milhares 3 13 2 5 2 2 2 2" xfId="54451" xr:uid="{00000000-0005-0000-0000-000059360000}"/>
    <cellStyle name="Separador de milhares 3 13 2 5 2 2 3" xfId="22356" xr:uid="{00000000-0005-0000-0000-00005A360000}"/>
    <cellStyle name="Separador de milhares 3 13 2 5 2 2 3 2" xfId="48543" xr:uid="{00000000-0005-0000-0000-00005B360000}"/>
    <cellStyle name="Separador de milhares 3 13 2 5 2 2 4" xfId="16442" xr:uid="{00000000-0005-0000-0000-00005C360000}"/>
    <cellStyle name="Separador de milhares 3 13 2 5 2 2 4 2" xfId="42635" xr:uid="{00000000-0005-0000-0000-00005D360000}"/>
    <cellStyle name="Separador de milhares 3 13 2 5 2 2 5" xfId="36249" xr:uid="{00000000-0005-0000-0000-00005E360000}"/>
    <cellStyle name="Separador de milhares 3 13 2 5 2 3" xfId="25313" xr:uid="{00000000-0005-0000-0000-00005F360000}"/>
    <cellStyle name="Separador de milhares 3 13 2 5 2 3 2" xfId="51497" xr:uid="{00000000-0005-0000-0000-000060360000}"/>
    <cellStyle name="Separador de milhares 3 13 2 5 2 4" xfId="19399" xr:uid="{00000000-0005-0000-0000-000061360000}"/>
    <cellStyle name="Separador de milhares 3 13 2 5 2 4 2" xfId="45589" xr:uid="{00000000-0005-0000-0000-000062360000}"/>
    <cellStyle name="Separador de milhares 3 13 2 5 2 5" xfId="13298" xr:uid="{00000000-0005-0000-0000-000063360000}"/>
    <cellStyle name="Separador de milhares 3 13 2 5 2 5 2" xfId="39491" xr:uid="{00000000-0005-0000-0000-000064360000}"/>
    <cellStyle name="Separador de milhares 3 13 2 5 2 6" xfId="33105" xr:uid="{00000000-0005-0000-0000-000065360000}"/>
    <cellStyle name="Separador de milhares 3 13 2 5 3" xfId="8588" xr:uid="{00000000-0005-0000-0000-000066360000}"/>
    <cellStyle name="Separador de milhares 3 13 2 5 3 2" xfId="26802" xr:uid="{00000000-0005-0000-0000-000067360000}"/>
    <cellStyle name="Separador de milhares 3 13 2 5 3 2 2" xfId="52983" xr:uid="{00000000-0005-0000-0000-000068360000}"/>
    <cellStyle name="Separador de milhares 3 13 2 5 3 3" xfId="20888" xr:uid="{00000000-0005-0000-0000-000069360000}"/>
    <cellStyle name="Separador de milhares 3 13 2 5 3 3 2" xfId="47075" xr:uid="{00000000-0005-0000-0000-00006A360000}"/>
    <cellStyle name="Separador de milhares 3 13 2 5 3 4" xfId="14974" xr:uid="{00000000-0005-0000-0000-00006B360000}"/>
    <cellStyle name="Separador de milhares 3 13 2 5 3 4 2" xfId="41167" xr:uid="{00000000-0005-0000-0000-00006C360000}"/>
    <cellStyle name="Separador de milhares 3 13 2 5 3 5" xfId="34781" xr:uid="{00000000-0005-0000-0000-00006D360000}"/>
    <cellStyle name="Separador de milhares 3 13 2 5 4" xfId="5210" xr:uid="{00000000-0005-0000-0000-00006E360000}"/>
    <cellStyle name="Separador de milhares 3 13 2 5 4 2" xfId="23845" xr:uid="{00000000-0005-0000-0000-00006F360000}"/>
    <cellStyle name="Separador de milhares 3 13 2 5 4 2 2" xfId="50029" xr:uid="{00000000-0005-0000-0000-000070360000}"/>
    <cellStyle name="Separador de milhares 3 13 2 5 4 3" xfId="31406" xr:uid="{00000000-0005-0000-0000-000071360000}"/>
    <cellStyle name="Separador de milhares 3 13 2 5 5" xfId="17931" xr:uid="{00000000-0005-0000-0000-000072360000}"/>
    <cellStyle name="Separador de milhares 3 13 2 5 5 2" xfId="44121" xr:uid="{00000000-0005-0000-0000-000073360000}"/>
    <cellStyle name="Separador de milhares 3 13 2 5 6" xfId="11597" xr:uid="{00000000-0005-0000-0000-000074360000}"/>
    <cellStyle name="Separador de milhares 3 13 2 5 6 2" xfId="37790" xr:uid="{00000000-0005-0000-0000-000075360000}"/>
    <cellStyle name="Separador de milhares 3 13 2 5 7" xfId="29708" xr:uid="{00000000-0005-0000-0000-000076360000}"/>
    <cellStyle name="Separador de milhares 3 13 2 6" xfId="2259" xr:uid="{00000000-0005-0000-0000-000077360000}"/>
    <cellStyle name="Separador de milhares 3 13 2 6 2" xfId="7059" xr:uid="{00000000-0005-0000-0000-000078360000}"/>
    <cellStyle name="Separador de milhares 3 13 2 6 2 2" xfId="10203" xr:uid="{00000000-0005-0000-0000-000079360000}"/>
    <cellStyle name="Separador de milhares 3 13 2 6 2 2 2" xfId="28417" xr:uid="{00000000-0005-0000-0000-00007A360000}"/>
    <cellStyle name="Separador de milhares 3 13 2 6 2 2 2 2" xfId="54598" xr:uid="{00000000-0005-0000-0000-00007B360000}"/>
    <cellStyle name="Separador de milhares 3 13 2 6 2 2 3" xfId="22503" xr:uid="{00000000-0005-0000-0000-00007C360000}"/>
    <cellStyle name="Separador de milhares 3 13 2 6 2 2 3 2" xfId="48690" xr:uid="{00000000-0005-0000-0000-00007D360000}"/>
    <cellStyle name="Separador de milhares 3 13 2 6 2 2 4" xfId="16589" xr:uid="{00000000-0005-0000-0000-00007E360000}"/>
    <cellStyle name="Separador de milhares 3 13 2 6 2 2 4 2" xfId="42782" xr:uid="{00000000-0005-0000-0000-00007F360000}"/>
    <cellStyle name="Separador de milhares 3 13 2 6 2 2 5" xfId="36396" xr:uid="{00000000-0005-0000-0000-000080360000}"/>
    <cellStyle name="Separador de milhares 3 13 2 6 2 3" xfId="25460" xr:uid="{00000000-0005-0000-0000-000081360000}"/>
    <cellStyle name="Separador de milhares 3 13 2 6 2 3 2" xfId="51644" xr:uid="{00000000-0005-0000-0000-000082360000}"/>
    <cellStyle name="Separador de milhares 3 13 2 6 2 4" xfId="19546" xr:uid="{00000000-0005-0000-0000-000083360000}"/>
    <cellStyle name="Separador de milhares 3 13 2 6 2 4 2" xfId="45736" xr:uid="{00000000-0005-0000-0000-000084360000}"/>
    <cellStyle name="Separador de milhares 3 13 2 6 2 5" xfId="13448" xr:uid="{00000000-0005-0000-0000-000085360000}"/>
    <cellStyle name="Separador de milhares 3 13 2 6 2 5 2" xfId="39641" xr:uid="{00000000-0005-0000-0000-000086360000}"/>
    <cellStyle name="Separador de milhares 3 13 2 6 2 6" xfId="33255" xr:uid="{00000000-0005-0000-0000-000087360000}"/>
    <cellStyle name="Separador de milhares 3 13 2 6 3" xfId="8735" xr:uid="{00000000-0005-0000-0000-000088360000}"/>
    <cellStyle name="Separador de milhares 3 13 2 6 3 2" xfId="26949" xr:uid="{00000000-0005-0000-0000-000089360000}"/>
    <cellStyle name="Separador de milhares 3 13 2 6 3 2 2" xfId="53130" xr:uid="{00000000-0005-0000-0000-00008A360000}"/>
    <cellStyle name="Separador de milhares 3 13 2 6 3 3" xfId="21035" xr:uid="{00000000-0005-0000-0000-00008B360000}"/>
    <cellStyle name="Separador de milhares 3 13 2 6 3 3 2" xfId="47222" xr:uid="{00000000-0005-0000-0000-00008C360000}"/>
    <cellStyle name="Separador de milhares 3 13 2 6 3 4" xfId="15121" xr:uid="{00000000-0005-0000-0000-00008D360000}"/>
    <cellStyle name="Separador de milhares 3 13 2 6 3 4 2" xfId="41314" xr:uid="{00000000-0005-0000-0000-00008E360000}"/>
    <cellStyle name="Separador de milhares 3 13 2 6 3 5" xfId="34928" xr:uid="{00000000-0005-0000-0000-00008F360000}"/>
    <cellStyle name="Separador de milhares 3 13 2 6 4" xfId="5360" xr:uid="{00000000-0005-0000-0000-000090360000}"/>
    <cellStyle name="Separador de milhares 3 13 2 6 4 2" xfId="23992" xr:uid="{00000000-0005-0000-0000-000091360000}"/>
    <cellStyle name="Separador de milhares 3 13 2 6 4 2 2" xfId="50176" xr:uid="{00000000-0005-0000-0000-000092360000}"/>
    <cellStyle name="Separador de milhares 3 13 2 6 4 3" xfId="31556" xr:uid="{00000000-0005-0000-0000-000093360000}"/>
    <cellStyle name="Separador de milhares 3 13 2 6 5" xfId="18078" xr:uid="{00000000-0005-0000-0000-000094360000}"/>
    <cellStyle name="Separador de milhares 3 13 2 6 5 2" xfId="44268" xr:uid="{00000000-0005-0000-0000-000095360000}"/>
    <cellStyle name="Separador de milhares 3 13 2 6 6" xfId="11747" xr:uid="{00000000-0005-0000-0000-000096360000}"/>
    <cellStyle name="Separador de milhares 3 13 2 6 6 2" xfId="37940" xr:uid="{00000000-0005-0000-0000-000097360000}"/>
    <cellStyle name="Separador de milhares 3 13 2 6 7" xfId="29858" xr:uid="{00000000-0005-0000-0000-000098360000}"/>
    <cellStyle name="Separador de milhares 3 13 2 7" xfId="2786" xr:uid="{00000000-0005-0000-0000-000099360000}"/>
    <cellStyle name="Separador de milhares 3 13 2 7 2" xfId="7206" xr:uid="{00000000-0005-0000-0000-00009A360000}"/>
    <cellStyle name="Separador de milhares 3 13 2 7 2 2" xfId="10350" xr:uid="{00000000-0005-0000-0000-00009B360000}"/>
    <cellStyle name="Separador de milhares 3 13 2 7 2 2 2" xfId="28564" xr:uid="{00000000-0005-0000-0000-00009C360000}"/>
    <cellStyle name="Separador de milhares 3 13 2 7 2 2 2 2" xfId="54745" xr:uid="{00000000-0005-0000-0000-00009D360000}"/>
    <cellStyle name="Separador de milhares 3 13 2 7 2 2 3" xfId="22650" xr:uid="{00000000-0005-0000-0000-00009E360000}"/>
    <cellStyle name="Separador de milhares 3 13 2 7 2 2 3 2" xfId="48837" xr:uid="{00000000-0005-0000-0000-00009F360000}"/>
    <cellStyle name="Separador de milhares 3 13 2 7 2 2 4" xfId="16736" xr:uid="{00000000-0005-0000-0000-0000A0360000}"/>
    <cellStyle name="Separador de milhares 3 13 2 7 2 2 4 2" xfId="42929" xr:uid="{00000000-0005-0000-0000-0000A1360000}"/>
    <cellStyle name="Separador de milhares 3 13 2 7 2 2 5" xfId="36543" xr:uid="{00000000-0005-0000-0000-0000A2360000}"/>
    <cellStyle name="Separador de milhares 3 13 2 7 2 3" xfId="25607" xr:uid="{00000000-0005-0000-0000-0000A3360000}"/>
    <cellStyle name="Separador de milhares 3 13 2 7 2 3 2" xfId="51791" xr:uid="{00000000-0005-0000-0000-0000A4360000}"/>
    <cellStyle name="Separador de milhares 3 13 2 7 2 4" xfId="19693" xr:uid="{00000000-0005-0000-0000-0000A5360000}"/>
    <cellStyle name="Separador de milhares 3 13 2 7 2 4 2" xfId="45883" xr:uid="{00000000-0005-0000-0000-0000A6360000}"/>
    <cellStyle name="Separador de milhares 3 13 2 7 2 5" xfId="13595" xr:uid="{00000000-0005-0000-0000-0000A7360000}"/>
    <cellStyle name="Separador de milhares 3 13 2 7 2 5 2" xfId="39788" xr:uid="{00000000-0005-0000-0000-0000A8360000}"/>
    <cellStyle name="Separador de milhares 3 13 2 7 2 6" xfId="33402" xr:uid="{00000000-0005-0000-0000-0000A9360000}"/>
    <cellStyle name="Separador de milhares 3 13 2 7 3" xfId="8882" xr:uid="{00000000-0005-0000-0000-0000AA360000}"/>
    <cellStyle name="Separador de milhares 3 13 2 7 3 2" xfId="27096" xr:uid="{00000000-0005-0000-0000-0000AB360000}"/>
    <cellStyle name="Separador de milhares 3 13 2 7 3 2 2" xfId="53277" xr:uid="{00000000-0005-0000-0000-0000AC360000}"/>
    <cellStyle name="Separador de milhares 3 13 2 7 3 3" xfId="21182" xr:uid="{00000000-0005-0000-0000-0000AD360000}"/>
    <cellStyle name="Separador de milhares 3 13 2 7 3 3 2" xfId="47369" xr:uid="{00000000-0005-0000-0000-0000AE360000}"/>
    <cellStyle name="Separador de milhares 3 13 2 7 3 4" xfId="15268" xr:uid="{00000000-0005-0000-0000-0000AF360000}"/>
    <cellStyle name="Separador de milhares 3 13 2 7 3 4 2" xfId="41461" xr:uid="{00000000-0005-0000-0000-0000B0360000}"/>
    <cellStyle name="Separador de milhares 3 13 2 7 3 5" xfId="35075" xr:uid="{00000000-0005-0000-0000-0000B1360000}"/>
    <cellStyle name="Separador de milhares 3 13 2 7 4" xfId="5507" xr:uid="{00000000-0005-0000-0000-0000B2360000}"/>
    <cellStyle name="Separador de milhares 3 13 2 7 4 2" xfId="24139" xr:uid="{00000000-0005-0000-0000-0000B3360000}"/>
    <cellStyle name="Separador de milhares 3 13 2 7 4 2 2" xfId="50323" xr:uid="{00000000-0005-0000-0000-0000B4360000}"/>
    <cellStyle name="Separador de milhares 3 13 2 7 4 3" xfId="31703" xr:uid="{00000000-0005-0000-0000-0000B5360000}"/>
    <cellStyle name="Separador de milhares 3 13 2 7 5" xfId="18225" xr:uid="{00000000-0005-0000-0000-0000B6360000}"/>
    <cellStyle name="Separador de milhares 3 13 2 7 5 2" xfId="44415" xr:uid="{00000000-0005-0000-0000-0000B7360000}"/>
    <cellStyle name="Separador de milhares 3 13 2 7 6" xfId="11894" xr:uid="{00000000-0005-0000-0000-0000B8360000}"/>
    <cellStyle name="Separador de milhares 3 13 2 7 6 2" xfId="38087" xr:uid="{00000000-0005-0000-0000-0000B9360000}"/>
    <cellStyle name="Separador de milhares 3 13 2 7 7" xfId="30005" xr:uid="{00000000-0005-0000-0000-0000BA360000}"/>
    <cellStyle name="Separador de milhares 3 13 2 8" xfId="3313" xr:uid="{00000000-0005-0000-0000-0000BB360000}"/>
    <cellStyle name="Separador de milhares 3 13 2 8 2" xfId="7353" xr:uid="{00000000-0005-0000-0000-0000BC360000}"/>
    <cellStyle name="Separador de milhares 3 13 2 8 2 2" xfId="10497" xr:uid="{00000000-0005-0000-0000-0000BD360000}"/>
    <cellStyle name="Separador de milhares 3 13 2 8 2 2 2" xfId="28711" xr:uid="{00000000-0005-0000-0000-0000BE360000}"/>
    <cellStyle name="Separador de milhares 3 13 2 8 2 2 2 2" xfId="54892" xr:uid="{00000000-0005-0000-0000-0000BF360000}"/>
    <cellStyle name="Separador de milhares 3 13 2 8 2 2 3" xfId="22797" xr:uid="{00000000-0005-0000-0000-0000C0360000}"/>
    <cellStyle name="Separador de milhares 3 13 2 8 2 2 3 2" xfId="48984" xr:uid="{00000000-0005-0000-0000-0000C1360000}"/>
    <cellStyle name="Separador de milhares 3 13 2 8 2 2 4" xfId="16883" xr:uid="{00000000-0005-0000-0000-0000C2360000}"/>
    <cellStyle name="Separador de milhares 3 13 2 8 2 2 4 2" xfId="43076" xr:uid="{00000000-0005-0000-0000-0000C3360000}"/>
    <cellStyle name="Separador de milhares 3 13 2 8 2 2 5" xfId="36690" xr:uid="{00000000-0005-0000-0000-0000C4360000}"/>
    <cellStyle name="Separador de milhares 3 13 2 8 2 3" xfId="25754" xr:uid="{00000000-0005-0000-0000-0000C5360000}"/>
    <cellStyle name="Separador de milhares 3 13 2 8 2 3 2" xfId="51938" xr:uid="{00000000-0005-0000-0000-0000C6360000}"/>
    <cellStyle name="Separador de milhares 3 13 2 8 2 4" xfId="19840" xr:uid="{00000000-0005-0000-0000-0000C7360000}"/>
    <cellStyle name="Separador de milhares 3 13 2 8 2 4 2" xfId="46030" xr:uid="{00000000-0005-0000-0000-0000C8360000}"/>
    <cellStyle name="Separador de milhares 3 13 2 8 2 5" xfId="13742" xr:uid="{00000000-0005-0000-0000-0000C9360000}"/>
    <cellStyle name="Separador de milhares 3 13 2 8 2 5 2" xfId="39935" xr:uid="{00000000-0005-0000-0000-0000CA360000}"/>
    <cellStyle name="Separador de milhares 3 13 2 8 2 6" xfId="33549" xr:uid="{00000000-0005-0000-0000-0000CB360000}"/>
    <cellStyle name="Separador de milhares 3 13 2 8 3" xfId="9029" xr:uid="{00000000-0005-0000-0000-0000CC360000}"/>
    <cellStyle name="Separador de milhares 3 13 2 8 3 2" xfId="27243" xr:uid="{00000000-0005-0000-0000-0000CD360000}"/>
    <cellStyle name="Separador de milhares 3 13 2 8 3 2 2" xfId="53424" xr:uid="{00000000-0005-0000-0000-0000CE360000}"/>
    <cellStyle name="Separador de milhares 3 13 2 8 3 3" xfId="21329" xr:uid="{00000000-0005-0000-0000-0000CF360000}"/>
    <cellStyle name="Separador de milhares 3 13 2 8 3 3 2" xfId="47516" xr:uid="{00000000-0005-0000-0000-0000D0360000}"/>
    <cellStyle name="Separador de milhares 3 13 2 8 3 4" xfId="15415" xr:uid="{00000000-0005-0000-0000-0000D1360000}"/>
    <cellStyle name="Separador de milhares 3 13 2 8 3 4 2" xfId="41608" xr:uid="{00000000-0005-0000-0000-0000D2360000}"/>
    <cellStyle name="Separador de milhares 3 13 2 8 3 5" xfId="35222" xr:uid="{00000000-0005-0000-0000-0000D3360000}"/>
    <cellStyle name="Separador de milhares 3 13 2 8 4" xfId="5654" xr:uid="{00000000-0005-0000-0000-0000D4360000}"/>
    <cellStyle name="Separador de milhares 3 13 2 8 4 2" xfId="24286" xr:uid="{00000000-0005-0000-0000-0000D5360000}"/>
    <cellStyle name="Separador de milhares 3 13 2 8 4 2 2" xfId="50470" xr:uid="{00000000-0005-0000-0000-0000D6360000}"/>
    <cellStyle name="Separador de milhares 3 13 2 8 4 3" xfId="31850" xr:uid="{00000000-0005-0000-0000-0000D7360000}"/>
    <cellStyle name="Separador de milhares 3 13 2 8 5" xfId="18372" xr:uid="{00000000-0005-0000-0000-0000D8360000}"/>
    <cellStyle name="Separador de milhares 3 13 2 8 5 2" xfId="44562" xr:uid="{00000000-0005-0000-0000-0000D9360000}"/>
    <cellStyle name="Separador de milhares 3 13 2 8 6" xfId="12041" xr:uid="{00000000-0005-0000-0000-0000DA360000}"/>
    <cellStyle name="Separador de milhares 3 13 2 8 6 2" xfId="38234" xr:uid="{00000000-0005-0000-0000-0000DB360000}"/>
    <cellStyle name="Separador de milhares 3 13 2 8 7" xfId="30152" xr:uid="{00000000-0005-0000-0000-0000DC360000}"/>
    <cellStyle name="Separador de milhares 3 13 2 9" xfId="3840" xr:uid="{00000000-0005-0000-0000-0000DD360000}"/>
    <cellStyle name="Separador de milhares 3 13 2 9 2" xfId="7500" xr:uid="{00000000-0005-0000-0000-0000DE360000}"/>
    <cellStyle name="Separador de milhares 3 13 2 9 2 2" xfId="10644" xr:uid="{00000000-0005-0000-0000-0000DF360000}"/>
    <cellStyle name="Separador de milhares 3 13 2 9 2 2 2" xfId="28858" xr:uid="{00000000-0005-0000-0000-0000E0360000}"/>
    <cellStyle name="Separador de milhares 3 13 2 9 2 2 2 2" xfId="55039" xr:uid="{00000000-0005-0000-0000-0000E1360000}"/>
    <cellStyle name="Separador de milhares 3 13 2 9 2 2 3" xfId="22944" xr:uid="{00000000-0005-0000-0000-0000E2360000}"/>
    <cellStyle name="Separador de milhares 3 13 2 9 2 2 3 2" xfId="49131" xr:uid="{00000000-0005-0000-0000-0000E3360000}"/>
    <cellStyle name="Separador de milhares 3 13 2 9 2 2 4" xfId="17030" xr:uid="{00000000-0005-0000-0000-0000E4360000}"/>
    <cellStyle name="Separador de milhares 3 13 2 9 2 2 4 2" xfId="43223" xr:uid="{00000000-0005-0000-0000-0000E5360000}"/>
    <cellStyle name="Separador de milhares 3 13 2 9 2 2 5" xfId="36837" xr:uid="{00000000-0005-0000-0000-0000E6360000}"/>
    <cellStyle name="Separador de milhares 3 13 2 9 2 3" xfId="25901" xr:uid="{00000000-0005-0000-0000-0000E7360000}"/>
    <cellStyle name="Separador de milhares 3 13 2 9 2 3 2" xfId="52085" xr:uid="{00000000-0005-0000-0000-0000E8360000}"/>
    <cellStyle name="Separador de milhares 3 13 2 9 2 4" xfId="19987" xr:uid="{00000000-0005-0000-0000-0000E9360000}"/>
    <cellStyle name="Separador de milhares 3 13 2 9 2 4 2" xfId="46177" xr:uid="{00000000-0005-0000-0000-0000EA360000}"/>
    <cellStyle name="Separador de milhares 3 13 2 9 2 5" xfId="13889" xr:uid="{00000000-0005-0000-0000-0000EB360000}"/>
    <cellStyle name="Separador de milhares 3 13 2 9 2 5 2" xfId="40082" xr:uid="{00000000-0005-0000-0000-0000EC360000}"/>
    <cellStyle name="Separador de milhares 3 13 2 9 2 6" xfId="33696" xr:uid="{00000000-0005-0000-0000-0000ED360000}"/>
    <cellStyle name="Separador de milhares 3 13 2 9 3" xfId="9176" xr:uid="{00000000-0005-0000-0000-0000EE360000}"/>
    <cellStyle name="Separador de milhares 3 13 2 9 3 2" xfId="27390" xr:uid="{00000000-0005-0000-0000-0000EF360000}"/>
    <cellStyle name="Separador de milhares 3 13 2 9 3 2 2" xfId="53571" xr:uid="{00000000-0005-0000-0000-0000F0360000}"/>
    <cellStyle name="Separador de milhares 3 13 2 9 3 3" xfId="21476" xr:uid="{00000000-0005-0000-0000-0000F1360000}"/>
    <cellStyle name="Separador de milhares 3 13 2 9 3 3 2" xfId="47663" xr:uid="{00000000-0005-0000-0000-0000F2360000}"/>
    <cellStyle name="Separador de milhares 3 13 2 9 3 4" xfId="15562" xr:uid="{00000000-0005-0000-0000-0000F3360000}"/>
    <cellStyle name="Separador de milhares 3 13 2 9 3 4 2" xfId="41755" xr:uid="{00000000-0005-0000-0000-0000F4360000}"/>
    <cellStyle name="Separador de milhares 3 13 2 9 3 5" xfId="35369" xr:uid="{00000000-0005-0000-0000-0000F5360000}"/>
    <cellStyle name="Separador de milhares 3 13 2 9 4" xfId="5801" xr:uid="{00000000-0005-0000-0000-0000F6360000}"/>
    <cellStyle name="Separador de milhares 3 13 2 9 4 2" xfId="24433" xr:uid="{00000000-0005-0000-0000-0000F7360000}"/>
    <cellStyle name="Separador de milhares 3 13 2 9 4 2 2" xfId="50617" xr:uid="{00000000-0005-0000-0000-0000F8360000}"/>
    <cellStyle name="Separador de milhares 3 13 2 9 4 3" xfId="31997" xr:uid="{00000000-0005-0000-0000-0000F9360000}"/>
    <cellStyle name="Separador de milhares 3 13 2 9 5" xfId="18519" xr:uid="{00000000-0005-0000-0000-0000FA360000}"/>
    <cellStyle name="Separador de milhares 3 13 2 9 5 2" xfId="44709" xr:uid="{00000000-0005-0000-0000-0000FB360000}"/>
    <cellStyle name="Separador de milhares 3 13 2 9 6" xfId="12188" xr:uid="{00000000-0005-0000-0000-0000FC360000}"/>
    <cellStyle name="Separador de milhares 3 13 2 9 6 2" xfId="38381" xr:uid="{00000000-0005-0000-0000-0000FD360000}"/>
    <cellStyle name="Separador de milhares 3 13 2 9 7" xfId="30299" xr:uid="{00000000-0005-0000-0000-0000FE360000}"/>
    <cellStyle name="Separador de milhares 3 13 3" xfId="292" xr:uid="{00000000-0005-0000-0000-0000FF360000}"/>
    <cellStyle name="Separador de milhares 3 13 3 10" xfId="6491" xr:uid="{00000000-0005-0000-0000-000000370000}"/>
    <cellStyle name="Separador de milhares 3 13 3 10 2" xfId="9642" xr:uid="{00000000-0005-0000-0000-000001370000}"/>
    <cellStyle name="Separador de milhares 3 13 3 10 2 2" xfId="27856" xr:uid="{00000000-0005-0000-0000-000002370000}"/>
    <cellStyle name="Separador de milhares 3 13 3 10 2 2 2" xfId="54037" xr:uid="{00000000-0005-0000-0000-000003370000}"/>
    <cellStyle name="Separador de milhares 3 13 3 10 2 3" xfId="21942" xr:uid="{00000000-0005-0000-0000-000004370000}"/>
    <cellStyle name="Separador de milhares 3 13 3 10 2 3 2" xfId="48129" xr:uid="{00000000-0005-0000-0000-000005370000}"/>
    <cellStyle name="Separador de milhares 3 13 3 10 2 4" xfId="16028" xr:uid="{00000000-0005-0000-0000-000006370000}"/>
    <cellStyle name="Separador de milhares 3 13 3 10 2 4 2" xfId="42221" xr:uid="{00000000-0005-0000-0000-000007370000}"/>
    <cellStyle name="Separador de milhares 3 13 3 10 2 5" xfId="35835" xr:uid="{00000000-0005-0000-0000-000008370000}"/>
    <cellStyle name="Separador de milhares 3 13 3 10 3" xfId="24899" xr:uid="{00000000-0005-0000-0000-000009370000}"/>
    <cellStyle name="Separador de milhares 3 13 3 10 3 2" xfId="51083" xr:uid="{00000000-0005-0000-0000-00000A370000}"/>
    <cellStyle name="Separador de milhares 3 13 3 10 4" xfId="18985" xr:uid="{00000000-0005-0000-0000-00000B370000}"/>
    <cellStyle name="Separador de milhares 3 13 3 10 4 2" xfId="45175" xr:uid="{00000000-0005-0000-0000-00000C370000}"/>
    <cellStyle name="Separador de milhares 3 13 3 10 5" xfId="12880" xr:uid="{00000000-0005-0000-0000-00000D370000}"/>
    <cellStyle name="Separador de milhares 3 13 3 10 5 2" xfId="39073" xr:uid="{00000000-0005-0000-0000-00000E370000}"/>
    <cellStyle name="Separador de milhares 3 13 3 10 6" xfId="32687" xr:uid="{00000000-0005-0000-0000-00000F370000}"/>
    <cellStyle name="Separador de milhares 3 13 3 11" xfId="8171" xr:uid="{00000000-0005-0000-0000-000010370000}"/>
    <cellStyle name="Separador de milhares 3 13 3 11 2" xfId="26385" xr:uid="{00000000-0005-0000-0000-000011370000}"/>
    <cellStyle name="Separador de milhares 3 13 3 11 2 2" xfId="52569" xr:uid="{00000000-0005-0000-0000-000012370000}"/>
    <cellStyle name="Separador de milhares 3 13 3 11 3" xfId="20471" xr:uid="{00000000-0005-0000-0000-000013370000}"/>
    <cellStyle name="Separador de milhares 3 13 3 11 3 2" xfId="46661" xr:uid="{00000000-0005-0000-0000-000014370000}"/>
    <cellStyle name="Separador de milhares 3 13 3 11 4" xfId="14560" xr:uid="{00000000-0005-0000-0000-000015370000}"/>
    <cellStyle name="Separador de milhares 3 13 3 11 4 2" xfId="40753" xr:uid="{00000000-0005-0000-0000-000016370000}"/>
    <cellStyle name="Separador de milhares 3 13 3 11 5" xfId="34367" xr:uid="{00000000-0005-0000-0000-000017370000}"/>
    <cellStyle name="Separador de milhares 3 13 3 12" xfId="4790" xr:uid="{00000000-0005-0000-0000-000018370000}"/>
    <cellStyle name="Separador de milhares 3 13 3 12 2" xfId="23428" xr:uid="{00000000-0005-0000-0000-000019370000}"/>
    <cellStyle name="Separador de milhares 3 13 3 12 2 2" xfId="49615" xr:uid="{00000000-0005-0000-0000-00001A370000}"/>
    <cellStyle name="Separador de milhares 3 13 3 12 3" xfId="30988" xr:uid="{00000000-0005-0000-0000-00001B370000}"/>
    <cellStyle name="Separador de milhares 3 13 3 13" xfId="17514" xr:uid="{00000000-0005-0000-0000-00001C370000}"/>
    <cellStyle name="Separador de milhares 3 13 3 13 2" xfId="43707" xr:uid="{00000000-0005-0000-0000-00001D370000}"/>
    <cellStyle name="Separador de milhares 3 13 3 14" xfId="11179" xr:uid="{00000000-0005-0000-0000-00001E370000}"/>
    <cellStyle name="Separador de milhares 3 13 3 14 2" xfId="37372" xr:uid="{00000000-0005-0000-0000-00001F370000}"/>
    <cellStyle name="Separador de milhares 3 13 3 15" xfId="29290" xr:uid="{00000000-0005-0000-0000-000020370000}"/>
    <cellStyle name="Separador de milhares 3 13 3 2" xfId="555" xr:uid="{00000000-0005-0000-0000-000021370000}"/>
    <cellStyle name="Separador de milhares 3 13 3 2 2" xfId="6562" xr:uid="{00000000-0005-0000-0000-000022370000}"/>
    <cellStyle name="Separador de milhares 3 13 3 2 2 2" xfId="9709" xr:uid="{00000000-0005-0000-0000-000023370000}"/>
    <cellStyle name="Separador de milhares 3 13 3 2 2 2 2" xfId="27923" xr:uid="{00000000-0005-0000-0000-000024370000}"/>
    <cellStyle name="Separador de milhares 3 13 3 2 2 2 2 2" xfId="54104" xr:uid="{00000000-0005-0000-0000-000025370000}"/>
    <cellStyle name="Separador de milhares 3 13 3 2 2 2 3" xfId="22009" xr:uid="{00000000-0005-0000-0000-000026370000}"/>
    <cellStyle name="Separador de milhares 3 13 3 2 2 2 3 2" xfId="48196" xr:uid="{00000000-0005-0000-0000-000027370000}"/>
    <cellStyle name="Separador de milhares 3 13 3 2 2 2 4" xfId="16095" xr:uid="{00000000-0005-0000-0000-000028370000}"/>
    <cellStyle name="Separador de milhares 3 13 3 2 2 2 4 2" xfId="42288" xr:uid="{00000000-0005-0000-0000-000029370000}"/>
    <cellStyle name="Separador de milhares 3 13 3 2 2 2 5" xfId="35902" xr:uid="{00000000-0005-0000-0000-00002A370000}"/>
    <cellStyle name="Separador de milhares 3 13 3 2 2 3" xfId="24966" xr:uid="{00000000-0005-0000-0000-00002B370000}"/>
    <cellStyle name="Separador de milhares 3 13 3 2 2 3 2" xfId="51150" xr:uid="{00000000-0005-0000-0000-00002C370000}"/>
    <cellStyle name="Separador de milhares 3 13 3 2 2 4" xfId="19052" xr:uid="{00000000-0005-0000-0000-00002D370000}"/>
    <cellStyle name="Separador de milhares 3 13 3 2 2 4 2" xfId="45242" xr:uid="{00000000-0005-0000-0000-00002E370000}"/>
    <cellStyle name="Separador de milhares 3 13 3 2 2 5" xfId="12951" xr:uid="{00000000-0005-0000-0000-00002F370000}"/>
    <cellStyle name="Separador de milhares 3 13 3 2 2 5 2" xfId="39144" xr:uid="{00000000-0005-0000-0000-000030370000}"/>
    <cellStyle name="Separador de milhares 3 13 3 2 2 6" xfId="32758" xr:uid="{00000000-0005-0000-0000-000031370000}"/>
    <cellStyle name="Separador de milhares 3 13 3 2 3" xfId="8238" xr:uid="{00000000-0005-0000-0000-000032370000}"/>
    <cellStyle name="Separador de milhares 3 13 3 2 3 2" xfId="26452" xr:uid="{00000000-0005-0000-0000-000033370000}"/>
    <cellStyle name="Separador de milhares 3 13 3 2 3 2 2" xfId="52636" xr:uid="{00000000-0005-0000-0000-000034370000}"/>
    <cellStyle name="Separador de milhares 3 13 3 2 3 3" xfId="20538" xr:uid="{00000000-0005-0000-0000-000035370000}"/>
    <cellStyle name="Separador de milhares 3 13 3 2 3 3 2" xfId="46728" xr:uid="{00000000-0005-0000-0000-000036370000}"/>
    <cellStyle name="Separador de milhares 3 13 3 2 3 4" xfId="14627" xr:uid="{00000000-0005-0000-0000-000037370000}"/>
    <cellStyle name="Separador de milhares 3 13 3 2 3 4 2" xfId="40820" xr:uid="{00000000-0005-0000-0000-000038370000}"/>
    <cellStyle name="Separador de milhares 3 13 3 2 3 5" xfId="34434" xr:uid="{00000000-0005-0000-0000-000039370000}"/>
    <cellStyle name="Separador de milhares 3 13 3 2 4" xfId="4861" xr:uid="{00000000-0005-0000-0000-00003A370000}"/>
    <cellStyle name="Separador de milhares 3 13 3 2 4 2" xfId="23495" xr:uid="{00000000-0005-0000-0000-00003B370000}"/>
    <cellStyle name="Separador de milhares 3 13 3 2 4 2 2" xfId="49682" xr:uid="{00000000-0005-0000-0000-00003C370000}"/>
    <cellStyle name="Separador de milhares 3 13 3 2 4 3" xfId="31059" xr:uid="{00000000-0005-0000-0000-00003D370000}"/>
    <cellStyle name="Separador de milhares 3 13 3 2 5" xfId="17581" xr:uid="{00000000-0005-0000-0000-00003E370000}"/>
    <cellStyle name="Separador de milhares 3 13 3 2 5 2" xfId="43774" xr:uid="{00000000-0005-0000-0000-00003F370000}"/>
    <cellStyle name="Separador de milhares 3 13 3 2 6" xfId="11250" xr:uid="{00000000-0005-0000-0000-000040370000}"/>
    <cellStyle name="Separador de milhares 3 13 3 2 6 2" xfId="37443" xr:uid="{00000000-0005-0000-0000-000041370000}"/>
    <cellStyle name="Separador de milhares 3 13 3 2 7" xfId="29361" xr:uid="{00000000-0005-0000-0000-000042370000}"/>
    <cellStyle name="Separador de milhares 3 13 3 3" xfId="852" xr:uid="{00000000-0005-0000-0000-000043370000}"/>
    <cellStyle name="Separador de milhares 3 13 3 3 2" xfId="6664" xr:uid="{00000000-0005-0000-0000-000044370000}"/>
    <cellStyle name="Separador de milhares 3 13 3 3 2 2" xfId="9811" xr:uid="{00000000-0005-0000-0000-000045370000}"/>
    <cellStyle name="Separador de milhares 3 13 3 3 2 2 2" xfId="28025" xr:uid="{00000000-0005-0000-0000-000046370000}"/>
    <cellStyle name="Separador de milhares 3 13 3 3 2 2 2 2" xfId="54206" xr:uid="{00000000-0005-0000-0000-000047370000}"/>
    <cellStyle name="Separador de milhares 3 13 3 3 2 2 3" xfId="22111" xr:uid="{00000000-0005-0000-0000-000048370000}"/>
    <cellStyle name="Separador de milhares 3 13 3 3 2 2 3 2" xfId="48298" xr:uid="{00000000-0005-0000-0000-000049370000}"/>
    <cellStyle name="Separador de milhares 3 13 3 3 2 2 4" xfId="16197" xr:uid="{00000000-0005-0000-0000-00004A370000}"/>
    <cellStyle name="Separador de milhares 3 13 3 3 2 2 4 2" xfId="42390" xr:uid="{00000000-0005-0000-0000-00004B370000}"/>
    <cellStyle name="Separador de milhares 3 13 3 3 2 2 5" xfId="36004" xr:uid="{00000000-0005-0000-0000-00004C370000}"/>
    <cellStyle name="Separador de milhares 3 13 3 3 2 3" xfId="25068" xr:uid="{00000000-0005-0000-0000-00004D370000}"/>
    <cellStyle name="Separador de milhares 3 13 3 3 2 3 2" xfId="51252" xr:uid="{00000000-0005-0000-0000-00004E370000}"/>
    <cellStyle name="Separador de milhares 3 13 3 3 2 4" xfId="19154" xr:uid="{00000000-0005-0000-0000-00004F370000}"/>
    <cellStyle name="Separador de milhares 3 13 3 3 2 4 2" xfId="45344" xr:uid="{00000000-0005-0000-0000-000050370000}"/>
    <cellStyle name="Separador de milhares 3 13 3 3 2 5" xfId="13053" xr:uid="{00000000-0005-0000-0000-000051370000}"/>
    <cellStyle name="Separador de milhares 3 13 3 3 2 5 2" xfId="39246" xr:uid="{00000000-0005-0000-0000-000052370000}"/>
    <cellStyle name="Separador de milhares 3 13 3 3 2 6" xfId="32860" xr:uid="{00000000-0005-0000-0000-000053370000}"/>
    <cellStyle name="Separador de milhares 3 13 3 3 3" xfId="8343" xr:uid="{00000000-0005-0000-0000-000054370000}"/>
    <cellStyle name="Separador de milhares 3 13 3 3 3 2" xfId="26557" xr:uid="{00000000-0005-0000-0000-000055370000}"/>
    <cellStyle name="Separador de milhares 3 13 3 3 3 2 2" xfId="52738" xr:uid="{00000000-0005-0000-0000-000056370000}"/>
    <cellStyle name="Separador de milhares 3 13 3 3 3 3" xfId="20643" xr:uid="{00000000-0005-0000-0000-000057370000}"/>
    <cellStyle name="Separador de milhares 3 13 3 3 3 3 2" xfId="46830" xr:uid="{00000000-0005-0000-0000-000058370000}"/>
    <cellStyle name="Separador de milhares 3 13 3 3 3 4" xfId="14729" xr:uid="{00000000-0005-0000-0000-000059370000}"/>
    <cellStyle name="Separador de milhares 3 13 3 3 3 4 2" xfId="40922" xr:uid="{00000000-0005-0000-0000-00005A370000}"/>
    <cellStyle name="Separador de milhares 3 13 3 3 3 5" xfId="34536" xr:uid="{00000000-0005-0000-0000-00005B370000}"/>
    <cellStyle name="Separador de milhares 3 13 3 3 4" xfId="4965" xr:uid="{00000000-0005-0000-0000-00005C370000}"/>
    <cellStyle name="Separador de milhares 3 13 3 3 4 2" xfId="23600" xr:uid="{00000000-0005-0000-0000-00005D370000}"/>
    <cellStyle name="Separador de milhares 3 13 3 3 4 2 2" xfId="49784" xr:uid="{00000000-0005-0000-0000-00005E370000}"/>
    <cellStyle name="Separador de milhares 3 13 3 3 4 3" xfId="31161" xr:uid="{00000000-0005-0000-0000-00005F370000}"/>
    <cellStyle name="Separador de milhares 3 13 3 3 5" xfId="17686" xr:uid="{00000000-0005-0000-0000-000060370000}"/>
    <cellStyle name="Separador de milhares 3 13 3 3 5 2" xfId="43876" xr:uid="{00000000-0005-0000-0000-000061370000}"/>
    <cellStyle name="Separador de milhares 3 13 3 3 6" xfId="11352" xr:uid="{00000000-0005-0000-0000-000062370000}"/>
    <cellStyle name="Separador de milhares 3 13 3 3 6 2" xfId="37545" xr:uid="{00000000-0005-0000-0000-000063370000}"/>
    <cellStyle name="Separador de milhares 3 13 3 3 7" xfId="29463" xr:uid="{00000000-0005-0000-0000-000064370000}"/>
    <cellStyle name="Separador de milhares 3 13 3 4" xfId="1203" xr:uid="{00000000-0005-0000-0000-000065370000}"/>
    <cellStyle name="Separador de milhares 3 13 3 4 2" xfId="6762" xr:uid="{00000000-0005-0000-0000-000066370000}"/>
    <cellStyle name="Separador de milhares 3 13 3 4 2 2" xfId="9909" xr:uid="{00000000-0005-0000-0000-000067370000}"/>
    <cellStyle name="Separador de milhares 3 13 3 4 2 2 2" xfId="28123" xr:uid="{00000000-0005-0000-0000-000068370000}"/>
    <cellStyle name="Separador de milhares 3 13 3 4 2 2 2 2" xfId="54304" xr:uid="{00000000-0005-0000-0000-000069370000}"/>
    <cellStyle name="Separador de milhares 3 13 3 4 2 2 3" xfId="22209" xr:uid="{00000000-0005-0000-0000-00006A370000}"/>
    <cellStyle name="Separador de milhares 3 13 3 4 2 2 3 2" xfId="48396" xr:uid="{00000000-0005-0000-0000-00006B370000}"/>
    <cellStyle name="Separador de milhares 3 13 3 4 2 2 4" xfId="16295" xr:uid="{00000000-0005-0000-0000-00006C370000}"/>
    <cellStyle name="Separador de milhares 3 13 3 4 2 2 4 2" xfId="42488" xr:uid="{00000000-0005-0000-0000-00006D370000}"/>
    <cellStyle name="Separador de milhares 3 13 3 4 2 2 5" xfId="36102" xr:uid="{00000000-0005-0000-0000-00006E370000}"/>
    <cellStyle name="Separador de milhares 3 13 3 4 2 3" xfId="25166" xr:uid="{00000000-0005-0000-0000-00006F370000}"/>
    <cellStyle name="Separador de milhares 3 13 3 4 2 3 2" xfId="51350" xr:uid="{00000000-0005-0000-0000-000070370000}"/>
    <cellStyle name="Separador de milhares 3 13 3 4 2 4" xfId="19252" xr:uid="{00000000-0005-0000-0000-000071370000}"/>
    <cellStyle name="Separador de milhares 3 13 3 4 2 4 2" xfId="45442" xr:uid="{00000000-0005-0000-0000-000072370000}"/>
    <cellStyle name="Separador de milhares 3 13 3 4 2 5" xfId="13151" xr:uid="{00000000-0005-0000-0000-000073370000}"/>
    <cellStyle name="Separador de milhares 3 13 3 4 2 5 2" xfId="39344" xr:uid="{00000000-0005-0000-0000-000074370000}"/>
    <cellStyle name="Separador de milhares 3 13 3 4 2 6" xfId="32958" xr:uid="{00000000-0005-0000-0000-000075370000}"/>
    <cellStyle name="Separador de milhares 3 13 3 4 3" xfId="8441" xr:uid="{00000000-0005-0000-0000-000076370000}"/>
    <cellStyle name="Separador de milhares 3 13 3 4 3 2" xfId="26655" xr:uid="{00000000-0005-0000-0000-000077370000}"/>
    <cellStyle name="Separador de milhares 3 13 3 4 3 2 2" xfId="52836" xr:uid="{00000000-0005-0000-0000-000078370000}"/>
    <cellStyle name="Separador de milhares 3 13 3 4 3 3" xfId="20741" xr:uid="{00000000-0005-0000-0000-000079370000}"/>
    <cellStyle name="Separador de milhares 3 13 3 4 3 3 2" xfId="46928" xr:uid="{00000000-0005-0000-0000-00007A370000}"/>
    <cellStyle name="Separador de milhares 3 13 3 4 3 4" xfId="14827" xr:uid="{00000000-0005-0000-0000-00007B370000}"/>
    <cellStyle name="Separador de milhares 3 13 3 4 3 4 2" xfId="41020" xr:uid="{00000000-0005-0000-0000-00007C370000}"/>
    <cellStyle name="Separador de milhares 3 13 3 4 3 5" xfId="34634" xr:uid="{00000000-0005-0000-0000-00007D370000}"/>
    <cellStyle name="Separador de milhares 3 13 3 4 4" xfId="5063" xr:uid="{00000000-0005-0000-0000-00007E370000}"/>
    <cellStyle name="Separador de milhares 3 13 3 4 4 2" xfId="23698" xr:uid="{00000000-0005-0000-0000-00007F370000}"/>
    <cellStyle name="Separador de milhares 3 13 3 4 4 2 2" xfId="49882" xr:uid="{00000000-0005-0000-0000-000080370000}"/>
    <cellStyle name="Separador de milhares 3 13 3 4 4 3" xfId="31259" xr:uid="{00000000-0005-0000-0000-000081370000}"/>
    <cellStyle name="Separador de milhares 3 13 3 4 5" xfId="17784" xr:uid="{00000000-0005-0000-0000-000082370000}"/>
    <cellStyle name="Separador de milhares 3 13 3 4 5 2" xfId="43974" xr:uid="{00000000-0005-0000-0000-000083370000}"/>
    <cellStyle name="Separador de milhares 3 13 3 4 6" xfId="11450" xr:uid="{00000000-0005-0000-0000-000084370000}"/>
    <cellStyle name="Separador de milhares 3 13 3 4 6 2" xfId="37643" xr:uid="{00000000-0005-0000-0000-000085370000}"/>
    <cellStyle name="Separador de milhares 3 13 3 4 7" xfId="29561" xr:uid="{00000000-0005-0000-0000-000086370000}"/>
    <cellStyle name="Separador de milhares 3 13 3 5" xfId="1638" xr:uid="{00000000-0005-0000-0000-000087370000}"/>
    <cellStyle name="Separador de milhares 3 13 3 5 2" xfId="6881" xr:uid="{00000000-0005-0000-0000-000088370000}"/>
    <cellStyle name="Separador de milhares 3 13 3 5 2 2" xfId="10028" xr:uid="{00000000-0005-0000-0000-000089370000}"/>
    <cellStyle name="Separador de milhares 3 13 3 5 2 2 2" xfId="28242" xr:uid="{00000000-0005-0000-0000-00008A370000}"/>
    <cellStyle name="Separador de milhares 3 13 3 5 2 2 2 2" xfId="54423" xr:uid="{00000000-0005-0000-0000-00008B370000}"/>
    <cellStyle name="Separador de milhares 3 13 3 5 2 2 3" xfId="22328" xr:uid="{00000000-0005-0000-0000-00008C370000}"/>
    <cellStyle name="Separador de milhares 3 13 3 5 2 2 3 2" xfId="48515" xr:uid="{00000000-0005-0000-0000-00008D370000}"/>
    <cellStyle name="Separador de milhares 3 13 3 5 2 2 4" xfId="16414" xr:uid="{00000000-0005-0000-0000-00008E370000}"/>
    <cellStyle name="Separador de milhares 3 13 3 5 2 2 4 2" xfId="42607" xr:uid="{00000000-0005-0000-0000-00008F370000}"/>
    <cellStyle name="Separador de milhares 3 13 3 5 2 2 5" xfId="36221" xr:uid="{00000000-0005-0000-0000-000090370000}"/>
    <cellStyle name="Separador de milhares 3 13 3 5 2 3" xfId="25285" xr:uid="{00000000-0005-0000-0000-000091370000}"/>
    <cellStyle name="Separador de milhares 3 13 3 5 2 3 2" xfId="51469" xr:uid="{00000000-0005-0000-0000-000092370000}"/>
    <cellStyle name="Separador de milhares 3 13 3 5 2 4" xfId="19371" xr:uid="{00000000-0005-0000-0000-000093370000}"/>
    <cellStyle name="Separador de milhares 3 13 3 5 2 4 2" xfId="45561" xr:uid="{00000000-0005-0000-0000-000094370000}"/>
    <cellStyle name="Separador de milhares 3 13 3 5 2 5" xfId="13270" xr:uid="{00000000-0005-0000-0000-000095370000}"/>
    <cellStyle name="Separador de milhares 3 13 3 5 2 5 2" xfId="39463" xr:uid="{00000000-0005-0000-0000-000096370000}"/>
    <cellStyle name="Separador de milhares 3 13 3 5 2 6" xfId="33077" xr:uid="{00000000-0005-0000-0000-000097370000}"/>
    <cellStyle name="Separador de milhares 3 13 3 5 3" xfId="8560" xr:uid="{00000000-0005-0000-0000-000098370000}"/>
    <cellStyle name="Separador de milhares 3 13 3 5 3 2" xfId="26774" xr:uid="{00000000-0005-0000-0000-000099370000}"/>
    <cellStyle name="Separador de milhares 3 13 3 5 3 2 2" xfId="52955" xr:uid="{00000000-0005-0000-0000-00009A370000}"/>
    <cellStyle name="Separador de milhares 3 13 3 5 3 3" xfId="20860" xr:uid="{00000000-0005-0000-0000-00009B370000}"/>
    <cellStyle name="Separador de milhares 3 13 3 5 3 3 2" xfId="47047" xr:uid="{00000000-0005-0000-0000-00009C370000}"/>
    <cellStyle name="Separador de milhares 3 13 3 5 3 4" xfId="14946" xr:uid="{00000000-0005-0000-0000-00009D370000}"/>
    <cellStyle name="Separador de milhares 3 13 3 5 3 4 2" xfId="41139" xr:uid="{00000000-0005-0000-0000-00009E370000}"/>
    <cellStyle name="Separador de milhares 3 13 3 5 3 5" xfId="34753" xr:uid="{00000000-0005-0000-0000-00009F370000}"/>
    <cellStyle name="Separador de milhares 3 13 3 5 4" xfId="5182" xr:uid="{00000000-0005-0000-0000-0000A0370000}"/>
    <cellStyle name="Separador de milhares 3 13 3 5 4 2" xfId="23817" xr:uid="{00000000-0005-0000-0000-0000A1370000}"/>
    <cellStyle name="Separador de milhares 3 13 3 5 4 2 2" xfId="50001" xr:uid="{00000000-0005-0000-0000-0000A2370000}"/>
    <cellStyle name="Separador de milhares 3 13 3 5 4 3" xfId="31378" xr:uid="{00000000-0005-0000-0000-0000A3370000}"/>
    <cellStyle name="Separador de milhares 3 13 3 5 5" xfId="17903" xr:uid="{00000000-0005-0000-0000-0000A4370000}"/>
    <cellStyle name="Separador de milhares 3 13 3 5 5 2" xfId="44093" xr:uid="{00000000-0005-0000-0000-0000A5370000}"/>
    <cellStyle name="Separador de milhares 3 13 3 5 6" xfId="11569" xr:uid="{00000000-0005-0000-0000-0000A6370000}"/>
    <cellStyle name="Separador de milhares 3 13 3 5 6 2" xfId="37762" xr:uid="{00000000-0005-0000-0000-0000A7370000}"/>
    <cellStyle name="Separador de milhares 3 13 3 5 7" xfId="29680" xr:uid="{00000000-0005-0000-0000-0000A8370000}"/>
    <cellStyle name="Separador de milhares 3 13 3 6" xfId="2168" xr:uid="{00000000-0005-0000-0000-0000A9370000}"/>
    <cellStyle name="Separador de milhares 3 13 3 6 2" xfId="7031" xr:uid="{00000000-0005-0000-0000-0000AA370000}"/>
    <cellStyle name="Separador de milhares 3 13 3 6 2 2" xfId="10175" xr:uid="{00000000-0005-0000-0000-0000AB370000}"/>
    <cellStyle name="Separador de milhares 3 13 3 6 2 2 2" xfId="28389" xr:uid="{00000000-0005-0000-0000-0000AC370000}"/>
    <cellStyle name="Separador de milhares 3 13 3 6 2 2 2 2" xfId="54570" xr:uid="{00000000-0005-0000-0000-0000AD370000}"/>
    <cellStyle name="Separador de milhares 3 13 3 6 2 2 3" xfId="22475" xr:uid="{00000000-0005-0000-0000-0000AE370000}"/>
    <cellStyle name="Separador de milhares 3 13 3 6 2 2 3 2" xfId="48662" xr:uid="{00000000-0005-0000-0000-0000AF370000}"/>
    <cellStyle name="Separador de milhares 3 13 3 6 2 2 4" xfId="16561" xr:uid="{00000000-0005-0000-0000-0000B0370000}"/>
    <cellStyle name="Separador de milhares 3 13 3 6 2 2 4 2" xfId="42754" xr:uid="{00000000-0005-0000-0000-0000B1370000}"/>
    <cellStyle name="Separador de milhares 3 13 3 6 2 2 5" xfId="36368" xr:uid="{00000000-0005-0000-0000-0000B2370000}"/>
    <cellStyle name="Separador de milhares 3 13 3 6 2 3" xfId="25432" xr:uid="{00000000-0005-0000-0000-0000B3370000}"/>
    <cellStyle name="Separador de milhares 3 13 3 6 2 3 2" xfId="51616" xr:uid="{00000000-0005-0000-0000-0000B4370000}"/>
    <cellStyle name="Separador de milhares 3 13 3 6 2 4" xfId="19518" xr:uid="{00000000-0005-0000-0000-0000B5370000}"/>
    <cellStyle name="Separador de milhares 3 13 3 6 2 4 2" xfId="45708" xr:uid="{00000000-0005-0000-0000-0000B6370000}"/>
    <cellStyle name="Separador de milhares 3 13 3 6 2 5" xfId="13420" xr:uid="{00000000-0005-0000-0000-0000B7370000}"/>
    <cellStyle name="Separador de milhares 3 13 3 6 2 5 2" xfId="39613" xr:uid="{00000000-0005-0000-0000-0000B8370000}"/>
    <cellStyle name="Separador de milhares 3 13 3 6 2 6" xfId="33227" xr:uid="{00000000-0005-0000-0000-0000B9370000}"/>
    <cellStyle name="Separador de milhares 3 13 3 6 3" xfId="8707" xr:uid="{00000000-0005-0000-0000-0000BA370000}"/>
    <cellStyle name="Separador de milhares 3 13 3 6 3 2" xfId="26921" xr:uid="{00000000-0005-0000-0000-0000BB370000}"/>
    <cellStyle name="Separador de milhares 3 13 3 6 3 2 2" xfId="53102" xr:uid="{00000000-0005-0000-0000-0000BC370000}"/>
    <cellStyle name="Separador de milhares 3 13 3 6 3 3" xfId="21007" xr:uid="{00000000-0005-0000-0000-0000BD370000}"/>
    <cellStyle name="Separador de milhares 3 13 3 6 3 3 2" xfId="47194" xr:uid="{00000000-0005-0000-0000-0000BE370000}"/>
    <cellStyle name="Separador de milhares 3 13 3 6 3 4" xfId="15093" xr:uid="{00000000-0005-0000-0000-0000BF370000}"/>
    <cellStyle name="Separador de milhares 3 13 3 6 3 4 2" xfId="41286" xr:uid="{00000000-0005-0000-0000-0000C0370000}"/>
    <cellStyle name="Separador de milhares 3 13 3 6 3 5" xfId="34900" xr:uid="{00000000-0005-0000-0000-0000C1370000}"/>
    <cellStyle name="Separador de milhares 3 13 3 6 4" xfId="5332" xr:uid="{00000000-0005-0000-0000-0000C2370000}"/>
    <cellStyle name="Separador de milhares 3 13 3 6 4 2" xfId="23964" xr:uid="{00000000-0005-0000-0000-0000C3370000}"/>
    <cellStyle name="Separador de milhares 3 13 3 6 4 2 2" xfId="50148" xr:uid="{00000000-0005-0000-0000-0000C4370000}"/>
    <cellStyle name="Separador de milhares 3 13 3 6 4 3" xfId="31528" xr:uid="{00000000-0005-0000-0000-0000C5370000}"/>
    <cellStyle name="Separador de milhares 3 13 3 6 5" xfId="18050" xr:uid="{00000000-0005-0000-0000-0000C6370000}"/>
    <cellStyle name="Separador de milhares 3 13 3 6 5 2" xfId="44240" xr:uid="{00000000-0005-0000-0000-0000C7370000}"/>
    <cellStyle name="Separador de milhares 3 13 3 6 6" xfId="11719" xr:uid="{00000000-0005-0000-0000-0000C8370000}"/>
    <cellStyle name="Separador de milhares 3 13 3 6 6 2" xfId="37912" xr:uid="{00000000-0005-0000-0000-0000C9370000}"/>
    <cellStyle name="Separador de milhares 3 13 3 6 7" xfId="29830" xr:uid="{00000000-0005-0000-0000-0000CA370000}"/>
    <cellStyle name="Separador de milhares 3 13 3 7" xfId="2695" xr:uid="{00000000-0005-0000-0000-0000CB370000}"/>
    <cellStyle name="Separador de milhares 3 13 3 7 2" xfId="7178" xr:uid="{00000000-0005-0000-0000-0000CC370000}"/>
    <cellStyle name="Separador de milhares 3 13 3 7 2 2" xfId="10322" xr:uid="{00000000-0005-0000-0000-0000CD370000}"/>
    <cellStyle name="Separador de milhares 3 13 3 7 2 2 2" xfId="28536" xr:uid="{00000000-0005-0000-0000-0000CE370000}"/>
    <cellStyle name="Separador de milhares 3 13 3 7 2 2 2 2" xfId="54717" xr:uid="{00000000-0005-0000-0000-0000CF370000}"/>
    <cellStyle name="Separador de milhares 3 13 3 7 2 2 3" xfId="22622" xr:uid="{00000000-0005-0000-0000-0000D0370000}"/>
    <cellStyle name="Separador de milhares 3 13 3 7 2 2 3 2" xfId="48809" xr:uid="{00000000-0005-0000-0000-0000D1370000}"/>
    <cellStyle name="Separador de milhares 3 13 3 7 2 2 4" xfId="16708" xr:uid="{00000000-0005-0000-0000-0000D2370000}"/>
    <cellStyle name="Separador de milhares 3 13 3 7 2 2 4 2" xfId="42901" xr:uid="{00000000-0005-0000-0000-0000D3370000}"/>
    <cellStyle name="Separador de milhares 3 13 3 7 2 2 5" xfId="36515" xr:uid="{00000000-0005-0000-0000-0000D4370000}"/>
    <cellStyle name="Separador de milhares 3 13 3 7 2 3" xfId="25579" xr:uid="{00000000-0005-0000-0000-0000D5370000}"/>
    <cellStyle name="Separador de milhares 3 13 3 7 2 3 2" xfId="51763" xr:uid="{00000000-0005-0000-0000-0000D6370000}"/>
    <cellStyle name="Separador de milhares 3 13 3 7 2 4" xfId="19665" xr:uid="{00000000-0005-0000-0000-0000D7370000}"/>
    <cellStyle name="Separador de milhares 3 13 3 7 2 4 2" xfId="45855" xr:uid="{00000000-0005-0000-0000-0000D8370000}"/>
    <cellStyle name="Separador de milhares 3 13 3 7 2 5" xfId="13567" xr:uid="{00000000-0005-0000-0000-0000D9370000}"/>
    <cellStyle name="Separador de milhares 3 13 3 7 2 5 2" xfId="39760" xr:uid="{00000000-0005-0000-0000-0000DA370000}"/>
    <cellStyle name="Separador de milhares 3 13 3 7 2 6" xfId="33374" xr:uid="{00000000-0005-0000-0000-0000DB370000}"/>
    <cellStyle name="Separador de milhares 3 13 3 7 3" xfId="8854" xr:uid="{00000000-0005-0000-0000-0000DC370000}"/>
    <cellStyle name="Separador de milhares 3 13 3 7 3 2" xfId="27068" xr:uid="{00000000-0005-0000-0000-0000DD370000}"/>
    <cellStyle name="Separador de milhares 3 13 3 7 3 2 2" xfId="53249" xr:uid="{00000000-0005-0000-0000-0000DE370000}"/>
    <cellStyle name="Separador de milhares 3 13 3 7 3 3" xfId="21154" xr:uid="{00000000-0005-0000-0000-0000DF370000}"/>
    <cellStyle name="Separador de milhares 3 13 3 7 3 3 2" xfId="47341" xr:uid="{00000000-0005-0000-0000-0000E0370000}"/>
    <cellStyle name="Separador de milhares 3 13 3 7 3 4" xfId="15240" xr:uid="{00000000-0005-0000-0000-0000E1370000}"/>
    <cellStyle name="Separador de milhares 3 13 3 7 3 4 2" xfId="41433" xr:uid="{00000000-0005-0000-0000-0000E2370000}"/>
    <cellStyle name="Separador de milhares 3 13 3 7 3 5" xfId="35047" xr:uid="{00000000-0005-0000-0000-0000E3370000}"/>
    <cellStyle name="Separador de milhares 3 13 3 7 4" xfId="5479" xr:uid="{00000000-0005-0000-0000-0000E4370000}"/>
    <cellStyle name="Separador de milhares 3 13 3 7 4 2" xfId="24111" xr:uid="{00000000-0005-0000-0000-0000E5370000}"/>
    <cellStyle name="Separador de milhares 3 13 3 7 4 2 2" xfId="50295" xr:uid="{00000000-0005-0000-0000-0000E6370000}"/>
    <cellStyle name="Separador de milhares 3 13 3 7 4 3" xfId="31675" xr:uid="{00000000-0005-0000-0000-0000E7370000}"/>
    <cellStyle name="Separador de milhares 3 13 3 7 5" xfId="18197" xr:uid="{00000000-0005-0000-0000-0000E8370000}"/>
    <cellStyle name="Separador de milhares 3 13 3 7 5 2" xfId="44387" xr:uid="{00000000-0005-0000-0000-0000E9370000}"/>
    <cellStyle name="Separador de milhares 3 13 3 7 6" xfId="11866" xr:uid="{00000000-0005-0000-0000-0000EA370000}"/>
    <cellStyle name="Separador de milhares 3 13 3 7 6 2" xfId="38059" xr:uid="{00000000-0005-0000-0000-0000EB370000}"/>
    <cellStyle name="Separador de milhares 3 13 3 7 7" xfId="29977" xr:uid="{00000000-0005-0000-0000-0000EC370000}"/>
    <cellStyle name="Separador de milhares 3 13 3 8" xfId="3222" xr:uid="{00000000-0005-0000-0000-0000ED370000}"/>
    <cellStyle name="Separador de milhares 3 13 3 8 2" xfId="7325" xr:uid="{00000000-0005-0000-0000-0000EE370000}"/>
    <cellStyle name="Separador de milhares 3 13 3 8 2 2" xfId="10469" xr:uid="{00000000-0005-0000-0000-0000EF370000}"/>
    <cellStyle name="Separador de milhares 3 13 3 8 2 2 2" xfId="28683" xr:uid="{00000000-0005-0000-0000-0000F0370000}"/>
    <cellStyle name="Separador de milhares 3 13 3 8 2 2 2 2" xfId="54864" xr:uid="{00000000-0005-0000-0000-0000F1370000}"/>
    <cellStyle name="Separador de milhares 3 13 3 8 2 2 3" xfId="22769" xr:uid="{00000000-0005-0000-0000-0000F2370000}"/>
    <cellStyle name="Separador de milhares 3 13 3 8 2 2 3 2" xfId="48956" xr:uid="{00000000-0005-0000-0000-0000F3370000}"/>
    <cellStyle name="Separador de milhares 3 13 3 8 2 2 4" xfId="16855" xr:uid="{00000000-0005-0000-0000-0000F4370000}"/>
    <cellStyle name="Separador de milhares 3 13 3 8 2 2 4 2" xfId="43048" xr:uid="{00000000-0005-0000-0000-0000F5370000}"/>
    <cellStyle name="Separador de milhares 3 13 3 8 2 2 5" xfId="36662" xr:uid="{00000000-0005-0000-0000-0000F6370000}"/>
    <cellStyle name="Separador de milhares 3 13 3 8 2 3" xfId="25726" xr:uid="{00000000-0005-0000-0000-0000F7370000}"/>
    <cellStyle name="Separador de milhares 3 13 3 8 2 3 2" xfId="51910" xr:uid="{00000000-0005-0000-0000-0000F8370000}"/>
    <cellStyle name="Separador de milhares 3 13 3 8 2 4" xfId="19812" xr:uid="{00000000-0005-0000-0000-0000F9370000}"/>
    <cellStyle name="Separador de milhares 3 13 3 8 2 4 2" xfId="46002" xr:uid="{00000000-0005-0000-0000-0000FA370000}"/>
    <cellStyle name="Separador de milhares 3 13 3 8 2 5" xfId="13714" xr:uid="{00000000-0005-0000-0000-0000FB370000}"/>
    <cellStyle name="Separador de milhares 3 13 3 8 2 5 2" xfId="39907" xr:uid="{00000000-0005-0000-0000-0000FC370000}"/>
    <cellStyle name="Separador de milhares 3 13 3 8 2 6" xfId="33521" xr:uid="{00000000-0005-0000-0000-0000FD370000}"/>
    <cellStyle name="Separador de milhares 3 13 3 8 3" xfId="9001" xr:uid="{00000000-0005-0000-0000-0000FE370000}"/>
    <cellStyle name="Separador de milhares 3 13 3 8 3 2" xfId="27215" xr:uid="{00000000-0005-0000-0000-0000FF370000}"/>
    <cellStyle name="Separador de milhares 3 13 3 8 3 2 2" xfId="53396" xr:uid="{00000000-0005-0000-0000-000000380000}"/>
    <cellStyle name="Separador de milhares 3 13 3 8 3 3" xfId="21301" xr:uid="{00000000-0005-0000-0000-000001380000}"/>
    <cellStyle name="Separador de milhares 3 13 3 8 3 3 2" xfId="47488" xr:uid="{00000000-0005-0000-0000-000002380000}"/>
    <cellStyle name="Separador de milhares 3 13 3 8 3 4" xfId="15387" xr:uid="{00000000-0005-0000-0000-000003380000}"/>
    <cellStyle name="Separador de milhares 3 13 3 8 3 4 2" xfId="41580" xr:uid="{00000000-0005-0000-0000-000004380000}"/>
    <cellStyle name="Separador de milhares 3 13 3 8 3 5" xfId="35194" xr:uid="{00000000-0005-0000-0000-000005380000}"/>
    <cellStyle name="Separador de milhares 3 13 3 8 4" xfId="5626" xr:uid="{00000000-0005-0000-0000-000006380000}"/>
    <cellStyle name="Separador de milhares 3 13 3 8 4 2" xfId="24258" xr:uid="{00000000-0005-0000-0000-000007380000}"/>
    <cellStyle name="Separador de milhares 3 13 3 8 4 2 2" xfId="50442" xr:uid="{00000000-0005-0000-0000-000008380000}"/>
    <cellStyle name="Separador de milhares 3 13 3 8 4 3" xfId="31822" xr:uid="{00000000-0005-0000-0000-000009380000}"/>
    <cellStyle name="Separador de milhares 3 13 3 8 5" xfId="18344" xr:uid="{00000000-0005-0000-0000-00000A380000}"/>
    <cellStyle name="Separador de milhares 3 13 3 8 5 2" xfId="44534" xr:uid="{00000000-0005-0000-0000-00000B380000}"/>
    <cellStyle name="Separador de milhares 3 13 3 8 6" xfId="12013" xr:uid="{00000000-0005-0000-0000-00000C380000}"/>
    <cellStyle name="Separador de milhares 3 13 3 8 6 2" xfId="38206" xr:uid="{00000000-0005-0000-0000-00000D380000}"/>
    <cellStyle name="Separador de milhares 3 13 3 8 7" xfId="30124" xr:uid="{00000000-0005-0000-0000-00000E380000}"/>
    <cellStyle name="Separador de milhares 3 13 3 9" xfId="3749" xr:uid="{00000000-0005-0000-0000-00000F380000}"/>
    <cellStyle name="Separador de milhares 3 13 3 9 2" xfId="7472" xr:uid="{00000000-0005-0000-0000-000010380000}"/>
    <cellStyle name="Separador de milhares 3 13 3 9 2 2" xfId="10616" xr:uid="{00000000-0005-0000-0000-000011380000}"/>
    <cellStyle name="Separador de milhares 3 13 3 9 2 2 2" xfId="28830" xr:uid="{00000000-0005-0000-0000-000012380000}"/>
    <cellStyle name="Separador de milhares 3 13 3 9 2 2 2 2" xfId="55011" xr:uid="{00000000-0005-0000-0000-000013380000}"/>
    <cellStyle name="Separador de milhares 3 13 3 9 2 2 3" xfId="22916" xr:uid="{00000000-0005-0000-0000-000014380000}"/>
    <cellStyle name="Separador de milhares 3 13 3 9 2 2 3 2" xfId="49103" xr:uid="{00000000-0005-0000-0000-000015380000}"/>
    <cellStyle name="Separador de milhares 3 13 3 9 2 2 4" xfId="17002" xr:uid="{00000000-0005-0000-0000-000016380000}"/>
    <cellStyle name="Separador de milhares 3 13 3 9 2 2 4 2" xfId="43195" xr:uid="{00000000-0005-0000-0000-000017380000}"/>
    <cellStyle name="Separador de milhares 3 13 3 9 2 2 5" xfId="36809" xr:uid="{00000000-0005-0000-0000-000018380000}"/>
    <cellStyle name="Separador de milhares 3 13 3 9 2 3" xfId="25873" xr:uid="{00000000-0005-0000-0000-000019380000}"/>
    <cellStyle name="Separador de milhares 3 13 3 9 2 3 2" xfId="52057" xr:uid="{00000000-0005-0000-0000-00001A380000}"/>
    <cellStyle name="Separador de milhares 3 13 3 9 2 4" xfId="19959" xr:uid="{00000000-0005-0000-0000-00001B380000}"/>
    <cellStyle name="Separador de milhares 3 13 3 9 2 4 2" xfId="46149" xr:uid="{00000000-0005-0000-0000-00001C380000}"/>
    <cellStyle name="Separador de milhares 3 13 3 9 2 5" xfId="13861" xr:uid="{00000000-0005-0000-0000-00001D380000}"/>
    <cellStyle name="Separador de milhares 3 13 3 9 2 5 2" xfId="40054" xr:uid="{00000000-0005-0000-0000-00001E380000}"/>
    <cellStyle name="Separador de milhares 3 13 3 9 2 6" xfId="33668" xr:uid="{00000000-0005-0000-0000-00001F380000}"/>
    <cellStyle name="Separador de milhares 3 13 3 9 3" xfId="9148" xr:uid="{00000000-0005-0000-0000-000020380000}"/>
    <cellStyle name="Separador de milhares 3 13 3 9 3 2" xfId="27362" xr:uid="{00000000-0005-0000-0000-000021380000}"/>
    <cellStyle name="Separador de milhares 3 13 3 9 3 2 2" xfId="53543" xr:uid="{00000000-0005-0000-0000-000022380000}"/>
    <cellStyle name="Separador de milhares 3 13 3 9 3 3" xfId="21448" xr:uid="{00000000-0005-0000-0000-000023380000}"/>
    <cellStyle name="Separador de milhares 3 13 3 9 3 3 2" xfId="47635" xr:uid="{00000000-0005-0000-0000-000024380000}"/>
    <cellStyle name="Separador de milhares 3 13 3 9 3 4" xfId="15534" xr:uid="{00000000-0005-0000-0000-000025380000}"/>
    <cellStyle name="Separador de milhares 3 13 3 9 3 4 2" xfId="41727" xr:uid="{00000000-0005-0000-0000-000026380000}"/>
    <cellStyle name="Separador de milhares 3 13 3 9 3 5" xfId="35341" xr:uid="{00000000-0005-0000-0000-000027380000}"/>
    <cellStyle name="Separador de milhares 3 13 3 9 4" xfId="5773" xr:uid="{00000000-0005-0000-0000-000028380000}"/>
    <cellStyle name="Separador de milhares 3 13 3 9 4 2" xfId="24405" xr:uid="{00000000-0005-0000-0000-000029380000}"/>
    <cellStyle name="Separador de milhares 3 13 3 9 4 2 2" xfId="50589" xr:uid="{00000000-0005-0000-0000-00002A380000}"/>
    <cellStyle name="Separador de milhares 3 13 3 9 4 3" xfId="31969" xr:uid="{00000000-0005-0000-0000-00002B380000}"/>
    <cellStyle name="Separador de milhares 3 13 3 9 5" xfId="18491" xr:uid="{00000000-0005-0000-0000-00002C380000}"/>
    <cellStyle name="Separador de milhares 3 13 3 9 5 2" xfId="44681" xr:uid="{00000000-0005-0000-0000-00002D380000}"/>
    <cellStyle name="Separador de milhares 3 13 3 9 6" xfId="12160" xr:uid="{00000000-0005-0000-0000-00002E380000}"/>
    <cellStyle name="Separador de milhares 3 13 3 9 6 2" xfId="38353" xr:uid="{00000000-0005-0000-0000-00002F380000}"/>
    <cellStyle name="Separador de milhares 3 13 3 9 7" xfId="30271" xr:uid="{00000000-0005-0000-0000-000030380000}"/>
    <cellStyle name="Separador de milhares 3 13 4" xfId="385" xr:uid="{00000000-0005-0000-0000-000031380000}"/>
    <cellStyle name="Separador de milhares 3 13 4 10" xfId="6519" xr:uid="{00000000-0005-0000-0000-000032380000}"/>
    <cellStyle name="Separador de milhares 3 13 4 10 2" xfId="9667" xr:uid="{00000000-0005-0000-0000-000033380000}"/>
    <cellStyle name="Separador de milhares 3 13 4 10 2 2" xfId="27881" xr:uid="{00000000-0005-0000-0000-000034380000}"/>
    <cellStyle name="Separador de milhares 3 13 4 10 2 2 2" xfId="54062" xr:uid="{00000000-0005-0000-0000-000035380000}"/>
    <cellStyle name="Separador de milhares 3 13 4 10 2 3" xfId="21967" xr:uid="{00000000-0005-0000-0000-000036380000}"/>
    <cellStyle name="Separador de milhares 3 13 4 10 2 3 2" xfId="48154" xr:uid="{00000000-0005-0000-0000-000037380000}"/>
    <cellStyle name="Separador de milhares 3 13 4 10 2 4" xfId="16053" xr:uid="{00000000-0005-0000-0000-000038380000}"/>
    <cellStyle name="Separador de milhares 3 13 4 10 2 4 2" xfId="42246" xr:uid="{00000000-0005-0000-0000-000039380000}"/>
    <cellStyle name="Separador de milhares 3 13 4 10 2 5" xfId="35860" xr:uid="{00000000-0005-0000-0000-00003A380000}"/>
    <cellStyle name="Separador de milhares 3 13 4 10 3" xfId="24924" xr:uid="{00000000-0005-0000-0000-00003B380000}"/>
    <cellStyle name="Separador de milhares 3 13 4 10 3 2" xfId="51108" xr:uid="{00000000-0005-0000-0000-00003C380000}"/>
    <cellStyle name="Separador de milhares 3 13 4 10 4" xfId="19010" xr:uid="{00000000-0005-0000-0000-00003D380000}"/>
    <cellStyle name="Separador de milhares 3 13 4 10 4 2" xfId="45200" xr:uid="{00000000-0005-0000-0000-00003E380000}"/>
    <cellStyle name="Separador de milhares 3 13 4 10 5" xfId="12908" xr:uid="{00000000-0005-0000-0000-00003F380000}"/>
    <cellStyle name="Separador de milhares 3 13 4 10 5 2" xfId="39101" xr:uid="{00000000-0005-0000-0000-000040380000}"/>
    <cellStyle name="Separador de milhares 3 13 4 10 6" xfId="32715" xr:uid="{00000000-0005-0000-0000-000041380000}"/>
    <cellStyle name="Separador de milhares 3 13 4 11" xfId="8196" xr:uid="{00000000-0005-0000-0000-000042380000}"/>
    <cellStyle name="Separador de milhares 3 13 4 11 2" xfId="26410" xr:uid="{00000000-0005-0000-0000-000043380000}"/>
    <cellStyle name="Separador de milhares 3 13 4 11 2 2" xfId="52594" xr:uid="{00000000-0005-0000-0000-000044380000}"/>
    <cellStyle name="Separador de milhares 3 13 4 11 3" xfId="20496" xr:uid="{00000000-0005-0000-0000-000045380000}"/>
    <cellStyle name="Separador de milhares 3 13 4 11 3 2" xfId="46686" xr:uid="{00000000-0005-0000-0000-000046380000}"/>
    <cellStyle name="Separador de milhares 3 13 4 11 4" xfId="14585" xr:uid="{00000000-0005-0000-0000-000047380000}"/>
    <cellStyle name="Separador de milhares 3 13 4 11 4 2" xfId="40778" xr:uid="{00000000-0005-0000-0000-000048380000}"/>
    <cellStyle name="Separador de milhares 3 13 4 11 5" xfId="34392" xr:uid="{00000000-0005-0000-0000-000049380000}"/>
    <cellStyle name="Separador de milhares 3 13 4 12" xfId="4818" xr:uid="{00000000-0005-0000-0000-00004A380000}"/>
    <cellStyle name="Separador de milhares 3 13 4 12 2" xfId="23453" xr:uid="{00000000-0005-0000-0000-00004B380000}"/>
    <cellStyle name="Separador de milhares 3 13 4 12 2 2" xfId="49640" xr:uid="{00000000-0005-0000-0000-00004C380000}"/>
    <cellStyle name="Separador de milhares 3 13 4 12 3" xfId="31016" xr:uid="{00000000-0005-0000-0000-00004D380000}"/>
    <cellStyle name="Separador de milhares 3 13 4 13" xfId="17539" xr:uid="{00000000-0005-0000-0000-00004E380000}"/>
    <cellStyle name="Separador de milhares 3 13 4 13 2" xfId="43732" xr:uid="{00000000-0005-0000-0000-00004F380000}"/>
    <cellStyle name="Separador de milhares 3 13 4 14" xfId="11207" xr:uid="{00000000-0005-0000-0000-000050380000}"/>
    <cellStyle name="Separador de milhares 3 13 4 14 2" xfId="37400" xr:uid="{00000000-0005-0000-0000-000051380000}"/>
    <cellStyle name="Separador de milhares 3 13 4 15" xfId="29318" xr:uid="{00000000-0005-0000-0000-000052380000}"/>
    <cellStyle name="Separador de milhares 3 13 4 2" xfId="1030" xr:uid="{00000000-0005-0000-0000-000053380000}"/>
    <cellStyle name="Separador de milhares 3 13 4 2 2" xfId="6716" xr:uid="{00000000-0005-0000-0000-000054380000}"/>
    <cellStyle name="Separador de milhares 3 13 4 2 2 2" xfId="9863" xr:uid="{00000000-0005-0000-0000-000055380000}"/>
    <cellStyle name="Separador de milhares 3 13 4 2 2 2 2" xfId="28077" xr:uid="{00000000-0005-0000-0000-000056380000}"/>
    <cellStyle name="Separador de milhares 3 13 4 2 2 2 2 2" xfId="54258" xr:uid="{00000000-0005-0000-0000-000057380000}"/>
    <cellStyle name="Separador de milhares 3 13 4 2 2 2 3" xfId="22163" xr:uid="{00000000-0005-0000-0000-000058380000}"/>
    <cellStyle name="Separador de milhares 3 13 4 2 2 2 3 2" xfId="48350" xr:uid="{00000000-0005-0000-0000-000059380000}"/>
    <cellStyle name="Separador de milhares 3 13 4 2 2 2 4" xfId="16249" xr:uid="{00000000-0005-0000-0000-00005A380000}"/>
    <cellStyle name="Separador de milhares 3 13 4 2 2 2 4 2" xfId="42442" xr:uid="{00000000-0005-0000-0000-00005B380000}"/>
    <cellStyle name="Separador de milhares 3 13 4 2 2 2 5" xfId="36056" xr:uid="{00000000-0005-0000-0000-00005C380000}"/>
    <cellStyle name="Separador de milhares 3 13 4 2 2 3" xfId="25120" xr:uid="{00000000-0005-0000-0000-00005D380000}"/>
    <cellStyle name="Separador de milhares 3 13 4 2 2 3 2" xfId="51304" xr:uid="{00000000-0005-0000-0000-00005E380000}"/>
    <cellStyle name="Separador de milhares 3 13 4 2 2 4" xfId="19206" xr:uid="{00000000-0005-0000-0000-00005F380000}"/>
    <cellStyle name="Separador de milhares 3 13 4 2 2 4 2" xfId="45396" xr:uid="{00000000-0005-0000-0000-000060380000}"/>
    <cellStyle name="Separador de milhares 3 13 4 2 2 5" xfId="13105" xr:uid="{00000000-0005-0000-0000-000061380000}"/>
    <cellStyle name="Separador de milhares 3 13 4 2 2 5 2" xfId="39298" xr:uid="{00000000-0005-0000-0000-000062380000}"/>
    <cellStyle name="Separador de milhares 3 13 4 2 2 6" xfId="32912" xr:uid="{00000000-0005-0000-0000-000063380000}"/>
    <cellStyle name="Separador de milhares 3 13 4 2 3" xfId="8395" xr:uid="{00000000-0005-0000-0000-000064380000}"/>
    <cellStyle name="Separador de milhares 3 13 4 2 3 2" xfId="26609" xr:uid="{00000000-0005-0000-0000-000065380000}"/>
    <cellStyle name="Separador de milhares 3 13 4 2 3 2 2" xfId="52790" xr:uid="{00000000-0005-0000-0000-000066380000}"/>
    <cellStyle name="Separador de milhares 3 13 4 2 3 3" xfId="20695" xr:uid="{00000000-0005-0000-0000-000067380000}"/>
    <cellStyle name="Separador de milhares 3 13 4 2 3 3 2" xfId="46882" xr:uid="{00000000-0005-0000-0000-000068380000}"/>
    <cellStyle name="Separador de milhares 3 13 4 2 3 4" xfId="14781" xr:uid="{00000000-0005-0000-0000-000069380000}"/>
    <cellStyle name="Separador de milhares 3 13 4 2 3 4 2" xfId="40974" xr:uid="{00000000-0005-0000-0000-00006A380000}"/>
    <cellStyle name="Separador de milhares 3 13 4 2 3 5" xfId="34588" xr:uid="{00000000-0005-0000-0000-00006B380000}"/>
    <cellStyle name="Separador de milhares 3 13 4 2 4" xfId="5017" xr:uid="{00000000-0005-0000-0000-00006C380000}"/>
    <cellStyle name="Separador de milhares 3 13 4 2 4 2" xfId="23652" xr:uid="{00000000-0005-0000-0000-00006D380000}"/>
    <cellStyle name="Separador de milhares 3 13 4 2 4 2 2" xfId="49836" xr:uid="{00000000-0005-0000-0000-00006E380000}"/>
    <cellStyle name="Separador de milhares 3 13 4 2 4 3" xfId="31213" xr:uid="{00000000-0005-0000-0000-00006F380000}"/>
    <cellStyle name="Separador de milhares 3 13 4 2 5" xfId="17738" xr:uid="{00000000-0005-0000-0000-000070380000}"/>
    <cellStyle name="Separador de milhares 3 13 4 2 5 2" xfId="43928" xr:uid="{00000000-0005-0000-0000-000071380000}"/>
    <cellStyle name="Separador de milhares 3 13 4 2 6" xfId="11404" xr:uid="{00000000-0005-0000-0000-000072380000}"/>
    <cellStyle name="Separador de milhares 3 13 4 2 6 2" xfId="37597" xr:uid="{00000000-0005-0000-0000-000073380000}"/>
    <cellStyle name="Separador de milhares 3 13 4 2 7" xfId="29515" xr:uid="{00000000-0005-0000-0000-000074380000}"/>
    <cellStyle name="Separador de milhares 3 13 4 3" xfId="1381" xr:uid="{00000000-0005-0000-0000-000075380000}"/>
    <cellStyle name="Separador de milhares 3 13 4 3 2" xfId="6814" xr:uid="{00000000-0005-0000-0000-000076380000}"/>
    <cellStyle name="Separador de milhares 3 13 4 3 2 2" xfId="9961" xr:uid="{00000000-0005-0000-0000-000077380000}"/>
    <cellStyle name="Separador de milhares 3 13 4 3 2 2 2" xfId="28175" xr:uid="{00000000-0005-0000-0000-000078380000}"/>
    <cellStyle name="Separador de milhares 3 13 4 3 2 2 2 2" xfId="54356" xr:uid="{00000000-0005-0000-0000-000079380000}"/>
    <cellStyle name="Separador de milhares 3 13 4 3 2 2 3" xfId="22261" xr:uid="{00000000-0005-0000-0000-00007A380000}"/>
    <cellStyle name="Separador de milhares 3 13 4 3 2 2 3 2" xfId="48448" xr:uid="{00000000-0005-0000-0000-00007B380000}"/>
    <cellStyle name="Separador de milhares 3 13 4 3 2 2 4" xfId="16347" xr:uid="{00000000-0005-0000-0000-00007C380000}"/>
    <cellStyle name="Separador de milhares 3 13 4 3 2 2 4 2" xfId="42540" xr:uid="{00000000-0005-0000-0000-00007D380000}"/>
    <cellStyle name="Separador de milhares 3 13 4 3 2 2 5" xfId="36154" xr:uid="{00000000-0005-0000-0000-00007E380000}"/>
    <cellStyle name="Separador de milhares 3 13 4 3 2 3" xfId="25218" xr:uid="{00000000-0005-0000-0000-00007F380000}"/>
    <cellStyle name="Separador de milhares 3 13 4 3 2 3 2" xfId="51402" xr:uid="{00000000-0005-0000-0000-000080380000}"/>
    <cellStyle name="Separador de milhares 3 13 4 3 2 4" xfId="19304" xr:uid="{00000000-0005-0000-0000-000081380000}"/>
    <cellStyle name="Separador de milhares 3 13 4 3 2 4 2" xfId="45494" xr:uid="{00000000-0005-0000-0000-000082380000}"/>
    <cellStyle name="Separador de milhares 3 13 4 3 2 5" xfId="13203" xr:uid="{00000000-0005-0000-0000-000083380000}"/>
    <cellStyle name="Separador de milhares 3 13 4 3 2 5 2" xfId="39396" xr:uid="{00000000-0005-0000-0000-000084380000}"/>
    <cellStyle name="Separador de milhares 3 13 4 3 2 6" xfId="33010" xr:uid="{00000000-0005-0000-0000-000085380000}"/>
    <cellStyle name="Separador de milhares 3 13 4 3 3" xfId="8493" xr:uid="{00000000-0005-0000-0000-000086380000}"/>
    <cellStyle name="Separador de milhares 3 13 4 3 3 2" xfId="26707" xr:uid="{00000000-0005-0000-0000-000087380000}"/>
    <cellStyle name="Separador de milhares 3 13 4 3 3 2 2" xfId="52888" xr:uid="{00000000-0005-0000-0000-000088380000}"/>
    <cellStyle name="Separador de milhares 3 13 4 3 3 3" xfId="20793" xr:uid="{00000000-0005-0000-0000-000089380000}"/>
    <cellStyle name="Separador de milhares 3 13 4 3 3 3 2" xfId="46980" xr:uid="{00000000-0005-0000-0000-00008A380000}"/>
    <cellStyle name="Separador de milhares 3 13 4 3 3 4" xfId="14879" xr:uid="{00000000-0005-0000-0000-00008B380000}"/>
    <cellStyle name="Separador de milhares 3 13 4 3 3 4 2" xfId="41072" xr:uid="{00000000-0005-0000-0000-00008C380000}"/>
    <cellStyle name="Separador de milhares 3 13 4 3 3 5" xfId="34686" xr:uid="{00000000-0005-0000-0000-00008D380000}"/>
    <cellStyle name="Separador de milhares 3 13 4 3 4" xfId="5115" xr:uid="{00000000-0005-0000-0000-00008E380000}"/>
    <cellStyle name="Separador de milhares 3 13 4 3 4 2" xfId="23750" xr:uid="{00000000-0005-0000-0000-00008F380000}"/>
    <cellStyle name="Separador de milhares 3 13 4 3 4 2 2" xfId="49934" xr:uid="{00000000-0005-0000-0000-000090380000}"/>
    <cellStyle name="Separador de milhares 3 13 4 3 4 3" xfId="31311" xr:uid="{00000000-0005-0000-0000-000091380000}"/>
    <cellStyle name="Separador de milhares 3 13 4 3 5" xfId="17836" xr:uid="{00000000-0005-0000-0000-000092380000}"/>
    <cellStyle name="Separador de milhares 3 13 4 3 5 2" xfId="44026" xr:uid="{00000000-0005-0000-0000-000093380000}"/>
    <cellStyle name="Separador de milhares 3 13 4 3 6" xfId="11502" xr:uid="{00000000-0005-0000-0000-000094380000}"/>
    <cellStyle name="Separador de milhares 3 13 4 3 6 2" xfId="37695" xr:uid="{00000000-0005-0000-0000-000095380000}"/>
    <cellStyle name="Separador de milhares 3 13 4 3 7" xfId="29613" xr:uid="{00000000-0005-0000-0000-000096380000}"/>
    <cellStyle name="Separador de milhares 3 13 4 4" xfId="1816" xr:uid="{00000000-0005-0000-0000-000097380000}"/>
    <cellStyle name="Separador de milhares 3 13 4 4 2" xfId="6933" xr:uid="{00000000-0005-0000-0000-000098380000}"/>
    <cellStyle name="Separador de milhares 3 13 4 4 2 2" xfId="10080" xr:uid="{00000000-0005-0000-0000-000099380000}"/>
    <cellStyle name="Separador de milhares 3 13 4 4 2 2 2" xfId="28294" xr:uid="{00000000-0005-0000-0000-00009A380000}"/>
    <cellStyle name="Separador de milhares 3 13 4 4 2 2 2 2" xfId="54475" xr:uid="{00000000-0005-0000-0000-00009B380000}"/>
    <cellStyle name="Separador de milhares 3 13 4 4 2 2 3" xfId="22380" xr:uid="{00000000-0005-0000-0000-00009C380000}"/>
    <cellStyle name="Separador de milhares 3 13 4 4 2 2 3 2" xfId="48567" xr:uid="{00000000-0005-0000-0000-00009D380000}"/>
    <cellStyle name="Separador de milhares 3 13 4 4 2 2 4" xfId="16466" xr:uid="{00000000-0005-0000-0000-00009E380000}"/>
    <cellStyle name="Separador de milhares 3 13 4 4 2 2 4 2" xfId="42659" xr:uid="{00000000-0005-0000-0000-00009F380000}"/>
    <cellStyle name="Separador de milhares 3 13 4 4 2 2 5" xfId="36273" xr:uid="{00000000-0005-0000-0000-0000A0380000}"/>
    <cellStyle name="Separador de milhares 3 13 4 4 2 3" xfId="25337" xr:uid="{00000000-0005-0000-0000-0000A1380000}"/>
    <cellStyle name="Separador de milhares 3 13 4 4 2 3 2" xfId="51521" xr:uid="{00000000-0005-0000-0000-0000A2380000}"/>
    <cellStyle name="Separador de milhares 3 13 4 4 2 4" xfId="19423" xr:uid="{00000000-0005-0000-0000-0000A3380000}"/>
    <cellStyle name="Separador de milhares 3 13 4 4 2 4 2" xfId="45613" xr:uid="{00000000-0005-0000-0000-0000A4380000}"/>
    <cellStyle name="Separador de milhares 3 13 4 4 2 5" xfId="13322" xr:uid="{00000000-0005-0000-0000-0000A5380000}"/>
    <cellStyle name="Separador de milhares 3 13 4 4 2 5 2" xfId="39515" xr:uid="{00000000-0005-0000-0000-0000A6380000}"/>
    <cellStyle name="Separador de milhares 3 13 4 4 2 6" xfId="33129" xr:uid="{00000000-0005-0000-0000-0000A7380000}"/>
    <cellStyle name="Separador de milhares 3 13 4 4 3" xfId="8612" xr:uid="{00000000-0005-0000-0000-0000A8380000}"/>
    <cellStyle name="Separador de milhares 3 13 4 4 3 2" xfId="26826" xr:uid="{00000000-0005-0000-0000-0000A9380000}"/>
    <cellStyle name="Separador de milhares 3 13 4 4 3 2 2" xfId="53007" xr:uid="{00000000-0005-0000-0000-0000AA380000}"/>
    <cellStyle name="Separador de milhares 3 13 4 4 3 3" xfId="20912" xr:uid="{00000000-0005-0000-0000-0000AB380000}"/>
    <cellStyle name="Separador de milhares 3 13 4 4 3 3 2" xfId="47099" xr:uid="{00000000-0005-0000-0000-0000AC380000}"/>
    <cellStyle name="Separador de milhares 3 13 4 4 3 4" xfId="14998" xr:uid="{00000000-0005-0000-0000-0000AD380000}"/>
    <cellStyle name="Separador de milhares 3 13 4 4 3 4 2" xfId="41191" xr:uid="{00000000-0005-0000-0000-0000AE380000}"/>
    <cellStyle name="Separador de milhares 3 13 4 4 3 5" xfId="34805" xr:uid="{00000000-0005-0000-0000-0000AF380000}"/>
    <cellStyle name="Separador de milhares 3 13 4 4 4" xfId="5234" xr:uid="{00000000-0005-0000-0000-0000B0380000}"/>
    <cellStyle name="Separador de milhares 3 13 4 4 4 2" xfId="23869" xr:uid="{00000000-0005-0000-0000-0000B1380000}"/>
    <cellStyle name="Separador de milhares 3 13 4 4 4 2 2" xfId="50053" xr:uid="{00000000-0005-0000-0000-0000B2380000}"/>
    <cellStyle name="Separador de milhares 3 13 4 4 4 3" xfId="31430" xr:uid="{00000000-0005-0000-0000-0000B3380000}"/>
    <cellStyle name="Separador de milhares 3 13 4 4 5" xfId="17955" xr:uid="{00000000-0005-0000-0000-0000B4380000}"/>
    <cellStyle name="Separador de milhares 3 13 4 4 5 2" xfId="44145" xr:uid="{00000000-0005-0000-0000-0000B5380000}"/>
    <cellStyle name="Separador de milhares 3 13 4 4 6" xfId="11621" xr:uid="{00000000-0005-0000-0000-0000B6380000}"/>
    <cellStyle name="Separador de milhares 3 13 4 4 6 2" xfId="37814" xr:uid="{00000000-0005-0000-0000-0000B7380000}"/>
    <cellStyle name="Separador de milhares 3 13 4 4 7" xfId="29732" xr:uid="{00000000-0005-0000-0000-0000B8380000}"/>
    <cellStyle name="Separador de milhares 3 13 4 5" xfId="2346" xr:uid="{00000000-0005-0000-0000-0000B9380000}"/>
    <cellStyle name="Separador de milhares 3 13 4 5 2" xfId="7083" xr:uid="{00000000-0005-0000-0000-0000BA380000}"/>
    <cellStyle name="Separador de milhares 3 13 4 5 2 2" xfId="10227" xr:uid="{00000000-0005-0000-0000-0000BB380000}"/>
    <cellStyle name="Separador de milhares 3 13 4 5 2 2 2" xfId="28441" xr:uid="{00000000-0005-0000-0000-0000BC380000}"/>
    <cellStyle name="Separador de milhares 3 13 4 5 2 2 2 2" xfId="54622" xr:uid="{00000000-0005-0000-0000-0000BD380000}"/>
    <cellStyle name="Separador de milhares 3 13 4 5 2 2 3" xfId="22527" xr:uid="{00000000-0005-0000-0000-0000BE380000}"/>
    <cellStyle name="Separador de milhares 3 13 4 5 2 2 3 2" xfId="48714" xr:uid="{00000000-0005-0000-0000-0000BF380000}"/>
    <cellStyle name="Separador de milhares 3 13 4 5 2 2 4" xfId="16613" xr:uid="{00000000-0005-0000-0000-0000C0380000}"/>
    <cellStyle name="Separador de milhares 3 13 4 5 2 2 4 2" xfId="42806" xr:uid="{00000000-0005-0000-0000-0000C1380000}"/>
    <cellStyle name="Separador de milhares 3 13 4 5 2 2 5" xfId="36420" xr:uid="{00000000-0005-0000-0000-0000C2380000}"/>
    <cellStyle name="Separador de milhares 3 13 4 5 2 3" xfId="25484" xr:uid="{00000000-0005-0000-0000-0000C3380000}"/>
    <cellStyle name="Separador de milhares 3 13 4 5 2 3 2" xfId="51668" xr:uid="{00000000-0005-0000-0000-0000C4380000}"/>
    <cellStyle name="Separador de milhares 3 13 4 5 2 4" xfId="19570" xr:uid="{00000000-0005-0000-0000-0000C5380000}"/>
    <cellStyle name="Separador de milhares 3 13 4 5 2 4 2" xfId="45760" xr:uid="{00000000-0005-0000-0000-0000C6380000}"/>
    <cellStyle name="Separador de milhares 3 13 4 5 2 5" xfId="13472" xr:uid="{00000000-0005-0000-0000-0000C7380000}"/>
    <cellStyle name="Separador de milhares 3 13 4 5 2 5 2" xfId="39665" xr:uid="{00000000-0005-0000-0000-0000C8380000}"/>
    <cellStyle name="Separador de milhares 3 13 4 5 2 6" xfId="33279" xr:uid="{00000000-0005-0000-0000-0000C9380000}"/>
    <cellStyle name="Separador de milhares 3 13 4 5 3" xfId="8759" xr:uid="{00000000-0005-0000-0000-0000CA380000}"/>
    <cellStyle name="Separador de milhares 3 13 4 5 3 2" xfId="26973" xr:uid="{00000000-0005-0000-0000-0000CB380000}"/>
    <cellStyle name="Separador de milhares 3 13 4 5 3 2 2" xfId="53154" xr:uid="{00000000-0005-0000-0000-0000CC380000}"/>
    <cellStyle name="Separador de milhares 3 13 4 5 3 3" xfId="21059" xr:uid="{00000000-0005-0000-0000-0000CD380000}"/>
    <cellStyle name="Separador de milhares 3 13 4 5 3 3 2" xfId="47246" xr:uid="{00000000-0005-0000-0000-0000CE380000}"/>
    <cellStyle name="Separador de milhares 3 13 4 5 3 4" xfId="15145" xr:uid="{00000000-0005-0000-0000-0000CF380000}"/>
    <cellStyle name="Separador de milhares 3 13 4 5 3 4 2" xfId="41338" xr:uid="{00000000-0005-0000-0000-0000D0380000}"/>
    <cellStyle name="Separador de milhares 3 13 4 5 3 5" xfId="34952" xr:uid="{00000000-0005-0000-0000-0000D1380000}"/>
    <cellStyle name="Separador de milhares 3 13 4 5 4" xfId="5384" xr:uid="{00000000-0005-0000-0000-0000D2380000}"/>
    <cellStyle name="Separador de milhares 3 13 4 5 4 2" xfId="24016" xr:uid="{00000000-0005-0000-0000-0000D3380000}"/>
    <cellStyle name="Separador de milhares 3 13 4 5 4 2 2" xfId="50200" xr:uid="{00000000-0005-0000-0000-0000D4380000}"/>
    <cellStyle name="Separador de milhares 3 13 4 5 4 3" xfId="31580" xr:uid="{00000000-0005-0000-0000-0000D5380000}"/>
    <cellStyle name="Separador de milhares 3 13 4 5 5" xfId="18102" xr:uid="{00000000-0005-0000-0000-0000D6380000}"/>
    <cellStyle name="Separador de milhares 3 13 4 5 5 2" xfId="44292" xr:uid="{00000000-0005-0000-0000-0000D7380000}"/>
    <cellStyle name="Separador de milhares 3 13 4 5 6" xfId="11771" xr:uid="{00000000-0005-0000-0000-0000D8380000}"/>
    <cellStyle name="Separador de milhares 3 13 4 5 6 2" xfId="37964" xr:uid="{00000000-0005-0000-0000-0000D9380000}"/>
    <cellStyle name="Separador de milhares 3 13 4 5 7" xfId="29882" xr:uid="{00000000-0005-0000-0000-0000DA380000}"/>
    <cellStyle name="Separador de milhares 3 13 4 6" xfId="2873" xr:uid="{00000000-0005-0000-0000-0000DB380000}"/>
    <cellStyle name="Separador de milhares 3 13 4 6 2" xfId="7230" xr:uid="{00000000-0005-0000-0000-0000DC380000}"/>
    <cellStyle name="Separador de milhares 3 13 4 6 2 2" xfId="10374" xr:uid="{00000000-0005-0000-0000-0000DD380000}"/>
    <cellStyle name="Separador de milhares 3 13 4 6 2 2 2" xfId="28588" xr:uid="{00000000-0005-0000-0000-0000DE380000}"/>
    <cellStyle name="Separador de milhares 3 13 4 6 2 2 2 2" xfId="54769" xr:uid="{00000000-0005-0000-0000-0000DF380000}"/>
    <cellStyle name="Separador de milhares 3 13 4 6 2 2 3" xfId="22674" xr:uid="{00000000-0005-0000-0000-0000E0380000}"/>
    <cellStyle name="Separador de milhares 3 13 4 6 2 2 3 2" xfId="48861" xr:uid="{00000000-0005-0000-0000-0000E1380000}"/>
    <cellStyle name="Separador de milhares 3 13 4 6 2 2 4" xfId="16760" xr:uid="{00000000-0005-0000-0000-0000E2380000}"/>
    <cellStyle name="Separador de milhares 3 13 4 6 2 2 4 2" xfId="42953" xr:uid="{00000000-0005-0000-0000-0000E3380000}"/>
    <cellStyle name="Separador de milhares 3 13 4 6 2 2 5" xfId="36567" xr:uid="{00000000-0005-0000-0000-0000E4380000}"/>
    <cellStyle name="Separador de milhares 3 13 4 6 2 3" xfId="25631" xr:uid="{00000000-0005-0000-0000-0000E5380000}"/>
    <cellStyle name="Separador de milhares 3 13 4 6 2 3 2" xfId="51815" xr:uid="{00000000-0005-0000-0000-0000E6380000}"/>
    <cellStyle name="Separador de milhares 3 13 4 6 2 4" xfId="19717" xr:uid="{00000000-0005-0000-0000-0000E7380000}"/>
    <cellStyle name="Separador de milhares 3 13 4 6 2 4 2" xfId="45907" xr:uid="{00000000-0005-0000-0000-0000E8380000}"/>
    <cellStyle name="Separador de milhares 3 13 4 6 2 5" xfId="13619" xr:uid="{00000000-0005-0000-0000-0000E9380000}"/>
    <cellStyle name="Separador de milhares 3 13 4 6 2 5 2" xfId="39812" xr:uid="{00000000-0005-0000-0000-0000EA380000}"/>
    <cellStyle name="Separador de milhares 3 13 4 6 2 6" xfId="33426" xr:uid="{00000000-0005-0000-0000-0000EB380000}"/>
    <cellStyle name="Separador de milhares 3 13 4 6 3" xfId="8906" xr:uid="{00000000-0005-0000-0000-0000EC380000}"/>
    <cellStyle name="Separador de milhares 3 13 4 6 3 2" xfId="27120" xr:uid="{00000000-0005-0000-0000-0000ED380000}"/>
    <cellStyle name="Separador de milhares 3 13 4 6 3 2 2" xfId="53301" xr:uid="{00000000-0005-0000-0000-0000EE380000}"/>
    <cellStyle name="Separador de milhares 3 13 4 6 3 3" xfId="21206" xr:uid="{00000000-0005-0000-0000-0000EF380000}"/>
    <cellStyle name="Separador de milhares 3 13 4 6 3 3 2" xfId="47393" xr:uid="{00000000-0005-0000-0000-0000F0380000}"/>
    <cellStyle name="Separador de milhares 3 13 4 6 3 4" xfId="15292" xr:uid="{00000000-0005-0000-0000-0000F1380000}"/>
    <cellStyle name="Separador de milhares 3 13 4 6 3 4 2" xfId="41485" xr:uid="{00000000-0005-0000-0000-0000F2380000}"/>
    <cellStyle name="Separador de milhares 3 13 4 6 3 5" xfId="35099" xr:uid="{00000000-0005-0000-0000-0000F3380000}"/>
    <cellStyle name="Separador de milhares 3 13 4 6 4" xfId="5531" xr:uid="{00000000-0005-0000-0000-0000F4380000}"/>
    <cellStyle name="Separador de milhares 3 13 4 6 4 2" xfId="24163" xr:uid="{00000000-0005-0000-0000-0000F5380000}"/>
    <cellStyle name="Separador de milhares 3 13 4 6 4 2 2" xfId="50347" xr:uid="{00000000-0005-0000-0000-0000F6380000}"/>
    <cellStyle name="Separador de milhares 3 13 4 6 4 3" xfId="31727" xr:uid="{00000000-0005-0000-0000-0000F7380000}"/>
    <cellStyle name="Separador de milhares 3 13 4 6 5" xfId="18249" xr:uid="{00000000-0005-0000-0000-0000F8380000}"/>
    <cellStyle name="Separador de milhares 3 13 4 6 5 2" xfId="44439" xr:uid="{00000000-0005-0000-0000-0000F9380000}"/>
    <cellStyle name="Separador de milhares 3 13 4 6 6" xfId="11918" xr:uid="{00000000-0005-0000-0000-0000FA380000}"/>
    <cellStyle name="Separador de milhares 3 13 4 6 6 2" xfId="38111" xr:uid="{00000000-0005-0000-0000-0000FB380000}"/>
    <cellStyle name="Separador de milhares 3 13 4 6 7" xfId="30029" xr:uid="{00000000-0005-0000-0000-0000FC380000}"/>
    <cellStyle name="Separador de milhares 3 13 4 7" xfId="3400" xr:uid="{00000000-0005-0000-0000-0000FD380000}"/>
    <cellStyle name="Separador de milhares 3 13 4 7 2" xfId="7377" xr:uid="{00000000-0005-0000-0000-0000FE380000}"/>
    <cellStyle name="Separador de milhares 3 13 4 7 2 2" xfId="10521" xr:uid="{00000000-0005-0000-0000-0000FF380000}"/>
    <cellStyle name="Separador de milhares 3 13 4 7 2 2 2" xfId="28735" xr:uid="{00000000-0005-0000-0000-000000390000}"/>
    <cellStyle name="Separador de milhares 3 13 4 7 2 2 2 2" xfId="54916" xr:uid="{00000000-0005-0000-0000-000001390000}"/>
    <cellStyle name="Separador de milhares 3 13 4 7 2 2 3" xfId="22821" xr:uid="{00000000-0005-0000-0000-000002390000}"/>
    <cellStyle name="Separador de milhares 3 13 4 7 2 2 3 2" xfId="49008" xr:uid="{00000000-0005-0000-0000-000003390000}"/>
    <cellStyle name="Separador de milhares 3 13 4 7 2 2 4" xfId="16907" xr:uid="{00000000-0005-0000-0000-000004390000}"/>
    <cellStyle name="Separador de milhares 3 13 4 7 2 2 4 2" xfId="43100" xr:uid="{00000000-0005-0000-0000-000005390000}"/>
    <cellStyle name="Separador de milhares 3 13 4 7 2 2 5" xfId="36714" xr:uid="{00000000-0005-0000-0000-000006390000}"/>
    <cellStyle name="Separador de milhares 3 13 4 7 2 3" xfId="25778" xr:uid="{00000000-0005-0000-0000-000007390000}"/>
    <cellStyle name="Separador de milhares 3 13 4 7 2 3 2" xfId="51962" xr:uid="{00000000-0005-0000-0000-000008390000}"/>
    <cellStyle name="Separador de milhares 3 13 4 7 2 4" xfId="19864" xr:uid="{00000000-0005-0000-0000-000009390000}"/>
    <cellStyle name="Separador de milhares 3 13 4 7 2 4 2" xfId="46054" xr:uid="{00000000-0005-0000-0000-00000A390000}"/>
    <cellStyle name="Separador de milhares 3 13 4 7 2 5" xfId="13766" xr:uid="{00000000-0005-0000-0000-00000B390000}"/>
    <cellStyle name="Separador de milhares 3 13 4 7 2 5 2" xfId="39959" xr:uid="{00000000-0005-0000-0000-00000C390000}"/>
    <cellStyle name="Separador de milhares 3 13 4 7 2 6" xfId="33573" xr:uid="{00000000-0005-0000-0000-00000D390000}"/>
    <cellStyle name="Separador de milhares 3 13 4 7 3" xfId="9053" xr:uid="{00000000-0005-0000-0000-00000E390000}"/>
    <cellStyle name="Separador de milhares 3 13 4 7 3 2" xfId="27267" xr:uid="{00000000-0005-0000-0000-00000F390000}"/>
    <cellStyle name="Separador de milhares 3 13 4 7 3 2 2" xfId="53448" xr:uid="{00000000-0005-0000-0000-000010390000}"/>
    <cellStyle name="Separador de milhares 3 13 4 7 3 3" xfId="21353" xr:uid="{00000000-0005-0000-0000-000011390000}"/>
    <cellStyle name="Separador de milhares 3 13 4 7 3 3 2" xfId="47540" xr:uid="{00000000-0005-0000-0000-000012390000}"/>
    <cellStyle name="Separador de milhares 3 13 4 7 3 4" xfId="15439" xr:uid="{00000000-0005-0000-0000-000013390000}"/>
    <cellStyle name="Separador de milhares 3 13 4 7 3 4 2" xfId="41632" xr:uid="{00000000-0005-0000-0000-000014390000}"/>
    <cellStyle name="Separador de milhares 3 13 4 7 3 5" xfId="35246" xr:uid="{00000000-0005-0000-0000-000015390000}"/>
    <cellStyle name="Separador de milhares 3 13 4 7 4" xfId="5678" xr:uid="{00000000-0005-0000-0000-000016390000}"/>
    <cellStyle name="Separador de milhares 3 13 4 7 4 2" xfId="24310" xr:uid="{00000000-0005-0000-0000-000017390000}"/>
    <cellStyle name="Separador de milhares 3 13 4 7 4 2 2" xfId="50494" xr:uid="{00000000-0005-0000-0000-000018390000}"/>
    <cellStyle name="Separador de milhares 3 13 4 7 4 3" xfId="31874" xr:uid="{00000000-0005-0000-0000-000019390000}"/>
    <cellStyle name="Separador de milhares 3 13 4 7 5" xfId="18396" xr:uid="{00000000-0005-0000-0000-00001A390000}"/>
    <cellStyle name="Separador de milhares 3 13 4 7 5 2" xfId="44586" xr:uid="{00000000-0005-0000-0000-00001B390000}"/>
    <cellStyle name="Separador de milhares 3 13 4 7 6" xfId="12065" xr:uid="{00000000-0005-0000-0000-00001C390000}"/>
    <cellStyle name="Separador de milhares 3 13 4 7 6 2" xfId="38258" xr:uid="{00000000-0005-0000-0000-00001D390000}"/>
    <cellStyle name="Separador de milhares 3 13 4 7 7" xfId="30176" xr:uid="{00000000-0005-0000-0000-00001E390000}"/>
    <cellStyle name="Separador de milhares 3 13 4 8" xfId="3927" xr:uid="{00000000-0005-0000-0000-00001F390000}"/>
    <cellStyle name="Separador de milhares 3 13 4 8 2" xfId="7524" xr:uid="{00000000-0005-0000-0000-000020390000}"/>
    <cellStyle name="Separador de milhares 3 13 4 8 2 2" xfId="10668" xr:uid="{00000000-0005-0000-0000-000021390000}"/>
    <cellStyle name="Separador de milhares 3 13 4 8 2 2 2" xfId="28882" xr:uid="{00000000-0005-0000-0000-000022390000}"/>
    <cellStyle name="Separador de milhares 3 13 4 8 2 2 2 2" xfId="55063" xr:uid="{00000000-0005-0000-0000-000023390000}"/>
    <cellStyle name="Separador de milhares 3 13 4 8 2 2 3" xfId="22968" xr:uid="{00000000-0005-0000-0000-000024390000}"/>
    <cellStyle name="Separador de milhares 3 13 4 8 2 2 3 2" xfId="49155" xr:uid="{00000000-0005-0000-0000-000025390000}"/>
    <cellStyle name="Separador de milhares 3 13 4 8 2 2 4" xfId="17054" xr:uid="{00000000-0005-0000-0000-000026390000}"/>
    <cellStyle name="Separador de milhares 3 13 4 8 2 2 4 2" xfId="43247" xr:uid="{00000000-0005-0000-0000-000027390000}"/>
    <cellStyle name="Separador de milhares 3 13 4 8 2 2 5" xfId="36861" xr:uid="{00000000-0005-0000-0000-000028390000}"/>
    <cellStyle name="Separador de milhares 3 13 4 8 2 3" xfId="25925" xr:uid="{00000000-0005-0000-0000-000029390000}"/>
    <cellStyle name="Separador de milhares 3 13 4 8 2 3 2" xfId="52109" xr:uid="{00000000-0005-0000-0000-00002A390000}"/>
    <cellStyle name="Separador de milhares 3 13 4 8 2 4" xfId="20011" xr:uid="{00000000-0005-0000-0000-00002B390000}"/>
    <cellStyle name="Separador de milhares 3 13 4 8 2 4 2" xfId="46201" xr:uid="{00000000-0005-0000-0000-00002C390000}"/>
    <cellStyle name="Separador de milhares 3 13 4 8 2 5" xfId="13913" xr:uid="{00000000-0005-0000-0000-00002D390000}"/>
    <cellStyle name="Separador de milhares 3 13 4 8 2 5 2" xfId="40106" xr:uid="{00000000-0005-0000-0000-00002E390000}"/>
    <cellStyle name="Separador de milhares 3 13 4 8 2 6" xfId="33720" xr:uid="{00000000-0005-0000-0000-00002F390000}"/>
    <cellStyle name="Separador de milhares 3 13 4 8 3" xfId="9200" xr:uid="{00000000-0005-0000-0000-000030390000}"/>
    <cellStyle name="Separador de milhares 3 13 4 8 3 2" xfId="27414" xr:uid="{00000000-0005-0000-0000-000031390000}"/>
    <cellStyle name="Separador de milhares 3 13 4 8 3 2 2" xfId="53595" xr:uid="{00000000-0005-0000-0000-000032390000}"/>
    <cellStyle name="Separador de milhares 3 13 4 8 3 3" xfId="21500" xr:uid="{00000000-0005-0000-0000-000033390000}"/>
    <cellStyle name="Separador de milhares 3 13 4 8 3 3 2" xfId="47687" xr:uid="{00000000-0005-0000-0000-000034390000}"/>
    <cellStyle name="Separador de milhares 3 13 4 8 3 4" xfId="15586" xr:uid="{00000000-0005-0000-0000-000035390000}"/>
    <cellStyle name="Separador de milhares 3 13 4 8 3 4 2" xfId="41779" xr:uid="{00000000-0005-0000-0000-000036390000}"/>
    <cellStyle name="Separador de milhares 3 13 4 8 3 5" xfId="35393" xr:uid="{00000000-0005-0000-0000-000037390000}"/>
    <cellStyle name="Separador de milhares 3 13 4 8 4" xfId="5825" xr:uid="{00000000-0005-0000-0000-000038390000}"/>
    <cellStyle name="Separador de milhares 3 13 4 8 4 2" xfId="24457" xr:uid="{00000000-0005-0000-0000-000039390000}"/>
    <cellStyle name="Separador de milhares 3 13 4 8 4 2 2" xfId="50641" xr:uid="{00000000-0005-0000-0000-00003A390000}"/>
    <cellStyle name="Separador de milhares 3 13 4 8 4 3" xfId="32021" xr:uid="{00000000-0005-0000-0000-00003B390000}"/>
    <cellStyle name="Separador de milhares 3 13 4 8 5" xfId="18543" xr:uid="{00000000-0005-0000-0000-00003C390000}"/>
    <cellStyle name="Separador de milhares 3 13 4 8 5 2" xfId="44733" xr:uid="{00000000-0005-0000-0000-00003D390000}"/>
    <cellStyle name="Separador de milhares 3 13 4 8 6" xfId="12212" xr:uid="{00000000-0005-0000-0000-00003E390000}"/>
    <cellStyle name="Separador de milhares 3 13 4 8 6 2" xfId="38405" xr:uid="{00000000-0005-0000-0000-00003F390000}"/>
    <cellStyle name="Separador de milhares 3 13 4 8 7" xfId="30323" xr:uid="{00000000-0005-0000-0000-000040390000}"/>
    <cellStyle name="Separador de milhares 3 13 4 9" xfId="683" xr:uid="{00000000-0005-0000-0000-000041390000}"/>
    <cellStyle name="Separador de milhares 3 13 4 9 2" xfId="6618" xr:uid="{00000000-0005-0000-0000-000042390000}"/>
    <cellStyle name="Separador de milhares 3 13 4 9 2 2" xfId="9765" xr:uid="{00000000-0005-0000-0000-000043390000}"/>
    <cellStyle name="Separador de milhares 3 13 4 9 2 2 2" xfId="27979" xr:uid="{00000000-0005-0000-0000-000044390000}"/>
    <cellStyle name="Separador de milhares 3 13 4 9 2 2 2 2" xfId="54160" xr:uid="{00000000-0005-0000-0000-000045390000}"/>
    <cellStyle name="Separador de milhares 3 13 4 9 2 2 3" xfId="22065" xr:uid="{00000000-0005-0000-0000-000046390000}"/>
    <cellStyle name="Separador de milhares 3 13 4 9 2 2 3 2" xfId="48252" xr:uid="{00000000-0005-0000-0000-000047390000}"/>
    <cellStyle name="Separador de milhares 3 13 4 9 2 2 4" xfId="16151" xr:uid="{00000000-0005-0000-0000-000048390000}"/>
    <cellStyle name="Separador de milhares 3 13 4 9 2 2 4 2" xfId="42344" xr:uid="{00000000-0005-0000-0000-000049390000}"/>
    <cellStyle name="Separador de milhares 3 13 4 9 2 2 5" xfId="35958" xr:uid="{00000000-0005-0000-0000-00004A390000}"/>
    <cellStyle name="Separador de milhares 3 13 4 9 2 3" xfId="25022" xr:uid="{00000000-0005-0000-0000-00004B390000}"/>
    <cellStyle name="Separador de milhares 3 13 4 9 2 3 2" xfId="51206" xr:uid="{00000000-0005-0000-0000-00004C390000}"/>
    <cellStyle name="Separador de milhares 3 13 4 9 2 4" xfId="19108" xr:uid="{00000000-0005-0000-0000-00004D390000}"/>
    <cellStyle name="Separador de milhares 3 13 4 9 2 4 2" xfId="45298" xr:uid="{00000000-0005-0000-0000-00004E390000}"/>
    <cellStyle name="Separador de milhares 3 13 4 9 2 5" xfId="13007" xr:uid="{00000000-0005-0000-0000-00004F390000}"/>
    <cellStyle name="Separador de milhares 3 13 4 9 2 5 2" xfId="39200" xr:uid="{00000000-0005-0000-0000-000050390000}"/>
    <cellStyle name="Separador de milhares 3 13 4 9 2 6" xfId="32814" xr:uid="{00000000-0005-0000-0000-000051390000}"/>
    <cellStyle name="Separador de milhares 3 13 4 9 3" xfId="8297" xr:uid="{00000000-0005-0000-0000-000052390000}"/>
    <cellStyle name="Separador de milhares 3 13 4 9 3 2" xfId="26511" xr:uid="{00000000-0005-0000-0000-000053390000}"/>
    <cellStyle name="Separador de milhares 3 13 4 9 3 2 2" xfId="52692" xr:uid="{00000000-0005-0000-0000-000054390000}"/>
    <cellStyle name="Separador de milhares 3 13 4 9 3 3" xfId="20597" xr:uid="{00000000-0005-0000-0000-000055390000}"/>
    <cellStyle name="Separador de milhares 3 13 4 9 3 3 2" xfId="46784" xr:uid="{00000000-0005-0000-0000-000056390000}"/>
    <cellStyle name="Separador de milhares 3 13 4 9 3 4" xfId="14683" xr:uid="{00000000-0005-0000-0000-000057390000}"/>
    <cellStyle name="Separador de milhares 3 13 4 9 3 4 2" xfId="40876" xr:uid="{00000000-0005-0000-0000-000058390000}"/>
    <cellStyle name="Separador de milhares 3 13 4 9 3 5" xfId="34490" xr:uid="{00000000-0005-0000-0000-000059390000}"/>
    <cellStyle name="Separador de milhares 3 13 4 9 4" xfId="4919" xr:uid="{00000000-0005-0000-0000-00005A390000}"/>
    <cellStyle name="Separador de milhares 3 13 4 9 4 2" xfId="23554" xr:uid="{00000000-0005-0000-0000-00005B390000}"/>
    <cellStyle name="Separador de milhares 3 13 4 9 4 2 2" xfId="49738" xr:uid="{00000000-0005-0000-0000-00005C390000}"/>
    <cellStyle name="Separador de milhares 3 13 4 9 4 3" xfId="31115" xr:uid="{00000000-0005-0000-0000-00005D390000}"/>
    <cellStyle name="Separador de milhares 3 13 4 9 5" xfId="17640" xr:uid="{00000000-0005-0000-0000-00005E390000}"/>
    <cellStyle name="Separador de milhares 3 13 4 9 5 2" xfId="43830" xr:uid="{00000000-0005-0000-0000-00005F390000}"/>
    <cellStyle name="Separador de milhares 3 13 4 9 6" xfId="11306" xr:uid="{00000000-0005-0000-0000-000060390000}"/>
    <cellStyle name="Separador de milhares 3 13 4 9 6 2" xfId="37499" xr:uid="{00000000-0005-0000-0000-000061390000}"/>
    <cellStyle name="Separador de milhares 3 13 4 9 7" xfId="29417" xr:uid="{00000000-0005-0000-0000-000062390000}"/>
    <cellStyle name="Separador de milhares 3 13 5" xfId="642" xr:uid="{00000000-0005-0000-0000-000063390000}"/>
    <cellStyle name="Separador de milhares 3 13 5 10" xfId="4883" xr:uid="{00000000-0005-0000-0000-000064390000}"/>
    <cellStyle name="Separador de milhares 3 13 5 10 2" xfId="23517" xr:uid="{00000000-0005-0000-0000-000065390000}"/>
    <cellStyle name="Separador de milhares 3 13 5 10 2 2" xfId="49704" xr:uid="{00000000-0005-0000-0000-000066390000}"/>
    <cellStyle name="Separador de milhares 3 13 5 10 3" xfId="31081" xr:uid="{00000000-0005-0000-0000-000067390000}"/>
    <cellStyle name="Separador de milhares 3 13 5 11" xfId="17603" xr:uid="{00000000-0005-0000-0000-000068390000}"/>
    <cellStyle name="Separador de milhares 3 13 5 11 2" xfId="43796" xr:uid="{00000000-0005-0000-0000-000069390000}"/>
    <cellStyle name="Separador de milhares 3 13 5 12" xfId="11272" xr:uid="{00000000-0005-0000-0000-00006A390000}"/>
    <cellStyle name="Separador de milhares 3 13 5 12 2" xfId="37465" xr:uid="{00000000-0005-0000-0000-00006B390000}"/>
    <cellStyle name="Separador de milhares 3 13 5 13" xfId="29383" xr:uid="{00000000-0005-0000-0000-00006C390000}"/>
    <cellStyle name="Separador de milhares 3 13 5 2" xfId="1465" xr:uid="{00000000-0005-0000-0000-00006D390000}"/>
    <cellStyle name="Separador de milhares 3 13 5 2 2" xfId="6835" xr:uid="{00000000-0005-0000-0000-00006E390000}"/>
    <cellStyle name="Separador de milhares 3 13 5 2 2 2" xfId="9982" xr:uid="{00000000-0005-0000-0000-00006F390000}"/>
    <cellStyle name="Separador de milhares 3 13 5 2 2 2 2" xfId="28196" xr:uid="{00000000-0005-0000-0000-000070390000}"/>
    <cellStyle name="Separador de milhares 3 13 5 2 2 2 2 2" xfId="54377" xr:uid="{00000000-0005-0000-0000-000071390000}"/>
    <cellStyle name="Separador de milhares 3 13 5 2 2 2 3" xfId="22282" xr:uid="{00000000-0005-0000-0000-000072390000}"/>
    <cellStyle name="Separador de milhares 3 13 5 2 2 2 3 2" xfId="48469" xr:uid="{00000000-0005-0000-0000-000073390000}"/>
    <cellStyle name="Separador de milhares 3 13 5 2 2 2 4" xfId="16368" xr:uid="{00000000-0005-0000-0000-000074390000}"/>
    <cellStyle name="Separador de milhares 3 13 5 2 2 2 4 2" xfId="42561" xr:uid="{00000000-0005-0000-0000-000075390000}"/>
    <cellStyle name="Separador de milhares 3 13 5 2 2 2 5" xfId="36175" xr:uid="{00000000-0005-0000-0000-000076390000}"/>
    <cellStyle name="Separador de milhares 3 13 5 2 2 3" xfId="25239" xr:uid="{00000000-0005-0000-0000-000077390000}"/>
    <cellStyle name="Separador de milhares 3 13 5 2 2 3 2" xfId="51423" xr:uid="{00000000-0005-0000-0000-000078390000}"/>
    <cellStyle name="Separador de milhares 3 13 5 2 2 4" xfId="19325" xr:uid="{00000000-0005-0000-0000-000079390000}"/>
    <cellStyle name="Separador de milhares 3 13 5 2 2 4 2" xfId="45515" xr:uid="{00000000-0005-0000-0000-00007A390000}"/>
    <cellStyle name="Separador de milhares 3 13 5 2 2 5" xfId="13224" xr:uid="{00000000-0005-0000-0000-00007B390000}"/>
    <cellStyle name="Separador de milhares 3 13 5 2 2 5 2" xfId="39417" xr:uid="{00000000-0005-0000-0000-00007C390000}"/>
    <cellStyle name="Separador de milhares 3 13 5 2 2 6" xfId="33031" xr:uid="{00000000-0005-0000-0000-00007D390000}"/>
    <cellStyle name="Separador de milhares 3 13 5 2 3" xfId="8514" xr:uid="{00000000-0005-0000-0000-00007E390000}"/>
    <cellStyle name="Separador de milhares 3 13 5 2 3 2" xfId="26728" xr:uid="{00000000-0005-0000-0000-00007F390000}"/>
    <cellStyle name="Separador de milhares 3 13 5 2 3 2 2" xfId="52909" xr:uid="{00000000-0005-0000-0000-000080390000}"/>
    <cellStyle name="Separador de milhares 3 13 5 2 3 3" xfId="20814" xr:uid="{00000000-0005-0000-0000-000081390000}"/>
    <cellStyle name="Separador de milhares 3 13 5 2 3 3 2" xfId="47001" xr:uid="{00000000-0005-0000-0000-000082390000}"/>
    <cellStyle name="Separador de milhares 3 13 5 2 3 4" xfId="14900" xr:uid="{00000000-0005-0000-0000-000083390000}"/>
    <cellStyle name="Separador de milhares 3 13 5 2 3 4 2" xfId="41093" xr:uid="{00000000-0005-0000-0000-000084390000}"/>
    <cellStyle name="Separador de milhares 3 13 5 2 3 5" xfId="34707" xr:uid="{00000000-0005-0000-0000-000085390000}"/>
    <cellStyle name="Separador de milhares 3 13 5 2 4" xfId="5136" xr:uid="{00000000-0005-0000-0000-000086390000}"/>
    <cellStyle name="Separador de milhares 3 13 5 2 4 2" xfId="23771" xr:uid="{00000000-0005-0000-0000-000087390000}"/>
    <cellStyle name="Separador de milhares 3 13 5 2 4 2 2" xfId="49955" xr:uid="{00000000-0005-0000-0000-000088390000}"/>
    <cellStyle name="Separador de milhares 3 13 5 2 4 3" xfId="31332" xr:uid="{00000000-0005-0000-0000-000089390000}"/>
    <cellStyle name="Separador de milhares 3 13 5 2 5" xfId="17857" xr:uid="{00000000-0005-0000-0000-00008A390000}"/>
    <cellStyle name="Separador de milhares 3 13 5 2 5 2" xfId="44047" xr:uid="{00000000-0005-0000-0000-00008B390000}"/>
    <cellStyle name="Separador de milhares 3 13 5 2 6" xfId="11523" xr:uid="{00000000-0005-0000-0000-00008C390000}"/>
    <cellStyle name="Separador de milhares 3 13 5 2 6 2" xfId="37716" xr:uid="{00000000-0005-0000-0000-00008D390000}"/>
    <cellStyle name="Separador de milhares 3 13 5 2 7" xfId="29634" xr:uid="{00000000-0005-0000-0000-00008E390000}"/>
    <cellStyle name="Separador de milhares 3 13 5 3" xfId="1900" xr:uid="{00000000-0005-0000-0000-00008F390000}"/>
    <cellStyle name="Separador de milhares 3 13 5 3 2" xfId="6954" xr:uid="{00000000-0005-0000-0000-000090390000}"/>
    <cellStyle name="Separador de milhares 3 13 5 3 2 2" xfId="10101" xr:uid="{00000000-0005-0000-0000-000091390000}"/>
    <cellStyle name="Separador de milhares 3 13 5 3 2 2 2" xfId="28315" xr:uid="{00000000-0005-0000-0000-000092390000}"/>
    <cellStyle name="Separador de milhares 3 13 5 3 2 2 2 2" xfId="54496" xr:uid="{00000000-0005-0000-0000-000093390000}"/>
    <cellStyle name="Separador de milhares 3 13 5 3 2 2 3" xfId="22401" xr:uid="{00000000-0005-0000-0000-000094390000}"/>
    <cellStyle name="Separador de milhares 3 13 5 3 2 2 3 2" xfId="48588" xr:uid="{00000000-0005-0000-0000-000095390000}"/>
    <cellStyle name="Separador de milhares 3 13 5 3 2 2 4" xfId="16487" xr:uid="{00000000-0005-0000-0000-000096390000}"/>
    <cellStyle name="Separador de milhares 3 13 5 3 2 2 4 2" xfId="42680" xr:uid="{00000000-0005-0000-0000-000097390000}"/>
    <cellStyle name="Separador de milhares 3 13 5 3 2 2 5" xfId="36294" xr:uid="{00000000-0005-0000-0000-000098390000}"/>
    <cellStyle name="Separador de milhares 3 13 5 3 2 3" xfId="25358" xr:uid="{00000000-0005-0000-0000-000099390000}"/>
    <cellStyle name="Separador de milhares 3 13 5 3 2 3 2" xfId="51542" xr:uid="{00000000-0005-0000-0000-00009A390000}"/>
    <cellStyle name="Separador de milhares 3 13 5 3 2 4" xfId="19444" xr:uid="{00000000-0005-0000-0000-00009B390000}"/>
    <cellStyle name="Separador de milhares 3 13 5 3 2 4 2" xfId="45634" xr:uid="{00000000-0005-0000-0000-00009C390000}"/>
    <cellStyle name="Separador de milhares 3 13 5 3 2 5" xfId="13343" xr:uid="{00000000-0005-0000-0000-00009D390000}"/>
    <cellStyle name="Separador de milhares 3 13 5 3 2 5 2" xfId="39536" xr:uid="{00000000-0005-0000-0000-00009E390000}"/>
    <cellStyle name="Separador de milhares 3 13 5 3 2 6" xfId="33150" xr:uid="{00000000-0005-0000-0000-00009F390000}"/>
    <cellStyle name="Separador de milhares 3 13 5 3 3" xfId="8633" xr:uid="{00000000-0005-0000-0000-0000A0390000}"/>
    <cellStyle name="Separador de milhares 3 13 5 3 3 2" xfId="26847" xr:uid="{00000000-0005-0000-0000-0000A1390000}"/>
    <cellStyle name="Separador de milhares 3 13 5 3 3 2 2" xfId="53028" xr:uid="{00000000-0005-0000-0000-0000A2390000}"/>
    <cellStyle name="Separador de milhares 3 13 5 3 3 3" xfId="20933" xr:uid="{00000000-0005-0000-0000-0000A3390000}"/>
    <cellStyle name="Separador de milhares 3 13 5 3 3 3 2" xfId="47120" xr:uid="{00000000-0005-0000-0000-0000A4390000}"/>
    <cellStyle name="Separador de milhares 3 13 5 3 3 4" xfId="15019" xr:uid="{00000000-0005-0000-0000-0000A5390000}"/>
    <cellStyle name="Separador de milhares 3 13 5 3 3 4 2" xfId="41212" xr:uid="{00000000-0005-0000-0000-0000A6390000}"/>
    <cellStyle name="Separador de milhares 3 13 5 3 3 5" xfId="34826" xr:uid="{00000000-0005-0000-0000-0000A7390000}"/>
    <cellStyle name="Separador de milhares 3 13 5 3 4" xfId="5255" xr:uid="{00000000-0005-0000-0000-0000A8390000}"/>
    <cellStyle name="Separador de milhares 3 13 5 3 4 2" xfId="23890" xr:uid="{00000000-0005-0000-0000-0000A9390000}"/>
    <cellStyle name="Separador de milhares 3 13 5 3 4 2 2" xfId="50074" xr:uid="{00000000-0005-0000-0000-0000AA390000}"/>
    <cellStyle name="Separador de milhares 3 13 5 3 4 3" xfId="31451" xr:uid="{00000000-0005-0000-0000-0000AB390000}"/>
    <cellStyle name="Separador de milhares 3 13 5 3 5" xfId="17976" xr:uid="{00000000-0005-0000-0000-0000AC390000}"/>
    <cellStyle name="Separador de milhares 3 13 5 3 5 2" xfId="44166" xr:uid="{00000000-0005-0000-0000-0000AD390000}"/>
    <cellStyle name="Separador de milhares 3 13 5 3 6" xfId="11642" xr:uid="{00000000-0005-0000-0000-0000AE390000}"/>
    <cellStyle name="Separador de milhares 3 13 5 3 6 2" xfId="37835" xr:uid="{00000000-0005-0000-0000-0000AF390000}"/>
    <cellStyle name="Separador de milhares 3 13 5 3 7" xfId="29753" xr:uid="{00000000-0005-0000-0000-0000B0390000}"/>
    <cellStyle name="Separador de milhares 3 13 5 4" xfId="2430" xr:uid="{00000000-0005-0000-0000-0000B1390000}"/>
    <cellStyle name="Separador de milhares 3 13 5 4 2" xfId="7104" xr:uid="{00000000-0005-0000-0000-0000B2390000}"/>
    <cellStyle name="Separador de milhares 3 13 5 4 2 2" xfId="10248" xr:uid="{00000000-0005-0000-0000-0000B3390000}"/>
    <cellStyle name="Separador de milhares 3 13 5 4 2 2 2" xfId="28462" xr:uid="{00000000-0005-0000-0000-0000B4390000}"/>
    <cellStyle name="Separador de milhares 3 13 5 4 2 2 2 2" xfId="54643" xr:uid="{00000000-0005-0000-0000-0000B5390000}"/>
    <cellStyle name="Separador de milhares 3 13 5 4 2 2 3" xfId="22548" xr:uid="{00000000-0005-0000-0000-0000B6390000}"/>
    <cellStyle name="Separador de milhares 3 13 5 4 2 2 3 2" xfId="48735" xr:uid="{00000000-0005-0000-0000-0000B7390000}"/>
    <cellStyle name="Separador de milhares 3 13 5 4 2 2 4" xfId="16634" xr:uid="{00000000-0005-0000-0000-0000B8390000}"/>
    <cellStyle name="Separador de milhares 3 13 5 4 2 2 4 2" xfId="42827" xr:uid="{00000000-0005-0000-0000-0000B9390000}"/>
    <cellStyle name="Separador de milhares 3 13 5 4 2 2 5" xfId="36441" xr:uid="{00000000-0005-0000-0000-0000BA390000}"/>
    <cellStyle name="Separador de milhares 3 13 5 4 2 3" xfId="25505" xr:uid="{00000000-0005-0000-0000-0000BB390000}"/>
    <cellStyle name="Separador de milhares 3 13 5 4 2 3 2" xfId="51689" xr:uid="{00000000-0005-0000-0000-0000BC390000}"/>
    <cellStyle name="Separador de milhares 3 13 5 4 2 4" xfId="19591" xr:uid="{00000000-0005-0000-0000-0000BD390000}"/>
    <cellStyle name="Separador de milhares 3 13 5 4 2 4 2" xfId="45781" xr:uid="{00000000-0005-0000-0000-0000BE390000}"/>
    <cellStyle name="Separador de milhares 3 13 5 4 2 5" xfId="13493" xr:uid="{00000000-0005-0000-0000-0000BF390000}"/>
    <cellStyle name="Separador de milhares 3 13 5 4 2 5 2" xfId="39686" xr:uid="{00000000-0005-0000-0000-0000C0390000}"/>
    <cellStyle name="Separador de milhares 3 13 5 4 2 6" xfId="33300" xr:uid="{00000000-0005-0000-0000-0000C1390000}"/>
    <cellStyle name="Separador de milhares 3 13 5 4 3" xfId="8780" xr:uid="{00000000-0005-0000-0000-0000C2390000}"/>
    <cellStyle name="Separador de milhares 3 13 5 4 3 2" xfId="26994" xr:uid="{00000000-0005-0000-0000-0000C3390000}"/>
    <cellStyle name="Separador de milhares 3 13 5 4 3 2 2" xfId="53175" xr:uid="{00000000-0005-0000-0000-0000C4390000}"/>
    <cellStyle name="Separador de milhares 3 13 5 4 3 3" xfId="21080" xr:uid="{00000000-0005-0000-0000-0000C5390000}"/>
    <cellStyle name="Separador de milhares 3 13 5 4 3 3 2" xfId="47267" xr:uid="{00000000-0005-0000-0000-0000C6390000}"/>
    <cellStyle name="Separador de milhares 3 13 5 4 3 4" xfId="15166" xr:uid="{00000000-0005-0000-0000-0000C7390000}"/>
    <cellStyle name="Separador de milhares 3 13 5 4 3 4 2" xfId="41359" xr:uid="{00000000-0005-0000-0000-0000C8390000}"/>
    <cellStyle name="Separador de milhares 3 13 5 4 3 5" xfId="34973" xr:uid="{00000000-0005-0000-0000-0000C9390000}"/>
    <cellStyle name="Separador de milhares 3 13 5 4 4" xfId="5405" xr:uid="{00000000-0005-0000-0000-0000CA390000}"/>
    <cellStyle name="Separador de milhares 3 13 5 4 4 2" xfId="24037" xr:uid="{00000000-0005-0000-0000-0000CB390000}"/>
    <cellStyle name="Separador de milhares 3 13 5 4 4 2 2" xfId="50221" xr:uid="{00000000-0005-0000-0000-0000CC390000}"/>
    <cellStyle name="Separador de milhares 3 13 5 4 4 3" xfId="31601" xr:uid="{00000000-0005-0000-0000-0000CD390000}"/>
    <cellStyle name="Separador de milhares 3 13 5 4 5" xfId="18123" xr:uid="{00000000-0005-0000-0000-0000CE390000}"/>
    <cellStyle name="Separador de milhares 3 13 5 4 5 2" xfId="44313" xr:uid="{00000000-0005-0000-0000-0000CF390000}"/>
    <cellStyle name="Separador de milhares 3 13 5 4 6" xfId="11792" xr:uid="{00000000-0005-0000-0000-0000D0390000}"/>
    <cellStyle name="Separador de milhares 3 13 5 4 6 2" xfId="37985" xr:uid="{00000000-0005-0000-0000-0000D1390000}"/>
    <cellStyle name="Separador de milhares 3 13 5 4 7" xfId="29903" xr:uid="{00000000-0005-0000-0000-0000D2390000}"/>
    <cellStyle name="Separador de milhares 3 13 5 5" xfId="2957" xr:uid="{00000000-0005-0000-0000-0000D3390000}"/>
    <cellStyle name="Separador de milhares 3 13 5 5 2" xfId="7251" xr:uid="{00000000-0005-0000-0000-0000D4390000}"/>
    <cellStyle name="Separador de milhares 3 13 5 5 2 2" xfId="10395" xr:uid="{00000000-0005-0000-0000-0000D5390000}"/>
    <cellStyle name="Separador de milhares 3 13 5 5 2 2 2" xfId="28609" xr:uid="{00000000-0005-0000-0000-0000D6390000}"/>
    <cellStyle name="Separador de milhares 3 13 5 5 2 2 2 2" xfId="54790" xr:uid="{00000000-0005-0000-0000-0000D7390000}"/>
    <cellStyle name="Separador de milhares 3 13 5 5 2 2 3" xfId="22695" xr:uid="{00000000-0005-0000-0000-0000D8390000}"/>
    <cellStyle name="Separador de milhares 3 13 5 5 2 2 3 2" xfId="48882" xr:uid="{00000000-0005-0000-0000-0000D9390000}"/>
    <cellStyle name="Separador de milhares 3 13 5 5 2 2 4" xfId="16781" xr:uid="{00000000-0005-0000-0000-0000DA390000}"/>
    <cellStyle name="Separador de milhares 3 13 5 5 2 2 4 2" xfId="42974" xr:uid="{00000000-0005-0000-0000-0000DB390000}"/>
    <cellStyle name="Separador de milhares 3 13 5 5 2 2 5" xfId="36588" xr:uid="{00000000-0005-0000-0000-0000DC390000}"/>
    <cellStyle name="Separador de milhares 3 13 5 5 2 3" xfId="25652" xr:uid="{00000000-0005-0000-0000-0000DD390000}"/>
    <cellStyle name="Separador de milhares 3 13 5 5 2 3 2" xfId="51836" xr:uid="{00000000-0005-0000-0000-0000DE390000}"/>
    <cellStyle name="Separador de milhares 3 13 5 5 2 4" xfId="19738" xr:uid="{00000000-0005-0000-0000-0000DF390000}"/>
    <cellStyle name="Separador de milhares 3 13 5 5 2 4 2" xfId="45928" xr:uid="{00000000-0005-0000-0000-0000E0390000}"/>
    <cellStyle name="Separador de milhares 3 13 5 5 2 5" xfId="13640" xr:uid="{00000000-0005-0000-0000-0000E1390000}"/>
    <cellStyle name="Separador de milhares 3 13 5 5 2 5 2" xfId="39833" xr:uid="{00000000-0005-0000-0000-0000E2390000}"/>
    <cellStyle name="Separador de milhares 3 13 5 5 2 6" xfId="33447" xr:uid="{00000000-0005-0000-0000-0000E3390000}"/>
    <cellStyle name="Separador de milhares 3 13 5 5 3" xfId="8927" xr:uid="{00000000-0005-0000-0000-0000E4390000}"/>
    <cellStyle name="Separador de milhares 3 13 5 5 3 2" xfId="27141" xr:uid="{00000000-0005-0000-0000-0000E5390000}"/>
    <cellStyle name="Separador de milhares 3 13 5 5 3 2 2" xfId="53322" xr:uid="{00000000-0005-0000-0000-0000E6390000}"/>
    <cellStyle name="Separador de milhares 3 13 5 5 3 3" xfId="21227" xr:uid="{00000000-0005-0000-0000-0000E7390000}"/>
    <cellStyle name="Separador de milhares 3 13 5 5 3 3 2" xfId="47414" xr:uid="{00000000-0005-0000-0000-0000E8390000}"/>
    <cellStyle name="Separador de milhares 3 13 5 5 3 4" xfId="15313" xr:uid="{00000000-0005-0000-0000-0000E9390000}"/>
    <cellStyle name="Separador de milhares 3 13 5 5 3 4 2" xfId="41506" xr:uid="{00000000-0005-0000-0000-0000EA390000}"/>
    <cellStyle name="Separador de milhares 3 13 5 5 3 5" xfId="35120" xr:uid="{00000000-0005-0000-0000-0000EB390000}"/>
    <cellStyle name="Separador de milhares 3 13 5 5 4" xfId="5552" xr:uid="{00000000-0005-0000-0000-0000EC390000}"/>
    <cellStyle name="Separador de milhares 3 13 5 5 4 2" xfId="24184" xr:uid="{00000000-0005-0000-0000-0000ED390000}"/>
    <cellStyle name="Separador de milhares 3 13 5 5 4 2 2" xfId="50368" xr:uid="{00000000-0005-0000-0000-0000EE390000}"/>
    <cellStyle name="Separador de milhares 3 13 5 5 4 3" xfId="31748" xr:uid="{00000000-0005-0000-0000-0000EF390000}"/>
    <cellStyle name="Separador de milhares 3 13 5 5 5" xfId="18270" xr:uid="{00000000-0005-0000-0000-0000F0390000}"/>
    <cellStyle name="Separador de milhares 3 13 5 5 5 2" xfId="44460" xr:uid="{00000000-0005-0000-0000-0000F1390000}"/>
    <cellStyle name="Separador de milhares 3 13 5 5 6" xfId="11939" xr:uid="{00000000-0005-0000-0000-0000F2390000}"/>
    <cellStyle name="Separador de milhares 3 13 5 5 6 2" xfId="38132" xr:uid="{00000000-0005-0000-0000-0000F3390000}"/>
    <cellStyle name="Separador de milhares 3 13 5 5 7" xfId="30050" xr:uid="{00000000-0005-0000-0000-0000F4390000}"/>
    <cellStyle name="Separador de milhares 3 13 5 6" xfId="3484" xr:uid="{00000000-0005-0000-0000-0000F5390000}"/>
    <cellStyle name="Separador de milhares 3 13 5 6 2" xfId="7398" xr:uid="{00000000-0005-0000-0000-0000F6390000}"/>
    <cellStyle name="Separador de milhares 3 13 5 6 2 2" xfId="10542" xr:uid="{00000000-0005-0000-0000-0000F7390000}"/>
    <cellStyle name="Separador de milhares 3 13 5 6 2 2 2" xfId="28756" xr:uid="{00000000-0005-0000-0000-0000F8390000}"/>
    <cellStyle name="Separador de milhares 3 13 5 6 2 2 2 2" xfId="54937" xr:uid="{00000000-0005-0000-0000-0000F9390000}"/>
    <cellStyle name="Separador de milhares 3 13 5 6 2 2 3" xfId="22842" xr:uid="{00000000-0005-0000-0000-0000FA390000}"/>
    <cellStyle name="Separador de milhares 3 13 5 6 2 2 3 2" xfId="49029" xr:uid="{00000000-0005-0000-0000-0000FB390000}"/>
    <cellStyle name="Separador de milhares 3 13 5 6 2 2 4" xfId="16928" xr:uid="{00000000-0005-0000-0000-0000FC390000}"/>
    <cellStyle name="Separador de milhares 3 13 5 6 2 2 4 2" xfId="43121" xr:uid="{00000000-0005-0000-0000-0000FD390000}"/>
    <cellStyle name="Separador de milhares 3 13 5 6 2 2 5" xfId="36735" xr:uid="{00000000-0005-0000-0000-0000FE390000}"/>
    <cellStyle name="Separador de milhares 3 13 5 6 2 3" xfId="25799" xr:uid="{00000000-0005-0000-0000-0000FF390000}"/>
    <cellStyle name="Separador de milhares 3 13 5 6 2 3 2" xfId="51983" xr:uid="{00000000-0005-0000-0000-0000003A0000}"/>
    <cellStyle name="Separador de milhares 3 13 5 6 2 4" xfId="19885" xr:uid="{00000000-0005-0000-0000-0000013A0000}"/>
    <cellStyle name="Separador de milhares 3 13 5 6 2 4 2" xfId="46075" xr:uid="{00000000-0005-0000-0000-0000023A0000}"/>
    <cellStyle name="Separador de milhares 3 13 5 6 2 5" xfId="13787" xr:uid="{00000000-0005-0000-0000-0000033A0000}"/>
    <cellStyle name="Separador de milhares 3 13 5 6 2 5 2" xfId="39980" xr:uid="{00000000-0005-0000-0000-0000043A0000}"/>
    <cellStyle name="Separador de milhares 3 13 5 6 2 6" xfId="33594" xr:uid="{00000000-0005-0000-0000-0000053A0000}"/>
    <cellStyle name="Separador de milhares 3 13 5 6 3" xfId="9074" xr:uid="{00000000-0005-0000-0000-0000063A0000}"/>
    <cellStyle name="Separador de milhares 3 13 5 6 3 2" xfId="27288" xr:uid="{00000000-0005-0000-0000-0000073A0000}"/>
    <cellStyle name="Separador de milhares 3 13 5 6 3 2 2" xfId="53469" xr:uid="{00000000-0005-0000-0000-0000083A0000}"/>
    <cellStyle name="Separador de milhares 3 13 5 6 3 3" xfId="21374" xr:uid="{00000000-0005-0000-0000-0000093A0000}"/>
    <cellStyle name="Separador de milhares 3 13 5 6 3 3 2" xfId="47561" xr:uid="{00000000-0005-0000-0000-00000A3A0000}"/>
    <cellStyle name="Separador de milhares 3 13 5 6 3 4" xfId="15460" xr:uid="{00000000-0005-0000-0000-00000B3A0000}"/>
    <cellStyle name="Separador de milhares 3 13 5 6 3 4 2" xfId="41653" xr:uid="{00000000-0005-0000-0000-00000C3A0000}"/>
    <cellStyle name="Separador de milhares 3 13 5 6 3 5" xfId="35267" xr:uid="{00000000-0005-0000-0000-00000D3A0000}"/>
    <cellStyle name="Separador de milhares 3 13 5 6 4" xfId="5699" xr:uid="{00000000-0005-0000-0000-00000E3A0000}"/>
    <cellStyle name="Separador de milhares 3 13 5 6 4 2" xfId="24331" xr:uid="{00000000-0005-0000-0000-00000F3A0000}"/>
    <cellStyle name="Separador de milhares 3 13 5 6 4 2 2" xfId="50515" xr:uid="{00000000-0005-0000-0000-0000103A0000}"/>
    <cellStyle name="Separador de milhares 3 13 5 6 4 3" xfId="31895" xr:uid="{00000000-0005-0000-0000-0000113A0000}"/>
    <cellStyle name="Separador de milhares 3 13 5 6 5" xfId="18417" xr:uid="{00000000-0005-0000-0000-0000123A0000}"/>
    <cellStyle name="Separador de milhares 3 13 5 6 5 2" xfId="44607" xr:uid="{00000000-0005-0000-0000-0000133A0000}"/>
    <cellStyle name="Separador de milhares 3 13 5 6 6" xfId="12086" xr:uid="{00000000-0005-0000-0000-0000143A0000}"/>
    <cellStyle name="Separador de milhares 3 13 5 6 6 2" xfId="38279" xr:uid="{00000000-0005-0000-0000-0000153A0000}"/>
    <cellStyle name="Separador de milhares 3 13 5 6 7" xfId="30197" xr:uid="{00000000-0005-0000-0000-0000163A0000}"/>
    <cellStyle name="Separador de milhares 3 13 5 7" xfId="4011" xr:uid="{00000000-0005-0000-0000-0000173A0000}"/>
    <cellStyle name="Separador de milhares 3 13 5 7 2" xfId="7545" xr:uid="{00000000-0005-0000-0000-0000183A0000}"/>
    <cellStyle name="Separador de milhares 3 13 5 7 2 2" xfId="10689" xr:uid="{00000000-0005-0000-0000-0000193A0000}"/>
    <cellStyle name="Separador de milhares 3 13 5 7 2 2 2" xfId="28903" xr:uid="{00000000-0005-0000-0000-00001A3A0000}"/>
    <cellStyle name="Separador de milhares 3 13 5 7 2 2 2 2" xfId="55084" xr:uid="{00000000-0005-0000-0000-00001B3A0000}"/>
    <cellStyle name="Separador de milhares 3 13 5 7 2 2 3" xfId="22989" xr:uid="{00000000-0005-0000-0000-00001C3A0000}"/>
    <cellStyle name="Separador de milhares 3 13 5 7 2 2 3 2" xfId="49176" xr:uid="{00000000-0005-0000-0000-00001D3A0000}"/>
    <cellStyle name="Separador de milhares 3 13 5 7 2 2 4" xfId="17075" xr:uid="{00000000-0005-0000-0000-00001E3A0000}"/>
    <cellStyle name="Separador de milhares 3 13 5 7 2 2 4 2" xfId="43268" xr:uid="{00000000-0005-0000-0000-00001F3A0000}"/>
    <cellStyle name="Separador de milhares 3 13 5 7 2 2 5" xfId="36882" xr:uid="{00000000-0005-0000-0000-0000203A0000}"/>
    <cellStyle name="Separador de milhares 3 13 5 7 2 3" xfId="25946" xr:uid="{00000000-0005-0000-0000-0000213A0000}"/>
    <cellStyle name="Separador de milhares 3 13 5 7 2 3 2" xfId="52130" xr:uid="{00000000-0005-0000-0000-0000223A0000}"/>
    <cellStyle name="Separador de milhares 3 13 5 7 2 4" xfId="20032" xr:uid="{00000000-0005-0000-0000-0000233A0000}"/>
    <cellStyle name="Separador de milhares 3 13 5 7 2 4 2" xfId="46222" xr:uid="{00000000-0005-0000-0000-0000243A0000}"/>
    <cellStyle name="Separador de milhares 3 13 5 7 2 5" xfId="13934" xr:uid="{00000000-0005-0000-0000-0000253A0000}"/>
    <cellStyle name="Separador de milhares 3 13 5 7 2 5 2" xfId="40127" xr:uid="{00000000-0005-0000-0000-0000263A0000}"/>
    <cellStyle name="Separador de milhares 3 13 5 7 2 6" xfId="33741" xr:uid="{00000000-0005-0000-0000-0000273A0000}"/>
    <cellStyle name="Separador de milhares 3 13 5 7 3" xfId="9221" xr:uid="{00000000-0005-0000-0000-0000283A0000}"/>
    <cellStyle name="Separador de milhares 3 13 5 7 3 2" xfId="27435" xr:uid="{00000000-0005-0000-0000-0000293A0000}"/>
    <cellStyle name="Separador de milhares 3 13 5 7 3 2 2" xfId="53616" xr:uid="{00000000-0005-0000-0000-00002A3A0000}"/>
    <cellStyle name="Separador de milhares 3 13 5 7 3 3" xfId="21521" xr:uid="{00000000-0005-0000-0000-00002B3A0000}"/>
    <cellStyle name="Separador de milhares 3 13 5 7 3 3 2" xfId="47708" xr:uid="{00000000-0005-0000-0000-00002C3A0000}"/>
    <cellStyle name="Separador de milhares 3 13 5 7 3 4" xfId="15607" xr:uid="{00000000-0005-0000-0000-00002D3A0000}"/>
    <cellStyle name="Separador de milhares 3 13 5 7 3 4 2" xfId="41800" xr:uid="{00000000-0005-0000-0000-00002E3A0000}"/>
    <cellStyle name="Separador de milhares 3 13 5 7 3 5" xfId="35414" xr:uid="{00000000-0005-0000-0000-00002F3A0000}"/>
    <cellStyle name="Separador de milhares 3 13 5 7 4" xfId="5846" xr:uid="{00000000-0005-0000-0000-0000303A0000}"/>
    <cellStyle name="Separador de milhares 3 13 5 7 4 2" xfId="24478" xr:uid="{00000000-0005-0000-0000-0000313A0000}"/>
    <cellStyle name="Separador de milhares 3 13 5 7 4 2 2" xfId="50662" xr:uid="{00000000-0005-0000-0000-0000323A0000}"/>
    <cellStyle name="Separador de milhares 3 13 5 7 4 3" xfId="32042" xr:uid="{00000000-0005-0000-0000-0000333A0000}"/>
    <cellStyle name="Separador de milhares 3 13 5 7 5" xfId="18564" xr:uid="{00000000-0005-0000-0000-0000343A0000}"/>
    <cellStyle name="Separador de milhares 3 13 5 7 5 2" xfId="44754" xr:uid="{00000000-0005-0000-0000-0000353A0000}"/>
    <cellStyle name="Separador de milhares 3 13 5 7 6" xfId="12233" xr:uid="{00000000-0005-0000-0000-0000363A0000}"/>
    <cellStyle name="Separador de milhares 3 13 5 7 6 2" xfId="38426" xr:uid="{00000000-0005-0000-0000-0000373A0000}"/>
    <cellStyle name="Separador de milhares 3 13 5 7 7" xfId="30344" xr:uid="{00000000-0005-0000-0000-0000383A0000}"/>
    <cellStyle name="Separador de milhares 3 13 5 8" xfId="6584" xr:uid="{00000000-0005-0000-0000-0000393A0000}"/>
    <cellStyle name="Separador de milhares 3 13 5 8 2" xfId="9731" xr:uid="{00000000-0005-0000-0000-00003A3A0000}"/>
    <cellStyle name="Separador de milhares 3 13 5 8 2 2" xfId="27945" xr:uid="{00000000-0005-0000-0000-00003B3A0000}"/>
    <cellStyle name="Separador de milhares 3 13 5 8 2 2 2" xfId="54126" xr:uid="{00000000-0005-0000-0000-00003C3A0000}"/>
    <cellStyle name="Separador de milhares 3 13 5 8 2 3" xfId="22031" xr:uid="{00000000-0005-0000-0000-00003D3A0000}"/>
    <cellStyle name="Separador de milhares 3 13 5 8 2 3 2" xfId="48218" xr:uid="{00000000-0005-0000-0000-00003E3A0000}"/>
    <cellStyle name="Separador de milhares 3 13 5 8 2 4" xfId="16117" xr:uid="{00000000-0005-0000-0000-00003F3A0000}"/>
    <cellStyle name="Separador de milhares 3 13 5 8 2 4 2" xfId="42310" xr:uid="{00000000-0005-0000-0000-0000403A0000}"/>
    <cellStyle name="Separador de milhares 3 13 5 8 2 5" xfId="35924" xr:uid="{00000000-0005-0000-0000-0000413A0000}"/>
    <cellStyle name="Separador de milhares 3 13 5 8 3" xfId="24988" xr:uid="{00000000-0005-0000-0000-0000423A0000}"/>
    <cellStyle name="Separador de milhares 3 13 5 8 3 2" xfId="51172" xr:uid="{00000000-0005-0000-0000-0000433A0000}"/>
    <cellStyle name="Separador de milhares 3 13 5 8 4" xfId="19074" xr:uid="{00000000-0005-0000-0000-0000443A0000}"/>
    <cellStyle name="Separador de milhares 3 13 5 8 4 2" xfId="45264" xr:uid="{00000000-0005-0000-0000-0000453A0000}"/>
    <cellStyle name="Separador de milhares 3 13 5 8 5" xfId="12973" xr:uid="{00000000-0005-0000-0000-0000463A0000}"/>
    <cellStyle name="Separador de milhares 3 13 5 8 5 2" xfId="39166" xr:uid="{00000000-0005-0000-0000-0000473A0000}"/>
    <cellStyle name="Separador de milhares 3 13 5 8 6" xfId="32780" xr:uid="{00000000-0005-0000-0000-0000483A0000}"/>
    <cellStyle name="Separador de milhares 3 13 5 9" xfId="8260" xr:uid="{00000000-0005-0000-0000-0000493A0000}"/>
    <cellStyle name="Separador de milhares 3 13 5 9 2" xfId="26474" xr:uid="{00000000-0005-0000-0000-00004A3A0000}"/>
    <cellStyle name="Separador de milhares 3 13 5 9 2 2" xfId="52658" xr:uid="{00000000-0005-0000-0000-00004B3A0000}"/>
    <cellStyle name="Separador de milhares 3 13 5 9 3" xfId="20560" xr:uid="{00000000-0005-0000-0000-00004C3A0000}"/>
    <cellStyle name="Separador de milhares 3 13 5 9 3 2" xfId="46750" xr:uid="{00000000-0005-0000-0000-00004D3A0000}"/>
    <cellStyle name="Separador de milhares 3 13 5 9 4" xfId="14649" xr:uid="{00000000-0005-0000-0000-00004E3A0000}"/>
    <cellStyle name="Separador de milhares 3 13 5 9 4 2" xfId="40842" xr:uid="{00000000-0005-0000-0000-00004F3A0000}"/>
    <cellStyle name="Separador de milhares 3 13 5 9 5" xfId="34456" xr:uid="{00000000-0005-0000-0000-0000503A0000}"/>
    <cellStyle name="Separador de milhares 3 13 6" xfId="763" xr:uid="{00000000-0005-0000-0000-0000513A0000}"/>
    <cellStyle name="Separador de milhares 3 13 6 2" xfId="4187" xr:uid="{00000000-0005-0000-0000-0000523A0000}"/>
    <cellStyle name="Separador de milhares 3 13 6 2 2" xfId="7594" xr:uid="{00000000-0005-0000-0000-0000533A0000}"/>
    <cellStyle name="Separador de milhares 3 13 6 2 2 2" xfId="10738" xr:uid="{00000000-0005-0000-0000-0000543A0000}"/>
    <cellStyle name="Separador de milhares 3 13 6 2 2 2 2" xfId="28952" xr:uid="{00000000-0005-0000-0000-0000553A0000}"/>
    <cellStyle name="Separador de milhares 3 13 6 2 2 2 2 2" xfId="55133" xr:uid="{00000000-0005-0000-0000-0000563A0000}"/>
    <cellStyle name="Separador de milhares 3 13 6 2 2 2 3" xfId="23038" xr:uid="{00000000-0005-0000-0000-0000573A0000}"/>
    <cellStyle name="Separador de milhares 3 13 6 2 2 2 3 2" xfId="49225" xr:uid="{00000000-0005-0000-0000-0000583A0000}"/>
    <cellStyle name="Separador de milhares 3 13 6 2 2 2 4" xfId="17124" xr:uid="{00000000-0005-0000-0000-0000593A0000}"/>
    <cellStyle name="Separador de milhares 3 13 6 2 2 2 4 2" xfId="43317" xr:uid="{00000000-0005-0000-0000-00005A3A0000}"/>
    <cellStyle name="Separador de milhares 3 13 6 2 2 2 5" xfId="36931" xr:uid="{00000000-0005-0000-0000-00005B3A0000}"/>
    <cellStyle name="Separador de milhares 3 13 6 2 2 3" xfId="25995" xr:uid="{00000000-0005-0000-0000-00005C3A0000}"/>
    <cellStyle name="Separador de milhares 3 13 6 2 2 3 2" xfId="52179" xr:uid="{00000000-0005-0000-0000-00005D3A0000}"/>
    <cellStyle name="Separador de milhares 3 13 6 2 2 4" xfId="20081" xr:uid="{00000000-0005-0000-0000-00005E3A0000}"/>
    <cellStyle name="Separador de milhares 3 13 6 2 2 4 2" xfId="46271" xr:uid="{00000000-0005-0000-0000-00005F3A0000}"/>
    <cellStyle name="Separador de milhares 3 13 6 2 2 5" xfId="13983" xr:uid="{00000000-0005-0000-0000-0000603A0000}"/>
    <cellStyle name="Separador de milhares 3 13 6 2 2 5 2" xfId="40176" xr:uid="{00000000-0005-0000-0000-0000613A0000}"/>
    <cellStyle name="Separador de milhares 3 13 6 2 2 6" xfId="33790" xr:uid="{00000000-0005-0000-0000-0000623A0000}"/>
    <cellStyle name="Separador de milhares 3 13 6 2 3" xfId="9270" xr:uid="{00000000-0005-0000-0000-0000633A0000}"/>
    <cellStyle name="Separador de milhares 3 13 6 2 3 2" xfId="27484" xr:uid="{00000000-0005-0000-0000-0000643A0000}"/>
    <cellStyle name="Separador de milhares 3 13 6 2 3 2 2" xfId="53665" xr:uid="{00000000-0005-0000-0000-0000653A0000}"/>
    <cellStyle name="Separador de milhares 3 13 6 2 3 3" xfId="21570" xr:uid="{00000000-0005-0000-0000-0000663A0000}"/>
    <cellStyle name="Separador de milhares 3 13 6 2 3 3 2" xfId="47757" xr:uid="{00000000-0005-0000-0000-0000673A0000}"/>
    <cellStyle name="Separador de milhares 3 13 6 2 3 4" xfId="15656" xr:uid="{00000000-0005-0000-0000-0000683A0000}"/>
    <cellStyle name="Separador de milhares 3 13 6 2 3 4 2" xfId="41849" xr:uid="{00000000-0005-0000-0000-0000693A0000}"/>
    <cellStyle name="Separador de milhares 3 13 6 2 3 5" xfId="35463" xr:uid="{00000000-0005-0000-0000-00006A3A0000}"/>
    <cellStyle name="Separador de milhares 3 13 6 2 4" xfId="5895" xr:uid="{00000000-0005-0000-0000-00006B3A0000}"/>
    <cellStyle name="Separador de milhares 3 13 6 2 4 2" xfId="24527" xr:uid="{00000000-0005-0000-0000-00006C3A0000}"/>
    <cellStyle name="Separador de milhares 3 13 6 2 4 2 2" xfId="50711" xr:uid="{00000000-0005-0000-0000-00006D3A0000}"/>
    <cellStyle name="Separador de milhares 3 13 6 2 4 3" xfId="32091" xr:uid="{00000000-0005-0000-0000-00006E3A0000}"/>
    <cellStyle name="Separador de milhares 3 13 6 2 5" xfId="18613" xr:uid="{00000000-0005-0000-0000-00006F3A0000}"/>
    <cellStyle name="Separador de milhares 3 13 6 2 5 2" xfId="44803" xr:uid="{00000000-0005-0000-0000-0000703A0000}"/>
    <cellStyle name="Separador de milhares 3 13 6 2 6" xfId="12282" xr:uid="{00000000-0005-0000-0000-0000713A0000}"/>
    <cellStyle name="Separador de milhares 3 13 6 2 6 2" xfId="38475" xr:uid="{00000000-0005-0000-0000-0000723A0000}"/>
    <cellStyle name="Separador de milhares 3 13 6 2 7" xfId="30393" xr:uid="{00000000-0005-0000-0000-0000733A0000}"/>
    <cellStyle name="Separador de milhares 3 13 6 3" xfId="6639" xr:uid="{00000000-0005-0000-0000-0000743A0000}"/>
    <cellStyle name="Separador de milhares 3 13 6 3 2" xfId="9786" xr:uid="{00000000-0005-0000-0000-0000753A0000}"/>
    <cellStyle name="Separador de milhares 3 13 6 3 2 2" xfId="28000" xr:uid="{00000000-0005-0000-0000-0000763A0000}"/>
    <cellStyle name="Separador de milhares 3 13 6 3 2 2 2" xfId="54181" xr:uid="{00000000-0005-0000-0000-0000773A0000}"/>
    <cellStyle name="Separador de milhares 3 13 6 3 2 3" xfId="22086" xr:uid="{00000000-0005-0000-0000-0000783A0000}"/>
    <cellStyle name="Separador de milhares 3 13 6 3 2 3 2" xfId="48273" xr:uid="{00000000-0005-0000-0000-0000793A0000}"/>
    <cellStyle name="Separador de milhares 3 13 6 3 2 4" xfId="16172" xr:uid="{00000000-0005-0000-0000-00007A3A0000}"/>
    <cellStyle name="Separador de milhares 3 13 6 3 2 4 2" xfId="42365" xr:uid="{00000000-0005-0000-0000-00007B3A0000}"/>
    <cellStyle name="Separador de milhares 3 13 6 3 2 5" xfId="35979" xr:uid="{00000000-0005-0000-0000-00007C3A0000}"/>
    <cellStyle name="Separador de milhares 3 13 6 3 3" xfId="25043" xr:uid="{00000000-0005-0000-0000-00007D3A0000}"/>
    <cellStyle name="Separador de milhares 3 13 6 3 3 2" xfId="51227" xr:uid="{00000000-0005-0000-0000-00007E3A0000}"/>
    <cellStyle name="Separador de milhares 3 13 6 3 4" xfId="19129" xr:uid="{00000000-0005-0000-0000-00007F3A0000}"/>
    <cellStyle name="Separador de milhares 3 13 6 3 4 2" xfId="45319" xr:uid="{00000000-0005-0000-0000-0000803A0000}"/>
    <cellStyle name="Separador de milhares 3 13 6 3 5" xfId="13028" xr:uid="{00000000-0005-0000-0000-0000813A0000}"/>
    <cellStyle name="Separador de milhares 3 13 6 3 5 2" xfId="39221" xr:uid="{00000000-0005-0000-0000-0000823A0000}"/>
    <cellStyle name="Separador de milhares 3 13 6 3 6" xfId="32835" xr:uid="{00000000-0005-0000-0000-0000833A0000}"/>
    <cellStyle name="Separador de milhares 3 13 6 4" xfId="8318" xr:uid="{00000000-0005-0000-0000-0000843A0000}"/>
    <cellStyle name="Separador de milhares 3 13 6 4 2" xfId="26532" xr:uid="{00000000-0005-0000-0000-0000853A0000}"/>
    <cellStyle name="Separador de milhares 3 13 6 4 2 2" xfId="52713" xr:uid="{00000000-0005-0000-0000-0000863A0000}"/>
    <cellStyle name="Separador de milhares 3 13 6 4 3" xfId="20618" xr:uid="{00000000-0005-0000-0000-0000873A0000}"/>
    <cellStyle name="Separador de milhares 3 13 6 4 3 2" xfId="46805" xr:uid="{00000000-0005-0000-0000-0000883A0000}"/>
    <cellStyle name="Separador de milhares 3 13 6 4 4" xfId="14704" xr:uid="{00000000-0005-0000-0000-0000893A0000}"/>
    <cellStyle name="Separador de milhares 3 13 6 4 4 2" xfId="40897" xr:uid="{00000000-0005-0000-0000-00008A3A0000}"/>
    <cellStyle name="Separador de milhares 3 13 6 4 5" xfId="34511" xr:uid="{00000000-0005-0000-0000-00008B3A0000}"/>
    <cellStyle name="Separador de milhares 3 13 6 5" xfId="4940" xr:uid="{00000000-0005-0000-0000-00008C3A0000}"/>
    <cellStyle name="Separador de milhares 3 13 6 5 2" xfId="23575" xr:uid="{00000000-0005-0000-0000-00008D3A0000}"/>
    <cellStyle name="Separador de milhares 3 13 6 5 2 2" xfId="49759" xr:uid="{00000000-0005-0000-0000-00008E3A0000}"/>
    <cellStyle name="Separador de milhares 3 13 6 5 3" xfId="31136" xr:uid="{00000000-0005-0000-0000-00008F3A0000}"/>
    <cellStyle name="Separador de milhares 3 13 6 6" xfId="17661" xr:uid="{00000000-0005-0000-0000-0000903A0000}"/>
    <cellStyle name="Separador de milhares 3 13 6 6 2" xfId="43851" xr:uid="{00000000-0005-0000-0000-0000913A0000}"/>
    <cellStyle name="Separador de milhares 3 13 6 7" xfId="11327" xr:uid="{00000000-0005-0000-0000-0000923A0000}"/>
    <cellStyle name="Separador de milhares 3 13 6 7 2" xfId="37520" xr:uid="{00000000-0005-0000-0000-0000933A0000}"/>
    <cellStyle name="Separador de milhares 3 13 6 8" xfId="29438" xr:uid="{00000000-0005-0000-0000-0000943A0000}"/>
    <cellStyle name="Separador de milhares 3 13 7" xfId="1114" xr:uid="{00000000-0005-0000-0000-0000953A0000}"/>
    <cellStyle name="Separador de milhares 3 13 7 2" xfId="6737" xr:uid="{00000000-0005-0000-0000-0000963A0000}"/>
    <cellStyle name="Separador de milhares 3 13 7 2 2" xfId="9884" xr:uid="{00000000-0005-0000-0000-0000973A0000}"/>
    <cellStyle name="Separador de milhares 3 13 7 2 2 2" xfId="28098" xr:uid="{00000000-0005-0000-0000-0000983A0000}"/>
    <cellStyle name="Separador de milhares 3 13 7 2 2 2 2" xfId="54279" xr:uid="{00000000-0005-0000-0000-0000993A0000}"/>
    <cellStyle name="Separador de milhares 3 13 7 2 2 3" xfId="22184" xr:uid="{00000000-0005-0000-0000-00009A3A0000}"/>
    <cellStyle name="Separador de milhares 3 13 7 2 2 3 2" xfId="48371" xr:uid="{00000000-0005-0000-0000-00009B3A0000}"/>
    <cellStyle name="Separador de milhares 3 13 7 2 2 4" xfId="16270" xr:uid="{00000000-0005-0000-0000-00009C3A0000}"/>
    <cellStyle name="Separador de milhares 3 13 7 2 2 4 2" xfId="42463" xr:uid="{00000000-0005-0000-0000-00009D3A0000}"/>
    <cellStyle name="Separador de milhares 3 13 7 2 2 5" xfId="36077" xr:uid="{00000000-0005-0000-0000-00009E3A0000}"/>
    <cellStyle name="Separador de milhares 3 13 7 2 3" xfId="25141" xr:uid="{00000000-0005-0000-0000-00009F3A0000}"/>
    <cellStyle name="Separador de milhares 3 13 7 2 3 2" xfId="51325" xr:uid="{00000000-0005-0000-0000-0000A03A0000}"/>
    <cellStyle name="Separador de milhares 3 13 7 2 4" xfId="19227" xr:uid="{00000000-0005-0000-0000-0000A13A0000}"/>
    <cellStyle name="Separador de milhares 3 13 7 2 4 2" xfId="45417" xr:uid="{00000000-0005-0000-0000-0000A23A0000}"/>
    <cellStyle name="Separador de milhares 3 13 7 2 5" xfId="13126" xr:uid="{00000000-0005-0000-0000-0000A33A0000}"/>
    <cellStyle name="Separador de milhares 3 13 7 2 5 2" xfId="39319" xr:uid="{00000000-0005-0000-0000-0000A43A0000}"/>
    <cellStyle name="Separador de milhares 3 13 7 2 6" xfId="32933" xr:uid="{00000000-0005-0000-0000-0000A53A0000}"/>
    <cellStyle name="Separador de milhares 3 13 7 3" xfId="8416" xr:uid="{00000000-0005-0000-0000-0000A63A0000}"/>
    <cellStyle name="Separador de milhares 3 13 7 3 2" xfId="26630" xr:uid="{00000000-0005-0000-0000-0000A73A0000}"/>
    <cellStyle name="Separador de milhares 3 13 7 3 2 2" xfId="52811" xr:uid="{00000000-0005-0000-0000-0000A83A0000}"/>
    <cellStyle name="Separador de milhares 3 13 7 3 3" xfId="20716" xr:uid="{00000000-0005-0000-0000-0000A93A0000}"/>
    <cellStyle name="Separador de milhares 3 13 7 3 3 2" xfId="46903" xr:uid="{00000000-0005-0000-0000-0000AA3A0000}"/>
    <cellStyle name="Separador de milhares 3 13 7 3 4" xfId="14802" xr:uid="{00000000-0005-0000-0000-0000AB3A0000}"/>
    <cellStyle name="Separador de milhares 3 13 7 3 4 2" xfId="40995" xr:uid="{00000000-0005-0000-0000-0000AC3A0000}"/>
    <cellStyle name="Separador de milhares 3 13 7 3 5" xfId="34609" xr:uid="{00000000-0005-0000-0000-0000AD3A0000}"/>
    <cellStyle name="Separador de milhares 3 13 7 4" xfId="5038" xr:uid="{00000000-0005-0000-0000-0000AE3A0000}"/>
    <cellStyle name="Separador de milhares 3 13 7 4 2" xfId="23673" xr:uid="{00000000-0005-0000-0000-0000AF3A0000}"/>
    <cellStyle name="Separador de milhares 3 13 7 4 2 2" xfId="49857" xr:uid="{00000000-0005-0000-0000-0000B03A0000}"/>
    <cellStyle name="Separador de milhares 3 13 7 4 3" xfId="31234" xr:uid="{00000000-0005-0000-0000-0000B13A0000}"/>
    <cellStyle name="Separador de milhares 3 13 7 5" xfId="17759" xr:uid="{00000000-0005-0000-0000-0000B23A0000}"/>
    <cellStyle name="Separador de milhares 3 13 7 5 2" xfId="43949" xr:uid="{00000000-0005-0000-0000-0000B33A0000}"/>
    <cellStyle name="Separador de milhares 3 13 7 6" xfId="11425" xr:uid="{00000000-0005-0000-0000-0000B43A0000}"/>
    <cellStyle name="Separador de milhares 3 13 7 6 2" xfId="37618" xr:uid="{00000000-0005-0000-0000-0000B53A0000}"/>
    <cellStyle name="Separador de milhares 3 13 7 7" xfId="29536" xr:uid="{00000000-0005-0000-0000-0000B63A0000}"/>
    <cellStyle name="Separador de milhares 3 13 8" xfId="1549" xr:uid="{00000000-0005-0000-0000-0000B73A0000}"/>
    <cellStyle name="Separador de milhares 3 13 8 2" xfId="6856" xr:uid="{00000000-0005-0000-0000-0000B83A0000}"/>
    <cellStyle name="Separador de milhares 3 13 8 2 2" xfId="10003" xr:uid="{00000000-0005-0000-0000-0000B93A0000}"/>
    <cellStyle name="Separador de milhares 3 13 8 2 2 2" xfId="28217" xr:uid="{00000000-0005-0000-0000-0000BA3A0000}"/>
    <cellStyle name="Separador de milhares 3 13 8 2 2 2 2" xfId="54398" xr:uid="{00000000-0005-0000-0000-0000BB3A0000}"/>
    <cellStyle name="Separador de milhares 3 13 8 2 2 3" xfId="22303" xr:uid="{00000000-0005-0000-0000-0000BC3A0000}"/>
    <cellStyle name="Separador de milhares 3 13 8 2 2 3 2" xfId="48490" xr:uid="{00000000-0005-0000-0000-0000BD3A0000}"/>
    <cellStyle name="Separador de milhares 3 13 8 2 2 4" xfId="16389" xr:uid="{00000000-0005-0000-0000-0000BE3A0000}"/>
    <cellStyle name="Separador de milhares 3 13 8 2 2 4 2" xfId="42582" xr:uid="{00000000-0005-0000-0000-0000BF3A0000}"/>
    <cellStyle name="Separador de milhares 3 13 8 2 2 5" xfId="36196" xr:uid="{00000000-0005-0000-0000-0000C03A0000}"/>
    <cellStyle name="Separador de milhares 3 13 8 2 3" xfId="25260" xr:uid="{00000000-0005-0000-0000-0000C13A0000}"/>
    <cellStyle name="Separador de milhares 3 13 8 2 3 2" xfId="51444" xr:uid="{00000000-0005-0000-0000-0000C23A0000}"/>
    <cellStyle name="Separador de milhares 3 13 8 2 4" xfId="19346" xr:uid="{00000000-0005-0000-0000-0000C33A0000}"/>
    <cellStyle name="Separador de milhares 3 13 8 2 4 2" xfId="45536" xr:uid="{00000000-0005-0000-0000-0000C43A0000}"/>
    <cellStyle name="Separador de milhares 3 13 8 2 5" xfId="13245" xr:uid="{00000000-0005-0000-0000-0000C53A0000}"/>
    <cellStyle name="Separador de milhares 3 13 8 2 5 2" xfId="39438" xr:uid="{00000000-0005-0000-0000-0000C63A0000}"/>
    <cellStyle name="Separador de milhares 3 13 8 2 6" xfId="33052" xr:uid="{00000000-0005-0000-0000-0000C73A0000}"/>
    <cellStyle name="Separador de milhares 3 13 8 3" xfId="8535" xr:uid="{00000000-0005-0000-0000-0000C83A0000}"/>
    <cellStyle name="Separador de milhares 3 13 8 3 2" xfId="26749" xr:uid="{00000000-0005-0000-0000-0000C93A0000}"/>
    <cellStyle name="Separador de milhares 3 13 8 3 2 2" xfId="52930" xr:uid="{00000000-0005-0000-0000-0000CA3A0000}"/>
    <cellStyle name="Separador de milhares 3 13 8 3 3" xfId="20835" xr:uid="{00000000-0005-0000-0000-0000CB3A0000}"/>
    <cellStyle name="Separador de milhares 3 13 8 3 3 2" xfId="47022" xr:uid="{00000000-0005-0000-0000-0000CC3A0000}"/>
    <cellStyle name="Separador de milhares 3 13 8 3 4" xfId="14921" xr:uid="{00000000-0005-0000-0000-0000CD3A0000}"/>
    <cellStyle name="Separador de milhares 3 13 8 3 4 2" xfId="41114" xr:uid="{00000000-0005-0000-0000-0000CE3A0000}"/>
    <cellStyle name="Separador de milhares 3 13 8 3 5" xfId="34728" xr:uid="{00000000-0005-0000-0000-0000CF3A0000}"/>
    <cellStyle name="Separador de milhares 3 13 8 4" xfId="5157" xr:uid="{00000000-0005-0000-0000-0000D03A0000}"/>
    <cellStyle name="Separador de milhares 3 13 8 4 2" xfId="23792" xr:uid="{00000000-0005-0000-0000-0000D13A0000}"/>
    <cellStyle name="Separador de milhares 3 13 8 4 2 2" xfId="49976" xr:uid="{00000000-0005-0000-0000-0000D23A0000}"/>
    <cellStyle name="Separador de milhares 3 13 8 4 3" xfId="31353" xr:uid="{00000000-0005-0000-0000-0000D33A0000}"/>
    <cellStyle name="Separador de milhares 3 13 8 5" xfId="17878" xr:uid="{00000000-0005-0000-0000-0000D43A0000}"/>
    <cellStyle name="Separador de milhares 3 13 8 5 2" xfId="44068" xr:uid="{00000000-0005-0000-0000-0000D53A0000}"/>
    <cellStyle name="Separador de milhares 3 13 8 6" xfId="11544" xr:uid="{00000000-0005-0000-0000-0000D63A0000}"/>
    <cellStyle name="Separador de milhares 3 13 8 6 2" xfId="37737" xr:uid="{00000000-0005-0000-0000-0000D73A0000}"/>
    <cellStyle name="Separador de milhares 3 13 8 7" xfId="29655" xr:uid="{00000000-0005-0000-0000-0000D83A0000}"/>
    <cellStyle name="Separador de milhares 3 13 9" xfId="2079" xr:uid="{00000000-0005-0000-0000-0000D93A0000}"/>
    <cellStyle name="Separador de milhares 3 13 9 2" xfId="7006" xr:uid="{00000000-0005-0000-0000-0000DA3A0000}"/>
    <cellStyle name="Separador de milhares 3 13 9 2 2" xfId="10150" xr:uid="{00000000-0005-0000-0000-0000DB3A0000}"/>
    <cellStyle name="Separador de milhares 3 13 9 2 2 2" xfId="28364" xr:uid="{00000000-0005-0000-0000-0000DC3A0000}"/>
    <cellStyle name="Separador de milhares 3 13 9 2 2 2 2" xfId="54545" xr:uid="{00000000-0005-0000-0000-0000DD3A0000}"/>
    <cellStyle name="Separador de milhares 3 13 9 2 2 3" xfId="22450" xr:uid="{00000000-0005-0000-0000-0000DE3A0000}"/>
    <cellStyle name="Separador de milhares 3 13 9 2 2 3 2" xfId="48637" xr:uid="{00000000-0005-0000-0000-0000DF3A0000}"/>
    <cellStyle name="Separador de milhares 3 13 9 2 2 4" xfId="16536" xr:uid="{00000000-0005-0000-0000-0000E03A0000}"/>
    <cellStyle name="Separador de milhares 3 13 9 2 2 4 2" xfId="42729" xr:uid="{00000000-0005-0000-0000-0000E13A0000}"/>
    <cellStyle name="Separador de milhares 3 13 9 2 2 5" xfId="36343" xr:uid="{00000000-0005-0000-0000-0000E23A0000}"/>
    <cellStyle name="Separador de milhares 3 13 9 2 3" xfId="25407" xr:uid="{00000000-0005-0000-0000-0000E33A0000}"/>
    <cellStyle name="Separador de milhares 3 13 9 2 3 2" xfId="51591" xr:uid="{00000000-0005-0000-0000-0000E43A0000}"/>
    <cellStyle name="Separador de milhares 3 13 9 2 4" xfId="19493" xr:uid="{00000000-0005-0000-0000-0000E53A0000}"/>
    <cellStyle name="Separador de milhares 3 13 9 2 4 2" xfId="45683" xr:uid="{00000000-0005-0000-0000-0000E63A0000}"/>
    <cellStyle name="Separador de milhares 3 13 9 2 5" xfId="13395" xr:uid="{00000000-0005-0000-0000-0000E73A0000}"/>
    <cellStyle name="Separador de milhares 3 13 9 2 5 2" xfId="39588" xr:uid="{00000000-0005-0000-0000-0000E83A0000}"/>
    <cellStyle name="Separador de milhares 3 13 9 2 6" xfId="33202" xr:uid="{00000000-0005-0000-0000-0000E93A0000}"/>
    <cellStyle name="Separador de milhares 3 13 9 3" xfId="8682" xr:uid="{00000000-0005-0000-0000-0000EA3A0000}"/>
    <cellStyle name="Separador de milhares 3 13 9 3 2" xfId="26896" xr:uid="{00000000-0005-0000-0000-0000EB3A0000}"/>
    <cellStyle name="Separador de milhares 3 13 9 3 2 2" xfId="53077" xr:uid="{00000000-0005-0000-0000-0000EC3A0000}"/>
    <cellStyle name="Separador de milhares 3 13 9 3 3" xfId="20982" xr:uid="{00000000-0005-0000-0000-0000ED3A0000}"/>
    <cellStyle name="Separador de milhares 3 13 9 3 3 2" xfId="47169" xr:uid="{00000000-0005-0000-0000-0000EE3A0000}"/>
    <cellStyle name="Separador de milhares 3 13 9 3 4" xfId="15068" xr:uid="{00000000-0005-0000-0000-0000EF3A0000}"/>
    <cellStyle name="Separador de milhares 3 13 9 3 4 2" xfId="41261" xr:uid="{00000000-0005-0000-0000-0000F03A0000}"/>
    <cellStyle name="Separador de milhares 3 13 9 3 5" xfId="34875" xr:uid="{00000000-0005-0000-0000-0000F13A0000}"/>
    <cellStyle name="Separador de milhares 3 13 9 4" xfId="5307" xr:uid="{00000000-0005-0000-0000-0000F23A0000}"/>
    <cellStyle name="Separador de milhares 3 13 9 4 2" xfId="23939" xr:uid="{00000000-0005-0000-0000-0000F33A0000}"/>
    <cellStyle name="Separador de milhares 3 13 9 4 2 2" xfId="50123" xr:uid="{00000000-0005-0000-0000-0000F43A0000}"/>
    <cellStyle name="Separador de milhares 3 13 9 4 3" xfId="31503" xr:uid="{00000000-0005-0000-0000-0000F53A0000}"/>
    <cellStyle name="Separador de milhares 3 13 9 5" xfId="18025" xr:uid="{00000000-0005-0000-0000-0000F63A0000}"/>
    <cellStyle name="Separador de milhares 3 13 9 5 2" xfId="44215" xr:uid="{00000000-0005-0000-0000-0000F73A0000}"/>
    <cellStyle name="Separador de milhares 3 13 9 6" xfId="11694" xr:uid="{00000000-0005-0000-0000-0000F83A0000}"/>
    <cellStyle name="Separador de milhares 3 13 9 6 2" xfId="37887" xr:uid="{00000000-0005-0000-0000-0000F93A0000}"/>
    <cellStyle name="Separador de milhares 3 13 9 7" xfId="29805" xr:uid="{00000000-0005-0000-0000-0000FA3A0000}"/>
    <cellStyle name="Separador de milhares 3 14" xfId="35" xr:uid="{00000000-0005-0000-0000-0000FB3A0000}"/>
    <cellStyle name="Separador de milhares 3 14 10" xfId="2538" xr:uid="{00000000-0005-0000-0000-0000FC3A0000}"/>
    <cellStyle name="Separador de milhares 3 14 10 2" xfId="7136" xr:uid="{00000000-0005-0000-0000-0000FD3A0000}"/>
    <cellStyle name="Separador de milhares 3 14 10 2 2" xfId="10280" xr:uid="{00000000-0005-0000-0000-0000FE3A0000}"/>
    <cellStyle name="Separador de milhares 3 14 10 2 2 2" xfId="28494" xr:uid="{00000000-0005-0000-0000-0000FF3A0000}"/>
    <cellStyle name="Separador de milhares 3 14 10 2 2 2 2" xfId="54675" xr:uid="{00000000-0005-0000-0000-0000003B0000}"/>
    <cellStyle name="Separador de milhares 3 14 10 2 2 3" xfId="22580" xr:uid="{00000000-0005-0000-0000-0000013B0000}"/>
    <cellStyle name="Separador de milhares 3 14 10 2 2 3 2" xfId="48767" xr:uid="{00000000-0005-0000-0000-0000023B0000}"/>
    <cellStyle name="Separador de milhares 3 14 10 2 2 4" xfId="16666" xr:uid="{00000000-0005-0000-0000-0000033B0000}"/>
    <cellStyle name="Separador de milhares 3 14 10 2 2 4 2" xfId="42859" xr:uid="{00000000-0005-0000-0000-0000043B0000}"/>
    <cellStyle name="Separador de milhares 3 14 10 2 2 5" xfId="36473" xr:uid="{00000000-0005-0000-0000-0000053B0000}"/>
    <cellStyle name="Separador de milhares 3 14 10 2 3" xfId="25537" xr:uid="{00000000-0005-0000-0000-0000063B0000}"/>
    <cellStyle name="Separador de milhares 3 14 10 2 3 2" xfId="51721" xr:uid="{00000000-0005-0000-0000-0000073B0000}"/>
    <cellStyle name="Separador de milhares 3 14 10 2 4" xfId="19623" xr:uid="{00000000-0005-0000-0000-0000083B0000}"/>
    <cellStyle name="Separador de milhares 3 14 10 2 4 2" xfId="45813" xr:uid="{00000000-0005-0000-0000-0000093B0000}"/>
    <cellStyle name="Separador de milhares 3 14 10 2 5" xfId="13525" xr:uid="{00000000-0005-0000-0000-00000A3B0000}"/>
    <cellStyle name="Separador de milhares 3 14 10 2 5 2" xfId="39718" xr:uid="{00000000-0005-0000-0000-00000B3B0000}"/>
    <cellStyle name="Separador de milhares 3 14 10 2 6" xfId="33332" xr:uid="{00000000-0005-0000-0000-00000C3B0000}"/>
    <cellStyle name="Separador de milhares 3 14 10 3" xfId="8812" xr:uid="{00000000-0005-0000-0000-00000D3B0000}"/>
    <cellStyle name="Separador de milhares 3 14 10 3 2" xfId="27026" xr:uid="{00000000-0005-0000-0000-00000E3B0000}"/>
    <cellStyle name="Separador de milhares 3 14 10 3 2 2" xfId="53207" xr:uid="{00000000-0005-0000-0000-00000F3B0000}"/>
    <cellStyle name="Separador de milhares 3 14 10 3 3" xfId="21112" xr:uid="{00000000-0005-0000-0000-0000103B0000}"/>
    <cellStyle name="Separador de milhares 3 14 10 3 3 2" xfId="47299" xr:uid="{00000000-0005-0000-0000-0000113B0000}"/>
    <cellStyle name="Separador de milhares 3 14 10 3 4" xfId="15198" xr:uid="{00000000-0005-0000-0000-0000123B0000}"/>
    <cellStyle name="Separador de milhares 3 14 10 3 4 2" xfId="41391" xr:uid="{00000000-0005-0000-0000-0000133B0000}"/>
    <cellStyle name="Separador de milhares 3 14 10 3 5" xfId="35005" xr:uid="{00000000-0005-0000-0000-0000143B0000}"/>
    <cellStyle name="Separador de milhares 3 14 10 4" xfId="5437" xr:uid="{00000000-0005-0000-0000-0000153B0000}"/>
    <cellStyle name="Separador de milhares 3 14 10 4 2" xfId="24069" xr:uid="{00000000-0005-0000-0000-0000163B0000}"/>
    <cellStyle name="Separador de milhares 3 14 10 4 2 2" xfId="50253" xr:uid="{00000000-0005-0000-0000-0000173B0000}"/>
    <cellStyle name="Separador de milhares 3 14 10 4 3" xfId="31633" xr:uid="{00000000-0005-0000-0000-0000183B0000}"/>
    <cellStyle name="Separador de milhares 3 14 10 5" xfId="18155" xr:uid="{00000000-0005-0000-0000-0000193B0000}"/>
    <cellStyle name="Separador de milhares 3 14 10 5 2" xfId="44345" xr:uid="{00000000-0005-0000-0000-00001A3B0000}"/>
    <cellStyle name="Separador de milhares 3 14 10 6" xfId="11824" xr:uid="{00000000-0005-0000-0000-00001B3B0000}"/>
    <cellStyle name="Separador de milhares 3 14 10 6 2" xfId="38017" xr:uid="{00000000-0005-0000-0000-00001C3B0000}"/>
    <cellStyle name="Separador de milhares 3 14 10 7" xfId="29935" xr:uid="{00000000-0005-0000-0000-00001D3B0000}"/>
    <cellStyle name="Separador de milhares 3 14 11" xfId="3065" xr:uid="{00000000-0005-0000-0000-00001E3B0000}"/>
    <cellStyle name="Separador de milhares 3 14 11 2" xfId="7283" xr:uid="{00000000-0005-0000-0000-00001F3B0000}"/>
    <cellStyle name="Separador de milhares 3 14 11 2 2" xfId="10427" xr:uid="{00000000-0005-0000-0000-0000203B0000}"/>
    <cellStyle name="Separador de milhares 3 14 11 2 2 2" xfId="28641" xr:uid="{00000000-0005-0000-0000-0000213B0000}"/>
    <cellStyle name="Separador de milhares 3 14 11 2 2 2 2" xfId="54822" xr:uid="{00000000-0005-0000-0000-0000223B0000}"/>
    <cellStyle name="Separador de milhares 3 14 11 2 2 3" xfId="22727" xr:uid="{00000000-0005-0000-0000-0000233B0000}"/>
    <cellStyle name="Separador de milhares 3 14 11 2 2 3 2" xfId="48914" xr:uid="{00000000-0005-0000-0000-0000243B0000}"/>
    <cellStyle name="Separador de milhares 3 14 11 2 2 4" xfId="16813" xr:uid="{00000000-0005-0000-0000-0000253B0000}"/>
    <cellStyle name="Separador de milhares 3 14 11 2 2 4 2" xfId="43006" xr:uid="{00000000-0005-0000-0000-0000263B0000}"/>
    <cellStyle name="Separador de milhares 3 14 11 2 2 5" xfId="36620" xr:uid="{00000000-0005-0000-0000-0000273B0000}"/>
    <cellStyle name="Separador de milhares 3 14 11 2 3" xfId="25684" xr:uid="{00000000-0005-0000-0000-0000283B0000}"/>
    <cellStyle name="Separador de milhares 3 14 11 2 3 2" xfId="51868" xr:uid="{00000000-0005-0000-0000-0000293B0000}"/>
    <cellStyle name="Separador de milhares 3 14 11 2 4" xfId="19770" xr:uid="{00000000-0005-0000-0000-00002A3B0000}"/>
    <cellStyle name="Separador de milhares 3 14 11 2 4 2" xfId="45960" xr:uid="{00000000-0005-0000-0000-00002B3B0000}"/>
    <cellStyle name="Separador de milhares 3 14 11 2 5" xfId="13672" xr:uid="{00000000-0005-0000-0000-00002C3B0000}"/>
    <cellStyle name="Separador de milhares 3 14 11 2 5 2" xfId="39865" xr:uid="{00000000-0005-0000-0000-00002D3B0000}"/>
    <cellStyle name="Separador de milhares 3 14 11 2 6" xfId="33479" xr:uid="{00000000-0005-0000-0000-00002E3B0000}"/>
    <cellStyle name="Separador de milhares 3 14 11 3" xfId="8959" xr:uid="{00000000-0005-0000-0000-00002F3B0000}"/>
    <cellStyle name="Separador de milhares 3 14 11 3 2" xfId="27173" xr:uid="{00000000-0005-0000-0000-0000303B0000}"/>
    <cellStyle name="Separador de milhares 3 14 11 3 2 2" xfId="53354" xr:uid="{00000000-0005-0000-0000-0000313B0000}"/>
    <cellStyle name="Separador de milhares 3 14 11 3 3" xfId="21259" xr:uid="{00000000-0005-0000-0000-0000323B0000}"/>
    <cellStyle name="Separador de milhares 3 14 11 3 3 2" xfId="47446" xr:uid="{00000000-0005-0000-0000-0000333B0000}"/>
    <cellStyle name="Separador de milhares 3 14 11 3 4" xfId="15345" xr:uid="{00000000-0005-0000-0000-0000343B0000}"/>
    <cellStyle name="Separador de milhares 3 14 11 3 4 2" xfId="41538" xr:uid="{00000000-0005-0000-0000-0000353B0000}"/>
    <cellStyle name="Separador de milhares 3 14 11 3 5" xfId="35152" xr:uid="{00000000-0005-0000-0000-0000363B0000}"/>
    <cellStyle name="Separador de milhares 3 14 11 4" xfId="5584" xr:uid="{00000000-0005-0000-0000-0000373B0000}"/>
    <cellStyle name="Separador de milhares 3 14 11 4 2" xfId="24216" xr:uid="{00000000-0005-0000-0000-0000383B0000}"/>
    <cellStyle name="Separador de milhares 3 14 11 4 2 2" xfId="50400" xr:uid="{00000000-0005-0000-0000-0000393B0000}"/>
    <cellStyle name="Separador de milhares 3 14 11 4 3" xfId="31780" xr:uid="{00000000-0005-0000-0000-00003A3B0000}"/>
    <cellStyle name="Separador de milhares 3 14 11 5" xfId="18302" xr:uid="{00000000-0005-0000-0000-00003B3B0000}"/>
    <cellStyle name="Separador de milhares 3 14 11 5 2" xfId="44492" xr:uid="{00000000-0005-0000-0000-00003C3B0000}"/>
    <cellStyle name="Separador de milhares 3 14 11 6" xfId="11971" xr:uid="{00000000-0005-0000-0000-00003D3B0000}"/>
    <cellStyle name="Separador de milhares 3 14 11 6 2" xfId="38164" xr:uid="{00000000-0005-0000-0000-00003E3B0000}"/>
    <cellStyle name="Separador de milhares 3 14 11 7" xfId="30082" xr:uid="{00000000-0005-0000-0000-00003F3B0000}"/>
    <cellStyle name="Separador de milhares 3 14 12" xfId="3592" xr:uid="{00000000-0005-0000-0000-0000403B0000}"/>
    <cellStyle name="Separador de milhares 3 14 12 2" xfId="7430" xr:uid="{00000000-0005-0000-0000-0000413B0000}"/>
    <cellStyle name="Separador de milhares 3 14 12 2 2" xfId="10574" xr:uid="{00000000-0005-0000-0000-0000423B0000}"/>
    <cellStyle name="Separador de milhares 3 14 12 2 2 2" xfId="28788" xr:uid="{00000000-0005-0000-0000-0000433B0000}"/>
    <cellStyle name="Separador de milhares 3 14 12 2 2 2 2" xfId="54969" xr:uid="{00000000-0005-0000-0000-0000443B0000}"/>
    <cellStyle name="Separador de milhares 3 14 12 2 2 3" xfId="22874" xr:uid="{00000000-0005-0000-0000-0000453B0000}"/>
    <cellStyle name="Separador de milhares 3 14 12 2 2 3 2" xfId="49061" xr:uid="{00000000-0005-0000-0000-0000463B0000}"/>
    <cellStyle name="Separador de milhares 3 14 12 2 2 4" xfId="16960" xr:uid="{00000000-0005-0000-0000-0000473B0000}"/>
    <cellStyle name="Separador de milhares 3 14 12 2 2 4 2" xfId="43153" xr:uid="{00000000-0005-0000-0000-0000483B0000}"/>
    <cellStyle name="Separador de milhares 3 14 12 2 2 5" xfId="36767" xr:uid="{00000000-0005-0000-0000-0000493B0000}"/>
    <cellStyle name="Separador de milhares 3 14 12 2 3" xfId="25831" xr:uid="{00000000-0005-0000-0000-00004A3B0000}"/>
    <cellStyle name="Separador de milhares 3 14 12 2 3 2" xfId="52015" xr:uid="{00000000-0005-0000-0000-00004B3B0000}"/>
    <cellStyle name="Separador de milhares 3 14 12 2 4" xfId="19917" xr:uid="{00000000-0005-0000-0000-00004C3B0000}"/>
    <cellStyle name="Separador de milhares 3 14 12 2 4 2" xfId="46107" xr:uid="{00000000-0005-0000-0000-00004D3B0000}"/>
    <cellStyle name="Separador de milhares 3 14 12 2 5" xfId="13819" xr:uid="{00000000-0005-0000-0000-00004E3B0000}"/>
    <cellStyle name="Separador de milhares 3 14 12 2 5 2" xfId="40012" xr:uid="{00000000-0005-0000-0000-00004F3B0000}"/>
    <cellStyle name="Separador de milhares 3 14 12 2 6" xfId="33626" xr:uid="{00000000-0005-0000-0000-0000503B0000}"/>
    <cellStyle name="Separador de milhares 3 14 12 3" xfId="9106" xr:uid="{00000000-0005-0000-0000-0000513B0000}"/>
    <cellStyle name="Separador de milhares 3 14 12 3 2" xfId="27320" xr:uid="{00000000-0005-0000-0000-0000523B0000}"/>
    <cellStyle name="Separador de milhares 3 14 12 3 2 2" xfId="53501" xr:uid="{00000000-0005-0000-0000-0000533B0000}"/>
    <cellStyle name="Separador de milhares 3 14 12 3 3" xfId="21406" xr:uid="{00000000-0005-0000-0000-0000543B0000}"/>
    <cellStyle name="Separador de milhares 3 14 12 3 3 2" xfId="47593" xr:uid="{00000000-0005-0000-0000-0000553B0000}"/>
    <cellStyle name="Separador de milhares 3 14 12 3 4" xfId="15492" xr:uid="{00000000-0005-0000-0000-0000563B0000}"/>
    <cellStyle name="Separador de milhares 3 14 12 3 4 2" xfId="41685" xr:uid="{00000000-0005-0000-0000-0000573B0000}"/>
    <cellStyle name="Separador de milhares 3 14 12 3 5" xfId="35299" xr:uid="{00000000-0005-0000-0000-0000583B0000}"/>
    <cellStyle name="Separador de milhares 3 14 12 4" xfId="5731" xr:uid="{00000000-0005-0000-0000-0000593B0000}"/>
    <cellStyle name="Separador de milhares 3 14 12 4 2" xfId="24363" xr:uid="{00000000-0005-0000-0000-00005A3B0000}"/>
    <cellStyle name="Separador de milhares 3 14 12 4 2 2" xfId="50547" xr:uid="{00000000-0005-0000-0000-00005B3B0000}"/>
    <cellStyle name="Separador de milhares 3 14 12 4 3" xfId="31927" xr:uid="{00000000-0005-0000-0000-00005C3B0000}"/>
    <cellStyle name="Separador de milhares 3 14 12 5" xfId="18449" xr:uid="{00000000-0005-0000-0000-00005D3B0000}"/>
    <cellStyle name="Separador de milhares 3 14 12 5 2" xfId="44639" xr:uid="{00000000-0005-0000-0000-00005E3B0000}"/>
    <cellStyle name="Separador de milhares 3 14 12 6" xfId="12118" xr:uid="{00000000-0005-0000-0000-00005F3B0000}"/>
    <cellStyle name="Separador de milhares 3 14 12 6 2" xfId="38311" xr:uid="{00000000-0005-0000-0000-0000603B0000}"/>
    <cellStyle name="Separador de milhares 3 14 12 7" xfId="30229" xr:uid="{00000000-0005-0000-0000-0000613B0000}"/>
    <cellStyle name="Separador de milhares 3 14 13" xfId="6414" xr:uid="{00000000-0005-0000-0000-0000623B0000}"/>
    <cellStyle name="Separador de milhares 3 14 13 2" xfId="9570" xr:uid="{00000000-0005-0000-0000-0000633B0000}"/>
    <cellStyle name="Separador de milhares 3 14 13 2 2" xfId="27784" xr:uid="{00000000-0005-0000-0000-0000643B0000}"/>
    <cellStyle name="Separador de milhares 3 14 13 2 2 2" xfId="53965" xr:uid="{00000000-0005-0000-0000-0000653B0000}"/>
    <cellStyle name="Separador de milhares 3 14 13 2 3" xfId="21870" xr:uid="{00000000-0005-0000-0000-0000663B0000}"/>
    <cellStyle name="Separador de milhares 3 14 13 2 3 2" xfId="48057" xr:uid="{00000000-0005-0000-0000-0000673B0000}"/>
    <cellStyle name="Separador de milhares 3 14 13 2 4" xfId="15956" xr:uid="{00000000-0005-0000-0000-0000683B0000}"/>
    <cellStyle name="Separador de milhares 3 14 13 2 4 2" xfId="42149" xr:uid="{00000000-0005-0000-0000-0000693B0000}"/>
    <cellStyle name="Separador de milhares 3 14 13 2 5" xfId="35763" xr:uid="{00000000-0005-0000-0000-00006A3B0000}"/>
    <cellStyle name="Separador de milhares 3 14 13 3" xfId="24827" xr:uid="{00000000-0005-0000-0000-00006B3B0000}"/>
    <cellStyle name="Separador de milhares 3 14 13 3 2" xfId="51011" xr:uid="{00000000-0005-0000-0000-00006C3B0000}"/>
    <cellStyle name="Separador de milhares 3 14 13 4" xfId="18913" xr:uid="{00000000-0005-0000-0000-00006D3B0000}"/>
    <cellStyle name="Separador de milhares 3 14 13 4 2" xfId="45103" xr:uid="{00000000-0005-0000-0000-00006E3B0000}"/>
    <cellStyle name="Separador de milhares 3 14 13 5" xfId="12803" xr:uid="{00000000-0005-0000-0000-00006F3B0000}"/>
    <cellStyle name="Separador de milhares 3 14 13 5 2" xfId="38996" xr:uid="{00000000-0005-0000-0000-0000703B0000}"/>
    <cellStyle name="Separador de milhares 3 14 13 6" xfId="32610" xr:uid="{00000000-0005-0000-0000-0000713B0000}"/>
    <cellStyle name="Separador de milhares 3 14 14" xfId="8099" xr:uid="{00000000-0005-0000-0000-0000723B0000}"/>
    <cellStyle name="Separador de milhares 3 14 14 2" xfId="26313" xr:uid="{00000000-0005-0000-0000-0000733B0000}"/>
    <cellStyle name="Separador de milhares 3 14 14 2 2" xfId="52497" xr:uid="{00000000-0005-0000-0000-0000743B0000}"/>
    <cellStyle name="Separador de milhares 3 14 14 3" xfId="20399" xr:uid="{00000000-0005-0000-0000-0000753B0000}"/>
    <cellStyle name="Separador de milhares 3 14 14 3 2" xfId="46589" xr:uid="{00000000-0005-0000-0000-0000763B0000}"/>
    <cellStyle name="Separador de milhares 3 14 14 4" xfId="14488" xr:uid="{00000000-0005-0000-0000-0000773B0000}"/>
    <cellStyle name="Separador de milhares 3 14 14 4 2" xfId="40681" xr:uid="{00000000-0005-0000-0000-0000783B0000}"/>
    <cellStyle name="Separador de milhares 3 14 14 5" xfId="34295" xr:uid="{00000000-0005-0000-0000-0000793B0000}"/>
    <cellStyle name="Separador de milhares 3 14 15" xfId="4712" xr:uid="{00000000-0005-0000-0000-00007A3B0000}"/>
    <cellStyle name="Separador de milhares 3 14 15 2" xfId="23356" xr:uid="{00000000-0005-0000-0000-00007B3B0000}"/>
    <cellStyle name="Separador de milhares 3 14 15 2 2" xfId="49543" xr:uid="{00000000-0005-0000-0000-00007C3B0000}"/>
    <cellStyle name="Separador de milhares 3 14 15 3" xfId="30911" xr:uid="{00000000-0005-0000-0000-00007D3B0000}"/>
    <cellStyle name="Separador de milhares 3 14 16" xfId="17442" xr:uid="{00000000-0005-0000-0000-00007E3B0000}"/>
    <cellStyle name="Separador de milhares 3 14 16 2" xfId="43635" xr:uid="{00000000-0005-0000-0000-00007F3B0000}"/>
    <cellStyle name="Separador de milhares 3 14 17" xfId="11102" xr:uid="{00000000-0005-0000-0000-0000803B0000}"/>
    <cellStyle name="Separador de milhares 3 14 17 2" xfId="37295" xr:uid="{00000000-0005-0000-0000-0000813B0000}"/>
    <cellStyle name="Separador de milhares 3 14 18" xfId="29213" xr:uid="{00000000-0005-0000-0000-0000823B0000}"/>
    <cellStyle name="Separador de milhares 3 14 2" xfId="129" xr:uid="{00000000-0005-0000-0000-0000833B0000}"/>
    <cellStyle name="Separador de milhares 3 14 2 10" xfId="6443" xr:uid="{00000000-0005-0000-0000-0000843B0000}"/>
    <cellStyle name="Separador de milhares 3 14 2 10 2" xfId="9597" xr:uid="{00000000-0005-0000-0000-0000853B0000}"/>
    <cellStyle name="Separador de milhares 3 14 2 10 2 2" xfId="27811" xr:uid="{00000000-0005-0000-0000-0000863B0000}"/>
    <cellStyle name="Separador de milhares 3 14 2 10 2 2 2" xfId="53992" xr:uid="{00000000-0005-0000-0000-0000873B0000}"/>
    <cellStyle name="Separador de milhares 3 14 2 10 2 3" xfId="21897" xr:uid="{00000000-0005-0000-0000-0000883B0000}"/>
    <cellStyle name="Separador de milhares 3 14 2 10 2 3 2" xfId="48084" xr:uid="{00000000-0005-0000-0000-0000893B0000}"/>
    <cellStyle name="Separador de milhares 3 14 2 10 2 4" xfId="15983" xr:uid="{00000000-0005-0000-0000-00008A3B0000}"/>
    <cellStyle name="Separador de milhares 3 14 2 10 2 4 2" xfId="42176" xr:uid="{00000000-0005-0000-0000-00008B3B0000}"/>
    <cellStyle name="Separador de milhares 3 14 2 10 2 5" xfId="35790" xr:uid="{00000000-0005-0000-0000-00008C3B0000}"/>
    <cellStyle name="Separador de milhares 3 14 2 10 3" xfId="24854" xr:uid="{00000000-0005-0000-0000-00008D3B0000}"/>
    <cellStyle name="Separador de milhares 3 14 2 10 3 2" xfId="51038" xr:uid="{00000000-0005-0000-0000-00008E3B0000}"/>
    <cellStyle name="Separador de milhares 3 14 2 10 4" xfId="18940" xr:uid="{00000000-0005-0000-0000-00008F3B0000}"/>
    <cellStyle name="Separador de milhares 3 14 2 10 4 2" xfId="45130" xr:uid="{00000000-0005-0000-0000-0000903B0000}"/>
    <cellStyle name="Separador de milhares 3 14 2 10 5" xfId="12832" xr:uid="{00000000-0005-0000-0000-0000913B0000}"/>
    <cellStyle name="Separador de milhares 3 14 2 10 5 2" xfId="39025" xr:uid="{00000000-0005-0000-0000-0000923B0000}"/>
    <cellStyle name="Separador de milhares 3 14 2 10 6" xfId="32639" xr:uid="{00000000-0005-0000-0000-0000933B0000}"/>
    <cellStyle name="Separador de milhares 3 14 2 11" xfId="8126" xr:uid="{00000000-0005-0000-0000-0000943B0000}"/>
    <cellStyle name="Separador de milhares 3 14 2 11 2" xfId="26340" xr:uid="{00000000-0005-0000-0000-0000953B0000}"/>
    <cellStyle name="Separador de milhares 3 14 2 11 2 2" xfId="52524" xr:uid="{00000000-0005-0000-0000-0000963B0000}"/>
    <cellStyle name="Separador de milhares 3 14 2 11 3" xfId="20426" xr:uid="{00000000-0005-0000-0000-0000973B0000}"/>
    <cellStyle name="Separador de milhares 3 14 2 11 3 2" xfId="46616" xr:uid="{00000000-0005-0000-0000-0000983B0000}"/>
    <cellStyle name="Separador de milhares 3 14 2 11 4" xfId="14515" xr:uid="{00000000-0005-0000-0000-0000993B0000}"/>
    <cellStyle name="Separador de milhares 3 14 2 11 4 2" xfId="40708" xr:uid="{00000000-0005-0000-0000-00009A3B0000}"/>
    <cellStyle name="Separador de milhares 3 14 2 11 5" xfId="34322" xr:uid="{00000000-0005-0000-0000-00009B3B0000}"/>
    <cellStyle name="Separador de milhares 3 14 2 12" xfId="4742" xr:uid="{00000000-0005-0000-0000-00009C3B0000}"/>
    <cellStyle name="Separador de milhares 3 14 2 12 2" xfId="23383" xr:uid="{00000000-0005-0000-0000-00009D3B0000}"/>
    <cellStyle name="Separador de milhares 3 14 2 12 2 2" xfId="49570" xr:uid="{00000000-0005-0000-0000-00009E3B0000}"/>
    <cellStyle name="Separador de milhares 3 14 2 12 3" xfId="30940" xr:uid="{00000000-0005-0000-0000-00009F3B0000}"/>
    <cellStyle name="Separador de milhares 3 14 2 13" xfId="17469" xr:uid="{00000000-0005-0000-0000-0000A03B0000}"/>
    <cellStyle name="Separador de milhares 3 14 2 13 2" xfId="43662" xr:uid="{00000000-0005-0000-0000-0000A13B0000}"/>
    <cellStyle name="Separador de milhares 3 14 2 14" xfId="11131" xr:uid="{00000000-0005-0000-0000-0000A23B0000}"/>
    <cellStyle name="Separador de milhares 3 14 2 14 2" xfId="37324" xr:uid="{00000000-0005-0000-0000-0000A33B0000}"/>
    <cellStyle name="Separador de milhares 3 14 2 15" xfId="29243" xr:uid="{00000000-0005-0000-0000-0000A43B0000}"/>
    <cellStyle name="Separador de milhares 3 14 2 2" xfId="402" xr:uid="{00000000-0005-0000-0000-0000A53B0000}"/>
    <cellStyle name="Separador de milhares 3 14 2 2 10" xfId="17543" xr:uid="{00000000-0005-0000-0000-0000A63B0000}"/>
    <cellStyle name="Separador de milhares 3 14 2 2 10 2" xfId="43736" xr:uid="{00000000-0005-0000-0000-0000A73B0000}"/>
    <cellStyle name="Separador de milhares 3 14 2 2 11" xfId="11212" xr:uid="{00000000-0005-0000-0000-0000A83B0000}"/>
    <cellStyle name="Separador de milhares 3 14 2 2 11 2" xfId="37405" xr:uid="{00000000-0005-0000-0000-0000A93B0000}"/>
    <cellStyle name="Separador de milhares 3 14 2 2 12" xfId="29323" xr:uid="{00000000-0005-0000-0000-0000AA3B0000}"/>
    <cellStyle name="Separador de milhares 3 14 2 2 2" xfId="1921" xr:uid="{00000000-0005-0000-0000-0000AB3B0000}"/>
    <cellStyle name="Separador de milhares 3 14 2 2 2 2" xfId="6962" xr:uid="{00000000-0005-0000-0000-0000AC3B0000}"/>
    <cellStyle name="Separador de milhares 3 14 2 2 2 2 2" xfId="10109" xr:uid="{00000000-0005-0000-0000-0000AD3B0000}"/>
    <cellStyle name="Separador de milhares 3 14 2 2 2 2 2 2" xfId="28323" xr:uid="{00000000-0005-0000-0000-0000AE3B0000}"/>
    <cellStyle name="Separador de milhares 3 14 2 2 2 2 2 2 2" xfId="54504" xr:uid="{00000000-0005-0000-0000-0000AF3B0000}"/>
    <cellStyle name="Separador de milhares 3 14 2 2 2 2 2 3" xfId="22409" xr:uid="{00000000-0005-0000-0000-0000B03B0000}"/>
    <cellStyle name="Separador de milhares 3 14 2 2 2 2 2 3 2" xfId="48596" xr:uid="{00000000-0005-0000-0000-0000B13B0000}"/>
    <cellStyle name="Separador de milhares 3 14 2 2 2 2 2 4" xfId="16495" xr:uid="{00000000-0005-0000-0000-0000B23B0000}"/>
    <cellStyle name="Separador de milhares 3 14 2 2 2 2 2 4 2" xfId="42688" xr:uid="{00000000-0005-0000-0000-0000B33B0000}"/>
    <cellStyle name="Separador de milhares 3 14 2 2 2 2 2 5" xfId="36302" xr:uid="{00000000-0005-0000-0000-0000B43B0000}"/>
    <cellStyle name="Separador de milhares 3 14 2 2 2 2 3" xfId="25366" xr:uid="{00000000-0005-0000-0000-0000B53B0000}"/>
    <cellStyle name="Separador de milhares 3 14 2 2 2 2 3 2" xfId="51550" xr:uid="{00000000-0005-0000-0000-0000B63B0000}"/>
    <cellStyle name="Separador de milhares 3 14 2 2 2 2 4" xfId="19452" xr:uid="{00000000-0005-0000-0000-0000B73B0000}"/>
    <cellStyle name="Separador de milhares 3 14 2 2 2 2 4 2" xfId="45642" xr:uid="{00000000-0005-0000-0000-0000B83B0000}"/>
    <cellStyle name="Separador de milhares 3 14 2 2 2 2 5" xfId="13351" xr:uid="{00000000-0005-0000-0000-0000B93B0000}"/>
    <cellStyle name="Separador de milhares 3 14 2 2 2 2 5 2" xfId="39544" xr:uid="{00000000-0005-0000-0000-0000BA3B0000}"/>
    <cellStyle name="Separador de milhares 3 14 2 2 2 2 6" xfId="33158" xr:uid="{00000000-0005-0000-0000-0000BB3B0000}"/>
    <cellStyle name="Separador de milhares 3 14 2 2 2 3" xfId="8641" xr:uid="{00000000-0005-0000-0000-0000BC3B0000}"/>
    <cellStyle name="Separador de milhares 3 14 2 2 2 3 2" xfId="26855" xr:uid="{00000000-0005-0000-0000-0000BD3B0000}"/>
    <cellStyle name="Separador de milhares 3 14 2 2 2 3 2 2" xfId="53036" xr:uid="{00000000-0005-0000-0000-0000BE3B0000}"/>
    <cellStyle name="Separador de milhares 3 14 2 2 2 3 3" xfId="20941" xr:uid="{00000000-0005-0000-0000-0000BF3B0000}"/>
    <cellStyle name="Separador de milhares 3 14 2 2 2 3 3 2" xfId="47128" xr:uid="{00000000-0005-0000-0000-0000C03B0000}"/>
    <cellStyle name="Separador de milhares 3 14 2 2 2 3 4" xfId="15027" xr:uid="{00000000-0005-0000-0000-0000C13B0000}"/>
    <cellStyle name="Separador de milhares 3 14 2 2 2 3 4 2" xfId="41220" xr:uid="{00000000-0005-0000-0000-0000C23B0000}"/>
    <cellStyle name="Separador de milhares 3 14 2 2 2 3 5" xfId="34834" xr:uid="{00000000-0005-0000-0000-0000C33B0000}"/>
    <cellStyle name="Separador de milhares 3 14 2 2 2 4" xfId="5263" xr:uid="{00000000-0005-0000-0000-0000C43B0000}"/>
    <cellStyle name="Separador de milhares 3 14 2 2 2 4 2" xfId="23898" xr:uid="{00000000-0005-0000-0000-0000C53B0000}"/>
    <cellStyle name="Separador de milhares 3 14 2 2 2 4 2 2" xfId="50082" xr:uid="{00000000-0005-0000-0000-0000C63B0000}"/>
    <cellStyle name="Separador de milhares 3 14 2 2 2 4 3" xfId="31459" xr:uid="{00000000-0005-0000-0000-0000C73B0000}"/>
    <cellStyle name="Separador de milhares 3 14 2 2 2 5" xfId="17984" xr:uid="{00000000-0005-0000-0000-0000C83B0000}"/>
    <cellStyle name="Separador de milhares 3 14 2 2 2 5 2" xfId="44174" xr:uid="{00000000-0005-0000-0000-0000C93B0000}"/>
    <cellStyle name="Separador de milhares 3 14 2 2 2 6" xfId="11650" xr:uid="{00000000-0005-0000-0000-0000CA3B0000}"/>
    <cellStyle name="Separador de milhares 3 14 2 2 2 6 2" xfId="37843" xr:uid="{00000000-0005-0000-0000-0000CB3B0000}"/>
    <cellStyle name="Separador de milhares 3 14 2 2 2 7" xfId="29761" xr:uid="{00000000-0005-0000-0000-0000CC3B0000}"/>
    <cellStyle name="Separador de milhares 3 14 2 2 3" xfId="2451" xr:uid="{00000000-0005-0000-0000-0000CD3B0000}"/>
    <cellStyle name="Separador de milhares 3 14 2 2 3 2" xfId="7112" xr:uid="{00000000-0005-0000-0000-0000CE3B0000}"/>
    <cellStyle name="Separador de milhares 3 14 2 2 3 2 2" xfId="10256" xr:uid="{00000000-0005-0000-0000-0000CF3B0000}"/>
    <cellStyle name="Separador de milhares 3 14 2 2 3 2 2 2" xfId="28470" xr:uid="{00000000-0005-0000-0000-0000D03B0000}"/>
    <cellStyle name="Separador de milhares 3 14 2 2 3 2 2 2 2" xfId="54651" xr:uid="{00000000-0005-0000-0000-0000D13B0000}"/>
    <cellStyle name="Separador de milhares 3 14 2 2 3 2 2 3" xfId="22556" xr:uid="{00000000-0005-0000-0000-0000D23B0000}"/>
    <cellStyle name="Separador de milhares 3 14 2 2 3 2 2 3 2" xfId="48743" xr:uid="{00000000-0005-0000-0000-0000D33B0000}"/>
    <cellStyle name="Separador de milhares 3 14 2 2 3 2 2 4" xfId="16642" xr:uid="{00000000-0005-0000-0000-0000D43B0000}"/>
    <cellStyle name="Separador de milhares 3 14 2 2 3 2 2 4 2" xfId="42835" xr:uid="{00000000-0005-0000-0000-0000D53B0000}"/>
    <cellStyle name="Separador de milhares 3 14 2 2 3 2 2 5" xfId="36449" xr:uid="{00000000-0005-0000-0000-0000D63B0000}"/>
    <cellStyle name="Separador de milhares 3 14 2 2 3 2 3" xfId="25513" xr:uid="{00000000-0005-0000-0000-0000D73B0000}"/>
    <cellStyle name="Separador de milhares 3 14 2 2 3 2 3 2" xfId="51697" xr:uid="{00000000-0005-0000-0000-0000D83B0000}"/>
    <cellStyle name="Separador de milhares 3 14 2 2 3 2 4" xfId="19599" xr:uid="{00000000-0005-0000-0000-0000D93B0000}"/>
    <cellStyle name="Separador de milhares 3 14 2 2 3 2 4 2" xfId="45789" xr:uid="{00000000-0005-0000-0000-0000DA3B0000}"/>
    <cellStyle name="Separador de milhares 3 14 2 2 3 2 5" xfId="13501" xr:uid="{00000000-0005-0000-0000-0000DB3B0000}"/>
    <cellStyle name="Separador de milhares 3 14 2 2 3 2 5 2" xfId="39694" xr:uid="{00000000-0005-0000-0000-0000DC3B0000}"/>
    <cellStyle name="Separador de milhares 3 14 2 2 3 2 6" xfId="33308" xr:uid="{00000000-0005-0000-0000-0000DD3B0000}"/>
    <cellStyle name="Separador de milhares 3 14 2 2 3 3" xfId="8788" xr:uid="{00000000-0005-0000-0000-0000DE3B0000}"/>
    <cellStyle name="Separador de milhares 3 14 2 2 3 3 2" xfId="27002" xr:uid="{00000000-0005-0000-0000-0000DF3B0000}"/>
    <cellStyle name="Separador de milhares 3 14 2 2 3 3 2 2" xfId="53183" xr:uid="{00000000-0005-0000-0000-0000E03B0000}"/>
    <cellStyle name="Separador de milhares 3 14 2 2 3 3 3" xfId="21088" xr:uid="{00000000-0005-0000-0000-0000E13B0000}"/>
    <cellStyle name="Separador de milhares 3 14 2 2 3 3 3 2" xfId="47275" xr:uid="{00000000-0005-0000-0000-0000E23B0000}"/>
    <cellStyle name="Separador de milhares 3 14 2 2 3 3 4" xfId="15174" xr:uid="{00000000-0005-0000-0000-0000E33B0000}"/>
    <cellStyle name="Separador de milhares 3 14 2 2 3 3 4 2" xfId="41367" xr:uid="{00000000-0005-0000-0000-0000E43B0000}"/>
    <cellStyle name="Separador de milhares 3 14 2 2 3 3 5" xfId="34981" xr:uid="{00000000-0005-0000-0000-0000E53B0000}"/>
    <cellStyle name="Separador de milhares 3 14 2 2 3 4" xfId="5413" xr:uid="{00000000-0005-0000-0000-0000E63B0000}"/>
    <cellStyle name="Separador de milhares 3 14 2 2 3 4 2" xfId="24045" xr:uid="{00000000-0005-0000-0000-0000E73B0000}"/>
    <cellStyle name="Separador de milhares 3 14 2 2 3 4 2 2" xfId="50229" xr:uid="{00000000-0005-0000-0000-0000E83B0000}"/>
    <cellStyle name="Separador de milhares 3 14 2 2 3 4 3" xfId="31609" xr:uid="{00000000-0005-0000-0000-0000E93B0000}"/>
    <cellStyle name="Separador de milhares 3 14 2 2 3 5" xfId="18131" xr:uid="{00000000-0005-0000-0000-0000EA3B0000}"/>
    <cellStyle name="Separador de milhares 3 14 2 2 3 5 2" xfId="44321" xr:uid="{00000000-0005-0000-0000-0000EB3B0000}"/>
    <cellStyle name="Separador de milhares 3 14 2 2 3 6" xfId="11800" xr:uid="{00000000-0005-0000-0000-0000EC3B0000}"/>
    <cellStyle name="Separador de milhares 3 14 2 2 3 6 2" xfId="37993" xr:uid="{00000000-0005-0000-0000-0000ED3B0000}"/>
    <cellStyle name="Separador de milhares 3 14 2 2 3 7" xfId="29911" xr:uid="{00000000-0005-0000-0000-0000EE3B0000}"/>
    <cellStyle name="Separador de milhares 3 14 2 2 4" xfId="2978" xr:uid="{00000000-0005-0000-0000-0000EF3B0000}"/>
    <cellStyle name="Separador de milhares 3 14 2 2 4 2" xfId="7259" xr:uid="{00000000-0005-0000-0000-0000F03B0000}"/>
    <cellStyle name="Separador de milhares 3 14 2 2 4 2 2" xfId="10403" xr:uid="{00000000-0005-0000-0000-0000F13B0000}"/>
    <cellStyle name="Separador de milhares 3 14 2 2 4 2 2 2" xfId="28617" xr:uid="{00000000-0005-0000-0000-0000F23B0000}"/>
    <cellStyle name="Separador de milhares 3 14 2 2 4 2 2 2 2" xfId="54798" xr:uid="{00000000-0005-0000-0000-0000F33B0000}"/>
    <cellStyle name="Separador de milhares 3 14 2 2 4 2 2 3" xfId="22703" xr:uid="{00000000-0005-0000-0000-0000F43B0000}"/>
    <cellStyle name="Separador de milhares 3 14 2 2 4 2 2 3 2" xfId="48890" xr:uid="{00000000-0005-0000-0000-0000F53B0000}"/>
    <cellStyle name="Separador de milhares 3 14 2 2 4 2 2 4" xfId="16789" xr:uid="{00000000-0005-0000-0000-0000F63B0000}"/>
    <cellStyle name="Separador de milhares 3 14 2 2 4 2 2 4 2" xfId="42982" xr:uid="{00000000-0005-0000-0000-0000F73B0000}"/>
    <cellStyle name="Separador de milhares 3 14 2 2 4 2 2 5" xfId="36596" xr:uid="{00000000-0005-0000-0000-0000F83B0000}"/>
    <cellStyle name="Separador de milhares 3 14 2 2 4 2 3" xfId="25660" xr:uid="{00000000-0005-0000-0000-0000F93B0000}"/>
    <cellStyle name="Separador de milhares 3 14 2 2 4 2 3 2" xfId="51844" xr:uid="{00000000-0005-0000-0000-0000FA3B0000}"/>
    <cellStyle name="Separador de milhares 3 14 2 2 4 2 4" xfId="19746" xr:uid="{00000000-0005-0000-0000-0000FB3B0000}"/>
    <cellStyle name="Separador de milhares 3 14 2 2 4 2 4 2" xfId="45936" xr:uid="{00000000-0005-0000-0000-0000FC3B0000}"/>
    <cellStyle name="Separador de milhares 3 14 2 2 4 2 5" xfId="13648" xr:uid="{00000000-0005-0000-0000-0000FD3B0000}"/>
    <cellStyle name="Separador de milhares 3 14 2 2 4 2 5 2" xfId="39841" xr:uid="{00000000-0005-0000-0000-0000FE3B0000}"/>
    <cellStyle name="Separador de milhares 3 14 2 2 4 2 6" xfId="33455" xr:uid="{00000000-0005-0000-0000-0000FF3B0000}"/>
    <cellStyle name="Separador de milhares 3 14 2 2 4 3" xfId="8935" xr:uid="{00000000-0005-0000-0000-0000003C0000}"/>
    <cellStyle name="Separador de milhares 3 14 2 2 4 3 2" xfId="27149" xr:uid="{00000000-0005-0000-0000-0000013C0000}"/>
    <cellStyle name="Separador de milhares 3 14 2 2 4 3 2 2" xfId="53330" xr:uid="{00000000-0005-0000-0000-0000023C0000}"/>
    <cellStyle name="Separador de milhares 3 14 2 2 4 3 3" xfId="21235" xr:uid="{00000000-0005-0000-0000-0000033C0000}"/>
    <cellStyle name="Separador de milhares 3 14 2 2 4 3 3 2" xfId="47422" xr:uid="{00000000-0005-0000-0000-0000043C0000}"/>
    <cellStyle name="Separador de milhares 3 14 2 2 4 3 4" xfId="15321" xr:uid="{00000000-0005-0000-0000-0000053C0000}"/>
    <cellStyle name="Separador de milhares 3 14 2 2 4 3 4 2" xfId="41514" xr:uid="{00000000-0005-0000-0000-0000063C0000}"/>
    <cellStyle name="Separador de milhares 3 14 2 2 4 3 5" xfId="35128" xr:uid="{00000000-0005-0000-0000-0000073C0000}"/>
    <cellStyle name="Separador de milhares 3 14 2 2 4 4" xfId="5560" xr:uid="{00000000-0005-0000-0000-0000083C0000}"/>
    <cellStyle name="Separador de milhares 3 14 2 2 4 4 2" xfId="24192" xr:uid="{00000000-0005-0000-0000-0000093C0000}"/>
    <cellStyle name="Separador de milhares 3 14 2 2 4 4 2 2" xfId="50376" xr:uid="{00000000-0005-0000-0000-00000A3C0000}"/>
    <cellStyle name="Separador de milhares 3 14 2 2 4 4 3" xfId="31756" xr:uid="{00000000-0005-0000-0000-00000B3C0000}"/>
    <cellStyle name="Separador de milhares 3 14 2 2 4 5" xfId="18278" xr:uid="{00000000-0005-0000-0000-00000C3C0000}"/>
    <cellStyle name="Separador de milhares 3 14 2 2 4 5 2" xfId="44468" xr:uid="{00000000-0005-0000-0000-00000D3C0000}"/>
    <cellStyle name="Separador de milhares 3 14 2 2 4 6" xfId="11947" xr:uid="{00000000-0005-0000-0000-00000E3C0000}"/>
    <cellStyle name="Separador de milhares 3 14 2 2 4 6 2" xfId="38140" xr:uid="{00000000-0005-0000-0000-00000F3C0000}"/>
    <cellStyle name="Separador de milhares 3 14 2 2 4 7" xfId="30058" xr:uid="{00000000-0005-0000-0000-0000103C0000}"/>
    <cellStyle name="Separador de milhares 3 14 2 2 5" xfId="3505" xr:uid="{00000000-0005-0000-0000-0000113C0000}"/>
    <cellStyle name="Separador de milhares 3 14 2 2 5 2" xfId="7406" xr:uid="{00000000-0005-0000-0000-0000123C0000}"/>
    <cellStyle name="Separador de milhares 3 14 2 2 5 2 2" xfId="10550" xr:uid="{00000000-0005-0000-0000-0000133C0000}"/>
    <cellStyle name="Separador de milhares 3 14 2 2 5 2 2 2" xfId="28764" xr:uid="{00000000-0005-0000-0000-0000143C0000}"/>
    <cellStyle name="Separador de milhares 3 14 2 2 5 2 2 2 2" xfId="54945" xr:uid="{00000000-0005-0000-0000-0000153C0000}"/>
    <cellStyle name="Separador de milhares 3 14 2 2 5 2 2 3" xfId="22850" xr:uid="{00000000-0005-0000-0000-0000163C0000}"/>
    <cellStyle name="Separador de milhares 3 14 2 2 5 2 2 3 2" xfId="49037" xr:uid="{00000000-0005-0000-0000-0000173C0000}"/>
    <cellStyle name="Separador de milhares 3 14 2 2 5 2 2 4" xfId="16936" xr:uid="{00000000-0005-0000-0000-0000183C0000}"/>
    <cellStyle name="Separador de milhares 3 14 2 2 5 2 2 4 2" xfId="43129" xr:uid="{00000000-0005-0000-0000-0000193C0000}"/>
    <cellStyle name="Separador de milhares 3 14 2 2 5 2 2 5" xfId="36743" xr:uid="{00000000-0005-0000-0000-00001A3C0000}"/>
    <cellStyle name="Separador de milhares 3 14 2 2 5 2 3" xfId="25807" xr:uid="{00000000-0005-0000-0000-00001B3C0000}"/>
    <cellStyle name="Separador de milhares 3 14 2 2 5 2 3 2" xfId="51991" xr:uid="{00000000-0005-0000-0000-00001C3C0000}"/>
    <cellStyle name="Separador de milhares 3 14 2 2 5 2 4" xfId="19893" xr:uid="{00000000-0005-0000-0000-00001D3C0000}"/>
    <cellStyle name="Separador de milhares 3 14 2 2 5 2 4 2" xfId="46083" xr:uid="{00000000-0005-0000-0000-00001E3C0000}"/>
    <cellStyle name="Separador de milhares 3 14 2 2 5 2 5" xfId="13795" xr:uid="{00000000-0005-0000-0000-00001F3C0000}"/>
    <cellStyle name="Separador de milhares 3 14 2 2 5 2 5 2" xfId="39988" xr:uid="{00000000-0005-0000-0000-0000203C0000}"/>
    <cellStyle name="Separador de milhares 3 14 2 2 5 2 6" xfId="33602" xr:uid="{00000000-0005-0000-0000-0000213C0000}"/>
    <cellStyle name="Separador de milhares 3 14 2 2 5 3" xfId="9082" xr:uid="{00000000-0005-0000-0000-0000223C0000}"/>
    <cellStyle name="Separador de milhares 3 14 2 2 5 3 2" xfId="27296" xr:uid="{00000000-0005-0000-0000-0000233C0000}"/>
    <cellStyle name="Separador de milhares 3 14 2 2 5 3 2 2" xfId="53477" xr:uid="{00000000-0005-0000-0000-0000243C0000}"/>
    <cellStyle name="Separador de milhares 3 14 2 2 5 3 3" xfId="21382" xr:uid="{00000000-0005-0000-0000-0000253C0000}"/>
    <cellStyle name="Separador de milhares 3 14 2 2 5 3 3 2" xfId="47569" xr:uid="{00000000-0005-0000-0000-0000263C0000}"/>
    <cellStyle name="Separador de milhares 3 14 2 2 5 3 4" xfId="15468" xr:uid="{00000000-0005-0000-0000-0000273C0000}"/>
    <cellStyle name="Separador de milhares 3 14 2 2 5 3 4 2" xfId="41661" xr:uid="{00000000-0005-0000-0000-0000283C0000}"/>
    <cellStyle name="Separador de milhares 3 14 2 2 5 3 5" xfId="35275" xr:uid="{00000000-0005-0000-0000-0000293C0000}"/>
    <cellStyle name="Separador de milhares 3 14 2 2 5 4" xfId="5707" xr:uid="{00000000-0005-0000-0000-00002A3C0000}"/>
    <cellStyle name="Separador de milhares 3 14 2 2 5 4 2" xfId="24339" xr:uid="{00000000-0005-0000-0000-00002B3C0000}"/>
    <cellStyle name="Separador de milhares 3 14 2 2 5 4 2 2" xfId="50523" xr:uid="{00000000-0005-0000-0000-00002C3C0000}"/>
    <cellStyle name="Separador de milhares 3 14 2 2 5 4 3" xfId="31903" xr:uid="{00000000-0005-0000-0000-00002D3C0000}"/>
    <cellStyle name="Separador de milhares 3 14 2 2 5 5" xfId="18425" xr:uid="{00000000-0005-0000-0000-00002E3C0000}"/>
    <cellStyle name="Separador de milhares 3 14 2 2 5 5 2" xfId="44615" xr:uid="{00000000-0005-0000-0000-00002F3C0000}"/>
    <cellStyle name="Separador de milhares 3 14 2 2 5 6" xfId="12094" xr:uid="{00000000-0005-0000-0000-0000303C0000}"/>
    <cellStyle name="Separador de milhares 3 14 2 2 5 6 2" xfId="38287" xr:uid="{00000000-0005-0000-0000-0000313C0000}"/>
    <cellStyle name="Separador de milhares 3 14 2 2 5 7" xfId="30205" xr:uid="{00000000-0005-0000-0000-0000323C0000}"/>
    <cellStyle name="Separador de milhares 3 14 2 2 6" xfId="4032" xr:uid="{00000000-0005-0000-0000-0000333C0000}"/>
    <cellStyle name="Separador de milhares 3 14 2 2 6 2" xfId="7553" xr:uid="{00000000-0005-0000-0000-0000343C0000}"/>
    <cellStyle name="Separador de milhares 3 14 2 2 6 2 2" xfId="10697" xr:uid="{00000000-0005-0000-0000-0000353C0000}"/>
    <cellStyle name="Separador de milhares 3 14 2 2 6 2 2 2" xfId="28911" xr:uid="{00000000-0005-0000-0000-0000363C0000}"/>
    <cellStyle name="Separador de milhares 3 14 2 2 6 2 2 2 2" xfId="55092" xr:uid="{00000000-0005-0000-0000-0000373C0000}"/>
    <cellStyle name="Separador de milhares 3 14 2 2 6 2 2 3" xfId="22997" xr:uid="{00000000-0005-0000-0000-0000383C0000}"/>
    <cellStyle name="Separador de milhares 3 14 2 2 6 2 2 3 2" xfId="49184" xr:uid="{00000000-0005-0000-0000-0000393C0000}"/>
    <cellStyle name="Separador de milhares 3 14 2 2 6 2 2 4" xfId="17083" xr:uid="{00000000-0005-0000-0000-00003A3C0000}"/>
    <cellStyle name="Separador de milhares 3 14 2 2 6 2 2 4 2" xfId="43276" xr:uid="{00000000-0005-0000-0000-00003B3C0000}"/>
    <cellStyle name="Separador de milhares 3 14 2 2 6 2 2 5" xfId="36890" xr:uid="{00000000-0005-0000-0000-00003C3C0000}"/>
    <cellStyle name="Separador de milhares 3 14 2 2 6 2 3" xfId="25954" xr:uid="{00000000-0005-0000-0000-00003D3C0000}"/>
    <cellStyle name="Separador de milhares 3 14 2 2 6 2 3 2" xfId="52138" xr:uid="{00000000-0005-0000-0000-00003E3C0000}"/>
    <cellStyle name="Separador de milhares 3 14 2 2 6 2 4" xfId="20040" xr:uid="{00000000-0005-0000-0000-00003F3C0000}"/>
    <cellStyle name="Separador de milhares 3 14 2 2 6 2 4 2" xfId="46230" xr:uid="{00000000-0005-0000-0000-0000403C0000}"/>
    <cellStyle name="Separador de milhares 3 14 2 2 6 2 5" xfId="13942" xr:uid="{00000000-0005-0000-0000-0000413C0000}"/>
    <cellStyle name="Separador de milhares 3 14 2 2 6 2 5 2" xfId="40135" xr:uid="{00000000-0005-0000-0000-0000423C0000}"/>
    <cellStyle name="Separador de milhares 3 14 2 2 6 2 6" xfId="33749" xr:uid="{00000000-0005-0000-0000-0000433C0000}"/>
    <cellStyle name="Separador de milhares 3 14 2 2 6 3" xfId="9229" xr:uid="{00000000-0005-0000-0000-0000443C0000}"/>
    <cellStyle name="Separador de milhares 3 14 2 2 6 3 2" xfId="27443" xr:uid="{00000000-0005-0000-0000-0000453C0000}"/>
    <cellStyle name="Separador de milhares 3 14 2 2 6 3 2 2" xfId="53624" xr:uid="{00000000-0005-0000-0000-0000463C0000}"/>
    <cellStyle name="Separador de milhares 3 14 2 2 6 3 3" xfId="21529" xr:uid="{00000000-0005-0000-0000-0000473C0000}"/>
    <cellStyle name="Separador de milhares 3 14 2 2 6 3 3 2" xfId="47716" xr:uid="{00000000-0005-0000-0000-0000483C0000}"/>
    <cellStyle name="Separador de milhares 3 14 2 2 6 3 4" xfId="15615" xr:uid="{00000000-0005-0000-0000-0000493C0000}"/>
    <cellStyle name="Separador de milhares 3 14 2 2 6 3 4 2" xfId="41808" xr:uid="{00000000-0005-0000-0000-00004A3C0000}"/>
    <cellStyle name="Separador de milhares 3 14 2 2 6 3 5" xfId="35422" xr:uid="{00000000-0005-0000-0000-00004B3C0000}"/>
    <cellStyle name="Separador de milhares 3 14 2 2 6 4" xfId="5854" xr:uid="{00000000-0005-0000-0000-00004C3C0000}"/>
    <cellStyle name="Separador de milhares 3 14 2 2 6 4 2" xfId="24486" xr:uid="{00000000-0005-0000-0000-00004D3C0000}"/>
    <cellStyle name="Separador de milhares 3 14 2 2 6 4 2 2" xfId="50670" xr:uid="{00000000-0005-0000-0000-00004E3C0000}"/>
    <cellStyle name="Separador de milhares 3 14 2 2 6 4 3" xfId="32050" xr:uid="{00000000-0005-0000-0000-00004F3C0000}"/>
    <cellStyle name="Separador de milhares 3 14 2 2 6 5" xfId="18572" xr:uid="{00000000-0005-0000-0000-0000503C0000}"/>
    <cellStyle name="Separador de milhares 3 14 2 2 6 5 2" xfId="44762" xr:uid="{00000000-0005-0000-0000-0000513C0000}"/>
    <cellStyle name="Separador de milhares 3 14 2 2 6 6" xfId="12241" xr:uid="{00000000-0005-0000-0000-0000523C0000}"/>
    <cellStyle name="Separador de milhares 3 14 2 2 6 6 2" xfId="38434" xr:uid="{00000000-0005-0000-0000-0000533C0000}"/>
    <cellStyle name="Separador de milhares 3 14 2 2 6 7" xfId="30352" xr:uid="{00000000-0005-0000-0000-0000543C0000}"/>
    <cellStyle name="Separador de milhares 3 14 2 2 7" xfId="6524" xr:uid="{00000000-0005-0000-0000-0000553C0000}"/>
    <cellStyle name="Separador de milhares 3 14 2 2 7 2" xfId="9671" xr:uid="{00000000-0005-0000-0000-0000563C0000}"/>
    <cellStyle name="Separador de milhares 3 14 2 2 7 2 2" xfId="27885" xr:uid="{00000000-0005-0000-0000-0000573C0000}"/>
    <cellStyle name="Separador de milhares 3 14 2 2 7 2 2 2" xfId="54066" xr:uid="{00000000-0005-0000-0000-0000583C0000}"/>
    <cellStyle name="Separador de milhares 3 14 2 2 7 2 3" xfId="21971" xr:uid="{00000000-0005-0000-0000-0000593C0000}"/>
    <cellStyle name="Separador de milhares 3 14 2 2 7 2 3 2" xfId="48158" xr:uid="{00000000-0005-0000-0000-00005A3C0000}"/>
    <cellStyle name="Separador de milhares 3 14 2 2 7 2 4" xfId="16057" xr:uid="{00000000-0005-0000-0000-00005B3C0000}"/>
    <cellStyle name="Separador de milhares 3 14 2 2 7 2 4 2" xfId="42250" xr:uid="{00000000-0005-0000-0000-00005C3C0000}"/>
    <cellStyle name="Separador de milhares 3 14 2 2 7 2 5" xfId="35864" xr:uid="{00000000-0005-0000-0000-00005D3C0000}"/>
    <cellStyle name="Separador de milhares 3 14 2 2 7 3" xfId="24928" xr:uid="{00000000-0005-0000-0000-00005E3C0000}"/>
    <cellStyle name="Separador de milhares 3 14 2 2 7 3 2" xfId="51112" xr:uid="{00000000-0005-0000-0000-00005F3C0000}"/>
    <cellStyle name="Separador de milhares 3 14 2 2 7 4" xfId="19014" xr:uid="{00000000-0005-0000-0000-0000603C0000}"/>
    <cellStyle name="Separador de milhares 3 14 2 2 7 4 2" xfId="45204" xr:uid="{00000000-0005-0000-0000-0000613C0000}"/>
    <cellStyle name="Separador de milhares 3 14 2 2 7 5" xfId="12913" xr:uid="{00000000-0005-0000-0000-0000623C0000}"/>
    <cellStyle name="Separador de milhares 3 14 2 2 7 5 2" xfId="39106" xr:uid="{00000000-0005-0000-0000-0000633C0000}"/>
    <cellStyle name="Separador de milhares 3 14 2 2 7 6" xfId="32720" xr:uid="{00000000-0005-0000-0000-0000643C0000}"/>
    <cellStyle name="Separador de milhares 3 14 2 2 8" xfId="8200" xr:uid="{00000000-0005-0000-0000-0000653C0000}"/>
    <cellStyle name="Separador de milhares 3 14 2 2 8 2" xfId="26414" xr:uid="{00000000-0005-0000-0000-0000663C0000}"/>
    <cellStyle name="Separador de milhares 3 14 2 2 8 2 2" xfId="52598" xr:uid="{00000000-0005-0000-0000-0000673C0000}"/>
    <cellStyle name="Separador de milhares 3 14 2 2 8 3" xfId="20500" xr:uid="{00000000-0005-0000-0000-0000683C0000}"/>
    <cellStyle name="Separador de milhares 3 14 2 2 8 3 2" xfId="46690" xr:uid="{00000000-0005-0000-0000-0000693C0000}"/>
    <cellStyle name="Separador de milhares 3 14 2 2 8 4" xfId="14589" xr:uid="{00000000-0005-0000-0000-00006A3C0000}"/>
    <cellStyle name="Separador de milhares 3 14 2 2 8 4 2" xfId="40782" xr:uid="{00000000-0005-0000-0000-00006B3C0000}"/>
    <cellStyle name="Separador de milhares 3 14 2 2 8 5" xfId="34396" xr:uid="{00000000-0005-0000-0000-00006C3C0000}"/>
    <cellStyle name="Separador de milhares 3 14 2 2 9" xfId="4823" xr:uid="{00000000-0005-0000-0000-00006D3C0000}"/>
    <cellStyle name="Separador de milhares 3 14 2 2 9 2" xfId="23457" xr:uid="{00000000-0005-0000-0000-00006E3C0000}"/>
    <cellStyle name="Separador de milhares 3 14 2 2 9 2 2" xfId="49644" xr:uid="{00000000-0005-0000-0000-00006F3C0000}"/>
    <cellStyle name="Separador de milhares 3 14 2 2 9 3" xfId="31021" xr:uid="{00000000-0005-0000-0000-0000703C0000}"/>
    <cellStyle name="Separador de milhares 3 14 2 3" xfId="875" xr:uid="{00000000-0005-0000-0000-0000713C0000}"/>
    <cellStyle name="Separador de milhares 3 14 2 3 2" xfId="6675" xr:uid="{00000000-0005-0000-0000-0000723C0000}"/>
    <cellStyle name="Separador de milhares 3 14 2 3 2 2" xfId="9822" xr:uid="{00000000-0005-0000-0000-0000733C0000}"/>
    <cellStyle name="Separador de milhares 3 14 2 3 2 2 2" xfId="28036" xr:uid="{00000000-0005-0000-0000-0000743C0000}"/>
    <cellStyle name="Separador de milhares 3 14 2 3 2 2 2 2" xfId="54217" xr:uid="{00000000-0005-0000-0000-0000753C0000}"/>
    <cellStyle name="Separador de milhares 3 14 2 3 2 2 3" xfId="22122" xr:uid="{00000000-0005-0000-0000-0000763C0000}"/>
    <cellStyle name="Separador de milhares 3 14 2 3 2 2 3 2" xfId="48309" xr:uid="{00000000-0005-0000-0000-0000773C0000}"/>
    <cellStyle name="Separador de milhares 3 14 2 3 2 2 4" xfId="16208" xr:uid="{00000000-0005-0000-0000-0000783C0000}"/>
    <cellStyle name="Separador de milhares 3 14 2 3 2 2 4 2" xfId="42401" xr:uid="{00000000-0005-0000-0000-0000793C0000}"/>
    <cellStyle name="Separador de milhares 3 14 2 3 2 2 5" xfId="36015" xr:uid="{00000000-0005-0000-0000-00007A3C0000}"/>
    <cellStyle name="Separador de milhares 3 14 2 3 2 3" xfId="25079" xr:uid="{00000000-0005-0000-0000-00007B3C0000}"/>
    <cellStyle name="Separador de milhares 3 14 2 3 2 3 2" xfId="51263" xr:uid="{00000000-0005-0000-0000-00007C3C0000}"/>
    <cellStyle name="Separador de milhares 3 14 2 3 2 4" xfId="19165" xr:uid="{00000000-0005-0000-0000-00007D3C0000}"/>
    <cellStyle name="Separador de milhares 3 14 2 3 2 4 2" xfId="45355" xr:uid="{00000000-0005-0000-0000-00007E3C0000}"/>
    <cellStyle name="Separador de milhares 3 14 2 3 2 5" xfId="13064" xr:uid="{00000000-0005-0000-0000-00007F3C0000}"/>
    <cellStyle name="Separador de milhares 3 14 2 3 2 5 2" xfId="39257" xr:uid="{00000000-0005-0000-0000-0000803C0000}"/>
    <cellStyle name="Separador de milhares 3 14 2 3 2 6" xfId="32871" xr:uid="{00000000-0005-0000-0000-0000813C0000}"/>
    <cellStyle name="Separador de milhares 3 14 2 3 3" xfId="8354" xr:uid="{00000000-0005-0000-0000-0000823C0000}"/>
    <cellStyle name="Separador de milhares 3 14 2 3 3 2" xfId="26568" xr:uid="{00000000-0005-0000-0000-0000833C0000}"/>
    <cellStyle name="Separador de milhares 3 14 2 3 3 2 2" xfId="52749" xr:uid="{00000000-0005-0000-0000-0000843C0000}"/>
    <cellStyle name="Separador de milhares 3 14 2 3 3 3" xfId="20654" xr:uid="{00000000-0005-0000-0000-0000853C0000}"/>
    <cellStyle name="Separador de milhares 3 14 2 3 3 3 2" xfId="46841" xr:uid="{00000000-0005-0000-0000-0000863C0000}"/>
    <cellStyle name="Separador de milhares 3 14 2 3 3 4" xfId="14740" xr:uid="{00000000-0005-0000-0000-0000873C0000}"/>
    <cellStyle name="Separador de milhares 3 14 2 3 3 4 2" xfId="40933" xr:uid="{00000000-0005-0000-0000-0000883C0000}"/>
    <cellStyle name="Separador de milhares 3 14 2 3 3 5" xfId="34547" xr:uid="{00000000-0005-0000-0000-0000893C0000}"/>
    <cellStyle name="Separador de milhares 3 14 2 3 4" xfId="4976" xr:uid="{00000000-0005-0000-0000-00008A3C0000}"/>
    <cellStyle name="Separador de milhares 3 14 2 3 4 2" xfId="23611" xr:uid="{00000000-0005-0000-0000-00008B3C0000}"/>
    <cellStyle name="Separador de milhares 3 14 2 3 4 2 2" xfId="49795" xr:uid="{00000000-0005-0000-0000-00008C3C0000}"/>
    <cellStyle name="Separador de milhares 3 14 2 3 4 3" xfId="31172" xr:uid="{00000000-0005-0000-0000-00008D3C0000}"/>
    <cellStyle name="Separador de milhares 3 14 2 3 5" xfId="17697" xr:uid="{00000000-0005-0000-0000-00008E3C0000}"/>
    <cellStyle name="Separador de milhares 3 14 2 3 5 2" xfId="43887" xr:uid="{00000000-0005-0000-0000-00008F3C0000}"/>
    <cellStyle name="Separador de milhares 3 14 2 3 6" xfId="11363" xr:uid="{00000000-0005-0000-0000-0000903C0000}"/>
    <cellStyle name="Separador de milhares 3 14 2 3 6 2" xfId="37556" xr:uid="{00000000-0005-0000-0000-0000913C0000}"/>
    <cellStyle name="Separador de milhares 3 14 2 3 7" xfId="29474" xr:uid="{00000000-0005-0000-0000-0000923C0000}"/>
    <cellStyle name="Separador de milhares 3 14 2 4" xfId="1226" xr:uid="{00000000-0005-0000-0000-0000933C0000}"/>
    <cellStyle name="Separador de milhares 3 14 2 4 2" xfId="6773" xr:uid="{00000000-0005-0000-0000-0000943C0000}"/>
    <cellStyle name="Separador de milhares 3 14 2 4 2 2" xfId="9920" xr:uid="{00000000-0005-0000-0000-0000953C0000}"/>
    <cellStyle name="Separador de milhares 3 14 2 4 2 2 2" xfId="28134" xr:uid="{00000000-0005-0000-0000-0000963C0000}"/>
    <cellStyle name="Separador de milhares 3 14 2 4 2 2 2 2" xfId="54315" xr:uid="{00000000-0005-0000-0000-0000973C0000}"/>
    <cellStyle name="Separador de milhares 3 14 2 4 2 2 3" xfId="22220" xr:uid="{00000000-0005-0000-0000-0000983C0000}"/>
    <cellStyle name="Separador de milhares 3 14 2 4 2 2 3 2" xfId="48407" xr:uid="{00000000-0005-0000-0000-0000993C0000}"/>
    <cellStyle name="Separador de milhares 3 14 2 4 2 2 4" xfId="16306" xr:uid="{00000000-0005-0000-0000-00009A3C0000}"/>
    <cellStyle name="Separador de milhares 3 14 2 4 2 2 4 2" xfId="42499" xr:uid="{00000000-0005-0000-0000-00009B3C0000}"/>
    <cellStyle name="Separador de milhares 3 14 2 4 2 2 5" xfId="36113" xr:uid="{00000000-0005-0000-0000-00009C3C0000}"/>
    <cellStyle name="Separador de milhares 3 14 2 4 2 3" xfId="25177" xr:uid="{00000000-0005-0000-0000-00009D3C0000}"/>
    <cellStyle name="Separador de milhares 3 14 2 4 2 3 2" xfId="51361" xr:uid="{00000000-0005-0000-0000-00009E3C0000}"/>
    <cellStyle name="Separador de milhares 3 14 2 4 2 4" xfId="19263" xr:uid="{00000000-0005-0000-0000-00009F3C0000}"/>
    <cellStyle name="Separador de milhares 3 14 2 4 2 4 2" xfId="45453" xr:uid="{00000000-0005-0000-0000-0000A03C0000}"/>
    <cellStyle name="Separador de milhares 3 14 2 4 2 5" xfId="13162" xr:uid="{00000000-0005-0000-0000-0000A13C0000}"/>
    <cellStyle name="Separador de milhares 3 14 2 4 2 5 2" xfId="39355" xr:uid="{00000000-0005-0000-0000-0000A23C0000}"/>
    <cellStyle name="Separador de milhares 3 14 2 4 2 6" xfId="32969" xr:uid="{00000000-0005-0000-0000-0000A33C0000}"/>
    <cellStyle name="Separador de milhares 3 14 2 4 3" xfId="8452" xr:uid="{00000000-0005-0000-0000-0000A43C0000}"/>
    <cellStyle name="Separador de milhares 3 14 2 4 3 2" xfId="26666" xr:uid="{00000000-0005-0000-0000-0000A53C0000}"/>
    <cellStyle name="Separador de milhares 3 14 2 4 3 2 2" xfId="52847" xr:uid="{00000000-0005-0000-0000-0000A63C0000}"/>
    <cellStyle name="Separador de milhares 3 14 2 4 3 3" xfId="20752" xr:uid="{00000000-0005-0000-0000-0000A73C0000}"/>
    <cellStyle name="Separador de milhares 3 14 2 4 3 3 2" xfId="46939" xr:uid="{00000000-0005-0000-0000-0000A83C0000}"/>
    <cellStyle name="Separador de milhares 3 14 2 4 3 4" xfId="14838" xr:uid="{00000000-0005-0000-0000-0000A93C0000}"/>
    <cellStyle name="Separador de milhares 3 14 2 4 3 4 2" xfId="41031" xr:uid="{00000000-0005-0000-0000-0000AA3C0000}"/>
    <cellStyle name="Separador de milhares 3 14 2 4 3 5" xfId="34645" xr:uid="{00000000-0005-0000-0000-0000AB3C0000}"/>
    <cellStyle name="Separador de milhares 3 14 2 4 4" xfId="5074" xr:uid="{00000000-0005-0000-0000-0000AC3C0000}"/>
    <cellStyle name="Separador de milhares 3 14 2 4 4 2" xfId="23709" xr:uid="{00000000-0005-0000-0000-0000AD3C0000}"/>
    <cellStyle name="Separador de milhares 3 14 2 4 4 2 2" xfId="49893" xr:uid="{00000000-0005-0000-0000-0000AE3C0000}"/>
    <cellStyle name="Separador de milhares 3 14 2 4 4 3" xfId="31270" xr:uid="{00000000-0005-0000-0000-0000AF3C0000}"/>
    <cellStyle name="Separador de milhares 3 14 2 4 5" xfId="17795" xr:uid="{00000000-0005-0000-0000-0000B03C0000}"/>
    <cellStyle name="Separador de milhares 3 14 2 4 5 2" xfId="43985" xr:uid="{00000000-0005-0000-0000-0000B13C0000}"/>
    <cellStyle name="Separador de milhares 3 14 2 4 6" xfId="11461" xr:uid="{00000000-0005-0000-0000-0000B23C0000}"/>
    <cellStyle name="Separador de milhares 3 14 2 4 6 2" xfId="37654" xr:uid="{00000000-0005-0000-0000-0000B33C0000}"/>
    <cellStyle name="Separador de milhares 3 14 2 4 7" xfId="29572" xr:uid="{00000000-0005-0000-0000-0000B43C0000}"/>
    <cellStyle name="Separador de milhares 3 14 2 5" xfId="1661" xr:uid="{00000000-0005-0000-0000-0000B53C0000}"/>
    <cellStyle name="Separador de milhares 3 14 2 5 2" xfId="6892" xr:uid="{00000000-0005-0000-0000-0000B63C0000}"/>
    <cellStyle name="Separador de milhares 3 14 2 5 2 2" xfId="10039" xr:uid="{00000000-0005-0000-0000-0000B73C0000}"/>
    <cellStyle name="Separador de milhares 3 14 2 5 2 2 2" xfId="28253" xr:uid="{00000000-0005-0000-0000-0000B83C0000}"/>
    <cellStyle name="Separador de milhares 3 14 2 5 2 2 2 2" xfId="54434" xr:uid="{00000000-0005-0000-0000-0000B93C0000}"/>
    <cellStyle name="Separador de milhares 3 14 2 5 2 2 3" xfId="22339" xr:uid="{00000000-0005-0000-0000-0000BA3C0000}"/>
    <cellStyle name="Separador de milhares 3 14 2 5 2 2 3 2" xfId="48526" xr:uid="{00000000-0005-0000-0000-0000BB3C0000}"/>
    <cellStyle name="Separador de milhares 3 14 2 5 2 2 4" xfId="16425" xr:uid="{00000000-0005-0000-0000-0000BC3C0000}"/>
    <cellStyle name="Separador de milhares 3 14 2 5 2 2 4 2" xfId="42618" xr:uid="{00000000-0005-0000-0000-0000BD3C0000}"/>
    <cellStyle name="Separador de milhares 3 14 2 5 2 2 5" xfId="36232" xr:uid="{00000000-0005-0000-0000-0000BE3C0000}"/>
    <cellStyle name="Separador de milhares 3 14 2 5 2 3" xfId="25296" xr:uid="{00000000-0005-0000-0000-0000BF3C0000}"/>
    <cellStyle name="Separador de milhares 3 14 2 5 2 3 2" xfId="51480" xr:uid="{00000000-0005-0000-0000-0000C03C0000}"/>
    <cellStyle name="Separador de milhares 3 14 2 5 2 4" xfId="19382" xr:uid="{00000000-0005-0000-0000-0000C13C0000}"/>
    <cellStyle name="Separador de milhares 3 14 2 5 2 4 2" xfId="45572" xr:uid="{00000000-0005-0000-0000-0000C23C0000}"/>
    <cellStyle name="Separador de milhares 3 14 2 5 2 5" xfId="13281" xr:uid="{00000000-0005-0000-0000-0000C33C0000}"/>
    <cellStyle name="Separador de milhares 3 14 2 5 2 5 2" xfId="39474" xr:uid="{00000000-0005-0000-0000-0000C43C0000}"/>
    <cellStyle name="Separador de milhares 3 14 2 5 2 6" xfId="33088" xr:uid="{00000000-0005-0000-0000-0000C53C0000}"/>
    <cellStyle name="Separador de milhares 3 14 2 5 3" xfId="8571" xr:uid="{00000000-0005-0000-0000-0000C63C0000}"/>
    <cellStyle name="Separador de milhares 3 14 2 5 3 2" xfId="26785" xr:uid="{00000000-0005-0000-0000-0000C73C0000}"/>
    <cellStyle name="Separador de milhares 3 14 2 5 3 2 2" xfId="52966" xr:uid="{00000000-0005-0000-0000-0000C83C0000}"/>
    <cellStyle name="Separador de milhares 3 14 2 5 3 3" xfId="20871" xr:uid="{00000000-0005-0000-0000-0000C93C0000}"/>
    <cellStyle name="Separador de milhares 3 14 2 5 3 3 2" xfId="47058" xr:uid="{00000000-0005-0000-0000-0000CA3C0000}"/>
    <cellStyle name="Separador de milhares 3 14 2 5 3 4" xfId="14957" xr:uid="{00000000-0005-0000-0000-0000CB3C0000}"/>
    <cellStyle name="Separador de milhares 3 14 2 5 3 4 2" xfId="41150" xr:uid="{00000000-0005-0000-0000-0000CC3C0000}"/>
    <cellStyle name="Separador de milhares 3 14 2 5 3 5" xfId="34764" xr:uid="{00000000-0005-0000-0000-0000CD3C0000}"/>
    <cellStyle name="Separador de milhares 3 14 2 5 4" xfId="5193" xr:uid="{00000000-0005-0000-0000-0000CE3C0000}"/>
    <cellStyle name="Separador de milhares 3 14 2 5 4 2" xfId="23828" xr:uid="{00000000-0005-0000-0000-0000CF3C0000}"/>
    <cellStyle name="Separador de milhares 3 14 2 5 4 2 2" xfId="50012" xr:uid="{00000000-0005-0000-0000-0000D03C0000}"/>
    <cellStyle name="Separador de milhares 3 14 2 5 4 3" xfId="31389" xr:uid="{00000000-0005-0000-0000-0000D13C0000}"/>
    <cellStyle name="Separador de milhares 3 14 2 5 5" xfId="17914" xr:uid="{00000000-0005-0000-0000-0000D23C0000}"/>
    <cellStyle name="Separador de milhares 3 14 2 5 5 2" xfId="44104" xr:uid="{00000000-0005-0000-0000-0000D33C0000}"/>
    <cellStyle name="Separador de milhares 3 14 2 5 6" xfId="11580" xr:uid="{00000000-0005-0000-0000-0000D43C0000}"/>
    <cellStyle name="Separador de milhares 3 14 2 5 6 2" xfId="37773" xr:uid="{00000000-0005-0000-0000-0000D53C0000}"/>
    <cellStyle name="Separador de milhares 3 14 2 5 7" xfId="29691" xr:uid="{00000000-0005-0000-0000-0000D63C0000}"/>
    <cellStyle name="Separador de milhares 3 14 2 6" xfId="2191" xr:uid="{00000000-0005-0000-0000-0000D73C0000}"/>
    <cellStyle name="Separador de milhares 3 14 2 6 2" xfId="7042" xr:uid="{00000000-0005-0000-0000-0000D83C0000}"/>
    <cellStyle name="Separador de milhares 3 14 2 6 2 2" xfId="10186" xr:uid="{00000000-0005-0000-0000-0000D93C0000}"/>
    <cellStyle name="Separador de milhares 3 14 2 6 2 2 2" xfId="28400" xr:uid="{00000000-0005-0000-0000-0000DA3C0000}"/>
    <cellStyle name="Separador de milhares 3 14 2 6 2 2 2 2" xfId="54581" xr:uid="{00000000-0005-0000-0000-0000DB3C0000}"/>
    <cellStyle name="Separador de milhares 3 14 2 6 2 2 3" xfId="22486" xr:uid="{00000000-0005-0000-0000-0000DC3C0000}"/>
    <cellStyle name="Separador de milhares 3 14 2 6 2 2 3 2" xfId="48673" xr:uid="{00000000-0005-0000-0000-0000DD3C0000}"/>
    <cellStyle name="Separador de milhares 3 14 2 6 2 2 4" xfId="16572" xr:uid="{00000000-0005-0000-0000-0000DE3C0000}"/>
    <cellStyle name="Separador de milhares 3 14 2 6 2 2 4 2" xfId="42765" xr:uid="{00000000-0005-0000-0000-0000DF3C0000}"/>
    <cellStyle name="Separador de milhares 3 14 2 6 2 2 5" xfId="36379" xr:uid="{00000000-0005-0000-0000-0000E03C0000}"/>
    <cellStyle name="Separador de milhares 3 14 2 6 2 3" xfId="25443" xr:uid="{00000000-0005-0000-0000-0000E13C0000}"/>
    <cellStyle name="Separador de milhares 3 14 2 6 2 3 2" xfId="51627" xr:uid="{00000000-0005-0000-0000-0000E23C0000}"/>
    <cellStyle name="Separador de milhares 3 14 2 6 2 4" xfId="19529" xr:uid="{00000000-0005-0000-0000-0000E33C0000}"/>
    <cellStyle name="Separador de milhares 3 14 2 6 2 4 2" xfId="45719" xr:uid="{00000000-0005-0000-0000-0000E43C0000}"/>
    <cellStyle name="Separador de milhares 3 14 2 6 2 5" xfId="13431" xr:uid="{00000000-0005-0000-0000-0000E53C0000}"/>
    <cellStyle name="Separador de milhares 3 14 2 6 2 5 2" xfId="39624" xr:uid="{00000000-0005-0000-0000-0000E63C0000}"/>
    <cellStyle name="Separador de milhares 3 14 2 6 2 6" xfId="33238" xr:uid="{00000000-0005-0000-0000-0000E73C0000}"/>
    <cellStyle name="Separador de milhares 3 14 2 6 3" xfId="8718" xr:uid="{00000000-0005-0000-0000-0000E83C0000}"/>
    <cellStyle name="Separador de milhares 3 14 2 6 3 2" xfId="26932" xr:uid="{00000000-0005-0000-0000-0000E93C0000}"/>
    <cellStyle name="Separador de milhares 3 14 2 6 3 2 2" xfId="53113" xr:uid="{00000000-0005-0000-0000-0000EA3C0000}"/>
    <cellStyle name="Separador de milhares 3 14 2 6 3 3" xfId="21018" xr:uid="{00000000-0005-0000-0000-0000EB3C0000}"/>
    <cellStyle name="Separador de milhares 3 14 2 6 3 3 2" xfId="47205" xr:uid="{00000000-0005-0000-0000-0000EC3C0000}"/>
    <cellStyle name="Separador de milhares 3 14 2 6 3 4" xfId="15104" xr:uid="{00000000-0005-0000-0000-0000ED3C0000}"/>
    <cellStyle name="Separador de milhares 3 14 2 6 3 4 2" xfId="41297" xr:uid="{00000000-0005-0000-0000-0000EE3C0000}"/>
    <cellStyle name="Separador de milhares 3 14 2 6 3 5" xfId="34911" xr:uid="{00000000-0005-0000-0000-0000EF3C0000}"/>
    <cellStyle name="Separador de milhares 3 14 2 6 4" xfId="5343" xr:uid="{00000000-0005-0000-0000-0000F03C0000}"/>
    <cellStyle name="Separador de milhares 3 14 2 6 4 2" xfId="23975" xr:uid="{00000000-0005-0000-0000-0000F13C0000}"/>
    <cellStyle name="Separador de milhares 3 14 2 6 4 2 2" xfId="50159" xr:uid="{00000000-0005-0000-0000-0000F23C0000}"/>
    <cellStyle name="Separador de milhares 3 14 2 6 4 3" xfId="31539" xr:uid="{00000000-0005-0000-0000-0000F33C0000}"/>
    <cellStyle name="Separador de milhares 3 14 2 6 5" xfId="18061" xr:uid="{00000000-0005-0000-0000-0000F43C0000}"/>
    <cellStyle name="Separador de milhares 3 14 2 6 5 2" xfId="44251" xr:uid="{00000000-0005-0000-0000-0000F53C0000}"/>
    <cellStyle name="Separador de milhares 3 14 2 6 6" xfId="11730" xr:uid="{00000000-0005-0000-0000-0000F63C0000}"/>
    <cellStyle name="Separador de milhares 3 14 2 6 6 2" xfId="37923" xr:uid="{00000000-0005-0000-0000-0000F73C0000}"/>
    <cellStyle name="Separador de milhares 3 14 2 6 7" xfId="29841" xr:uid="{00000000-0005-0000-0000-0000F83C0000}"/>
    <cellStyle name="Separador de milhares 3 14 2 7" xfId="2718" xr:uid="{00000000-0005-0000-0000-0000F93C0000}"/>
    <cellStyle name="Separador de milhares 3 14 2 7 2" xfId="7189" xr:uid="{00000000-0005-0000-0000-0000FA3C0000}"/>
    <cellStyle name="Separador de milhares 3 14 2 7 2 2" xfId="10333" xr:uid="{00000000-0005-0000-0000-0000FB3C0000}"/>
    <cellStyle name="Separador de milhares 3 14 2 7 2 2 2" xfId="28547" xr:uid="{00000000-0005-0000-0000-0000FC3C0000}"/>
    <cellStyle name="Separador de milhares 3 14 2 7 2 2 2 2" xfId="54728" xr:uid="{00000000-0005-0000-0000-0000FD3C0000}"/>
    <cellStyle name="Separador de milhares 3 14 2 7 2 2 3" xfId="22633" xr:uid="{00000000-0005-0000-0000-0000FE3C0000}"/>
    <cellStyle name="Separador de milhares 3 14 2 7 2 2 3 2" xfId="48820" xr:uid="{00000000-0005-0000-0000-0000FF3C0000}"/>
    <cellStyle name="Separador de milhares 3 14 2 7 2 2 4" xfId="16719" xr:uid="{00000000-0005-0000-0000-0000003D0000}"/>
    <cellStyle name="Separador de milhares 3 14 2 7 2 2 4 2" xfId="42912" xr:uid="{00000000-0005-0000-0000-0000013D0000}"/>
    <cellStyle name="Separador de milhares 3 14 2 7 2 2 5" xfId="36526" xr:uid="{00000000-0005-0000-0000-0000023D0000}"/>
    <cellStyle name="Separador de milhares 3 14 2 7 2 3" xfId="25590" xr:uid="{00000000-0005-0000-0000-0000033D0000}"/>
    <cellStyle name="Separador de milhares 3 14 2 7 2 3 2" xfId="51774" xr:uid="{00000000-0005-0000-0000-0000043D0000}"/>
    <cellStyle name="Separador de milhares 3 14 2 7 2 4" xfId="19676" xr:uid="{00000000-0005-0000-0000-0000053D0000}"/>
    <cellStyle name="Separador de milhares 3 14 2 7 2 4 2" xfId="45866" xr:uid="{00000000-0005-0000-0000-0000063D0000}"/>
    <cellStyle name="Separador de milhares 3 14 2 7 2 5" xfId="13578" xr:uid="{00000000-0005-0000-0000-0000073D0000}"/>
    <cellStyle name="Separador de milhares 3 14 2 7 2 5 2" xfId="39771" xr:uid="{00000000-0005-0000-0000-0000083D0000}"/>
    <cellStyle name="Separador de milhares 3 14 2 7 2 6" xfId="33385" xr:uid="{00000000-0005-0000-0000-0000093D0000}"/>
    <cellStyle name="Separador de milhares 3 14 2 7 3" xfId="8865" xr:uid="{00000000-0005-0000-0000-00000A3D0000}"/>
    <cellStyle name="Separador de milhares 3 14 2 7 3 2" xfId="27079" xr:uid="{00000000-0005-0000-0000-00000B3D0000}"/>
    <cellStyle name="Separador de milhares 3 14 2 7 3 2 2" xfId="53260" xr:uid="{00000000-0005-0000-0000-00000C3D0000}"/>
    <cellStyle name="Separador de milhares 3 14 2 7 3 3" xfId="21165" xr:uid="{00000000-0005-0000-0000-00000D3D0000}"/>
    <cellStyle name="Separador de milhares 3 14 2 7 3 3 2" xfId="47352" xr:uid="{00000000-0005-0000-0000-00000E3D0000}"/>
    <cellStyle name="Separador de milhares 3 14 2 7 3 4" xfId="15251" xr:uid="{00000000-0005-0000-0000-00000F3D0000}"/>
    <cellStyle name="Separador de milhares 3 14 2 7 3 4 2" xfId="41444" xr:uid="{00000000-0005-0000-0000-0000103D0000}"/>
    <cellStyle name="Separador de milhares 3 14 2 7 3 5" xfId="35058" xr:uid="{00000000-0005-0000-0000-0000113D0000}"/>
    <cellStyle name="Separador de milhares 3 14 2 7 4" xfId="5490" xr:uid="{00000000-0005-0000-0000-0000123D0000}"/>
    <cellStyle name="Separador de milhares 3 14 2 7 4 2" xfId="24122" xr:uid="{00000000-0005-0000-0000-0000133D0000}"/>
    <cellStyle name="Separador de milhares 3 14 2 7 4 2 2" xfId="50306" xr:uid="{00000000-0005-0000-0000-0000143D0000}"/>
    <cellStyle name="Separador de milhares 3 14 2 7 4 3" xfId="31686" xr:uid="{00000000-0005-0000-0000-0000153D0000}"/>
    <cellStyle name="Separador de milhares 3 14 2 7 5" xfId="18208" xr:uid="{00000000-0005-0000-0000-0000163D0000}"/>
    <cellStyle name="Separador de milhares 3 14 2 7 5 2" xfId="44398" xr:uid="{00000000-0005-0000-0000-0000173D0000}"/>
    <cellStyle name="Separador de milhares 3 14 2 7 6" xfId="11877" xr:uid="{00000000-0005-0000-0000-0000183D0000}"/>
    <cellStyle name="Separador de milhares 3 14 2 7 6 2" xfId="38070" xr:uid="{00000000-0005-0000-0000-0000193D0000}"/>
    <cellStyle name="Separador de milhares 3 14 2 7 7" xfId="29988" xr:uid="{00000000-0005-0000-0000-00001A3D0000}"/>
    <cellStyle name="Separador de milhares 3 14 2 8" xfId="3245" xr:uid="{00000000-0005-0000-0000-00001B3D0000}"/>
    <cellStyle name="Separador de milhares 3 14 2 8 2" xfId="7336" xr:uid="{00000000-0005-0000-0000-00001C3D0000}"/>
    <cellStyle name="Separador de milhares 3 14 2 8 2 2" xfId="10480" xr:uid="{00000000-0005-0000-0000-00001D3D0000}"/>
    <cellStyle name="Separador de milhares 3 14 2 8 2 2 2" xfId="28694" xr:uid="{00000000-0005-0000-0000-00001E3D0000}"/>
    <cellStyle name="Separador de milhares 3 14 2 8 2 2 2 2" xfId="54875" xr:uid="{00000000-0005-0000-0000-00001F3D0000}"/>
    <cellStyle name="Separador de milhares 3 14 2 8 2 2 3" xfId="22780" xr:uid="{00000000-0005-0000-0000-0000203D0000}"/>
    <cellStyle name="Separador de milhares 3 14 2 8 2 2 3 2" xfId="48967" xr:uid="{00000000-0005-0000-0000-0000213D0000}"/>
    <cellStyle name="Separador de milhares 3 14 2 8 2 2 4" xfId="16866" xr:uid="{00000000-0005-0000-0000-0000223D0000}"/>
    <cellStyle name="Separador de milhares 3 14 2 8 2 2 4 2" xfId="43059" xr:uid="{00000000-0005-0000-0000-0000233D0000}"/>
    <cellStyle name="Separador de milhares 3 14 2 8 2 2 5" xfId="36673" xr:uid="{00000000-0005-0000-0000-0000243D0000}"/>
    <cellStyle name="Separador de milhares 3 14 2 8 2 3" xfId="25737" xr:uid="{00000000-0005-0000-0000-0000253D0000}"/>
    <cellStyle name="Separador de milhares 3 14 2 8 2 3 2" xfId="51921" xr:uid="{00000000-0005-0000-0000-0000263D0000}"/>
    <cellStyle name="Separador de milhares 3 14 2 8 2 4" xfId="19823" xr:uid="{00000000-0005-0000-0000-0000273D0000}"/>
    <cellStyle name="Separador de milhares 3 14 2 8 2 4 2" xfId="46013" xr:uid="{00000000-0005-0000-0000-0000283D0000}"/>
    <cellStyle name="Separador de milhares 3 14 2 8 2 5" xfId="13725" xr:uid="{00000000-0005-0000-0000-0000293D0000}"/>
    <cellStyle name="Separador de milhares 3 14 2 8 2 5 2" xfId="39918" xr:uid="{00000000-0005-0000-0000-00002A3D0000}"/>
    <cellStyle name="Separador de milhares 3 14 2 8 2 6" xfId="33532" xr:uid="{00000000-0005-0000-0000-00002B3D0000}"/>
    <cellStyle name="Separador de milhares 3 14 2 8 3" xfId="9012" xr:uid="{00000000-0005-0000-0000-00002C3D0000}"/>
    <cellStyle name="Separador de milhares 3 14 2 8 3 2" xfId="27226" xr:uid="{00000000-0005-0000-0000-00002D3D0000}"/>
    <cellStyle name="Separador de milhares 3 14 2 8 3 2 2" xfId="53407" xr:uid="{00000000-0005-0000-0000-00002E3D0000}"/>
    <cellStyle name="Separador de milhares 3 14 2 8 3 3" xfId="21312" xr:uid="{00000000-0005-0000-0000-00002F3D0000}"/>
    <cellStyle name="Separador de milhares 3 14 2 8 3 3 2" xfId="47499" xr:uid="{00000000-0005-0000-0000-0000303D0000}"/>
    <cellStyle name="Separador de milhares 3 14 2 8 3 4" xfId="15398" xr:uid="{00000000-0005-0000-0000-0000313D0000}"/>
    <cellStyle name="Separador de milhares 3 14 2 8 3 4 2" xfId="41591" xr:uid="{00000000-0005-0000-0000-0000323D0000}"/>
    <cellStyle name="Separador de milhares 3 14 2 8 3 5" xfId="35205" xr:uid="{00000000-0005-0000-0000-0000333D0000}"/>
    <cellStyle name="Separador de milhares 3 14 2 8 4" xfId="5637" xr:uid="{00000000-0005-0000-0000-0000343D0000}"/>
    <cellStyle name="Separador de milhares 3 14 2 8 4 2" xfId="24269" xr:uid="{00000000-0005-0000-0000-0000353D0000}"/>
    <cellStyle name="Separador de milhares 3 14 2 8 4 2 2" xfId="50453" xr:uid="{00000000-0005-0000-0000-0000363D0000}"/>
    <cellStyle name="Separador de milhares 3 14 2 8 4 3" xfId="31833" xr:uid="{00000000-0005-0000-0000-0000373D0000}"/>
    <cellStyle name="Separador de milhares 3 14 2 8 5" xfId="18355" xr:uid="{00000000-0005-0000-0000-0000383D0000}"/>
    <cellStyle name="Separador de milhares 3 14 2 8 5 2" xfId="44545" xr:uid="{00000000-0005-0000-0000-0000393D0000}"/>
    <cellStyle name="Separador de milhares 3 14 2 8 6" xfId="12024" xr:uid="{00000000-0005-0000-0000-00003A3D0000}"/>
    <cellStyle name="Separador de milhares 3 14 2 8 6 2" xfId="38217" xr:uid="{00000000-0005-0000-0000-00003B3D0000}"/>
    <cellStyle name="Separador de milhares 3 14 2 8 7" xfId="30135" xr:uid="{00000000-0005-0000-0000-00003C3D0000}"/>
    <cellStyle name="Separador de milhares 3 14 2 9" xfId="3772" xr:uid="{00000000-0005-0000-0000-00003D3D0000}"/>
    <cellStyle name="Separador de milhares 3 14 2 9 2" xfId="7483" xr:uid="{00000000-0005-0000-0000-00003E3D0000}"/>
    <cellStyle name="Separador de milhares 3 14 2 9 2 2" xfId="10627" xr:uid="{00000000-0005-0000-0000-00003F3D0000}"/>
    <cellStyle name="Separador de milhares 3 14 2 9 2 2 2" xfId="28841" xr:uid="{00000000-0005-0000-0000-0000403D0000}"/>
    <cellStyle name="Separador de milhares 3 14 2 9 2 2 2 2" xfId="55022" xr:uid="{00000000-0005-0000-0000-0000413D0000}"/>
    <cellStyle name="Separador de milhares 3 14 2 9 2 2 3" xfId="22927" xr:uid="{00000000-0005-0000-0000-0000423D0000}"/>
    <cellStyle name="Separador de milhares 3 14 2 9 2 2 3 2" xfId="49114" xr:uid="{00000000-0005-0000-0000-0000433D0000}"/>
    <cellStyle name="Separador de milhares 3 14 2 9 2 2 4" xfId="17013" xr:uid="{00000000-0005-0000-0000-0000443D0000}"/>
    <cellStyle name="Separador de milhares 3 14 2 9 2 2 4 2" xfId="43206" xr:uid="{00000000-0005-0000-0000-0000453D0000}"/>
    <cellStyle name="Separador de milhares 3 14 2 9 2 2 5" xfId="36820" xr:uid="{00000000-0005-0000-0000-0000463D0000}"/>
    <cellStyle name="Separador de milhares 3 14 2 9 2 3" xfId="25884" xr:uid="{00000000-0005-0000-0000-0000473D0000}"/>
    <cellStyle name="Separador de milhares 3 14 2 9 2 3 2" xfId="52068" xr:uid="{00000000-0005-0000-0000-0000483D0000}"/>
    <cellStyle name="Separador de milhares 3 14 2 9 2 4" xfId="19970" xr:uid="{00000000-0005-0000-0000-0000493D0000}"/>
    <cellStyle name="Separador de milhares 3 14 2 9 2 4 2" xfId="46160" xr:uid="{00000000-0005-0000-0000-00004A3D0000}"/>
    <cellStyle name="Separador de milhares 3 14 2 9 2 5" xfId="13872" xr:uid="{00000000-0005-0000-0000-00004B3D0000}"/>
    <cellStyle name="Separador de milhares 3 14 2 9 2 5 2" xfId="40065" xr:uid="{00000000-0005-0000-0000-00004C3D0000}"/>
    <cellStyle name="Separador de milhares 3 14 2 9 2 6" xfId="33679" xr:uid="{00000000-0005-0000-0000-00004D3D0000}"/>
    <cellStyle name="Separador de milhares 3 14 2 9 3" xfId="9159" xr:uid="{00000000-0005-0000-0000-00004E3D0000}"/>
    <cellStyle name="Separador de milhares 3 14 2 9 3 2" xfId="27373" xr:uid="{00000000-0005-0000-0000-00004F3D0000}"/>
    <cellStyle name="Separador de milhares 3 14 2 9 3 2 2" xfId="53554" xr:uid="{00000000-0005-0000-0000-0000503D0000}"/>
    <cellStyle name="Separador de milhares 3 14 2 9 3 3" xfId="21459" xr:uid="{00000000-0005-0000-0000-0000513D0000}"/>
    <cellStyle name="Separador de milhares 3 14 2 9 3 3 2" xfId="47646" xr:uid="{00000000-0005-0000-0000-0000523D0000}"/>
    <cellStyle name="Separador de milhares 3 14 2 9 3 4" xfId="15545" xr:uid="{00000000-0005-0000-0000-0000533D0000}"/>
    <cellStyle name="Separador de milhares 3 14 2 9 3 4 2" xfId="41738" xr:uid="{00000000-0005-0000-0000-0000543D0000}"/>
    <cellStyle name="Separador de milhares 3 14 2 9 3 5" xfId="35352" xr:uid="{00000000-0005-0000-0000-0000553D0000}"/>
    <cellStyle name="Separador de milhares 3 14 2 9 4" xfId="5784" xr:uid="{00000000-0005-0000-0000-0000563D0000}"/>
    <cellStyle name="Separador de milhares 3 14 2 9 4 2" xfId="24416" xr:uid="{00000000-0005-0000-0000-0000573D0000}"/>
    <cellStyle name="Separador de milhares 3 14 2 9 4 2 2" xfId="50600" xr:uid="{00000000-0005-0000-0000-0000583D0000}"/>
    <cellStyle name="Separador de milhares 3 14 2 9 4 3" xfId="31980" xr:uid="{00000000-0005-0000-0000-0000593D0000}"/>
    <cellStyle name="Separador de milhares 3 14 2 9 5" xfId="18502" xr:uid="{00000000-0005-0000-0000-00005A3D0000}"/>
    <cellStyle name="Separador de milhares 3 14 2 9 5 2" xfId="44692" xr:uid="{00000000-0005-0000-0000-00005B3D0000}"/>
    <cellStyle name="Separador de milhares 3 14 2 9 6" xfId="12171" xr:uid="{00000000-0005-0000-0000-00005C3D0000}"/>
    <cellStyle name="Separador de milhares 3 14 2 9 6 2" xfId="38364" xr:uid="{00000000-0005-0000-0000-00005D3D0000}"/>
    <cellStyle name="Separador de milhares 3 14 2 9 7" xfId="30282" xr:uid="{00000000-0005-0000-0000-00005E3D0000}"/>
    <cellStyle name="Separador de milhares 3 14 3" xfId="224" xr:uid="{00000000-0005-0000-0000-00005F3D0000}"/>
    <cellStyle name="Separador de milhares 3 14 3 10" xfId="6474" xr:uid="{00000000-0005-0000-0000-0000603D0000}"/>
    <cellStyle name="Separador de milhares 3 14 3 10 2" xfId="9625" xr:uid="{00000000-0005-0000-0000-0000613D0000}"/>
    <cellStyle name="Separador de milhares 3 14 3 10 2 2" xfId="27839" xr:uid="{00000000-0005-0000-0000-0000623D0000}"/>
    <cellStyle name="Separador de milhares 3 14 3 10 2 2 2" xfId="54020" xr:uid="{00000000-0005-0000-0000-0000633D0000}"/>
    <cellStyle name="Separador de milhares 3 14 3 10 2 3" xfId="21925" xr:uid="{00000000-0005-0000-0000-0000643D0000}"/>
    <cellStyle name="Separador de milhares 3 14 3 10 2 3 2" xfId="48112" xr:uid="{00000000-0005-0000-0000-0000653D0000}"/>
    <cellStyle name="Separador de milhares 3 14 3 10 2 4" xfId="16011" xr:uid="{00000000-0005-0000-0000-0000663D0000}"/>
    <cellStyle name="Separador de milhares 3 14 3 10 2 4 2" xfId="42204" xr:uid="{00000000-0005-0000-0000-0000673D0000}"/>
    <cellStyle name="Separador de milhares 3 14 3 10 2 5" xfId="35818" xr:uid="{00000000-0005-0000-0000-0000683D0000}"/>
    <cellStyle name="Separador de milhares 3 14 3 10 3" xfId="24882" xr:uid="{00000000-0005-0000-0000-0000693D0000}"/>
    <cellStyle name="Separador de milhares 3 14 3 10 3 2" xfId="51066" xr:uid="{00000000-0005-0000-0000-00006A3D0000}"/>
    <cellStyle name="Separador de milhares 3 14 3 10 4" xfId="18968" xr:uid="{00000000-0005-0000-0000-00006B3D0000}"/>
    <cellStyle name="Separador de milhares 3 14 3 10 4 2" xfId="45158" xr:uid="{00000000-0005-0000-0000-00006C3D0000}"/>
    <cellStyle name="Separador de milhares 3 14 3 10 5" xfId="12863" xr:uid="{00000000-0005-0000-0000-00006D3D0000}"/>
    <cellStyle name="Separador de milhares 3 14 3 10 5 2" xfId="39056" xr:uid="{00000000-0005-0000-0000-00006E3D0000}"/>
    <cellStyle name="Separador de milhares 3 14 3 10 6" xfId="32670" xr:uid="{00000000-0005-0000-0000-00006F3D0000}"/>
    <cellStyle name="Separador de milhares 3 14 3 11" xfId="8154" xr:uid="{00000000-0005-0000-0000-0000703D0000}"/>
    <cellStyle name="Separador de milhares 3 14 3 11 2" xfId="26368" xr:uid="{00000000-0005-0000-0000-0000713D0000}"/>
    <cellStyle name="Separador de milhares 3 14 3 11 2 2" xfId="52552" xr:uid="{00000000-0005-0000-0000-0000723D0000}"/>
    <cellStyle name="Separador de milhares 3 14 3 11 3" xfId="20454" xr:uid="{00000000-0005-0000-0000-0000733D0000}"/>
    <cellStyle name="Separador de milhares 3 14 3 11 3 2" xfId="46644" xr:uid="{00000000-0005-0000-0000-0000743D0000}"/>
    <cellStyle name="Separador de milhares 3 14 3 11 4" xfId="14543" xr:uid="{00000000-0005-0000-0000-0000753D0000}"/>
    <cellStyle name="Separador de milhares 3 14 3 11 4 2" xfId="40736" xr:uid="{00000000-0005-0000-0000-0000763D0000}"/>
    <cellStyle name="Separador de milhares 3 14 3 11 5" xfId="34350" xr:uid="{00000000-0005-0000-0000-0000773D0000}"/>
    <cellStyle name="Separador de milhares 3 14 3 12" xfId="4773" xr:uid="{00000000-0005-0000-0000-0000783D0000}"/>
    <cellStyle name="Separador de milhares 3 14 3 12 2" xfId="23411" xr:uid="{00000000-0005-0000-0000-0000793D0000}"/>
    <cellStyle name="Separador de milhares 3 14 3 12 2 2" xfId="49598" xr:uid="{00000000-0005-0000-0000-00007A3D0000}"/>
    <cellStyle name="Separador de milhares 3 14 3 12 3" xfId="30971" xr:uid="{00000000-0005-0000-0000-00007B3D0000}"/>
    <cellStyle name="Separador de milhares 3 14 3 13" xfId="17497" xr:uid="{00000000-0005-0000-0000-00007C3D0000}"/>
    <cellStyle name="Separador de milhares 3 14 3 13 2" xfId="43690" xr:uid="{00000000-0005-0000-0000-00007D3D0000}"/>
    <cellStyle name="Separador de milhares 3 14 3 14" xfId="11162" xr:uid="{00000000-0005-0000-0000-00007E3D0000}"/>
    <cellStyle name="Separador de milhares 3 14 3 14 2" xfId="37355" xr:uid="{00000000-0005-0000-0000-00007F3D0000}"/>
    <cellStyle name="Separador de milhares 3 14 3 15" xfId="29273" xr:uid="{00000000-0005-0000-0000-0000803D0000}"/>
    <cellStyle name="Separador de milhares 3 14 3 2" xfId="487" xr:uid="{00000000-0005-0000-0000-0000813D0000}"/>
    <cellStyle name="Separador de milhares 3 14 3 2 2" xfId="6545" xr:uid="{00000000-0005-0000-0000-0000823D0000}"/>
    <cellStyle name="Separador de milhares 3 14 3 2 2 2" xfId="9692" xr:uid="{00000000-0005-0000-0000-0000833D0000}"/>
    <cellStyle name="Separador de milhares 3 14 3 2 2 2 2" xfId="27906" xr:uid="{00000000-0005-0000-0000-0000843D0000}"/>
    <cellStyle name="Separador de milhares 3 14 3 2 2 2 2 2" xfId="54087" xr:uid="{00000000-0005-0000-0000-0000853D0000}"/>
    <cellStyle name="Separador de milhares 3 14 3 2 2 2 3" xfId="21992" xr:uid="{00000000-0005-0000-0000-0000863D0000}"/>
    <cellStyle name="Separador de milhares 3 14 3 2 2 2 3 2" xfId="48179" xr:uid="{00000000-0005-0000-0000-0000873D0000}"/>
    <cellStyle name="Separador de milhares 3 14 3 2 2 2 4" xfId="16078" xr:uid="{00000000-0005-0000-0000-0000883D0000}"/>
    <cellStyle name="Separador de milhares 3 14 3 2 2 2 4 2" xfId="42271" xr:uid="{00000000-0005-0000-0000-0000893D0000}"/>
    <cellStyle name="Separador de milhares 3 14 3 2 2 2 5" xfId="35885" xr:uid="{00000000-0005-0000-0000-00008A3D0000}"/>
    <cellStyle name="Separador de milhares 3 14 3 2 2 3" xfId="24949" xr:uid="{00000000-0005-0000-0000-00008B3D0000}"/>
    <cellStyle name="Separador de milhares 3 14 3 2 2 3 2" xfId="51133" xr:uid="{00000000-0005-0000-0000-00008C3D0000}"/>
    <cellStyle name="Separador de milhares 3 14 3 2 2 4" xfId="19035" xr:uid="{00000000-0005-0000-0000-00008D3D0000}"/>
    <cellStyle name="Separador de milhares 3 14 3 2 2 4 2" xfId="45225" xr:uid="{00000000-0005-0000-0000-00008E3D0000}"/>
    <cellStyle name="Separador de milhares 3 14 3 2 2 5" xfId="12934" xr:uid="{00000000-0005-0000-0000-00008F3D0000}"/>
    <cellStyle name="Separador de milhares 3 14 3 2 2 5 2" xfId="39127" xr:uid="{00000000-0005-0000-0000-0000903D0000}"/>
    <cellStyle name="Separador de milhares 3 14 3 2 2 6" xfId="32741" xr:uid="{00000000-0005-0000-0000-0000913D0000}"/>
    <cellStyle name="Separador de milhares 3 14 3 2 3" xfId="8221" xr:uid="{00000000-0005-0000-0000-0000923D0000}"/>
    <cellStyle name="Separador de milhares 3 14 3 2 3 2" xfId="26435" xr:uid="{00000000-0005-0000-0000-0000933D0000}"/>
    <cellStyle name="Separador de milhares 3 14 3 2 3 2 2" xfId="52619" xr:uid="{00000000-0005-0000-0000-0000943D0000}"/>
    <cellStyle name="Separador de milhares 3 14 3 2 3 3" xfId="20521" xr:uid="{00000000-0005-0000-0000-0000953D0000}"/>
    <cellStyle name="Separador de milhares 3 14 3 2 3 3 2" xfId="46711" xr:uid="{00000000-0005-0000-0000-0000963D0000}"/>
    <cellStyle name="Separador de milhares 3 14 3 2 3 4" xfId="14610" xr:uid="{00000000-0005-0000-0000-0000973D0000}"/>
    <cellStyle name="Separador de milhares 3 14 3 2 3 4 2" xfId="40803" xr:uid="{00000000-0005-0000-0000-0000983D0000}"/>
    <cellStyle name="Separador de milhares 3 14 3 2 3 5" xfId="34417" xr:uid="{00000000-0005-0000-0000-0000993D0000}"/>
    <cellStyle name="Separador de milhares 3 14 3 2 4" xfId="4844" xr:uid="{00000000-0005-0000-0000-00009A3D0000}"/>
    <cellStyle name="Separador de milhares 3 14 3 2 4 2" xfId="23478" xr:uid="{00000000-0005-0000-0000-00009B3D0000}"/>
    <cellStyle name="Separador de milhares 3 14 3 2 4 2 2" xfId="49665" xr:uid="{00000000-0005-0000-0000-00009C3D0000}"/>
    <cellStyle name="Separador de milhares 3 14 3 2 4 3" xfId="31042" xr:uid="{00000000-0005-0000-0000-00009D3D0000}"/>
    <cellStyle name="Separador de milhares 3 14 3 2 5" xfId="17564" xr:uid="{00000000-0005-0000-0000-00009E3D0000}"/>
    <cellStyle name="Separador de milhares 3 14 3 2 5 2" xfId="43757" xr:uid="{00000000-0005-0000-0000-00009F3D0000}"/>
    <cellStyle name="Separador de milhares 3 14 3 2 6" xfId="11233" xr:uid="{00000000-0005-0000-0000-0000A03D0000}"/>
    <cellStyle name="Separador de milhares 3 14 3 2 6 2" xfId="37426" xr:uid="{00000000-0005-0000-0000-0000A13D0000}"/>
    <cellStyle name="Separador de milhares 3 14 3 2 7" xfId="29344" xr:uid="{00000000-0005-0000-0000-0000A23D0000}"/>
    <cellStyle name="Separador de milhares 3 14 3 3" xfId="784" xr:uid="{00000000-0005-0000-0000-0000A33D0000}"/>
    <cellStyle name="Separador de milhares 3 14 3 3 2" xfId="6647" xr:uid="{00000000-0005-0000-0000-0000A43D0000}"/>
    <cellStyle name="Separador de milhares 3 14 3 3 2 2" xfId="9794" xr:uid="{00000000-0005-0000-0000-0000A53D0000}"/>
    <cellStyle name="Separador de milhares 3 14 3 3 2 2 2" xfId="28008" xr:uid="{00000000-0005-0000-0000-0000A63D0000}"/>
    <cellStyle name="Separador de milhares 3 14 3 3 2 2 2 2" xfId="54189" xr:uid="{00000000-0005-0000-0000-0000A73D0000}"/>
    <cellStyle name="Separador de milhares 3 14 3 3 2 2 3" xfId="22094" xr:uid="{00000000-0005-0000-0000-0000A83D0000}"/>
    <cellStyle name="Separador de milhares 3 14 3 3 2 2 3 2" xfId="48281" xr:uid="{00000000-0005-0000-0000-0000A93D0000}"/>
    <cellStyle name="Separador de milhares 3 14 3 3 2 2 4" xfId="16180" xr:uid="{00000000-0005-0000-0000-0000AA3D0000}"/>
    <cellStyle name="Separador de milhares 3 14 3 3 2 2 4 2" xfId="42373" xr:uid="{00000000-0005-0000-0000-0000AB3D0000}"/>
    <cellStyle name="Separador de milhares 3 14 3 3 2 2 5" xfId="35987" xr:uid="{00000000-0005-0000-0000-0000AC3D0000}"/>
    <cellStyle name="Separador de milhares 3 14 3 3 2 3" xfId="25051" xr:uid="{00000000-0005-0000-0000-0000AD3D0000}"/>
    <cellStyle name="Separador de milhares 3 14 3 3 2 3 2" xfId="51235" xr:uid="{00000000-0005-0000-0000-0000AE3D0000}"/>
    <cellStyle name="Separador de milhares 3 14 3 3 2 4" xfId="19137" xr:uid="{00000000-0005-0000-0000-0000AF3D0000}"/>
    <cellStyle name="Separador de milhares 3 14 3 3 2 4 2" xfId="45327" xr:uid="{00000000-0005-0000-0000-0000B03D0000}"/>
    <cellStyle name="Separador de milhares 3 14 3 3 2 5" xfId="13036" xr:uid="{00000000-0005-0000-0000-0000B13D0000}"/>
    <cellStyle name="Separador de milhares 3 14 3 3 2 5 2" xfId="39229" xr:uid="{00000000-0005-0000-0000-0000B23D0000}"/>
    <cellStyle name="Separador de milhares 3 14 3 3 2 6" xfId="32843" xr:uid="{00000000-0005-0000-0000-0000B33D0000}"/>
    <cellStyle name="Separador de milhares 3 14 3 3 3" xfId="8326" xr:uid="{00000000-0005-0000-0000-0000B43D0000}"/>
    <cellStyle name="Separador de milhares 3 14 3 3 3 2" xfId="26540" xr:uid="{00000000-0005-0000-0000-0000B53D0000}"/>
    <cellStyle name="Separador de milhares 3 14 3 3 3 2 2" xfId="52721" xr:uid="{00000000-0005-0000-0000-0000B63D0000}"/>
    <cellStyle name="Separador de milhares 3 14 3 3 3 3" xfId="20626" xr:uid="{00000000-0005-0000-0000-0000B73D0000}"/>
    <cellStyle name="Separador de milhares 3 14 3 3 3 3 2" xfId="46813" xr:uid="{00000000-0005-0000-0000-0000B83D0000}"/>
    <cellStyle name="Separador de milhares 3 14 3 3 3 4" xfId="14712" xr:uid="{00000000-0005-0000-0000-0000B93D0000}"/>
    <cellStyle name="Separador de milhares 3 14 3 3 3 4 2" xfId="40905" xr:uid="{00000000-0005-0000-0000-0000BA3D0000}"/>
    <cellStyle name="Separador de milhares 3 14 3 3 3 5" xfId="34519" xr:uid="{00000000-0005-0000-0000-0000BB3D0000}"/>
    <cellStyle name="Separador de milhares 3 14 3 3 4" xfId="4948" xr:uid="{00000000-0005-0000-0000-0000BC3D0000}"/>
    <cellStyle name="Separador de milhares 3 14 3 3 4 2" xfId="23583" xr:uid="{00000000-0005-0000-0000-0000BD3D0000}"/>
    <cellStyle name="Separador de milhares 3 14 3 3 4 2 2" xfId="49767" xr:uid="{00000000-0005-0000-0000-0000BE3D0000}"/>
    <cellStyle name="Separador de milhares 3 14 3 3 4 3" xfId="31144" xr:uid="{00000000-0005-0000-0000-0000BF3D0000}"/>
    <cellStyle name="Separador de milhares 3 14 3 3 5" xfId="17669" xr:uid="{00000000-0005-0000-0000-0000C03D0000}"/>
    <cellStyle name="Separador de milhares 3 14 3 3 5 2" xfId="43859" xr:uid="{00000000-0005-0000-0000-0000C13D0000}"/>
    <cellStyle name="Separador de milhares 3 14 3 3 6" xfId="11335" xr:uid="{00000000-0005-0000-0000-0000C23D0000}"/>
    <cellStyle name="Separador de milhares 3 14 3 3 6 2" xfId="37528" xr:uid="{00000000-0005-0000-0000-0000C33D0000}"/>
    <cellStyle name="Separador de milhares 3 14 3 3 7" xfId="29446" xr:uid="{00000000-0005-0000-0000-0000C43D0000}"/>
    <cellStyle name="Separador de milhares 3 14 3 4" xfId="1135" xr:uid="{00000000-0005-0000-0000-0000C53D0000}"/>
    <cellStyle name="Separador de milhares 3 14 3 4 2" xfId="6745" xr:uid="{00000000-0005-0000-0000-0000C63D0000}"/>
    <cellStyle name="Separador de milhares 3 14 3 4 2 2" xfId="9892" xr:uid="{00000000-0005-0000-0000-0000C73D0000}"/>
    <cellStyle name="Separador de milhares 3 14 3 4 2 2 2" xfId="28106" xr:uid="{00000000-0005-0000-0000-0000C83D0000}"/>
    <cellStyle name="Separador de milhares 3 14 3 4 2 2 2 2" xfId="54287" xr:uid="{00000000-0005-0000-0000-0000C93D0000}"/>
    <cellStyle name="Separador de milhares 3 14 3 4 2 2 3" xfId="22192" xr:uid="{00000000-0005-0000-0000-0000CA3D0000}"/>
    <cellStyle name="Separador de milhares 3 14 3 4 2 2 3 2" xfId="48379" xr:uid="{00000000-0005-0000-0000-0000CB3D0000}"/>
    <cellStyle name="Separador de milhares 3 14 3 4 2 2 4" xfId="16278" xr:uid="{00000000-0005-0000-0000-0000CC3D0000}"/>
    <cellStyle name="Separador de milhares 3 14 3 4 2 2 4 2" xfId="42471" xr:uid="{00000000-0005-0000-0000-0000CD3D0000}"/>
    <cellStyle name="Separador de milhares 3 14 3 4 2 2 5" xfId="36085" xr:uid="{00000000-0005-0000-0000-0000CE3D0000}"/>
    <cellStyle name="Separador de milhares 3 14 3 4 2 3" xfId="25149" xr:uid="{00000000-0005-0000-0000-0000CF3D0000}"/>
    <cellStyle name="Separador de milhares 3 14 3 4 2 3 2" xfId="51333" xr:uid="{00000000-0005-0000-0000-0000D03D0000}"/>
    <cellStyle name="Separador de milhares 3 14 3 4 2 4" xfId="19235" xr:uid="{00000000-0005-0000-0000-0000D13D0000}"/>
    <cellStyle name="Separador de milhares 3 14 3 4 2 4 2" xfId="45425" xr:uid="{00000000-0005-0000-0000-0000D23D0000}"/>
    <cellStyle name="Separador de milhares 3 14 3 4 2 5" xfId="13134" xr:uid="{00000000-0005-0000-0000-0000D33D0000}"/>
    <cellStyle name="Separador de milhares 3 14 3 4 2 5 2" xfId="39327" xr:uid="{00000000-0005-0000-0000-0000D43D0000}"/>
    <cellStyle name="Separador de milhares 3 14 3 4 2 6" xfId="32941" xr:uid="{00000000-0005-0000-0000-0000D53D0000}"/>
    <cellStyle name="Separador de milhares 3 14 3 4 3" xfId="8424" xr:uid="{00000000-0005-0000-0000-0000D63D0000}"/>
    <cellStyle name="Separador de milhares 3 14 3 4 3 2" xfId="26638" xr:uid="{00000000-0005-0000-0000-0000D73D0000}"/>
    <cellStyle name="Separador de milhares 3 14 3 4 3 2 2" xfId="52819" xr:uid="{00000000-0005-0000-0000-0000D83D0000}"/>
    <cellStyle name="Separador de milhares 3 14 3 4 3 3" xfId="20724" xr:uid="{00000000-0005-0000-0000-0000D93D0000}"/>
    <cellStyle name="Separador de milhares 3 14 3 4 3 3 2" xfId="46911" xr:uid="{00000000-0005-0000-0000-0000DA3D0000}"/>
    <cellStyle name="Separador de milhares 3 14 3 4 3 4" xfId="14810" xr:uid="{00000000-0005-0000-0000-0000DB3D0000}"/>
    <cellStyle name="Separador de milhares 3 14 3 4 3 4 2" xfId="41003" xr:uid="{00000000-0005-0000-0000-0000DC3D0000}"/>
    <cellStyle name="Separador de milhares 3 14 3 4 3 5" xfId="34617" xr:uid="{00000000-0005-0000-0000-0000DD3D0000}"/>
    <cellStyle name="Separador de milhares 3 14 3 4 4" xfId="5046" xr:uid="{00000000-0005-0000-0000-0000DE3D0000}"/>
    <cellStyle name="Separador de milhares 3 14 3 4 4 2" xfId="23681" xr:uid="{00000000-0005-0000-0000-0000DF3D0000}"/>
    <cellStyle name="Separador de milhares 3 14 3 4 4 2 2" xfId="49865" xr:uid="{00000000-0005-0000-0000-0000E03D0000}"/>
    <cellStyle name="Separador de milhares 3 14 3 4 4 3" xfId="31242" xr:uid="{00000000-0005-0000-0000-0000E13D0000}"/>
    <cellStyle name="Separador de milhares 3 14 3 4 5" xfId="17767" xr:uid="{00000000-0005-0000-0000-0000E23D0000}"/>
    <cellStyle name="Separador de milhares 3 14 3 4 5 2" xfId="43957" xr:uid="{00000000-0005-0000-0000-0000E33D0000}"/>
    <cellStyle name="Separador de milhares 3 14 3 4 6" xfId="11433" xr:uid="{00000000-0005-0000-0000-0000E43D0000}"/>
    <cellStyle name="Separador de milhares 3 14 3 4 6 2" xfId="37626" xr:uid="{00000000-0005-0000-0000-0000E53D0000}"/>
    <cellStyle name="Separador de milhares 3 14 3 4 7" xfId="29544" xr:uid="{00000000-0005-0000-0000-0000E63D0000}"/>
    <cellStyle name="Separador de milhares 3 14 3 5" xfId="1570" xr:uid="{00000000-0005-0000-0000-0000E73D0000}"/>
    <cellStyle name="Separador de milhares 3 14 3 5 2" xfId="6864" xr:uid="{00000000-0005-0000-0000-0000E83D0000}"/>
    <cellStyle name="Separador de milhares 3 14 3 5 2 2" xfId="10011" xr:uid="{00000000-0005-0000-0000-0000E93D0000}"/>
    <cellStyle name="Separador de milhares 3 14 3 5 2 2 2" xfId="28225" xr:uid="{00000000-0005-0000-0000-0000EA3D0000}"/>
    <cellStyle name="Separador de milhares 3 14 3 5 2 2 2 2" xfId="54406" xr:uid="{00000000-0005-0000-0000-0000EB3D0000}"/>
    <cellStyle name="Separador de milhares 3 14 3 5 2 2 3" xfId="22311" xr:uid="{00000000-0005-0000-0000-0000EC3D0000}"/>
    <cellStyle name="Separador de milhares 3 14 3 5 2 2 3 2" xfId="48498" xr:uid="{00000000-0005-0000-0000-0000ED3D0000}"/>
    <cellStyle name="Separador de milhares 3 14 3 5 2 2 4" xfId="16397" xr:uid="{00000000-0005-0000-0000-0000EE3D0000}"/>
    <cellStyle name="Separador de milhares 3 14 3 5 2 2 4 2" xfId="42590" xr:uid="{00000000-0005-0000-0000-0000EF3D0000}"/>
    <cellStyle name="Separador de milhares 3 14 3 5 2 2 5" xfId="36204" xr:uid="{00000000-0005-0000-0000-0000F03D0000}"/>
    <cellStyle name="Separador de milhares 3 14 3 5 2 3" xfId="25268" xr:uid="{00000000-0005-0000-0000-0000F13D0000}"/>
    <cellStyle name="Separador de milhares 3 14 3 5 2 3 2" xfId="51452" xr:uid="{00000000-0005-0000-0000-0000F23D0000}"/>
    <cellStyle name="Separador de milhares 3 14 3 5 2 4" xfId="19354" xr:uid="{00000000-0005-0000-0000-0000F33D0000}"/>
    <cellStyle name="Separador de milhares 3 14 3 5 2 4 2" xfId="45544" xr:uid="{00000000-0005-0000-0000-0000F43D0000}"/>
    <cellStyle name="Separador de milhares 3 14 3 5 2 5" xfId="13253" xr:uid="{00000000-0005-0000-0000-0000F53D0000}"/>
    <cellStyle name="Separador de milhares 3 14 3 5 2 5 2" xfId="39446" xr:uid="{00000000-0005-0000-0000-0000F63D0000}"/>
    <cellStyle name="Separador de milhares 3 14 3 5 2 6" xfId="33060" xr:uid="{00000000-0005-0000-0000-0000F73D0000}"/>
    <cellStyle name="Separador de milhares 3 14 3 5 3" xfId="8543" xr:uid="{00000000-0005-0000-0000-0000F83D0000}"/>
    <cellStyle name="Separador de milhares 3 14 3 5 3 2" xfId="26757" xr:uid="{00000000-0005-0000-0000-0000F93D0000}"/>
    <cellStyle name="Separador de milhares 3 14 3 5 3 2 2" xfId="52938" xr:uid="{00000000-0005-0000-0000-0000FA3D0000}"/>
    <cellStyle name="Separador de milhares 3 14 3 5 3 3" xfId="20843" xr:uid="{00000000-0005-0000-0000-0000FB3D0000}"/>
    <cellStyle name="Separador de milhares 3 14 3 5 3 3 2" xfId="47030" xr:uid="{00000000-0005-0000-0000-0000FC3D0000}"/>
    <cellStyle name="Separador de milhares 3 14 3 5 3 4" xfId="14929" xr:uid="{00000000-0005-0000-0000-0000FD3D0000}"/>
    <cellStyle name="Separador de milhares 3 14 3 5 3 4 2" xfId="41122" xr:uid="{00000000-0005-0000-0000-0000FE3D0000}"/>
    <cellStyle name="Separador de milhares 3 14 3 5 3 5" xfId="34736" xr:uid="{00000000-0005-0000-0000-0000FF3D0000}"/>
    <cellStyle name="Separador de milhares 3 14 3 5 4" xfId="5165" xr:uid="{00000000-0005-0000-0000-0000003E0000}"/>
    <cellStyle name="Separador de milhares 3 14 3 5 4 2" xfId="23800" xr:uid="{00000000-0005-0000-0000-0000013E0000}"/>
    <cellStyle name="Separador de milhares 3 14 3 5 4 2 2" xfId="49984" xr:uid="{00000000-0005-0000-0000-0000023E0000}"/>
    <cellStyle name="Separador de milhares 3 14 3 5 4 3" xfId="31361" xr:uid="{00000000-0005-0000-0000-0000033E0000}"/>
    <cellStyle name="Separador de milhares 3 14 3 5 5" xfId="17886" xr:uid="{00000000-0005-0000-0000-0000043E0000}"/>
    <cellStyle name="Separador de milhares 3 14 3 5 5 2" xfId="44076" xr:uid="{00000000-0005-0000-0000-0000053E0000}"/>
    <cellStyle name="Separador de milhares 3 14 3 5 6" xfId="11552" xr:uid="{00000000-0005-0000-0000-0000063E0000}"/>
    <cellStyle name="Separador de milhares 3 14 3 5 6 2" xfId="37745" xr:uid="{00000000-0005-0000-0000-0000073E0000}"/>
    <cellStyle name="Separador de milhares 3 14 3 5 7" xfId="29663" xr:uid="{00000000-0005-0000-0000-0000083E0000}"/>
    <cellStyle name="Separador de milhares 3 14 3 6" xfId="2100" xr:uid="{00000000-0005-0000-0000-0000093E0000}"/>
    <cellStyle name="Separador de milhares 3 14 3 6 2" xfId="7014" xr:uid="{00000000-0005-0000-0000-00000A3E0000}"/>
    <cellStyle name="Separador de milhares 3 14 3 6 2 2" xfId="10158" xr:uid="{00000000-0005-0000-0000-00000B3E0000}"/>
    <cellStyle name="Separador de milhares 3 14 3 6 2 2 2" xfId="28372" xr:uid="{00000000-0005-0000-0000-00000C3E0000}"/>
    <cellStyle name="Separador de milhares 3 14 3 6 2 2 2 2" xfId="54553" xr:uid="{00000000-0005-0000-0000-00000D3E0000}"/>
    <cellStyle name="Separador de milhares 3 14 3 6 2 2 3" xfId="22458" xr:uid="{00000000-0005-0000-0000-00000E3E0000}"/>
    <cellStyle name="Separador de milhares 3 14 3 6 2 2 3 2" xfId="48645" xr:uid="{00000000-0005-0000-0000-00000F3E0000}"/>
    <cellStyle name="Separador de milhares 3 14 3 6 2 2 4" xfId="16544" xr:uid="{00000000-0005-0000-0000-0000103E0000}"/>
    <cellStyle name="Separador de milhares 3 14 3 6 2 2 4 2" xfId="42737" xr:uid="{00000000-0005-0000-0000-0000113E0000}"/>
    <cellStyle name="Separador de milhares 3 14 3 6 2 2 5" xfId="36351" xr:uid="{00000000-0005-0000-0000-0000123E0000}"/>
    <cellStyle name="Separador de milhares 3 14 3 6 2 3" xfId="25415" xr:uid="{00000000-0005-0000-0000-0000133E0000}"/>
    <cellStyle name="Separador de milhares 3 14 3 6 2 3 2" xfId="51599" xr:uid="{00000000-0005-0000-0000-0000143E0000}"/>
    <cellStyle name="Separador de milhares 3 14 3 6 2 4" xfId="19501" xr:uid="{00000000-0005-0000-0000-0000153E0000}"/>
    <cellStyle name="Separador de milhares 3 14 3 6 2 4 2" xfId="45691" xr:uid="{00000000-0005-0000-0000-0000163E0000}"/>
    <cellStyle name="Separador de milhares 3 14 3 6 2 5" xfId="13403" xr:uid="{00000000-0005-0000-0000-0000173E0000}"/>
    <cellStyle name="Separador de milhares 3 14 3 6 2 5 2" xfId="39596" xr:uid="{00000000-0005-0000-0000-0000183E0000}"/>
    <cellStyle name="Separador de milhares 3 14 3 6 2 6" xfId="33210" xr:uid="{00000000-0005-0000-0000-0000193E0000}"/>
    <cellStyle name="Separador de milhares 3 14 3 6 3" xfId="8690" xr:uid="{00000000-0005-0000-0000-00001A3E0000}"/>
    <cellStyle name="Separador de milhares 3 14 3 6 3 2" xfId="26904" xr:uid="{00000000-0005-0000-0000-00001B3E0000}"/>
    <cellStyle name="Separador de milhares 3 14 3 6 3 2 2" xfId="53085" xr:uid="{00000000-0005-0000-0000-00001C3E0000}"/>
    <cellStyle name="Separador de milhares 3 14 3 6 3 3" xfId="20990" xr:uid="{00000000-0005-0000-0000-00001D3E0000}"/>
    <cellStyle name="Separador de milhares 3 14 3 6 3 3 2" xfId="47177" xr:uid="{00000000-0005-0000-0000-00001E3E0000}"/>
    <cellStyle name="Separador de milhares 3 14 3 6 3 4" xfId="15076" xr:uid="{00000000-0005-0000-0000-00001F3E0000}"/>
    <cellStyle name="Separador de milhares 3 14 3 6 3 4 2" xfId="41269" xr:uid="{00000000-0005-0000-0000-0000203E0000}"/>
    <cellStyle name="Separador de milhares 3 14 3 6 3 5" xfId="34883" xr:uid="{00000000-0005-0000-0000-0000213E0000}"/>
    <cellStyle name="Separador de milhares 3 14 3 6 4" xfId="5315" xr:uid="{00000000-0005-0000-0000-0000223E0000}"/>
    <cellStyle name="Separador de milhares 3 14 3 6 4 2" xfId="23947" xr:uid="{00000000-0005-0000-0000-0000233E0000}"/>
    <cellStyle name="Separador de milhares 3 14 3 6 4 2 2" xfId="50131" xr:uid="{00000000-0005-0000-0000-0000243E0000}"/>
    <cellStyle name="Separador de milhares 3 14 3 6 4 3" xfId="31511" xr:uid="{00000000-0005-0000-0000-0000253E0000}"/>
    <cellStyle name="Separador de milhares 3 14 3 6 5" xfId="18033" xr:uid="{00000000-0005-0000-0000-0000263E0000}"/>
    <cellStyle name="Separador de milhares 3 14 3 6 5 2" xfId="44223" xr:uid="{00000000-0005-0000-0000-0000273E0000}"/>
    <cellStyle name="Separador de milhares 3 14 3 6 6" xfId="11702" xr:uid="{00000000-0005-0000-0000-0000283E0000}"/>
    <cellStyle name="Separador de milhares 3 14 3 6 6 2" xfId="37895" xr:uid="{00000000-0005-0000-0000-0000293E0000}"/>
    <cellStyle name="Separador de milhares 3 14 3 6 7" xfId="29813" xr:uid="{00000000-0005-0000-0000-00002A3E0000}"/>
    <cellStyle name="Separador de milhares 3 14 3 7" xfId="2627" xr:uid="{00000000-0005-0000-0000-00002B3E0000}"/>
    <cellStyle name="Separador de milhares 3 14 3 7 2" xfId="7161" xr:uid="{00000000-0005-0000-0000-00002C3E0000}"/>
    <cellStyle name="Separador de milhares 3 14 3 7 2 2" xfId="10305" xr:uid="{00000000-0005-0000-0000-00002D3E0000}"/>
    <cellStyle name="Separador de milhares 3 14 3 7 2 2 2" xfId="28519" xr:uid="{00000000-0005-0000-0000-00002E3E0000}"/>
    <cellStyle name="Separador de milhares 3 14 3 7 2 2 2 2" xfId="54700" xr:uid="{00000000-0005-0000-0000-00002F3E0000}"/>
    <cellStyle name="Separador de milhares 3 14 3 7 2 2 3" xfId="22605" xr:uid="{00000000-0005-0000-0000-0000303E0000}"/>
    <cellStyle name="Separador de milhares 3 14 3 7 2 2 3 2" xfId="48792" xr:uid="{00000000-0005-0000-0000-0000313E0000}"/>
    <cellStyle name="Separador de milhares 3 14 3 7 2 2 4" xfId="16691" xr:uid="{00000000-0005-0000-0000-0000323E0000}"/>
    <cellStyle name="Separador de milhares 3 14 3 7 2 2 4 2" xfId="42884" xr:uid="{00000000-0005-0000-0000-0000333E0000}"/>
    <cellStyle name="Separador de milhares 3 14 3 7 2 2 5" xfId="36498" xr:uid="{00000000-0005-0000-0000-0000343E0000}"/>
    <cellStyle name="Separador de milhares 3 14 3 7 2 3" xfId="25562" xr:uid="{00000000-0005-0000-0000-0000353E0000}"/>
    <cellStyle name="Separador de milhares 3 14 3 7 2 3 2" xfId="51746" xr:uid="{00000000-0005-0000-0000-0000363E0000}"/>
    <cellStyle name="Separador de milhares 3 14 3 7 2 4" xfId="19648" xr:uid="{00000000-0005-0000-0000-0000373E0000}"/>
    <cellStyle name="Separador de milhares 3 14 3 7 2 4 2" xfId="45838" xr:uid="{00000000-0005-0000-0000-0000383E0000}"/>
    <cellStyle name="Separador de milhares 3 14 3 7 2 5" xfId="13550" xr:uid="{00000000-0005-0000-0000-0000393E0000}"/>
    <cellStyle name="Separador de milhares 3 14 3 7 2 5 2" xfId="39743" xr:uid="{00000000-0005-0000-0000-00003A3E0000}"/>
    <cellStyle name="Separador de milhares 3 14 3 7 2 6" xfId="33357" xr:uid="{00000000-0005-0000-0000-00003B3E0000}"/>
    <cellStyle name="Separador de milhares 3 14 3 7 3" xfId="8837" xr:uid="{00000000-0005-0000-0000-00003C3E0000}"/>
    <cellStyle name="Separador de milhares 3 14 3 7 3 2" xfId="27051" xr:uid="{00000000-0005-0000-0000-00003D3E0000}"/>
    <cellStyle name="Separador de milhares 3 14 3 7 3 2 2" xfId="53232" xr:uid="{00000000-0005-0000-0000-00003E3E0000}"/>
    <cellStyle name="Separador de milhares 3 14 3 7 3 3" xfId="21137" xr:uid="{00000000-0005-0000-0000-00003F3E0000}"/>
    <cellStyle name="Separador de milhares 3 14 3 7 3 3 2" xfId="47324" xr:uid="{00000000-0005-0000-0000-0000403E0000}"/>
    <cellStyle name="Separador de milhares 3 14 3 7 3 4" xfId="15223" xr:uid="{00000000-0005-0000-0000-0000413E0000}"/>
    <cellStyle name="Separador de milhares 3 14 3 7 3 4 2" xfId="41416" xr:uid="{00000000-0005-0000-0000-0000423E0000}"/>
    <cellStyle name="Separador de milhares 3 14 3 7 3 5" xfId="35030" xr:uid="{00000000-0005-0000-0000-0000433E0000}"/>
    <cellStyle name="Separador de milhares 3 14 3 7 4" xfId="5462" xr:uid="{00000000-0005-0000-0000-0000443E0000}"/>
    <cellStyle name="Separador de milhares 3 14 3 7 4 2" xfId="24094" xr:uid="{00000000-0005-0000-0000-0000453E0000}"/>
    <cellStyle name="Separador de milhares 3 14 3 7 4 2 2" xfId="50278" xr:uid="{00000000-0005-0000-0000-0000463E0000}"/>
    <cellStyle name="Separador de milhares 3 14 3 7 4 3" xfId="31658" xr:uid="{00000000-0005-0000-0000-0000473E0000}"/>
    <cellStyle name="Separador de milhares 3 14 3 7 5" xfId="18180" xr:uid="{00000000-0005-0000-0000-0000483E0000}"/>
    <cellStyle name="Separador de milhares 3 14 3 7 5 2" xfId="44370" xr:uid="{00000000-0005-0000-0000-0000493E0000}"/>
    <cellStyle name="Separador de milhares 3 14 3 7 6" xfId="11849" xr:uid="{00000000-0005-0000-0000-00004A3E0000}"/>
    <cellStyle name="Separador de milhares 3 14 3 7 6 2" xfId="38042" xr:uid="{00000000-0005-0000-0000-00004B3E0000}"/>
    <cellStyle name="Separador de milhares 3 14 3 7 7" xfId="29960" xr:uid="{00000000-0005-0000-0000-00004C3E0000}"/>
    <cellStyle name="Separador de milhares 3 14 3 8" xfId="3154" xr:uid="{00000000-0005-0000-0000-00004D3E0000}"/>
    <cellStyle name="Separador de milhares 3 14 3 8 2" xfId="7308" xr:uid="{00000000-0005-0000-0000-00004E3E0000}"/>
    <cellStyle name="Separador de milhares 3 14 3 8 2 2" xfId="10452" xr:uid="{00000000-0005-0000-0000-00004F3E0000}"/>
    <cellStyle name="Separador de milhares 3 14 3 8 2 2 2" xfId="28666" xr:uid="{00000000-0005-0000-0000-0000503E0000}"/>
    <cellStyle name="Separador de milhares 3 14 3 8 2 2 2 2" xfId="54847" xr:uid="{00000000-0005-0000-0000-0000513E0000}"/>
    <cellStyle name="Separador de milhares 3 14 3 8 2 2 3" xfId="22752" xr:uid="{00000000-0005-0000-0000-0000523E0000}"/>
    <cellStyle name="Separador de milhares 3 14 3 8 2 2 3 2" xfId="48939" xr:uid="{00000000-0005-0000-0000-0000533E0000}"/>
    <cellStyle name="Separador de milhares 3 14 3 8 2 2 4" xfId="16838" xr:uid="{00000000-0005-0000-0000-0000543E0000}"/>
    <cellStyle name="Separador de milhares 3 14 3 8 2 2 4 2" xfId="43031" xr:uid="{00000000-0005-0000-0000-0000553E0000}"/>
    <cellStyle name="Separador de milhares 3 14 3 8 2 2 5" xfId="36645" xr:uid="{00000000-0005-0000-0000-0000563E0000}"/>
    <cellStyle name="Separador de milhares 3 14 3 8 2 3" xfId="25709" xr:uid="{00000000-0005-0000-0000-0000573E0000}"/>
    <cellStyle name="Separador de milhares 3 14 3 8 2 3 2" xfId="51893" xr:uid="{00000000-0005-0000-0000-0000583E0000}"/>
    <cellStyle name="Separador de milhares 3 14 3 8 2 4" xfId="19795" xr:uid="{00000000-0005-0000-0000-0000593E0000}"/>
    <cellStyle name="Separador de milhares 3 14 3 8 2 4 2" xfId="45985" xr:uid="{00000000-0005-0000-0000-00005A3E0000}"/>
    <cellStyle name="Separador de milhares 3 14 3 8 2 5" xfId="13697" xr:uid="{00000000-0005-0000-0000-00005B3E0000}"/>
    <cellStyle name="Separador de milhares 3 14 3 8 2 5 2" xfId="39890" xr:uid="{00000000-0005-0000-0000-00005C3E0000}"/>
    <cellStyle name="Separador de milhares 3 14 3 8 2 6" xfId="33504" xr:uid="{00000000-0005-0000-0000-00005D3E0000}"/>
    <cellStyle name="Separador de milhares 3 14 3 8 3" xfId="8984" xr:uid="{00000000-0005-0000-0000-00005E3E0000}"/>
    <cellStyle name="Separador de milhares 3 14 3 8 3 2" xfId="27198" xr:uid="{00000000-0005-0000-0000-00005F3E0000}"/>
    <cellStyle name="Separador de milhares 3 14 3 8 3 2 2" xfId="53379" xr:uid="{00000000-0005-0000-0000-0000603E0000}"/>
    <cellStyle name="Separador de milhares 3 14 3 8 3 3" xfId="21284" xr:uid="{00000000-0005-0000-0000-0000613E0000}"/>
    <cellStyle name="Separador de milhares 3 14 3 8 3 3 2" xfId="47471" xr:uid="{00000000-0005-0000-0000-0000623E0000}"/>
    <cellStyle name="Separador de milhares 3 14 3 8 3 4" xfId="15370" xr:uid="{00000000-0005-0000-0000-0000633E0000}"/>
    <cellStyle name="Separador de milhares 3 14 3 8 3 4 2" xfId="41563" xr:uid="{00000000-0005-0000-0000-0000643E0000}"/>
    <cellStyle name="Separador de milhares 3 14 3 8 3 5" xfId="35177" xr:uid="{00000000-0005-0000-0000-0000653E0000}"/>
    <cellStyle name="Separador de milhares 3 14 3 8 4" xfId="5609" xr:uid="{00000000-0005-0000-0000-0000663E0000}"/>
    <cellStyle name="Separador de milhares 3 14 3 8 4 2" xfId="24241" xr:uid="{00000000-0005-0000-0000-0000673E0000}"/>
    <cellStyle name="Separador de milhares 3 14 3 8 4 2 2" xfId="50425" xr:uid="{00000000-0005-0000-0000-0000683E0000}"/>
    <cellStyle name="Separador de milhares 3 14 3 8 4 3" xfId="31805" xr:uid="{00000000-0005-0000-0000-0000693E0000}"/>
    <cellStyle name="Separador de milhares 3 14 3 8 5" xfId="18327" xr:uid="{00000000-0005-0000-0000-00006A3E0000}"/>
    <cellStyle name="Separador de milhares 3 14 3 8 5 2" xfId="44517" xr:uid="{00000000-0005-0000-0000-00006B3E0000}"/>
    <cellStyle name="Separador de milhares 3 14 3 8 6" xfId="11996" xr:uid="{00000000-0005-0000-0000-00006C3E0000}"/>
    <cellStyle name="Separador de milhares 3 14 3 8 6 2" xfId="38189" xr:uid="{00000000-0005-0000-0000-00006D3E0000}"/>
    <cellStyle name="Separador de milhares 3 14 3 8 7" xfId="30107" xr:uid="{00000000-0005-0000-0000-00006E3E0000}"/>
    <cellStyle name="Separador de milhares 3 14 3 9" xfId="3681" xr:uid="{00000000-0005-0000-0000-00006F3E0000}"/>
    <cellStyle name="Separador de milhares 3 14 3 9 2" xfId="7455" xr:uid="{00000000-0005-0000-0000-0000703E0000}"/>
    <cellStyle name="Separador de milhares 3 14 3 9 2 2" xfId="10599" xr:uid="{00000000-0005-0000-0000-0000713E0000}"/>
    <cellStyle name="Separador de milhares 3 14 3 9 2 2 2" xfId="28813" xr:uid="{00000000-0005-0000-0000-0000723E0000}"/>
    <cellStyle name="Separador de milhares 3 14 3 9 2 2 2 2" xfId="54994" xr:uid="{00000000-0005-0000-0000-0000733E0000}"/>
    <cellStyle name="Separador de milhares 3 14 3 9 2 2 3" xfId="22899" xr:uid="{00000000-0005-0000-0000-0000743E0000}"/>
    <cellStyle name="Separador de milhares 3 14 3 9 2 2 3 2" xfId="49086" xr:uid="{00000000-0005-0000-0000-0000753E0000}"/>
    <cellStyle name="Separador de milhares 3 14 3 9 2 2 4" xfId="16985" xr:uid="{00000000-0005-0000-0000-0000763E0000}"/>
    <cellStyle name="Separador de milhares 3 14 3 9 2 2 4 2" xfId="43178" xr:uid="{00000000-0005-0000-0000-0000773E0000}"/>
    <cellStyle name="Separador de milhares 3 14 3 9 2 2 5" xfId="36792" xr:uid="{00000000-0005-0000-0000-0000783E0000}"/>
    <cellStyle name="Separador de milhares 3 14 3 9 2 3" xfId="25856" xr:uid="{00000000-0005-0000-0000-0000793E0000}"/>
    <cellStyle name="Separador de milhares 3 14 3 9 2 3 2" xfId="52040" xr:uid="{00000000-0005-0000-0000-00007A3E0000}"/>
    <cellStyle name="Separador de milhares 3 14 3 9 2 4" xfId="19942" xr:uid="{00000000-0005-0000-0000-00007B3E0000}"/>
    <cellStyle name="Separador de milhares 3 14 3 9 2 4 2" xfId="46132" xr:uid="{00000000-0005-0000-0000-00007C3E0000}"/>
    <cellStyle name="Separador de milhares 3 14 3 9 2 5" xfId="13844" xr:uid="{00000000-0005-0000-0000-00007D3E0000}"/>
    <cellStyle name="Separador de milhares 3 14 3 9 2 5 2" xfId="40037" xr:uid="{00000000-0005-0000-0000-00007E3E0000}"/>
    <cellStyle name="Separador de milhares 3 14 3 9 2 6" xfId="33651" xr:uid="{00000000-0005-0000-0000-00007F3E0000}"/>
    <cellStyle name="Separador de milhares 3 14 3 9 3" xfId="9131" xr:uid="{00000000-0005-0000-0000-0000803E0000}"/>
    <cellStyle name="Separador de milhares 3 14 3 9 3 2" xfId="27345" xr:uid="{00000000-0005-0000-0000-0000813E0000}"/>
    <cellStyle name="Separador de milhares 3 14 3 9 3 2 2" xfId="53526" xr:uid="{00000000-0005-0000-0000-0000823E0000}"/>
    <cellStyle name="Separador de milhares 3 14 3 9 3 3" xfId="21431" xr:uid="{00000000-0005-0000-0000-0000833E0000}"/>
    <cellStyle name="Separador de milhares 3 14 3 9 3 3 2" xfId="47618" xr:uid="{00000000-0005-0000-0000-0000843E0000}"/>
    <cellStyle name="Separador de milhares 3 14 3 9 3 4" xfId="15517" xr:uid="{00000000-0005-0000-0000-0000853E0000}"/>
    <cellStyle name="Separador de milhares 3 14 3 9 3 4 2" xfId="41710" xr:uid="{00000000-0005-0000-0000-0000863E0000}"/>
    <cellStyle name="Separador de milhares 3 14 3 9 3 5" xfId="35324" xr:uid="{00000000-0005-0000-0000-0000873E0000}"/>
    <cellStyle name="Separador de milhares 3 14 3 9 4" xfId="5756" xr:uid="{00000000-0005-0000-0000-0000883E0000}"/>
    <cellStyle name="Separador de milhares 3 14 3 9 4 2" xfId="24388" xr:uid="{00000000-0005-0000-0000-0000893E0000}"/>
    <cellStyle name="Separador de milhares 3 14 3 9 4 2 2" xfId="50572" xr:uid="{00000000-0005-0000-0000-00008A3E0000}"/>
    <cellStyle name="Separador de milhares 3 14 3 9 4 3" xfId="31952" xr:uid="{00000000-0005-0000-0000-00008B3E0000}"/>
    <cellStyle name="Separador de milhares 3 14 3 9 5" xfId="18474" xr:uid="{00000000-0005-0000-0000-00008C3E0000}"/>
    <cellStyle name="Separador de milhares 3 14 3 9 5 2" xfId="44664" xr:uid="{00000000-0005-0000-0000-00008D3E0000}"/>
    <cellStyle name="Separador de milhares 3 14 3 9 6" xfId="12143" xr:uid="{00000000-0005-0000-0000-00008E3E0000}"/>
    <cellStyle name="Separador de milhares 3 14 3 9 6 2" xfId="38336" xr:uid="{00000000-0005-0000-0000-00008F3E0000}"/>
    <cellStyle name="Separador de milhares 3 14 3 9 7" xfId="30254" xr:uid="{00000000-0005-0000-0000-0000903E0000}"/>
    <cellStyle name="Separador de milhares 3 14 4" xfId="317" xr:uid="{00000000-0005-0000-0000-0000913E0000}"/>
    <cellStyle name="Separador de milhares 3 14 4 10" xfId="6502" xr:uid="{00000000-0005-0000-0000-0000923E0000}"/>
    <cellStyle name="Separador de milhares 3 14 4 10 2" xfId="9650" xr:uid="{00000000-0005-0000-0000-0000933E0000}"/>
    <cellStyle name="Separador de milhares 3 14 4 10 2 2" xfId="27864" xr:uid="{00000000-0005-0000-0000-0000943E0000}"/>
    <cellStyle name="Separador de milhares 3 14 4 10 2 2 2" xfId="54045" xr:uid="{00000000-0005-0000-0000-0000953E0000}"/>
    <cellStyle name="Separador de milhares 3 14 4 10 2 3" xfId="21950" xr:uid="{00000000-0005-0000-0000-0000963E0000}"/>
    <cellStyle name="Separador de milhares 3 14 4 10 2 3 2" xfId="48137" xr:uid="{00000000-0005-0000-0000-0000973E0000}"/>
    <cellStyle name="Separador de milhares 3 14 4 10 2 4" xfId="16036" xr:uid="{00000000-0005-0000-0000-0000983E0000}"/>
    <cellStyle name="Separador de milhares 3 14 4 10 2 4 2" xfId="42229" xr:uid="{00000000-0005-0000-0000-0000993E0000}"/>
    <cellStyle name="Separador de milhares 3 14 4 10 2 5" xfId="35843" xr:uid="{00000000-0005-0000-0000-00009A3E0000}"/>
    <cellStyle name="Separador de milhares 3 14 4 10 3" xfId="24907" xr:uid="{00000000-0005-0000-0000-00009B3E0000}"/>
    <cellStyle name="Separador de milhares 3 14 4 10 3 2" xfId="51091" xr:uid="{00000000-0005-0000-0000-00009C3E0000}"/>
    <cellStyle name="Separador de milhares 3 14 4 10 4" xfId="18993" xr:uid="{00000000-0005-0000-0000-00009D3E0000}"/>
    <cellStyle name="Separador de milhares 3 14 4 10 4 2" xfId="45183" xr:uid="{00000000-0005-0000-0000-00009E3E0000}"/>
    <cellStyle name="Separador de milhares 3 14 4 10 5" xfId="12891" xr:uid="{00000000-0005-0000-0000-00009F3E0000}"/>
    <cellStyle name="Separador de milhares 3 14 4 10 5 2" xfId="39084" xr:uid="{00000000-0005-0000-0000-0000A03E0000}"/>
    <cellStyle name="Separador de milhares 3 14 4 10 6" xfId="32698" xr:uid="{00000000-0005-0000-0000-0000A13E0000}"/>
    <cellStyle name="Separador de milhares 3 14 4 11" xfId="8179" xr:uid="{00000000-0005-0000-0000-0000A23E0000}"/>
    <cellStyle name="Separador de milhares 3 14 4 11 2" xfId="26393" xr:uid="{00000000-0005-0000-0000-0000A33E0000}"/>
    <cellStyle name="Separador de milhares 3 14 4 11 2 2" xfId="52577" xr:uid="{00000000-0005-0000-0000-0000A43E0000}"/>
    <cellStyle name="Separador de milhares 3 14 4 11 3" xfId="20479" xr:uid="{00000000-0005-0000-0000-0000A53E0000}"/>
    <cellStyle name="Separador de milhares 3 14 4 11 3 2" xfId="46669" xr:uid="{00000000-0005-0000-0000-0000A63E0000}"/>
    <cellStyle name="Separador de milhares 3 14 4 11 4" xfId="14568" xr:uid="{00000000-0005-0000-0000-0000A73E0000}"/>
    <cellStyle name="Separador de milhares 3 14 4 11 4 2" xfId="40761" xr:uid="{00000000-0005-0000-0000-0000A83E0000}"/>
    <cellStyle name="Separador de milhares 3 14 4 11 5" xfId="34375" xr:uid="{00000000-0005-0000-0000-0000A93E0000}"/>
    <cellStyle name="Separador de milhares 3 14 4 12" xfId="4801" xr:uid="{00000000-0005-0000-0000-0000AA3E0000}"/>
    <cellStyle name="Separador de milhares 3 14 4 12 2" xfId="23436" xr:uid="{00000000-0005-0000-0000-0000AB3E0000}"/>
    <cellStyle name="Separador de milhares 3 14 4 12 2 2" xfId="49623" xr:uid="{00000000-0005-0000-0000-0000AC3E0000}"/>
    <cellStyle name="Separador de milhares 3 14 4 12 3" xfId="30999" xr:uid="{00000000-0005-0000-0000-0000AD3E0000}"/>
    <cellStyle name="Separador de milhares 3 14 4 13" xfId="17522" xr:uid="{00000000-0005-0000-0000-0000AE3E0000}"/>
    <cellStyle name="Separador de milhares 3 14 4 13 2" xfId="43715" xr:uid="{00000000-0005-0000-0000-0000AF3E0000}"/>
    <cellStyle name="Separador de milhares 3 14 4 14" xfId="11190" xr:uid="{00000000-0005-0000-0000-0000B03E0000}"/>
    <cellStyle name="Separador de milhares 3 14 4 14 2" xfId="37383" xr:uid="{00000000-0005-0000-0000-0000B13E0000}"/>
    <cellStyle name="Separador de milhares 3 14 4 15" xfId="29301" xr:uid="{00000000-0005-0000-0000-0000B23E0000}"/>
    <cellStyle name="Separador de milhares 3 14 4 2" xfId="962" xr:uid="{00000000-0005-0000-0000-0000B33E0000}"/>
    <cellStyle name="Separador de milhares 3 14 4 2 2" xfId="6699" xr:uid="{00000000-0005-0000-0000-0000B43E0000}"/>
    <cellStyle name="Separador de milhares 3 14 4 2 2 2" xfId="9846" xr:uid="{00000000-0005-0000-0000-0000B53E0000}"/>
    <cellStyle name="Separador de milhares 3 14 4 2 2 2 2" xfId="28060" xr:uid="{00000000-0005-0000-0000-0000B63E0000}"/>
    <cellStyle name="Separador de milhares 3 14 4 2 2 2 2 2" xfId="54241" xr:uid="{00000000-0005-0000-0000-0000B73E0000}"/>
    <cellStyle name="Separador de milhares 3 14 4 2 2 2 3" xfId="22146" xr:uid="{00000000-0005-0000-0000-0000B83E0000}"/>
    <cellStyle name="Separador de milhares 3 14 4 2 2 2 3 2" xfId="48333" xr:uid="{00000000-0005-0000-0000-0000B93E0000}"/>
    <cellStyle name="Separador de milhares 3 14 4 2 2 2 4" xfId="16232" xr:uid="{00000000-0005-0000-0000-0000BA3E0000}"/>
    <cellStyle name="Separador de milhares 3 14 4 2 2 2 4 2" xfId="42425" xr:uid="{00000000-0005-0000-0000-0000BB3E0000}"/>
    <cellStyle name="Separador de milhares 3 14 4 2 2 2 5" xfId="36039" xr:uid="{00000000-0005-0000-0000-0000BC3E0000}"/>
    <cellStyle name="Separador de milhares 3 14 4 2 2 3" xfId="25103" xr:uid="{00000000-0005-0000-0000-0000BD3E0000}"/>
    <cellStyle name="Separador de milhares 3 14 4 2 2 3 2" xfId="51287" xr:uid="{00000000-0005-0000-0000-0000BE3E0000}"/>
    <cellStyle name="Separador de milhares 3 14 4 2 2 4" xfId="19189" xr:uid="{00000000-0005-0000-0000-0000BF3E0000}"/>
    <cellStyle name="Separador de milhares 3 14 4 2 2 4 2" xfId="45379" xr:uid="{00000000-0005-0000-0000-0000C03E0000}"/>
    <cellStyle name="Separador de milhares 3 14 4 2 2 5" xfId="13088" xr:uid="{00000000-0005-0000-0000-0000C13E0000}"/>
    <cellStyle name="Separador de milhares 3 14 4 2 2 5 2" xfId="39281" xr:uid="{00000000-0005-0000-0000-0000C23E0000}"/>
    <cellStyle name="Separador de milhares 3 14 4 2 2 6" xfId="32895" xr:uid="{00000000-0005-0000-0000-0000C33E0000}"/>
    <cellStyle name="Separador de milhares 3 14 4 2 3" xfId="8378" xr:uid="{00000000-0005-0000-0000-0000C43E0000}"/>
    <cellStyle name="Separador de milhares 3 14 4 2 3 2" xfId="26592" xr:uid="{00000000-0005-0000-0000-0000C53E0000}"/>
    <cellStyle name="Separador de milhares 3 14 4 2 3 2 2" xfId="52773" xr:uid="{00000000-0005-0000-0000-0000C63E0000}"/>
    <cellStyle name="Separador de milhares 3 14 4 2 3 3" xfId="20678" xr:uid="{00000000-0005-0000-0000-0000C73E0000}"/>
    <cellStyle name="Separador de milhares 3 14 4 2 3 3 2" xfId="46865" xr:uid="{00000000-0005-0000-0000-0000C83E0000}"/>
    <cellStyle name="Separador de milhares 3 14 4 2 3 4" xfId="14764" xr:uid="{00000000-0005-0000-0000-0000C93E0000}"/>
    <cellStyle name="Separador de milhares 3 14 4 2 3 4 2" xfId="40957" xr:uid="{00000000-0005-0000-0000-0000CA3E0000}"/>
    <cellStyle name="Separador de milhares 3 14 4 2 3 5" xfId="34571" xr:uid="{00000000-0005-0000-0000-0000CB3E0000}"/>
    <cellStyle name="Separador de milhares 3 14 4 2 4" xfId="5000" xr:uid="{00000000-0005-0000-0000-0000CC3E0000}"/>
    <cellStyle name="Separador de milhares 3 14 4 2 4 2" xfId="23635" xr:uid="{00000000-0005-0000-0000-0000CD3E0000}"/>
    <cellStyle name="Separador de milhares 3 14 4 2 4 2 2" xfId="49819" xr:uid="{00000000-0005-0000-0000-0000CE3E0000}"/>
    <cellStyle name="Separador de milhares 3 14 4 2 4 3" xfId="31196" xr:uid="{00000000-0005-0000-0000-0000CF3E0000}"/>
    <cellStyle name="Separador de milhares 3 14 4 2 5" xfId="17721" xr:uid="{00000000-0005-0000-0000-0000D03E0000}"/>
    <cellStyle name="Separador de milhares 3 14 4 2 5 2" xfId="43911" xr:uid="{00000000-0005-0000-0000-0000D13E0000}"/>
    <cellStyle name="Separador de milhares 3 14 4 2 6" xfId="11387" xr:uid="{00000000-0005-0000-0000-0000D23E0000}"/>
    <cellStyle name="Separador de milhares 3 14 4 2 6 2" xfId="37580" xr:uid="{00000000-0005-0000-0000-0000D33E0000}"/>
    <cellStyle name="Separador de milhares 3 14 4 2 7" xfId="29498" xr:uid="{00000000-0005-0000-0000-0000D43E0000}"/>
    <cellStyle name="Separador de milhares 3 14 4 3" xfId="1313" xr:uid="{00000000-0005-0000-0000-0000D53E0000}"/>
    <cellStyle name="Separador de milhares 3 14 4 3 2" xfId="6797" xr:uid="{00000000-0005-0000-0000-0000D63E0000}"/>
    <cellStyle name="Separador de milhares 3 14 4 3 2 2" xfId="9944" xr:uid="{00000000-0005-0000-0000-0000D73E0000}"/>
    <cellStyle name="Separador de milhares 3 14 4 3 2 2 2" xfId="28158" xr:uid="{00000000-0005-0000-0000-0000D83E0000}"/>
    <cellStyle name="Separador de milhares 3 14 4 3 2 2 2 2" xfId="54339" xr:uid="{00000000-0005-0000-0000-0000D93E0000}"/>
    <cellStyle name="Separador de milhares 3 14 4 3 2 2 3" xfId="22244" xr:uid="{00000000-0005-0000-0000-0000DA3E0000}"/>
    <cellStyle name="Separador de milhares 3 14 4 3 2 2 3 2" xfId="48431" xr:uid="{00000000-0005-0000-0000-0000DB3E0000}"/>
    <cellStyle name="Separador de milhares 3 14 4 3 2 2 4" xfId="16330" xr:uid="{00000000-0005-0000-0000-0000DC3E0000}"/>
    <cellStyle name="Separador de milhares 3 14 4 3 2 2 4 2" xfId="42523" xr:uid="{00000000-0005-0000-0000-0000DD3E0000}"/>
    <cellStyle name="Separador de milhares 3 14 4 3 2 2 5" xfId="36137" xr:uid="{00000000-0005-0000-0000-0000DE3E0000}"/>
    <cellStyle name="Separador de milhares 3 14 4 3 2 3" xfId="25201" xr:uid="{00000000-0005-0000-0000-0000DF3E0000}"/>
    <cellStyle name="Separador de milhares 3 14 4 3 2 3 2" xfId="51385" xr:uid="{00000000-0005-0000-0000-0000E03E0000}"/>
    <cellStyle name="Separador de milhares 3 14 4 3 2 4" xfId="19287" xr:uid="{00000000-0005-0000-0000-0000E13E0000}"/>
    <cellStyle name="Separador de milhares 3 14 4 3 2 4 2" xfId="45477" xr:uid="{00000000-0005-0000-0000-0000E23E0000}"/>
    <cellStyle name="Separador de milhares 3 14 4 3 2 5" xfId="13186" xr:uid="{00000000-0005-0000-0000-0000E33E0000}"/>
    <cellStyle name="Separador de milhares 3 14 4 3 2 5 2" xfId="39379" xr:uid="{00000000-0005-0000-0000-0000E43E0000}"/>
    <cellStyle name="Separador de milhares 3 14 4 3 2 6" xfId="32993" xr:uid="{00000000-0005-0000-0000-0000E53E0000}"/>
    <cellStyle name="Separador de milhares 3 14 4 3 3" xfId="8476" xr:uid="{00000000-0005-0000-0000-0000E63E0000}"/>
    <cellStyle name="Separador de milhares 3 14 4 3 3 2" xfId="26690" xr:uid="{00000000-0005-0000-0000-0000E73E0000}"/>
    <cellStyle name="Separador de milhares 3 14 4 3 3 2 2" xfId="52871" xr:uid="{00000000-0005-0000-0000-0000E83E0000}"/>
    <cellStyle name="Separador de milhares 3 14 4 3 3 3" xfId="20776" xr:uid="{00000000-0005-0000-0000-0000E93E0000}"/>
    <cellStyle name="Separador de milhares 3 14 4 3 3 3 2" xfId="46963" xr:uid="{00000000-0005-0000-0000-0000EA3E0000}"/>
    <cellStyle name="Separador de milhares 3 14 4 3 3 4" xfId="14862" xr:uid="{00000000-0005-0000-0000-0000EB3E0000}"/>
    <cellStyle name="Separador de milhares 3 14 4 3 3 4 2" xfId="41055" xr:uid="{00000000-0005-0000-0000-0000EC3E0000}"/>
    <cellStyle name="Separador de milhares 3 14 4 3 3 5" xfId="34669" xr:uid="{00000000-0005-0000-0000-0000ED3E0000}"/>
    <cellStyle name="Separador de milhares 3 14 4 3 4" xfId="5098" xr:uid="{00000000-0005-0000-0000-0000EE3E0000}"/>
    <cellStyle name="Separador de milhares 3 14 4 3 4 2" xfId="23733" xr:uid="{00000000-0005-0000-0000-0000EF3E0000}"/>
    <cellStyle name="Separador de milhares 3 14 4 3 4 2 2" xfId="49917" xr:uid="{00000000-0005-0000-0000-0000F03E0000}"/>
    <cellStyle name="Separador de milhares 3 14 4 3 4 3" xfId="31294" xr:uid="{00000000-0005-0000-0000-0000F13E0000}"/>
    <cellStyle name="Separador de milhares 3 14 4 3 5" xfId="17819" xr:uid="{00000000-0005-0000-0000-0000F23E0000}"/>
    <cellStyle name="Separador de milhares 3 14 4 3 5 2" xfId="44009" xr:uid="{00000000-0005-0000-0000-0000F33E0000}"/>
    <cellStyle name="Separador de milhares 3 14 4 3 6" xfId="11485" xr:uid="{00000000-0005-0000-0000-0000F43E0000}"/>
    <cellStyle name="Separador de milhares 3 14 4 3 6 2" xfId="37678" xr:uid="{00000000-0005-0000-0000-0000F53E0000}"/>
    <cellStyle name="Separador de milhares 3 14 4 3 7" xfId="29596" xr:uid="{00000000-0005-0000-0000-0000F63E0000}"/>
    <cellStyle name="Separador de milhares 3 14 4 4" xfId="1748" xr:uid="{00000000-0005-0000-0000-0000F73E0000}"/>
    <cellStyle name="Separador de milhares 3 14 4 4 2" xfId="6916" xr:uid="{00000000-0005-0000-0000-0000F83E0000}"/>
    <cellStyle name="Separador de milhares 3 14 4 4 2 2" xfId="10063" xr:uid="{00000000-0005-0000-0000-0000F93E0000}"/>
    <cellStyle name="Separador de milhares 3 14 4 4 2 2 2" xfId="28277" xr:uid="{00000000-0005-0000-0000-0000FA3E0000}"/>
    <cellStyle name="Separador de milhares 3 14 4 4 2 2 2 2" xfId="54458" xr:uid="{00000000-0005-0000-0000-0000FB3E0000}"/>
    <cellStyle name="Separador de milhares 3 14 4 4 2 2 3" xfId="22363" xr:uid="{00000000-0005-0000-0000-0000FC3E0000}"/>
    <cellStyle name="Separador de milhares 3 14 4 4 2 2 3 2" xfId="48550" xr:uid="{00000000-0005-0000-0000-0000FD3E0000}"/>
    <cellStyle name="Separador de milhares 3 14 4 4 2 2 4" xfId="16449" xr:uid="{00000000-0005-0000-0000-0000FE3E0000}"/>
    <cellStyle name="Separador de milhares 3 14 4 4 2 2 4 2" xfId="42642" xr:uid="{00000000-0005-0000-0000-0000FF3E0000}"/>
    <cellStyle name="Separador de milhares 3 14 4 4 2 2 5" xfId="36256" xr:uid="{00000000-0005-0000-0000-0000003F0000}"/>
    <cellStyle name="Separador de milhares 3 14 4 4 2 3" xfId="25320" xr:uid="{00000000-0005-0000-0000-0000013F0000}"/>
    <cellStyle name="Separador de milhares 3 14 4 4 2 3 2" xfId="51504" xr:uid="{00000000-0005-0000-0000-0000023F0000}"/>
    <cellStyle name="Separador de milhares 3 14 4 4 2 4" xfId="19406" xr:uid="{00000000-0005-0000-0000-0000033F0000}"/>
    <cellStyle name="Separador de milhares 3 14 4 4 2 4 2" xfId="45596" xr:uid="{00000000-0005-0000-0000-0000043F0000}"/>
    <cellStyle name="Separador de milhares 3 14 4 4 2 5" xfId="13305" xr:uid="{00000000-0005-0000-0000-0000053F0000}"/>
    <cellStyle name="Separador de milhares 3 14 4 4 2 5 2" xfId="39498" xr:uid="{00000000-0005-0000-0000-0000063F0000}"/>
    <cellStyle name="Separador de milhares 3 14 4 4 2 6" xfId="33112" xr:uid="{00000000-0005-0000-0000-0000073F0000}"/>
    <cellStyle name="Separador de milhares 3 14 4 4 3" xfId="8595" xr:uid="{00000000-0005-0000-0000-0000083F0000}"/>
    <cellStyle name="Separador de milhares 3 14 4 4 3 2" xfId="26809" xr:uid="{00000000-0005-0000-0000-0000093F0000}"/>
    <cellStyle name="Separador de milhares 3 14 4 4 3 2 2" xfId="52990" xr:uid="{00000000-0005-0000-0000-00000A3F0000}"/>
    <cellStyle name="Separador de milhares 3 14 4 4 3 3" xfId="20895" xr:uid="{00000000-0005-0000-0000-00000B3F0000}"/>
    <cellStyle name="Separador de milhares 3 14 4 4 3 3 2" xfId="47082" xr:uid="{00000000-0005-0000-0000-00000C3F0000}"/>
    <cellStyle name="Separador de milhares 3 14 4 4 3 4" xfId="14981" xr:uid="{00000000-0005-0000-0000-00000D3F0000}"/>
    <cellStyle name="Separador de milhares 3 14 4 4 3 4 2" xfId="41174" xr:uid="{00000000-0005-0000-0000-00000E3F0000}"/>
    <cellStyle name="Separador de milhares 3 14 4 4 3 5" xfId="34788" xr:uid="{00000000-0005-0000-0000-00000F3F0000}"/>
    <cellStyle name="Separador de milhares 3 14 4 4 4" xfId="5217" xr:uid="{00000000-0005-0000-0000-0000103F0000}"/>
    <cellStyle name="Separador de milhares 3 14 4 4 4 2" xfId="23852" xr:uid="{00000000-0005-0000-0000-0000113F0000}"/>
    <cellStyle name="Separador de milhares 3 14 4 4 4 2 2" xfId="50036" xr:uid="{00000000-0005-0000-0000-0000123F0000}"/>
    <cellStyle name="Separador de milhares 3 14 4 4 4 3" xfId="31413" xr:uid="{00000000-0005-0000-0000-0000133F0000}"/>
    <cellStyle name="Separador de milhares 3 14 4 4 5" xfId="17938" xr:uid="{00000000-0005-0000-0000-0000143F0000}"/>
    <cellStyle name="Separador de milhares 3 14 4 4 5 2" xfId="44128" xr:uid="{00000000-0005-0000-0000-0000153F0000}"/>
    <cellStyle name="Separador de milhares 3 14 4 4 6" xfId="11604" xr:uid="{00000000-0005-0000-0000-0000163F0000}"/>
    <cellStyle name="Separador de milhares 3 14 4 4 6 2" xfId="37797" xr:uid="{00000000-0005-0000-0000-0000173F0000}"/>
    <cellStyle name="Separador de milhares 3 14 4 4 7" xfId="29715" xr:uid="{00000000-0005-0000-0000-0000183F0000}"/>
    <cellStyle name="Separador de milhares 3 14 4 5" xfId="2278" xr:uid="{00000000-0005-0000-0000-0000193F0000}"/>
    <cellStyle name="Separador de milhares 3 14 4 5 2" xfId="7066" xr:uid="{00000000-0005-0000-0000-00001A3F0000}"/>
    <cellStyle name="Separador de milhares 3 14 4 5 2 2" xfId="10210" xr:uid="{00000000-0005-0000-0000-00001B3F0000}"/>
    <cellStyle name="Separador de milhares 3 14 4 5 2 2 2" xfId="28424" xr:uid="{00000000-0005-0000-0000-00001C3F0000}"/>
    <cellStyle name="Separador de milhares 3 14 4 5 2 2 2 2" xfId="54605" xr:uid="{00000000-0005-0000-0000-00001D3F0000}"/>
    <cellStyle name="Separador de milhares 3 14 4 5 2 2 3" xfId="22510" xr:uid="{00000000-0005-0000-0000-00001E3F0000}"/>
    <cellStyle name="Separador de milhares 3 14 4 5 2 2 3 2" xfId="48697" xr:uid="{00000000-0005-0000-0000-00001F3F0000}"/>
    <cellStyle name="Separador de milhares 3 14 4 5 2 2 4" xfId="16596" xr:uid="{00000000-0005-0000-0000-0000203F0000}"/>
    <cellStyle name="Separador de milhares 3 14 4 5 2 2 4 2" xfId="42789" xr:uid="{00000000-0005-0000-0000-0000213F0000}"/>
    <cellStyle name="Separador de milhares 3 14 4 5 2 2 5" xfId="36403" xr:uid="{00000000-0005-0000-0000-0000223F0000}"/>
    <cellStyle name="Separador de milhares 3 14 4 5 2 3" xfId="25467" xr:uid="{00000000-0005-0000-0000-0000233F0000}"/>
    <cellStyle name="Separador de milhares 3 14 4 5 2 3 2" xfId="51651" xr:uid="{00000000-0005-0000-0000-0000243F0000}"/>
    <cellStyle name="Separador de milhares 3 14 4 5 2 4" xfId="19553" xr:uid="{00000000-0005-0000-0000-0000253F0000}"/>
    <cellStyle name="Separador de milhares 3 14 4 5 2 4 2" xfId="45743" xr:uid="{00000000-0005-0000-0000-0000263F0000}"/>
    <cellStyle name="Separador de milhares 3 14 4 5 2 5" xfId="13455" xr:uid="{00000000-0005-0000-0000-0000273F0000}"/>
    <cellStyle name="Separador de milhares 3 14 4 5 2 5 2" xfId="39648" xr:uid="{00000000-0005-0000-0000-0000283F0000}"/>
    <cellStyle name="Separador de milhares 3 14 4 5 2 6" xfId="33262" xr:uid="{00000000-0005-0000-0000-0000293F0000}"/>
    <cellStyle name="Separador de milhares 3 14 4 5 3" xfId="8742" xr:uid="{00000000-0005-0000-0000-00002A3F0000}"/>
    <cellStyle name="Separador de milhares 3 14 4 5 3 2" xfId="26956" xr:uid="{00000000-0005-0000-0000-00002B3F0000}"/>
    <cellStyle name="Separador de milhares 3 14 4 5 3 2 2" xfId="53137" xr:uid="{00000000-0005-0000-0000-00002C3F0000}"/>
    <cellStyle name="Separador de milhares 3 14 4 5 3 3" xfId="21042" xr:uid="{00000000-0005-0000-0000-00002D3F0000}"/>
    <cellStyle name="Separador de milhares 3 14 4 5 3 3 2" xfId="47229" xr:uid="{00000000-0005-0000-0000-00002E3F0000}"/>
    <cellStyle name="Separador de milhares 3 14 4 5 3 4" xfId="15128" xr:uid="{00000000-0005-0000-0000-00002F3F0000}"/>
    <cellStyle name="Separador de milhares 3 14 4 5 3 4 2" xfId="41321" xr:uid="{00000000-0005-0000-0000-0000303F0000}"/>
    <cellStyle name="Separador de milhares 3 14 4 5 3 5" xfId="34935" xr:uid="{00000000-0005-0000-0000-0000313F0000}"/>
    <cellStyle name="Separador de milhares 3 14 4 5 4" xfId="5367" xr:uid="{00000000-0005-0000-0000-0000323F0000}"/>
    <cellStyle name="Separador de milhares 3 14 4 5 4 2" xfId="23999" xr:uid="{00000000-0005-0000-0000-0000333F0000}"/>
    <cellStyle name="Separador de milhares 3 14 4 5 4 2 2" xfId="50183" xr:uid="{00000000-0005-0000-0000-0000343F0000}"/>
    <cellStyle name="Separador de milhares 3 14 4 5 4 3" xfId="31563" xr:uid="{00000000-0005-0000-0000-0000353F0000}"/>
    <cellStyle name="Separador de milhares 3 14 4 5 5" xfId="18085" xr:uid="{00000000-0005-0000-0000-0000363F0000}"/>
    <cellStyle name="Separador de milhares 3 14 4 5 5 2" xfId="44275" xr:uid="{00000000-0005-0000-0000-0000373F0000}"/>
    <cellStyle name="Separador de milhares 3 14 4 5 6" xfId="11754" xr:uid="{00000000-0005-0000-0000-0000383F0000}"/>
    <cellStyle name="Separador de milhares 3 14 4 5 6 2" xfId="37947" xr:uid="{00000000-0005-0000-0000-0000393F0000}"/>
    <cellStyle name="Separador de milhares 3 14 4 5 7" xfId="29865" xr:uid="{00000000-0005-0000-0000-00003A3F0000}"/>
    <cellStyle name="Separador de milhares 3 14 4 6" xfId="2805" xr:uid="{00000000-0005-0000-0000-00003B3F0000}"/>
    <cellStyle name="Separador de milhares 3 14 4 6 2" xfId="7213" xr:uid="{00000000-0005-0000-0000-00003C3F0000}"/>
    <cellStyle name="Separador de milhares 3 14 4 6 2 2" xfId="10357" xr:uid="{00000000-0005-0000-0000-00003D3F0000}"/>
    <cellStyle name="Separador de milhares 3 14 4 6 2 2 2" xfId="28571" xr:uid="{00000000-0005-0000-0000-00003E3F0000}"/>
    <cellStyle name="Separador de milhares 3 14 4 6 2 2 2 2" xfId="54752" xr:uid="{00000000-0005-0000-0000-00003F3F0000}"/>
    <cellStyle name="Separador de milhares 3 14 4 6 2 2 3" xfId="22657" xr:uid="{00000000-0005-0000-0000-0000403F0000}"/>
    <cellStyle name="Separador de milhares 3 14 4 6 2 2 3 2" xfId="48844" xr:uid="{00000000-0005-0000-0000-0000413F0000}"/>
    <cellStyle name="Separador de milhares 3 14 4 6 2 2 4" xfId="16743" xr:uid="{00000000-0005-0000-0000-0000423F0000}"/>
    <cellStyle name="Separador de milhares 3 14 4 6 2 2 4 2" xfId="42936" xr:uid="{00000000-0005-0000-0000-0000433F0000}"/>
    <cellStyle name="Separador de milhares 3 14 4 6 2 2 5" xfId="36550" xr:uid="{00000000-0005-0000-0000-0000443F0000}"/>
    <cellStyle name="Separador de milhares 3 14 4 6 2 3" xfId="25614" xr:uid="{00000000-0005-0000-0000-0000453F0000}"/>
    <cellStyle name="Separador de milhares 3 14 4 6 2 3 2" xfId="51798" xr:uid="{00000000-0005-0000-0000-0000463F0000}"/>
    <cellStyle name="Separador de milhares 3 14 4 6 2 4" xfId="19700" xr:uid="{00000000-0005-0000-0000-0000473F0000}"/>
    <cellStyle name="Separador de milhares 3 14 4 6 2 4 2" xfId="45890" xr:uid="{00000000-0005-0000-0000-0000483F0000}"/>
    <cellStyle name="Separador de milhares 3 14 4 6 2 5" xfId="13602" xr:uid="{00000000-0005-0000-0000-0000493F0000}"/>
    <cellStyle name="Separador de milhares 3 14 4 6 2 5 2" xfId="39795" xr:uid="{00000000-0005-0000-0000-00004A3F0000}"/>
    <cellStyle name="Separador de milhares 3 14 4 6 2 6" xfId="33409" xr:uid="{00000000-0005-0000-0000-00004B3F0000}"/>
    <cellStyle name="Separador de milhares 3 14 4 6 3" xfId="8889" xr:uid="{00000000-0005-0000-0000-00004C3F0000}"/>
    <cellStyle name="Separador de milhares 3 14 4 6 3 2" xfId="27103" xr:uid="{00000000-0005-0000-0000-00004D3F0000}"/>
    <cellStyle name="Separador de milhares 3 14 4 6 3 2 2" xfId="53284" xr:uid="{00000000-0005-0000-0000-00004E3F0000}"/>
    <cellStyle name="Separador de milhares 3 14 4 6 3 3" xfId="21189" xr:uid="{00000000-0005-0000-0000-00004F3F0000}"/>
    <cellStyle name="Separador de milhares 3 14 4 6 3 3 2" xfId="47376" xr:uid="{00000000-0005-0000-0000-0000503F0000}"/>
    <cellStyle name="Separador de milhares 3 14 4 6 3 4" xfId="15275" xr:uid="{00000000-0005-0000-0000-0000513F0000}"/>
    <cellStyle name="Separador de milhares 3 14 4 6 3 4 2" xfId="41468" xr:uid="{00000000-0005-0000-0000-0000523F0000}"/>
    <cellStyle name="Separador de milhares 3 14 4 6 3 5" xfId="35082" xr:uid="{00000000-0005-0000-0000-0000533F0000}"/>
    <cellStyle name="Separador de milhares 3 14 4 6 4" xfId="5514" xr:uid="{00000000-0005-0000-0000-0000543F0000}"/>
    <cellStyle name="Separador de milhares 3 14 4 6 4 2" xfId="24146" xr:uid="{00000000-0005-0000-0000-0000553F0000}"/>
    <cellStyle name="Separador de milhares 3 14 4 6 4 2 2" xfId="50330" xr:uid="{00000000-0005-0000-0000-0000563F0000}"/>
    <cellStyle name="Separador de milhares 3 14 4 6 4 3" xfId="31710" xr:uid="{00000000-0005-0000-0000-0000573F0000}"/>
    <cellStyle name="Separador de milhares 3 14 4 6 5" xfId="18232" xr:uid="{00000000-0005-0000-0000-0000583F0000}"/>
    <cellStyle name="Separador de milhares 3 14 4 6 5 2" xfId="44422" xr:uid="{00000000-0005-0000-0000-0000593F0000}"/>
    <cellStyle name="Separador de milhares 3 14 4 6 6" xfId="11901" xr:uid="{00000000-0005-0000-0000-00005A3F0000}"/>
    <cellStyle name="Separador de milhares 3 14 4 6 6 2" xfId="38094" xr:uid="{00000000-0005-0000-0000-00005B3F0000}"/>
    <cellStyle name="Separador de milhares 3 14 4 6 7" xfId="30012" xr:uid="{00000000-0005-0000-0000-00005C3F0000}"/>
    <cellStyle name="Separador de milhares 3 14 4 7" xfId="3332" xr:uid="{00000000-0005-0000-0000-00005D3F0000}"/>
    <cellStyle name="Separador de milhares 3 14 4 7 2" xfId="7360" xr:uid="{00000000-0005-0000-0000-00005E3F0000}"/>
    <cellStyle name="Separador de milhares 3 14 4 7 2 2" xfId="10504" xr:uid="{00000000-0005-0000-0000-00005F3F0000}"/>
    <cellStyle name="Separador de milhares 3 14 4 7 2 2 2" xfId="28718" xr:uid="{00000000-0005-0000-0000-0000603F0000}"/>
    <cellStyle name="Separador de milhares 3 14 4 7 2 2 2 2" xfId="54899" xr:uid="{00000000-0005-0000-0000-0000613F0000}"/>
    <cellStyle name="Separador de milhares 3 14 4 7 2 2 3" xfId="22804" xr:uid="{00000000-0005-0000-0000-0000623F0000}"/>
    <cellStyle name="Separador de milhares 3 14 4 7 2 2 3 2" xfId="48991" xr:uid="{00000000-0005-0000-0000-0000633F0000}"/>
    <cellStyle name="Separador de milhares 3 14 4 7 2 2 4" xfId="16890" xr:uid="{00000000-0005-0000-0000-0000643F0000}"/>
    <cellStyle name="Separador de milhares 3 14 4 7 2 2 4 2" xfId="43083" xr:uid="{00000000-0005-0000-0000-0000653F0000}"/>
    <cellStyle name="Separador de milhares 3 14 4 7 2 2 5" xfId="36697" xr:uid="{00000000-0005-0000-0000-0000663F0000}"/>
    <cellStyle name="Separador de milhares 3 14 4 7 2 3" xfId="25761" xr:uid="{00000000-0005-0000-0000-0000673F0000}"/>
    <cellStyle name="Separador de milhares 3 14 4 7 2 3 2" xfId="51945" xr:uid="{00000000-0005-0000-0000-0000683F0000}"/>
    <cellStyle name="Separador de milhares 3 14 4 7 2 4" xfId="19847" xr:uid="{00000000-0005-0000-0000-0000693F0000}"/>
    <cellStyle name="Separador de milhares 3 14 4 7 2 4 2" xfId="46037" xr:uid="{00000000-0005-0000-0000-00006A3F0000}"/>
    <cellStyle name="Separador de milhares 3 14 4 7 2 5" xfId="13749" xr:uid="{00000000-0005-0000-0000-00006B3F0000}"/>
    <cellStyle name="Separador de milhares 3 14 4 7 2 5 2" xfId="39942" xr:uid="{00000000-0005-0000-0000-00006C3F0000}"/>
    <cellStyle name="Separador de milhares 3 14 4 7 2 6" xfId="33556" xr:uid="{00000000-0005-0000-0000-00006D3F0000}"/>
    <cellStyle name="Separador de milhares 3 14 4 7 3" xfId="9036" xr:uid="{00000000-0005-0000-0000-00006E3F0000}"/>
    <cellStyle name="Separador de milhares 3 14 4 7 3 2" xfId="27250" xr:uid="{00000000-0005-0000-0000-00006F3F0000}"/>
    <cellStyle name="Separador de milhares 3 14 4 7 3 2 2" xfId="53431" xr:uid="{00000000-0005-0000-0000-0000703F0000}"/>
    <cellStyle name="Separador de milhares 3 14 4 7 3 3" xfId="21336" xr:uid="{00000000-0005-0000-0000-0000713F0000}"/>
    <cellStyle name="Separador de milhares 3 14 4 7 3 3 2" xfId="47523" xr:uid="{00000000-0005-0000-0000-0000723F0000}"/>
    <cellStyle name="Separador de milhares 3 14 4 7 3 4" xfId="15422" xr:uid="{00000000-0005-0000-0000-0000733F0000}"/>
    <cellStyle name="Separador de milhares 3 14 4 7 3 4 2" xfId="41615" xr:uid="{00000000-0005-0000-0000-0000743F0000}"/>
    <cellStyle name="Separador de milhares 3 14 4 7 3 5" xfId="35229" xr:uid="{00000000-0005-0000-0000-0000753F0000}"/>
    <cellStyle name="Separador de milhares 3 14 4 7 4" xfId="5661" xr:uid="{00000000-0005-0000-0000-0000763F0000}"/>
    <cellStyle name="Separador de milhares 3 14 4 7 4 2" xfId="24293" xr:uid="{00000000-0005-0000-0000-0000773F0000}"/>
    <cellStyle name="Separador de milhares 3 14 4 7 4 2 2" xfId="50477" xr:uid="{00000000-0005-0000-0000-0000783F0000}"/>
    <cellStyle name="Separador de milhares 3 14 4 7 4 3" xfId="31857" xr:uid="{00000000-0005-0000-0000-0000793F0000}"/>
    <cellStyle name="Separador de milhares 3 14 4 7 5" xfId="18379" xr:uid="{00000000-0005-0000-0000-00007A3F0000}"/>
    <cellStyle name="Separador de milhares 3 14 4 7 5 2" xfId="44569" xr:uid="{00000000-0005-0000-0000-00007B3F0000}"/>
    <cellStyle name="Separador de milhares 3 14 4 7 6" xfId="12048" xr:uid="{00000000-0005-0000-0000-00007C3F0000}"/>
    <cellStyle name="Separador de milhares 3 14 4 7 6 2" xfId="38241" xr:uid="{00000000-0005-0000-0000-00007D3F0000}"/>
    <cellStyle name="Separador de milhares 3 14 4 7 7" xfId="30159" xr:uid="{00000000-0005-0000-0000-00007E3F0000}"/>
    <cellStyle name="Separador de milhares 3 14 4 8" xfId="3859" xr:uid="{00000000-0005-0000-0000-00007F3F0000}"/>
    <cellStyle name="Separador de milhares 3 14 4 8 2" xfId="7507" xr:uid="{00000000-0005-0000-0000-0000803F0000}"/>
    <cellStyle name="Separador de milhares 3 14 4 8 2 2" xfId="10651" xr:uid="{00000000-0005-0000-0000-0000813F0000}"/>
    <cellStyle name="Separador de milhares 3 14 4 8 2 2 2" xfId="28865" xr:uid="{00000000-0005-0000-0000-0000823F0000}"/>
    <cellStyle name="Separador de milhares 3 14 4 8 2 2 2 2" xfId="55046" xr:uid="{00000000-0005-0000-0000-0000833F0000}"/>
    <cellStyle name="Separador de milhares 3 14 4 8 2 2 3" xfId="22951" xr:uid="{00000000-0005-0000-0000-0000843F0000}"/>
    <cellStyle name="Separador de milhares 3 14 4 8 2 2 3 2" xfId="49138" xr:uid="{00000000-0005-0000-0000-0000853F0000}"/>
    <cellStyle name="Separador de milhares 3 14 4 8 2 2 4" xfId="17037" xr:uid="{00000000-0005-0000-0000-0000863F0000}"/>
    <cellStyle name="Separador de milhares 3 14 4 8 2 2 4 2" xfId="43230" xr:uid="{00000000-0005-0000-0000-0000873F0000}"/>
    <cellStyle name="Separador de milhares 3 14 4 8 2 2 5" xfId="36844" xr:uid="{00000000-0005-0000-0000-0000883F0000}"/>
    <cellStyle name="Separador de milhares 3 14 4 8 2 3" xfId="25908" xr:uid="{00000000-0005-0000-0000-0000893F0000}"/>
    <cellStyle name="Separador de milhares 3 14 4 8 2 3 2" xfId="52092" xr:uid="{00000000-0005-0000-0000-00008A3F0000}"/>
    <cellStyle name="Separador de milhares 3 14 4 8 2 4" xfId="19994" xr:uid="{00000000-0005-0000-0000-00008B3F0000}"/>
    <cellStyle name="Separador de milhares 3 14 4 8 2 4 2" xfId="46184" xr:uid="{00000000-0005-0000-0000-00008C3F0000}"/>
    <cellStyle name="Separador de milhares 3 14 4 8 2 5" xfId="13896" xr:uid="{00000000-0005-0000-0000-00008D3F0000}"/>
    <cellStyle name="Separador de milhares 3 14 4 8 2 5 2" xfId="40089" xr:uid="{00000000-0005-0000-0000-00008E3F0000}"/>
    <cellStyle name="Separador de milhares 3 14 4 8 2 6" xfId="33703" xr:uid="{00000000-0005-0000-0000-00008F3F0000}"/>
    <cellStyle name="Separador de milhares 3 14 4 8 3" xfId="9183" xr:uid="{00000000-0005-0000-0000-0000903F0000}"/>
    <cellStyle name="Separador de milhares 3 14 4 8 3 2" xfId="27397" xr:uid="{00000000-0005-0000-0000-0000913F0000}"/>
    <cellStyle name="Separador de milhares 3 14 4 8 3 2 2" xfId="53578" xr:uid="{00000000-0005-0000-0000-0000923F0000}"/>
    <cellStyle name="Separador de milhares 3 14 4 8 3 3" xfId="21483" xr:uid="{00000000-0005-0000-0000-0000933F0000}"/>
    <cellStyle name="Separador de milhares 3 14 4 8 3 3 2" xfId="47670" xr:uid="{00000000-0005-0000-0000-0000943F0000}"/>
    <cellStyle name="Separador de milhares 3 14 4 8 3 4" xfId="15569" xr:uid="{00000000-0005-0000-0000-0000953F0000}"/>
    <cellStyle name="Separador de milhares 3 14 4 8 3 4 2" xfId="41762" xr:uid="{00000000-0005-0000-0000-0000963F0000}"/>
    <cellStyle name="Separador de milhares 3 14 4 8 3 5" xfId="35376" xr:uid="{00000000-0005-0000-0000-0000973F0000}"/>
    <cellStyle name="Separador de milhares 3 14 4 8 4" xfId="5808" xr:uid="{00000000-0005-0000-0000-0000983F0000}"/>
    <cellStyle name="Separador de milhares 3 14 4 8 4 2" xfId="24440" xr:uid="{00000000-0005-0000-0000-0000993F0000}"/>
    <cellStyle name="Separador de milhares 3 14 4 8 4 2 2" xfId="50624" xr:uid="{00000000-0005-0000-0000-00009A3F0000}"/>
    <cellStyle name="Separador de milhares 3 14 4 8 4 3" xfId="32004" xr:uid="{00000000-0005-0000-0000-00009B3F0000}"/>
    <cellStyle name="Separador de milhares 3 14 4 8 5" xfId="18526" xr:uid="{00000000-0005-0000-0000-00009C3F0000}"/>
    <cellStyle name="Separador de milhares 3 14 4 8 5 2" xfId="44716" xr:uid="{00000000-0005-0000-0000-00009D3F0000}"/>
    <cellStyle name="Separador de milhares 3 14 4 8 6" xfId="12195" xr:uid="{00000000-0005-0000-0000-00009E3F0000}"/>
    <cellStyle name="Separador de milhares 3 14 4 8 6 2" xfId="38388" xr:uid="{00000000-0005-0000-0000-00009F3F0000}"/>
    <cellStyle name="Separador de milhares 3 14 4 8 7" xfId="30306" xr:uid="{00000000-0005-0000-0000-0000A03F0000}"/>
    <cellStyle name="Separador de milhares 3 14 4 9" xfId="666" xr:uid="{00000000-0005-0000-0000-0000A13F0000}"/>
    <cellStyle name="Separador de milhares 3 14 4 9 2" xfId="6601" xr:uid="{00000000-0005-0000-0000-0000A23F0000}"/>
    <cellStyle name="Separador de milhares 3 14 4 9 2 2" xfId="9748" xr:uid="{00000000-0005-0000-0000-0000A33F0000}"/>
    <cellStyle name="Separador de milhares 3 14 4 9 2 2 2" xfId="27962" xr:uid="{00000000-0005-0000-0000-0000A43F0000}"/>
    <cellStyle name="Separador de milhares 3 14 4 9 2 2 2 2" xfId="54143" xr:uid="{00000000-0005-0000-0000-0000A53F0000}"/>
    <cellStyle name="Separador de milhares 3 14 4 9 2 2 3" xfId="22048" xr:uid="{00000000-0005-0000-0000-0000A63F0000}"/>
    <cellStyle name="Separador de milhares 3 14 4 9 2 2 3 2" xfId="48235" xr:uid="{00000000-0005-0000-0000-0000A73F0000}"/>
    <cellStyle name="Separador de milhares 3 14 4 9 2 2 4" xfId="16134" xr:uid="{00000000-0005-0000-0000-0000A83F0000}"/>
    <cellStyle name="Separador de milhares 3 14 4 9 2 2 4 2" xfId="42327" xr:uid="{00000000-0005-0000-0000-0000A93F0000}"/>
    <cellStyle name="Separador de milhares 3 14 4 9 2 2 5" xfId="35941" xr:uid="{00000000-0005-0000-0000-0000AA3F0000}"/>
    <cellStyle name="Separador de milhares 3 14 4 9 2 3" xfId="25005" xr:uid="{00000000-0005-0000-0000-0000AB3F0000}"/>
    <cellStyle name="Separador de milhares 3 14 4 9 2 3 2" xfId="51189" xr:uid="{00000000-0005-0000-0000-0000AC3F0000}"/>
    <cellStyle name="Separador de milhares 3 14 4 9 2 4" xfId="19091" xr:uid="{00000000-0005-0000-0000-0000AD3F0000}"/>
    <cellStyle name="Separador de milhares 3 14 4 9 2 4 2" xfId="45281" xr:uid="{00000000-0005-0000-0000-0000AE3F0000}"/>
    <cellStyle name="Separador de milhares 3 14 4 9 2 5" xfId="12990" xr:uid="{00000000-0005-0000-0000-0000AF3F0000}"/>
    <cellStyle name="Separador de milhares 3 14 4 9 2 5 2" xfId="39183" xr:uid="{00000000-0005-0000-0000-0000B03F0000}"/>
    <cellStyle name="Separador de milhares 3 14 4 9 2 6" xfId="32797" xr:uid="{00000000-0005-0000-0000-0000B13F0000}"/>
    <cellStyle name="Separador de milhares 3 14 4 9 3" xfId="8280" xr:uid="{00000000-0005-0000-0000-0000B23F0000}"/>
    <cellStyle name="Separador de milhares 3 14 4 9 3 2" xfId="26494" xr:uid="{00000000-0005-0000-0000-0000B33F0000}"/>
    <cellStyle name="Separador de milhares 3 14 4 9 3 2 2" xfId="52675" xr:uid="{00000000-0005-0000-0000-0000B43F0000}"/>
    <cellStyle name="Separador de milhares 3 14 4 9 3 3" xfId="20580" xr:uid="{00000000-0005-0000-0000-0000B53F0000}"/>
    <cellStyle name="Separador de milhares 3 14 4 9 3 3 2" xfId="46767" xr:uid="{00000000-0005-0000-0000-0000B63F0000}"/>
    <cellStyle name="Separador de milhares 3 14 4 9 3 4" xfId="14666" xr:uid="{00000000-0005-0000-0000-0000B73F0000}"/>
    <cellStyle name="Separador de milhares 3 14 4 9 3 4 2" xfId="40859" xr:uid="{00000000-0005-0000-0000-0000B83F0000}"/>
    <cellStyle name="Separador de milhares 3 14 4 9 3 5" xfId="34473" xr:uid="{00000000-0005-0000-0000-0000B93F0000}"/>
    <cellStyle name="Separador de milhares 3 14 4 9 4" xfId="4902" xr:uid="{00000000-0005-0000-0000-0000BA3F0000}"/>
    <cellStyle name="Separador de milhares 3 14 4 9 4 2" xfId="23537" xr:uid="{00000000-0005-0000-0000-0000BB3F0000}"/>
    <cellStyle name="Separador de milhares 3 14 4 9 4 2 2" xfId="49721" xr:uid="{00000000-0005-0000-0000-0000BC3F0000}"/>
    <cellStyle name="Separador de milhares 3 14 4 9 4 3" xfId="31098" xr:uid="{00000000-0005-0000-0000-0000BD3F0000}"/>
    <cellStyle name="Separador de milhares 3 14 4 9 5" xfId="17623" xr:uid="{00000000-0005-0000-0000-0000BE3F0000}"/>
    <cellStyle name="Separador de milhares 3 14 4 9 5 2" xfId="43813" xr:uid="{00000000-0005-0000-0000-0000BF3F0000}"/>
    <cellStyle name="Separador de milhares 3 14 4 9 6" xfId="11289" xr:uid="{00000000-0005-0000-0000-0000C03F0000}"/>
    <cellStyle name="Separador de milhares 3 14 4 9 6 2" xfId="37482" xr:uid="{00000000-0005-0000-0000-0000C13F0000}"/>
    <cellStyle name="Separador de milhares 3 14 4 9 7" xfId="29400" xr:uid="{00000000-0005-0000-0000-0000C23F0000}"/>
    <cellStyle name="Separador de milhares 3 14 5" xfId="574" xr:uid="{00000000-0005-0000-0000-0000C33F0000}"/>
    <cellStyle name="Separador de milhares 3 14 5 10" xfId="4866" xr:uid="{00000000-0005-0000-0000-0000C43F0000}"/>
    <cellStyle name="Separador de milhares 3 14 5 10 2" xfId="23500" xr:uid="{00000000-0005-0000-0000-0000C53F0000}"/>
    <cellStyle name="Separador de milhares 3 14 5 10 2 2" xfId="49687" xr:uid="{00000000-0005-0000-0000-0000C63F0000}"/>
    <cellStyle name="Separador de milhares 3 14 5 10 3" xfId="31064" xr:uid="{00000000-0005-0000-0000-0000C73F0000}"/>
    <cellStyle name="Separador de milhares 3 14 5 11" xfId="17586" xr:uid="{00000000-0005-0000-0000-0000C83F0000}"/>
    <cellStyle name="Separador de milhares 3 14 5 11 2" xfId="43779" xr:uid="{00000000-0005-0000-0000-0000C93F0000}"/>
    <cellStyle name="Separador de milhares 3 14 5 12" xfId="11255" xr:uid="{00000000-0005-0000-0000-0000CA3F0000}"/>
    <cellStyle name="Separador de milhares 3 14 5 12 2" xfId="37448" xr:uid="{00000000-0005-0000-0000-0000CB3F0000}"/>
    <cellStyle name="Separador de milhares 3 14 5 13" xfId="29366" xr:uid="{00000000-0005-0000-0000-0000CC3F0000}"/>
    <cellStyle name="Separador de milhares 3 14 5 2" xfId="1397" xr:uid="{00000000-0005-0000-0000-0000CD3F0000}"/>
    <cellStyle name="Separador de milhares 3 14 5 2 2" xfId="6818" xr:uid="{00000000-0005-0000-0000-0000CE3F0000}"/>
    <cellStyle name="Separador de milhares 3 14 5 2 2 2" xfId="9965" xr:uid="{00000000-0005-0000-0000-0000CF3F0000}"/>
    <cellStyle name="Separador de milhares 3 14 5 2 2 2 2" xfId="28179" xr:uid="{00000000-0005-0000-0000-0000D03F0000}"/>
    <cellStyle name="Separador de milhares 3 14 5 2 2 2 2 2" xfId="54360" xr:uid="{00000000-0005-0000-0000-0000D13F0000}"/>
    <cellStyle name="Separador de milhares 3 14 5 2 2 2 3" xfId="22265" xr:uid="{00000000-0005-0000-0000-0000D23F0000}"/>
    <cellStyle name="Separador de milhares 3 14 5 2 2 2 3 2" xfId="48452" xr:uid="{00000000-0005-0000-0000-0000D33F0000}"/>
    <cellStyle name="Separador de milhares 3 14 5 2 2 2 4" xfId="16351" xr:uid="{00000000-0005-0000-0000-0000D43F0000}"/>
    <cellStyle name="Separador de milhares 3 14 5 2 2 2 4 2" xfId="42544" xr:uid="{00000000-0005-0000-0000-0000D53F0000}"/>
    <cellStyle name="Separador de milhares 3 14 5 2 2 2 5" xfId="36158" xr:uid="{00000000-0005-0000-0000-0000D63F0000}"/>
    <cellStyle name="Separador de milhares 3 14 5 2 2 3" xfId="25222" xr:uid="{00000000-0005-0000-0000-0000D73F0000}"/>
    <cellStyle name="Separador de milhares 3 14 5 2 2 3 2" xfId="51406" xr:uid="{00000000-0005-0000-0000-0000D83F0000}"/>
    <cellStyle name="Separador de milhares 3 14 5 2 2 4" xfId="19308" xr:uid="{00000000-0005-0000-0000-0000D93F0000}"/>
    <cellStyle name="Separador de milhares 3 14 5 2 2 4 2" xfId="45498" xr:uid="{00000000-0005-0000-0000-0000DA3F0000}"/>
    <cellStyle name="Separador de milhares 3 14 5 2 2 5" xfId="13207" xr:uid="{00000000-0005-0000-0000-0000DB3F0000}"/>
    <cellStyle name="Separador de milhares 3 14 5 2 2 5 2" xfId="39400" xr:uid="{00000000-0005-0000-0000-0000DC3F0000}"/>
    <cellStyle name="Separador de milhares 3 14 5 2 2 6" xfId="33014" xr:uid="{00000000-0005-0000-0000-0000DD3F0000}"/>
    <cellStyle name="Separador de milhares 3 14 5 2 3" xfId="8497" xr:uid="{00000000-0005-0000-0000-0000DE3F0000}"/>
    <cellStyle name="Separador de milhares 3 14 5 2 3 2" xfId="26711" xr:uid="{00000000-0005-0000-0000-0000DF3F0000}"/>
    <cellStyle name="Separador de milhares 3 14 5 2 3 2 2" xfId="52892" xr:uid="{00000000-0005-0000-0000-0000E03F0000}"/>
    <cellStyle name="Separador de milhares 3 14 5 2 3 3" xfId="20797" xr:uid="{00000000-0005-0000-0000-0000E13F0000}"/>
    <cellStyle name="Separador de milhares 3 14 5 2 3 3 2" xfId="46984" xr:uid="{00000000-0005-0000-0000-0000E23F0000}"/>
    <cellStyle name="Separador de milhares 3 14 5 2 3 4" xfId="14883" xr:uid="{00000000-0005-0000-0000-0000E33F0000}"/>
    <cellStyle name="Separador de milhares 3 14 5 2 3 4 2" xfId="41076" xr:uid="{00000000-0005-0000-0000-0000E43F0000}"/>
    <cellStyle name="Separador de milhares 3 14 5 2 3 5" xfId="34690" xr:uid="{00000000-0005-0000-0000-0000E53F0000}"/>
    <cellStyle name="Separador de milhares 3 14 5 2 4" xfId="5119" xr:uid="{00000000-0005-0000-0000-0000E63F0000}"/>
    <cellStyle name="Separador de milhares 3 14 5 2 4 2" xfId="23754" xr:uid="{00000000-0005-0000-0000-0000E73F0000}"/>
    <cellStyle name="Separador de milhares 3 14 5 2 4 2 2" xfId="49938" xr:uid="{00000000-0005-0000-0000-0000E83F0000}"/>
    <cellStyle name="Separador de milhares 3 14 5 2 4 3" xfId="31315" xr:uid="{00000000-0005-0000-0000-0000E93F0000}"/>
    <cellStyle name="Separador de milhares 3 14 5 2 5" xfId="17840" xr:uid="{00000000-0005-0000-0000-0000EA3F0000}"/>
    <cellStyle name="Separador de milhares 3 14 5 2 5 2" xfId="44030" xr:uid="{00000000-0005-0000-0000-0000EB3F0000}"/>
    <cellStyle name="Separador de milhares 3 14 5 2 6" xfId="11506" xr:uid="{00000000-0005-0000-0000-0000EC3F0000}"/>
    <cellStyle name="Separador de milhares 3 14 5 2 6 2" xfId="37699" xr:uid="{00000000-0005-0000-0000-0000ED3F0000}"/>
    <cellStyle name="Separador de milhares 3 14 5 2 7" xfId="29617" xr:uid="{00000000-0005-0000-0000-0000EE3F0000}"/>
    <cellStyle name="Separador de milhares 3 14 5 3" xfId="1832" xr:uid="{00000000-0005-0000-0000-0000EF3F0000}"/>
    <cellStyle name="Separador de milhares 3 14 5 3 2" xfId="6937" xr:uid="{00000000-0005-0000-0000-0000F03F0000}"/>
    <cellStyle name="Separador de milhares 3 14 5 3 2 2" xfId="10084" xr:uid="{00000000-0005-0000-0000-0000F13F0000}"/>
    <cellStyle name="Separador de milhares 3 14 5 3 2 2 2" xfId="28298" xr:uid="{00000000-0005-0000-0000-0000F23F0000}"/>
    <cellStyle name="Separador de milhares 3 14 5 3 2 2 2 2" xfId="54479" xr:uid="{00000000-0005-0000-0000-0000F33F0000}"/>
    <cellStyle name="Separador de milhares 3 14 5 3 2 2 3" xfId="22384" xr:uid="{00000000-0005-0000-0000-0000F43F0000}"/>
    <cellStyle name="Separador de milhares 3 14 5 3 2 2 3 2" xfId="48571" xr:uid="{00000000-0005-0000-0000-0000F53F0000}"/>
    <cellStyle name="Separador de milhares 3 14 5 3 2 2 4" xfId="16470" xr:uid="{00000000-0005-0000-0000-0000F63F0000}"/>
    <cellStyle name="Separador de milhares 3 14 5 3 2 2 4 2" xfId="42663" xr:uid="{00000000-0005-0000-0000-0000F73F0000}"/>
    <cellStyle name="Separador de milhares 3 14 5 3 2 2 5" xfId="36277" xr:uid="{00000000-0005-0000-0000-0000F83F0000}"/>
    <cellStyle name="Separador de milhares 3 14 5 3 2 3" xfId="25341" xr:uid="{00000000-0005-0000-0000-0000F93F0000}"/>
    <cellStyle name="Separador de milhares 3 14 5 3 2 3 2" xfId="51525" xr:uid="{00000000-0005-0000-0000-0000FA3F0000}"/>
    <cellStyle name="Separador de milhares 3 14 5 3 2 4" xfId="19427" xr:uid="{00000000-0005-0000-0000-0000FB3F0000}"/>
    <cellStyle name="Separador de milhares 3 14 5 3 2 4 2" xfId="45617" xr:uid="{00000000-0005-0000-0000-0000FC3F0000}"/>
    <cellStyle name="Separador de milhares 3 14 5 3 2 5" xfId="13326" xr:uid="{00000000-0005-0000-0000-0000FD3F0000}"/>
    <cellStyle name="Separador de milhares 3 14 5 3 2 5 2" xfId="39519" xr:uid="{00000000-0005-0000-0000-0000FE3F0000}"/>
    <cellStyle name="Separador de milhares 3 14 5 3 2 6" xfId="33133" xr:uid="{00000000-0005-0000-0000-0000FF3F0000}"/>
    <cellStyle name="Separador de milhares 3 14 5 3 3" xfId="8616" xr:uid="{00000000-0005-0000-0000-000000400000}"/>
    <cellStyle name="Separador de milhares 3 14 5 3 3 2" xfId="26830" xr:uid="{00000000-0005-0000-0000-000001400000}"/>
    <cellStyle name="Separador de milhares 3 14 5 3 3 2 2" xfId="53011" xr:uid="{00000000-0005-0000-0000-000002400000}"/>
    <cellStyle name="Separador de milhares 3 14 5 3 3 3" xfId="20916" xr:uid="{00000000-0005-0000-0000-000003400000}"/>
    <cellStyle name="Separador de milhares 3 14 5 3 3 3 2" xfId="47103" xr:uid="{00000000-0005-0000-0000-000004400000}"/>
    <cellStyle name="Separador de milhares 3 14 5 3 3 4" xfId="15002" xr:uid="{00000000-0005-0000-0000-000005400000}"/>
    <cellStyle name="Separador de milhares 3 14 5 3 3 4 2" xfId="41195" xr:uid="{00000000-0005-0000-0000-000006400000}"/>
    <cellStyle name="Separador de milhares 3 14 5 3 3 5" xfId="34809" xr:uid="{00000000-0005-0000-0000-000007400000}"/>
    <cellStyle name="Separador de milhares 3 14 5 3 4" xfId="5238" xr:uid="{00000000-0005-0000-0000-000008400000}"/>
    <cellStyle name="Separador de milhares 3 14 5 3 4 2" xfId="23873" xr:uid="{00000000-0005-0000-0000-000009400000}"/>
    <cellStyle name="Separador de milhares 3 14 5 3 4 2 2" xfId="50057" xr:uid="{00000000-0005-0000-0000-00000A400000}"/>
    <cellStyle name="Separador de milhares 3 14 5 3 4 3" xfId="31434" xr:uid="{00000000-0005-0000-0000-00000B400000}"/>
    <cellStyle name="Separador de milhares 3 14 5 3 5" xfId="17959" xr:uid="{00000000-0005-0000-0000-00000C400000}"/>
    <cellStyle name="Separador de milhares 3 14 5 3 5 2" xfId="44149" xr:uid="{00000000-0005-0000-0000-00000D400000}"/>
    <cellStyle name="Separador de milhares 3 14 5 3 6" xfId="11625" xr:uid="{00000000-0005-0000-0000-00000E400000}"/>
    <cellStyle name="Separador de milhares 3 14 5 3 6 2" xfId="37818" xr:uid="{00000000-0005-0000-0000-00000F400000}"/>
    <cellStyle name="Separador de milhares 3 14 5 3 7" xfId="29736" xr:uid="{00000000-0005-0000-0000-000010400000}"/>
    <cellStyle name="Separador de milhares 3 14 5 4" xfId="2362" xr:uid="{00000000-0005-0000-0000-000011400000}"/>
    <cellStyle name="Separador de milhares 3 14 5 4 2" xfId="7087" xr:uid="{00000000-0005-0000-0000-000012400000}"/>
    <cellStyle name="Separador de milhares 3 14 5 4 2 2" xfId="10231" xr:uid="{00000000-0005-0000-0000-000013400000}"/>
    <cellStyle name="Separador de milhares 3 14 5 4 2 2 2" xfId="28445" xr:uid="{00000000-0005-0000-0000-000014400000}"/>
    <cellStyle name="Separador de milhares 3 14 5 4 2 2 2 2" xfId="54626" xr:uid="{00000000-0005-0000-0000-000015400000}"/>
    <cellStyle name="Separador de milhares 3 14 5 4 2 2 3" xfId="22531" xr:uid="{00000000-0005-0000-0000-000016400000}"/>
    <cellStyle name="Separador de milhares 3 14 5 4 2 2 3 2" xfId="48718" xr:uid="{00000000-0005-0000-0000-000017400000}"/>
    <cellStyle name="Separador de milhares 3 14 5 4 2 2 4" xfId="16617" xr:uid="{00000000-0005-0000-0000-000018400000}"/>
    <cellStyle name="Separador de milhares 3 14 5 4 2 2 4 2" xfId="42810" xr:uid="{00000000-0005-0000-0000-000019400000}"/>
    <cellStyle name="Separador de milhares 3 14 5 4 2 2 5" xfId="36424" xr:uid="{00000000-0005-0000-0000-00001A400000}"/>
    <cellStyle name="Separador de milhares 3 14 5 4 2 3" xfId="25488" xr:uid="{00000000-0005-0000-0000-00001B400000}"/>
    <cellStyle name="Separador de milhares 3 14 5 4 2 3 2" xfId="51672" xr:uid="{00000000-0005-0000-0000-00001C400000}"/>
    <cellStyle name="Separador de milhares 3 14 5 4 2 4" xfId="19574" xr:uid="{00000000-0005-0000-0000-00001D400000}"/>
    <cellStyle name="Separador de milhares 3 14 5 4 2 4 2" xfId="45764" xr:uid="{00000000-0005-0000-0000-00001E400000}"/>
    <cellStyle name="Separador de milhares 3 14 5 4 2 5" xfId="13476" xr:uid="{00000000-0005-0000-0000-00001F400000}"/>
    <cellStyle name="Separador de milhares 3 14 5 4 2 5 2" xfId="39669" xr:uid="{00000000-0005-0000-0000-000020400000}"/>
    <cellStyle name="Separador de milhares 3 14 5 4 2 6" xfId="33283" xr:uid="{00000000-0005-0000-0000-000021400000}"/>
    <cellStyle name="Separador de milhares 3 14 5 4 3" xfId="8763" xr:uid="{00000000-0005-0000-0000-000022400000}"/>
    <cellStyle name="Separador de milhares 3 14 5 4 3 2" xfId="26977" xr:uid="{00000000-0005-0000-0000-000023400000}"/>
    <cellStyle name="Separador de milhares 3 14 5 4 3 2 2" xfId="53158" xr:uid="{00000000-0005-0000-0000-000024400000}"/>
    <cellStyle name="Separador de milhares 3 14 5 4 3 3" xfId="21063" xr:uid="{00000000-0005-0000-0000-000025400000}"/>
    <cellStyle name="Separador de milhares 3 14 5 4 3 3 2" xfId="47250" xr:uid="{00000000-0005-0000-0000-000026400000}"/>
    <cellStyle name="Separador de milhares 3 14 5 4 3 4" xfId="15149" xr:uid="{00000000-0005-0000-0000-000027400000}"/>
    <cellStyle name="Separador de milhares 3 14 5 4 3 4 2" xfId="41342" xr:uid="{00000000-0005-0000-0000-000028400000}"/>
    <cellStyle name="Separador de milhares 3 14 5 4 3 5" xfId="34956" xr:uid="{00000000-0005-0000-0000-000029400000}"/>
    <cellStyle name="Separador de milhares 3 14 5 4 4" xfId="5388" xr:uid="{00000000-0005-0000-0000-00002A400000}"/>
    <cellStyle name="Separador de milhares 3 14 5 4 4 2" xfId="24020" xr:uid="{00000000-0005-0000-0000-00002B400000}"/>
    <cellStyle name="Separador de milhares 3 14 5 4 4 2 2" xfId="50204" xr:uid="{00000000-0005-0000-0000-00002C400000}"/>
    <cellStyle name="Separador de milhares 3 14 5 4 4 3" xfId="31584" xr:uid="{00000000-0005-0000-0000-00002D400000}"/>
    <cellStyle name="Separador de milhares 3 14 5 4 5" xfId="18106" xr:uid="{00000000-0005-0000-0000-00002E400000}"/>
    <cellStyle name="Separador de milhares 3 14 5 4 5 2" xfId="44296" xr:uid="{00000000-0005-0000-0000-00002F400000}"/>
    <cellStyle name="Separador de milhares 3 14 5 4 6" xfId="11775" xr:uid="{00000000-0005-0000-0000-000030400000}"/>
    <cellStyle name="Separador de milhares 3 14 5 4 6 2" xfId="37968" xr:uid="{00000000-0005-0000-0000-000031400000}"/>
    <cellStyle name="Separador de milhares 3 14 5 4 7" xfId="29886" xr:uid="{00000000-0005-0000-0000-000032400000}"/>
    <cellStyle name="Separador de milhares 3 14 5 5" xfId="2889" xr:uid="{00000000-0005-0000-0000-000033400000}"/>
    <cellStyle name="Separador de milhares 3 14 5 5 2" xfId="7234" xr:uid="{00000000-0005-0000-0000-000034400000}"/>
    <cellStyle name="Separador de milhares 3 14 5 5 2 2" xfId="10378" xr:uid="{00000000-0005-0000-0000-000035400000}"/>
    <cellStyle name="Separador de milhares 3 14 5 5 2 2 2" xfId="28592" xr:uid="{00000000-0005-0000-0000-000036400000}"/>
    <cellStyle name="Separador de milhares 3 14 5 5 2 2 2 2" xfId="54773" xr:uid="{00000000-0005-0000-0000-000037400000}"/>
    <cellStyle name="Separador de milhares 3 14 5 5 2 2 3" xfId="22678" xr:uid="{00000000-0005-0000-0000-000038400000}"/>
    <cellStyle name="Separador de milhares 3 14 5 5 2 2 3 2" xfId="48865" xr:uid="{00000000-0005-0000-0000-000039400000}"/>
    <cellStyle name="Separador de milhares 3 14 5 5 2 2 4" xfId="16764" xr:uid="{00000000-0005-0000-0000-00003A400000}"/>
    <cellStyle name="Separador de milhares 3 14 5 5 2 2 4 2" xfId="42957" xr:uid="{00000000-0005-0000-0000-00003B400000}"/>
    <cellStyle name="Separador de milhares 3 14 5 5 2 2 5" xfId="36571" xr:uid="{00000000-0005-0000-0000-00003C400000}"/>
    <cellStyle name="Separador de milhares 3 14 5 5 2 3" xfId="25635" xr:uid="{00000000-0005-0000-0000-00003D400000}"/>
    <cellStyle name="Separador de milhares 3 14 5 5 2 3 2" xfId="51819" xr:uid="{00000000-0005-0000-0000-00003E400000}"/>
    <cellStyle name="Separador de milhares 3 14 5 5 2 4" xfId="19721" xr:uid="{00000000-0005-0000-0000-00003F400000}"/>
    <cellStyle name="Separador de milhares 3 14 5 5 2 4 2" xfId="45911" xr:uid="{00000000-0005-0000-0000-000040400000}"/>
    <cellStyle name="Separador de milhares 3 14 5 5 2 5" xfId="13623" xr:uid="{00000000-0005-0000-0000-000041400000}"/>
    <cellStyle name="Separador de milhares 3 14 5 5 2 5 2" xfId="39816" xr:uid="{00000000-0005-0000-0000-000042400000}"/>
    <cellStyle name="Separador de milhares 3 14 5 5 2 6" xfId="33430" xr:uid="{00000000-0005-0000-0000-000043400000}"/>
    <cellStyle name="Separador de milhares 3 14 5 5 3" xfId="8910" xr:uid="{00000000-0005-0000-0000-000044400000}"/>
    <cellStyle name="Separador de milhares 3 14 5 5 3 2" xfId="27124" xr:uid="{00000000-0005-0000-0000-000045400000}"/>
    <cellStyle name="Separador de milhares 3 14 5 5 3 2 2" xfId="53305" xr:uid="{00000000-0005-0000-0000-000046400000}"/>
    <cellStyle name="Separador de milhares 3 14 5 5 3 3" xfId="21210" xr:uid="{00000000-0005-0000-0000-000047400000}"/>
    <cellStyle name="Separador de milhares 3 14 5 5 3 3 2" xfId="47397" xr:uid="{00000000-0005-0000-0000-000048400000}"/>
    <cellStyle name="Separador de milhares 3 14 5 5 3 4" xfId="15296" xr:uid="{00000000-0005-0000-0000-000049400000}"/>
    <cellStyle name="Separador de milhares 3 14 5 5 3 4 2" xfId="41489" xr:uid="{00000000-0005-0000-0000-00004A400000}"/>
    <cellStyle name="Separador de milhares 3 14 5 5 3 5" xfId="35103" xr:uid="{00000000-0005-0000-0000-00004B400000}"/>
    <cellStyle name="Separador de milhares 3 14 5 5 4" xfId="5535" xr:uid="{00000000-0005-0000-0000-00004C400000}"/>
    <cellStyle name="Separador de milhares 3 14 5 5 4 2" xfId="24167" xr:uid="{00000000-0005-0000-0000-00004D400000}"/>
    <cellStyle name="Separador de milhares 3 14 5 5 4 2 2" xfId="50351" xr:uid="{00000000-0005-0000-0000-00004E400000}"/>
    <cellStyle name="Separador de milhares 3 14 5 5 4 3" xfId="31731" xr:uid="{00000000-0005-0000-0000-00004F400000}"/>
    <cellStyle name="Separador de milhares 3 14 5 5 5" xfId="18253" xr:uid="{00000000-0005-0000-0000-000050400000}"/>
    <cellStyle name="Separador de milhares 3 14 5 5 5 2" xfId="44443" xr:uid="{00000000-0005-0000-0000-000051400000}"/>
    <cellStyle name="Separador de milhares 3 14 5 5 6" xfId="11922" xr:uid="{00000000-0005-0000-0000-000052400000}"/>
    <cellStyle name="Separador de milhares 3 14 5 5 6 2" xfId="38115" xr:uid="{00000000-0005-0000-0000-000053400000}"/>
    <cellStyle name="Separador de milhares 3 14 5 5 7" xfId="30033" xr:uid="{00000000-0005-0000-0000-000054400000}"/>
    <cellStyle name="Separador de milhares 3 14 5 6" xfId="3416" xr:uid="{00000000-0005-0000-0000-000055400000}"/>
    <cellStyle name="Separador de milhares 3 14 5 6 2" xfId="7381" xr:uid="{00000000-0005-0000-0000-000056400000}"/>
    <cellStyle name="Separador de milhares 3 14 5 6 2 2" xfId="10525" xr:uid="{00000000-0005-0000-0000-000057400000}"/>
    <cellStyle name="Separador de milhares 3 14 5 6 2 2 2" xfId="28739" xr:uid="{00000000-0005-0000-0000-000058400000}"/>
    <cellStyle name="Separador de milhares 3 14 5 6 2 2 2 2" xfId="54920" xr:uid="{00000000-0005-0000-0000-000059400000}"/>
    <cellStyle name="Separador de milhares 3 14 5 6 2 2 3" xfId="22825" xr:uid="{00000000-0005-0000-0000-00005A400000}"/>
    <cellStyle name="Separador de milhares 3 14 5 6 2 2 3 2" xfId="49012" xr:uid="{00000000-0005-0000-0000-00005B400000}"/>
    <cellStyle name="Separador de milhares 3 14 5 6 2 2 4" xfId="16911" xr:uid="{00000000-0005-0000-0000-00005C400000}"/>
    <cellStyle name="Separador de milhares 3 14 5 6 2 2 4 2" xfId="43104" xr:uid="{00000000-0005-0000-0000-00005D400000}"/>
    <cellStyle name="Separador de milhares 3 14 5 6 2 2 5" xfId="36718" xr:uid="{00000000-0005-0000-0000-00005E400000}"/>
    <cellStyle name="Separador de milhares 3 14 5 6 2 3" xfId="25782" xr:uid="{00000000-0005-0000-0000-00005F400000}"/>
    <cellStyle name="Separador de milhares 3 14 5 6 2 3 2" xfId="51966" xr:uid="{00000000-0005-0000-0000-000060400000}"/>
    <cellStyle name="Separador de milhares 3 14 5 6 2 4" xfId="19868" xr:uid="{00000000-0005-0000-0000-000061400000}"/>
    <cellStyle name="Separador de milhares 3 14 5 6 2 4 2" xfId="46058" xr:uid="{00000000-0005-0000-0000-000062400000}"/>
    <cellStyle name="Separador de milhares 3 14 5 6 2 5" xfId="13770" xr:uid="{00000000-0005-0000-0000-000063400000}"/>
    <cellStyle name="Separador de milhares 3 14 5 6 2 5 2" xfId="39963" xr:uid="{00000000-0005-0000-0000-000064400000}"/>
    <cellStyle name="Separador de milhares 3 14 5 6 2 6" xfId="33577" xr:uid="{00000000-0005-0000-0000-000065400000}"/>
    <cellStyle name="Separador de milhares 3 14 5 6 3" xfId="9057" xr:uid="{00000000-0005-0000-0000-000066400000}"/>
    <cellStyle name="Separador de milhares 3 14 5 6 3 2" xfId="27271" xr:uid="{00000000-0005-0000-0000-000067400000}"/>
    <cellStyle name="Separador de milhares 3 14 5 6 3 2 2" xfId="53452" xr:uid="{00000000-0005-0000-0000-000068400000}"/>
    <cellStyle name="Separador de milhares 3 14 5 6 3 3" xfId="21357" xr:uid="{00000000-0005-0000-0000-000069400000}"/>
    <cellStyle name="Separador de milhares 3 14 5 6 3 3 2" xfId="47544" xr:uid="{00000000-0005-0000-0000-00006A400000}"/>
    <cellStyle name="Separador de milhares 3 14 5 6 3 4" xfId="15443" xr:uid="{00000000-0005-0000-0000-00006B400000}"/>
    <cellStyle name="Separador de milhares 3 14 5 6 3 4 2" xfId="41636" xr:uid="{00000000-0005-0000-0000-00006C400000}"/>
    <cellStyle name="Separador de milhares 3 14 5 6 3 5" xfId="35250" xr:uid="{00000000-0005-0000-0000-00006D400000}"/>
    <cellStyle name="Separador de milhares 3 14 5 6 4" xfId="5682" xr:uid="{00000000-0005-0000-0000-00006E400000}"/>
    <cellStyle name="Separador de milhares 3 14 5 6 4 2" xfId="24314" xr:uid="{00000000-0005-0000-0000-00006F400000}"/>
    <cellStyle name="Separador de milhares 3 14 5 6 4 2 2" xfId="50498" xr:uid="{00000000-0005-0000-0000-000070400000}"/>
    <cellStyle name="Separador de milhares 3 14 5 6 4 3" xfId="31878" xr:uid="{00000000-0005-0000-0000-000071400000}"/>
    <cellStyle name="Separador de milhares 3 14 5 6 5" xfId="18400" xr:uid="{00000000-0005-0000-0000-000072400000}"/>
    <cellStyle name="Separador de milhares 3 14 5 6 5 2" xfId="44590" xr:uid="{00000000-0005-0000-0000-000073400000}"/>
    <cellStyle name="Separador de milhares 3 14 5 6 6" xfId="12069" xr:uid="{00000000-0005-0000-0000-000074400000}"/>
    <cellStyle name="Separador de milhares 3 14 5 6 6 2" xfId="38262" xr:uid="{00000000-0005-0000-0000-000075400000}"/>
    <cellStyle name="Separador de milhares 3 14 5 6 7" xfId="30180" xr:uid="{00000000-0005-0000-0000-000076400000}"/>
    <cellStyle name="Separador de milhares 3 14 5 7" xfId="3943" xr:uid="{00000000-0005-0000-0000-000077400000}"/>
    <cellStyle name="Separador de milhares 3 14 5 7 2" xfId="7528" xr:uid="{00000000-0005-0000-0000-000078400000}"/>
    <cellStyle name="Separador de milhares 3 14 5 7 2 2" xfId="10672" xr:uid="{00000000-0005-0000-0000-000079400000}"/>
    <cellStyle name="Separador de milhares 3 14 5 7 2 2 2" xfId="28886" xr:uid="{00000000-0005-0000-0000-00007A400000}"/>
    <cellStyle name="Separador de milhares 3 14 5 7 2 2 2 2" xfId="55067" xr:uid="{00000000-0005-0000-0000-00007B400000}"/>
    <cellStyle name="Separador de milhares 3 14 5 7 2 2 3" xfId="22972" xr:uid="{00000000-0005-0000-0000-00007C400000}"/>
    <cellStyle name="Separador de milhares 3 14 5 7 2 2 3 2" xfId="49159" xr:uid="{00000000-0005-0000-0000-00007D400000}"/>
    <cellStyle name="Separador de milhares 3 14 5 7 2 2 4" xfId="17058" xr:uid="{00000000-0005-0000-0000-00007E400000}"/>
    <cellStyle name="Separador de milhares 3 14 5 7 2 2 4 2" xfId="43251" xr:uid="{00000000-0005-0000-0000-00007F400000}"/>
    <cellStyle name="Separador de milhares 3 14 5 7 2 2 5" xfId="36865" xr:uid="{00000000-0005-0000-0000-000080400000}"/>
    <cellStyle name="Separador de milhares 3 14 5 7 2 3" xfId="25929" xr:uid="{00000000-0005-0000-0000-000081400000}"/>
    <cellStyle name="Separador de milhares 3 14 5 7 2 3 2" xfId="52113" xr:uid="{00000000-0005-0000-0000-000082400000}"/>
    <cellStyle name="Separador de milhares 3 14 5 7 2 4" xfId="20015" xr:uid="{00000000-0005-0000-0000-000083400000}"/>
    <cellStyle name="Separador de milhares 3 14 5 7 2 4 2" xfId="46205" xr:uid="{00000000-0005-0000-0000-000084400000}"/>
    <cellStyle name="Separador de milhares 3 14 5 7 2 5" xfId="13917" xr:uid="{00000000-0005-0000-0000-000085400000}"/>
    <cellStyle name="Separador de milhares 3 14 5 7 2 5 2" xfId="40110" xr:uid="{00000000-0005-0000-0000-000086400000}"/>
    <cellStyle name="Separador de milhares 3 14 5 7 2 6" xfId="33724" xr:uid="{00000000-0005-0000-0000-000087400000}"/>
    <cellStyle name="Separador de milhares 3 14 5 7 3" xfId="9204" xr:uid="{00000000-0005-0000-0000-000088400000}"/>
    <cellStyle name="Separador de milhares 3 14 5 7 3 2" xfId="27418" xr:uid="{00000000-0005-0000-0000-000089400000}"/>
    <cellStyle name="Separador de milhares 3 14 5 7 3 2 2" xfId="53599" xr:uid="{00000000-0005-0000-0000-00008A400000}"/>
    <cellStyle name="Separador de milhares 3 14 5 7 3 3" xfId="21504" xr:uid="{00000000-0005-0000-0000-00008B400000}"/>
    <cellStyle name="Separador de milhares 3 14 5 7 3 3 2" xfId="47691" xr:uid="{00000000-0005-0000-0000-00008C400000}"/>
    <cellStyle name="Separador de milhares 3 14 5 7 3 4" xfId="15590" xr:uid="{00000000-0005-0000-0000-00008D400000}"/>
    <cellStyle name="Separador de milhares 3 14 5 7 3 4 2" xfId="41783" xr:uid="{00000000-0005-0000-0000-00008E400000}"/>
    <cellStyle name="Separador de milhares 3 14 5 7 3 5" xfId="35397" xr:uid="{00000000-0005-0000-0000-00008F400000}"/>
    <cellStyle name="Separador de milhares 3 14 5 7 4" xfId="5829" xr:uid="{00000000-0005-0000-0000-000090400000}"/>
    <cellStyle name="Separador de milhares 3 14 5 7 4 2" xfId="24461" xr:uid="{00000000-0005-0000-0000-000091400000}"/>
    <cellStyle name="Separador de milhares 3 14 5 7 4 2 2" xfId="50645" xr:uid="{00000000-0005-0000-0000-000092400000}"/>
    <cellStyle name="Separador de milhares 3 14 5 7 4 3" xfId="32025" xr:uid="{00000000-0005-0000-0000-000093400000}"/>
    <cellStyle name="Separador de milhares 3 14 5 7 5" xfId="18547" xr:uid="{00000000-0005-0000-0000-000094400000}"/>
    <cellStyle name="Separador de milhares 3 14 5 7 5 2" xfId="44737" xr:uid="{00000000-0005-0000-0000-000095400000}"/>
    <cellStyle name="Separador de milhares 3 14 5 7 6" xfId="12216" xr:uid="{00000000-0005-0000-0000-000096400000}"/>
    <cellStyle name="Separador de milhares 3 14 5 7 6 2" xfId="38409" xr:uid="{00000000-0005-0000-0000-000097400000}"/>
    <cellStyle name="Separador de milhares 3 14 5 7 7" xfId="30327" xr:uid="{00000000-0005-0000-0000-000098400000}"/>
    <cellStyle name="Separador de milhares 3 14 5 8" xfId="6567" xr:uid="{00000000-0005-0000-0000-000099400000}"/>
    <cellStyle name="Separador de milhares 3 14 5 8 2" xfId="9714" xr:uid="{00000000-0005-0000-0000-00009A400000}"/>
    <cellStyle name="Separador de milhares 3 14 5 8 2 2" xfId="27928" xr:uid="{00000000-0005-0000-0000-00009B400000}"/>
    <cellStyle name="Separador de milhares 3 14 5 8 2 2 2" xfId="54109" xr:uid="{00000000-0005-0000-0000-00009C400000}"/>
    <cellStyle name="Separador de milhares 3 14 5 8 2 3" xfId="22014" xr:uid="{00000000-0005-0000-0000-00009D400000}"/>
    <cellStyle name="Separador de milhares 3 14 5 8 2 3 2" xfId="48201" xr:uid="{00000000-0005-0000-0000-00009E400000}"/>
    <cellStyle name="Separador de milhares 3 14 5 8 2 4" xfId="16100" xr:uid="{00000000-0005-0000-0000-00009F400000}"/>
    <cellStyle name="Separador de milhares 3 14 5 8 2 4 2" xfId="42293" xr:uid="{00000000-0005-0000-0000-0000A0400000}"/>
    <cellStyle name="Separador de milhares 3 14 5 8 2 5" xfId="35907" xr:uid="{00000000-0005-0000-0000-0000A1400000}"/>
    <cellStyle name="Separador de milhares 3 14 5 8 3" xfId="24971" xr:uid="{00000000-0005-0000-0000-0000A2400000}"/>
    <cellStyle name="Separador de milhares 3 14 5 8 3 2" xfId="51155" xr:uid="{00000000-0005-0000-0000-0000A3400000}"/>
    <cellStyle name="Separador de milhares 3 14 5 8 4" xfId="19057" xr:uid="{00000000-0005-0000-0000-0000A4400000}"/>
    <cellStyle name="Separador de milhares 3 14 5 8 4 2" xfId="45247" xr:uid="{00000000-0005-0000-0000-0000A5400000}"/>
    <cellStyle name="Separador de milhares 3 14 5 8 5" xfId="12956" xr:uid="{00000000-0005-0000-0000-0000A6400000}"/>
    <cellStyle name="Separador de milhares 3 14 5 8 5 2" xfId="39149" xr:uid="{00000000-0005-0000-0000-0000A7400000}"/>
    <cellStyle name="Separador de milhares 3 14 5 8 6" xfId="32763" xr:uid="{00000000-0005-0000-0000-0000A8400000}"/>
    <cellStyle name="Separador de milhares 3 14 5 9" xfId="8243" xr:uid="{00000000-0005-0000-0000-0000A9400000}"/>
    <cellStyle name="Separador de milhares 3 14 5 9 2" xfId="26457" xr:uid="{00000000-0005-0000-0000-0000AA400000}"/>
    <cellStyle name="Separador de milhares 3 14 5 9 2 2" xfId="52641" xr:uid="{00000000-0005-0000-0000-0000AB400000}"/>
    <cellStyle name="Separador de milhares 3 14 5 9 3" xfId="20543" xr:uid="{00000000-0005-0000-0000-0000AC400000}"/>
    <cellStyle name="Separador de milhares 3 14 5 9 3 2" xfId="46733" xr:uid="{00000000-0005-0000-0000-0000AD400000}"/>
    <cellStyle name="Separador de milhares 3 14 5 9 4" xfId="14632" xr:uid="{00000000-0005-0000-0000-0000AE400000}"/>
    <cellStyle name="Separador de milhares 3 14 5 9 4 2" xfId="40825" xr:uid="{00000000-0005-0000-0000-0000AF400000}"/>
    <cellStyle name="Separador de milhares 3 14 5 9 5" xfId="34439" xr:uid="{00000000-0005-0000-0000-0000B0400000}"/>
    <cellStyle name="Separador de milhares 3 14 6" xfId="695" xr:uid="{00000000-0005-0000-0000-0000B1400000}"/>
    <cellStyle name="Separador de milhares 3 14 6 2" xfId="4119" xr:uid="{00000000-0005-0000-0000-0000B2400000}"/>
    <cellStyle name="Separador de milhares 3 14 6 2 2" xfId="7577" xr:uid="{00000000-0005-0000-0000-0000B3400000}"/>
    <cellStyle name="Separador de milhares 3 14 6 2 2 2" xfId="10721" xr:uid="{00000000-0005-0000-0000-0000B4400000}"/>
    <cellStyle name="Separador de milhares 3 14 6 2 2 2 2" xfId="28935" xr:uid="{00000000-0005-0000-0000-0000B5400000}"/>
    <cellStyle name="Separador de milhares 3 14 6 2 2 2 2 2" xfId="55116" xr:uid="{00000000-0005-0000-0000-0000B6400000}"/>
    <cellStyle name="Separador de milhares 3 14 6 2 2 2 3" xfId="23021" xr:uid="{00000000-0005-0000-0000-0000B7400000}"/>
    <cellStyle name="Separador de milhares 3 14 6 2 2 2 3 2" xfId="49208" xr:uid="{00000000-0005-0000-0000-0000B8400000}"/>
    <cellStyle name="Separador de milhares 3 14 6 2 2 2 4" xfId="17107" xr:uid="{00000000-0005-0000-0000-0000B9400000}"/>
    <cellStyle name="Separador de milhares 3 14 6 2 2 2 4 2" xfId="43300" xr:uid="{00000000-0005-0000-0000-0000BA400000}"/>
    <cellStyle name="Separador de milhares 3 14 6 2 2 2 5" xfId="36914" xr:uid="{00000000-0005-0000-0000-0000BB400000}"/>
    <cellStyle name="Separador de milhares 3 14 6 2 2 3" xfId="25978" xr:uid="{00000000-0005-0000-0000-0000BC400000}"/>
    <cellStyle name="Separador de milhares 3 14 6 2 2 3 2" xfId="52162" xr:uid="{00000000-0005-0000-0000-0000BD400000}"/>
    <cellStyle name="Separador de milhares 3 14 6 2 2 4" xfId="20064" xr:uid="{00000000-0005-0000-0000-0000BE400000}"/>
    <cellStyle name="Separador de milhares 3 14 6 2 2 4 2" xfId="46254" xr:uid="{00000000-0005-0000-0000-0000BF400000}"/>
    <cellStyle name="Separador de milhares 3 14 6 2 2 5" xfId="13966" xr:uid="{00000000-0005-0000-0000-0000C0400000}"/>
    <cellStyle name="Separador de milhares 3 14 6 2 2 5 2" xfId="40159" xr:uid="{00000000-0005-0000-0000-0000C1400000}"/>
    <cellStyle name="Separador de milhares 3 14 6 2 2 6" xfId="33773" xr:uid="{00000000-0005-0000-0000-0000C2400000}"/>
    <cellStyle name="Separador de milhares 3 14 6 2 3" xfId="9253" xr:uid="{00000000-0005-0000-0000-0000C3400000}"/>
    <cellStyle name="Separador de milhares 3 14 6 2 3 2" xfId="27467" xr:uid="{00000000-0005-0000-0000-0000C4400000}"/>
    <cellStyle name="Separador de milhares 3 14 6 2 3 2 2" xfId="53648" xr:uid="{00000000-0005-0000-0000-0000C5400000}"/>
    <cellStyle name="Separador de milhares 3 14 6 2 3 3" xfId="21553" xr:uid="{00000000-0005-0000-0000-0000C6400000}"/>
    <cellStyle name="Separador de milhares 3 14 6 2 3 3 2" xfId="47740" xr:uid="{00000000-0005-0000-0000-0000C7400000}"/>
    <cellStyle name="Separador de milhares 3 14 6 2 3 4" xfId="15639" xr:uid="{00000000-0005-0000-0000-0000C8400000}"/>
    <cellStyle name="Separador de milhares 3 14 6 2 3 4 2" xfId="41832" xr:uid="{00000000-0005-0000-0000-0000C9400000}"/>
    <cellStyle name="Separador de milhares 3 14 6 2 3 5" xfId="35446" xr:uid="{00000000-0005-0000-0000-0000CA400000}"/>
    <cellStyle name="Separador de milhares 3 14 6 2 4" xfId="5878" xr:uid="{00000000-0005-0000-0000-0000CB400000}"/>
    <cellStyle name="Separador de milhares 3 14 6 2 4 2" xfId="24510" xr:uid="{00000000-0005-0000-0000-0000CC400000}"/>
    <cellStyle name="Separador de milhares 3 14 6 2 4 2 2" xfId="50694" xr:uid="{00000000-0005-0000-0000-0000CD400000}"/>
    <cellStyle name="Separador de milhares 3 14 6 2 4 3" xfId="32074" xr:uid="{00000000-0005-0000-0000-0000CE400000}"/>
    <cellStyle name="Separador de milhares 3 14 6 2 5" xfId="18596" xr:uid="{00000000-0005-0000-0000-0000CF400000}"/>
    <cellStyle name="Separador de milhares 3 14 6 2 5 2" xfId="44786" xr:uid="{00000000-0005-0000-0000-0000D0400000}"/>
    <cellStyle name="Separador de milhares 3 14 6 2 6" xfId="12265" xr:uid="{00000000-0005-0000-0000-0000D1400000}"/>
    <cellStyle name="Separador de milhares 3 14 6 2 6 2" xfId="38458" xr:uid="{00000000-0005-0000-0000-0000D2400000}"/>
    <cellStyle name="Separador de milhares 3 14 6 2 7" xfId="30376" xr:uid="{00000000-0005-0000-0000-0000D3400000}"/>
    <cellStyle name="Separador de milhares 3 14 6 3" xfId="6622" xr:uid="{00000000-0005-0000-0000-0000D4400000}"/>
    <cellStyle name="Separador de milhares 3 14 6 3 2" xfId="9769" xr:uid="{00000000-0005-0000-0000-0000D5400000}"/>
    <cellStyle name="Separador de milhares 3 14 6 3 2 2" xfId="27983" xr:uid="{00000000-0005-0000-0000-0000D6400000}"/>
    <cellStyle name="Separador de milhares 3 14 6 3 2 2 2" xfId="54164" xr:uid="{00000000-0005-0000-0000-0000D7400000}"/>
    <cellStyle name="Separador de milhares 3 14 6 3 2 3" xfId="22069" xr:uid="{00000000-0005-0000-0000-0000D8400000}"/>
    <cellStyle name="Separador de milhares 3 14 6 3 2 3 2" xfId="48256" xr:uid="{00000000-0005-0000-0000-0000D9400000}"/>
    <cellStyle name="Separador de milhares 3 14 6 3 2 4" xfId="16155" xr:uid="{00000000-0005-0000-0000-0000DA400000}"/>
    <cellStyle name="Separador de milhares 3 14 6 3 2 4 2" xfId="42348" xr:uid="{00000000-0005-0000-0000-0000DB400000}"/>
    <cellStyle name="Separador de milhares 3 14 6 3 2 5" xfId="35962" xr:uid="{00000000-0005-0000-0000-0000DC400000}"/>
    <cellStyle name="Separador de milhares 3 14 6 3 3" xfId="25026" xr:uid="{00000000-0005-0000-0000-0000DD400000}"/>
    <cellStyle name="Separador de milhares 3 14 6 3 3 2" xfId="51210" xr:uid="{00000000-0005-0000-0000-0000DE400000}"/>
    <cellStyle name="Separador de milhares 3 14 6 3 4" xfId="19112" xr:uid="{00000000-0005-0000-0000-0000DF400000}"/>
    <cellStyle name="Separador de milhares 3 14 6 3 4 2" xfId="45302" xr:uid="{00000000-0005-0000-0000-0000E0400000}"/>
    <cellStyle name="Separador de milhares 3 14 6 3 5" xfId="13011" xr:uid="{00000000-0005-0000-0000-0000E1400000}"/>
    <cellStyle name="Separador de milhares 3 14 6 3 5 2" xfId="39204" xr:uid="{00000000-0005-0000-0000-0000E2400000}"/>
    <cellStyle name="Separador de milhares 3 14 6 3 6" xfId="32818" xr:uid="{00000000-0005-0000-0000-0000E3400000}"/>
    <cellStyle name="Separador de milhares 3 14 6 4" xfId="8301" xr:uid="{00000000-0005-0000-0000-0000E4400000}"/>
    <cellStyle name="Separador de milhares 3 14 6 4 2" xfId="26515" xr:uid="{00000000-0005-0000-0000-0000E5400000}"/>
    <cellStyle name="Separador de milhares 3 14 6 4 2 2" xfId="52696" xr:uid="{00000000-0005-0000-0000-0000E6400000}"/>
    <cellStyle name="Separador de milhares 3 14 6 4 3" xfId="20601" xr:uid="{00000000-0005-0000-0000-0000E7400000}"/>
    <cellStyle name="Separador de milhares 3 14 6 4 3 2" xfId="46788" xr:uid="{00000000-0005-0000-0000-0000E8400000}"/>
    <cellStyle name="Separador de milhares 3 14 6 4 4" xfId="14687" xr:uid="{00000000-0005-0000-0000-0000E9400000}"/>
    <cellStyle name="Separador de milhares 3 14 6 4 4 2" xfId="40880" xr:uid="{00000000-0005-0000-0000-0000EA400000}"/>
    <cellStyle name="Separador de milhares 3 14 6 4 5" xfId="34494" xr:uid="{00000000-0005-0000-0000-0000EB400000}"/>
    <cellStyle name="Separador de milhares 3 14 6 5" xfId="4923" xr:uid="{00000000-0005-0000-0000-0000EC400000}"/>
    <cellStyle name="Separador de milhares 3 14 6 5 2" xfId="23558" xr:uid="{00000000-0005-0000-0000-0000ED400000}"/>
    <cellStyle name="Separador de milhares 3 14 6 5 2 2" xfId="49742" xr:uid="{00000000-0005-0000-0000-0000EE400000}"/>
    <cellStyle name="Separador de milhares 3 14 6 5 3" xfId="31119" xr:uid="{00000000-0005-0000-0000-0000EF400000}"/>
    <cellStyle name="Separador de milhares 3 14 6 6" xfId="17644" xr:uid="{00000000-0005-0000-0000-0000F0400000}"/>
    <cellStyle name="Separador de milhares 3 14 6 6 2" xfId="43834" xr:uid="{00000000-0005-0000-0000-0000F1400000}"/>
    <cellStyle name="Separador de milhares 3 14 6 7" xfId="11310" xr:uid="{00000000-0005-0000-0000-0000F2400000}"/>
    <cellStyle name="Separador de milhares 3 14 6 7 2" xfId="37503" xr:uid="{00000000-0005-0000-0000-0000F3400000}"/>
    <cellStyle name="Separador de milhares 3 14 6 8" xfId="29421" xr:uid="{00000000-0005-0000-0000-0000F4400000}"/>
    <cellStyle name="Separador de milhares 3 14 7" xfId="1046" xr:uid="{00000000-0005-0000-0000-0000F5400000}"/>
    <cellStyle name="Separador de milhares 3 14 7 2" xfId="6720" xr:uid="{00000000-0005-0000-0000-0000F6400000}"/>
    <cellStyle name="Separador de milhares 3 14 7 2 2" xfId="9867" xr:uid="{00000000-0005-0000-0000-0000F7400000}"/>
    <cellStyle name="Separador de milhares 3 14 7 2 2 2" xfId="28081" xr:uid="{00000000-0005-0000-0000-0000F8400000}"/>
    <cellStyle name="Separador de milhares 3 14 7 2 2 2 2" xfId="54262" xr:uid="{00000000-0005-0000-0000-0000F9400000}"/>
    <cellStyle name="Separador de milhares 3 14 7 2 2 3" xfId="22167" xr:uid="{00000000-0005-0000-0000-0000FA400000}"/>
    <cellStyle name="Separador de milhares 3 14 7 2 2 3 2" xfId="48354" xr:uid="{00000000-0005-0000-0000-0000FB400000}"/>
    <cellStyle name="Separador de milhares 3 14 7 2 2 4" xfId="16253" xr:uid="{00000000-0005-0000-0000-0000FC400000}"/>
    <cellStyle name="Separador de milhares 3 14 7 2 2 4 2" xfId="42446" xr:uid="{00000000-0005-0000-0000-0000FD400000}"/>
    <cellStyle name="Separador de milhares 3 14 7 2 2 5" xfId="36060" xr:uid="{00000000-0005-0000-0000-0000FE400000}"/>
    <cellStyle name="Separador de milhares 3 14 7 2 3" xfId="25124" xr:uid="{00000000-0005-0000-0000-0000FF400000}"/>
    <cellStyle name="Separador de milhares 3 14 7 2 3 2" xfId="51308" xr:uid="{00000000-0005-0000-0000-000000410000}"/>
    <cellStyle name="Separador de milhares 3 14 7 2 4" xfId="19210" xr:uid="{00000000-0005-0000-0000-000001410000}"/>
    <cellStyle name="Separador de milhares 3 14 7 2 4 2" xfId="45400" xr:uid="{00000000-0005-0000-0000-000002410000}"/>
    <cellStyle name="Separador de milhares 3 14 7 2 5" xfId="13109" xr:uid="{00000000-0005-0000-0000-000003410000}"/>
    <cellStyle name="Separador de milhares 3 14 7 2 5 2" xfId="39302" xr:uid="{00000000-0005-0000-0000-000004410000}"/>
    <cellStyle name="Separador de milhares 3 14 7 2 6" xfId="32916" xr:uid="{00000000-0005-0000-0000-000005410000}"/>
    <cellStyle name="Separador de milhares 3 14 7 3" xfId="8399" xr:uid="{00000000-0005-0000-0000-000006410000}"/>
    <cellStyle name="Separador de milhares 3 14 7 3 2" xfId="26613" xr:uid="{00000000-0005-0000-0000-000007410000}"/>
    <cellStyle name="Separador de milhares 3 14 7 3 2 2" xfId="52794" xr:uid="{00000000-0005-0000-0000-000008410000}"/>
    <cellStyle name="Separador de milhares 3 14 7 3 3" xfId="20699" xr:uid="{00000000-0005-0000-0000-000009410000}"/>
    <cellStyle name="Separador de milhares 3 14 7 3 3 2" xfId="46886" xr:uid="{00000000-0005-0000-0000-00000A410000}"/>
    <cellStyle name="Separador de milhares 3 14 7 3 4" xfId="14785" xr:uid="{00000000-0005-0000-0000-00000B410000}"/>
    <cellStyle name="Separador de milhares 3 14 7 3 4 2" xfId="40978" xr:uid="{00000000-0005-0000-0000-00000C410000}"/>
    <cellStyle name="Separador de milhares 3 14 7 3 5" xfId="34592" xr:uid="{00000000-0005-0000-0000-00000D410000}"/>
    <cellStyle name="Separador de milhares 3 14 7 4" xfId="5021" xr:uid="{00000000-0005-0000-0000-00000E410000}"/>
    <cellStyle name="Separador de milhares 3 14 7 4 2" xfId="23656" xr:uid="{00000000-0005-0000-0000-00000F410000}"/>
    <cellStyle name="Separador de milhares 3 14 7 4 2 2" xfId="49840" xr:uid="{00000000-0005-0000-0000-000010410000}"/>
    <cellStyle name="Separador de milhares 3 14 7 4 3" xfId="31217" xr:uid="{00000000-0005-0000-0000-000011410000}"/>
    <cellStyle name="Separador de milhares 3 14 7 5" xfId="17742" xr:uid="{00000000-0005-0000-0000-000012410000}"/>
    <cellStyle name="Separador de milhares 3 14 7 5 2" xfId="43932" xr:uid="{00000000-0005-0000-0000-000013410000}"/>
    <cellStyle name="Separador de milhares 3 14 7 6" xfId="11408" xr:uid="{00000000-0005-0000-0000-000014410000}"/>
    <cellStyle name="Separador de milhares 3 14 7 6 2" xfId="37601" xr:uid="{00000000-0005-0000-0000-000015410000}"/>
    <cellStyle name="Separador de milhares 3 14 7 7" xfId="29519" xr:uid="{00000000-0005-0000-0000-000016410000}"/>
    <cellStyle name="Separador de milhares 3 14 8" xfId="1481" xr:uid="{00000000-0005-0000-0000-000017410000}"/>
    <cellStyle name="Separador de milhares 3 14 8 2" xfId="6839" xr:uid="{00000000-0005-0000-0000-000018410000}"/>
    <cellStyle name="Separador de milhares 3 14 8 2 2" xfId="9986" xr:uid="{00000000-0005-0000-0000-000019410000}"/>
    <cellStyle name="Separador de milhares 3 14 8 2 2 2" xfId="28200" xr:uid="{00000000-0005-0000-0000-00001A410000}"/>
    <cellStyle name="Separador de milhares 3 14 8 2 2 2 2" xfId="54381" xr:uid="{00000000-0005-0000-0000-00001B410000}"/>
    <cellStyle name="Separador de milhares 3 14 8 2 2 3" xfId="22286" xr:uid="{00000000-0005-0000-0000-00001C410000}"/>
    <cellStyle name="Separador de milhares 3 14 8 2 2 3 2" xfId="48473" xr:uid="{00000000-0005-0000-0000-00001D410000}"/>
    <cellStyle name="Separador de milhares 3 14 8 2 2 4" xfId="16372" xr:uid="{00000000-0005-0000-0000-00001E410000}"/>
    <cellStyle name="Separador de milhares 3 14 8 2 2 4 2" xfId="42565" xr:uid="{00000000-0005-0000-0000-00001F410000}"/>
    <cellStyle name="Separador de milhares 3 14 8 2 2 5" xfId="36179" xr:uid="{00000000-0005-0000-0000-000020410000}"/>
    <cellStyle name="Separador de milhares 3 14 8 2 3" xfId="25243" xr:uid="{00000000-0005-0000-0000-000021410000}"/>
    <cellStyle name="Separador de milhares 3 14 8 2 3 2" xfId="51427" xr:uid="{00000000-0005-0000-0000-000022410000}"/>
    <cellStyle name="Separador de milhares 3 14 8 2 4" xfId="19329" xr:uid="{00000000-0005-0000-0000-000023410000}"/>
    <cellStyle name="Separador de milhares 3 14 8 2 4 2" xfId="45519" xr:uid="{00000000-0005-0000-0000-000024410000}"/>
    <cellStyle name="Separador de milhares 3 14 8 2 5" xfId="13228" xr:uid="{00000000-0005-0000-0000-000025410000}"/>
    <cellStyle name="Separador de milhares 3 14 8 2 5 2" xfId="39421" xr:uid="{00000000-0005-0000-0000-000026410000}"/>
    <cellStyle name="Separador de milhares 3 14 8 2 6" xfId="33035" xr:uid="{00000000-0005-0000-0000-000027410000}"/>
    <cellStyle name="Separador de milhares 3 14 8 3" xfId="8518" xr:uid="{00000000-0005-0000-0000-000028410000}"/>
    <cellStyle name="Separador de milhares 3 14 8 3 2" xfId="26732" xr:uid="{00000000-0005-0000-0000-000029410000}"/>
    <cellStyle name="Separador de milhares 3 14 8 3 2 2" xfId="52913" xr:uid="{00000000-0005-0000-0000-00002A410000}"/>
    <cellStyle name="Separador de milhares 3 14 8 3 3" xfId="20818" xr:uid="{00000000-0005-0000-0000-00002B410000}"/>
    <cellStyle name="Separador de milhares 3 14 8 3 3 2" xfId="47005" xr:uid="{00000000-0005-0000-0000-00002C410000}"/>
    <cellStyle name="Separador de milhares 3 14 8 3 4" xfId="14904" xr:uid="{00000000-0005-0000-0000-00002D410000}"/>
    <cellStyle name="Separador de milhares 3 14 8 3 4 2" xfId="41097" xr:uid="{00000000-0005-0000-0000-00002E410000}"/>
    <cellStyle name="Separador de milhares 3 14 8 3 5" xfId="34711" xr:uid="{00000000-0005-0000-0000-00002F410000}"/>
    <cellStyle name="Separador de milhares 3 14 8 4" xfId="5140" xr:uid="{00000000-0005-0000-0000-000030410000}"/>
    <cellStyle name="Separador de milhares 3 14 8 4 2" xfId="23775" xr:uid="{00000000-0005-0000-0000-000031410000}"/>
    <cellStyle name="Separador de milhares 3 14 8 4 2 2" xfId="49959" xr:uid="{00000000-0005-0000-0000-000032410000}"/>
    <cellStyle name="Separador de milhares 3 14 8 4 3" xfId="31336" xr:uid="{00000000-0005-0000-0000-000033410000}"/>
    <cellStyle name="Separador de milhares 3 14 8 5" xfId="17861" xr:uid="{00000000-0005-0000-0000-000034410000}"/>
    <cellStyle name="Separador de milhares 3 14 8 5 2" xfId="44051" xr:uid="{00000000-0005-0000-0000-000035410000}"/>
    <cellStyle name="Separador de milhares 3 14 8 6" xfId="11527" xr:uid="{00000000-0005-0000-0000-000036410000}"/>
    <cellStyle name="Separador de milhares 3 14 8 6 2" xfId="37720" xr:uid="{00000000-0005-0000-0000-000037410000}"/>
    <cellStyle name="Separador de milhares 3 14 8 7" xfId="29638" xr:uid="{00000000-0005-0000-0000-000038410000}"/>
    <cellStyle name="Separador de milhares 3 14 9" xfId="2011" xr:uid="{00000000-0005-0000-0000-000039410000}"/>
    <cellStyle name="Separador de milhares 3 14 9 2" xfId="6989" xr:uid="{00000000-0005-0000-0000-00003A410000}"/>
    <cellStyle name="Separador de milhares 3 14 9 2 2" xfId="10133" xr:uid="{00000000-0005-0000-0000-00003B410000}"/>
    <cellStyle name="Separador de milhares 3 14 9 2 2 2" xfId="28347" xr:uid="{00000000-0005-0000-0000-00003C410000}"/>
    <cellStyle name="Separador de milhares 3 14 9 2 2 2 2" xfId="54528" xr:uid="{00000000-0005-0000-0000-00003D410000}"/>
    <cellStyle name="Separador de milhares 3 14 9 2 2 3" xfId="22433" xr:uid="{00000000-0005-0000-0000-00003E410000}"/>
    <cellStyle name="Separador de milhares 3 14 9 2 2 3 2" xfId="48620" xr:uid="{00000000-0005-0000-0000-00003F410000}"/>
    <cellStyle name="Separador de milhares 3 14 9 2 2 4" xfId="16519" xr:uid="{00000000-0005-0000-0000-000040410000}"/>
    <cellStyle name="Separador de milhares 3 14 9 2 2 4 2" xfId="42712" xr:uid="{00000000-0005-0000-0000-000041410000}"/>
    <cellStyle name="Separador de milhares 3 14 9 2 2 5" xfId="36326" xr:uid="{00000000-0005-0000-0000-000042410000}"/>
    <cellStyle name="Separador de milhares 3 14 9 2 3" xfId="25390" xr:uid="{00000000-0005-0000-0000-000043410000}"/>
    <cellStyle name="Separador de milhares 3 14 9 2 3 2" xfId="51574" xr:uid="{00000000-0005-0000-0000-000044410000}"/>
    <cellStyle name="Separador de milhares 3 14 9 2 4" xfId="19476" xr:uid="{00000000-0005-0000-0000-000045410000}"/>
    <cellStyle name="Separador de milhares 3 14 9 2 4 2" xfId="45666" xr:uid="{00000000-0005-0000-0000-000046410000}"/>
    <cellStyle name="Separador de milhares 3 14 9 2 5" xfId="13378" xr:uid="{00000000-0005-0000-0000-000047410000}"/>
    <cellStyle name="Separador de milhares 3 14 9 2 5 2" xfId="39571" xr:uid="{00000000-0005-0000-0000-000048410000}"/>
    <cellStyle name="Separador de milhares 3 14 9 2 6" xfId="33185" xr:uid="{00000000-0005-0000-0000-000049410000}"/>
    <cellStyle name="Separador de milhares 3 14 9 3" xfId="8665" xr:uid="{00000000-0005-0000-0000-00004A410000}"/>
    <cellStyle name="Separador de milhares 3 14 9 3 2" xfId="26879" xr:uid="{00000000-0005-0000-0000-00004B410000}"/>
    <cellStyle name="Separador de milhares 3 14 9 3 2 2" xfId="53060" xr:uid="{00000000-0005-0000-0000-00004C410000}"/>
    <cellStyle name="Separador de milhares 3 14 9 3 3" xfId="20965" xr:uid="{00000000-0005-0000-0000-00004D410000}"/>
    <cellStyle name="Separador de milhares 3 14 9 3 3 2" xfId="47152" xr:uid="{00000000-0005-0000-0000-00004E410000}"/>
    <cellStyle name="Separador de milhares 3 14 9 3 4" xfId="15051" xr:uid="{00000000-0005-0000-0000-00004F410000}"/>
    <cellStyle name="Separador de milhares 3 14 9 3 4 2" xfId="41244" xr:uid="{00000000-0005-0000-0000-000050410000}"/>
    <cellStyle name="Separador de milhares 3 14 9 3 5" xfId="34858" xr:uid="{00000000-0005-0000-0000-000051410000}"/>
    <cellStyle name="Separador de milhares 3 14 9 4" xfId="5290" xr:uid="{00000000-0005-0000-0000-000052410000}"/>
    <cellStyle name="Separador de milhares 3 14 9 4 2" xfId="23922" xr:uid="{00000000-0005-0000-0000-000053410000}"/>
    <cellStyle name="Separador de milhares 3 14 9 4 2 2" xfId="50106" xr:uid="{00000000-0005-0000-0000-000054410000}"/>
    <cellStyle name="Separador de milhares 3 14 9 4 3" xfId="31486" xr:uid="{00000000-0005-0000-0000-000055410000}"/>
    <cellStyle name="Separador de milhares 3 14 9 5" xfId="18008" xr:uid="{00000000-0005-0000-0000-000056410000}"/>
    <cellStyle name="Separador de milhares 3 14 9 5 2" xfId="44198" xr:uid="{00000000-0005-0000-0000-000057410000}"/>
    <cellStyle name="Separador de milhares 3 14 9 6" xfId="11677" xr:uid="{00000000-0005-0000-0000-000058410000}"/>
    <cellStyle name="Separador de milhares 3 14 9 6 2" xfId="37870" xr:uid="{00000000-0005-0000-0000-000059410000}"/>
    <cellStyle name="Separador de milhares 3 14 9 7" xfId="29788" xr:uid="{00000000-0005-0000-0000-00005A410000}"/>
    <cellStyle name="Separador de milhares 3 15" xfId="107" xr:uid="{00000000-0005-0000-0000-00005B410000}"/>
    <cellStyle name="Separador de milhares 3 15 10" xfId="2610" xr:uid="{00000000-0005-0000-0000-00005C410000}"/>
    <cellStyle name="Separador de milhares 3 15 10 2" xfId="7154" xr:uid="{00000000-0005-0000-0000-00005D410000}"/>
    <cellStyle name="Separador de milhares 3 15 10 2 2" xfId="10298" xr:uid="{00000000-0005-0000-0000-00005E410000}"/>
    <cellStyle name="Separador de milhares 3 15 10 2 2 2" xfId="28512" xr:uid="{00000000-0005-0000-0000-00005F410000}"/>
    <cellStyle name="Separador de milhares 3 15 10 2 2 2 2" xfId="54693" xr:uid="{00000000-0005-0000-0000-000060410000}"/>
    <cellStyle name="Separador de milhares 3 15 10 2 2 3" xfId="22598" xr:uid="{00000000-0005-0000-0000-000061410000}"/>
    <cellStyle name="Separador de milhares 3 15 10 2 2 3 2" xfId="48785" xr:uid="{00000000-0005-0000-0000-000062410000}"/>
    <cellStyle name="Separador de milhares 3 15 10 2 2 4" xfId="16684" xr:uid="{00000000-0005-0000-0000-000063410000}"/>
    <cellStyle name="Separador de milhares 3 15 10 2 2 4 2" xfId="42877" xr:uid="{00000000-0005-0000-0000-000064410000}"/>
    <cellStyle name="Separador de milhares 3 15 10 2 2 5" xfId="36491" xr:uid="{00000000-0005-0000-0000-000065410000}"/>
    <cellStyle name="Separador de milhares 3 15 10 2 3" xfId="25555" xr:uid="{00000000-0005-0000-0000-000066410000}"/>
    <cellStyle name="Separador de milhares 3 15 10 2 3 2" xfId="51739" xr:uid="{00000000-0005-0000-0000-000067410000}"/>
    <cellStyle name="Separador de milhares 3 15 10 2 4" xfId="19641" xr:uid="{00000000-0005-0000-0000-000068410000}"/>
    <cellStyle name="Separador de milhares 3 15 10 2 4 2" xfId="45831" xr:uid="{00000000-0005-0000-0000-000069410000}"/>
    <cellStyle name="Separador de milhares 3 15 10 2 5" xfId="13543" xr:uid="{00000000-0005-0000-0000-00006A410000}"/>
    <cellStyle name="Separador de milhares 3 15 10 2 5 2" xfId="39736" xr:uid="{00000000-0005-0000-0000-00006B410000}"/>
    <cellStyle name="Separador de milhares 3 15 10 2 6" xfId="33350" xr:uid="{00000000-0005-0000-0000-00006C410000}"/>
    <cellStyle name="Separador de milhares 3 15 10 3" xfId="8830" xr:uid="{00000000-0005-0000-0000-00006D410000}"/>
    <cellStyle name="Separador de milhares 3 15 10 3 2" xfId="27044" xr:uid="{00000000-0005-0000-0000-00006E410000}"/>
    <cellStyle name="Separador de milhares 3 15 10 3 2 2" xfId="53225" xr:uid="{00000000-0005-0000-0000-00006F410000}"/>
    <cellStyle name="Separador de milhares 3 15 10 3 3" xfId="21130" xr:uid="{00000000-0005-0000-0000-000070410000}"/>
    <cellStyle name="Separador de milhares 3 15 10 3 3 2" xfId="47317" xr:uid="{00000000-0005-0000-0000-000071410000}"/>
    <cellStyle name="Separador de milhares 3 15 10 3 4" xfId="15216" xr:uid="{00000000-0005-0000-0000-000072410000}"/>
    <cellStyle name="Separador de milhares 3 15 10 3 4 2" xfId="41409" xr:uid="{00000000-0005-0000-0000-000073410000}"/>
    <cellStyle name="Separador de milhares 3 15 10 3 5" xfId="35023" xr:uid="{00000000-0005-0000-0000-000074410000}"/>
    <cellStyle name="Separador de milhares 3 15 10 4" xfId="5455" xr:uid="{00000000-0005-0000-0000-000075410000}"/>
    <cellStyle name="Separador de milhares 3 15 10 4 2" xfId="24087" xr:uid="{00000000-0005-0000-0000-000076410000}"/>
    <cellStyle name="Separador de milhares 3 15 10 4 2 2" xfId="50271" xr:uid="{00000000-0005-0000-0000-000077410000}"/>
    <cellStyle name="Separador de milhares 3 15 10 4 3" xfId="31651" xr:uid="{00000000-0005-0000-0000-000078410000}"/>
    <cellStyle name="Separador de milhares 3 15 10 5" xfId="18173" xr:uid="{00000000-0005-0000-0000-000079410000}"/>
    <cellStyle name="Separador de milhares 3 15 10 5 2" xfId="44363" xr:uid="{00000000-0005-0000-0000-00007A410000}"/>
    <cellStyle name="Separador de milhares 3 15 10 6" xfId="11842" xr:uid="{00000000-0005-0000-0000-00007B410000}"/>
    <cellStyle name="Separador de milhares 3 15 10 6 2" xfId="38035" xr:uid="{00000000-0005-0000-0000-00007C410000}"/>
    <cellStyle name="Separador de milhares 3 15 10 7" xfId="29953" xr:uid="{00000000-0005-0000-0000-00007D410000}"/>
    <cellStyle name="Separador de milhares 3 15 11" xfId="3137" xr:uid="{00000000-0005-0000-0000-00007E410000}"/>
    <cellStyle name="Separador de milhares 3 15 11 2" xfId="7301" xr:uid="{00000000-0005-0000-0000-00007F410000}"/>
    <cellStyle name="Separador de milhares 3 15 11 2 2" xfId="10445" xr:uid="{00000000-0005-0000-0000-000080410000}"/>
    <cellStyle name="Separador de milhares 3 15 11 2 2 2" xfId="28659" xr:uid="{00000000-0005-0000-0000-000081410000}"/>
    <cellStyle name="Separador de milhares 3 15 11 2 2 2 2" xfId="54840" xr:uid="{00000000-0005-0000-0000-000082410000}"/>
    <cellStyle name="Separador de milhares 3 15 11 2 2 3" xfId="22745" xr:uid="{00000000-0005-0000-0000-000083410000}"/>
    <cellStyle name="Separador de milhares 3 15 11 2 2 3 2" xfId="48932" xr:uid="{00000000-0005-0000-0000-000084410000}"/>
    <cellStyle name="Separador de milhares 3 15 11 2 2 4" xfId="16831" xr:uid="{00000000-0005-0000-0000-000085410000}"/>
    <cellStyle name="Separador de milhares 3 15 11 2 2 4 2" xfId="43024" xr:uid="{00000000-0005-0000-0000-000086410000}"/>
    <cellStyle name="Separador de milhares 3 15 11 2 2 5" xfId="36638" xr:uid="{00000000-0005-0000-0000-000087410000}"/>
    <cellStyle name="Separador de milhares 3 15 11 2 3" xfId="25702" xr:uid="{00000000-0005-0000-0000-000088410000}"/>
    <cellStyle name="Separador de milhares 3 15 11 2 3 2" xfId="51886" xr:uid="{00000000-0005-0000-0000-000089410000}"/>
    <cellStyle name="Separador de milhares 3 15 11 2 4" xfId="19788" xr:uid="{00000000-0005-0000-0000-00008A410000}"/>
    <cellStyle name="Separador de milhares 3 15 11 2 4 2" xfId="45978" xr:uid="{00000000-0005-0000-0000-00008B410000}"/>
    <cellStyle name="Separador de milhares 3 15 11 2 5" xfId="13690" xr:uid="{00000000-0005-0000-0000-00008C410000}"/>
    <cellStyle name="Separador de milhares 3 15 11 2 5 2" xfId="39883" xr:uid="{00000000-0005-0000-0000-00008D410000}"/>
    <cellStyle name="Separador de milhares 3 15 11 2 6" xfId="33497" xr:uid="{00000000-0005-0000-0000-00008E410000}"/>
    <cellStyle name="Separador de milhares 3 15 11 3" xfId="8977" xr:uid="{00000000-0005-0000-0000-00008F410000}"/>
    <cellStyle name="Separador de milhares 3 15 11 3 2" xfId="27191" xr:uid="{00000000-0005-0000-0000-000090410000}"/>
    <cellStyle name="Separador de milhares 3 15 11 3 2 2" xfId="53372" xr:uid="{00000000-0005-0000-0000-000091410000}"/>
    <cellStyle name="Separador de milhares 3 15 11 3 3" xfId="21277" xr:uid="{00000000-0005-0000-0000-000092410000}"/>
    <cellStyle name="Separador de milhares 3 15 11 3 3 2" xfId="47464" xr:uid="{00000000-0005-0000-0000-000093410000}"/>
    <cellStyle name="Separador de milhares 3 15 11 3 4" xfId="15363" xr:uid="{00000000-0005-0000-0000-000094410000}"/>
    <cellStyle name="Separador de milhares 3 15 11 3 4 2" xfId="41556" xr:uid="{00000000-0005-0000-0000-000095410000}"/>
    <cellStyle name="Separador de milhares 3 15 11 3 5" xfId="35170" xr:uid="{00000000-0005-0000-0000-000096410000}"/>
    <cellStyle name="Separador de milhares 3 15 11 4" xfId="5602" xr:uid="{00000000-0005-0000-0000-000097410000}"/>
    <cellStyle name="Separador de milhares 3 15 11 4 2" xfId="24234" xr:uid="{00000000-0005-0000-0000-000098410000}"/>
    <cellStyle name="Separador de milhares 3 15 11 4 2 2" xfId="50418" xr:uid="{00000000-0005-0000-0000-000099410000}"/>
    <cellStyle name="Separador de milhares 3 15 11 4 3" xfId="31798" xr:uid="{00000000-0005-0000-0000-00009A410000}"/>
    <cellStyle name="Separador de milhares 3 15 11 5" xfId="18320" xr:uid="{00000000-0005-0000-0000-00009B410000}"/>
    <cellStyle name="Separador de milhares 3 15 11 5 2" xfId="44510" xr:uid="{00000000-0005-0000-0000-00009C410000}"/>
    <cellStyle name="Separador de milhares 3 15 11 6" xfId="11989" xr:uid="{00000000-0005-0000-0000-00009D410000}"/>
    <cellStyle name="Separador de milhares 3 15 11 6 2" xfId="38182" xr:uid="{00000000-0005-0000-0000-00009E410000}"/>
    <cellStyle name="Separador de milhares 3 15 11 7" xfId="30100" xr:uid="{00000000-0005-0000-0000-00009F410000}"/>
    <cellStyle name="Separador de milhares 3 15 12" xfId="3664" xr:uid="{00000000-0005-0000-0000-0000A0410000}"/>
    <cellStyle name="Separador de milhares 3 15 12 2" xfId="7448" xr:uid="{00000000-0005-0000-0000-0000A1410000}"/>
    <cellStyle name="Separador de milhares 3 15 12 2 2" xfId="10592" xr:uid="{00000000-0005-0000-0000-0000A2410000}"/>
    <cellStyle name="Separador de milhares 3 15 12 2 2 2" xfId="28806" xr:uid="{00000000-0005-0000-0000-0000A3410000}"/>
    <cellStyle name="Separador de milhares 3 15 12 2 2 2 2" xfId="54987" xr:uid="{00000000-0005-0000-0000-0000A4410000}"/>
    <cellStyle name="Separador de milhares 3 15 12 2 2 3" xfId="22892" xr:uid="{00000000-0005-0000-0000-0000A5410000}"/>
    <cellStyle name="Separador de milhares 3 15 12 2 2 3 2" xfId="49079" xr:uid="{00000000-0005-0000-0000-0000A6410000}"/>
    <cellStyle name="Separador de milhares 3 15 12 2 2 4" xfId="16978" xr:uid="{00000000-0005-0000-0000-0000A7410000}"/>
    <cellStyle name="Separador de milhares 3 15 12 2 2 4 2" xfId="43171" xr:uid="{00000000-0005-0000-0000-0000A8410000}"/>
    <cellStyle name="Separador de milhares 3 15 12 2 2 5" xfId="36785" xr:uid="{00000000-0005-0000-0000-0000A9410000}"/>
    <cellStyle name="Separador de milhares 3 15 12 2 3" xfId="25849" xr:uid="{00000000-0005-0000-0000-0000AA410000}"/>
    <cellStyle name="Separador de milhares 3 15 12 2 3 2" xfId="52033" xr:uid="{00000000-0005-0000-0000-0000AB410000}"/>
    <cellStyle name="Separador de milhares 3 15 12 2 4" xfId="19935" xr:uid="{00000000-0005-0000-0000-0000AC410000}"/>
    <cellStyle name="Separador de milhares 3 15 12 2 4 2" xfId="46125" xr:uid="{00000000-0005-0000-0000-0000AD410000}"/>
    <cellStyle name="Separador de milhares 3 15 12 2 5" xfId="13837" xr:uid="{00000000-0005-0000-0000-0000AE410000}"/>
    <cellStyle name="Separador de milhares 3 15 12 2 5 2" xfId="40030" xr:uid="{00000000-0005-0000-0000-0000AF410000}"/>
    <cellStyle name="Separador de milhares 3 15 12 2 6" xfId="33644" xr:uid="{00000000-0005-0000-0000-0000B0410000}"/>
    <cellStyle name="Separador de milhares 3 15 12 3" xfId="9124" xr:uid="{00000000-0005-0000-0000-0000B1410000}"/>
    <cellStyle name="Separador de milhares 3 15 12 3 2" xfId="27338" xr:uid="{00000000-0005-0000-0000-0000B2410000}"/>
    <cellStyle name="Separador de milhares 3 15 12 3 2 2" xfId="53519" xr:uid="{00000000-0005-0000-0000-0000B3410000}"/>
    <cellStyle name="Separador de milhares 3 15 12 3 3" xfId="21424" xr:uid="{00000000-0005-0000-0000-0000B4410000}"/>
    <cellStyle name="Separador de milhares 3 15 12 3 3 2" xfId="47611" xr:uid="{00000000-0005-0000-0000-0000B5410000}"/>
    <cellStyle name="Separador de milhares 3 15 12 3 4" xfId="15510" xr:uid="{00000000-0005-0000-0000-0000B6410000}"/>
    <cellStyle name="Separador de milhares 3 15 12 3 4 2" xfId="41703" xr:uid="{00000000-0005-0000-0000-0000B7410000}"/>
    <cellStyle name="Separador de milhares 3 15 12 3 5" xfId="35317" xr:uid="{00000000-0005-0000-0000-0000B8410000}"/>
    <cellStyle name="Separador de milhares 3 15 12 4" xfId="5749" xr:uid="{00000000-0005-0000-0000-0000B9410000}"/>
    <cellStyle name="Separador de milhares 3 15 12 4 2" xfId="24381" xr:uid="{00000000-0005-0000-0000-0000BA410000}"/>
    <cellStyle name="Separador de milhares 3 15 12 4 2 2" xfId="50565" xr:uid="{00000000-0005-0000-0000-0000BB410000}"/>
    <cellStyle name="Separador de milhares 3 15 12 4 3" xfId="31945" xr:uid="{00000000-0005-0000-0000-0000BC410000}"/>
    <cellStyle name="Separador de milhares 3 15 12 5" xfId="18467" xr:uid="{00000000-0005-0000-0000-0000BD410000}"/>
    <cellStyle name="Separador de milhares 3 15 12 5 2" xfId="44657" xr:uid="{00000000-0005-0000-0000-0000BE410000}"/>
    <cellStyle name="Separador de milhares 3 15 12 6" xfId="12136" xr:uid="{00000000-0005-0000-0000-0000BF410000}"/>
    <cellStyle name="Separador de milhares 3 15 12 6 2" xfId="38329" xr:uid="{00000000-0005-0000-0000-0000C0410000}"/>
    <cellStyle name="Separador de milhares 3 15 12 7" xfId="30247" xr:uid="{00000000-0005-0000-0000-0000C1410000}"/>
    <cellStyle name="Separador de milhares 3 15 13" xfId="6432" xr:uid="{00000000-0005-0000-0000-0000C2410000}"/>
    <cellStyle name="Separador de milhares 3 15 13 2" xfId="9588" xr:uid="{00000000-0005-0000-0000-0000C3410000}"/>
    <cellStyle name="Separador de milhares 3 15 13 2 2" xfId="27802" xr:uid="{00000000-0005-0000-0000-0000C4410000}"/>
    <cellStyle name="Separador de milhares 3 15 13 2 2 2" xfId="53983" xr:uid="{00000000-0005-0000-0000-0000C5410000}"/>
    <cellStyle name="Separador de milhares 3 15 13 2 3" xfId="21888" xr:uid="{00000000-0005-0000-0000-0000C6410000}"/>
    <cellStyle name="Separador de milhares 3 15 13 2 3 2" xfId="48075" xr:uid="{00000000-0005-0000-0000-0000C7410000}"/>
    <cellStyle name="Separador de milhares 3 15 13 2 4" xfId="15974" xr:uid="{00000000-0005-0000-0000-0000C8410000}"/>
    <cellStyle name="Separador de milhares 3 15 13 2 4 2" xfId="42167" xr:uid="{00000000-0005-0000-0000-0000C9410000}"/>
    <cellStyle name="Separador de milhares 3 15 13 2 5" xfId="35781" xr:uid="{00000000-0005-0000-0000-0000CA410000}"/>
    <cellStyle name="Separador de milhares 3 15 13 3" xfId="24845" xr:uid="{00000000-0005-0000-0000-0000CB410000}"/>
    <cellStyle name="Separador de milhares 3 15 13 3 2" xfId="51029" xr:uid="{00000000-0005-0000-0000-0000CC410000}"/>
    <cellStyle name="Separador de milhares 3 15 13 4" xfId="18931" xr:uid="{00000000-0005-0000-0000-0000CD410000}"/>
    <cellStyle name="Separador de milhares 3 15 13 4 2" xfId="45121" xr:uid="{00000000-0005-0000-0000-0000CE410000}"/>
    <cellStyle name="Separador de milhares 3 15 13 5" xfId="12821" xr:uid="{00000000-0005-0000-0000-0000CF410000}"/>
    <cellStyle name="Separador de milhares 3 15 13 5 2" xfId="39014" xr:uid="{00000000-0005-0000-0000-0000D0410000}"/>
    <cellStyle name="Separador de milhares 3 15 13 6" xfId="32628" xr:uid="{00000000-0005-0000-0000-0000D1410000}"/>
    <cellStyle name="Separador de milhares 3 15 14" xfId="8117" xr:uid="{00000000-0005-0000-0000-0000D2410000}"/>
    <cellStyle name="Separador de milhares 3 15 14 2" xfId="26331" xr:uid="{00000000-0005-0000-0000-0000D3410000}"/>
    <cellStyle name="Separador de milhares 3 15 14 2 2" xfId="52515" xr:uid="{00000000-0005-0000-0000-0000D4410000}"/>
    <cellStyle name="Separador de milhares 3 15 14 3" xfId="20417" xr:uid="{00000000-0005-0000-0000-0000D5410000}"/>
    <cellStyle name="Separador de milhares 3 15 14 3 2" xfId="46607" xr:uid="{00000000-0005-0000-0000-0000D6410000}"/>
    <cellStyle name="Separador de milhares 3 15 14 4" xfId="14506" xr:uid="{00000000-0005-0000-0000-0000D7410000}"/>
    <cellStyle name="Separador de milhares 3 15 14 4 2" xfId="40699" xr:uid="{00000000-0005-0000-0000-0000D8410000}"/>
    <cellStyle name="Separador de milhares 3 15 14 5" xfId="34313" xr:uid="{00000000-0005-0000-0000-0000D9410000}"/>
    <cellStyle name="Separador de milhares 3 15 15" xfId="4730" xr:uid="{00000000-0005-0000-0000-0000DA410000}"/>
    <cellStyle name="Separador de milhares 3 15 15 2" xfId="23374" xr:uid="{00000000-0005-0000-0000-0000DB410000}"/>
    <cellStyle name="Separador de milhares 3 15 15 2 2" xfId="49561" xr:uid="{00000000-0005-0000-0000-0000DC410000}"/>
    <cellStyle name="Separador de milhares 3 15 15 3" xfId="30929" xr:uid="{00000000-0005-0000-0000-0000DD410000}"/>
    <cellStyle name="Separador de milhares 3 15 16" xfId="17460" xr:uid="{00000000-0005-0000-0000-0000DE410000}"/>
    <cellStyle name="Separador de milhares 3 15 16 2" xfId="43653" xr:uid="{00000000-0005-0000-0000-0000DF410000}"/>
    <cellStyle name="Separador de milhares 3 15 17" xfId="11120" xr:uid="{00000000-0005-0000-0000-0000E0410000}"/>
    <cellStyle name="Separador de milhares 3 15 17 2" xfId="37313" xr:uid="{00000000-0005-0000-0000-0000E1410000}"/>
    <cellStyle name="Separador de milhares 3 15 18" xfId="29231" xr:uid="{00000000-0005-0000-0000-0000E2410000}"/>
    <cellStyle name="Separador de milhares 3 15 2" xfId="201" xr:uid="{00000000-0005-0000-0000-0000E3410000}"/>
    <cellStyle name="Separador de milhares 3 15 2 10" xfId="6461" xr:uid="{00000000-0005-0000-0000-0000E4410000}"/>
    <cellStyle name="Separador de milhares 3 15 2 10 2" xfId="9615" xr:uid="{00000000-0005-0000-0000-0000E5410000}"/>
    <cellStyle name="Separador de milhares 3 15 2 10 2 2" xfId="27829" xr:uid="{00000000-0005-0000-0000-0000E6410000}"/>
    <cellStyle name="Separador de milhares 3 15 2 10 2 2 2" xfId="54010" xr:uid="{00000000-0005-0000-0000-0000E7410000}"/>
    <cellStyle name="Separador de milhares 3 15 2 10 2 3" xfId="21915" xr:uid="{00000000-0005-0000-0000-0000E8410000}"/>
    <cellStyle name="Separador de milhares 3 15 2 10 2 3 2" xfId="48102" xr:uid="{00000000-0005-0000-0000-0000E9410000}"/>
    <cellStyle name="Separador de milhares 3 15 2 10 2 4" xfId="16001" xr:uid="{00000000-0005-0000-0000-0000EA410000}"/>
    <cellStyle name="Separador de milhares 3 15 2 10 2 4 2" xfId="42194" xr:uid="{00000000-0005-0000-0000-0000EB410000}"/>
    <cellStyle name="Separador de milhares 3 15 2 10 2 5" xfId="35808" xr:uid="{00000000-0005-0000-0000-0000EC410000}"/>
    <cellStyle name="Separador de milhares 3 15 2 10 3" xfId="24872" xr:uid="{00000000-0005-0000-0000-0000ED410000}"/>
    <cellStyle name="Separador de milhares 3 15 2 10 3 2" xfId="51056" xr:uid="{00000000-0005-0000-0000-0000EE410000}"/>
    <cellStyle name="Separador de milhares 3 15 2 10 4" xfId="18958" xr:uid="{00000000-0005-0000-0000-0000EF410000}"/>
    <cellStyle name="Separador de milhares 3 15 2 10 4 2" xfId="45148" xr:uid="{00000000-0005-0000-0000-0000F0410000}"/>
    <cellStyle name="Separador de milhares 3 15 2 10 5" xfId="12850" xr:uid="{00000000-0005-0000-0000-0000F1410000}"/>
    <cellStyle name="Separador de milhares 3 15 2 10 5 2" xfId="39043" xr:uid="{00000000-0005-0000-0000-0000F2410000}"/>
    <cellStyle name="Separador de milhares 3 15 2 10 6" xfId="32657" xr:uid="{00000000-0005-0000-0000-0000F3410000}"/>
    <cellStyle name="Separador de milhares 3 15 2 11" xfId="8144" xr:uid="{00000000-0005-0000-0000-0000F4410000}"/>
    <cellStyle name="Separador de milhares 3 15 2 11 2" xfId="26358" xr:uid="{00000000-0005-0000-0000-0000F5410000}"/>
    <cellStyle name="Separador de milhares 3 15 2 11 2 2" xfId="52542" xr:uid="{00000000-0005-0000-0000-0000F6410000}"/>
    <cellStyle name="Separador de milhares 3 15 2 11 3" xfId="20444" xr:uid="{00000000-0005-0000-0000-0000F7410000}"/>
    <cellStyle name="Separador de milhares 3 15 2 11 3 2" xfId="46634" xr:uid="{00000000-0005-0000-0000-0000F8410000}"/>
    <cellStyle name="Separador de milhares 3 15 2 11 4" xfId="14533" xr:uid="{00000000-0005-0000-0000-0000F9410000}"/>
    <cellStyle name="Separador de milhares 3 15 2 11 4 2" xfId="40726" xr:uid="{00000000-0005-0000-0000-0000FA410000}"/>
    <cellStyle name="Separador de milhares 3 15 2 11 5" xfId="34340" xr:uid="{00000000-0005-0000-0000-0000FB410000}"/>
    <cellStyle name="Separador de milhares 3 15 2 12" xfId="4760" xr:uid="{00000000-0005-0000-0000-0000FC410000}"/>
    <cellStyle name="Separador de milhares 3 15 2 12 2" xfId="23401" xr:uid="{00000000-0005-0000-0000-0000FD410000}"/>
    <cellStyle name="Separador de milhares 3 15 2 12 2 2" xfId="49588" xr:uid="{00000000-0005-0000-0000-0000FE410000}"/>
    <cellStyle name="Separador de milhares 3 15 2 12 3" xfId="30958" xr:uid="{00000000-0005-0000-0000-0000FF410000}"/>
    <cellStyle name="Separador de milhares 3 15 2 13" xfId="17487" xr:uid="{00000000-0005-0000-0000-000000420000}"/>
    <cellStyle name="Separador de milhares 3 15 2 13 2" xfId="43680" xr:uid="{00000000-0005-0000-0000-000001420000}"/>
    <cellStyle name="Separador de milhares 3 15 2 14" xfId="11149" xr:uid="{00000000-0005-0000-0000-000002420000}"/>
    <cellStyle name="Separador de milhares 3 15 2 14 2" xfId="37342" xr:uid="{00000000-0005-0000-0000-000003420000}"/>
    <cellStyle name="Separador de milhares 3 15 2 15" xfId="29261" xr:uid="{00000000-0005-0000-0000-000004420000}"/>
    <cellStyle name="Separador de milhares 3 15 2 2" xfId="474" xr:uid="{00000000-0005-0000-0000-000005420000}"/>
    <cellStyle name="Separador de milhares 3 15 2 2 10" xfId="17561" xr:uid="{00000000-0005-0000-0000-000006420000}"/>
    <cellStyle name="Separador de milhares 3 15 2 2 10 2" xfId="43754" xr:uid="{00000000-0005-0000-0000-000007420000}"/>
    <cellStyle name="Separador de milhares 3 15 2 2 11" xfId="11230" xr:uid="{00000000-0005-0000-0000-000008420000}"/>
    <cellStyle name="Separador de milhares 3 15 2 2 11 2" xfId="37423" xr:uid="{00000000-0005-0000-0000-000009420000}"/>
    <cellStyle name="Separador de milhares 3 15 2 2 12" xfId="29341" xr:uid="{00000000-0005-0000-0000-00000A420000}"/>
    <cellStyle name="Separador de milhares 3 15 2 2 2" xfId="1993" xr:uid="{00000000-0005-0000-0000-00000B420000}"/>
    <cellStyle name="Separador de milhares 3 15 2 2 2 2" xfId="6980" xr:uid="{00000000-0005-0000-0000-00000C420000}"/>
    <cellStyle name="Separador de milhares 3 15 2 2 2 2 2" xfId="10127" xr:uid="{00000000-0005-0000-0000-00000D420000}"/>
    <cellStyle name="Separador de milhares 3 15 2 2 2 2 2 2" xfId="28341" xr:uid="{00000000-0005-0000-0000-00000E420000}"/>
    <cellStyle name="Separador de milhares 3 15 2 2 2 2 2 2 2" xfId="54522" xr:uid="{00000000-0005-0000-0000-00000F420000}"/>
    <cellStyle name="Separador de milhares 3 15 2 2 2 2 2 3" xfId="22427" xr:uid="{00000000-0005-0000-0000-000010420000}"/>
    <cellStyle name="Separador de milhares 3 15 2 2 2 2 2 3 2" xfId="48614" xr:uid="{00000000-0005-0000-0000-000011420000}"/>
    <cellStyle name="Separador de milhares 3 15 2 2 2 2 2 4" xfId="16513" xr:uid="{00000000-0005-0000-0000-000012420000}"/>
    <cellStyle name="Separador de milhares 3 15 2 2 2 2 2 4 2" xfId="42706" xr:uid="{00000000-0005-0000-0000-000013420000}"/>
    <cellStyle name="Separador de milhares 3 15 2 2 2 2 2 5" xfId="36320" xr:uid="{00000000-0005-0000-0000-000014420000}"/>
    <cellStyle name="Separador de milhares 3 15 2 2 2 2 3" xfId="25384" xr:uid="{00000000-0005-0000-0000-000015420000}"/>
    <cellStyle name="Separador de milhares 3 15 2 2 2 2 3 2" xfId="51568" xr:uid="{00000000-0005-0000-0000-000016420000}"/>
    <cellStyle name="Separador de milhares 3 15 2 2 2 2 4" xfId="19470" xr:uid="{00000000-0005-0000-0000-000017420000}"/>
    <cellStyle name="Separador de milhares 3 15 2 2 2 2 4 2" xfId="45660" xr:uid="{00000000-0005-0000-0000-000018420000}"/>
    <cellStyle name="Separador de milhares 3 15 2 2 2 2 5" xfId="13369" xr:uid="{00000000-0005-0000-0000-000019420000}"/>
    <cellStyle name="Separador de milhares 3 15 2 2 2 2 5 2" xfId="39562" xr:uid="{00000000-0005-0000-0000-00001A420000}"/>
    <cellStyle name="Separador de milhares 3 15 2 2 2 2 6" xfId="33176" xr:uid="{00000000-0005-0000-0000-00001B420000}"/>
    <cellStyle name="Separador de milhares 3 15 2 2 2 3" xfId="8659" xr:uid="{00000000-0005-0000-0000-00001C420000}"/>
    <cellStyle name="Separador de milhares 3 15 2 2 2 3 2" xfId="26873" xr:uid="{00000000-0005-0000-0000-00001D420000}"/>
    <cellStyle name="Separador de milhares 3 15 2 2 2 3 2 2" xfId="53054" xr:uid="{00000000-0005-0000-0000-00001E420000}"/>
    <cellStyle name="Separador de milhares 3 15 2 2 2 3 3" xfId="20959" xr:uid="{00000000-0005-0000-0000-00001F420000}"/>
    <cellStyle name="Separador de milhares 3 15 2 2 2 3 3 2" xfId="47146" xr:uid="{00000000-0005-0000-0000-000020420000}"/>
    <cellStyle name="Separador de milhares 3 15 2 2 2 3 4" xfId="15045" xr:uid="{00000000-0005-0000-0000-000021420000}"/>
    <cellStyle name="Separador de milhares 3 15 2 2 2 3 4 2" xfId="41238" xr:uid="{00000000-0005-0000-0000-000022420000}"/>
    <cellStyle name="Separador de milhares 3 15 2 2 2 3 5" xfId="34852" xr:uid="{00000000-0005-0000-0000-000023420000}"/>
    <cellStyle name="Separador de milhares 3 15 2 2 2 4" xfId="5281" xr:uid="{00000000-0005-0000-0000-000024420000}"/>
    <cellStyle name="Separador de milhares 3 15 2 2 2 4 2" xfId="23916" xr:uid="{00000000-0005-0000-0000-000025420000}"/>
    <cellStyle name="Separador de milhares 3 15 2 2 2 4 2 2" xfId="50100" xr:uid="{00000000-0005-0000-0000-000026420000}"/>
    <cellStyle name="Separador de milhares 3 15 2 2 2 4 3" xfId="31477" xr:uid="{00000000-0005-0000-0000-000027420000}"/>
    <cellStyle name="Separador de milhares 3 15 2 2 2 5" xfId="18002" xr:uid="{00000000-0005-0000-0000-000028420000}"/>
    <cellStyle name="Separador de milhares 3 15 2 2 2 5 2" xfId="44192" xr:uid="{00000000-0005-0000-0000-000029420000}"/>
    <cellStyle name="Separador de milhares 3 15 2 2 2 6" xfId="11668" xr:uid="{00000000-0005-0000-0000-00002A420000}"/>
    <cellStyle name="Separador de milhares 3 15 2 2 2 6 2" xfId="37861" xr:uid="{00000000-0005-0000-0000-00002B420000}"/>
    <cellStyle name="Separador de milhares 3 15 2 2 2 7" xfId="29779" xr:uid="{00000000-0005-0000-0000-00002C420000}"/>
    <cellStyle name="Separador de milhares 3 15 2 2 3" xfId="2523" xr:uid="{00000000-0005-0000-0000-00002D420000}"/>
    <cellStyle name="Separador de milhares 3 15 2 2 3 2" xfId="7130" xr:uid="{00000000-0005-0000-0000-00002E420000}"/>
    <cellStyle name="Separador de milhares 3 15 2 2 3 2 2" xfId="10274" xr:uid="{00000000-0005-0000-0000-00002F420000}"/>
    <cellStyle name="Separador de milhares 3 15 2 2 3 2 2 2" xfId="28488" xr:uid="{00000000-0005-0000-0000-000030420000}"/>
    <cellStyle name="Separador de milhares 3 15 2 2 3 2 2 2 2" xfId="54669" xr:uid="{00000000-0005-0000-0000-000031420000}"/>
    <cellStyle name="Separador de milhares 3 15 2 2 3 2 2 3" xfId="22574" xr:uid="{00000000-0005-0000-0000-000032420000}"/>
    <cellStyle name="Separador de milhares 3 15 2 2 3 2 2 3 2" xfId="48761" xr:uid="{00000000-0005-0000-0000-000033420000}"/>
    <cellStyle name="Separador de milhares 3 15 2 2 3 2 2 4" xfId="16660" xr:uid="{00000000-0005-0000-0000-000034420000}"/>
    <cellStyle name="Separador de milhares 3 15 2 2 3 2 2 4 2" xfId="42853" xr:uid="{00000000-0005-0000-0000-000035420000}"/>
    <cellStyle name="Separador de milhares 3 15 2 2 3 2 2 5" xfId="36467" xr:uid="{00000000-0005-0000-0000-000036420000}"/>
    <cellStyle name="Separador de milhares 3 15 2 2 3 2 3" xfId="25531" xr:uid="{00000000-0005-0000-0000-000037420000}"/>
    <cellStyle name="Separador de milhares 3 15 2 2 3 2 3 2" xfId="51715" xr:uid="{00000000-0005-0000-0000-000038420000}"/>
    <cellStyle name="Separador de milhares 3 15 2 2 3 2 4" xfId="19617" xr:uid="{00000000-0005-0000-0000-000039420000}"/>
    <cellStyle name="Separador de milhares 3 15 2 2 3 2 4 2" xfId="45807" xr:uid="{00000000-0005-0000-0000-00003A420000}"/>
    <cellStyle name="Separador de milhares 3 15 2 2 3 2 5" xfId="13519" xr:uid="{00000000-0005-0000-0000-00003B420000}"/>
    <cellStyle name="Separador de milhares 3 15 2 2 3 2 5 2" xfId="39712" xr:uid="{00000000-0005-0000-0000-00003C420000}"/>
    <cellStyle name="Separador de milhares 3 15 2 2 3 2 6" xfId="33326" xr:uid="{00000000-0005-0000-0000-00003D420000}"/>
    <cellStyle name="Separador de milhares 3 15 2 2 3 3" xfId="8806" xr:uid="{00000000-0005-0000-0000-00003E420000}"/>
    <cellStyle name="Separador de milhares 3 15 2 2 3 3 2" xfId="27020" xr:uid="{00000000-0005-0000-0000-00003F420000}"/>
    <cellStyle name="Separador de milhares 3 15 2 2 3 3 2 2" xfId="53201" xr:uid="{00000000-0005-0000-0000-000040420000}"/>
    <cellStyle name="Separador de milhares 3 15 2 2 3 3 3" xfId="21106" xr:uid="{00000000-0005-0000-0000-000041420000}"/>
    <cellStyle name="Separador de milhares 3 15 2 2 3 3 3 2" xfId="47293" xr:uid="{00000000-0005-0000-0000-000042420000}"/>
    <cellStyle name="Separador de milhares 3 15 2 2 3 3 4" xfId="15192" xr:uid="{00000000-0005-0000-0000-000043420000}"/>
    <cellStyle name="Separador de milhares 3 15 2 2 3 3 4 2" xfId="41385" xr:uid="{00000000-0005-0000-0000-000044420000}"/>
    <cellStyle name="Separador de milhares 3 15 2 2 3 3 5" xfId="34999" xr:uid="{00000000-0005-0000-0000-000045420000}"/>
    <cellStyle name="Separador de milhares 3 15 2 2 3 4" xfId="5431" xr:uid="{00000000-0005-0000-0000-000046420000}"/>
    <cellStyle name="Separador de milhares 3 15 2 2 3 4 2" xfId="24063" xr:uid="{00000000-0005-0000-0000-000047420000}"/>
    <cellStyle name="Separador de milhares 3 15 2 2 3 4 2 2" xfId="50247" xr:uid="{00000000-0005-0000-0000-000048420000}"/>
    <cellStyle name="Separador de milhares 3 15 2 2 3 4 3" xfId="31627" xr:uid="{00000000-0005-0000-0000-000049420000}"/>
    <cellStyle name="Separador de milhares 3 15 2 2 3 5" xfId="18149" xr:uid="{00000000-0005-0000-0000-00004A420000}"/>
    <cellStyle name="Separador de milhares 3 15 2 2 3 5 2" xfId="44339" xr:uid="{00000000-0005-0000-0000-00004B420000}"/>
    <cellStyle name="Separador de milhares 3 15 2 2 3 6" xfId="11818" xr:uid="{00000000-0005-0000-0000-00004C420000}"/>
    <cellStyle name="Separador de milhares 3 15 2 2 3 6 2" xfId="38011" xr:uid="{00000000-0005-0000-0000-00004D420000}"/>
    <cellStyle name="Separador de milhares 3 15 2 2 3 7" xfId="29929" xr:uid="{00000000-0005-0000-0000-00004E420000}"/>
    <cellStyle name="Separador de milhares 3 15 2 2 4" xfId="3050" xr:uid="{00000000-0005-0000-0000-00004F420000}"/>
    <cellStyle name="Separador de milhares 3 15 2 2 4 2" xfId="7277" xr:uid="{00000000-0005-0000-0000-000050420000}"/>
    <cellStyle name="Separador de milhares 3 15 2 2 4 2 2" xfId="10421" xr:uid="{00000000-0005-0000-0000-000051420000}"/>
    <cellStyle name="Separador de milhares 3 15 2 2 4 2 2 2" xfId="28635" xr:uid="{00000000-0005-0000-0000-000052420000}"/>
    <cellStyle name="Separador de milhares 3 15 2 2 4 2 2 2 2" xfId="54816" xr:uid="{00000000-0005-0000-0000-000053420000}"/>
    <cellStyle name="Separador de milhares 3 15 2 2 4 2 2 3" xfId="22721" xr:uid="{00000000-0005-0000-0000-000054420000}"/>
    <cellStyle name="Separador de milhares 3 15 2 2 4 2 2 3 2" xfId="48908" xr:uid="{00000000-0005-0000-0000-000055420000}"/>
    <cellStyle name="Separador de milhares 3 15 2 2 4 2 2 4" xfId="16807" xr:uid="{00000000-0005-0000-0000-000056420000}"/>
    <cellStyle name="Separador de milhares 3 15 2 2 4 2 2 4 2" xfId="43000" xr:uid="{00000000-0005-0000-0000-000057420000}"/>
    <cellStyle name="Separador de milhares 3 15 2 2 4 2 2 5" xfId="36614" xr:uid="{00000000-0005-0000-0000-000058420000}"/>
    <cellStyle name="Separador de milhares 3 15 2 2 4 2 3" xfId="25678" xr:uid="{00000000-0005-0000-0000-000059420000}"/>
    <cellStyle name="Separador de milhares 3 15 2 2 4 2 3 2" xfId="51862" xr:uid="{00000000-0005-0000-0000-00005A420000}"/>
    <cellStyle name="Separador de milhares 3 15 2 2 4 2 4" xfId="19764" xr:uid="{00000000-0005-0000-0000-00005B420000}"/>
    <cellStyle name="Separador de milhares 3 15 2 2 4 2 4 2" xfId="45954" xr:uid="{00000000-0005-0000-0000-00005C420000}"/>
    <cellStyle name="Separador de milhares 3 15 2 2 4 2 5" xfId="13666" xr:uid="{00000000-0005-0000-0000-00005D420000}"/>
    <cellStyle name="Separador de milhares 3 15 2 2 4 2 5 2" xfId="39859" xr:uid="{00000000-0005-0000-0000-00005E420000}"/>
    <cellStyle name="Separador de milhares 3 15 2 2 4 2 6" xfId="33473" xr:uid="{00000000-0005-0000-0000-00005F420000}"/>
    <cellStyle name="Separador de milhares 3 15 2 2 4 3" xfId="8953" xr:uid="{00000000-0005-0000-0000-000060420000}"/>
    <cellStyle name="Separador de milhares 3 15 2 2 4 3 2" xfId="27167" xr:uid="{00000000-0005-0000-0000-000061420000}"/>
    <cellStyle name="Separador de milhares 3 15 2 2 4 3 2 2" xfId="53348" xr:uid="{00000000-0005-0000-0000-000062420000}"/>
    <cellStyle name="Separador de milhares 3 15 2 2 4 3 3" xfId="21253" xr:uid="{00000000-0005-0000-0000-000063420000}"/>
    <cellStyle name="Separador de milhares 3 15 2 2 4 3 3 2" xfId="47440" xr:uid="{00000000-0005-0000-0000-000064420000}"/>
    <cellStyle name="Separador de milhares 3 15 2 2 4 3 4" xfId="15339" xr:uid="{00000000-0005-0000-0000-000065420000}"/>
    <cellStyle name="Separador de milhares 3 15 2 2 4 3 4 2" xfId="41532" xr:uid="{00000000-0005-0000-0000-000066420000}"/>
    <cellStyle name="Separador de milhares 3 15 2 2 4 3 5" xfId="35146" xr:uid="{00000000-0005-0000-0000-000067420000}"/>
    <cellStyle name="Separador de milhares 3 15 2 2 4 4" xfId="5578" xr:uid="{00000000-0005-0000-0000-000068420000}"/>
    <cellStyle name="Separador de milhares 3 15 2 2 4 4 2" xfId="24210" xr:uid="{00000000-0005-0000-0000-000069420000}"/>
    <cellStyle name="Separador de milhares 3 15 2 2 4 4 2 2" xfId="50394" xr:uid="{00000000-0005-0000-0000-00006A420000}"/>
    <cellStyle name="Separador de milhares 3 15 2 2 4 4 3" xfId="31774" xr:uid="{00000000-0005-0000-0000-00006B420000}"/>
    <cellStyle name="Separador de milhares 3 15 2 2 4 5" xfId="18296" xr:uid="{00000000-0005-0000-0000-00006C420000}"/>
    <cellStyle name="Separador de milhares 3 15 2 2 4 5 2" xfId="44486" xr:uid="{00000000-0005-0000-0000-00006D420000}"/>
    <cellStyle name="Separador de milhares 3 15 2 2 4 6" xfId="11965" xr:uid="{00000000-0005-0000-0000-00006E420000}"/>
    <cellStyle name="Separador de milhares 3 15 2 2 4 6 2" xfId="38158" xr:uid="{00000000-0005-0000-0000-00006F420000}"/>
    <cellStyle name="Separador de milhares 3 15 2 2 4 7" xfId="30076" xr:uid="{00000000-0005-0000-0000-000070420000}"/>
    <cellStyle name="Separador de milhares 3 15 2 2 5" xfId="3577" xr:uid="{00000000-0005-0000-0000-000071420000}"/>
    <cellStyle name="Separador de milhares 3 15 2 2 5 2" xfId="7424" xr:uid="{00000000-0005-0000-0000-000072420000}"/>
    <cellStyle name="Separador de milhares 3 15 2 2 5 2 2" xfId="10568" xr:uid="{00000000-0005-0000-0000-000073420000}"/>
    <cellStyle name="Separador de milhares 3 15 2 2 5 2 2 2" xfId="28782" xr:uid="{00000000-0005-0000-0000-000074420000}"/>
    <cellStyle name="Separador de milhares 3 15 2 2 5 2 2 2 2" xfId="54963" xr:uid="{00000000-0005-0000-0000-000075420000}"/>
    <cellStyle name="Separador de milhares 3 15 2 2 5 2 2 3" xfId="22868" xr:uid="{00000000-0005-0000-0000-000076420000}"/>
    <cellStyle name="Separador de milhares 3 15 2 2 5 2 2 3 2" xfId="49055" xr:uid="{00000000-0005-0000-0000-000077420000}"/>
    <cellStyle name="Separador de milhares 3 15 2 2 5 2 2 4" xfId="16954" xr:uid="{00000000-0005-0000-0000-000078420000}"/>
    <cellStyle name="Separador de milhares 3 15 2 2 5 2 2 4 2" xfId="43147" xr:uid="{00000000-0005-0000-0000-000079420000}"/>
    <cellStyle name="Separador de milhares 3 15 2 2 5 2 2 5" xfId="36761" xr:uid="{00000000-0005-0000-0000-00007A420000}"/>
    <cellStyle name="Separador de milhares 3 15 2 2 5 2 3" xfId="25825" xr:uid="{00000000-0005-0000-0000-00007B420000}"/>
    <cellStyle name="Separador de milhares 3 15 2 2 5 2 3 2" xfId="52009" xr:uid="{00000000-0005-0000-0000-00007C420000}"/>
    <cellStyle name="Separador de milhares 3 15 2 2 5 2 4" xfId="19911" xr:uid="{00000000-0005-0000-0000-00007D420000}"/>
    <cellStyle name="Separador de milhares 3 15 2 2 5 2 4 2" xfId="46101" xr:uid="{00000000-0005-0000-0000-00007E420000}"/>
    <cellStyle name="Separador de milhares 3 15 2 2 5 2 5" xfId="13813" xr:uid="{00000000-0005-0000-0000-00007F420000}"/>
    <cellStyle name="Separador de milhares 3 15 2 2 5 2 5 2" xfId="40006" xr:uid="{00000000-0005-0000-0000-000080420000}"/>
    <cellStyle name="Separador de milhares 3 15 2 2 5 2 6" xfId="33620" xr:uid="{00000000-0005-0000-0000-000081420000}"/>
    <cellStyle name="Separador de milhares 3 15 2 2 5 3" xfId="9100" xr:uid="{00000000-0005-0000-0000-000082420000}"/>
    <cellStyle name="Separador de milhares 3 15 2 2 5 3 2" xfId="27314" xr:uid="{00000000-0005-0000-0000-000083420000}"/>
    <cellStyle name="Separador de milhares 3 15 2 2 5 3 2 2" xfId="53495" xr:uid="{00000000-0005-0000-0000-000084420000}"/>
    <cellStyle name="Separador de milhares 3 15 2 2 5 3 3" xfId="21400" xr:uid="{00000000-0005-0000-0000-000085420000}"/>
    <cellStyle name="Separador de milhares 3 15 2 2 5 3 3 2" xfId="47587" xr:uid="{00000000-0005-0000-0000-000086420000}"/>
    <cellStyle name="Separador de milhares 3 15 2 2 5 3 4" xfId="15486" xr:uid="{00000000-0005-0000-0000-000087420000}"/>
    <cellStyle name="Separador de milhares 3 15 2 2 5 3 4 2" xfId="41679" xr:uid="{00000000-0005-0000-0000-000088420000}"/>
    <cellStyle name="Separador de milhares 3 15 2 2 5 3 5" xfId="35293" xr:uid="{00000000-0005-0000-0000-000089420000}"/>
    <cellStyle name="Separador de milhares 3 15 2 2 5 4" xfId="5725" xr:uid="{00000000-0005-0000-0000-00008A420000}"/>
    <cellStyle name="Separador de milhares 3 15 2 2 5 4 2" xfId="24357" xr:uid="{00000000-0005-0000-0000-00008B420000}"/>
    <cellStyle name="Separador de milhares 3 15 2 2 5 4 2 2" xfId="50541" xr:uid="{00000000-0005-0000-0000-00008C420000}"/>
    <cellStyle name="Separador de milhares 3 15 2 2 5 4 3" xfId="31921" xr:uid="{00000000-0005-0000-0000-00008D420000}"/>
    <cellStyle name="Separador de milhares 3 15 2 2 5 5" xfId="18443" xr:uid="{00000000-0005-0000-0000-00008E420000}"/>
    <cellStyle name="Separador de milhares 3 15 2 2 5 5 2" xfId="44633" xr:uid="{00000000-0005-0000-0000-00008F420000}"/>
    <cellStyle name="Separador de milhares 3 15 2 2 5 6" xfId="12112" xr:uid="{00000000-0005-0000-0000-000090420000}"/>
    <cellStyle name="Separador de milhares 3 15 2 2 5 6 2" xfId="38305" xr:uid="{00000000-0005-0000-0000-000091420000}"/>
    <cellStyle name="Separador de milhares 3 15 2 2 5 7" xfId="30223" xr:uid="{00000000-0005-0000-0000-000092420000}"/>
    <cellStyle name="Separador de milhares 3 15 2 2 6" xfId="4104" xr:uid="{00000000-0005-0000-0000-000093420000}"/>
    <cellStyle name="Separador de milhares 3 15 2 2 6 2" xfId="7571" xr:uid="{00000000-0005-0000-0000-000094420000}"/>
    <cellStyle name="Separador de milhares 3 15 2 2 6 2 2" xfId="10715" xr:uid="{00000000-0005-0000-0000-000095420000}"/>
    <cellStyle name="Separador de milhares 3 15 2 2 6 2 2 2" xfId="28929" xr:uid="{00000000-0005-0000-0000-000096420000}"/>
    <cellStyle name="Separador de milhares 3 15 2 2 6 2 2 2 2" xfId="55110" xr:uid="{00000000-0005-0000-0000-000097420000}"/>
    <cellStyle name="Separador de milhares 3 15 2 2 6 2 2 3" xfId="23015" xr:uid="{00000000-0005-0000-0000-000098420000}"/>
    <cellStyle name="Separador de milhares 3 15 2 2 6 2 2 3 2" xfId="49202" xr:uid="{00000000-0005-0000-0000-000099420000}"/>
    <cellStyle name="Separador de milhares 3 15 2 2 6 2 2 4" xfId="17101" xr:uid="{00000000-0005-0000-0000-00009A420000}"/>
    <cellStyle name="Separador de milhares 3 15 2 2 6 2 2 4 2" xfId="43294" xr:uid="{00000000-0005-0000-0000-00009B420000}"/>
    <cellStyle name="Separador de milhares 3 15 2 2 6 2 2 5" xfId="36908" xr:uid="{00000000-0005-0000-0000-00009C420000}"/>
    <cellStyle name="Separador de milhares 3 15 2 2 6 2 3" xfId="25972" xr:uid="{00000000-0005-0000-0000-00009D420000}"/>
    <cellStyle name="Separador de milhares 3 15 2 2 6 2 3 2" xfId="52156" xr:uid="{00000000-0005-0000-0000-00009E420000}"/>
    <cellStyle name="Separador de milhares 3 15 2 2 6 2 4" xfId="20058" xr:uid="{00000000-0005-0000-0000-00009F420000}"/>
    <cellStyle name="Separador de milhares 3 15 2 2 6 2 4 2" xfId="46248" xr:uid="{00000000-0005-0000-0000-0000A0420000}"/>
    <cellStyle name="Separador de milhares 3 15 2 2 6 2 5" xfId="13960" xr:uid="{00000000-0005-0000-0000-0000A1420000}"/>
    <cellStyle name="Separador de milhares 3 15 2 2 6 2 5 2" xfId="40153" xr:uid="{00000000-0005-0000-0000-0000A2420000}"/>
    <cellStyle name="Separador de milhares 3 15 2 2 6 2 6" xfId="33767" xr:uid="{00000000-0005-0000-0000-0000A3420000}"/>
    <cellStyle name="Separador de milhares 3 15 2 2 6 3" xfId="9247" xr:uid="{00000000-0005-0000-0000-0000A4420000}"/>
    <cellStyle name="Separador de milhares 3 15 2 2 6 3 2" xfId="27461" xr:uid="{00000000-0005-0000-0000-0000A5420000}"/>
    <cellStyle name="Separador de milhares 3 15 2 2 6 3 2 2" xfId="53642" xr:uid="{00000000-0005-0000-0000-0000A6420000}"/>
    <cellStyle name="Separador de milhares 3 15 2 2 6 3 3" xfId="21547" xr:uid="{00000000-0005-0000-0000-0000A7420000}"/>
    <cellStyle name="Separador de milhares 3 15 2 2 6 3 3 2" xfId="47734" xr:uid="{00000000-0005-0000-0000-0000A8420000}"/>
    <cellStyle name="Separador de milhares 3 15 2 2 6 3 4" xfId="15633" xr:uid="{00000000-0005-0000-0000-0000A9420000}"/>
    <cellStyle name="Separador de milhares 3 15 2 2 6 3 4 2" xfId="41826" xr:uid="{00000000-0005-0000-0000-0000AA420000}"/>
    <cellStyle name="Separador de milhares 3 15 2 2 6 3 5" xfId="35440" xr:uid="{00000000-0005-0000-0000-0000AB420000}"/>
    <cellStyle name="Separador de milhares 3 15 2 2 6 4" xfId="5872" xr:uid="{00000000-0005-0000-0000-0000AC420000}"/>
    <cellStyle name="Separador de milhares 3 15 2 2 6 4 2" xfId="24504" xr:uid="{00000000-0005-0000-0000-0000AD420000}"/>
    <cellStyle name="Separador de milhares 3 15 2 2 6 4 2 2" xfId="50688" xr:uid="{00000000-0005-0000-0000-0000AE420000}"/>
    <cellStyle name="Separador de milhares 3 15 2 2 6 4 3" xfId="32068" xr:uid="{00000000-0005-0000-0000-0000AF420000}"/>
    <cellStyle name="Separador de milhares 3 15 2 2 6 5" xfId="18590" xr:uid="{00000000-0005-0000-0000-0000B0420000}"/>
    <cellStyle name="Separador de milhares 3 15 2 2 6 5 2" xfId="44780" xr:uid="{00000000-0005-0000-0000-0000B1420000}"/>
    <cellStyle name="Separador de milhares 3 15 2 2 6 6" xfId="12259" xr:uid="{00000000-0005-0000-0000-0000B2420000}"/>
    <cellStyle name="Separador de milhares 3 15 2 2 6 6 2" xfId="38452" xr:uid="{00000000-0005-0000-0000-0000B3420000}"/>
    <cellStyle name="Separador de milhares 3 15 2 2 6 7" xfId="30370" xr:uid="{00000000-0005-0000-0000-0000B4420000}"/>
    <cellStyle name="Separador de milhares 3 15 2 2 7" xfId="6542" xr:uid="{00000000-0005-0000-0000-0000B5420000}"/>
    <cellStyle name="Separador de milhares 3 15 2 2 7 2" xfId="9689" xr:uid="{00000000-0005-0000-0000-0000B6420000}"/>
    <cellStyle name="Separador de milhares 3 15 2 2 7 2 2" xfId="27903" xr:uid="{00000000-0005-0000-0000-0000B7420000}"/>
    <cellStyle name="Separador de milhares 3 15 2 2 7 2 2 2" xfId="54084" xr:uid="{00000000-0005-0000-0000-0000B8420000}"/>
    <cellStyle name="Separador de milhares 3 15 2 2 7 2 3" xfId="21989" xr:uid="{00000000-0005-0000-0000-0000B9420000}"/>
    <cellStyle name="Separador de milhares 3 15 2 2 7 2 3 2" xfId="48176" xr:uid="{00000000-0005-0000-0000-0000BA420000}"/>
    <cellStyle name="Separador de milhares 3 15 2 2 7 2 4" xfId="16075" xr:uid="{00000000-0005-0000-0000-0000BB420000}"/>
    <cellStyle name="Separador de milhares 3 15 2 2 7 2 4 2" xfId="42268" xr:uid="{00000000-0005-0000-0000-0000BC420000}"/>
    <cellStyle name="Separador de milhares 3 15 2 2 7 2 5" xfId="35882" xr:uid="{00000000-0005-0000-0000-0000BD420000}"/>
    <cellStyle name="Separador de milhares 3 15 2 2 7 3" xfId="24946" xr:uid="{00000000-0005-0000-0000-0000BE420000}"/>
    <cellStyle name="Separador de milhares 3 15 2 2 7 3 2" xfId="51130" xr:uid="{00000000-0005-0000-0000-0000BF420000}"/>
    <cellStyle name="Separador de milhares 3 15 2 2 7 4" xfId="19032" xr:uid="{00000000-0005-0000-0000-0000C0420000}"/>
    <cellStyle name="Separador de milhares 3 15 2 2 7 4 2" xfId="45222" xr:uid="{00000000-0005-0000-0000-0000C1420000}"/>
    <cellStyle name="Separador de milhares 3 15 2 2 7 5" xfId="12931" xr:uid="{00000000-0005-0000-0000-0000C2420000}"/>
    <cellStyle name="Separador de milhares 3 15 2 2 7 5 2" xfId="39124" xr:uid="{00000000-0005-0000-0000-0000C3420000}"/>
    <cellStyle name="Separador de milhares 3 15 2 2 7 6" xfId="32738" xr:uid="{00000000-0005-0000-0000-0000C4420000}"/>
    <cellStyle name="Separador de milhares 3 15 2 2 8" xfId="8218" xr:uid="{00000000-0005-0000-0000-0000C5420000}"/>
    <cellStyle name="Separador de milhares 3 15 2 2 8 2" xfId="26432" xr:uid="{00000000-0005-0000-0000-0000C6420000}"/>
    <cellStyle name="Separador de milhares 3 15 2 2 8 2 2" xfId="52616" xr:uid="{00000000-0005-0000-0000-0000C7420000}"/>
    <cellStyle name="Separador de milhares 3 15 2 2 8 3" xfId="20518" xr:uid="{00000000-0005-0000-0000-0000C8420000}"/>
    <cellStyle name="Separador de milhares 3 15 2 2 8 3 2" xfId="46708" xr:uid="{00000000-0005-0000-0000-0000C9420000}"/>
    <cellStyle name="Separador de milhares 3 15 2 2 8 4" xfId="14607" xr:uid="{00000000-0005-0000-0000-0000CA420000}"/>
    <cellStyle name="Separador de milhares 3 15 2 2 8 4 2" xfId="40800" xr:uid="{00000000-0005-0000-0000-0000CB420000}"/>
    <cellStyle name="Separador de milhares 3 15 2 2 8 5" xfId="34414" xr:uid="{00000000-0005-0000-0000-0000CC420000}"/>
    <cellStyle name="Separador de milhares 3 15 2 2 9" xfId="4841" xr:uid="{00000000-0005-0000-0000-0000CD420000}"/>
    <cellStyle name="Separador de milhares 3 15 2 2 9 2" xfId="23475" xr:uid="{00000000-0005-0000-0000-0000CE420000}"/>
    <cellStyle name="Separador de milhares 3 15 2 2 9 2 2" xfId="49662" xr:uid="{00000000-0005-0000-0000-0000CF420000}"/>
    <cellStyle name="Separador de milhares 3 15 2 2 9 3" xfId="31039" xr:uid="{00000000-0005-0000-0000-0000D0420000}"/>
    <cellStyle name="Separador de milhares 3 15 2 3" xfId="947" xr:uid="{00000000-0005-0000-0000-0000D1420000}"/>
    <cellStyle name="Separador de milhares 3 15 2 3 2" xfId="6693" xr:uid="{00000000-0005-0000-0000-0000D2420000}"/>
    <cellStyle name="Separador de milhares 3 15 2 3 2 2" xfId="9840" xr:uid="{00000000-0005-0000-0000-0000D3420000}"/>
    <cellStyle name="Separador de milhares 3 15 2 3 2 2 2" xfId="28054" xr:uid="{00000000-0005-0000-0000-0000D4420000}"/>
    <cellStyle name="Separador de milhares 3 15 2 3 2 2 2 2" xfId="54235" xr:uid="{00000000-0005-0000-0000-0000D5420000}"/>
    <cellStyle name="Separador de milhares 3 15 2 3 2 2 3" xfId="22140" xr:uid="{00000000-0005-0000-0000-0000D6420000}"/>
    <cellStyle name="Separador de milhares 3 15 2 3 2 2 3 2" xfId="48327" xr:uid="{00000000-0005-0000-0000-0000D7420000}"/>
    <cellStyle name="Separador de milhares 3 15 2 3 2 2 4" xfId="16226" xr:uid="{00000000-0005-0000-0000-0000D8420000}"/>
    <cellStyle name="Separador de milhares 3 15 2 3 2 2 4 2" xfId="42419" xr:uid="{00000000-0005-0000-0000-0000D9420000}"/>
    <cellStyle name="Separador de milhares 3 15 2 3 2 2 5" xfId="36033" xr:uid="{00000000-0005-0000-0000-0000DA420000}"/>
    <cellStyle name="Separador de milhares 3 15 2 3 2 3" xfId="25097" xr:uid="{00000000-0005-0000-0000-0000DB420000}"/>
    <cellStyle name="Separador de milhares 3 15 2 3 2 3 2" xfId="51281" xr:uid="{00000000-0005-0000-0000-0000DC420000}"/>
    <cellStyle name="Separador de milhares 3 15 2 3 2 4" xfId="19183" xr:uid="{00000000-0005-0000-0000-0000DD420000}"/>
    <cellStyle name="Separador de milhares 3 15 2 3 2 4 2" xfId="45373" xr:uid="{00000000-0005-0000-0000-0000DE420000}"/>
    <cellStyle name="Separador de milhares 3 15 2 3 2 5" xfId="13082" xr:uid="{00000000-0005-0000-0000-0000DF420000}"/>
    <cellStyle name="Separador de milhares 3 15 2 3 2 5 2" xfId="39275" xr:uid="{00000000-0005-0000-0000-0000E0420000}"/>
    <cellStyle name="Separador de milhares 3 15 2 3 2 6" xfId="32889" xr:uid="{00000000-0005-0000-0000-0000E1420000}"/>
    <cellStyle name="Separador de milhares 3 15 2 3 3" xfId="8372" xr:uid="{00000000-0005-0000-0000-0000E2420000}"/>
    <cellStyle name="Separador de milhares 3 15 2 3 3 2" xfId="26586" xr:uid="{00000000-0005-0000-0000-0000E3420000}"/>
    <cellStyle name="Separador de milhares 3 15 2 3 3 2 2" xfId="52767" xr:uid="{00000000-0005-0000-0000-0000E4420000}"/>
    <cellStyle name="Separador de milhares 3 15 2 3 3 3" xfId="20672" xr:uid="{00000000-0005-0000-0000-0000E5420000}"/>
    <cellStyle name="Separador de milhares 3 15 2 3 3 3 2" xfId="46859" xr:uid="{00000000-0005-0000-0000-0000E6420000}"/>
    <cellStyle name="Separador de milhares 3 15 2 3 3 4" xfId="14758" xr:uid="{00000000-0005-0000-0000-0000E7420000}"/>
    <cellStyle name="Separador de milhares 3 15 2 3 3 4 2" xfId="40951" xr:uid="{00000000-0005-0000-0000-0000E8420000}"/>
    <cellStyle name="Separador de milhares 3 15 2 3 3 5" xfId="34565" xr:uid="{00000000-0005-0000-0000-0000E9420000}"/>
    <cellStyle name="Separador de milhares 3 15 2 3 4" xfId="4994" xr:uid="{00000000-0005-0000-0000-0000EA420000}"/>
    <cellStyle name="Separador de milhares 3 15 2 3 4 2" xfId="23629" xr:uid="{00000000-0005-0000-0000-0000EB420000}"/>
    <cellStyle name="Separador de milhares 3 15 2 3 4 2 2" xfId="49813" xr:uid="{00000000-0005-0000-0000-0000EC420000}"/>
    <cellStyle name="Separador de milhares 3 15 2 3 4 3" xfId="31190" xr:uid="{00000000-0005-0000-0000-0000ED420000}"/>
    <cellStyle name="Separador de milhares 3 15 2 3 5" xfId="17715" xr:uid="{00000000-0005-0000-0000-0000EE420000}"/>
    <cellStyle name="Separador de milhares 3 15 2 3 5 2" xfId="43905" xr:uid="{00000000-0005-0000-0000-0000EF420000}"/>
    <cellStyle name="Separador de milhares 3 15 2 3 6" xfId="11381" xr:uid="{00000000-0005-0000-0000-0000F0420000}"/>
    <cellStyle name="Separador de milhares 3 15 2 3 6 2" xfId="37574" xr:uid="{00000000-0005-0000-0000-0000F1420000}"/>
    <cellStyle name="Separador de milhares 3 15 2 3 7" xfId="29492" xr:uid="{00000000-0005-0000-0000-0000F2420000}"/>
    <cellStyle name="Separador de milhares 3 15 2 4" xfId="1298" xr:uid="{00000000-0005-0000-0000-0000F3420000}"/>
    <cellStyle name="Separador de milhares 3 15 2 4 2" xfId="6791" xr:uid="{00000000-0005-0000-0000-0000F4420000}"/>
    <cellStyle name="Separador de milhares 3 15 2 4 2 2" xfId="9938" xr:uid="{00000000-0005-0000-0000-0000F5420000}"/>
    <cellStyle name="Separador de milhares 3 15 2 4 2 2 2" xfId="28152" xr:uid="{00000000-0005-0000-0000-0000F6420000}"/>
    <cellStyle name="Separador de milhares 3 15 2 4 2 2 2 2" xfId="54333" xr:uid="{00000000-0005-0000-0000-0000F7420000}"/>
    <cellStyle name="Separador de milhares 3 15 2 4 2 2 3" xfId="22238" xr:uid="{00000000-0005-0000-0000-0000F8420000}"/>
    <cellStyle name="Separador de milhares 3 15 2 4 2 2 3 2" xfId="48425" xr:uid="{00000000-0005-0000-0000-0000F9420000}"/>
    <cellStyle name="Separador de milhares 3 15 2 4 2 2 4" xfId="16324" xr:uid="{00000000-0005-0000-0000-0000FA420000}"/>
    <cellStyle name="Separador de milhares 3 15 2 4 2 2 4 2" xfId="42517" xr:uid="{00000000-0005-0000-0000-0000FB420000}"/>
    <cellStyle name="Separador de milhares 3 15 2 4 2 2 5" xfId="36131" xr:uid="{00000000-0005-0000-0000-0000FC420000}"/>
    <cellStyle name="Separador de milhares 3 15 2 4 2 3" xfId="25195" xr:uid="{00000000-0005-0000-0000-0000FD420000}"/>
    <cellStyle name="Separador de milhares 3 15 2 4 2 3 2" xfId="51379" xr:uid="{00000000-0005-0000-0000-0000FE420000}"/>
    <cellStyle name="Separador de milhares 3 15 2 4 2 4" xfId="19281" xr:uid="{00000000-0005-0000-0000-0000FF420000}"/>
    <cellStyle name="Separador de milhares 3 15 2 4 2 4 2" xfId="45471" xr:uid="{00000000-0005-0000-0000-000000430000}"/>
    <cellStyle name="Separador de milhares 3 15 2 4 2 5" xfId="13180" xr:uid="{00000000-0005-0000-0000-000001430000}"/>
    <cellStyle name="Separador de milhares 3 15 2 4 2 5 2" xfId="39373" xr:uid="{00000000-0005-0000-0000-000002430000}"/>
    <cellStyle name="Separador de milhares 3 15 2 4 2 6" xfId="32987" xr:uid="{00000000-0005-0000-0000-000003430000}"/>
    <cellStyle name="Separador de milhares 3 15 2 4 3" xfId="8470" xr:uid="{00000000-0005-0000-0000-000004430000}"/>
    <cellStyle name="Separador de milhares 3 15 2 4 3 2" xfId="26684" xr:uid="{00000000-0005-0000-0000-000005430000}"/>
    <cellStyle name="Separador de milhares 3 15 2 4 3 2 2" xfId="52865" xr:uid="{00000000-0005-0000-0000-000006430000}"/>
    <cellStyle name="Separador de milhares 3 15 2 4 3 3" xfId="20770" xr:uid="{00000000-0005-0000-0000-000007430000}"/>
    <cellStyle name="Separador de milhares 3 15 2 4 3 3 2" xfId="46957" xr:uid="{00000000-0005-0000-0000-000008430000}"/>
    <cellStyle name="Separador de milhares 3 15 2 4 3 4" xfId="14856" xr:uid="{00000000-0005-0000-0000-000009430000}"/>
    <cellStyle name="Separador de milhares 3 15 2 4 3 4 2" xfId="41049" xr:uid="{00000000-0005-0000-0000-00000A430000}"/>
    <cellStyle name="Separador de milhares 3 15 2 4 3 5" xfId="34663" xr:uid="{00000000-0005-0000-0000-00000B430000}"/>
    <cellStyle name="Separador de milhares 3 15 2 4 4" xfId="5092" xr:uid="{00000000-0005-0000-0000-00000C430000}"/>
    <cellStyle name="Separador de milhares 3 15 2 4 4 2" xfId="23727" xr:uid="{00000000-0005-0000-0000-00000D430000}"/>
    <cellStyle name="Separador de milhares 3 15 2 4 4 2 2" xfId="49911" xr:uid="{00000000-0005-0000-0000-00000E430000}"/>
    <cellStyle name="Separador de milhares 3 15 2 4 4 3" xfId="31288" xr:uid="{00000000-0005-0000-0000-00000F430000}"/>
    <cellStyle name="Separador de milhares 3 15 2 4 5" xfId="17813" xr:uid="{00000000-0005-0000-0000-000010430000}"/>
    <cellStyle name="Separador de milhares 3 15 2 4 5 2" xfId="44003" xr:uid="{00000000-0005-0000-0000-000011430000}"/>
    <cellStyle name="Separador de milhares 3 15 2 4 6" xfId="11479" xr:uid="{00000000-0005-0000-0000-000012430000}"/>
    <cellStyle name="Separador de milhares 3 15 2 4 6 2" xfId="37672" xr:uid="{00000000-0005-0000-0000-000013430000}"/>
    <cellStyle name="Separador de milhares 3 15 2 4 7" xfId="29590" xr:uid="{00000000-0005-0000-0000-000014430000}"/>
    <cellStyle name="Separador de milhares 3 15 2 5" xfId="1733" xr:uid="{00000000-0005-0000-0000-000015430000}"/>
    <cellStyle name="Separador de milhares 3 15 2 5 2" xfId="6910" xr:uid="{00000000-0005-0000-0000-000016430000}"/>
    <cellStyle name="Separador de milhares 3 15 2 5 2 2" xfId="10057" xr:uid="{00000000-0005-0000-0000-000017430000}"/>
    <cellStyle name="Separador de milhares 3 15 2 5 2 2 2" xfId="28271" xr:uid="{00000000-0005-0000-0000-000018430000}"/>
    <cellStyle name="Separador de milhares 3 15 2 5 2 2 2 2" xfId="54452" xr:uid="{00000000-0005-0000-0000-000019430000}"/>
    <cellStyle name="Separador de milhares 3 15 2 5 2 2 3" xfId="22357" xr:uid="{00000000-0005-0000-0000-00001A430000}"/>
    <cellStyle name="Separador de milhares 3 15 2 5 2 2 3 2" xfId="48544" xr:uid="{00000000-0005-0000-0000-00001B430000}"/>
    <cellStyle name="Separador de milhares 3 15 2 5 2 2 4" xfId="16443" xr:uid="{00000000-0005-0000-0000-00001C430000}"/>
    <cellStyle name="Separador de milhares 3 15 2 5 2 2 4 2" xfId="42636" xr:uid="{00000000-0005-0000-0000-00001D430000}"/>
    <cellStyle name="Separador de milhares 3 15 2 5 2 2 5" xfId="36250" xr:uid="{00000000-0005-0000-0000-00001E430000}"/>
    <cellStyle name="Separador de milhares 3 15 2 5 2 3" xfId="25314" xr:uid="{00000000-0005-0000-0000-00001F430000}"/>
    <cellStyle name="Separador de milhares 3 15 2 5 2 3 2" xfId="51498" xr:uid="{00000000-0005-0000-0000-000020430000}"/>
    <cellStyle name="Separador de milhares 3 15 2 5 2 4" xfId="19400" xr:uid="{00000000-0005-0000-0000-000021430000}"/>
    <cellStyle name="Separador de milhares 3 15 2 5 2 4 2" xfId="45590" xr:uid="{00000000-0005-0000-0000-000022430000}"/>
    <cellStyle name="Separador de milhares 3 15 2 5 2 5" xfId="13299" xr:uid="{00000000-0005-0000-0000-000023430000}"/>
    <cellStyle name="Separador de milhares 3 15 2 5 2 5 2" xfId="39492" xr:uid="{00000000-0005-0000-0000-000024430000}"/>
    <cellStyle name="Separador de milhares 3 15 2 5 2 6" xfId="33106" xr:uid="{00000000-0005-0000-0000-000025430000}"/>
    <cellStyle name="Separador de milhares 3 15 2 5 3" xfId="8589" xr:uid="{00000000-0005-0000-0000-000026430000}"/>
    <cellStyle name="Separador de milhares 3 15 2 5 3 2" xfId="26803" xr:uid="{00000000-0005-0000-0000-000027430000}"/>
    <cellStyle name="Separador de milhares 3 15 2 5 3 2 2" xfId="52984" xr:uid="{00000000-0005-0000-0000-000028430000}"/>
    <cellStyle name="Separador de milhares 3 15 2 5 3 3" xfId="20889" xr:uid="{00000000-0005-0000-0000-000029430000}"/>
    <cellStyle name="Separador de milhares 3 15 2 5 3 3 2" xfId="47076" xr:uid="{00000000-0005-0000-0000-00002A430000}"/>
    <cellStyle name="Separador de milhares 3 15 2 5 3 4" xfId="14975" xr:uid="{00000000-0005-0000-0000-00002B430000}"/>
    <cellStyle name="Separador de milhares 3 15 2 5 3 4 2" xfId="41168" xr:uid="{00000000-0005-0000-0000-00002C430000}"/>
    <cellStyle name="Separador de milhares 3 15 2 5 3 5" xfId="34782" xr:uid="{00000000-0005-0000-0000-00002D430000}"/>
    <cellStyle name="Separador de milhares 3 15 2 5 4" xfId="5211" xr:uid="{00000000-0005-0000-0000-00002E430000}"/>
    <cellStyle name="Separador de milhares 3 15 2 5 4 2" xfId="23846" xr:uid="{00000000-0005-0000-0000-00002F430000}"/>
    <cellStyle name="Separador de milhares 3 15 2 5 4 2 2" xfId="50030" xr:uid="{00000000-0005-0000-0000-000030430000}"/>
    <cellStyle name="Separador de milhares 3 15 2 5 4 3" xfId="31407" xr:uid="{00000000-0005-0000-0000-000031430000}"/>
    <cellStyle name="Separador de milhares 3 15 2 5 5" xfId="17932" xr:uid="{00000000-0005-0000-0000-000032430000}"/>
    <cellStyle name="Separador de milhares 3 15 2 5 5 2" xfId="44122" xr:uid="{00000000-0005-0000-0000-000033430000}"/>
    <cellStyle name="Separador de milhares 3 15 2 5 6" xfId="11598" xr:uid="{00000000-0005-0000-0000-000034430000}"/>
    <cellStyle name="Separador de milhares 3 15 2 5 6 2" xfId="37791" xr:uid="{00000000-0005-0000-0000-000035430000}"/>
    <cellStyle name="Separador de milhares 3 15 2 5 7" xfId="29709" xr:uid="{00000000-0005-0000-0000-000036430000}"/>
    <cellStyle name="Separador de milhares 3 15 2 6" xfId="2263" xr:uid="{00000000-0005-0000-0000-000037430000}"/>
    <cellStyle name="Separador de milhares 3 15 2 6 2" xfId="7060" xr:uid="{00000000-0005-0000-0000-000038430000}"/>
    <cellStyle name="Separador de milhares 3 15 2 6 2 2" xfId="10204" xr:uid="{00000000-0005-0000-0000-000039430000}"/>
    <cellStyle name="Separador de milhares 3 15 2 6 2 2 2" xfId="28418" xr:uid="{00000000-0005-0000-0000-00003A430000}"/>
    <cellStyle name="Separador de milhares 3 15 2 6 2 2 2 2" xfId="54599" xr:uid="{00000000-0005-0000-0000-00003B430000}"/>
    <cellStyle name="Separador de milhares 3 15 2 6 2 2 3" xfId="22504" xr:uid="{00000000-0005-0000-0000-00003C430000}"/>
    <cellStyle name="Separador de milhares 3 15 2 6 2 2 3 2" xfId="48691" xr:uid="{00000000-0005-0000-0000-00003D430000}"/>
    <cellStyle name="Separador de milhares 3 15 2 6 2 2 4" xfId="16590" xr:uid="{00000000-0005-0000-0000-00003E430000}"/>
    <cellStyle name="Separador de milhares 3 15 2 6 2 2 4 2" xfId="42783" xr:uid="{00000000-0005-0000-0000-00003F430000}"/>
    <cellStyle name="Separador de milhares 3 15 2 6 2 2 5" xfId="36397" xr:uid="{00000000-0005-0000-0000-000040430000}"/>
    <cellStyle name="Separador de milhares 3 15 2 6 2 3" xfId="25461" xr:uid="{00000000-0005-0000-0000-000041430000}"/>
    <cellStyle name="Separador de milhares 3 15 2 6 2 3 2" xfId="51645" xr:uid="{00000000-0005-0000-0000-000042430000}"/>
    <cellStyle name="Separador de milhares 3 15 2 6 2 4" xfId="19547" xr:uid="{00000000-0005-0000-0000-000043430000}"/>
    <cellStyle name="Separador de milhares 3 15 2 6 2 4 2" xfId="45737" xr:uid="{00000000-0005-0000-0000-000044430000}"/>
    <cellStyle name="Separador de milhares 3 15 2 6 2 5" xfId="13449" xr:uid="{00000000-0005-0000-0000-000045430000}"/>
    <cellStyle name="Separador de milhares 3 15 2 6 2 5 2" xfId="39642" xr:uid="{00000000-0005-0000-0000-000046430000}"/>
    <cellStyle name="Separador de milhares 3 15 2 6 2 6" xfId="33256" xr:uid="{00000000-0005-0000-0000-000047430000}"/>
    <cellStyle name="Separador de milhares 3 15 2 6 3" xfId="8736" xr:uid="{00000000-0005-0000-0000-000048430000}"/>
    <cellStyle name="Separador de milhares 3 15 2 6 3 2" xfId="26950" xr:uid="{00000000-0005-0000-0000-000049430000}"/>
    <cellStyle name="Separador de milhares 3 15 2 6 3 2 2" xfId="53131" xr:uid="{00000000-0005-0000-0000-00004A430000}"/>
    <cellStyle name="Separador de milhares 3 15 2 6 3 3" xfId="21036" xr:uid="{00000000-0005-0000-0000-00004B430000}"/>
    <cellStyle name="Separador de milhares 3 15 2 6 3 3 2" xfId="47223" xr:uid="{00000000-0005-0000-0000-00004C430000}"/>
    <cellStyle name="Separador de milhares 3 15 2 6 3 4" xfId="15122" xr:uid="{00000000-0005-0000-0000-00004D430000}"/>
    <cellStyle name="Separador de milhares 3 15 2 6 3 4 2" xfId="41315" xr:uid="{00000000-0005-0000-0000-00004E430000}"/>
    <cellStyle name="Separador de milhares 3 15 2 6 3 5" xfId="34929" xr:uid="{00000000-0005-0000-0000-00004F430000}"/>
    <cellStyle name="Separador de milhares 3 15 2 6 4" xfId="5361" xr:uid="{00000000-0005-0000-0000-000050430000}"/>
    <cellStyle name="Separador de milhares 3 15 2 6 4 2" xfId="23993" xr:uid="{00000000-0005-0000-0000-000051430000}"/>
    <cellStyle name="Separador de milhares 3 15 2 6 4 2 2" xfId="50177" xr:uid="{00000000-0005-0000-0000-000052430000}"/>
    <cellStyle name="Separador de milhares 3 15 2 6 4 3" xfId="31557" xr:uid="{00000000-0005-0000-0000-000053430000}"/>
    <cellStyle name="Separador de milhares 3 15 2 6 5" xfId="18079" xr:uid="{00000000-0005-0000-0000-000054430000}"/>
    <cellStyle name="Separador de milhares 3 15 2 6 5 2" xfId="44269" xr:uid="{00000000-0005-0000-0000-000055430000}"/>
    <cellStyle name="Separador de milhares 3 15 2 6 6" xfId="11748" xr:uid="{00000000-0005-0000-0000-000056430000}"/>
    <cellStyle name="Separador de milhares 3 15 2 6 6 2" xfId="37941" xr:uid="{00000000-0005-0000-0000-000057430000}"/>
    <cellStyle name="Separador de milhares 3 15 2 6 7" xfId="29859" xr:uid="{00000000-0005-0000-0000-000058430000}"/>
    <cellStyle name="Separador de milhares 3 15 2 7" xfId="2790" xr:uid="{00000000-0005-0000-0000-000059430000}"/>
    <cellStyle name="Separador de milhares 3 15 2 7 2" xfId="7207" xr:uid="{00000000-0005-0000-0000-00005A430000}"/>
    <cellStyle name="Separador de milhares 3 15 2 7 2 2" xfId="10351" xr:uid="{00000000-0005-0000-0000-00005B430000}"/>
    <cellStyle name="Separador de milhares 3 15 2 7 2 2 2" xfId="28565" xr:uid="{00000000-0005-0000-0000-00005C430000}"/>
    <cellStyle name="Separador de milhares 3 15 2 7 2 2 2 2" xfId="54746" xr:uid="{00000000-0005-0000-0000-00005D430000}"/>
    <cellStyle name="Separador de milhares 3 15 2 7 2 2 3" xfId="22651" xr:uid="{00000000-0005-0000-0000-00005E430000}"/>
    <cellStyle name="Separador de milhares 3 15 2 7 2 2 3 2" xfId="48838" xr:uid="{00000000-0005-0000-0000-00005F430000}"/>
    <cellStyle name="Separador de milhares 3 15 2 7 2 2 4" xfId="16737" xr:uid="{00000000-0005-0000-0000-000060430000}"/>
    <cellStyle name="Separador de milhares 3 15 2 7 2 2 4 2" xfId="42930" xr:uid="{00000000-0005-0000-0000-000061430000}"/>
    <cellStyle name="Separador de milhares 3 15 2 7 2 2 5" xfId="36544" xr:uid="{00000000-0005-0000-0000-000062430000}"/>
    <cellStyle name="Separador de milhares 3 15 2 7 2 3" xfId="25608" xr:uid="{00000000-0005-0000-0000-000063430000}"/>
    <cellStyle name="Separador de milhares 3 15 2 7 2 3 2" xfId="51792" xr:uid="{00000000-0005-0000-0000-000064430000}"/>
    <cellStyle name="Separador de milhares 3 15 2 7 2 4" xfId="19694" xr:uid="{00000000-0005-0000-0000-000065430000}"/>
    <cellStyle name="Separador de milhares 3 15 2 7 2 4 2" xfId="45884" xr:uid="{00000000-0005-0000-0000-000066430000}"/>
    <cellStyle name="Separador de milhares 3 15 2 7 2 5" xfId="13596" xr:uid="{00000000-0005-0000-0000-000067430000}"/>
    <cellStyle name="Separador de milhares 3 15 2 7 2 5 2" xfId="39789" xr:uid="{00000000-0005-0000-0000-000068430000}"/>
    <cellStyle name="Separador de milhares 3 15 2 7 2 6" xfId="33403" xr:uid="{00000000-0005-0000-0000-000069430000}"/>
    <cellStyle name="Separador de milhares 3 15 2 7 3" xfId="8883" xr:uid="{00000000-0005-0000-0000-00006A430000}"/>
    <cellStyle name="Separador de milhares 3 15 2 7 3 2" xfId="27097" xr:uid="{00000000-0005-0000-0000-00006B430000}"/>
    <cellStyle name="Separador de milhares 3 15 2 7 3 2 2" xfId="53278" xr:uid="{00000000-0005-0000-0000-00006C430000}"/>
    <cellStyle name="Separador de milhares 3 15 2 7 3 3" xfId="21183" xr:uid="{00000000-0005-0000-0000-00006D430000}"/>
    <cellStyle name="Separador de milhares 3 15 2 7 3 3 2" xfId="47370" xr:uid="{00000000-0005-0000-0000-00006E430000}"/>
    <cellStyle name="Separador de milhares 3 15 2 7 3 4" xfId="15269" xr:uid="{00000000-0005-0000-0000-00006F430000}"/>
    <cellStyle name="Separador de milhares 3 15 2 7 3 4 2" xfId="41462" xr:uid="{00000000-0005-0000-0000-000070430000}"/>
    <cellStyle name="Separador de milhares 3 15 2 7 3 5" xfId="35076" xr:uid="{00000000-0005-0000-0000-000071430000}"/>
    <cellStyle name="Separador de milhares 3 15 2 7 4" xfId="5508" xr:uid="{00000000-0005-0000-0000-000072430000}"/>
    <cellStyle name="Separador de milhares 3 15 2 7 4 2" xfId="24140" xr:uid="{00000000-0005-0000-0000-000073430000}"/>
    <cellStyle name="Separador de milhares 3 15 2 7 4 2 2" xfId="50324" xr:uid="{00000000-0005-0000-0000-000074430000}"/>
    <cellStyle name="Separador de milhares 3 15 2 7 4 3" xfId="31704" xr:uid="{00000000-0005-0000-0000-000075430000}"/>
    <cellStyle name="Separador de milhares 3 15 2 7 5" xfId="18226" xr:uid="{00000000-0005-0000-0000-000076430000}"/>
    <cellStyle name="Separador de milhares 3 15 2 7 5 2" xfId="44416" xr:uid="{00000000-0005-0000-0000-000077430000}"/>
    <cellStyle name="Separador de milhares 3 15 2 7 6" xfId="11895" xr:uid="{00000000-0005-0000-0000-000078430000}"/>
    <cellStyle name="Separador de milhares 3 15 2 7 6 2" xfId="38088" xr:uid="{00000000-0005-0000-0000-000079430000}"/>
    <cellStyle name="Separador de milhares 3 15 2 7 7" xfId="30006" xr:uid="{00000000-0005-0000-0000-00007A430000}"/>
    <cellStyle name="Separador de milhares 3 15 2 8" xfId="3317" xr:uid="{00000000-0005-0000-0000-00007B430000}"/>
    <cellStyle name="Separador de milhares 3 15 2 8 2" xfId="7354" xr:uid="{00000000-0005-0000-0000-00007C430000}"/>
    <cellStyle name="Separador de milhares 3 15 2 8 2 2" xfId="10498" xr:uid="{00000000-0005-0000-0000-00007D430000}"/>
    <cellStyle name="Separador de milhares 3 15 2 8 2 2 2" xfId="28712" xr:uid="{00000000-0005-0000-0000-00007E430000}"/>
    <cellStyle name="Separador de milhares 3 15 2 8 2 2 2 2" xfId="54893" xr:uid="{00000000-0005-0000-0000-00007F430000}"/>
    <cellStyle name="Separador de milhares 3 15 2 8 2 2 3" xfId="22798" xr:uid="{00000000-0005-0000-0000-000080430000}"/>
    <cellStyle name="Separador de milhares 3 15 2 8 2 2 3 2" xfId="48985" xr:uid="{00000000-0005-0000-0000-000081430000}"/>
    <cellStyle name="Separador de milhares 3 15 2 8 2 2 4" xfId="16884" xr:uid="{00000000-0005-0000-0000-000082430000}"/>
    <cellStyle name="Separador de milhares 3 15 2 8 2 2 4 2" xfId="43077" xr:uid="{00000000-0005-0000-0000-000083430000}"/>
    <cellStyle name="Separador de milhares 3 15 2 8 2 2 5" xfId="36691" xr:uid="{00000000-0005-0000-0000-000084430000}"/>
    <cellStyle name="Separador de milhares 3 15 2 8 2 3" xfId="25755" xr:uid="{00000000-0005-0000-0000-000085430000}"/>
    <cellStyle name="Separador de milhares 3 15 2 8 2 3 2" xfId="51939" xr:uid="{00000000-0005-0000-0000-000086430000}"/>
    <cellStyle name="Separador de milhares 3 15 2 8 2 4" xfId="19841" xr:uid="{00000000-0005-0000-0000-000087430000}"/>
    <cellStyle name="Separador de milhares 3 15 2 8 2 4 2" xfId="46031" xr:uid="{00000000-0005-0000-0000-000088430000}"/>
    <cellStyle name="Separador de milhares 3 15 2 8 2 5" xfId="13743" xr:uid="{00000000-0005-0000-0000-000089430000}"/>
    <cellStyle name="Separador de milhares 3 15 2 8 2 5 2" xfId="39936" xr:uid="{00000000-0005-0000-0000-00008A430000}"/>
    <cellStyle name="Separador de milhares 3 15 2 8 2 6" xfId="33550" xr:uid="{00000000-0005-0000-0000-00008B430000}"/>
    <cellStyle name="Separador de milhares 3 15 2 8 3" xfId="9030" xr:uid="{00000000-0005-0000-0000-00008C430000}"/>
    <cellStyle name="Separador de milhares 3 15 2 8 3 2" xfId="27244" xr:uid="{00000000-0005-0000-0000-00008D430000}"/>
    <cellStyle name="Separador de milhares 3 15 2 8 3 2 2" xfId="53425" xr:uid="{00000000-0005-0000-0000-00008E430000}"/>
    <cellStyle name="Separador de milhares 3 15 2 8 3 3" xfId="21330" xr:uid="{00000000-0005-0000-0000-00008F430000}"/>
    <cellStyle name="Separador de milhares 3 15 2 8 3 3 2" xfId="47517" xr:uid="{00000000-0005-0000-0000-000090430000}"/>
    <cellStyle name="Separador de milhares 3 15 2 8 3 4" xfId="15416" xr:uid="{00000000-0005-0000-0000-000091430000}"/>
    <cellStyle name="Separador de milhares 3 15 2 8 3 4 2" xfId="41609" xr:uid="{00000000-0005-0000-0000-000092430000}"/>
    <cellStyle name="Separador de milhares 3 15 2 8 3 5" xfId="35223" xr:uid="{00000000-0005-0000-0000-000093430000}"/>
    <cellStyle name="Separador de milhares 3 15 2 8 4" xfId="5655" xr:uid="{00000000-0005-0000-0000-000094430000}"/>
    <cellStyle name="Separador de milhares 3 15 2 8 4 2" xfId="24287" xr:uid="{00000000-0005-0000-0000-000095430000}"/>
    <cellStyle name="Separador de milhares 3 15 2 8 4 2 2" xfId="50471" xr:uid="{00000000-0005-0000-0000-000096430000}"/>
    <cellStyle name="Separador de milhares 3 15 2 8 4 3" xfId="31851" xr:uid="{00000000-0005-0000-0000-000097430000}"/>
    <cellStyle name="Separador de milhares 3 15 2 8 5" xfId="18373" xr:uid="{00000000-0005-0000-0000-000098430000}"/>
    <cellStyle name="Separador de milhares 3 15 2 8 5 2" xfId="44563" xr:uid="{00000000-0005-0000-0000-000099430000}"/>
    <cellStyle name="Separador de milhares 3 15 2 8 6" xfId="12042" xr:uid="{00000000-0005-0000-0000-00009A430000}"/>
    <cellStyle name="Separador de milhares 3 15 2 8 6 2" xfId="38235" xr:uid="{00000000-0005-0000-0000-00009B430000}"/>
    <cellStyle name="Separador de milhares 3 15 2 8 7" xfId="30153" xr:uid="{00000000-0005-0000-0000-00009C430000}"/>
    <cellStyle name="Separador de milhares 3 15 2 9" xfId="3844" xr:uid="{00000000-0005-0000-0000-00009D430000}"/>
    <cellStyle name="Separador de milhares 3 15 2 9 2" xfId="7501" xr:uid="{00000000-0005-0000-0000-00009E430000}"/>
    <cellStyle name="Separador de milhares 3 15 2 9 2 2" xfId="10645" xr:uid="{00000000-0005-0000-0000-00009F430000}"/>
    <cellStyle name="Separador de milhares 3 15 2 9 2 2 2" xfId="28859" xr:uid="{00000000-0005-0000-0000-0000A0430000}"/>
    <cellStyle name="Separador de milhares 3 15 2 9 2 2 2 2" xfId="55040" xr:uid="{00000000-0005-0000-0000-0000A1430000}"/>
    <cellStyle name="Separador de milhares 3 15 2 9 2 2 3" xfId="22945" xr:uid="{00000000-0005-0000-0000-0000A2430000}"/>
    <cellStyle name="Separador de milhares 3 15 2 9 2 2 3 2" xfId="49132" xr:uid="{00000000-0005-0000-0000-0000A3430000}"/>
    <cellStyle name="Separador de milhares 3 15 2 9 2 2 4" xfId="17031" xr:uid="{00000000-0005-0000-0000-0000A4430000}"/>
    <cellStyle name="Separador de milhares 3 15 2 9 2 2 4 2" xfId="43224" xr:uid="{00000000-0005-0000-0000-0000A5430000}"/>
    <cellStyle name="Separador de milhares 3 15 2 9 2 2 5" xfId="36838" xr:uid="{00000000-0005-0000-0000-0000A6430000}"/>
    <cellStyle name="Separador de milhares 3 15 2 9 2 3" xfId="25902" xr:uid="{00000000-0005-0000-0000-0000A7430000}"/>
    <cellStyle name="Separador de milhares 3 15 2 9 2 3 2" xfId="52086" xr:uid="{00000000-0005-0000-0000-0000A8430000}"/>
    <cellStyle name="Separador de milhares 3 15 2 9 2 4" xfId="19988" xr:uid="{00000000-0005-0000-0000-0000A9430000}"/>
    <cellStyle name="Separador de milhares 3 15 2 9 2 4 2" xfId="46178" xr:uid="{00000000-0005-0000-0000-0000AA430000}"/>
    <cellStyle name="Separador de milhares 3 15 2 9 2 5" xfId="13890" xr:uid="{00000000-0005-0000-0000-0000AB430000}"/>
    <cellStyle name="Separador de milhares 3 15 2 9 2 5 2" xfId="40083" xr:uid="{00000000-0005-0000-0000-0000AC430000}"/>
    <cellStyle name="Separador de milhares 3 15 2 9 2 6" xfId="33697" xr:uid="{00000000-0005-0000-0000-0000AD430000}"/>
    <cellStyle name="Separador de milhares 3 15 2 9 3" xfId="9177" xr:uid="{00000000-0005-0000-0000-0000AE430000}"/>
    <cellStyle name="Separador de milhares 3 15 2 9 3 2" xfId="27391" xr:uid="{00000000-0005-0000-0000-0000AF430000}"/>
    <cellStyle name="Separador de milhares 3 15 2 9 3 2 2" xfId="53572" xr:uid="{00000000-0005-0000-0000-0000B0430000}"/>
    <cellStyle name="Separador de milhares 3 15 2 9 3 3" xfId="21477" xr:uid="{00000000-0005-0000-0000-0000B1430000}"/>
    <cellStyle name="Separador de milhares 3 15 2 9 3 3 2" xfId="47664" xr:uid="{00000000-0005-0000-0000-0000B2430000}"/>
    <cellStyle name="Separador de milhares 3 15 2 9 3 4" xfId="15563" xr:uid="{00000000-0005-0000-0000-0000B3430000}"/>
    <cellStyle name="Separador de milhares 3 15 2 9 3 4 2" xfId="41756" xr:uid="{00000000-0005-0000-0000-0000B4430000}"/>
    <cellStyle name="Separador de milhares 3 15 2 9 3 5" xfId="35370" xr:uid="{00000000-0005-0000-0000-0000B5430000}"/>
    <cellStyle name="Separador de milhares 3 15 2 9 4" xfId="5802" xr:uid="{00000000-0005-0000-0000-0000B6430000}"/>
    <cellStyle name="Separador de milhares 3 15 2 9 4 2" xfId="24434" xr:uid="{00000000-0005-0000-0000-0000B7430000}"/>
    <cellStyle name="Separador de milhares 3 15 2 9 4 2 2" xfId="50618" xr:uid="{00000000-0005-0000-0000-0000B8430000}"/>
    <cellStyle name="Separador de milhares 3 15 2 9 4 3" xfId="31998" xr:uid="{00000000-0005-0000-0000-0000B9430000}"/>
    <cellStyle name="Separador de milhares 3 15 2 9 5" xfId="18520" xr:uid="{00000000-0005-0000-0000-0000BA430000}"/>
    <cellStyle name="Separador de milhares 3 15 2 9 5 2" xfId="44710" xr:uid="{00000000-0005-0000-0000-0000BB430000}"/>
    <cellStyle name="Separador de milhares 3 15 2 9 6" xfId="12189" xr:uid="{00000000-0005-0000-0000-0000BC430000}"/>
    <cellStyle name="Separador de milhares 3 15 2 9 6 2" xfId="38382" xr:uid="{00000000-0005-0000-0000-0000BD430000}"/>
    <cellStyle name="Separador de milhares 3 15 2 9 7" xfId="30300" xr:uid="{00000000-0005-0000-0000-0000BE430000}"/>
    <cellStyle name="Separador de milhares 3 15 3" xfId="296" xr:uid="{00000000-0005-0000-0000-0000BF430000}"/>
    <cellStyle name="Separador de milhares 3 15 3 10" xfId="6492" xr:uid="{00000000-0005-0000-0000-0000C0430000}"/>
    <cellStyle name="Separador de milhares 3 15 3 10 2" xfId="9643" xr:uid="{00000000-0005-0000-0000-0000C1430000}"/>
    <cellStyle name="Separador de milhares 3 15 3 10 2 2" xfId="27857" xr:uid="{00000000-0005-0000-0000-0000C2430000}"/>
    <cellStyle name="Separador de milhares 3 15 3 10 2 2 2" xfId="54038" xr:uid="{00000000-0005-0000-0000-0000C3430000}"/>
    <cellStyle name="Separador de milhares 3 15 3 10 2 3" xfId="21943" xr:uid="{00000000-0005-0000-0000-0000C4430000}"/>
    <cellStyle name="Separador de milhares 3 15 3 10 2 3 2" xfId="48130" xr:uid="{00000000-0005-0000-0000-0000C5430000}"/>
    <cellStyle name="Separador de milhares 3 15 3 10 2 4" xfId="16029" xr:uid="{00000000-0005-0000-0000-0000C6430000}"/>
    <cellStyle name="Separador de milhares 3 15 3 10 2 4 2" xfId="42222" xr:uid="{00000000-0005-0000-0000-0000C7430000}"/>
    <cellStyle name="Separador de milhares 3 15 3 10 2 5" xfId="35836" xr:uid="{00000000-0005-0000-0000-0000C8430000}"/>
    <cellStyle name="Separador de milhares 3 15 3 10 3" xfId="24900" xr:uid="{00000000-0005-0000-0000-0000C9430000}"/>
    <cellStyle name="Separador de milhares 3 15 3 10 3 2" xfId="51084" xr:uid="{00000000-0005-0000-0000-0000CA430000}"/>
    <cellStyle name="Separador de milhares 3 15 3 10 4" xfId="18986" xr:uid="{00000000-0005-0000-0000-0000CB430000}"/>
    <cellStyle name="Separador de milhares 3 15 3 10 4 2" xfId="45176" xr:uid="{00000000-0005-0000-0000-0000CC430000}"/>
    <cellStyle name="Separador de milhares 3 15 3 10 5" xfId="12881" xr:uid="{00000000-0005-0000-0000-0000CD430000}"/>
    <cellStyle name="Separador de milhares 3 15 3 10 5 2" xfId="39074" xr:uid="{00000000-0005-0000-0000-0000CE430000}"/>
    <cellStyle name="Separador de milhares 3 15 3 10 6" xfId="32688" xr:uid="{00000000-0005-0000-0000-0000CF430000}"/>
    <cellStyle name="Separador de milhares 3 15 3 11" xfId="8172" xr:uid="{00000000-0005-0000-0000-0000D0430000}"/>
    <cellStyle name="Separador de milhares 3 15 3 11 2" xfId="26386" xr:uid="{00000000-0005-0000-0000-0000D1430000}"/>
    <cellStyle name="Separador de milhares 3 15 3 11 2 2" xfId="52570" xr:uid="{00000000-0005-0000-0000-0000D2430000}"/>
    <cellStyle name="Separador de milhares 3 15 3 11 3" xfId="20472" xr:uid="{00000000-0005-0000-0000-0000D3430000}"/>
    <cellStyle name="Separador de milhares 3 15 3 11 3 2" xfId="46662" xr:uid="{00000000-0005-0000-0000-0000D4430000}"/>
    <cellStyle name="Separador de milhares 3 15 3 11 4" xfId="14561" xr:uid="{00000000-0005-0000-0000-0000D5430000}"/>
    <cellStyle name="Separador de milhares 3 15 3 11 4 2" xfId="40754" xr:uid="{00000000-0005-0000-0000-0000D6430000}"/>
    <cellStyle name="Separador de milhares 3 15 3 11 5" xfId="34368" xr:uid="{00000000-0005-0000-0000-0000D7430000}"/>
    <cellStyle name="Separador de milhares 3 15 3 12" xfId="4791" xr:uid="{00000000-0005-0000-0000-0000D8430000}"/>
    <cellStyle name="Separador de milhares 3 15 3 12 2" xfId="23429" xr:uid="{00000000-0005-0000-0000-0000D9430000}"/>
    <cellStyle name="Separador de milhares 3 15 3 12 2 2" xfId="49616" xr:uid="{00000000-0005-0000-0000-0000DA430000}"/>
    <cellStyle name="Separador de milhares 3 15 3 12 3" xfId="30989" xr:uid="{00000000-0005-0000-0000-0000DB430000}"/>
    <cellStyle name="Separador de milhares 3 15 3 13" xfId="17515" xr:uid="{00000000-0005-0000-0000-0000DC430000}"/>
    <cellStyle name="Separador de milhares 3 15 3 13 2" xfId="43708" xr:uid="{00000000-0005-0000-0000-0000DD430000}"/>
    <cellStyle name="Separador de milhares 3 15 3 14" xfId="11180" xr:uid="{00000000-0005-0000-0000-0000DE430000}"/>
    <cellStyle name="Separador de milhares 3 15 3 14 2" xfId="37373" xr:uid="{00000000-0005-0000-0000-0000DF430000}"/>
    <cellStyle name="Separador de milhares 3 15 3 15" xfId="29291" xr:uid="{00000000-0005-0000-0000-0000E0430000}"/>
    <cellStyle name="Separador de milhares 3 15 3 2" xfId="559" xr:uid="{00000000-0005-0000-0000-0000E1430000}"/>
    <cellStyle name="Separador de milhares 3 15 3 2 2" xfId="6563" xr:uid="{00000000-0005-0000-0000-0000E2430000}"/>
    <cellStyle name="Separador de milhares 3 15 3 2 2 2" xfId="9710" xr:uid="{00000000-0005-0000-0000-0000E3430000}"/>
    <cellStyle name="Separador de milhares 3 15 3 2 2 2 2" xfId="27924" xr:uid="{00000000-0005-0000-0000-0000E4430000}"/>
    <cellStyle name="Separador de milhares 3 15 3 2 2 2 2 2" xfId="54105" xr:uid="{00000000-0005-0000-0000-0000E5430000}"/>
    <cellStyle name="Separador de milhares 3 15 3 2 2 2 3" xfId="22010" xr:uid="{00000000-0005-0000-0000-0000E6430000}"/>
    <cellStyle name="Separador de milhares 3 15 3 2 2 2 3 2" xfId="48197" xr:uid="{00000000-0005-0000-0000-0000E7430000}"/>
    <cellStyle name="Separador de milhares 3 15 3 2 2 2 4" xfId="16096" xr:uid="{00000000-0005-0000-0000-0000E8430000}"/>
    <cellStyle name="Separador de milhares 3 15 3 2 2 2 4 2" xfId="42289" xr:uid="{00000000-0005-0000-0000-0000E9430000}"/>
    <cellStyle name="Separador de milhares 3 15 3 2 2 2 5" xfId="35903" xr:uid="{00000000-0005-0000-0000-0000EA430000}"/>
    <cellStyle name="Separador de milhares 3 15 3 2 2 3" xfId="24967" xr:uid="{00000000-0005-0000-0000-0000EB430000}"/>
    <cellStyle name="Separador de milhares 3 15 3 2 2 3 2" xfId="51151" xr:uid="{00000000-0005-0000-0000-0000EC430000}"/>
    <cellStyle name="Separador de milhares 3 15 3 2 2 4" xfId="19053" xr:uid="{00000000-0005-0000-0000-0000ED430000}"/>
    <cellStyle name="Separador de milhares 3 15 3 2 2 4 2" xfId="45243" xr:uid="{00000000-0005-0000-0000-0000EE430000}"/>
    <cellStyle name="Separador de milhares 3 15 3 2 2 5" xfId="12952" xr:uid="{00000000-0005-0000-0000-0000EF430000}"/>
    <cellStyle name="Separador de milhares 3 15 3 2 2 5 2" xfId="39145" xr:uid="{00000000-0005-0000-0000-0000F0430000}"/>
    <cellStyle name="Separador de milhares 3 15 3 2 2 6" xfId="32759" xr:uid="{00000000-0005-0000-0000-0000F1430000}"/>
    <cellStyle name="Separador de milhares 3 15 3 2 3" xfId="8239" xr:uid="{00000000-0005-0000-0000-0000F2430000}"/>
    <cellStyle name="Separador de milhares 3 15 3 2 3 2" xfId="26453" xr:uid="{00000000-0005-0000-0000-0000F3430000}"/>
    <cellStyle name="Separador de milhares 3 15 3 2 3 2 2" xfId="52637" xr:uid="{00000000-0005-0000-0000-0000F4430000}"/>
    <cellStyle name="Separador de milhares 3 15 3 2 3 3" xfId="20539" xr:uid="{00000000-0005-0000-0000-0000F5430000}"/>
    <cellStyle name="Separador de milhares 3 15 3 2 3 3 2" xfId="46729" xr:uid="{00000000-0005-0000-0000-0000F6430000}"/>
    <cellStyle name="Separador de milhares 3 15 3 2 3 4" xfId="14628" xr:uid="{00000000-0005-0000-0000-0000F7430000}"/>
    <cellStyle name="Separador de milhares 3 15 3 2 3 4 2" xfId="40821" xr:uid="{00000000-0005-0000-0000-0000F8430000}"/>
    <cellStyle name="Separador de milhares 3 15 3 2 3 5" xfId="34435" xr:uid="{00000000-0005-0000-0000-0000F9430000}"/>
    <cellStyle name="Separador de milhares 3 15 3 2 4" xfId="4862" xr:uid="{00000000-0005-0000-0000-0000FA430000}"/>
    <cellStyle name="Separador de milhares 3 15 3 2 4 2" xfId="23496" xr:uid="{00000000-0005-0000-0000-0000FB430000}"/>
    <cellStyle name="Separador de milhares 3 15 3 2 4 2 2" xfId="49683" xr:uid="{00000000-0005-0000-0000-0000FC430000}"/>
    <cellStyle name="Separador de milhares 3 15 3 2 4 3" xfId="31060" xr:uid="{00000000-0005-0000-0000-0000FD430000}"/>
    <cellStyle name="Separador de milhares 3 15 3 2 5" xfId="17582" xr:uid="{00000000-0005-0000-0000-0000FE430000}"/>
    <cellStyle name="Separador de milhares 3 15 3 2 5 2" xfId="43775" xr:uid="{00000000-0005-0000-0000-0000FF430000}"/>
    <cellStyle name="Separador de milhares 3 15 3 2 6" xfId="11251" xr:uid="{00000000-0005-0000-0000-000000440000}"/>
    <cellStyle name="Separador de milhares 3 15 3 2 6 2" xfId="37444" xr:uid="{00000000-0005-0000-0000-000001440000}"/>
    <cellStyle name="Separador de milhares 3 15 3 2 7" xfId="29362" xr:uid="{00000000-0005-0000-0000-000002440000}"/>
    <cellStyle name="Separador de milhares 3 15 3 3" xfId="856" xr:uid="{00000000-0005-0000-0000-000003440000}"/>
    <cellStyle name="Separador de milhares 3 15 3 3 2" xfId="6665" xr:uid="{00000000-0005-0000-0000-000004440000}"/>
    <cellStyle name="Separador de milhares 3 15 3 3 2 2" xfId="9812" xr:uid="{00000000-0005-0000-0000-000005440000}"/>
    <cellStyle name="Separador de milhares 3 15 3 3 2 2 2" xfId="28026" xr:uid="{00000000-0005-0000-0000-000006440000}"/>
    <cellStyle name="Separador de milhares 3 15 3 3 2 2 2 2" xfId="54207" xr:uid="{00000000-0005-0000-0000-000007440000}"/>
    <cellStyle name="Separador de milhares 3 15 3 3 2 2 3" xfId="22112" xr:uid="{00000000-0005-0000-0000-000008440000}"/>
    <cellStyle name="Separador de milhares 3 15 3 3 2 2 3 2" xfId="48299" xr:uid="{00000000-0005-0000-0000-000009440000}"/>
    <cellStyle name="Separador de milhares 3 15 3 3 2 2 4" xfId="16198" xr:uid="{00000000-0005-0000-0000-00000A440000}"/>
    <cellStyle name="Separador de milhares 3 15 3 3 2 2 4 2" xfId="42391" xr:uid="{00000000-0005-0000-0000-00000B440000}"/>
    <cellStyle name="Separador de milhares 3 15 3 3 2 2 5" xfId="36005" xr:uid="{00000000-0005-0000-0000-00000C440000}"/>
    <cellStyle name="Separador de milhares 3 15 3 3 2 3" xfId="25069" xr:uid="{00000000-0005-0000-0000-00000D440000}"/>
    <cellStyle name="Separador de milhares 3 15 3 3 2 3 2" xfId="51253" xr:uid="{00000000-0005-0000-0000-00000E440000}"/>
    <cellStyle name="Separador de milhares 3 15 3 3 2 4" xfId="19155" xr:uid="{00000000-0005-0000-0000-00000F440000}"/>
    <cellStyle name="Separador de milhares 3 15 3 3 2 4 2" xfId="45345" xr:uid="{00000000-0005-0000-0000-000010440000}"/>
    <cellStyle name="Separador de milhares 3 15 3 3 2 5" xfId="13054" xr:uid="{00000000-0005-0000-0000-000011440000}"/>
    <cellStyle name="Separador de milhares 3 15 3 3 2 5 2" xfId="39247" xr:uid="{00000000-0005-0000-0000-000012440000}"/>
    <cellStyle name="Separador de milhares 3 15 3 3 2 6" xfId="32861" xr:uid="{00000000-0005-0000-0000-000013440000}"/>
    <cellStyle name="Separador de milhares 3 15 3 3 3" xfId="8344" xr:uid="{00000000-0005-0000-0000-000014440000}"/>
    <cellStyle name="Separador de milhares 3 15 3 3 3 2" xfId="26558" xr:uid="{00000000-0005-0000-0000-000015440000}"/>
    <cellStyle name="Separador de milhares 3 15 3 3 3 2 2" xfId="52739" xr:uid="{00000000-0005-0000-0000-000016440000}"/>
    <cellStyle name="Separador de milhares 3 15 3 3 3 3" xfId="20644" xr:uid="{00000000-0005-0000-0000-000017440000}"/>
    <cellStyle name="Separador de milhares 3 15 3 3 3 3 2" xfId="46831" xr:uid="{00000000-0005-0000-0000-000018440000}"/>
    <cellStyle name="Separador de milhares 3 15 3 3 3 4" xfId="14730" xr:uid="{00000000-0005-0000-0000-000019440000}"/>
    <cellStyle name="Separador de milhares 3 15 3 3 3 4 2" xfId="40923" xr:uid="{00000000-0005-0000-0000-00001A440000}"/>
    <cellStyle name="Separador de milhares 3 15 3 3 3 5" xfId="34537" xr:uid="{00000000-0005-0000-0000-00001B440000}"/>
    <cellStyle name="Separador de milhares 3 15 3 3 4" xfId="4966" xr:uid="{00000000-0005-0000-0000-00001C440000}"/>
    <cellStyle name="Separador de milhares 3 15 3 3 4 2" xfId="23601" xr:uid="{00000000-0005-0000-0000-00001D440000}"/>
    <cellStyle name="Separador de milhares 3 15 3 3 4 2 2" xfId="49785" xr:uid="{00000000-0005-0000-0000-00001E440000}"/>
    <cellStyle name="Separador de milhares 3 15 3 3 4 3" xfId="31162" xr:uid="{00000000-0005-0000-0000-00001F440000}"/>
    <cellStyle name="Separador de milhares 3 15 3 3 5" xfId="17687" xr:uid="{00000000-0005-0000-0000-000020440000}"/>
    <cellStyle name="Separador de milhares 3 15 3 3 5 2" xfId="43877" xr:uid="{00000000-0005-0000-0000-000021440000}"/>
    <cellStyle name="Separador de milhares 3 15 3 3 6" xfId="11353" xr:uid="{00000000-0005-0000-0000-000022440000}"/>
    <cellStyle name="Separador de milhares 3 15 3 3 6 2" xfId="37546" xr:uid="{00000000-0005-0000-0000-000023440000}"/>
    <cellStyle name="Separador de milhares 3 15 3 3 7" xfId="29464" xr:uid="{00000000-0005-0000-0000-000024440000}"/>
    <cellStyle name="Separador de milhares 3 15 3 4" xfId="1207" xr:uid="{00000000-0005-0000-0000-000025440000}"/>
    <cellStyle name="Separador de milhares 3 15 3 4 2" xfId="6763" xr:uid="{00000000-0005-0000-0000-000026440000}"/>
    <cellStyle name="Separador de milhares 3 15 3 4 2 2" xfId="9910" xr:uid="{00000000-0005-0000-0000-000027440000}"/>
    <cellStyle name="Separador de milhares 3 15 3 4 2 2 2" xfId="28124" xr:uid="{00000000-0005-0000-0000-000028440000}"/>
    <cellStyle name="Separador de milhares 3 15 3 4 2 2 2 2" xfId="54305" xr:uid="{00000000-0005-0000-0000-000029440000}"/>
    <cellStyle name="Separador de milhares 3 15 3 4 2 2 3" xfId="22210" xr:uid="{00000000-0005-0000-0000-00002A440000}"/>
    <cellStyle name="Separador de milhares 3 15 3 4 2 2 3 2" xfId="48397" xr:uid="{00000000-0005-0000-0000-00002B440000}"/>
    <cellStyle name="Separador de milhares 3 15 3 4 2 2 4" xfId="16296" xr:uid="{00000000-0005-0000-0000-00002C440000}"/>
    <cellStyle name="Separador de milhares 3 15 3 4 2 2 4 2" xfId="42489" xr:uid="{00000000-0005-0000-0000-00002D440000}"/>
    <cellStyle name="Separador de milhares 3 15 3 4 2 2 5" xfId="36103" xr:uid="{00000000-0005-0000-0000-00002E440000}"/>
    <cellStyle name="Separador de milhares 3 15 3 4 2 3" xfId="25167" xr:uid="{00000000-0005-0000-0000-00002F440000}"/>
    <cellStyle name="Separador de milhares 3 15 3 4 2 3 2" xfId="51351" xr:uid="{00000000-0005-0000-0000-000030440000}"/>
    <cellStyle name="Separador de milhares 3 15 3 4 2 4" xfId="19253" xr:uid="{00000000-0005-0000-0000-000031440000}"/>
    <cellStyle name="Separador de milhares 3 15 3 4 2 4 2" xfId="45443" xr:uid="{00000000-0005-0000-0000-000032440000}"/>
    <cellStyle name="Separador de milhares 3 15 3 4 2 5" xfId="13152" xr:uid="{00000000-0005-0000-0000-000033440000}"/>
    <cellStyle name="Separador de milhares 3 15 3 4 2 5 2" xfId="39345" xr:uid="{00000000-0005-0000-0000-000034440000}"/>
    <cellStyle name="Separador de milhares 3 15 3 4 2 6" xfId="32959" xr:uid="{00000000-0005-0000-0000-000035440000}"/>
    <cellStyle name="Separador de milhares 3 15 3 4 3" xfId="8442" xr:uid="{00000000-0005-0000-0000-000036440000}"/>
    <cellStyle name="Separador de milhares 3 15 3 4 3 2" xfId="26656" xr:uid="{00000000-0005-0000-0000-000037440000}"/>
    <cellStyle name="Separador de milhares 3 15 3 4 3 2 2" xfId="52837" xr:uid="{00000000-0005-0000-0000-000038440000}"/>
    <cellStyle name="Separador de milhares 3 15 3 4 3 3" xfId="20742" xr:uid="{00000000-0005-0000-0000-000039440000}"/>
    <cellStyle name="Separador de milhares 3 15 3 4 3 3 2" xfId="46929" xr:uid="{00000000-0005-0000-0000-00003A440000}"/>
    <cellStyle name="Separador de milhares 3 15 3 4 3 4" xfId="14828" xr:uid="{00000000-0005-0000-0000-00003B440000}"/>
    <cellStyle name="Separador de milhares 3 15 3 4 3 4 2" xfId="41021" xr:uid="{00000000-0005-0000-0000-00003C440000}"/>
    <cellStyle name="Separador de milhares 3 15 3 4 3 5" xfId="34635" xr:uid="{00000000-0005-0000-0000-00003D440000}"/>
    <cellStyle name="Separador de milhares 3 15 3 4 4" xfId="5064" xr:uid="{00000000-0005-0000-0000-00003E440000}"/>
    <cellStyle name="Separador de milhares 3 15 3 4 4 2" xfId="23699" xr:uid="{00000000-0005-0000-0000-00003F440000}"/>
    <cellStyle name="Separador de milhares 3 15 3 4 4 2 2" xfId="49883" xr:uid="{00000000-0005-0000-0000-000040440000}"/>
    <cellStyle name="Separador de milhares 3 15 3 4 4 3" xfId="31260" xr:uid="{00000000-0005-0000-0000-000041440000}"/>
    <cellStyle name="Separador de milhares 3 15 3 4 5" xfId="17785" xr:uid="{00000000-0005-0000-0000-000042440000}"/>
    <cellStyle name="Separador de milhares 3 15 3 4 5 2" xfId="43975" xr:uid="{00000000-0005-0000-0000-000043440000}"/>
    <cellStyle name="Separador de milhares 3 15 3 4 6" xfId="11451" xr:uid="{00000000-0005-0000-0000-000044440000}"/>
    <cellStyle name="Separador de milhares 3 15 3 4 6 2" xfId="37644" xr:uid="{00000000-0005-0000-0000-000045440000}"/>
    <cellStyle name="Separador de milhares 3 15 3 4 7" xfId="29562" xr:uid="{00000000-0005-0000-0000-000046440000}"/>
    <cellStyle name="Separador de milhares 3 15 3 5" xfId="1642" xr:uid="{00000000-0005-0000-0000-000047440000}"/>
    <cellStyle name="Separador de milhares 3 15 3 5 2" xfId="6882" xr:uid="{00000000-0005-0000-0000-000048440000}"/>
    <cellStyle name="Separador de milhares 3 15 3 5 2 2" xfId="10029" xr:uid="{00000000-0005-0000-0000-000049440000}"/>
    <cellStyle name="Separador de milhares 3 15 3 5 2 2 2" xfId="28243" xr:uid="{00000000-0005-0000-0000-00004A440000}"/>
    <cellStyle name="Separador de milhares 3 15 3 5 2 2 2 2" xfId="54424" xr:uid="{00000000-0005-0000-0000-00004B440000}"/>
    <cellStyle name="Separador de milhares 3 15 3 5 2 2 3" xfId="22329" xr:uid="{00000000-0005-0000-0000-00004C440000}"/>
    <cellStyle name="Separador de milhares 3 15 3 5 2 2 3 2" xfId="48516" xr:uid="{00000000-0005-0000-0000-00004D440000}"/>
    <cellStyle name="Separador de milhares 3 15 3 5 2 2 4" xfId="16415" xr:uid="{00000000-0005-0000-0000-00004E440000}"/>
    <cellStyle name="Separador de milhares 3 15 3 5 2 2 4 2" xfId="42608" xr:uid="{00000000-0005-0000-0000-00004F440000}"/>
    <cellStyle name="Separador de milhares 3 15 3 5 2 2 5" xfId="36222" xr:uid="{00000000-0005-0000-0000-000050440000}"/>
    <cellStyle name="Separador de milhares 3 15 3 5 2 3" xfId="25286" xr:uid="{00000000-0005-0000-0000-000051440000}"/>
    <cellStyle name="Separador de milhares 3 15 3 5 2 3 2" xfId="51470" xr:uid="{00000000-0005-0000-0000-000052440000}"/>
    <cellStyle name="Separador de milhares 3 15 3 5 2 4" xfId="19372" xr:uid="{00000000-0005-0000-0000-000053440000}"/>
    <cellStyle name="Separador de milhares 3 15 3 5 2 4 2" xfId="45562" xr:uid="{00000000-0005-0000-0000-000054440000}"/>
    <cellStyle name="Separador de milhares 3 15 3 5 2 5" xfId="13271" xr:uid="{00000000-0005-0000-0000-000055440000}"/>
    <cellStyle name="Separador de milhares 3 15 3 5 2 5 2" xfId="39464" xr:uid="{00000000-0005-0000-0000-000056440000}"/>
    <cellStyle name="Separador de milhares 3 15 3 5 2 6" xfId="33078" xr:uid="{00000000-0005-0000-0000-000057440000}"/>
    <cellStyle name="Separador de milhares 3 15 3 5 3" xfId="8561" xr:uid="{00000000-0005-0000-0000-000058440000}"/>
    <cellStyle name="Separador de milhares 3 15 3 5 3 2" xfId="26775" xr:uid="{00000000-0005-0000-0000-000059440000}"/>
    <cellStyle name="Separador de milhares 3 15 3 5 3 2 2" xfId="52956" xr:uid="{00000000-0005-0000-0000-00005A440000}"/>
    <cellStyle name="Separador de milhares 3 15 3 5 3 3" xfId="20861" xr:uid="{00000000-0005-0000-0000-00005B440000}"/>
    <cellStyle name="Separador de milhares 3 15 3 5 3 3 2" xfId="47048" xr:uid="{00000000-0005-0000-0000-00005C440000}"/>
    <cellStyle name="Separador de milhares 3 15 3 5 3 4" xfId="14947" xr:uid="{00000000-0005-0000-0000-00005D440000}"/>
    <cellStyle name="Separador de milhares 3 15 3 5 3 4 2" xfId="41140" xr:uid="{00000000-0005-0000-0000-00005E440000}"/>
    <cellStyle name="Separador de milhares 3 15 3 5 3 5" xfId="34754" xr:uid="{00000000-0005-0000-0000-00005F440000}"/>
    <cellStyle name="Separador de milhares 3 15 3 5 4" xfId="5183" xr:uid="{00000000-0005-0000-0000-000060440000}"/>
    <cellStyle name="Separador de milhares 3 15 3 5 4 2" xfId="23818" xr:uid="{00000000-0005-0000-0000-000061440000}"/>
    <cellStyle name="Separador de milhares 3 15 3 5 4 2 2" xfId="50002" xr:uid="{00000000-0005-0000-0000-000062440000}"/>
    <cellStyle name="Separador de milhares 3 15 3 5 4 3" xfId="31379" xr:uid="{00000000-0005-0000-0000-000063440000}"/>
    <cellStyle name="Separador de milhares 3 15 3 5 5" xfId="17904" xr:uid="{00000000-0005-0000-0000-000064440000}"/>
    <cellStyle name="Separador de milhares 3 15 3 5 5 2" xfId="44094" xr:uid="{00000000-0005-0000-0000-000065440000}"/>
    <cellStyle name="Separador de milhares 3 15 3 5 6" xfId="11570" xr:uid="{00000000-0005-0000-0000-000066440000}"/>
    <cellStyle name="Separador de milhares 3 15 3 5 6 2" xfId="37763" xr:uid="{00000000-0005-0000-0000-000067440000}"/>
    <cellStyle name="Separador de milhares 3 15 3 5 7" xfId="29681" xr:uid="{00000000-0005-0000-0000-000068440000}"/>
    <cellStyle name="Separador de milhares 3 15 3 6" xfId="2172" xr:uid="{00000000-0005-0000-0000-000069440000}"/>
    <cellStyle name="Separador de milhares 3 15 3 6 2" xfId="7032" xr:uid="{00000000-0005-0000-0000-00006A440000}"/>
    <cellStyle name="Separador de milhares 3 15 3 6 2 2" xfId="10176" xr:uid="{00000000-0005-0000-0000-00006B440000}"/>
    <cellStyle name="Separador de milhares 3 15 3 6 2 2 2" xfId="28390" xr:uid="{00000000-0005-0000-0000-00006C440000}"/>
    <cellStyle name="Separador de milhares 3 15 3 6 2 2 2 2" xfId="54571" xr:uid="{00000000-0005-0000-0000-00006D440000}"/>
    <cellStyle name="Separador de milhares 3 15 3 6 2 2 3" xfId="22476" xr:uid="{00000000-0005-0000-0000-00006E440000}"/>
    <cellStyle name="Separador de milhares 3 15 3 6 2 2 3 2" xfId="48663" xr:uid="{00000000-0005-0000-0000-00006F440000}"/>
    <cellStyle name="Separador de milhares 3 15 3 6 2 2 4" xfId="16562" xr:uid="{00000000-0005-0000-0000-000070440000}"/>
    <cellStyle name="Separador de milhares 3 15 3 6 2 2 4 2" xfId="42755" xr:uid="{00000000-0005-0000-0000-000071440000}"/>
    <cellStyle name="Separador de milhares 3 15 3 6 2 2 5" xfId="36369" xr:uid="{00000000-0005-0000-0000-000072440000}"/>
    <cellStyle name="Separador de milhares 3 15 3 6 2 3" xfId="25433" xr:uid="{00000000-0005-0000-0000-000073440000}"/>
    <cellStyle name="Separador de milhares 3 15 3 6 2 3 2" xfId="51617" xr:uid="{00000000-0005-0000-0000-000074440000}"/>
    <cellStyle name="Separador de milhares 3 15 3 6 2 4" xfId="19519" xr:uid="{00000000-0005-0000-0000-000075440000}"/>
    <cellStyle name="Separador de milhares 3 15 3 6 2 4 2" xfId="45709" xr:uid="{00000000-0005-0000-0000-000076440000}"/>
    <cellStyle name="Separador de milhares 3 15 3 6 2 5" xfId="13421" xr:uid="{00000000-0005-0000-0000-000077440000}"/>
    <cellStyle name="Separador de milhares 3 15 3 6 2 5 2" xfId="39614" xr:uid="{00000000-0005-0000-0000-000078440000}"/>
    <cellStyle name="Separador de milhares 3 15 3 6 2 6" xfId="33228" xr:uid="{00000000-0005-0000-0000-000079440000}"/>
    <cellStyle name="Separador de milhares 3 15 3 6 3" xfId="8708" xr:uid="{00000000-0005-0000-0000-00007A440000}"/>
    <cellStyle name="Separador de milhares 3 15 3 6 3 2" xfId="26922" xr:uid="{00000000-0005-0000-0000-00007B440000}"/>
    <cellStyle name="Separador de milhares 3 15 3 6 3 2 2" xfId="53103" xr:uid="{00000000-0005-0000-0000-00007C440000}"/>
    <cellStyle name="Separador de milhares 3 15 3 6 3 3" xfId="21008" xr:uid="{00000000-0005-0000-0000-00007D440000}"/>
    <cellStyle name="Separador de milhares 3 15 3 6 3 3 2" xfId="47195" xr:uid="{00000000-0005-0000-0000-00007E440000}"/>
    <cellStyle name="Separador de milhares 3 15 3 6 3 4" xfId="15094" xr:uid="{00000000-0005-0000-0000-00007F440000}"/>
    <cellStyle name="Separador de milhares 3 15 3 6 3 4 2" xfId="41287" xr:uid="{00000000-0005-0000-0000-000080440000}"/>
    <cellStyle name="Separador de milhares 3 15 3 6 3 5" xfId="34901" xr:uid="{00000000-0005-0000-0000-000081440000}"/>
    <cellStyle name="Separador de milhares 3 15 3 6 4" xfId="5333" xr:uid="{00000000-0005-0000-0000-000082440000}"/>
    <cellStyle name="Separador de milhares 3 15 3 6 4 2" xfId="23965" xr:uid="{00000000-0005-0000-0000-000083440000}"/>
    <cellStyle name="Separador de milhares 3 15 3 6 4 2 2" xfId="50149" xr:uid="{00000000-0005-0000-0000-000084440000}"/>
    <cellStyle name="Separador de milhares 3 15 3 6 4 3" xfId="31529" xr:uid="{00000000-0005-0000-0000-000085440000}"/>
    <cellStyle name="Separador de milhares 3 15 3 6 5" xfId="18051" xr:uid="{00000000-0005-0000-0000-000086440000}"/>
    <cellStyle name="Separador de milhares 3 15 3 6 5 2" xfId="44241" xr:uid="{00000000-0005-0000-0000-000087440000}"/>
    <cellStyle name="Separador de milhares 3 15 3 6 6" xfId="11720" xr:uid="{00000000-0005-0000-0000-000088440000}"/>
    <cellStyle name="Separador de milhares 3 15 3 6 6 2" xfId="37913" xr:uid="{00000000-0005-0000-0000-000089440000}"/>
    <cellStyle name="Separador de milhares 3 15 3 6 7" xfId="29831" xr:uid="{00000000-0005-0000-0000-00008A440000}"/>
    <cellStyle name="Separador de milhares 3 15 3 7" xfId="2699" xr:uid="{00000000-0005-0000-0000-00008B440000}"/>
    <cellStyle name="Separador de milhares 3 15 3 7 2" xfId="7179" xr:uid="{00000000-0005-0000-0000-00008C440000}"/>
    <cellStyle name="Separador de milhares 3 15 3 7 2 2" xfId="10323" xr:uid="{00000000-0005-0000-0000-00008D440000}"/>
    <cellStyle name="Separador de milhares 3 15 3 7 2 2 2" xfId="28537" xr:uid="{00000000-0005-0000-0000-00008E440000}"/>
    <cellStyle name="Separador de milhares 3 15 3 7 2 2 2 2" xfId="54718" xr:uid="{00000000-0005-0000-0000-00008F440000}"/>
    <cellStyle name="Separador de milhares 3 15 3 7 2 2 3" xfId="22623" xr:uid="{00000000-0005-0000-0000-000090440000}"/>
    <cellStyle name="Separador de milhares 3 15 3 7 2 2 3 2" xfId="48810" xr:uid="{00000000-0005-0000-0000-000091440000}"/>
    <cellStyle name="Separador de milhares 3 15 3 7 2 2 4" xfId="16709" xr:uid="{00000000-0005-0000-0000-000092440000}"/>
    <cellStyle name="Separador de milhares 3 15 3 7 2 2 4 2" xfId="42902" xr:uid="{00000000-0005-0000-0000-000093440000}"/>
    <cellStyle name="Separador de milhares 3 15 3 7 2 2 5" xfId="36516" xr:uid="{00000000-0005-0000-0000-000094440000}"/>
    <cellStyle name="Separador de milhares 3 15 3 7 2 3" xfId="25580" xr:uid="{00000000-0005-0000-0000-000095440000}"/>
    <cellStyle name="Separador de milhares 3 15 3 7 2 3 2" xfId="51764" xr:uid="{00000000-0005-0000-0000-000096440000}"/>
    <cellStyle name="Separador de milhares 3 15 3 7 2 4" xfId="19666" xr:uid="{00000000-0005-0000-0000-000097440000}"/>
    <cellStyle name="Separador de milhares 3 15 3 7 2 4 2" xfId="45856" xr:uid="{00000000-0005-0000-0000-000098440000}"/>
    <cellStyle name="Separador de milhares 3 15 3 7 2 5" xfId="13568" xr:uid="{00000000-0005-0000-0000-000099440000}"/>
    <cellStyle name="Separador de milhares 3 15 3 7 2 5 2" xfId="39761" xr:uid="{00000000-0005-0000-0000-00009A440000}"/>
    <cellStyle name="Separador de milhares 3 15 3 7 2 6" xfId="33375" xr:uid="{00000000-0005-0000-0000-00009B440000}"/>
    <cellStyle name="Separador de milhares 3 15 3 7 3" xfId="8855" xr:uid="{00000000-0005-0000-0000-00009C440000}"/>
    <cellStyle name="Separador de milhares 3 15 3 7 3 2" xfId="27069" xr:uid="{00000000-0005-0000-0000-00009D440000}"/>
    <cellStyle name="Separador de milhares 3 15 3 7 3 2 2" xfId="53250" xr:uid="{00000000-0005-0000-0000-00009E440000}"/>
    <cellStyle name="Separador de milhares 3 15 3 7 3 3" xfId="21155" xr:uid="{00000000-0005-0000-0000-00009F440000}"/>
    <cellStyle name="Separador de milhares 3 15 3 7 3 3 2" xfId="47342" xr:uid="{00000000-0005-0000-0000-0000A0440000}"/>
    <cellStyle name="Separador de milhares 3 15 3 7 3 4" xfId="15241" xr:uid="{00000000-0005-0000-0000-0000A1440000}"/>
    <cellStyle name="Separador de milhares 3 15 3 7 3 4 2" xfId="41434" xr:uid="{00000000-0005-0000-0000-0000A2440000}"/>
    <cellStyle name="Separador de milhares 3 15 3 7 3 5" xfId="35048" xr:uid="{00000000-0005-0000-0000-0000A3440000}"/>
    <cellStyle name="Separador de milhares 3 15 3 7 4" xfId="5480" xr:uid="{00000000-0005-0000-0000-0000A4440000}"/>
    <cellStyle name="Separador de milhares 3 15 3 7 4 2" xfId="24112" xr:uid="{00000000-0005-0000-0000-0000A5440000}"/>
    <cellStyle name="Separador de milhares 3 15 3 7 4 2 2" xfId="50296" xr:uid="{00000000-0005-0000-0000-0000A6440000}"/>
    <cellStyle name="Separador de milhares 3 15 3 7 4 3" xfId="31676" xr:uid="{00000000-0005-0000-0000-0000A7440000}"/>
    <cellStyle name="Separador de milhares 3 15 3 7 5" xfId="18198" xr:uid="{00000000-0005-0000-0000-0000A8440000}"/>
    <cellStyle name="Separador de milhares 3 15 3 7 5 2" xfId="44388" xr:uid="{00000000-0005-0000-0000-0000A9440000}"/>
    <cellStyle name="Separador de milhares 3 15 3 7 6" xfId="11867" xr:uid="{00000000-0005-0000-0000-0000AA440000}"/>
    <cellStyle name="Separador de milhares 3 15 3 7 6 2" xfId="38060" xr:uid="{00000000-0005-0000-0000-0000AB440000}"/>
    <cellStyle name="Separador de milhares 3 15 3 7 7" xfId="29978" xr:uid="{00000000-0005-0000-0000-0000AC440000}"/>
    <cellStyle name="Separador de milhares 3 15 3 8" xfId="3226" xr:uid="{00000000-0005-0000-0000-0000AD440000}"/>
    <cellStyle name="Separador de milhares 3 15 3 8 2" xfId="7326" xr:uid="{00000000-0005-0000-0000-0000AE440000}"/>
    <cellStyle name="Separador de milhares 3 15 3 8 2 2" xfId="10470" xr:uid="{00000000-0005-0000-0000-0000AF440000}"/>
    <cellStyle name="Separador de milhares 3 15 3 8 2 2 2" xfId="28684" xr:uid="{00000000-0005-0000-0000-0000B0440000}"/>
    <cellStyle name="Separador de milhares 3 15 3 8 2 2 2 2" xfId="54865" xr:uid="{00000000-0005-0000-0000-0000B1440000}"/>
    <cellStyle name="Separador de milhares 3 15 3 8 2 2 3" xfId="22770" xr:uid="{00000000-0005-0000-0000-0000B2440000}"/>
    <cellStyle name="Separador de milhares 3 15 3 8 2 2 3 2" xfId="48957" xr:uid="{00000000-0005-0000-0000-0000B3440000}"/>
    <cellStyle name="Separador de milhares 3 15 3 8 2 2 4" xfId="16856" xr:uid="{00000000-0005-0000-0000-0000B4440000}"/>
    <cellStyle name="Separador de milhares 3 15 3 8 2 2 4 2" xfId="43049" xr:uid="{00000000-0005-0000-0000-0000B5440000}"/>
    <cellStyle name="Separador de milhares 3 15 3 8 2 2 5" xfId="36663" xr:uid="{00000000-0005-0000-0000-0000B6440000}"/>
    <cellStyle name="Separador de milhares 3 15 3 8 2 3" xfId="25727" xr:uid="{00000000-0005-0000-0000-0000B7440000}"/>
    <cellStyle name="Separador de milhares 3 15 3 8 2 3 2" xfId="51911" xr:uid="{00000000-0005-0000-0000-0000B8440000}"/>
    <cellStyle name="Separador de milhares 3 15 3 8 2 4" xfId="19813" xr:uid="{00000000-0005-0000-0000-0000B9440000}"/>
    <cellStyle name="Separador de milhares 3 15 3 8 2 4 2" xfId="46003" xr:uid="{00000000-0005-0000-0000-0000BA440000}"/>
    <cellStyle name="Separador de milhares 3 15 3 8 2 5" xfId="13715" xr:uid="{00000000-0005-0000-0000-0000BB440000}"/>
    <cellStyle name="Separador de milhares 3 15 3 8 2 5 2" xfId="39908" xr:uid="{00000000-0005-0000-0000-0000BC440000}"/>
    <cellStyle name="Separador de milhares 3 15 3 8 2 6" xfId="33522" xr:uid="{00000000-0005-0000-0000-0000BD440000}"/>
    <cellStyle name="Separador de milhares 3 15 3 8 3" xfId="9002" xr:uid="{00000000-0005-0000-0000-0000BE440000}"/>
    <cellStyle name="Separador de milhares 3 15 3 8 3 2" xfId="27216" xr:uid="{00000000-0005-0000-0000-0000BF440000}"/>
    <cellStyle name="Separador de milhares 3 15 3 8 3 2 2" xfId="53397" xr:uid="{00000000-0005-0000-0000-0000C0440000}"/>
    <cellStyle name="Separador de milhares 3 15 3 8 3 3" xfId="21302" xr:uid="{00000000-0005-0000-0000-0000C1440000}"/>
    <cellStyle name="Separador de milhares 3 15 3 8 3 3 2" xfId="47489" xr:uid="{00000000-0005-0000-0000-0000C2440000}"/>
    <cellStyle name="Separador de milhares 3 15 3 8 3 4" xfId="15388" xr:uid="{00000000-0005-0000-0000-0000C3440000}"/>
    <cellStyle name="Separador de milhares 3 15 3 8 3 4 2" xfId="41581" xr:uid="{00000000-0005-0000-0000-0000C4440000}"/>
    <cellStyle name="Separador de milhares 3 15 3 8 3 5" xfId="35195" xr:uid="{00000000-0005-0000-0000-0000C5440000}"/>
    <cellStyle name="Separador de milhares 3 15 3 8 4" xfId="5627" xr:uid="{00000000-0005-0000-0000-0000C6440000}"/>
    <cellStyle name="Separador de milhares 3 15 3 8 4 2" xfId="24259" xr:uid="{00000000-0005-0000-0000-0000C7440000}"/>
    <cellStyle name="Separador de milhares 3 15 3 8 4 2 2" xfId="50443" xr:uid="{00000000-0005-0000-0000-0000C8440000}"/>
    <cellStyle name="Separador de milhares 3 15 3 8 4 3" xfId="31823" xr:uid="{00000000-0005-0000-0000-0000C9440000}"/>
    <cellStyle name="Separador de milhares 3 15 3 8 5" xfId="18345" xr:uid="{00000000-0005-0000-0000-0000CA440000}"/>
    <cellStyle name="Separador de milhares 3 15 3 8 5 2" xfId="44535" xr:uid="{00000000-0005-0000-0000-0000CB440000}"/>
    <cellStyle name="Separador de milhares 3 15 3 8 6" xfId="12014" xr:uid="{00000000-0005-0000-0000-0000CC440000}"/>
    <cellStyle name="Separador de milhares 3 15 3 8 6 2" xfId="38207" xr:uid="{00000000-0005-0000-0000-0000CD440000}"/>
    <cellStyle name="Separador de milhares 3 15 3 8 7" xfId="30125" xr:uid="{00000000-0005-0000-0000-0000CE440000}"/>
    <cellStyle name="Separador de milhares 3 15 3 9" xfId="3753" xr:uid="{00000000-0005-0000-0000-0000CF440000}"/>
    <cellStyle name="Separador de milhares 3 15 3 9 2" xfId="7473" xr:uid="{00000000-0005-0000-0000-0000D0440000}"/>
    <cellStyle name="Separador de milhares 3 15 3 9 2 2" xfId="10617" xr:uid="{00000000-0005-0000-0000-0000D1440000}"/>
    <cellStyle name="Separador de milhares 3 15 3 9 2 2 2" xfId="28831" xr:uid="{00000000-0005-0000-0000-0000D2440000}"/>
    <cellStyle name="Separador de milhares 3 15 3 9 2 2 2 2" xfId="55012" xr:uid="{00000000-0005-0000-0000-0000D3440000}"/>
    <cellStyle name="Separador de milhares 3 15 3 9 2 2 3" xfId="22917" xr:uid="{00000000-0005-0000-0000-0000D4440000}"/>
    <cellStyle name="Separador de milhares 3 15 3 9 2 2 3 2" xfId="49104" xr:uid="{00000000-0005-0000-0000-0000D5440000}"/>
    <cellStyle name="Separador de milhares 3 15 3 9 2 2 4" xfId="17003" xr:uid="{00000000-0005-0000-0000-0000D6440000}"/>
    <cellStyle name="Separador de milhares 3 15 3 9 2 2 4 2" xfId="43196" xr:uid="{00000000-0005-0000-0000-0000D7440000}"/>
    <cellStyle name="Separador de milhares 3 15 3 9 2 2 5" xfId="36810" xr:uid="{00000000-0005-0000-0000-0000D8440000}"/>
    <cellStyle name="Separador de milhares 3 15 3 9 2 3" xfId="25874" xr:uid="{00000000-0005-0000-0000-0000D9440000}"/>
    <cellStyle name="Separador de milhares 3 15 3 9 2 3 2" xfId="52058" xr:uid="{00000000-0005-0000-0000-0000DA440000}"/>
    <cellStyle name="Separador de milhares 3 15 3 9 2 4" xfId="19960" xr:uid="{00000000-0005-0000-0000-0000DB440000}"/>
    <cellStyle name="Separador de milhares 3 15 3 9 2 4 2" xfId="46150" xr:uid="{00000000-0005-0000-0000-0000DC440000}"/>
    <cellStyle name="Separador de milhares 3 15 3 9 2 5" xfId="13862" xr:uid="{00000000-0005-0000-0000-0000DD440000}"/>
    <cellStyle name="Separador de milhares 3 15 3 9 2 5 2" xfId="40055" xr:uid="{00000000-0005-0000-0000-0000DE440000}"/>
    <cellStyle name="Separador de milhares 3 15 3 9 2 6" xfId="33669" xr:uid="{00000000-0005-0000-0000-0000DF440000}"/>
    <cellStyle name="Separador de milhares 3 15 3 9 3" xfId="9149" xr:uid="{00000000-0005-0000-0000-0000E0440000}"/>
    <cellStyle name="Separador de milhares 3 15 3 9 3 2" xfId="27363" xr:uid="{00000000-0005-0000-0000-0000E1440000}"/>
    <cellStyle name="Separador de milhares 3 15 3 9 3 2 2" xfId="53544" xr:uid="{00000000-0005-0000-0000-0000E2440000}"/>
    <cellStyle name="Separador de milhares 3 15 3 9 3 3" xfId="21449" xr:uid="{00000000-0005-0000-0000-0000E3440000}"/>
    <cellStyle name="Separador de milhares 3 15 3 9 3 3 2" xfId="47636" xr:uid="{00000000-0005-0000-0000-0000E4440000}"/>
    <cellStyle name="Separador de milhares 3 15 3 9 3 4" xfId="15535" xr:uid="{00000000-0005-0000-0000-0000E5440000}"/>
    <cellStyle name="Separador de milhares 3 15 3 9 3 4 2" xfId="41728" xr:uid="{00000000-0005-0000-0000-0000E6440000}"/>
    <cellStyle name="Separador de milhares 3 15 3 9 3 5" xfId="35342" xr:uid="{00000000-0005-0000-0000-0000E7440000}"/>
    <cellStyle name="Separador de milhares 3 15 3 9 4" xfId="5774" xr:uid="{00000000-0005-0000-0000-0000E8440000}"/>
    <cellStyle name="Separador de milhares 3 15 3 9 4 2" xfId="24406" xr:uid="{00000000-0005-0000-0000-0000E9440000}"/>
    <cellStyle name="Separador de milhares 3 15 3 9 4 2 2" xfId="50590" xr:uid="{00000000-0005-0000-0000-0000EA440000}"/>
    <cellStyle name="Separador de milhares 3 15 3 9 4 3" xfId="31970" xr:uid="{00000000-0005-0000-0000-0000EB440000}"/>
    <cellStyle name="Separador de milhares 3 15 3 9 5" xfId="18492" xr:uid="{00000000-0005-0000-0000-0000EC440000}"/>
    <cellStyle name="Separador de milhares 3 15 3 9 5 2" xfId="44682" xr:uid="{00000000-0005-0000-0000-0000ED440000}"/>
    <cellStyle name="Separador de milhares 3 15 3 9 6" xfId="12161" xr:uid="{00000000-0005-0000-0000-0000EE440000}"/>
    <cellStyle name="Separador de milhares 3 15 3 9 6 2" xfId="38354" xr:uid="{00000000-0005-0000-0000-0000EF440000}"/>
    <cellStyle name="Separador de milhares 3 15 3 9 7" xfId="30272" xr:uid="{00000000-0005-0000-0000-0000F0440000}"/>
    <cellStyle name="Separador de milhares 3 15 4" xfId="389" xr:uid="{00000000-0005-0000-0000-0000F1440000}"/>
    <cellStyle name="Separador de milhares 3 15 4 10" xfId="6520" xr:uid="{00000000-0005-0000-0000-0000F2440000}"/>
    <cellStyle name="Separador de milhares 3 15 4 10 2" xfId="9668" xr:uid="{00000000-0005-0000-0000-0000F3440000}"/>
    <cellStyle name="Separador de milhares 3 15 4 10 2 2" xfId="27882" xr:uid="{00000000-0005-0000-0000-0000F4440000}"/>
    <cellStyle name="Separador de milhares 3 15 4 10 2 2 2" xfId="54063" xr:uid="{00000000-0005-0000-0000-0000F5440000}"/>
    <cellStyle name="Separador de milhares 3 15 4 10 2 3" xfId="21968" xr:uid="{00000000-0005-0000-0000-0000F6440000}"/>
    <cellStyle name="Separador de milhares 3 15 4 10 2 3 2" xfId="48155" xr:uid="{00000000-0005-0000-0000-0000F7440000}"/>
    <cellStyle name="Separador de milhares 3 15 4 10 2 4" xfId="16054" xr:uid="{00000000-0005-0000-0000-0000F8440000}"/>
    <cellStyle name="Separador de milhares 3 15 4 10 2 4 2" xfId="42247" xr:uid="{00000000-0005-0000-0000-0000F9440000}"/>
    <cellStyle name="Separador de milhares 3 15 4 10 2 5" xfId="35861" xr:uid="{00000000-0005-0000-0000-0000FA440000}"/>
    <cellStyle name="Separador de milhares 3 15 4 10 3" xfId="24925" xr:uid="{00000000-0005-0000-0000-0000FB440000}"/>
    <cellStyle name="Separador de milhares 3 15 4 10 3 2" xfId="51109" xr:uid="{00000000-0005-0000-0000-0000FC440000}"/>
    <cellStyle name="Separador de milhares 3 15 4 10 4" xfId="19011" xr:uid="{00000000-0005-0000-0000-0000FD440000}"/>
    <cellStyle name="Separador de milhares 3 15 4 10 4 2" xfId="45201" xr:uid="{00000000-0005-0000-0000-0000FE440000}"/>
    <cellStyle name="Separador de milhares 3 15 4 10 5" xfId="12909" xr:uid="{00000000-0005-0000-0000-0000FF440000}"/>
    <cellStyle name="Separador de milhares 3 15 4 10 5 2" xfId="39102" xr:uid="{00000000-0005-0000-0000-000000450000}"/>
    <cellStyle name="Separador de milhares 3 15 4 10 6" xfId="32716" xr:uid="{00000000-0005-0000-0000-000001450000}"/>
    <cellStyle name="Separador de milhares 3 15 4 11" xfId="8197" xr:uid="{00000000-0005-0000-0000-000002450000}"/>
    <cellStyle name="Separador de milhares 3 15 4 11 2" xfId="26411" xr:uid="{00000000-0005-0000-0000-000003450000}"/>
    <cellStyle name="Separador de milhares 3 15 4 11 2 2" xfId="52595" xr:uid="{00000000-0005-0000-0000-000004450000}"/>
    <cellStyle name="Separador de milhares 3 15 4 11 3" xfId="20497" xr:uid="{00000000-0005-0000-0000-000005450000}"/>
    <cellStyle name="Separador de milhares 3 15 4 11 3 2" xfId="46687" xr:uid="{00000000-0005-0000-0000-000006450000}"/>
    <cellStyle name="Separador de milhares 3 15 4 11 4" xfId="14586" xr:uid="{00000000-0005-0000-0000-000007450000}"/>
    <cellStyle name="Separador de milhares 3 15 4 11 4 2" xfId="40779" xr:uid="{00000000-0005-0000-0000-000008450000}"/>
    <cellStyle name="Separador de milhares 3 15 4 11 5" xfId="34393" xr:uid="{00000000-0005-0000-0000-000009450000}"/>
    <cellStyle name="Separador de milhares 3 15 4 12" xfId="4819" xr:uid="{00000000-0005-0000-0000-00000A450000}"/>
    <cellStyle name="Separador de milhares 3 15 4 12 2" xfId="23454" xr:uid="{00000000-0005-0000-0000-00000B450000}"/>
    <cellStyle name="Separador de milhares 3 15 4 12 2 2" xfId="49641" xr:uid="{00000000-0005-0000-0000-00000C450000}"/>
    <cellStyle name="Separador de milhares 3 15 4 12 3" xfId="31017" xr:uid="{00000000-0005-0000-0000-00000D450000}"/>
    <cellStyle name="Separador de milhares 3 15 4 13" xfId="17540" xr:uid="{00000000-0005-0000-0000-00000E450000}"/>
    <cellStyle name="Separador de milhares 3 15 4 13 2" xfId="43733" xr:uid="{00000000-0005-0000-0000-00000F450000}"/>
    <cellStyle name="Separador de milhares 3 15 4 14" xfId="11208" xr:uid="{00000000-0005-0000-0000-000010450000}"/>
    <cellStyle name="Separador de milhares 3 15 4 14 2" xfId="37401" xr:uid="{00000000-0005-0000-0000-000011450000}"/>
    <cellStyle name="Separador de milhares 3 15 4 15" xfId="29319" xr:uid="{00000000-0005-0000-0000-000012450000}"/>
    <cellStyle name="Separador de milhares 3 15 4 2" xfId="1034" xr:uid="{00000000-0005-0000-0000-000013450000}"/>
    <cellStyle name="Separador de milhares 3 15 4 2 2" xfId="6717" xr:uid="{00000000-0005-0000-0000-000014450000}"/>
    <cellStyle name="Separador de milhares 3 15 4 2 2 2" xfId="9864" xr:uid="{00000000-0005-0000-0000-000015450000}"/>
    <cellStyle name="Separador de milhares 3 15 4 2 2 2 2" xfId="28078" xr:uid="{00000000-0005-0000-0000-000016450000}"/>
    <cellStyle name="Separador de milhares 3 15 4 2 2 2 2 2" xfId="54259" xr:uid="{00000000-0005-0000-0000-000017450000}"/>
    <cellStyle name="Separador de milhares 3 15 4 2 2 2 3" xfId="22164" xr:uid="{00000000-0005-0000-0000-000018450000}"/>
    <cellStyle name="Separador de milhares 3 15 4 2 2 2 3 2" xfId="48351" xr:uid="{00000000-0005-0000-0000-000019450000}"/>
    <cellStyle name="Separador de milhares 3 15 4 2 2 2 4" xfId="16250" xr:uid="{00000000-0005-0000-0000-00001A450000}"/>
    <cellStyle name="Separador de milhares 3 15 4 2 2 2 4 2" xfId="42443" xr:uid="{00000000-0005-0000-0000-00001B450000}"/>
    <cellStyle name="Separador de milhares 3 15 4 2 2 2 5" xfId="36057" xr:uid="{00000000-0005-0000-0000-00001C450000}"/>
    <cellStyle name="Separador de milhares 3 15 4 2 2 3" xfId="25121" xr:uid="{00000000-0005-0000-0000-00001D450000}"/>
    <cellStyle name="Separador de milhares 3 15 4 2 2 3 2" xfId="51305" xr:uid="{00000000-0005-0000-0000-00001E450000}"/>
    <cellStyle name="Separador de milhares 3 15 4 2 2 4" xfId="19207" xr:uid="{00000000-0005-0000-0000-00001F450000}"/>
    <cellStyle name="Separador de milhares 3 15 4 2 2 4 2" xfId="45397" xr:uid="{00000000-0005-0000-0000-000020450000}"/>
    <cellStyle name="Separador de milhares 3 15 4 2 2 5" xfId="13106" xr:uid="{00000000-0005-0000-0000-000021450000}"/>
    <cellStyle name="Separador de milhares 3 15 4 2 2 5 2" xfId="39299" xr:uid="{00000000-0005-0000-0000-000022450000}"/>
    <cellStyle name="Separador de milhares 3 15 4 2 2 6" xfId="32913" xr:uid="{00000000-0005-0000-0000-000023450000}"/>
    <cellStyle name="Separador de milhares 3 15 4 2 3" xfId="8396" xr:uid="{00000000-0005-0000-0000-000024450000}"/>
    <cellStyle name="Separador de milhares 3 15 4 2 3 2" xfId="26610" xr:uid="{00000000-0005-0000-0000-000025450000}"/>
    <cellStyle name="Separador de milhares 3 15 4 2 3 2 2" xfId="52791" xr:uid="{00000000-0005-0000-0000-000026450000}"/>
    <cellStyle name="Separador de milhares 3 15 4 2 3 3" xfId="20696" xr:uid="{00000000-0005-0000-0000-000027450000}"/>
    <cellStyle name="Separador de milhares 3 15 4 2 3 3 2" xfId="46883" xr:uid="{00000000-0005-0000-0000-000028450000}"/>
    <cellStyle name="Separador de milhares 3 15 4 2 3 4" xfId="14782" xr:uid="{00000000-0005-0000-0000-000029450000}"/>
    <cellStyle name="Separador de milhares 3 15 4 2 3 4 2" xfId="40975" xr:uid="{00000000-0005-0000-0000-00002A450000}"/>
    <cellStyle name="Separador de milhares 3 15 4 2 3 5" xfId="34589" xr:uid="{00000000-0005-0000-0000-00002B450000}"/>
    <cellStyle name="Separador de milhares 3 15 4 2 4" xfId="5018" xr:uid="{00000000-0005-0000-0000-00002C450000}"/>
    <cellStyle name="Separador de milhares 3 15 4 2 4 2" xfId="23653" xr:uid="{00000000-0005-0000-0000-00002D450000}"/>
    <cellStyle name="Separador de milhares 3 15 4 2 4 2 2" xfId="49837" xr:uid="{00000000-0005-0000-0000-00002E450000}"/>
    <cellStyle name="Separador de milhares 3 15 4 2 4 3" xfId="31214" xr:uid="{00000000-0005-0000-0000-00002F450000}"/>
    <cellStyle name="Separador de milhares 3 15 4 2 5" xfId="17739" xr:uid="{00000000-0005-0000-0000-000030450000}"/>
    <cellStyle name="Separador de milhares 3 15 4 2 5 2" xfId="43929" xr:uid="{00000000-0005-0000-0000-000031450000}"/>
    <cellStyle name="Separador de milhares 3 15 4 2 6" xfId="11405" xr:uid="{00000000-0005-0000-0000-000032450000}"/>
    <cellStyle name="Separador de milhares 3 15 4 2 6 2" xfId="37598" xr:uid="{00000000-0005-0000-0000-000033450000}"/>
    <cellStyle name="Separador de milhares 3 15 4 2 7" xfId="29516" xr:uid="{00000000-0005-0000-0000-000034450000}"/>
    <cellStyle name="Separador de milhares 3 15 4 3" xfId="1385" xr:uid="{00000000-0005-0000-0000-000035450000}"/>
    <cellStyle name="Separador de milhares 3 15 4 3 2" xfId="6815" xr:uid="{00000000-0005-0000-0000-000036450000}"/>
    <cellStyle name="Separador de milhares 3 15 4 3 2 2" xfId="9962" xr:uid="{00000000-0005-0000-0000-000037450000}"/>
    <cellStyle name="Separador de milhares 3 15 4 3 2 2 2" xfId="28176" xr:uid="{00000000-0005-0000-0000-000038450000}"/>
    <cellStyle name="Separador de milhares 3 15 4 3 2 2 2 2" xfId="54357" xr:uid="{00000000-0005-0000-0000-000039450000}"/>
    <cellStyle name="Separador de milhares 3 15 4 3 2 2 3" xfId="22262" xr:uid="{00000000-0005-0000-0000-00003A450000}"/>
    <cellStyle name="Separador de milhares 3 15 4 3 2 2 3 2" xfId="48449" xr:uid="{00000000-0005-0000-0000-00003B450000}"/>
    <cellStyle name="Separador de milhares 3 15 4 3 2 2 4" xfId="16348" xr:uid="{00000000-0005-0000-0000-00003C450000}"/>
    <cellStyle name="Separador de milhares 3 15 4 3 2 2 4 2" xfId="42541" xr:uid="{00000000-0005-0000-0000-00003D450000}"/>
    <cellStyle name="Separador de milhares 3 15 4 3 2 2 5" xfId="36155" xr:uid="{00000000-0005-0000-0000-00003E450000}"/>
    <cellStyle name="Separador de milhares 3 15 4 3 2 3" xfId="25219" xr:uid="{00000000-0005-0000-0000-00003F450000}"/>
    <cellStyle name="Separador de milhares 3 15 4 3 2 3 2" xfId="51403" xr:uid="{00000000-0005-0000-0000-000040450000}"/>
    <cellStyle name="Separador de milhares 3 15 4 3 2 4" xfId="19305" xr:uid="{00000000-0005-0000-0000-000041450000}"/>
    <cellStyle name="Separador de milhares 3 15 4 3 2 4 2" xfId="45495" xr:uid="{00000000-0005-0000-0000-000042450000}"/>
    <cellStyle name="Separador de milhares 3 15 4 3 2 5" xfId="13204" xr:uid="{00000000-0005-0000-0000-000043450000}"/>
    <cellStyle name="Separador de milhares 3 15 4 3 2 5 2" xfId="39397" xr:uid="{00000000-0005-0000-0000-000044450000}"/>
    <cellStyle name="Separador de milhares 3 15 4 3 2 6" xfId="33011" xr:uid="{00000000-0005-0000-0000-000045450000}"/>
    <cellStyle name="Separador de milhares 3 15 4 3 3" xfId="8494" xr:uid="{00000000-0005-0000-0000-000046450000}"/>
    <cellStyle name="Separador de milhares 3 15 4 3 3 2" xfId="26708" xr:uid="{00000000-0005-0000-0000-000047450000}"/>
    <cellStyle name="Separador de milhares 3 15 4 3 3 2 2" xfId="52889" xr:uid="{00000000-0005-0000-0000-000048450000}"/>
    <cellStyle name="Separador de milhares 3 15 4 3 3 3" xfId="20794" xr:uid="{00000000-0005-0000-0000-000049450000}"/>
    <cellStyle name="Separador de milhares 3 15 4 3 3 3 2" xfId="46981" xr:uid="{00000000-0005-0000-0000-00004A450000}"/>
    <cellStyle name="Separador de milhares 3 15 4 3 3 4" xfId="14880" xr:uid="{00000000-0005-0000-0000-00004B450000}"/>
    <cellStyle name="Separador de milhares 3 15 4 3 3 4 2" xfId="41073" xr:uid="{00000000-0005-0000-0000-00004C450000}"/>
    <cellStyle name="Separador de milhares 3 15 4 3 3 5" xfId="34687" xr:uid="{00000000-0005-0000-0000-00004D450000}"/>
    <cellStyle name="Separador de milhares 3 15 4 3 4" xfId="5116" xr:uid="{00000000-0005-0000-0000-00004E450000}"/>
    <cellStyle name="Separador de milhares 3 15 4 3 4 2" xfId="23751" xr:uid="{00000000-0005-0000-0000-00004F450000}"/>
    <cellStyle name="Separador de milhares 3 15 4 3 4 2 2" xfId="49935" xr:uid="{00000000-0005-0000-0000-000050450000}"/>
    <cellStyle name="Separador de milhares 3 15 4 3 4 3" xfId="31312" xr:uid="{00000000-0005-0000-0000-000051450000}"/>
    <cellStyle name="Separador de milhares 3 15 4 3 5" xfId="17837" xr:uid="{00000000-0005-0000-0000-000052450000}"/>
    <cellStyle name="Separador de milhares 3 15 4 3 5 2" xfId="44027" xr:uid="{00000000-0005-0000-0000-000053450000}"/>
    <cellStyle name="Separador de milhares 3 15 4 3 6" xfId="11503" xr:uid="{00000000-0005-0000-0000-000054450000}"/>
    <cellStyle name="Separador de milhares 3 15 4 3 6 2" xfId="37696" xr:uid="{00000000-0005-0000-0000-000055450000}"/>
    <cellStyle name="Separador de milhares 3 15 4 3 7" xfId="29614" xr:uid="{00000000-0005-0000-0000-000056450000}"/>
    <cellStyle name="Separador de milhares 3 15 4 4" xfId="1820" xr:uid="{00000000-0005-0000-0000-000057450000}"/>
    <cellStyle name="Separador de milhares 3 15 4 4 2" xfId="6934" xr:uid="{00000000-0005-0000-0000-000058450000}"/>
    <cellStyle name="Separador de milhares 3 15 4 4 2 2" xfId="10081" xr:uid="{00000000-0005-0000-0000-000059450000}"/>
    <cellStyle name="Separador de milhares 3 15 4 4 2 2 2" xfId="28295" xr:uid="{00000000-0005-0000-0000-00005A450000}"/>
    <cellStyle name="Separador de milhares 3 15 4 4 2 2 2 2" xfId="54476" xr:uid="{00000000-0005-0000-0000-00005B450000}"/>
    <cellStyle name="Separador de milhares 3 15 4 4 2 2 3" xfId="22381" xr:uid="{00000000-0005-0000-0000-00005C450000}"/>
    <cellStyle name="Separador de milhares 3 15 4 4 2 2 3 2" xfId="48568" xr:uid="{00000000-0005-0000-0000-00005D450000}"/>
    <cellStyle name="Separador de milhares 3 15 4 4 2 2 4" xfId="16467" xr:uid="{00000000-0005-0000-0000-00005E450000}"/>
    <cellStyle name="Separador de milhares 3 15 4 4 2 2 4 2" xfId="42660" xr:uid="{00000000-0005-0000-0000-00005F450000}"/>
    <cellStyle name="Separador de milhares 3 15 4 4 2 2 5" xfId="36274" xr:uid="{00000000-0005-0000-0000-000060450000}"/>
    <cellStyle name="Separador de milhares 3 15 4 4 2 3" xfId="25338" xr:uid="{00000000-0005-0000-0000-000061450000}"/>
    <cellStyle name="Separador de milhares 3 15 4 4 2 3 2" xfId="51522" xr:uid="{00000000-0005-0000-0000-000062450000}"/>
    <cellStyle name="Separador de milhares 3 15 4 4 2 4" xfId="19424" xr:uid="{00000000-0005-0000-0000-000063450000}"/>
    <cellStyle name="Separador de milhares 3 15 4 4 2 4 2" xfId="45614" xr:uid="{00000000-0005-0000-0000-000064450000}"/>
    <cellStyle name="Separador de milhares 3 15 4 4 2 5" xfId="13323" xr:uid="{00000000-0005-0000-0000-000065450000}"/>
    <cellStyle name="Separador de milhares 3 15 4 4 2 5 2" xfId="39516" xr:uid="{00000000-0005-0000-0000-000066450000}"/>
    <cellStyle name="Separador de milhares 3 15 4 4 2 6" xfId="33130" xr:uid="{00000000-0005-0000-0000-000067450000}"/>
    <cellStyle name="Separador de milhares 3 15 4 4 3" xfId="8613" xr:uid="{00000000-0005-0000-0000-000068450000}"/>
    <cellStyle name="Separador de milhares 3 15 4 4 3 2" xfId="26827" xr:uid="{00000000-0005-0000-0000-000069450000}"/>
    <cellStyle name="Separador de milhares 3 15 4 4 3 2 2" xfId="53008" xr:uid="{00000000-0005-0000-0000-00006A450000}"/>
    <cellStyle name="Separador de milhares 3 15 4 4 3 3" xfId="20913" xr:uid="{00000000-0005-0000-0000-00006B450000}"/>
    <cellStyle name="Separador de milhares 3 15 4 4 3 3 2" xfId="47100" xr:uid="{00000000-0005-0000-0000-00006C450000}"/>
    <cellStyle name="Separador de milhares 3 15 4 4 3 4" xfId="14999" xr:uid="{00000000-0005-0000-0000-00006D450000}"/>
    <cellStyle name="Separador de milhares 3 15 4 4 3 4 2" xfId="41192" xr:uid="{00000000-0005-0000-0000-00006E450000}"/>
    <cellStyle name="Separador de milhares 3 15 4 4 3 5" xfId="34806" xr:uid="{00000000-0005-0000-0000-00006F450000}"/>
    <cellStyle name="Separador de milhares 3 15 4 4 4" xfId="5235" xr:uid="{00000000-0005-0000-0000-000070450000}"/>
    <cellStyle name="Separador de milhares 3 15 4 4 4 2" xfId="23870" xr:uid="{00000000-0005-0000-0000-000071450000}"/>
    <cellStyle name="Separador de milhares 3 15 4 4 4 2 2" xfId="50054" xr:uid="{00000000-0005-0000-0000-000072450000}"/>
    <cellStyle name="Separador de milhares 3 15 4 4 4 3" xfId="31431" xr:uid="{00000000-0005-0000-0000-000073450000}"/>
    <cellStyle name="Separador de milhares 3 15 4 4 5" xfId="17956" xr:uid="{00000000-0005-0000-0000-000074450000}"/>
    <cellStyle name="Separador de milhares 3 15 4 4 5 2" xfId="44146" xr:uid="{00000000-0005-0000-0000-000075450000}"/>
    <cellStyle name="Separador de milhares 3 15 4 4 6" xfId="11622" xr:uid="{00000000-0005-0000-0000-000076450000}"/>
    <cellStyle name="Separador de milhares 3 15 4 4 6 2" xfId="37815" xr:uid="{00000000-0005-0000-0000-000077450000}"/>
    <cellStyle name="Separador de milhares 3 15 4 4 7" xfId="29733" xr:uid="{00000000-0005-0000-0000-000078450000}"/>
    <cellStyle name="Separador de milhares 3 15 4 5" xfId="2350" xr:uid="{00000000-0005-0000-0000-000079450000}"/>
    <cellStyle name="Separador de milhares 3 15 4 5 2" xfId="7084" xr:uid="{00000000-0005-0000-0000-00007A450000}"/>
    <cellStyle name="Separador de milhares 3 15 4 5 2 2" xfId="10228" xr:uid="{00000000-0005-0000-0000-00007B450000}"/>
    <cellStyle name="Separador de milhares 3 15 4 5 2 2 2" xfId="28442" xr:uid="{00000000-0005-0000-0000-00007C450000}"/>
    <cellStyle name="Separador de milhares 3 15 4 5 2 2 2 2" xfId="54623" xr:uid="{00000000-0005-0000-0000-00007D450000}"/>
    <cellStyle name="Separador de milhares 3 15 4 5 2 2 3" xfId="22528" xr:uid="{00000000-0005-0000-0000-00007E450000}"/>
    <cellStyle name="Separador de milhares 3 15 4 5 2 2 3 2" xfId="48715" xr:uid="{00000000-0005-0000-0000-00007F450000}"/>
    <cellStyle name="Separador de milhares 3 15 4 5 2 2 4" xfId="16614" xr:uid="{00000000-0005-0000-0000-000080450000}"/>
    <cellStyle name="Separador de milhares 3 15 4 5 2 2 4 2" xfId="42807" xr:uid="{00000000-0005-0000-0000-000081450000}"/>
    <cellStyle name="Separador de milhares 3 15 4 5 2 2 5" xfId="36421" xr:uid="{00000000-0005-0000-0000-000082450000}"/>
    <cellStyle name="Separador de milhares 3 15 4 5 2 3" xfId="25485" xr:uid="{00000000-0005-0000-0000-000083450000}"/>
    <cellStyle name="Separador de milhares 3 15 4 5 2 3 2" xfId="51669" xr:uid="{00000000-0005-0000-0000-000084450000}"/>
    <cellStyle name="Separador de milhares 3 15 4 5 2 4" xfId="19571" xr:uid="{00000000-0005-0000-0000-000085450000}"/>
    <cellStyle name="Separador de milhares 3 15 4 5 2 4 2" xfId="45761" xr:uid="{00000000-0005-0000-0000-000086450000}"/>
    <cellStyle name="Separador de milhares 3 15 4 5 2 5" xfId="13473" xr:uid="{00000000-0005-0000-0000-000087450000}"/>
    <cellStyle name="Separador de milhares 3 15 4 5 2 5 2" xfId="39666" xr:uid="{00000000-0005-0000-0000-000088450000}"/>
    <cellStyle name="Separador de milhares 3 15 4 5 2 6" xfId="33280" xr:uid="{00000000-0005-0000-0000-000089450000}"/>
    <cellStyle name="Separador de milhares 3 15 4 5 3" xfId="8760" xr:uid="{00000000-0005-0000-0000-00008A450000}"/>
    <cellStyle name="Separador de milhares 3 15 4 5 3 2" xfId="26974" xr:uid="{00000000-0005-0000-0000-00008B450000}"/>
    <cellStyle name="Separador de milhares 3 15 4 5 3 2 2" xfId="53155" xr:uid="{00000000-0005-0000-0000-00008C450000}"/>
    <cellStyle name="Separador de milhares 3 15 4 5 3 3" xfId="21060" xr:uid="{00000000-0005-0000-0000-00008D450000}"/>
    <cellStyle name="Separador de milhares 3 15 4 5 3 3 2" xfId="47247" xr:uid="{00000000-0005-0000-0000-00008E450000}"/>
    <cellStyle name="Separador de milhares 3 15 4 5 3 4" xfId="15146" xr:uid="{00000000-0005-0000-0000-00008F450000}"/>
    <cellStyle name="Separador de milhares 3 15 4 5 3 4 2" xfId="41339" xr:uid="{00000000-0005-0000-0000-000090450000}"/>
    <cellStyle name="Separador de milhares 3 15 4 5 3 5" xfId="34953" xr:uid="{00000000-0005-0000-0000-000091450000}"/>
    <cellStyle name="Separador de milhares 3 15 4 5 4" xfId="5385" xr:uid="{00000000-0005-0000-0000-000092450000}"/>
    <cellStyle name="Separador de milhares 3 15 4 5 4 2" xfId="24017" xr:uid="{00000000-0005-0000-0000-000093450000}"/>
    <cellStyle name="Separador de milhares 3 15 4 5 4 2 2" xfId="50201" xr:uid="{00000000-0005-0000-0000-000094450000}"/>
    <cellStyle name="Separador de milhares 3 15 4 5 4 3" xfId="31581" xr:uid="{00000000-0005-0000-0000-000095450000}"/>
    <cellStyle name="Separador de milhares 3 15 4 5 5" xfId="18103" xr:uid="{00000000-0005-0000-0000-000096450000}"/>
    <cellStyle name="Separador de milhares 3 15 4 5 5 2" xfId="44293" xr:uid="{00000000-0005-0000-0000-000097450000}"/>
    <cellStyle name="Separador de milhares 3 15 4 5 6" xfId="11772" xr:uid="{00000000-0005-0000-0000-000098450000}"/>
    <cellStyle name="Separador de milhares 3 15 4 5 6 2" xfId="37965" xr:uid="{00000000-0005-0000-0000-000099450000}"/>
    <cellStyle name="Separador de milhares 3 15 4 5 7" xfId="29883" xr:uid="{00000000-0005-0000-0000-00009A450000}"/>
    <cellStyle name="Separador de milhares 3 15 4 6" xfId="2877" xr:uid="{00000000-0005-0000-0000-00009B450000}"/>
    <cellStyle name="Separador de milhares 3 15 4 6 2" xfId="7231" xr:uid="{00000000-0005-0000-0000-00009C450000}"/>
    <cellStyle name="Separador de milhares 3 15 4 6 2 2" xfId="10375" xr:uid="{00000000-0005-0000-0000-00009D450000}"/>
    <cellStyle name="Separador de milhares 3 15 4 6 2 2 2" xfId="28589" xr:uid="{00000000-0005-0000-0000-00009E450000}"/>
    <cellStyle name="Separador de milhares 3 15 4 6 2 2 2 2" xfId="54770" xr:uid="{00000000-0005-0000-0000-00009F450000}"/>
    <cellStyle name="Separador de milhares 3 15 4 6 2 2 3" xfId="22675" xr:uid="{00000000-0005-0000-0000-0000A0450000}"/>
    <cellStyle name="Separador de milhares 3 15 4 6 2 2 3 2" xfId="48862" xr:uid="{00000000-0005-0000-0000-0000A1450000}"/>
    <cellStyle name="Separador de milhares 3 15 4 6 2 2 4" xfId="16761" xr:uid="{00000000-0005-0000-0000-0000A2450000}"/>
    <cellStyle name="Separador de milhares 3 15 4 6 2 2 4 2" xfId="42954" xr:uid="{00000000-0005-0000-0000-0000A3450000}"/>
    <cellStyle name="Separador de milhares 3 15 4 6 2 2 5" xfId="36568" xr:uid="{00000000-0005-0000-0000-0000A4450000}"/>
    <cellStyle name="Separador de milhares 3 15 4 6 2 3" xfId="25632" xr:uid="{00000000-0005-0000-0000-0000A5450000}"/>
    <cellStyle name="Separador de milhares 3 15 4 6 2 3 2" xfId="51816" xr:uid="{00000000-0005-0000-0000-0000A6450000}"/>
    <cellStyle name="Separador de milhares 3 15 4 6 2 4" xfId="19718" xr:uid="{00000000-0005-0000-0000-0000A7450000}"/>
    <cellStyle name="Separador de milhares 3 15 4 6 2 4 2" xfId="45908" xr:uid="{00000000-0005-0000-0000-0000A8450000}"/>
    <cellStyle name="Separador de milhares 3 15 4 6 2 5" xfId="13620" xr:uid="{00000000-0005-0000-0000-0000A9450000}"/>
    <cellStyle name="Separador de milhares 3 15 4 6 2 5 2" xfId="39813" xr:uid="{00000000-0005-0000-0000-0000AA450000}"/>
    <cellStyle name="Separador de milhares 3 15 4 6 2 6" xfId="33427" xr:uid="{00000000-0005-0000-0000-0000AB450000}"/>
    <cellStyle name="Separador de milhares 3 15 4 6 3" xfId="8907" xr:uid="{00000000-0005-0000-0000-0000AC450000}"/>
    <cellStyle name="Separador de milhares 3 15 4 6 3 2" xfId="27121" xr:uid="{00000000-0005-0000-0000-0000AD450000}"/>
    <cellStyle name="Separador de milhares 3 15 4 6 3 2 2" xfId="53302" xr:uid="{00000000-0005-0000-0000-0000AE450000}"/>
    <cellStyle name="Separador de milhares 3 15 4 6 3 3" xfId="21207" xr:uid="{00000000-0005-0000-0000-0000AF450000}"/>
    <cellStyle name="Separador de milhares 3 15 4 6 3 3 2" xfId="47394" xr:uid="{00000000-0005-0000-0000-0000B0450000}"/>
    <cellStyle name="Separador de milhares 3 15 4 6 3 4" xfId="15293" xr:uid="{00000000-0005-0000-0000-0000B1450000}"/>
    <cellStyle name="Separador de milhares 3 15 4 6 3 4 2" xfId="41486" xr:uid="{00000000-0005-0000-0000-0000B2450000}"/>
    <cellStyle name="Separador de milhares 3 15 4 6 3 5" xfId="35100" xr:uid="{00000000-0005-0000-0000-0000B3450000}"/>
    <cellStyle name="Separador de milhares 3 15 4 6 4" xfId="5532" xr:uid="{00000000-0005-0000-0000-0000B4450000}"/>
    <cellStyle name="Separador de milhares 3 15 4 6 4 2" xfId="24164" xr:uid="{00000000-0005-0000-0000-0000B5450000}"/>
    <cellStyle name="Separador de milhares 3 15 4 6 4 2 2" xfId="50348" xr:uid="{00000000-0005-0000-0000-0000B6450000}"/>
    <cellStyle name="Separador de milhares 3 15 4 6 4 3" xfId="31728" xr:uid="{00000000-0005-0000-0000-0000B7450000}"/>
    <cellStyle name="Separador de milhares 3 15 4 6 5" xfId="18250" xr:uid="{00000000-0005-0000-0000-0000B8450000}"/>
    <cellStyle name="Separador de milhares 3 15 4 6 5 2" xfId="44440" xr:uid="{00000000-0005-0000-0000-0000B9450000}"/>
    <cellStyle name="Separador de milhares 3 15 4 6 6" xfId="11919" xr:uid="{00000000-0005-0000-0000-0000BA450000}"/>
    <cellStyle name="Separador de milhares 3 15 4 6 6 2" xfId="38112" xr:uid="{00000000-0005-0000-0000-0000BB450000}"/>
    <cellStyle name="Separador de milhares 3 15 4 6 7" xfId="30030" xr:uid="{00000000-0005-0000-0000-0000BC450000}"/>
    <cellStyle name="Separador de milhares 3 15 4 7" xfId="3404" xr:uid="{00000000-0005-0000-0000-0000BD450000}"/>
    <cellStyle name="Separador de milhares 3 15 4 7 2" xfId="7378" xr:uid="{00000000-0005-0000-0000-0000BE450000}"/>
    <cellStyle name="Separador de milhares 3 15 4 7 2 2" xfId="10522" xr:uid="{00000000-0005-0000-0000-0000BF450000}"/>
    <cellStyle name="Separador de milhares 3 15 4 7 2 2 2" xfId="28736" xr:uid="{00000000-0005-0000-0000-0000C0450000}"/>
    <cellStyle name="Separador de milhares 3 15 4 7 2 2 2 2" xfId="54917" xr:uid="{00000000-0005-0000-0000-0000C1450000}"/>
    <cellStyle name="Separador de milhares 3 15 4 7 2 2 3" xfId="22822" xr:uid="{00000000-0005-0000-0000-0000C2450000}"/>
    <cellStyle name="Separador de milhares 3 15 4 7 2 2 3 2" xfId="49009" xr:uid="{00000000-0005-0000-0000-0000C3450000}"/>
    <cellStyle name="Separador de milhares 3 15 4 7 2 2 4" xfId="16908" xr:uid="{00000000-0005-0000-0000-0000C4450000}"/>
    <cellStyle name="Separador de milhares 3 15 4 7 2 2 4 2" xfId="43101" xr:uid="{00000000-0005-0000-0000-0000C5450000}"/>
    <cellStyle name="Separador de milhares 3 15 4 7 2 2 5" xfId="36715" xr:uid="{00000000-0005-0000-0000-0000C6450000}"/>
    <cellStyle name="Separador de milhares 3 15 4 7 2 3" xfId="25779" xr:uid="{00000000-0005-0000-0000-0000C7450000}"/>
    <cellStyle name="Separador de milhares 3 15 4 7 2 3 2" xfId="51963" xr:uid="{00000000-0005-0000-0000-0000C8450000}"/>
    <cellStyle name="Separador de milhares 3 15 4 7 2 4" xfId="19865" xr:uid="{00000000-0005-0000-0000-0000C9450000}"/>
    <cellStyle name="Separador de milhares 3 15 4 7 2 4 2" xfId="46055" xr:uid="{00000000-0005-0000-0000-0000CA450000}"/>
    <cellStyle name="Separador de milhares 3 15 4 7 2 5" xfId="13767" xr:uid="{00000000-0005-0000-0000-0000CB450000}"/>
    <cellStyle name="Separador de milhares 3 15 4 7 2 5 2" xfId="39960" xr:uid="{00000000-0005-0000-0000-0000CC450000}"/>
    <cellStyle name="Separador de milhares 3 15 4 7 2 6" xfId="33574" xr:uid="{00000000-0005-0000-0000-0000CD450000}"/>
    <cellStyle name="Separador de milhares 3 15 4 7 3" xfId="9054" xr:uid="{00000000-0005-0000-0000-0000CE450000}"/>
    <cellStyle name="Separador de milhares 3 15 4 7 3 2" xfId="27268" xr:uid="{00000000-0005-0000-0000-0000CF450000}"/>
    <cellStyle name="Separador de milhares 3 15 4 7 3 2 2" xfId="53449" xr:uid="{00000000-0005-0000-0000-0000D0450000}"/>
    <cellStyle name="Separador de milhares 3 15 4 7 3 3" xfId="21354" xr:uid="{00000000-0005-0000-0000-0000D1450000}"/>
    <cellStyle name="Separador de milhares 3 15 4 7 3 3 2" xfId="47541" xr:uid="{00000000-0005-0000-0000-0000D2450000}"/>
    <cellStyle name="Separador de milhares 3 15 4 7 3 4" xfId="15440" xr:uid="{00000000-0005-0000-0000-0000D3450000}"/>
    <cellStyle name="Separador de milhares 3 15 4 7 3 4 2" xfId="41633" xr:uid="{00000000-0005-0000-0000-0000D4450000}"/>
    <cellStyle name="Separador de milhares 3 15 4 7 3 5" xfId="35247" xr:uid="{00000000-0005-0000-0000-0000D5450000}"/>
    <cellStyle name="Separador de milhares 3 15 4 7 4" xfId="5679" xr:uid="{00000000-0005-0000-0000-0000D6450000}"/>
    <cellStyle name="Separador de milhares 3 15 4 7 4 2" xfId="24311" xr:uid="{00000000-0005-0000-0000-0000D7450000}"/>
    <cellStyle name="Separador de milhares 3 15 4 7 4 2 2" xfId="50495" xr:uid="{00000000-0005-0000-0000-0000D8450000}"/>
    <cellStyle name="Separador de milhares 3 15 4 7 4 3" xfId="31875" xr:uid="{00000000-0005-0000-0000-0000D9450000}"/>
    <cellStyle name="Separador de milhares 3 15 4 7 5" xfId="18397" xr:uid="{00000000-0005-0000-0000-0000DA450000}"/>
    <cellStyle name="Separador de milhares 3 15 4 7 5 2" xfId="44587" xr:uid="{00000000-0005-0000-0000-0000DB450000}"/>
    <cellStyle name="Separador de milhares 3 15 4 7 6" xfId="12066" xr:uid="{00000000-0005-0000-0000-0000DC450000}"/>
    <cellStyle name="Separador de milhares 3 15 4 7 6 2" xfId="38259" xr:uid="{00000000-0005-0000-0000-0000DD450000}"/>
    <cellStyle name="Separador de milhares 3 15 4 7 7" xfId="30177" xr:uid="{00000000-0005-0000-0000-0000DE450000}"/>
    <cellStyle name="Separador de milhares 3 15 4 8" xfId="3931" xr:uid="{00000000-0005-0000-0000-0000DF450000}"/>
    <cellStyle name="Separador de milhares 3 15 4 8 2" xfId="7525" xr:uid="{00000000-0005-0000-0000-0000E0450000}"/>
    <cellStyle name="Separador de milhares 3 15 4 8 2 2" xfId="10669" xr:uid="{00000000-0005-0000-0000-0000E1450000}"/>
    <cellStyle name="Separador de milhares 3 15 4 8 2 2 2" xfId="28883" xr:uid="{00000000-0005-0000-0000-0000E2450000}"/>
    <cellStyle name="Separador de milhares 3 15 4 8 2 2 2 2" xfId="55064" xr:uid="{00000000-0005-0000-0000-0000E3450000}"/>
    <cellStyle name="Separador de milhares 3 15 4 8 2 2 3" xfId="22969" xr:uid="{00000000-0005-0000-0000-0000E4450000}"/>
    <cellStyle name="Separador de milhares 3 15 4 8 2 2 3 2" xfId="49156" xr:uid="{00000000-0005-0000-0000-0000E5450000}"/>
    <cellStyle name="Separador de milhares 3 15 4 8 2 2 4" xfId="17055" xr:uid="{00000000-0005-0000-0000-0000E6450000}"/>
    <cellStyle name="Separador de milhares 3 15 4 8 2 2 4 2" xfId="43248" xr:uid="{00000000-0005-0000-0000-0000E7450000}"/>
    <cellStyle name="Separador de milhares 3 15 4 8 2 2 5" xfId="36862" xr:uid="{00000000-0005-0000-0000-0000E8450000}"/>
    <cellStyle name="Separador de milhares 3 15 4 8 2 3" xfId="25926" xr:uid="{00000000-0005-0000-0000-0000E9450000}"/>
    <cellStyle name="Separador de milhares 3 15 4 8 2 3 2" xfId="52110" xr:uid="{00000000-0005-0000-0000-0000EA450000}"/>
    <cellStyle name="Separador de milhares 3 15 4 8 2 4" xfId="20012" xr:uid="{00000000-0005-0000-0000-0000EB450000}"/>
    <cellStyle name="Separador de milhares 3 15 4 8 2 4 2" xfId="46202" xr:uid="{00000000-0005-0000-0000-0000EC450000}"/>
    <cellStyle name="Separador de milhares 3 15 4 8 2 5" xfId="13914" xr:uid="{00000000-0005-0000-0000-0000ED450000}"/>
    <cellStyle name="Separador de milhares 3 15 4 8 2 5 2" xfId="40107" xr:uid="{00000000-0005-0000-0000-0000EE450000}"/>
    <cellStyle name="Separador de milhares 3 15 4 8 2 6" xfId="33721" xr:uid="{00000000-0005-0000-0000-0000EF450000}"/>
    <cellStyle name="Separador de milhares 3 15 4 8 3" xfId="9201" xr:uid="{00000000-0005-0000-0000-0000F0450000}"/>
    <cellStyle name="Separador de milhares 3 15 4 8 3 2" xfId="27415" xr:uid="{00000000-0005-0000-0000-0000F1450000}"/>
    <cellStyle name="Separador de milhares 3 15 4 8 3 2 2" xfId="53596" xr:uid="{00000000-0005-0000-0000-0000F2450000}"/>
    <cellStyle name="Separador de milhares 3 15 4 8 3 3" xfId="21501" xr:uid="{00000000-0005-0000-0000-0000F3450000}"/>
    <cellStyle name="Separador de milhares 3 15 4 8 3 3 2" xfId="47688" xr:uid="{00000000-0005-0000-0000-0000F4450000}"/>
    <cellStyle name="Separador de milhares 3 15 4 8 3 4" xfId="15587" xr:uid="{00000000-0005-0000-0000-0000F5450000}"/>
    <cellStyle name="Separador de milhares 3 15 4 8 3 4 2" xfId="41780" xr:uid="{00000000-0005-0000-0000-0000F6450000}"/>
    <cellStyle name="Separador de milhares 3 15 4 8 3 5" xfId="35394" xr:uid="{00000000-0005-0000-0000-0000F7450000}"/>
    <cellStyle name="Separador de milhares 3 15 4 8 4" xfId="5826" xr:uid="{00000000-0005-0000-0000-0000F8450000}"/>
    <cellStyle name="Separador de milhares 3 15 4 8 4 2" xfId="24458" xr:uid="{00000000-0005-0000-0000-0000F9450000}"/>
    <cellStyle name="Separador de milhares 3 15 4 8 4 2 2" xfId="50642" xr:uid="{00000000-0005-0000-0000-0000FA450000}"/>
    <cellStyle name="Separador de milhares 3 15 4 8 4 3" xfId="32022" xr:uid="{00000000-0005-0000-0000-0000FB450000}"/>
    <cellStyle name="Separador de milhares 3 15 4 8 5" xfId="18544" xr:uid="{00000000-0005-0000-0000-0000FC450000}"/>
    <cellStyle name="Separador de milhares 3 15 4 8 5 2" xfId="44734" xr:uid="{00000000-0005-0000-0000-0000FD450000}"/>
    <cellStyle name="Separador de milhares 3 15 4 8 6" xfId="12213" xr:uid="{00000000-0005-0000-0000-0000FE450000}"/>
    <cellStyle name="Separador de milhares 3 15 4 8 6 2" xfId="38406" xr:uid="{00000000-0005-0000-0000-0000FF450000}"/>
    <cellStyle name="Separador de milhares 3 15 4 8 7" xfId="30324" xr:uid="{00000000-0005-0000-0000-000000460000}"/>
    <cellStyle name="Separador de milhares 3 15 4 9" xfId="684" xr:uid="{00000000-0005-0000-0000-000001460000}"/>
    <cellStyle name="Separador de milhares 3 15 4 9 2" xfId="6619" xr:uid="{00000000-0005-0000-0000-000002460000}"/>
    <cellStyle name="Separador de milhares 3 15 4 9 2 2" xfId="9766" xr:uid="{00000000-0005-0000-0000-000003460000}"/>
    <cellStyle name="Separador de milhares 3 15 4 9 2 2 2" xfId="27980" xr:uid="{00000000-0005-0000-0000-000004460000}"/>
    <cellStyle name="Separador de milhares 3 15 4 9 2 2 2 2" xfId="54161" xr:uid="{00000000-0005-0000-0000-000005460000}"/>
    <cellStyle name="Separador de milhares 3 15 4 9 2 2 3" xfId="22066" xr:uid="{00000000-0005-0000-0000-000006460000}"/>
    <cellStyle name="Separador de milhares 3 15 4 9 2 2 3 2" xfId="48253" xr:uid="{00000000-0005-0000-0000-000007460000}"/>
    <cellStyle name="Separador de milhares 3 15 4 9 2 2 4" xfId="16152" xr:uid="{00000000-0005-0000-0000-000008460000}"/>
    <cellStyle name="Separador de milhares 3 15 4 9 2 2 4 2" xfId="42345" xr:uid="{00000000-0005-0000-0000-000009460000}"/>
    <cellStyle name="Separador de milhares 3 15 4 9 2 2 5" xfId="35959" xr:uid="{00000000-0005-0000-0000-00000A460000}"/>
    <cellStyle name="Separador de milhares 3 15 4 9 2 3" xfId="25023" xr:uid="{00000000-0005-0000-0000-00000B460000}"/>
    <cellStyle name="Separador de milhares 3 15 4 9 2 3 2" xfId="51207" xr:uid="{00000000-0005-0000-0000-00000C460000}"/>
    <cellStyle name="Separador de milhares 3 15 4 9 2 4" xfId="19109" xr:uid="{00000000-0005-0000-0000-00000D460000}"/>
    <cellStyle name="Separador de milhares 3 15 4 9 2 4 2" xfId="45299" xr:uid="{00000000-0005-0000-0000-00000E460000}"/>
    <cellStyle name="Separador de milhares 3 15 4 9 2 5" xfId="13008" xr:uid="{00000000-0005-0000-0000-00000F460000}"/>
    <cellStyle name="Separador de milhares 3 15 4 9 2 5 2" xfId="39201" xr:uid="{00000000-0005-0000-0000-000010460000}"/>
    <cellStyle name="Separador de milhares 3 15 4 9 2 6" xfId="32815" xr:uid="{00000000-0005-0000-0000-000011460000}"/>
    <cellStyle name="Separador de milhares 3 15 4 9 3" xfId="8298" xr:uid="{00000000-0005-0000-0000-000012460000}"/>
    <cellStyle name="Separador de milhares 3 15 4 9 3 2" xfId="26512" xr:uid="{00000000-0005-0000-0000-000013460000}"/>
    <cellStyle name="Separador de milhares 3 15 4 9 3 2 2" xfId="52693" xr:uid="{00000000-0005-0000-0000-000014460000}"/>
    <cellStyle name="Separador de milhares 3 15 4 9 3 3" xfId="20598" xr:uid="{00000000-0005-0000-0000-000015460000}"/>
    <cellStyle name="Separador de milhares 3 15 4 9 3 3 2" xfId="46785" xr:uid="{00000000-0005-0000-0000-000016460000}"/>
    <cellStyle name="Separador de milhares 3 15 4 9 3 4" xfId="14684" xr:uid="{00000000-0005-0000-0000-000017460000}"/>
    <cellStyle name="Separador de milhares 3 15 4 9 3 4 2" xfId="40877" xr:uid="{00000000-0005-0000-0000-000018460000}"/>
    <cellStyle name="Separador de milhares 3 15 4 9 3 5" xfId="34491" xr:uid="{00000000-0005-0000-0000-000019460000}"/>
    <cellStyle name="Separador de milhares 3 15 4 9 4" xfId="4920" xr:uid="{00000000-0005-0000-0000-00001A460000}"/>
    <cellStyle name="Separador de milhares 3 15 4 9 4 2" xfId="23555" xr:uid="{00000000-0005-0000-0000-00001B460000}"/>
    <cellStyle name="Separador de milhares 3 15 4 9 4 2 2" xfId="49739" xr:uid="{00000000-0005-0000-0000-00001C460000}"/>
    <cellStyle name="Separador de milhares 3 15 4 9 4 3" xfId="31116" xr:uid="{00000000-0005-0000-0000-00001D460000}"/>
    <cellStyle name="Separador de milhares 3 15 4 9 5" xfId="17641" xr:uid="{00000000-0005-0000-0000-00001E460000}"/>
    <cellStyle name="Separador de milhares 3 15 4 9 5 2" xfId="43831" xr:uid="{00000000-0005-0000-0000-00001F460000}"/>
    <cellStyle name="Separador de milhares 3 15 4 9 6" xfId="11307" xr:uid="{00000000-0005-0000-0000-000020460000}"/>
    <cellStyle name="Separador de milhares 3 15 4 9 6 2" xfId="37500" xr:uid="{00000000-0005-0000-0000-000021460000}"/>
    <cellStyle name="Separador de milhares 3 15 4 9 7" xfId="29418" xr:uid="{00000000-0005-0000-0000-000022460000}"/>
    <cellStyle name="Separador de milhares 3 15 5" xfId="646" xr:uid="{00000000-0005-0000-0000-000023460000}"/>
    <cellStyle name="Separador de milhares 3 15 5 10" xfId="4884" xr:uid="{00000000-0005-0000-0000-000024460000}"/>
    <cellStyle name="Separador de milhares 3 15 5 10 2" xfId="23518" xr:uid="{00000000-0005-0000-0000-000025460000}"/>
    <cellStyle name="Separador de milhares 3 15 5 10 2 2" xfId="49705" xr:uid="{00000000-0005-0000-0000-000026460000}"/>
    <cellStyle name="Separador de milhares 3 15 5 10 3" xfId="31082" xr:uid="{00000000-0005-0000-0000-000027460000}"/>
    <cellStyle name="Separador de milhares 3 15 5 11" xfId="17604" xr:uid="{00000000-0005-0000-0000-000028460000}"/>
    <cellStyle name="Separador de milhares 3 15 5 11 2" xfId="43797" xr:uid="{00000000-0005-0000-0000-000029460000}"/>
    <cellStyle name="Separador de milhares 3 15 5 12" xfId="11273" xr:uid="{00000000-0005-0000-0000-00002A460000}"/>
    <cellStyle name="Separador de milhares 3 15 5 12 2" xfId="37466" xr:uid="{00000000-0005-0000-0000-00002B460000}"/>
    <cellStyle name="Separador de milhares 3 15 5 13" xfId="29384" xr:uid="{00000000-0005-0000-0000-00002C460000}"/>
    <cellStyle name="Separador de milhares 3 15 5 2" xfId="1469" xr:uid="{00000000-0005-0000-0000-00002D460000}"/>
    <cellStyle name="Separador de milhares 3 15 5 2 2" xfId="6836" xr:uid="{00000000-0005-0000-0000-00002E460000}"/>
    <cellStyle name="Separador de milhares 3 15 5 2 2 2" xfId="9983" xr:uid="{00000000-0005-0000-0000-00002F460000}"/>
    <cellStyle name="Separador de milhares 3 15 5 2 2 2 2" xfId="28197" xr:uid="{00000000-0005-0000-0000-000030460000}"/>
    <cellStyle name="Separador de milhares 3 15 5 2 2 2 2 2" xfId="54378" xr:uid="{00000000-0005-0000-0000-000031460000}"/>
    <cellStyle name="Separador de milhares 3 15 5 2 2 2 3" xfId="22283" xr:uid="{00000000-0005-0000-0000-000032460000}"/>
    <cellStyle name="Separador de milhares 3 15 5 2 2 2 3 2" xfId="48470" xr:uid="{00000000-0005-0000-0000-000033460000}"/>
    <cellStyle name="Separador de milhares 3 15 5 2 2 2 4" xfId="16369" xr:uid="{00000000-0005-0000-0000-000034460000}"/>
    <cellStyle name="Separador de milhares 3 15 5 2 2 2 4 2" xfId="42562" xr:uid="{00000000-0005-0000-0000-000035460000}"/>
    <cellStyle name="Separador de milhares 3 15 5 2 2 2 5" xfId="36176" xr:uid="{00000000-0005-0000-0000-000036460000}"/>
    <cellStyle name="Separador de milhares 3 15 5 2 2 3" xfId="25240" xr:uid="{00000000-0005-0000-0000-000037460000}"/>
    <cellStyle name="Separador de milhares 3 15 5 2 2 3 2" xfId="51424" xr:uid="{00000000-0005-0000-0000-000038460000}"/>
    <cellStyle name="Separador de milhares 3 15 5 2 2 4" xfId="19326" xr:uid="{00000000-0005-0000-0000-000039460000}"/>
    <cellStyle name="Separador de milhares 3 15 5 2 2 4 2" xfId="45516" xr:uid="{00000000-0005-0000-0000-00003A460000}"/>
    <cellStyle name="Separador de milhares 3 15 5 2 2 5" xfId="13225" xr:uid="{00000000-0005-0000-0000-00003B460000}"/>
    <cellStyle name="Separador de milhares 3 15 5 2 2 5 2" xfId="39418" xr:uid="{00000000-0005-0000-0000-00003C460000}"/>
    <cellStyle name="Separador de milhares 3 15 5 2 2 6" xfId="33032" xr:uid="{00000000-0005-0000-0000-00003D460000}"/>
    <cellStyle name="Separador de milhares 3 15 5 2 3" xfId="8515" xr:uid="{00000000-0005-0000-0000-00003E460000}"/>
    <cellStyle name="Separador de milhares 3 15 5 2 3 2" xfId="26729" xr:uid="{00000000-0005-0000-0000-00003F460000}"/>
    <cellStyle name="Separador de milhares 3 15 5 2 3 2 2" xfId="52910" xr:uid="{00000000-0005-0000-0000-000040460000}"/>
    <cellStyle name="Separador de milhares 3 15 5 2 3 3" xfId="20815" xr:uid="{00000000-0005-0000-0000-000041460000}"/>
    <cellStyle name="Separador de milhares 3 15 5 2 3 3 2" xfId="47002" xr:uid="{00000000-0005-0000-0000-000042460000}"/>
    <cellStyle name="Separador de milhares 3 15 5 2 3 4" xfId="14901" xr:uid="{00000000-0005-0000-0000-000043460000}"/>
    <cellStyle name="Separador de milhares 3 15 5 2 3 4 2" xfId="41094" xr:uid="{00000000-0005-0000-0000-000044460000}"/>
    <cellStyle name="Separador de milhares 3 15 5 2 3 5" xfId="34708" xr:uid="{00000000-0005-0000-0000-000045460000}"/>
    <cellStyle name="Separador de milhares 3 15 5 2 4" xfId="5137" xr:uid="{00000000-0005-0000-0000-000046460000}"/>
    <cellStyle name="Separador de milhares 3 15 5 2 4 2" xfId="23772" xr:uid="{00000000-0005-0000-0000-000047460000}"/>
    <cellStyle name="Separador de milhares 3 15 5 2 4 2 2" xfId="49956" xr:uid="{00000000-0005-0000-0000-000048460000}"/>
    <cellStyle name="Separador de milhares 3 15 5 2 4 3" xfId="31333" xr:uid="{00000000-0005-0000-0000-000049460000}"/>
    <cellStyle name="Separador de milhares 3 15 5 2 5" xfId="17858" xr:uid="{00000000-0005-0000-0000-00004A460000}"/>
    <cellStyle name="Separador de milhares 3 15 5 2 5 2" xfId="44048" xr:uid="{00000000-0005-0000-0000-00004B460000}"/>
    <cellStyle name="Separador de milhares 3 15 5 2 6" xfId="11524" xr:uid="{00000000-0005-0000-0000-00004C460000}"/>
    <cellStyle name="Separador de milhares 3 15 5 2 6 2" xfId="37717" xr:uid="{00000000-0005-0000-0000-00004D460000}"/>
    <cellStyle name="Separador de milhares 3 15 5 2 7" xfId="29635" xr:uid="{00000000-0005-0000-0000-00004E460000}"/>
    <cellStyle name="Separador de milhares 3 15 5 3" xfId="1904" xr:uid="{00000000-0005-0000-0000-00004F460000}"/>
    <cellStyle name="Separador de milhares 3 15 5 3 2" xfId="6955" xr:uid="{00000000-0005-0000-0000-000050460000}"/>
    <cellStyle name="Separador de milhares 3 15 5 3 2 2" xfId="10102" xr:uid="{00000000-0005-0000-0000-000051460000}"/>
    <cellStyle name="Separador de milhares 3 15 5 3 2 2 2" xfId="28316" xr:uid="{00000000-0005-0000-0000-000052460000}"/>
    <cellStyle name="Separador de milhares 3 15 5 3 2 2 2 2" xfId="54497" xr:uid="{00000000-0005-0000-0000-000053460000}"/>
    <cellStyle name="Separador de milhares 3 15 5 3 2 2 3" xfId="22402" xr:uid="{00000000-0005-0000-0000-000054460000}"/>
    <cellStyle name="Separador de milhares 3 15 5 3 2 2 3 2" xfId="48589" xr:uid="{00000000-0005-0000-0000-000055460000}"/>
    <cellStyle name="Separador de milhares 3 15 5 3 2 2 4" xfId="16488" xr:uid="{00000000-0005-0000-0000-000056460000}"/>
    <cellStyle name="Separador de milhares 3 15 5 3 2 2 4 2" xfId="42681" xr:uid="{00000000-0005-0000-0000-000057460000}"/>
    <cellStyle name="Separador de milhares 3 15 5 3 2 2 5" xfId="36295" xr:uid="{00000000-0005-0000-0000-000058460000}"/>
    <cellStyle name="Separador de milhares 3 15 5 3 2 3" xfId="25359" xr:uid="{00000000-0005-0000-0000-000059460000}"/>
    <cellStyle name="Separador de milhares 3 15 5 3 2 3 2" xfId="51543" xr:uid="{00000000-0005-0000-0000-00005A460000}"/>
    <cellStyle name="Separador de milhares 3 15 5 3 2 4" xfId="19445" xr:uid="{00000000-0005-0000-0000-00005B460000}"/>
    <cellStyle name="Separador de milhares 3 15 5 3 2 4 2" xfId="45635" xr:uid="{00000000-0005-0000-0000-00005C460000}"/>
    <cellStyle name="Separador de milhares 3 15 5 3 2 5" xfId="13344" xr:uid="{00000000-0005-0000-0000-00005D460000}"/>
    <cellStyle name="Separador de milhares 3 15 5 3 2 5 2" xfId="39537" xr:uid="{00000000-0005-0000-0000-00005E460000}"/>
    <cellStyle name="Separador de milhares 3 15 5 3 2 6" xfId="33151" xr:uid="{00000000-0005-0000-0000-00005F460000}"/>
    <cellStyle name="Separador de milhares 3 15 5 3 3" xfId="8634" xr:uid="{00000000-0005-0000-0000-000060460000}"/>
    <cellStyle name="Separador de milhares 3 15 5 3 3 2" xfId="26848" xr:uid="{00000000-0005-0000-0000-000061460000}"/>
    <cellStyle name="Separador de milhares 3 15 5 3 3 2 2" xfId="53029" xr:uid="{00000000-0005-0000-0000-000062460000}"/>
    <cellStyle name="Separador de milhares 3 15 5 3 3 3" xfId="20934" xr:uid="{00000000-0005-0000-0000-000063460000}"/>
    <cellStyle name="Separador de milhares 3 15 5 3 3 3 2" xfId="47121" xr:uid="{00000000-0005-0000-0000-000064460000}"/>
    <cellStyle name="Separador de milhares 3 15 5 3 3 4" xfId="15020" xr:uid="{00000000-0005-0000-0000-000065460000}"/>
    <cellStyle name="Separador de milhares 3 15 5 3 3 4 2" xfId="41213" xr:uid="{00000000-0005-0000-0000-000066460000}"/>
    <cellStyle name="Separador de milhares 3 15 5 3 3 5" xfId="34827" xr:uid="{00000000-0005-0000-0000-000067460000}"/>
    <cellStyle name="Separador de milhares 3 15 5 3 4" xfId="5256" xr:uid="{00000000-0005-0000-0000-000068460000}"/>
    <cellStyle name="Separador de milhares 3 15 5 3 4 2" xfId="23891" xr:uid="{00000000-0005-0000-0000-000069460000}"/>
    <cellStyle name="Separador de milhares 3 15 5 3 4 2 2" xfId="50075" xr:uid="{00000000-0005-0000-0000-00006A460000}"/>
    <cellStyle name="Separador de milhares 3 15 5 3 4 3" xfId="31452" xr:uid="{00000000-0005-0000-0000-00006B460000}"/>
    <cellStyle name="Separador de milhares 3 15 5 3 5" xfId="17977" xr:uid="{00000000-0005-0000-0000-00006C460000}"/>
    <cellStyle name="Separador de milhares 3 15 5 3 5 2" xfId="44167" xr:uid="{00000000-0005-0000-0000-00006D460000}"/>
    <cellStyle name="Separador de milhares 3 15 5 3 6" xfId="11643" xr:uid="{00000000-0005-0000-0000-00006E460000}"/>
    <cellStyle name="Separador de milhares 3 15 5 3 6 2" xfId="37836" xr:uid="{00000000-0005-0000-0000-00006F460000}"/>
    <cellStyle name="Separador de milhares 3 15 5 3 7" xfId="29754" xr:uid="{00000000-0005-0000-0000-000070460000}"/>
    <cellStyle name="Separador de milhares 3 15 5 4" xfId="2434" xr:uid="{00000000-0005-0000-0000-000071460000}"/>
    <cellStyle name="Separador de milhares 3 15 5 4 2" xfId="7105" xr:uid="{00000000-0005-0000-0000-000072460000}"/>
    <cellStyle name="Separador de milhares 3 15 5 4 2 2" xfId="10249" xr:uid="{00000000-0005-0000-0000-000073460000}"/>
    <cellStyle name="Separador de milhares 3 15 5 4 2 2 2" xfId="28463" xr:uid="{00000000-0005-0000-0000-000074460000}"/>
    <cellStyle name="Separador de milhares 3 15 5 4 2 2 2 2" xfId="54644" xr:uid="{00000000-0005-0000-0000-000075460000}"/>
    <cellStyle name="Separador de milhares 3 15 5 4 2 2 3" xfId="22549" xr:uid="{00000000-0005-0000-0000-000076460000}"/>
    <cellStyle name="Separador de milhares 3 15 5 4 2 2 3 2" xfId="48736" xr:uid="{00000000-0005-0000-0000-000077460000}"/>
    <cellStyle name="Separador de milhares 3 15 5 4 2 2 4" xfId="16635" xr:uid="{00000000-0005-0000-0000-000078460000}"/>
    <cellStyle name="Separador de milhares 3 15 5 4 2 2 4 2" xfId="42828" xr:uid="{00000000-0005-0000-0000-000079460000}"/>
    <cellStyle name="Separador de milhares 3 15 5 4 2 2 5" xfId="36442" xr:uid="{00000000-0005-0000-0000-00007A460000}"/>
    <cellStyle name="Separador de milhares 3 15 5 4 2 3" xfId="25506" xr:uid="{00000000-0005-0000-0000-00007B460000}"/>
    <cellStyle name="Separador de milhares 3 15 5 4 2 3 2" xfId="51690" xr:uid="{00000000-0005-0000-0000-00007C460000}"/>
    <cellStyle name="Separador de milhares 3 15 5 4 2 4" xfId="19592" xr:uid="{00000000-0005-0000-0000-00007D460000}"/>
    <cellStyle name="Separador de milhares 3 15 5 4 2 4 2" xfId="45782" xr:uid="{00000000-0005-0000-0000-00007E460000}"/>
    <cellStyle name="Separador de milhares 3 15 5 4 2 5" xfId="13494" xr:uid="{00000000-0005-0000-0000-00007F460000}"/>
    <cellStyle name="Separador de milhares 3 15 5 4 2 5 2" xfId="39687" xr:uid="{00000000-0005-0000-0000-000080460000}"/>
    <cellStyle name="Separador de milhares 3 15 5 4 2 6" xfId="33301" xr:uid="{00000000-0005-0000-0000-000081460000}"/>
    <cellStyle name="Separador de milhares 3 15 5 4 3" xfId="8781" xr:uid="{00000000-0005-0000-0000-000082460000}"/>
    <cellStyle name="Separador de milhares 3 15 5 4 3 2" xfId="26995" xr:uid="{00000000-0005-0000-0000-000083460000}"/>
    <cellStyle name="Separador de milhares 3 15 5 4 3 2 2" xfId="53176" xr:uid="{00000000-0005-0000-0000-000084460000}"/>
    <cellStyle name="Separador de milhares 3 15 5 4 3 3" xfId="21081" xr:uid="{00000000-0005-0000-0000-000085460000}"/>
    <cellStyle name="Separador de milhares 3 15 5 4 3 3 2" xfId="47268" xr:uid="{00000000-0005-0000-0000-000086460000}"/>
    <cellStyle name="Separador de milhares 3 15 5 4 3 4" xfId="15167" xr:uid="{00000000-0005-0000-0000-000087460000}"/>
    <cellStyle name="Separador de milhares 3 15 5 4 3 4 2" xfId="41360" xr:uid="{00000000-0005-0000-0000-000088460000}"/>
    <cellStyle name="Separador de milhares 3 15 5 4 3 5" xfId="34974" xr:uid="{00000000-0005-0000-0000-000089460000}"/>
    <cellStyle name="Separador de milhares 3 15 5 4 4" xfId="5406" xr:uid="{00000000-0005-0000-0000-00008A460000}"/>
    <cellStyle name="Separador de milhares 3 15 5 4 4 2" xfId="24038" xr:uid="{00000000-0005-0000-0000-00008B460000}"/>
    <cellStyle name="Separador de milhares 3 15 5 4 4 2 2" xfId="50222" xr:uid="{00000000-0005-0000-0000-00008C460000}"/>
    <cellStyle name="Separador de milhares 3 15 5 4 4 3" xfId="31602" xr:uid="{00000000-0005-0000-0000-00008D460000}"/>
    <cellStyle name="Separador de milhares 3 15 5 4 5" xfId="18124" xr:uid="{00000000-0005-0000-0000-00008E460000}"/>
    <cellStyle name="Separador de milhares 3 15 5 4 5 2" xfId="44314" xr:uid="{00000000-0005-0000-0000-00008F460000}"/>
    <cellStyle name="Separador de milhares 3 15 5 4 6" xfId="11793" xr:uid="{00000000-0005-0000-0000-000090460000}"/>
    <cellStyle name="Separador de milhares 3 15 5 4 6 2" xfId="37986" xr:uid="{00000000-0005-0000-0000-000091460000}"/>
    <cellStyle name="Separador de milhares 3 15 5 4 7" xfId="29904" xr:uid="{00000000-0005-0000-0000-000092460000}"/>
    <cellStyle name="Separador de milhares 3 15 5 5" xfId="2961" xr:uid="{00000000-0005-0000-0000-000093460000}"/>
    <cellStyle name="Separador de milhares 3 15 5 5 2" xfId="7252" xr:uid="{00000000-0005-0000-0000-000094460000}"/>
    <cellStyle name="Separador de milhares 3 15 5 5 2 2" xfId="10396" xr:uid="{00000000-0005-0000-0000-000095460000}"/>
    <cellStyle name="Separador de milhares 3 15 5 5 2 2 2" xfId="28610" xr:uid="{00000000-0005-0000-0000-000096460000}"/>
    <cellStyle name="Separador de milhares 3 15 5 5 2 2 2 2" xfId="54791" xr:uid="{00000000-0005-0000-0000-000097460000}"/>
    <cellStyle name="Separador de milhares 3 15 5 5 2 2 3" xfId="22696" xr:uid="{00000000-0005-0000-0000-000098460000}"/>
    <cellStyle name="Separador de milhares 3 15 5 5 2 2 3 2" xfId="48883" xr:uid="{00000000-0005-0000-0000-000099460000}"/>
    <cellStyle name="Separador de milhares 3 15 5 5 2 2 4" xfId="16782" xr:uid="{00000000-0005-0000-0000-00009A460000}"/>
    <cellStyle name="Separador de milhares 3 15 5 5 2 2 4 2" xfId="42975" xr:uid="{00000000-0005-0000-0000-00009B460000}"/>
    <cellStyle name="Separador de milhares 3 15 5 5 2 2 5" xfId="36589" xr:uid="{00000000-0005-0000-0000-00009C460000}"/>
    <cellStyle name="Separador de milhares 3 15 5 5 2 3" xfId="25653" xr:uid="{00000000-0005-0000-0000-00009D460000}"/>
    <cellStyle name="Separador de milhares 3 15 5 5 2 3 2" xfId="51837" xr:uid="{00000000-0005-0000-0000-00009E460000}"/>
    <cellStyle name="Separador de milhares 3 15 5 5 2 4" xfId="19739" xr:uid="{00000000-0005-0000-0000-00009F460000}"/>
    <cellStyle name="Separador de milhares 3 15 5 5 2 4 2" xfId="45929" xr:uid="{00000000-0005-0000-0000-0000A0460000}"/>
    <cellStyle name="Separador de milhares 3 15 5 5 2 5" xfId="13641" xr:uid="{00000000-0005-0000-0000-0000A1460000}"/>
    <cellStyle name="Separador de milhares 3 15 5 5 2 5 2" xfId="39834" xr:uid="{00000000-0005-0000-0000-0000A2460000}"/>
    <cellStyle name="Separador de milhares 3 15 5 5 2 6" xfId="33448" xr:uid="{00000000-0005-0000-0000-0000A3460000}"/>
    <cellStyle name="Separador de milhares 3 15 5 5 3" xfId="8928" xr:uid="{00000000-0005-0000-0000-0000A4460000}"/>
    <cellStyle name="Separador de milhares 3 15 5 5 3 2" xfId="27142" xr:uid="{00000000-0005-0000-0000-0000A5460000}"/>
    <cellStyle name="Separador de milhares 3 15 5 5 3 2 2" xfId="53323" xr:uid="{00000000-0005-0000-0000-0000A6460000}"/>
    <cellStyle name="Separador de milhares 3 15 5 5 3 3" xfId="21228" xr:uid="{00000000-0005-0000-0000-0000A7460000}"/>
    <cellStyle name="Separador de milhares 3 15 5 5 3 3 2" xfId="47415" xr:uid="{00000000-0005-0000-0000-0000A8460000}"/>
    <cellStyle name="Separador de milhares 3 15 5 5 3 4" xfId="15314" xr:uid="{00000000-0005-0000-0000-0000A9460000}"/>
    <cellStyle name="Separador de milhares 3 15 5 5 3 4 2" xfId="41507" xr:uid="{00000000-0005-0000-0000-0000AA460000}"/>
    <cellStyle name="Separador de milhares 3 15 5 5 3 5" xfId="35121" xr:uid="{00000000-0005-0000-0000-0000AB460000}"/>
    <cellStyle name="Separador de milhares 3 15 5 5 4" xfId="5553" xr:uid="{00000000-0005-0000-0000-0000AC460000}"/>
    <cellStyle name="Separador de milhares 3 15 5 5 4 2" xfId="24185" xr:uid="{00000000-0005-0000-0000-0000AD460000}"/>
    <cellStyle name="Separador de milhares 3 15 5 5 4 2 2" xfId="50369" xr:uid="{00000000-0005-0000-0000-0000AE460000}"/>
    <cellStyle name="Separador de milhares 3 15 5 5 4 3" xfId="31749" xr:uid="{00000000-0005-0000-0000-0000AF460000}"/>
    <cellStyle name="Separador de milhares 3 15 5 5 5" xfId="18271" xr:uid="{00000000-0005-0000-0000-0000B0460000}"/>
    <cellStyle name="Separador de milhares 3 15 5 5 5 2" xfId="44461" xr:uid="{00000000-0005-0000-0000-0000B1460000}"/>
    <cellStyle name="Separador de milhares 3 15 5 5 6" xfId="11940" xr:uid="{00000000-0005-0000-0000-0000B2460000}"/>
    <cellStyle name="Separador de milhares 3 15 5 5 6 2" xfId="38133" xr:uid="{00000000-0005-0000-0000-0000B3460000}"/>
    <cellStyle name="Separador de milhares 3 15 5 5 7" xfId="30051" xr:uid="{00000000-0005-0000-0000-0000B4460000}"/>
    <cellStyle name="Separador de milhares 3 15 5 6" xfId="3488" xr:uid="{00000000-0005-0000-0000-0000B5460000}"/>
    <cellStyle name="Separador de milhares 3 15 5 6 2" xfId="7399" xr:uid="{00000000-0005-0000-0000-0000B6460000}"/>
    <cellStyle name="Separador de milhares 3 15 5 6 2 2" xfId="10543" xr:uid="{00000000-0005-0000-0000-0000B7460000}"/>
    <cellStyle name="Separador de milhares 3 15 5 6 2 2 2" xfId="28757" xr:uid="{00000000-0005-0000-0000-0000B8460000}"/>
    <cellStyle name="Separador de milhares 3 15 5 6 2 2 2 2" xfId="54938" xr:uid="{00000000-0005-0000-0000-0000B9460000}"/>
    <cellStyle name="Separador de milhares 3 15 5 6 2 2 3" xfId="22843" xr:uid="{00000000-0005-0000-0000-0000BA460000}"/>
    <cellStyle name="Separador de milhares 3 15 5 6 2 2 3 2" xfId="49030" xr:uid="{00000000-0005-0000-0000-0000BB460000}"/>
    <cellStyle name="Separador de milhares 3 15 5 6 2 2 4" xfId="16929" xr:uid="{00000000-0005-0000-0000-0000BC460000}"/>
    <cellStyle name="Separador de milhares 3 15 5 6 2 2 4 2" xfId="43122" xr:uid="{00000000-0005-0000-0000-0000BD460000}"/>
    <cellStyle name="Separador de milhares 3 15 5 6 2 2 5" xfId="36736" xr:uid="{00000000-0005-0000-0000-0000BE460000}"/>
    <cellStyle name="Separador de milhares 3 15 5 6 2 3" xfId="25800" xr:uid="{00000000-0005-0000-0000-0000BF460000}"/>
    <cellStyle name="Separador de milhares 3 15 5 6 2 3 2" xfId="51984" xr:uid="{00000000-0005-0000-0000-0000C0460000}"/>
    <cellStyle name="Separador de milhares 3 15 5 6 2 4" xfId="19886" xr:uid="{00000000-0005-0000-0000-0000C1460000}"/>
    <cellStyle name="Separador de milhares 3 15 5 6 2 4 2" xfId="46076" xr:uid="{00000000-0005-0000-0000-0000C2460000}"/>
    <cellStyle name="Separador de milhares 3 15 5 6 2 5" xfId="13788" xr:uid="{00000000-0005-0000-0000-0000C3460000}"/>
    <cellStyle name="Separador de milhares 3 15 5 6 2 5 2" xfId="39981" xr:uid="{00000000-0005-0000-0000-0000C4460000}"/>
    <cellStyle name="Separador de milhares 3 15 5 6 2 6" xfId="33595" xr:uid="{00000000-0005-0000-0000-0000C5460000}"/>
    <cellStyle name="Separador de milhares 3 15 5 6 3" xfId="9075" xr:uid="{00000000-0005-0000-0000-0000C6460000}"/>
    <cellStyle name="Separador de milhares 3 15 5 6 3 2" xfId="27289" xr:uid="{00000000-0005-0000-0000-0000C7460000}"/>
    <cellStyle name="Separador de milhares 3 15 5 6 3 2 2" xfId="53470" xr:uid="{00000000-0005-0000-0000-0000C8460000}"/>
    <cellStyle name="Separador de milhares 3 15 5 6 3 3" xfId="21375" xr:uid="{00000000-0005-0000-0000-0000C9460000}"/>
    <cellStyle name="Separador de milhares 3 15 5 6 3 3 2" xfId="47562" xr:uid="{00000000-0005-0000-0000-0000CA460000}"/>
    <cellStyle name="Separador de milhares 3 15 5 6 3 4" xfId="15461" xr:uid="{00000000-0005-0000-0000-0000CB460000}"/>
    <cellStyle name="Separador de milhares 3 15 5 6 3 4 2" xfId="41654" xr:uid="{00000000-0005-0000-0000-0000CC460000}"/>
    <cellStyle name="Separador de milhares 3 15 5 6 3 5" xfId="35268" xr:uid="{00000000-0005-0000-0000-0000CD460000}"/>
    <cellStyle name="Separador de milhares 3 15 5 6 4" xfId="5700" xr:uid="{00000000-0005-0000-0000-0000CE460000}"/>
    <cellStyle name="Separador de milhares 3 15 5 6 4 2" xfId="24332" xr:uid="{00000000-0005-0000-0000-0000CF460000}"/>
    <cellStyle name="Separador de milhares 3 15 5 6 4 2 2" xfId="50516" xr:uid="{00000000-0005-0000-0000-0000D0460000}"/>
    <cellStyle name="Separador de milhares 3 15 5 6 4 3" xfId="31896" xr:uid="{00000000-0005-0000-0000-0000D1460000}"/>
    <cellStyle name="Separador de milhares 3 15 5 6 5" xfId="18418" xr:uid="{00000000-0005-0000-0000-0000D2460000}"/>
    <cellStyle name="Separador de milhares 3 15 5 6 5 2" xfId="44608" xr:uid="{00000000-0005-0000-0000-0000D3460000}"/>
    <cellStyle name="Separador de milhares 3 15 5 6 6" xfId="12087" xr:uid="{00000000-0005-0000-0000-0000D4460000}"/>
    <cellStyle name="Separador de milhares 3 15 5 6 6 2" xfId="38280" xr:uid="{00000000-0005-0000-0000-0000D5460000}"/>
    <cellStyle name="Separador de milhares 3 15 5 6 7" xfId="30198" xr:uid="{00000000-0005-0000-0000-0000D6460000}"/>
    <cellStyle name="Separador de milhares 3 15 5 7" xfId="4015" xr:uid="{00000000-0005-0000-0000-0000D7460000}"/>
    <cellStyle name="Separador de milhares 3 15 5 7 2" xfId="7546" xr:uid="{00000000-0005-0000-0000-0000D8460000}"/>
    <cellStyle name="Separador de milhares 3 15 5 7 2 2" xfId="10690" xr:uid="{00000000-0005-0000-0000-0000D9460000}"/>
    <cellStyle name="Separador de milhares 3 15 5 7 2 2 2" xfId="28904" xr:uid="{00000000-0005-0000-0000-0000DA460000}"/>
    <cellStyle name="Separador de milhares 3 15 5 7 2 2 2 2" xfId="55085" xr:uid="{00000000-0005-0000-0000-0000DB460000}"/>
    <cellStyle name="Separador de milhares 3 15 5 7 2 2 3" xfId="22990" xr:uid="{00000000-0005-0000-0000-0000DC460000}"/>
    <cellStyle name="Separador de milhares 3 15 5 7 2 2 3 2" xfId="49177" xr:uid="{00000000-0005-0000-0000-0000DD460000}"/>
    <cellStyle name="Separador de milhares 3 15 5 7 2 2 4" xfId="17076" xr:uid="{00000000-0005-0000-0000-0000DE460000}"/>
    <cellStyle name="Separador de milhares 3 15 5 7 2 2 4 2" xfId="43269" xr:uid="{00000000-0005-0000-0000-0000DF460000}"/>
    <cellStyle name="Separador de milhares 3 15 5 7 2 2 5" xfId="36883" xr:uid="{00000000-0005-0000-0000-0000E0460000}"/>
    <cellStyle name="Separador de milhares 3 15 5 7 2 3" xfId="25947" xr:uid="{00000000-0005-0000-0000-0000E1460000}"/>
    <cellStyle name="Separador de milhares 3 15 5 7 2 3 2" xfId="52131" xr:uid="{00000000-0005-0000-0000-0000E2460000}"/>
    <cellStyle name="Separador de milhares 3 15 5 7 2 4" xfId="20033" xr:uid="{00000000-0005-0000-0000-0000E3460000}"/>
    <cellStyle name="Separador de milhares 3 15 5 7 2 4 2" xfId="46223" xr:uid="{00000000-0005-0000-0000-0000E4460000}"/>
    <cellStyle name="Separador de milhares 3 15 5 7 2 5" xfId="13935" xr:uid="{00000000-0005-0000-0000-0000E5460000}"/>
    <cellStyle name="Separador de milhares 3 15 5 7 2 5 2" xfId="40128" xr:uid="{00000000-0005-0000-0000-0000E6460000}"/>
    <cellStyle name="Separador de milhares 3 15 5 7 2 6" xfId="33742" xr:uid="{00000000-0005-0000-0000-0000E7460000}"/>
    <cellStyle name="Separador de milhares 3 15 5 7 3" xfId="9222" xr:uid="{00000000-0005-0000-0000-0000E8460000}"/>
    <cellStyle name="Separador de milhares 3 15 5 7 3 2" xfId="27436" xr:uid="{00000000-0005-0000-0000-0000E9460000}"/>
    <cellStyle name="Separador de milhares 3 15 5 7 3 2 2" xfId="53617" xr:uid="{00000000-0005-0000-0000-0000EA460000}"/>
    <cellStyle name="Separador de milhares 3 15 5 7 3 3" xfId="21522" xr:uid="{00000000-0005-0000-0000-0000EB460000}"/>
    <cellStyle name="Separador de milhares 3 15 5 7 3 3 2" xfId="47709" xr:uid="{00000000-0005-0000-0000-0000EC460000}"/>
    <cellStyle name="Separador de milhares 3 15 5 7 3 4" xfId="15608" xr:uid="{00000000-0005-0000-0000-0000ED460000}"/>
    <cellStyle name="Separador de milhares 3 15 5 7 3 4 2" xfId="41801" xr:uid="{00000000-0005-0000-0000-0000EE460000}"/>
    <cellStyle name="Separador de milhares 3 15 5 7 3 5" xfId="35415" xr:uid="{00000000-0005-0000-0000-0000EF460000}"/>
    <cellStyle name="Separador de milhares 3 15 5 7 4" xfId="5847" xr:uid="{00000000-0005-0000-0000-0000F0460000}"/>
    <cellStyle name="Separador de milhares 3 15 5 7 4 2" xfId="24479" xr:uid="{00000000-0005-0000-0000-0000F1460000}"/>
    <cellStyle name="Separador de milhares 3 15 5 7 4 2 2" xfId="50663" xr:uid="{00000000-0005-0000-0000-0000F2460000}"/>
    <cellStyle name="Separador de milhares 3 15 5 7 4 3" xfId="32043" xr:uid="{00000000-0005-0000-0000-0000F3460000}"/>
    <cellStyle name="Separador de milhares 3 15 5 7 5" xfId="18565" xr:uid="{00000000-0005-0000-0000-0000F4460000}"/>
    <cellStyle name="Separador de milhares 3 15 5 7 5 2" xfId="44755" xr:uid="{00000000-0005-0000-0000-0000F5460000}"/>
    <cellStyle name="Separador de milhares 3 15 5 7 6" xfId="12234" xr:uid="{00000000-0005-0000-0000-0000F6460000}"/>
    <cellStyle name="Separador de milhares 3 15 5 7 6 2" xfId="38427" xr:uid="{00000000-0005-0000-0000-0000F7460000}"/>
    <cellStyle name="Separador de milhares 3 15 5 7 7" xfId="30345" xr:uid="{00000000-0005-0000-0000-0000F8460000}"/>
    <cellStyle name="Separador de milhares 3 15 5 8" xfId="6585" xr:uid="{00000000-0005-0000-0000-0000F9460000}"/>
    <cellStyle name="Separador de milhares 3 15 5 8 2" xfId="9732" xr:uid="{00000000-0005-0000-0000-0000FA460000}"/>
    <cellStyle name="Separador de milhares 3 15 5 8 2 2" xfId="27946" xr:uid="{00000000-0005-0000-0000-0000FB460000}"/>
    <cellStyle name="Separador de milhares 3 15 5 8 2 2 2" xfId="54127" xr:uid="{00000000-0005-0000-0000-0000FC460000}"/>
    <cellStyle name="Separador de milhares 3 15 5 8 2 3" xfId="22032" xr:uid="{00000000-0005-0000-0000-0000FD460000}"/>
    <cellStyle name="Separador de milhares 3 15 5 8 2 3 2" xfId="48219" xr:uid="{00000000-0005-0000-0000-0000FE460000}"/>
    <cellStyle name="Separador de milhares 3 15 5 8 2 4" xfId="16118" xr:uid="{00000000-0005-0000-0000-0000FF460000}"/>
    <cellStyle name="Separador de milhares 3 15 5 8 2 4 2" xfId="42311" xr:uid="{00000000-0005-0000-0000-000000470000}"/>
    <cellStyle name="Separador de milhares 3 15 5 8 2 5" xfId="35925" xr:uid="{00000000-0005-0000-0000-000001470000}"/>
    <cellStyle name="Separador de milhares 3 15 5 8 3" xfId="24989" xr:uid="{00000000-0005-0000-0000-000002470000}"/>
    <cellStyle name="Separador de milhares 3 15 5 8 3 2" xfId="51173" xr:uid="{00000000-0005-0000-0000-000003470000}"/>
    <cellStyle name="Separador de milhares 3 15 5 8 4" xfId="19075" xr:uid="{00000000-0005-0000-0000-000004470000}"/>
    <cellStyle name="Separador de milhares 3 15 5 8 4 2" xfId="45265" xr:uid="{00000000-0005-0000-0000-000005470000}"/>
    <cellStyle name="Separador de milhares 3 15 5 8 5" xfId="12974" xr:uid="{00000000-0005-0000-0000-000006470000}"/>
    <cellStyle name="Separador de milhares 3 15 5 8 5 2" xfId="39167" xr:uid="{00000000-0005-0000-0000-000007470000}"/>
    <cellStyle name="Separador de milhares 3 15 5 8 6" xfId="32781" xr:uid="{00000000-0005-0000-0000-000008470000}"/>
    <cellStyle name="Separador de milhares 3 15 5 9" xfId="8261" xr:uid="{00000000-0005-0000-0000-000009470000}"/>
    <cellStyle name="Separador de milhares 3 15 5 9 2" xfId="26475" xr:uid="{00000000-0005-0000-0000-00000A470000}"/>
    <cellStyle name="Separador de milhares 3 15 5 9 2 2" xfId="52659" xr:uid="{00000000-0005-0000-0000-00000B470000}"/>
    <cellStyle name="Separador de milhares 3 15 5 9 3" xfId="20561" xr:uid="{00000000-0005-0000-0000-00000C470000}"/>
    <cellStyle name="Separador de milhares 3 15 5 9 3 2" xfId="46751" xr:uid="{00000000-0005-0000-0000-00000D470000}"/>
    <cellStyle name="Separador de milhares 3 15 5 9 4" xfId="14650" xr:uid="{00000000-0005-0000-0000-00000E470000}"/>
    <cellStyle name="Separador de milhares 3 15 5 9 4 2" xfId="40843" xr:uid="{00000000-0005-0000-0000-00000F470000}"/>
    <cellStyle name="Separador de milhares 3 15 5 9 5" xfId="34457" xr:uid="{00000000-0005-0000-0000-000010470000}"/>
    <cellStyle name="Separador de milhares 3 15 6" xfId="767" xr:uid="{00000000-0005-0000-0000-000011470000}"/>
    <cellStyle name="Separador de milhares 3 15 6 2" xfId="4191" xr:uid="{00000000-0005-0000-0000-000012470000}"/>
    <cellStyle name="Separador de milhares 3 15 6 2 2" xfId="7595" xr:uid="{00000000-0005-0000-0000-000013470000}"/>
    <cellStyle name="Separador de milhares 3 15 6 2 2 2" xfId="10739" xr:uid="{00000000-0005-0000-0000-000014470000}"/>
    <cellStyle name="Separador de milhares 3 15 6 2 2 2 2" xfId="28953" xr:uid="{00000000-0005-0000-0000-000015470000}"/>
    <cellStyle name="Separador de milhares 3 15 6 2 2 2 2 2" xfId="55134" xr:uid="{00000000-0005-0000-0000-000016470000}"/>
    <cellStyle name="Separador de milhares 3 15 6 2 2 2 3" xfId="23039" xr:uid="{00000000-0005-0000-0000-000017470000}"/>
    <cellStyle name="Separador de milhares 3 15 6 2 2 2 3 2" xfId="49226" xr:uid="{00000000-0005-0000-0000-000018470000}"/>
    <cellStyle name="Separador de milhares 3 15 6 2 2 2 4" xfId="17125" xr:uid="{00000000-0005-0000-0000-000019470000}"/>
    <cellStyle name="Separador de milhares 3 15 6 2 2 2 4 2" xfId="43318" xr:uid="{00000000-0005-0000-0000-00001A470000}"/>
    <cellStyle name="Separador de milhares 3 15 6 2 2 2 5" xfId="36932" xr:uid="{00000000-0005-0000-0000-00001B470000}"/>
    <cellStyle name="Separador de milhares 3 15 6 2 2 3" xfId="25996" xr:uid="{00000000-0005-0000-0000-00001C470000}"/>
    <cellStyle name="Separador de milhares 3 15 6 2 2 3 2" xfId="52180" xr:uid="{00000000-0005-0000-0000-00001D470000}"/>
    <cellStyle name="Separador de milhares 3 15 6 2 2 4" xfId="20082" xr:uid="{00000000-0005-0000-0000-00001E470000}"/>
    <cellStyle name="Separador de milhares 3 15 6 2 2 4 2" xfId="46272" xr:uid="{00000000-0005-0000-0000-00001F470000}"/>
    <cellStyle name="Separador de milhares 3 15 6 2 2 5" xfId="13984" xr:uid="{00000000-0005-0000-0000-000020470000}"/>
    <cellStyle name="Separador de milhares 3 15 6 2 2 5 2" xfId="40177" xr:uid="{00000000-0005-0000-0000-000021470000}"/>
    <cellStyle name="Separador de milhares 3 15 6 2 2 6" xfId="33791" xr:uid="{00000000-0005-0000-0000-000022470000}"/>
    <cellStyle name="Separador de milhares 3 15 6 2 3" xfId="9271" xr:uid="{00000000-0005-0000-0000-000023470000}"/>
    <cellStyle name="Separador de milhares 3 15 6 2 3 2" xfId="27485" xr:uid="{00000000-0005-0000-0000-000024470000}"/>
    <cellStyle name="Separador de milhares 3 15 6 2 3 2 2" xfId="53666" xr:uid="{00000000-0005-0000-0000-000025470000}"/>
    <cellStyle name="Separador de milhares 3 15 6 2 3 3" xfId="21571" xr:uid="{00000000-0005-0000-0000-000026470000}"/>
    <cellStyle name="Separador de milhares 3 15 6 2 3 3 2" xfId="47758" xr:uid="{00000000-0005-0000-0000-000027470000}"/>
    <cellStyle name="Separador de milhares 3 15 6 2 3 4" xfId="15657" xr:uid="{00000000-0005-0000-0000-000028470000}"/>
    <cellStyle name="Separador de milhares 3 15 6 2 3 4 2" xfId="41850" xr:uid="{00000000-0005-0000-0000-000029470000}"/>
    <cellStyle name="Separador de milhares 3 15 6 2 3 5" xfId="35464" xr:uid="{00000000-0005-0000-0000-00002A470000}"/>
    <cellStyle name="Separador de milhares 3 15 6 2 4" xfId="5896" xr:uid="{00000000-0005-0000-0000-00002B470000}"/>
    <cellStyle name="Separador de milhares 3 15 6 2 4 2" xfId="24528" xr:uid="{00000000-0005-0000-0000-00002C470000}"/>
    <cellStyle name="Separador de milhares 3 15 6 2 4 2 2" xfId="50712" xr:uid="{00000000-0005-0000-0000-00002D470000}"/>
    <cellStyle name="Separador de milhares 3 15 6 2 4 3" xfId="32092" xr:uid="{00000000-0005-0000-0000-00002E470000}"/>
    <cellStyle name="Separador de milhares 3 15 6 2 5" xfId="18614" xr:uid="{00000000-0005-0000-0000-00002F470000}"/>
    <cellStyle name="Separador de milhares 3 15 6 2 5 2" xfId="44804" xr:uid="{00000000-0005-0000-0000-000030470000}"/>
    <cellStyle name="Separador de milhares 3 15 6 2 6" xfId="12283" xr:uid="{00000000-0005-0000-0000-000031470000}"/>
    <cellStyle name="Separador de milhares 3 15 6 2 6 2" xfId="38476" xr:uid="{00000000-0005-0000-0000-000032470000}"/>
    <cellStyle name="Separador de milhares 3 15 6 2 7" xfId="30394" xr:uid="{00000000-0005-0000-0000-000033470000}"/>
    <cellStyle name="Separador de milhares 3 15 6 3" xfId="6640" xr:uid="{00000000-0005-0000-0000-000034470000}"/>
    <cellStyle name="Separador de milhares 3 15 6 3 2" xfId="9787" xr:uid="{00000000-0005-0000-0000-000035470000}"/>
    <cellStyle name="Separador de milhares 3 15 6 3 2 2" xfId="28001" xr:uid="{00000000-0005-0000-0000-000036470000}"/>
    <cellStyle name="Separador de milhares 3 15 6 3 2 2 2" xfId="54182" xr:uid="{00000000-0005-0000-0000-000037470000}"/>
    <cellStyle name="Separador de milhares 3 15 6 3 2 3" xfId="22087" xr:uid="{00000000-0005-0000-0000-000038470000}"/>
    <cellStyle name="Separador de milhares 3 15 6 3 2 3 2" xfId="48274" xr:uid="{00000000-0005-0000-0000-000039470000}"/>
    <cellStyle name="Separador de milhares 3 15 6 3 2 4" xfId="16173" xr:uid="{00000000-0005-0000-0000-00003A470000}"/>
    <cellStyle name="Separador de milhares 3 15 6 3 2 4 2" xfId="42366" xr:uid="{00000000-0005-0000-0000-00003B470000}"/>
    <cellStyle name="Separador de milhares 3 15 6 3 2 5" xfId="35980" xr:uid="{00000000-0005-0000-0000-00003C470000}"/>
    <cellStyle name="Separador de milhares 3 15 6 3 3" xfId="25044" xr:uid="{00000000-0005-0000-0000-00003D470000}"/>
    <cellStyle name="Separador de milhares 3 15 6 3 3 2" xfId="51228" xr:uid="{00000000-0005-0000-0000-00003E470000}"/>
    <cellStyle name="Separador de milhares 3 15 6 3 4" xfId="19130" xr:uid="{00000000-0005-0000-0000-00003F470000}"/>
    <cellStyle name="Separador de milhares 3 15 6 3 4 2" xfId="45320" xr:uid="{00000000-0005-0000-0000-000040470000}"/>
    <cellStyle name="Separador de milhares 3 15 6 3 5" xfId="13029" xr:uid="{00000000-0005-0000-0000-000041470000}"/>
    <cellStyle name="Separador de milhares 3 15 6 3 5 2" xfId="39222" xr:uid="{00000000-0005-0000-0000-000042470000}"/>
    <cellStyle name="Separador de milhares 3 15 6 3 6" xfId="32836" xr:uid="{00000000-0005-0000-0000-000043470000}"/>
    <cellStyle name="Separador de milhares 3 15 6 4" xfId="8319" xr:uid="{00000000-0005-0000-0000-000044470000}"/>
    <cellStyle name="Separador de milhares 3 15 6 4 2" xfId="26533" xr:uid="{00000000-0005-0000-0000-000045470000}"/>
    <cellStyle name="Separador de milhares 3 15 6 4 2 2" xfId="52714" xr:uid="{00000000-0005-0000-0000-000046470000}"/>
    <cellStyle name="Separador de milhares 3 15 6 4 3" xfId="20619" xr:uid="{00000000-0005-0000-0000-000047470000}"/>
    <cellStyle name="Separador de milhares 3 15 6 4 3 2" xfId="46806" xr:uid="{00000000-0005-0000-0000-000048470000}"/>
    <cellStyle name="Separador de milhares 3 15 6 4 4" xfId="14705" xr:uid="{00000000-0005-0000-0000-000049470000}"/>
    <cellStyle name="Separador de milhares 3 15 6 4 4 2" xfId="40898" xr:uid="{00000000-0005-0000-0000-00004A470000}"/>
    <cellStyle name="Separador de milhares 3 15 6 4 5" xfId="34512" xr:uid="{00000000-0005-0000-0000-00004B470000}"/>
    <cellStyle name="Separador de milhares 3 15 6 5" xfId="4941" xr:uid="{00000000-0005-0000-0000-00004C470000}"/>
    <cellStyle name="Separador de milhares 3 15 6 5 2" xfId="23576" xr:uid="{00000000-0005-0000-0000-00004D470000}"/>
    <cellStyle name="Separador de milhares 3 15 6 5 2 2" xfId="49760" xr:uid="{00000000-0005-0000-0000-00004E470000}"/>
    <cellStyle name="Separador de milhares 3 15 6 5 3" xfId="31137" xr:uid="{00000000-0005-0000-0000-00004F470000}"/>
    <cellStyle name="Separador de milhares 3 15 6 6" xfId="17662" xr:uid="{00000000-0005-0000-0000-000050470000}"/>
    <cellStyle name="Separador de milhares 3 15 6 6 2" xfId="43852" xr:uid="{00000000-0005-0000-0000-000051470000}"/>
    <cellStyle name="Separador de milhares 3 15 6 7" xfId="11328" xr:uid="{00000000-0005-0000-0000-000052470000}"/>
    <cellStyle name="Separador de milhares 3 15 6 7 2" xfId="37521" xr:uid="{00000000-0005-0000-0000-000053470000}"/>
    <cellStyle name="Separador de milhares 3 15 6 8" xfId="29439" xr:uid="{00000000-0005-0000-0000-000054470000}"/>
    <cellStyle name="Separador de milhares 3 15 7" xfId="1118" xr:uid="{00000000-0005-0000-0000-000055470000}"/>
    <cellStyle name="Separador de milhares 3 15 7 2" xfId="6738" xr:uid="{00000000-0005-0000-0000-000056470000}"/>
    <cellStyle name="Separador de milhares 3 15 7 2 2" xfId="9885" xr:uid="{00000000-0005-0000-0000-000057470000}"/>
    <cellStyle name="Separador de milhares 3 15 7 2 2 2" xfId="28099" xr:uid="{00000000-0005-0000-0000-000058470000}"/>
    <cellStyle name="Separador de milhares 3 15 7 2 2 2 2" xfId="54280" xr:uid="{00000000-0005-0000-0000-000059470000}"/>
    <cellStyle name="Separador de milhares 3 15 7 2 2 3" xfId="22185" xr:uid="{00000000-0005-0000-0000-00005A470000}"/>
    <cellStyle name="Separador de milhares 3 15 7 2 2 3 2" xfId="48372" xr:uid="{00000000-0005-0000-0000-00005B470000}"/>
    <cellStyle name="Separador de milhares 3 15 7 2 2 4" xfId="16271" xr:uid="{00000000-0005-0000-0000-00005C470000}"/>
    <cellStyle name="Separador de milhares 3 15 7 2 2 4 2" xfId="42464" xr:uid="{00000000-0005-0000-0000-00005D470000}"/>
    <cellStyle name="Separador de milhares 3 15 7 2 2 5" xfId="36078" xr:uid="{00000000-0005-0000-0000-00005E470000}"/>
    <cellStyle name="Separador de milhares 3 15 7 2 3" xfId="25142" xr:uid="{00000000-0005-0000-0000-00005F470000}"/>
    <cellStyle name="Separador de milhares 3 15 7 2 3 2" xfId="51326" xr:uid="{00000000-0005-0000-0000-000060470000}"/>
    <cellStyle name="Separador de milhares 3 15 7 2 4" xfId="19228" xr:uid="{00000000-0005-0000-0000-000061470000}"/>
    <cellStyle name="Separador de milhares 3 15 7 2 4 2" xfId="45418" xr:uid="{00000000-0005-0000-0000-000062470000}"/>
    <cellStyle name="Separador de milhares 3 15 7 2 5" xfId="13127" xr:uid="{00000000-0005-0000-0000-000063470000}"/>
    <cellStyle name="Separador de milhares 3 15 7 2 5 2" xfId="39320" xr:uid="{00000000-0005-0000-0000-000064470000}"/>
    <cellStyle name="Separador de milhares 3 15 7 2 6" xfId="32934" xr:uid="{00000000-0005-0000-0000-000065470000}"/>
    <cellStyle name="Separador de milhares 3 15 7 3" xfId="8417" xr:uid="{00000000-0005-0000-0000-000066470000}"/>
    <cellStyle name="Separador de milhares 3 15 7 3 2" xfId="26631" xr:uid="{00000000-0005-0000-0000-000067470000}"/>
    <cellStyle name="Separador de milhares 3 15 7 3 2 2" xfId="52812" xr:uid="{00000000-0005-0000-0000-000068470000}"/>
    <cellStyle name="Separador de milhares 3 15 7 3 3" xfId="20717" xr:uid="{00000000-0005-0000-0000-000069470000}"/>
    <cellStyle name="Separador de milhares 3 15 7 3 3 2" xfId="46904" xr:uid="{00000000-0005-0000-0000-00006A470000}"/>
    <cellStyle name="Separador de milhares 3 15 7 3 4" xfId="14803" xr:uid="{00000000-0005-0000-0000-00006B470000}"/>
    <cellStyle name="Separador de milhares 3 15 7 3 4 2" xfId="40996" xr:uid="{00000000-0005-0000-0000-00006C470000}"/>
    <cellStyle name="Separador de milhares 3 15 7 3 5" xfId="34610" xr:uid="{00000000-0005-0000-0000-00006D470000}"/>
    <cellStyle name="Separador de milhares 3 15 7 4" xfId="5039" xr:uid="{00000000-0005-0000-0000-00006E470000}"/>
    <cellStyle name="Separador de milhares 3 15 7 4 2" xfId="23674" xr:uid="{00000000-0005-0000-0000-00006F470000}"/>
    <cellStyle name="Separador de milhares 3 15 7 4 2 2" xfId="49858" xr:uid="{00000000-0005-0000-0000-000070470000}"/>
    <cellStyle name="Separador de milhares 3 15 7 4 3" xfId="31235" xr:uid="{00000000-0005-0000-0000-000071470000}"/>
    <cellStyle name="Separador de milhares 3 15 7 5" xfId="17760" xr:uid="{00000000-0005-0000-0000-000072470000}"/>
    <cellStyle name="Separador de milhares 3 15 7 5 2" xfId="43950" xr:uid="{00000000-0005-0000-0000-000073470000}"/>
    <cellStyle name="Separador de milhares 3 15 7 6" xfId="11426" xr:uid="{00000000-0005-0000-0000-000074470000}"/>
    <cellStyle name="Separador de milhares 3 15 7 6 2" xfId="37619" xr:uid="{00000000-0005-0000-0000-000075470000}"/>
    <cellStyle name="Separador de milhares 3 15 7 7" xfId="29537" xr:uid="{00000000-0005-0000-0000-000076470000}"/>
    <cellStyle name="Separador de milhares 3 15 8" xfId="1553" xr:uid="{00000000-0005-0000-0000-000077470000}"/>
    <cellStyle name="Separador de milhares 3 15 8 2" xfId="6857" xr:uid="{00000000-0005-0000-0000-000078470000}"/>
    <cellStyle name="Separador de milhares 3 15 8 2 2" xfId="10004" xr:uid="{00000000-0005-0000-0000-000079470000}"/>
    <cellStyle name="Separador de milhares 3 15 8 2 2 2" xfId="28218" xr:uid="{00000000-0005-0000-0000-00007A470000}"/>
    <cellStyle name="Separador de milhares 3 15 8 2 2 2 2" xfId="54399" xr:uid="{00000000-0005-0000-0000-00007B470000}"/>
    <cellStyle name="Separador de milhares 3 15 8 2 2 3" xfId="22304" xr:uid="{00000000-0005-0000-0000-00007C470000}"/>
    <cellStyle name="Separador de milhares 3 15 8 2 2 3 2" xfId="48491" xr:uid="{00000000-0005-0000-0000-00007D470000}"/>
    <cellStyle name="Separador de milhares 3 15 8 2 2 4" xfId="16390" xr:uid="{00000000-0005-0000-0000-00007E470000}"/>
    <cellStyle name="Separador de milhares 3 15 8 2 2 4 2" xfId="42583" xr:uid="{00000000-0005-0000-0000-00007F470000}"/>
    <cellStyle name="Separador de milhares 3 15 8 2 2 5" xfId="36197" xr:uid="{00000000-0005-0000-0000-000080470000}"/>
    <cellStyle name="Separador de milhares 3 15 8 2 3" xfId="25261" xr:uid="{00000000-0005-0000-0000-000081470000}"/>
    <cellStyle name="Separador de milhares 3 15 8 2 3 2" xfId="51445" xr:uid="{00000000-0005-0000-0000-000082470000}"/>
    <cellStyle name="Separador de milhares 3 15 8 2 4" xfId="19347" xr:uid="{00000000-0005-0000-0000-000083470000}"/>
    <cellStyle name="Separador de milhares 3 15 8 2 4 2" xfId="45537" xr:uid="{00000000-0005-0000-0000-000084470000}"/>
    <cellStyle name="Separador de milhares 3 15 8 2 5" xfId="13246" xr:uid="{00000000-0005-0000-0000-000085470000}"/>
    <cellStyle name="Separador de milhares 3 15 8 2 5 2" xfId="39439" xr:uid="{00000000-0005-0000-0000-000086470000}"/>
    <cellStyle name="Separador de milhares 3 15 8 2 6" xfId="33053" xr:uid="{00000000-0005-0000-0000-000087470000}"/>
    <cellStyle name="Separador de milhares 3 15 8 3" xfId="8536" xr:uid="{00000000-0005-0000-0000-000088470000}"/>
    <cellStyle name="Separador de milhares 3 15 8 3 2" xfId="26750" xr:uid="{00000000-0005-0000-0000-000089470000}"/>
    <cellStyle name="Separador de milhares 3 15 8 3 2 2" xfId="52931" xr:uid="{00000000-0005-0000-0000-00008A470000}"/>
    <cellStyle name="Separador de milhares 3 15 8 3 3" xfId="20836" xr:uid="{00000000-0005-0000-0000-00008B470000}"/>
    <cellStyle name="Separador de milhares 3 15 8 3 3 2" xfId="47023" xr:uid="{00000000-0005-0000-0000-00008C470000}"/>
    <cellStyle name="Separador de milhares 3 15 8 3 4" xfId="14922" xr:uid="{00000000-0005-0000-0000-00008D470000}"/>
    <cellStyle name="Separador de milhares 3 15 8 3 4 2" xfId="41115" xr:uid="{00000000-0005-0000-0000-00008E470000}"/>
    <cellStyle name="Separador de milhares 3 15 8 3 5" xfId="34729" xr:uid="{00000000-0005-0000-0000-00008F470000}"/>
    <cellStyle name="Separador de milhares 3 15 8 4" xfId="5158" xr:uid="{00000000-0005-0000-0000-000090470000}"/>
    <cellStyle name="Separador de milhares 3 15 8 4 2" xfId="23793" xr:uid="{00000000-0005-0000-0000-000091470000}"/>
    <cellStyle name="Separador de milhares 3 15 8 4 2 2" xfId="49977" xr:uid="{00000000-0005-0000-0000-000092470000}"/>
    <cellStyle name="Separador de milhares 3 15 8 4 3" xfId="31354" xr:uid="{00000000-0005-0000-0000-000093470000}"/>
    <cellStyle name="Separador de milhares 3 15 8 5" xfId="17879" xr:uid="{00000000-0005-0000-0000-000094470000}"/>
    <cellStyle name="Separador de milhares 3 15 8 5 2" xfId="44069" xr:uid="{00000000-0005-0000-0000-000095470000}"/>
    <cellStyle name="Separador de milhares 3 15 8 6" xfId="11545" xr:uid="{00000000-0005-0000-0000-000096470000}"/>
    <cellStyle name="Separador de milhares 3 15 8 6 2" xfId="37738" xr:uid="{00000000-0005-0000-0000-000097470000}"/>
    <cellStyle name="Separador de milhares 3 15 8 7" xfId="29656" xr:uid="{00000000-0005-0000-0000-000098470000}"/>
    <cellStyle name="Separador de milhares 3 15 9" xfId="2083" xr:uid="{00000000-0005-0000-0000-000099470000}"/>
    <cellStyle name="Separador de milhares 3 15 9 2" xfId="7007" xr:uid="{00000000-0005-0000-0000-00009A470000}"/>
    <cellStyle name="Separador de milhares 3 15 9 2 2" xfId="10151" xr:uid="{00000000-0005-0000-0000-00009B470000}"/>
    <cellStyle name="Separador de milhares 3 15 9 2 2 2" xfId="28365" xr:uid="{00000000-0005-0000-0000-00009C470000}"/>
    <cellStyle name="Separador de milhares 3 15 9 2 2 2 2" xfId="54546" xr:uid="{00000000-0005-0000-0000-00009D470000}"/>
    <cellStyle name="Separador de milhares 3 15 9 2 2 3" xfId="22451" xr:uid="{00000000-0005-0000-0000-00009E470000}"/>
    <cellStyle name="Separador de milhares 3 15 9 2 2 3 2" xfId="48638" xr:uid="{00000000-0005-0000-0000-00009F470000}"/>
    <cellStyle name="Separador de milhares 3 15 9 2 2 4" xfId="16537" xr:uid="{00000000-0005-0000-0000-0000A0470000}"/>
    <cellStyle name="Separador de milhares 3 15 9 2 2 4 2" xfId="42730" xr:uid="{00000000-0005-0000-0000-0000A1470000}"/>
    <cellStyle name="Separador de milhares 3 15 9 2 2 5" xfId="36344" xr:uid="{00000000-0005-0000-0000-0000A2470000}"/>
    <cellStyle name="Separador de milhares 3 15 9 2 3" xfId="25408" xr:uid="{00000000-0005-0000-0000-0000A3470000}"/>
    <cellStyle name="Separador de milhares 3 15 9 2 3 2" xfId="51592" xr:uid="{00000000-0005-0000-0000-0000A4470000}"/>
    <cellStyle name="Separador de milhares 3 15 9 2 4" xfId="19494" xr:uid="{00000000-0005-0000-0000-0000A5470000}"/>
    <cellStyle name="Separador de milhares 3 15 9 2 4 2" xfId="45684" xr:uid="{00000000-0005-0000-0000-0000A6470000}"/>
    <cellStyle name="Separador de milhares 3 15 9 2 5" xfId="13396" xr:uid="{00000000-0005-0000-0000-0000A7470000}"/>
    <cellStyle name="Separador de milhares 3 15 9 2 5 2" xfId="39589" xr:uid="{00000000-0005-0000-0000-0000A8470000}"/>
    <cellStyle name="Separador de milhares 3 15 9 2 6" xfId="33203" xr:uid="{00000000-0005-0000-0000-0000A9470000}"/>
    <cellStyle name="Separador de milhares 3 15 9 3" xfId="8683" xr:uid="{00000000-0005-0000-0000-0000AA470000}"/>
    <cellStyle name="Separador de milhares 3 15 9 3 2" xfId="26897" xr:uid="{00000000-0005-0000-0000-0000AB470000}"/>
    <cellStyle name="Separador de milhares 3 15 9 3 2 2" xfId="53078" xr:uid="{00000000-0005-0000-0000-0000AC470000}"/>
    <cellStyle name="Separador de milhares 3 15 9 3 3" xfId="20983" xr:uid="{00000000-0005-0000-0000-0000AD470000}"/>
    <cellStyle name="Separador de milhares 3 15 9 3 3 2" xfId="47170" xr:uid="{00000000-0005-0000-0000-0000AE470000}"/>
    <cellStyle name="Separador de milhares 3 15 9 3 4" xfId="15069" xr:uid="{00000000-0005-0000-0000-0000AF470000}"/>
    <cellStyle name="Separador de milhares 3 15 9 3 4 2" xfId="41262" xr:uid="{00000000-0005-0000-0000-0000B0470000}"/>
    <cellStyle name="Separador de milhares 3 15 9 3 5" xfId="34876" xr:uid="{00000000-0005-0000-0000-0000B1470000}"/>
    <cellStyle name="Separador de milhares 3 15 9 4" xfId="5308" xr:uid="{00000000-0005-0000-0000-0000B2470000}"/>
    <cellStyle name="Separador de milhares 3 15 9 4 2" xfId="23940" xr:uid="{00000000-0005-0000-0000-0000B3470000}"/>
    <cellStyle name="Separador de milhares 3 15 9 4 2 2" xfId="50124" xr:uid="{00000000-0005-0000-0000-0000B4470000}"/>
    <cellStyle name="Separador de milhares 3 15 9 4 3" xfId="31504" xr:uid="{00000000-0005-0000-0000-0000B5470000}"/>
    <cellStyle name="Separador de milhares 3 15 9 5" xfId="18026" xr:uid="{00000000-0005-0000-0000-0000B6470000}"/>
    <cellStyle name="Separador de milhares 3 15 9 5 2" xfId="44216" xr:uid="{00000000-0005-0000-0000-0000B7470000}"/>
    <cellStyle name="Separador de milhares 3 15 9 6" xfId="11695" xr:uid="{00000000-0005-0000-0000-0000B8470000}"/>
    <cellStyle name="Separador de milhares 3 15 9 6 2" xfId="37888" xr:uid="{00000000-0005-0000-0000-0000B9470000}"/>
    <cellStyle name="Separador de milhares 3 15 9 7" xfId="29806" xr:uid="{00000000-0005-0000-0000-0000BA470000}"/>
    <cellStyle name="Separador de milhares 3 16" xfId="121" xr:uid="{00000000-0005-0000-0000-0000BB470000}"/>
    <cellStyle name="Separador de milhares 3 16 10" xfId="6441" xr:uid="{00000000-0005-0000-0000-0000BC470000}"/>
    <cellStyle name="Separador de milhares 3 16 10 2" xfId="9595" xr:uid="{00000000-0005-0000-0000-0000BD470000}"/>
    <cellStyle name="Separador de milhares 3 16 10 2 2" xfId="27809" xr:uid="{00000000-0005-0000-0000-0000BE470000}"/>
    <cellStyle name="Separador de milhares 3 16 10 2 2 2" xfId="53990" xr:uid="{00000000-0005-0000-0000-0000BF470000}"/>
    <cellStyle name="Separador de milhares 3 16 10 2 3" xfId="21895" xr:uid="{00000000-0005-0000-0000-0000C0470000}"/>
    <cellStyle name="Separador de milhares 3 16 10 2 3 2" xfId="48082" xr:uid="{00000000-0005-0000-0000-0000C1470000}"/>
    <cellStyle name="Separador de milhares 3 16 10 2 4" xfId="15981" xr:uid="{00000000-0005-0000-0000-0000C2470000}"/>
    <cellStyle name="Separador de milhares 3 16 10 2 4 2" xfId="42174" xr:uid="{00000000-0005-0000-0000-0000C3470000}"/>
    <cellStyle name="Separador de milhares 3 16 10 2 5" xfId="35788" xr:uid="{00000000-0005-0000-0000-0000C4470000}"/>
    <cellStyle name="Separador de milhares 3 16 10 3" xfId="24852" xr:uid="{00000000-0005-0000-0000-0000C5470000}"/>
    <cellStyle name="Separador de milhares 3 16 10 3 2" xfId="51036" xr:uid="{00000000-0005-0000-0000-0000C6470000}"/>
    <cellStyle name="Separador de milhares 3 16 10 4" xfId="18938" xr:uid="{00000000-0005-0000-0000-0000C7470000}"/>
    <cellStyle name="Separador de milhares 3 16 10 4 2" xfId="45128" xr:uid="{00000000-0005-0000-0000-0000C8470000}"/>
    <cellStyle name="Separador de milhares 3 16 10 5" xfId="12830" xr:uid="{00000000-0005-0000-0000-0000C9470000}"/>
    <cellStyle name="Separador de milhares 3 16 10 5 2" xfId="39023" xr:uid="{00000000-0005-0000-0000-0000CA470000}"/>
    <cellStyle name="Separador de milhares 3 16 10 6" xfId="32637" xr:uid="{00000000-0005-0000-0000-0000CB470000}"/>
    <cellStyle name="Separador de milhares 3 16 11" xfId="8124" xr:uid="{00000000-0005-0000-0000-0000CC470000}"/>
    <cellStyle name="Separador de milhares 3 16 11 2" xfId="26338" xr:uid="{00000000-0005-0000-0000-0000CD470000}"/>
    <cellStyle name="Separador de milhares 3 16 11 2 2" xfId="52522" xr:uid="{00000000-0005-0000-0000-0000CE470000}"/>
    <cellStyle name="Separador de milhares 3 16 11 3" xfId="20424" xr:uid="{00000000-0005-0000-0000-0000CF470000}"/>
    <cellStyle name="Separador de milhares 3 16 11 3 2" xfId="46614" xr:uid="{00000000-0005-0000-0000-0000D0470000}"/>
    <cellStyle name="Separador de milhares 3 16 11 4" xfId="14513" xr:uid="{00000000-0005-0000-0000-0000D1470000}"/>
    <cellStyle name="Separador de milhares 3 16 11 4 2" xfId="40706" xr:uid="{00000000-0005-0000-0000-0000D2470000}"/>
    <cellStyle name="Separador de milhares 3 16 11 5" xfId="34320" xr:uid="{00000000-0005-0000-0000-0000D3470000}"/>
    <cellStyle name="Separador de milhares 3 16 12" xfId="4740" xr:uid="{00000000-0005-0000-0000-0000D4470000}"/>
    <cellStyle name="Separador de milhares 3 16 12 2" xfId="23381" xr:uid="{00000000-0005-0000-0000-0000D5470000}"/>
    <cellStyle name="Separador de milhares 3 16 12 2 2" xfId="49568" xr:uid="{00000000-0005-0000-0000-0000D6470000}"/>
    <cellStyle name="Separador de milhares 3 16 12 3" xfId="30938" xr:uid="{00000000-0005-0000-0000-0000D7470000}"/>
    <cellStyle name="Separador de milhares 3 16 13" xfId="17467" xr:uid="{00000000-0005-0000-0000-0000D8470000}"/>
    <cellStyle name="Separador de milhares 3 16 13 2" xfId="43660" xr:uid="{00000000-0005-0000-0000-0000D9470000}"/>
    <cellStyle name="Separador de milhares 3 16 14" xfId="11129" xr:uid="{00000000-0005-0000-0000-0000DA470000}"/>
    <cellStyle name="Separador de milhares 3 16 14 2" xfId="37322" xr:uid="{00000000-0005-0000-0000-0000DB470000}"/>
    <cellStyle name="Separador de milhares 3 16 15" xfId="29241" xr:uid="{00000000-0005-0000-0000-0000DC470000}"/>
    <cellStyle name="Separador de milhares 3 16 2" xfId="394" xr:uid="{00000000-0005-0000-0000-0000DD470000}"/>
    <cellStyle name="Separador de milhares 3 16 2 10" xfId="17541" xr:uid="{00000000-0005-0000-0000-0000DE470000}"/>
    <cellStyle name="Separador de milhares 3 16 2 10 2" xfId="43734" xr:uid="{00000000-0005-0000-0000-0000DF470000}"/>
    <cellStyle name="Separador de milhares 3 16 2 11" xfId="11210" xr:uid="{00000000-0005-0000-0000-0000E0470000}"/>
    <cellStyle name="Separador de milhares 3 16 2 11 2" xfId="37403" xr:uid="{00000000-0005-0000-0000-0000E1470000}"/>
    <cellStyle name="Separador de milhares 3 16 2 12" xfId="29321" xr:uid="{00000000-0005-0000-0000-0000E2470000}"/>
    <cellStyle name="Separador de milhares 3 16 2 2" xfId="1913" xr:uid="{00000000-0005-0000-0000-0000E3470000}"/>
    <cellStyle name="Separador de milhares 3 16 2 2 2" xfId="6960" xr:uid="{00000000-0005-0000-0000-0000E4470000}"/>
    <cellStyle name="Separador de milhares 3 16 2 2 2 2" xfId="10107" xr:uid="{00000000-0005-0000-0000-0000E5470000}"/>
    <cellStyle name="Separador de milhares 3 16 2 2 2 2 2" xfId="28321" xr:uid="{00000000-0005-0000-0000-0000E6470000}"/>
    <cellStyle name="Separador de milhares 3 16 2 2 2 2 2 2" xfId="54502" xr:uid="{00000000-0005-0000-0000-0000E7470000}"/>
    <cellStyle name="Separador de milhares 3 16 2 2 2 2 3" xfId="22407" xr:uid="{00000000-0005-0000-0000-0000E8470000}"/>
    <cellStyle name="Separador de milhares 3 16 2 2 2 2 3 2" xfId="48594" xr:uid="{00000000-0005-0000-0000-0000E9470000}"/>
    <cellStyle name="Separador de milhares 3 16 2 2 2 2 4" xfId="16493" xr:uid="{00000000-0005-0000-0000-0000EA470000}"/>
    <cellStyle name="Separador de milhares 3 16 2 2 2 2 4 2" xfId="42686" xr:uid="{00000000-0005-0000-0000-0000EB470000}"/>
    <cellStyle name="Separador de milhares 3 16 2 2 2 2 5" xfId="36300" xr:uid="{00000000-0005-0000-0000-0000EC470000}"/>
    <cellStyle name="Separador de milhares 3 16 2 2 2 3" xfId="25364" xr:uid="{00000000-0005-0000-0000-0000ED470000}"/>
    <cellStyle name="Separador de milhares 3 16 2 2 2 3 2" xfId="51548" xr:uid="{00000000-0005-0000-0000-0000EE470000}"/>
    <cellStyle name="Separador de milhares 3 16 2 2 2 4" xfId="19450" xr:uid="{00000000-0005-0000-0000-0000EF470000}"/>
    <cellStyle name="Separador de milhares 3 16 2 2 2 4 2" xfId="45640" xr:uid="{00000000-0005-0000-0000-0000F0470000}"/>
    <cellStyle name="Separador de milhares 3 16 2 2 2 5" xfId="13349" xr:uid="{00000000-0005-0000-0000-0000F1470000}"/>
    <cellStyle name="Separador de milhares 3 16 2 2 2 5 2" xfId="39542" xr:uid="{00000000-0005-0000-0000-0000F2470000}"/>
    <cellStyle name="Separador de milhares 3 16 2 2 2 6" xfId="33156" xr:uid="{00000000-0005-0000-0000-0000F3470000}"/>
    <cellStyle name="Separador de milhares 3 16 2 2 3" xfId="8639" xr:uid="{00000000-0005-0000-0000-0000F4470000}"/>
    <cellStyle name="Separador de milhares 3 16 2 2 3 2" xfId="26853" xr:uid="{00000000-0005-0000-0000-0000F5470000}"/>
    <cellStyle name="Separador de milhares 3 16 2 2 3 2 2" xfId="53034" xr:uid="{00000000-0005-0000-0000-0000F6470000}"/>
    <cellStyle name="Separador de milhares 3 16 2 2 3 3" xfId="20939" xr:uid="{00000000-0005-0000-0000-0000F7470000}"/>
    <cellStyle name="Separador de milhares 3 16 2 2 3 3 2" xfId="47126" xr:uid="{00000000-0005-0000-0000-0000F8470000}"/>
    <cellStyle name="Separador de milhares 3 16 2 2 3 4" xfId="15025" xr:uid="{00000000-0005-0000-0000-0000F9470000}"/>
    <cellStyle name="Separador de milhares 3 16 2 2 3 4 2" xfId="41218" xr:uid="{00000000-0005-0000-0000-0000FA470000}"/>
    <cellStyle name="Separador de milhares 3 16 2 2 3 5" xfId="34832" xr:uid="{00000000-0005-0000-0000-0000FB470000}"/>
    <cellStyle name="Separador de milhares 3 16 2 2 4" xfId="5261" xr:uid="{00000000-0005-0000-0000-0000FC470000}"/>
    <cellStyle name="Separador de milhares 3 16 2 2 4 2" xfId="23896" xr:uid="{00000000-0005-0000-0000-0000FD470000}"/>
    <cellStyle name="Separador de milhares 3 16 2 2 4 2 2" xfId="50080" xr:uid="{00000000-0005-0000-0000-0000FE470000}"/>
    <cellStyle name="Separador de milhares 3 16 2 2 4 3" xfId="31457" xr:uid="{00000000-0005-0000-0000-0000FF470000}"/>
    <cellStyle name="Separador de milhares 3 16 2 2 5" xfId="17982" xr:uid="{00000000-0005-0000-0000-000000480000}"/>
    <cellStyle name="Separador de milhares 3 16 2 2 5 2" xfId="44172" xr:uid="{00000000-0005-0000-0000-000001480000}"/>
    <cellStyle name="Separador de milhares 3 16 2 2 6" xfId="11648" xr:uid="{00000000-0005-0000-0000-000002480000}"/>
    <cellStyle name="Separador de milhares 3 16 2 2 6 2" xfId="37841" xr:uid="{00000000-0005-0000-0000-000003480000}"/>
    <cellStyle name="Separador de milhares 3 16 2 2 7" xfId="29759" xr:uid="{00000000-0005-0000-0000-000004480000}"/>
    <cellStyle name="Separador de milhares 3 16 2 3" xfId="2443" xr:uid="{00000000-0005-0000-0000-000005480000}"/>
    <cellStyle name="Separador de milhares 3 16 2 3 2" xfId="7110" xr:uid="{00000000-0005-0000-0000-000006480000}"/>
    <cellStyle name="Separador de milhares 3 16 2 3 2 2" xfId="10254" xr:uid="{00000000-0005-0000-0000-000007480000}"/>
    <cellStyle name="Separador de milhares 3 16 2 3 2 2 2" xfId="28468" xr:uid="{00000000-0005-0000-0000-000008480000}"/>
    <cellStyle name="Separador de milhares 3 16 2 3 2 2 2 2" xfId="54649" xr:uid="{00000000-0005-0000-0000-000009480000}"/>
    <cellStyle name="Separador de milhares 3 16 2 3 2 2 3" xfId="22554" xr:uid="{00000000-0005-0000-0000-00000A480000}"/>
    <cellStyle name="Separador de milhares 3 16 2 3 2 2 3 2" xfId="48741" xr:uid="{00000000-0005-0000-0000-00000B480000}"/>
    <cellStyle name="Separador de milhares 3 16 2 3 2 2 4" xfId="16640" xr:uid="{00000000-0005-0000-0000-00000C480000}"/>
    <cellStyle name="Separador de milhares 3 16 2 3 2 2 4 2" xfId="42833" xr:uid="{00000000-0005-0000-0000-00000D480000}"/>
    <cellStyle name="Separador de milhares 3 16 2 3 2 2 5" xfId="36447" xr:uid="{00000000-0005-0000-0000-00000E480000}"/>
    <cellStyle name="Separador de milhares 3 16 2 3 2 3" xfId="25511" xr:uid="{00000000-0005-0000-0000-00000F480000}"/>
    <cellStyle name="Separador de milhares 3 16 2 3 2 3 2" xfId="51695" xr:uid="{00000000-0005-0000-0000-000010480000}"/>
    <cellStyle name="Separador de milhares 3 16 2 3 2 4" xfId="19597" xr:uid="{00000000-0005-0000-0000-000011480000}"/>
    <cellStyle name="Separador de milhares 3 16 2 3 2 4 2" xfId="45787" xr:uid="{00000000-0005-0000-0000-000012480000}"/>
    <cellStyle name="Separador de milhares 3 16 2 3 2 5" xfId="13499" xr:uid="{00000000-0005-0000-0000-000013480000}"/>
    <cellStyle name="Separador de milhares 3 16 2 3 2 5 2" xfId="39692" xr:uid="{00000000-0005-0000-0000-000014480000}"/>
    <cellStyle name="Separador de milhares 3 16 2 3 2 6" xfId="33306" xr:uid="{00000000-0005-0000-0000-000015480000}"/>
    <cellStyle name="Separador de milhares 3 16 2 3 3" xfId="8786" xr:uid="{00000000-0005-0000-0000-000016480000}"/>
    <cellStyle name="Separador de milhares 3 16 2 3 3 2" xfId="27000" xr:uid="{00000000-0005-0000-0000-000017480000}"/>
    <cellStyle name="Separador de milhares 3 16 2 3 3 2 2" xfId="53181" xr:uid="{00000000-0005-0000-0000-000018480000}"/>
    <cellStyle name="Separador de milhares 3 16 2 3 3 3" xfId="21086" xr:uid="{00000000-0005-0000-0000-000019480000}"/>
    <cellStyle name="Separador de milhares 3 16 2 3 3 3 2" xfId="47273" xr:uid="{00000000-0005-0000-0000-00001A480000}"/>
    <cellStyle name="Separador de milhares 3 16 2 3 3 4" xfId="15172" xr:uid="{00000000-0005-0000-0000-00001B480000}"/>
    <cellStyle name="Separador de milhares 3 16 2 3 3 4 2" xfId="41365" xr:uid="{00000000-0005-0000-0000-00001C480000}"/>
    <cellStyle name="Separador de milhares 3 16 2 3 3 5" xfId="34979" xr:uid="{00000000-0005-0000-0000-00001D480000}"/>
    <cellStyle name="Separador de milhares 3 16 2 3 4" xfId="5411" xr:uid="{00000000-0005-0000-0000-00001E480000}"/>
    <cellStyle name="Separador de milhares 3 16 2 3 4 2" xfId="24043" xr:uid="{00000000-0005-0000-0000-00001F480000}"/>
    <cellStyle name="Separador de milhares 3 16 2 3 4 2 2" xfId="50227" xr:uid="{00000000-0005-0000-0000-000020480000}"/>
    <cellStyle name="Separador de milhares 3 16 2 3 4 3" xfId="31607" xr:uid="{00000000-0005-0000-0000-000021480000}"/>
    <cellStyle name="Separador de milhares 3 16 2 3 5" xfId="18129" xr:uid="{00000000-0005-0000-0000-000022480000}"/>
    <cellStyle name="Separador de milhares 3 16 2 3 5 2" xfId="44319" xr:uid="{00000000-0005-0000-0000-000023480000}"/>
    <cellStyle name="Separador de milhares 3 16 2 3 6" xfId="11798" xr:uid="{00000000-0005-0000-0000-000024480000}"/>
    <cellStyle name="Separador de milhares 3 16 2 3 6 2" xfId="37991" xr:uid="{00000000-0005-0000-0000-000025480000}"/>
    <cellStyle name="Separador de milhares 3 16 2 3 7" xfId="29909" xr:uid="{00000000-0005-0000-0000-000026480000}"/>
    <cellStyle name="Separador de milhares 3 16 2 4" xfId="2970" xr:uid="{00000000-0005-0000-0000-000027480000}"/>
    <cellStyle name="Separador de milhares 3 16 2 4 2" xfId="7257" xr:uid="{00000000-0005-0000-0000-000028480000}"/>
    <cellStyle name="Separador de milhares 3 16 2 4 2 2" xfId="10401" xr:uid="{00000000-0005-0000-0000-000029480000}"/>
    <cellStyle name="Separador de milhares 3 16 2 4 2 2 2" xfId="28615" xr:uid="{00000000-0005-0000-0000-00002A480000}"/>
    <cellStyle name="Separador de milhares 3 16 2 4 2 2 2 2" xfId="54796" xr:uid="{00000000-0005-0000-0000-00002B480000}"/>
    <cellStyle name="Separador de milhares 3 16 2 4 2 2 3" xfId="22701" xr:uid="{00000000-0005-0000-0000-00002C480000}"/>
    <cellStyle name="Separador de milhares 3 16 2 4 2 2 3 2" xfId="48888" xr:uid="{00000000-0005-0000-0000-00002D480000}"/>
    <cellStyle name="Separador de milhares 3 16 2 4 2 2 4" xfId="16787" xr:uid="{00000000-0005-0000-0000-00002E480000}"/>
    <cellStyle name="Separador de milhares 3 16 2 4 2 2 4 2" xfId="42980" xr:uid="{00000000-0005-0000-0000-00002F480000}"/>
    <cellStyle name="Separador de milhares 3 16 2 4 2 2 5" xfId="36594" xr:uid="{00000000-0005-0000-0000-000030480000}"/>
    <cellStyle name="Separador de milhares 3 16 2 4 2 3" xfId="25658" xr:uid="{00000000-0005-0000-0000-000031480000}"/>
    <cellStyle name="Separador de milhares 3 16 2 4 2 3 2" xfId="51842" xr:uid="{00000000-0005-0000-0000-000032480000}"/>
    <cellStyle name="Separador de milhares 3 16 2 4 2 4" xfId="19744" xr:uid="{00000000-0005-0000-0000-000033480000}"/>
    <cellStyle name="Separador de milhares 3 16 2 4 2 4 2" xfId="45934" xr:uid="{00000000-0005-0000-0000-000034480000}"/>
    <cellStyle name="Separador de milhares 3 16 2 4 2 5" xfId="13646" xr:uid="{00000000-0005-0000-0000-000035480000}"/>
    <cellStyle name="Separador de milhares 3 16 2 4 2 5 2" xfId="39839" xr:uid="{00000000-0005-0000-0000-000036480000}"/>
    <cellStyle name="Separador de milhares 3 16 2 4 2 6" xfId="33453" xr:uid="{00000000-0005-0000-0000-000037480000}"/>
    <cellStyle name="Separador de milhares 3 16 2 4 3" xfId="8933" xr:uid="{00000000-0005-0000-0000-000038480000}"/>
    <cellStyle name="Separador de milhares 3 16 2 4 3 2" xfId="27147" xr:uid="{00000000-0005-0000-0000-000039480000}"/>
    <cellStyle name="Separador de milhares 3 16 2 4 3 2 2" xfId="53328" xr:uid="{00000000-0005-0000-0000-00003A480000}"/>
    <cellStyle name="Separador de milhares 3 16 2 4 3 3" xfId="21233" xr:uid="{00000000-0005-0000-0000-00003B480000}"/>
    <cellStyle name="Separador de milhares 3 16 2 4 3 3 2" xfId="47420" xr:uid="{00000000-0005-0000-0000-00003C480000}"/>
    <cellStyle name="Separador de milhares 3 16 2 4 3 4" xfId="15319" xr:uid="{00000000-0005-0000-0000-00003D480000}"/>
    <cellStyle name="Separador de milhares 3 16 2 4 3 4 2" xfId="41512" xr:uid="{00000000-0005-0000-0000-00003E480000}"/>
    <cellStyle name="Separador de milhares 3 16 2 4 3 5" xfId="35126" xr:uid="{00000000-0005-0000-0000-00003F480000}"/>
    <cellStyle name="Separador de milhares 3 16 2 4 4" xfId="5558" xr:uid="{00000000-0005-0000-0000-000040480000}"/>
    <cellStyle name="Separador de milhares 3 16 2 4 4 2" xfId="24190" xr:uid="{00000000-0005-0000-0000-000041480000}"/>
    <cellStyle name="Separador de milhares 3 16 2 4 4 2 2" xfId="50374" xr:uid="{00000000-0005-0000-0000-000042480000}"/>
    <cellStyle name="Separador de milhares 3 16 2 4 4 3" xfId="31754" xr:uid="{00000000-0005-0000-0000-000043480000}"/>
    <cellStyle name="Separador de milhares 3 16 2 4 5" xfId="18276" xr:uid="{00000000-0005-0000-0000-000044480000}"/>
    <cellStyle name="Separador de milhares 3 16 2 4 5 2" xfId="44466" xr:uid="{00000000-0005-0000-0000-000045480000}"/>
    <cellStyle name="Separador de milhares 3 16 2 4 6" xfId="11945" xr:uid="{00000000-0005-0000-0000-000046480000}"/>
    <cellStyle name="Separador de milhares 3 16 2 4 6 2" xfId="38138" xr:uid="{00000000-0005-0000-0000-000047480000}"/>
    <cellStyle name="Separador de milhares 3 16 2 4 7" xfId="30056" xr:uid="{00000000-0005-0000-0000-000048480000}"/>
    <cellStyle name="Separador de milhares 3 16 2 5" xfId="3497" xr:uid="{00000000-0005-0000-0000-000049480000}"/>
    <cellStyle name="Separador de milhares 3 16 2 5 2" xfId="7404" xr:uid="{00000000-0005-0000-0000-00004A480000}"/>
    <cellStyle name="Separador de milhares 3 16 2 5 2 2" xfId="10548" xr:uid="{00000000-0005-0000-0000-00004B480000}"/>
    <cellStyle name="Separador de milhares 3 16 2 5 2 2 2" xfId="28762" xr:uid="{00000000-0005-0000-0000-00004C480000}"/>
    <cellStyle name="Separador de milhares 3 16 2 5 2 2 2 2" xfId="54943" xr:uid="{00000000-0005-0000-0000-00004D480000}"/>
    <cellStyle name="Separador de milhares 3 16 2 5 2 2 3" xfId="22848" xr:uid="{00000000-0005-0000-0000-00004E480000}"/>
    <cellStyle name="Separador de milhares 3 16 2 5 2 2 3 2" xfId="49035" xr:uid="{00000000-0005-0000-0000-00004F480000}"/>
    <cellStyle name="Separador de milhares 3 16 2 5 2 2 4" xfId="16934" xr:uid="{00000000-0005-0000-0000-000050480000}"/>
    <cellStyle name="Separador de milhares 3 16 2 5 2 2 4 2" xfId="43127" xr:uid="{00000000-0005-0000-0000-000051480000}"/>
    <cellStyle name="Separador de milhares 3 16 2 5 2 2 5" xfId="36741" xr:uid="{00000000-0005-0000-0000-000052480000}"/>
    <cellStyle name="Separador de milhares 3 16 2 5 2 3" xfId="25805" xr:uid="{00000000-0005-0000-0000-000053480000}"/>
    <cellStyle name="Separador de milhares 3 16 2 5 2 3 2" xfId="51989" xr:uid="{00000000-0005-0000-0000-000054480000}"/>
    <cellStyle name="Separador de milhares 3 16 2 5 2 4" xfId="19891" xr:uid="{00000000-0005-0000-0000-000055480000}"/>
    <cellStyle name="Separador de milhares 3 16 2 5 2 4 2" xfId="46081" xr:uid="{00000000-0005-0000-0000-000056480000}"/>
    <cellStyle name="Separador de milhares 3 16 2 5 2 5" xfId="13793" xr:uid="{00000000-0005-0000-0000-000057480000}"/>
    <cellStyle name="Separador de milhares 3 16 2 5 2 5 2" xfId="39986" xr:uid="{00000000-0005-0000-0000-000058480000}"/>
    <cellStyle name="Separador de milhares 3 16 2 5 2 6" xfId="33600" xr:uid="{00000000-0005-0000-0000-000059480000}"/>
    <cellStyle name="Separador de milhares 3 16 2 5 3" xfId="9080" xr:uid="{00000000-0005-0000-0000-00005A480000}"/>
    <cellStyle name="Separador de milhares 3 16 2 5 3 2" xfId="27294" xr:uid="{00000000-0005-0000-0000-00005B480000}"/>
    <cellStyle name="Separador de milhares 3 16 2 5 3 2 2" xfId="53475" xr:uid="{00000000-0005-0000-0000-00005C480000}"/>
    <cellStyle name="Separador de milhares 3 16 2 5 3 3" xfId="21380" xr:uid="{00000000-0005-0000-0000-00005D480000}"/>
    <cellStyle name="Separador de milhares 3 16 2 5 3 3 2" xfId="47567" xr:uid="{00000000-0005-0000-0000-00005E480000}"/>
    <cellStyle name="Separador de milhares 3 16 2 5 3 4" xfId="15466" xr:uid="{00000000-0005-0000-0000-00005F480000}"/>
    <cellStyle name="Separador de milhares 3 16 2 5 3 4 2" xfId="41659" xr:uid="{00000000-0005-0000-0000-000060480000}"/>
    <cellStyle name="Separador de milhares 3 16 2 5 3 5" xfId="35273" xr:uid="{00000000-0005-0000-0000-000061480000}"/>
    <cellStyle name="Separador de milhares 3 16 2 5 4" xfId="5705" xr:uid="{00000000-0005-0000-0000-000062480000}"/>
    <cellStyle name="Separador de milhares 3 16 2 5 4 2" xfId="24337" xr:uid="{00000000-0005-0000-0000-000063480000}"/>
    <cellStyle name="Separador de milhares 3 16 2 5 4 2 2" xfId="50521" xr:uid="{00000000-0005-0000-0000-000064480000}"/>
    <cellStyle name="Separador de milhares 3 16 2 5 4 3" xfId="31901" xr:uid="{00000000-0005-0000-0000-000065480000}"/>
    <cellStyle name="Separador de milhares 3 16 2 5 5" xfId="18423" xr:uid="{00000000-0005-0000-0000-000066480000}"/>
    <cellStyle name="Separador de milhares 3 16 2 5 5 2" xfId="44613" xr:uid="{00000000-0005-0000-0000-000067480000}"/>
    <cellStyle name="Separador de milhares 3 16 2 5 6" xfId="12092" xr:uid="{00000000-0005-0000-0000-000068480000}"/>
    <cellStyle name="Separador de milhares 3 16 2 5 6 2" xfId="38285" xr:uid="{00000000-0005-0000-0000-000069480000}"/>
    <cellStyle name="Separador de milhares 3 16 2 5 7" xfId="30203" xr:uid="{00000000-0005-0000-0000-00006A480000}"/>
    <cellStyle name="Separador de milhares 3 16 2 6" xfId="4024" xr:uid="{00000000-0005-0000-0000-00006B480000}"/>
    <cellStyle name="Separador de milhares 3 16 2 6 2" xfId="7551" xr:uid="{00000000-0005-0000-0000-00006C480000}"/>
    <cellStyle name="Separador de milhares 3 16 2 6 2 2" xfId="10695" xr:uid="{00000000-0005-0000-0000-00006D480000}"/>
    <cellStyle name="Separador de milhares 3 16 2 6 2 2 2" xfId="28909" xr:uid="{00000000-0005-0000-0000-00006E480000}"/>
    <cellStyle name="Separador de milhares 3 16 2 6 2 2 2 2" xfId="55090" xr:uid="{00000000-0005-0000-0000-00006F480000}"/>
    <cellStyle name="Separador de milhares 3 16 2 6 2 2 3" xfId="22995" xr:uid="{00000000-0005-0000-0000-000070480000}"/>
    <cellStyle name="Separador de milhares 3 16 2 6 2 2 3 2" xfId="49182" xr:uid="{00000000-0005-0000-0000-000071480000}"/>
    <cellStyle name="Separador de milhares 3 16 2 6 2 2 4" xfId="17081" xr:uid="{00000000-0005-0000-0000-000072480000}"/>
    <cellStyle name="Separador de milhares 3 16 2 6 2 2 4 2" xfId="43274" xr:uid="{00000000-0005-0000-0000-000073480000}"/>
    <cellStyle name="Separador de milhares 3 16 2 6 2 2 5" xfId="36888" xr:uid="{00000000-0005-0000-0000-000074480000}"/>
    <cellStyle name="Separador de milhares 3 16 2 6 2 3" xfId="25952" xr:uid="{00000000-0005-0000-0000-000075480000}"/>
    <cellStyle name="Separador de milhares 3 16 2 6 2 3 2" xfId="52136" xr:uid="{00000000-0005-0000-0000-000076480000}"/>
    <cellStyle name="Separador de milhares 3 16 2 6 2 4" xfId="20038" xr:uid="{00000000-0005-0000-0000-000077480000}"/>
    <cellStyle name="Separador de milhares 3 16 2 6 2 4 2" xfId="46228" xr:uid="{00000000-0005-0000-0000-000078480000}"/>
    <cellStyle name="Separador de milhares 3 16 2 6 2 5" xfId="13940" xr:uid="{00000000-0005-0000-0000-000079480000}"/>
    <cellStyle name="Separador de milhares 3 16 2 6 2 5 2" xfId="40133" xr:uid="{00000000-0005-0000-0000-00007A480000}"/>
    <cellStyle name="Separador de milhares 3 16 2 6 2 6" xfId="33747" xr:uid="{00000000-0005-0000-0000-00007B480000}"/>
    <cellStyle name="Separador de milhares 3 16 2 6 3" xfId="9227" xr:uid="{00000000-0005-0000-0000-00007C480000}"/>
    <cellStyle name="Separador de milhares 3 16 2 6 3 2" xfId="27441" xr:uid="{00000000-0005-0000-0000-00007D480000}"/>
    <cellStyle name="Separador de milhares 3 16 2 6 3 2 2" xfId="53622" xr:uid="{00000000-0005-0000-0000-00007E480000}"/>
    <cellStyle name="Separador de milhares 3 16 2 6 3 3" xfId="21527" xr:uid="{00000000-0005-0000-0000-00007F480000}"/>
    <cellStyle name="Separador de milhares 3 16 2 6 3 3 2" xfId="47714" xr:uid="{00000000-0005-0000-0000-000080480000}"/>
    <cellStyle name="Separador de milhares 3 16 2 6 3 4" xfId="15613" xr:uid="{00000000-0005-0000-0000-000081480000}"/>
    <cellStyle name="Separador de milhares 3 16 2 6 3 4 2" xfId="41806" xr:uid="{00000000-0005-0000-0000-000082480000}"/>
    <cellStyle name="Separador de milhares 3 16 2 6 3 5" xfId="35420" xr:uid="{00000000-0005-0000-0000-000083480000}"/>
    <cellStyle name="Separador de milhares 3 16 2 6 4" xfId="5852" xr:uid="{00000000-0005-0000-0000-000084480000}"/>
    <cellStyle name="Separador de milhares 3 16 2 6 4 2" xfId="24484" xr:uid="{00000000-0005-0000-0000-000085480000}"/>
    <cellStyle name="Separador de milhares 3 16 2 6 4 2 2" xfId="50668" xr:uid="{00000000-0005-0000-0000-000086480000}"/>
    <cellStyle name="Separador de milhares 3 16 2 6 4 3" xfId="32048" xr:uid="{00000000-0005-0000-0000-000087480000}"/>
    <cellStyle name="Separador de milhares 3 16 2 6 5" xfId="18570" xr:uid="{00000000-0005-0000-0000-000088480000}"/>
    <cellStyle name="Separador de milhares 3 16 2 6 5 2" xfId="44760" xr:uid="{00000000-0005-0000-0000-000089480000}"/>
    <cellStyle name="Separador de milhares 3 16 2 6 6" xfId="12239" xr:uid="{00000000-0005-0000-0000-00008A480000}"/>
    <cellStyle name="Separador de milhares 3 16 2 6 6 2" xfId="38432" xr:uid="{00000000-0005-0000-0000-00008B480000}"/>
    <cellStyle name="Separador de milhares 3 16 2 6 7" xfId="30350" xr:uid="{00000000-0005-0000-0000-00008C480000}"/>
    <cellStyle name="Separador de milhares 3 16 2 7" xfId="6522" xr:uid="{00000000-0005-0000-0000-00008D480000}"/>
    <cellStyle name="Separador de milhares 3 16 2 7 2" xfId="9669" xr:uid="{00000000-0005-0000-0000-00008E480000}"/>
    <cellStyle name="Separador de milhares 3 16 2 7 2 2" xfId="27883" xr:uid="{00000000-0005-0000-0000-00008F480000}"/>
    <cellStyle name="Separador de milhares 3 16 2 7 2 2 2" xfId="54064" xr:uid="{00000000-0005-0000-0000-000090480000}"/>
    <cellStyle name="Separador de milhares 3 16 2 7 2 3" xfId="21969" xr:uid="{00000000-0005-0000-0000-000091480000}"/>
    <cellStyle name="Separador de milhares 3 16 2 7 2 3 2" xfId="48156" xr:uid="{00000000-0005-0000-0000-000092480000}"/>
    <cellStyle name="Separador de milhares 3 16 2 7 2 4" xfId="16055" xr:uid="{00000000-0005-0000-0000-000093480000}"/>
    <cellStyle name="Separador de milhares 3 16 2 7 2 4 2" xfId="42248" xr:uid="{00000000-0005-0000-0000-000094480000}"/>
    <cellStyle name="Separador de milhares 3 16 2 7 2 5" xfId="35862" xr:uid="{00000000-0005-0000-0000-000095480000}"/>
    <cellStyle name="Separador de milhares 3 16 2 7 3" xfId="24926" xr:uid="{00000000-0005-0000-0000-000096480000}"/>
    <cellStyle name="Separador de milhares 3 16 2 7 3 2" xfId="51110" xr:uid="{00000000-0005-0000-0000-000097480000}"/>
    <cellStyle name="Separador de milhares 3 16 2 7 4" xfId="19012" xr:uid="{00000000-0005-0000-0000-000098480000}"/>
    <cellStyle name="Separador de milhares 3 16 2 7 4 2" xfId="45202" xr:uid="{00000000-0005-0000-0000-000099480000}"/>
    <cellStyle name="Separador de milhares 3 16 2 7 5" xfId="12911" xr:uid="{00000000-0005-0000-0000-00009A480000}"/>
    <cellStyle name="Separador de milhares 3 16 2 7 5 2" xfId="39104" xr:uid="{00000000-0005-0000-0000-00009B480000}"/>
    <cellStyle name="Separador de milhares 3 16 2 7 6" xfId="32718" xr:uid="{00000000-0005-0000-0000-00009C480000}"/>
    <cellStyle name="Separador de milhares 3 16 2 8" xfId="8198" xr:uid="{00000000-0005-0000-0000-00009D480000}"/>
    <cellStyle name="Separador de milhares 3 16 2 8 2" xfId="26412" xr:uid="{00000000-0005-0000-0000-00009E480000}"/>
    <cellStyle name="Separador de milhares 3 16 2 8 2 2" xfId="52596" xr:uid="{00000000-0005-0000-0000-00009F480000}"/>
    <cellStyle name="Separador de milhares 3 16 2 8 3" xfId="20498" xr:uid="{00000000-0005-0000-0000-0000A0480000}"/>
    <cellStyle name="Separador de milhares 3 16 2 8 3 2" xfId="46688" xr:uid="{00000000-0005-0000-0000-0000A1480000}"/>
    <cellStyle name="Separador de milhares 3 16 2 8 4" xfId="14587" xr:uid="{00000000-0005-0000-0000-0000A2480000}"/>
    <cellStyle name="Separador de milhares 3 16 2 8 4 2" xfId="40780" xr:uid="{00000000-0005-0000-0000-0000A3480000}"/>
    <cellStyle name="Separador de milhares 3 16 2 8 5" xfId="34394" xr:uid="{00000000-0005-0000-0000-0000A4480000}"/>
    <cellStyle name="Separador de milhares 3 16 2 9" xfId="4821" xr:uid="{00000000-0005-0000-0000-0000A5480000}"/>
    <cellStyle name="Separador de milhares 3 16 2 9 2" xfId="23455" xr:uid="{00000000-0005-0000-0000-0000A6480000}"/>
    <cellStyle name="Separador de milhares 3 16 2 9 2 2" xfId="49642" xr:uid="{00000000-0005-0000-0000-0000A7480000}"/>
    <cellStyle name="Separador de milhares 3 16 2 9 3" xfId="31019" xr:uid="{00000000-0005-0000-0000-0000A8480000}"/>
    <cellStyle name="Separador de milhares 3 16 3" xfId="867" xr:uid="{00000000-0005-0000-0000-0000A9480000}"/>
    <cellStyle name="Separador de milhares 3 16 3 2" xfId="6673" xr:uid="{00000000-0005-0000-0000-0000AA480000}"/>
    <cellStyle name="Separador de milhares 3 16 3 2 2" xfId="9820" xr:uid="{00000000-0005-0000-0000-0000AB480000}"/>
    <cellStyle name="Separador de milhares 3 16 3 2 2 2" xfId="28034" xr:uid="{00000000-0005-0000-0000-0000AC480000}"/>
    <cellStyle name="Separador de milhares 3 16 3 2 2 2 2" xfId="54215" xr:uid="{00000000-0005-0000-0000-0000AD480000}"/>
    <cellStyle name="Separador de milhares 3 16 3 2 2 3" xfId="22120" xr:uid="{00000000-0005-0000-0000-0000AE480000}"/>
    <cellStyle name="Separador de milhares 3 16 3 2 2 3 2" xfId="48307" xr:uid="{00000000-0005-0000-0000-0000AF480000}"/>
    <cellStyle name="Separador de milhares 3 16 3 2 2 4" xfId="16206" xr:uid="{00000000-0005-0000-0000-0000B0480000}"/>
    <cellStyle name="Separador de milhares 3 16 3 2 2 4 2" xfId="42399" xr:uid="{00000000-0005-0000-0000-0000B1480000}"/>
    <cellStyle name="Separador de milhares 3 16 3 2 2 5" xfId="36013" xr:uid="{00000000-0005-0000-0000-0000B2480000}"/>
    <cellStyle name="Separador de milhares 3 16 3 2 3" xfId="25077" xr:uid="{00000000-0005-0000-0000-0000B3480000}"/>
    <cellStyle name="Separador de milhares 3 16 3 2 3 2" xfId="51261" xr:uid="{00000000-0005-0000-0000-0000B4480000}"/>
    <cellStyle name="Separador de milhares 3 16 3 2 4" xfId="19163" xr:uid="{00000000-0005-0000-0000-0000B5480000}"/>
    <cellStyle name="Separador de milhares 3 16 3 2 4 2" xfId="45353" xr:uid="{00000000-0005-0000-0000-0000B6480000}"/>
    <cellStyle name="Separador de milhares 3 16 3 2 5" xfId="13062" xr:uid="{00000000-0005-0000-0000-0000B7480000}"/>
    <cellStyle name="Separador de milhares 3 16 3 2 5 2" xfId="39255" xr:uid="{00000000-0005-0000-0000-0000B8480000}"/>
    <cellStyle name="Separador de milhares 3 16 3 2 6" xfId="32869" xr:uid="{00000000-0005-0000-0000-0000B9480000}"/>
    <cellStyle name="Separador de milhares 3 16 3 3" xfId="8352" xr:uid="{00000000-0005-0000-0000-0000BA480000}"/>
    <cellStyle name="Separador de milhares 3 16 3 3 2" xfId="26566" xr:uid="{00000000-0005-0000-0000-0000BB480000}"/>
    <cellStyle name="Separador de milhares 3 16 3 3 2 2" xfId="52747" xr:uid="{00000000-0005-0000-0000-0000BC480000}"/>
    <cellStyle name="Separador de milhares 3 16 3 3 3" xfId="20652" xr:uid="{00000000-0005-0000-0000-0000BD480000}"/>
    <cellStyle name="Separador de milhares 3 16 3 3 3 2" xfId="46839" xr:uid="{00000000-0005-0000-0000-0000BE480000}"/>
    <cellStyle name="Separador de milhares 3 16 3 3 4" xfId="14738" xr:uid="{00000000-0005-0000-0000-0000BF480000}"/>
    <cellStyle name="Separador de milhares 3 16 3 3 4 2" xfId="40931" xr:uid="{00000000-0005-0000-0000-0000C0480000}"/>
    <cellStyle name="Separador de milhares 3 16 3 3 5" xfId="34545" xr:uid="{00000000-0005-0000-0000-0000C1480000}"/>
    <cellStyle name="Separador de milhares 3 16 3 4" xfId="4974" xr:uid="{00000000-0005-0000-0000-0000C2480000}"/>
    <cellStyle name="Separador de milhares 3 16 3 4 2" xfId="23609" xr:uid="{00000000-0005-0000-0000-0000C3480000}"/>
    <cellStyle name="Separador de milhares 3 16 3 4 2 2" xfId="49793" xr:uid="{00000000-0005-0000-0000-0000C4480000}"/>
    <cellStyle name="Separador de milhares 3 16 3 4 3" xfId="31170" xr:uid="{00000000-0005-0000-0000-0000C5480000}"/>
    <cellStyle name="Separador de milhares 3 16 3 5" xfId="17695" xr:uid="{00000000-0005-0000-0000-0000C6480000}"/>
    <cellStyle name="Separador de milhares 3 16 3 5 2" xfId="43885" xr:uid="{00000000-0005-0000-0000-0000C7480000}"/>
    <cellStyle name="Separador de milhares 3 16 3 6" xfId="11361" xr:uid="{00000000-0005-0000-0000-0000C8480000}"/>
    <cellStyle name="Separador de milhares 3 16 3 6 2" xfId="37554" xr:uid="{00000000-0005-0000-0000-0000C9480000}"/>
    <cellStyle name="Separador de milhares 3 16 3 7" xfId="29472" xr:uid="{00000000-0005-0000-0000-0000CA480000}"/>
    <cellStyle name="Separador de milhares 3 16 4" xfId="1218" xr:uid="{00000000-0005-0000-0000-0000CB480000}"/>
    <cellStyle name="Separador de milhares 3 16 4 2" xfId="6771" xr:uid="{00000000-0005-0000-0000-0000CC480000}"/>
    <cellStyle name="Separador de milhares 3 16 4 2 2" xfId="9918" xr:uid="{00000000-0005-0000-0000-0000CD480000}"/>
    <cellStyle name="Separador de milhares 3 16 4 2 2 2" xfId="28132" xr:uid="{00000000-0005-0000-0000-0000CE480000}"/>
    <cellStyle name="Separador de milhares 3 16 4 2 2 2 2" xfId="54313" xr:uid="{00000000-0005-0000-0000-0000CF480000}"/>
    <cellStyle name="Separador de milhares 3 16 4 2 2 3" xfId="22218" xr:uid="{00000000-0005-0000-0000-0000D0480000}"/>
    <cellStyle name="Separador de milhares 3 16 4 2 2 3 2" xfId="48405" xr:uid="{00000000-0005-0000-0000-0000D1480000}"/>
    <cellStyle name="Separador de milhares 3 16 4 2 2 4" xfId="16304" xr:uid="{00000000-0005-0000-0000-0000D2480000}"/>
    <cellStyle name="Separador de milhares 3 16 4 2 2 4 2" xfId="42497" xr:uid="{00000000-0005-0000-0000-0000D3480000}"/>
    <cellStyle name="Separador de milhares 3 16 4 2 2 5" xfId="36111" xr:uid="{00000000-0005-0000-0000-0000D4480000}"/>
    <cellStyle name="Separador de milhares 3 16 4 2 3" xfId="25175" xr:uid="{00000000-0005-0000-0000-0000D5480000}"/>
    <cellStyle name="Separador de milhares 3 16 4 2 3 2" xfId="51359" xr:uid="{00000000-0005-0000-0000-0000D6480000}"/>
    <cellStyle name="Separador de milhares 3 16 4 2 4" xfId="19261" xr:uid="{00000000-0005-0000-0000-0000D7480000}"/>
    <cellStyle name="Separador de milhares 3 16 4 2 4 2" xfId="45451" xr:uid="{00000000-0005-0000-0000-0000D8480000}"/>
    <cellStyle name="Separador de milhares 3 16 4 2 5" xfId="13160" xr:uid="{00000000-0005-0000-0000-0000D9480000}"/>
    <cellStyle name="Separador de milhares 3 16 4 2 5 2" xfId="39353" xr:uid="{00000000-0005-0000-0000-0000DA480000}"/>
    <cellStyle name="Separador de milhares 3 16 4 2 6" xfId="32967" xr:uid="{00000000-0005-0000-0000-0000DB480000}"/>
    <cellStyle name="Separador de milhares 3 16 4 3" xfId="8450" xr:uid="{00000000-0005-0000-0000-0000DC480000}"/>
    <cellStyle name="Separador de milhares 3 16 4 3 2" xfId="26664" xr:uid="{00000000-0005-0000-0000-0000DD480000}"/>
    <cellStyle name="Separador de milhares 3 16 4 3 2 2" xfId="52845" xr:uid="{00000000-0005-0000-0000-0000DE480000}"/>
    <cellStyle name="Separador de milhares 3 16 4 3 3" xfId="20750" xr:uid="{00000000-0005-0000-0000-0000DF480000}"/>
    <cellStyle name="Separador de milhares 3 16 4 3 3 2" xfId="46937" xr:uid="{00000000-0005-0000-0000-0000E0480000}"/>
    <cellStyle name="Separador de milhares 3 16 4 3 4" xfId="14836" xr:uid="{00000000-0005-0000-0000-0000E1480000}"/>
    <cellStyle name="Separador de milhares 3 16 4 3 4 2" xfId="41029" xr:uid="{00000000-0005-0000-0000-0000E2480000}"/>
    <cellStyle name="Separador de milhares 3 16 4 3 5" xfId="34643" xr:uid="{00000000-0005-0000-0000-0000E3480000}"/>
    <cellStyle name="Separador de milhares 3 16 4 4" xfId="5072" xr:uid="{00000000-0005-0000-0000-0000E4480000}"/>
    <cellStyle name="Separador de milhares 3 16 4 4 2" xfId="23707" xr:uid="{00000000-0005-0000-0000-0000E5480000}"/>
    <cellStyle name="Separador de milhares 3 16 4 4 2 2" xfId="49891" xr:uid="{00000000-0005-0000-0000-0000E6480000}"/>
    <cellStyle name="Separador de milhares 3 16 4 4 3" xfId="31268" xr:uid="{00000000-0005-0000-0000-0000E7480000}"/>
    <cellStyle name="Separador de milhares 3 16 4 5" xfId="17793" xr:uid="{00000000-0005-0000-0000-0000E8480000}"/>
    <cellStyle name="Separador de milhares 3 16 4 5 2" xfId="43983" xr:uid="{00000000-0005-0000-0000-0000E9480000}"/>
    <cellStyle name="Separador de milhares 3 16 4 6" xfId="11459" xr:uid="{00000000-0005-0000-0000-0000EA480000}"/>
    <cellStyle name="Separador de milhares 3 16 4 6 2" xfId="37652" xr:uid="{00000000-0005-0000-0000-0000EB480000}"/>
    <cellStyle name="Separador de milhares 3 16 4 7" xfId="29570" xr:uid="{00000000-0005-0000-0000-0000EC480000}"/>
    <cellStyle name="Separador de milhares 3 16 5" xfId="1653" xr:uid="{00000000-0005-0000-0000-0000ED480000}"/>
    <cellStyle name="Separador de milhares 3 16 5 2" xfId="6890" xr:uid="{00000000-0005-0000-0000-0000EE480000}"/>
    <cellStyle name="Separador de milhares 3 16 5 2 2" xfId="10037" xr:uid="{00000000-0005-0000-0000-0000EF480000}"/>
    <cellStyle name="Separador de milhares 3 16 5 2 2 2" xfId="28251" xr:uid="{00000000-0005-0000-0000-0000F0480000}"/>
    <cellStyle name="Separador de milhares 3 16 5 2 2 2 2" xfId="54432" xr:uid="{00000000-0005-0000-0000-0000F1480000}"/>
    <cellStyle name="Separador de milhares 3 16 5 2 2 3" xfId="22337" xr:uid="{00000000-0005-0000-0000-0000F2480000}"/>
    <cellStyle name="Separador de milhares 3 16 5 2 2 3 2" xfId="48524" xr:uid="{00000000-0005-0000-0000-0000F3480000}"/>
    <cellStyle name="Separador de milhares 3 16 5 2 2 4" xfId="16423" xr:uid="{00000000-0005-0000-0000-0000F4480000}"/>
    <cellStyle name="Separador de milhares 3 16 5 2 2 4 2" xfId="42616" xr:uid="{00000000-0005-0000-0000-0000F5480000}"/>
    <cellStyle name="Separador de milhares 3 16 5 2 2 5" xfId="36230" xr:uid="{00000000-0005-0000-0000-0000F6480000}"/>
    <cellStyle name="Separador de milhares 3 16 5 2 3" xfId="25294" xr:uid="{00000000-0005-0000-0000-0000F7480000}"/>
    <cellStyle name="Separador de milhares 3 16 5 2 3 2" xfId="51478" xr:uid="{00000000-0005-0000-0000-0000F8480000}"/>
    <cellStyle name="Separador de milhares 3 16 5 2 4" xfId="19380" xr:uid="{00000000-0005-0000-0000-0000F9480000}"/>
    <cellStyle name="Separador de milhares 3 16 5 2 4 2" xfId="45570" xr:uid="{00000000-0005-0000-0000-0000FA480000}"/>
    <cellStyle name="Separador de milhares 3 16 5 2 5" xfId="13279" xr:uid="{00000000-0005-0000-0000-0000FB480000}"/>
    <cellStyle name="Separador de milhares 3 16 5 2 5 2" xfId="39472" xr:uid="{00000000-0005-0000-0000-0000FC480000}"/>
    <cellStyle name="Separador de milhares 3 16 5 2 6" xfId="33086" xr:uid="{00000000-0005-0000-0000-0000FD480000}"/>
    <cellStyle name="Separador de milhares 3 16 5 3" xfId="8569" xr:uid="{00000000-0005-0000-0000-0000FE480000}"/>
    <cellStyle name="Separador de milhares 3 16 5 3 2" xfId="26783" xr:uid="{00000000-0005-0000-0000-0000FF480000}"/>
    <cellStyle name="Separador de milhares 3 16 5 3 2 2" xfId="52964" xr:uid="{00000000-0005-0000-0000-000000490000}"/>
    <cellStyle name="Separador de milhares 3 16 5 3 3" xfId="20869" xr:uid="{00000000-0005-0000-0000-000001490000}"/>
    <cellStyle name="Separador de milhares 3 16 5 3 3 2" xfId="47056" xr:uid="{00000000-0005-0000-0000-000002490000}"/>
    <cellStyle name="Separador de milhares 3 16 5 3 4" xfId="14955" xr:uid="{00000000-0005-0000-0000-000003490000}"/>
    <cellStyle name="Separador de milhares 3 16 5 3 4 2" xfId="41148" xr:uid="{00000000-0005-0000-0000-000004490000}"/>
    <cellStyle name="Separador de milhares 3 16 5 3 5" xfId="34762" xr:uid="{00000000-0005-0000-0000-000005490000}"/>
    <cellStyle name="Separador de milhares 3 16 5 4" xfId="5191" xr:uid="{00000000-0005-0000-0000-000006490000}"/>
    <cellStyle name="Separador de milhares 3 16 5 4 2" xfId="23826" xr:uid="{00000000-0005-0000-0000-000007490000}"/>
    <cellStyle name="Separador de milhares 3 16 5 4 2 2" xfId="50010" xr:uid="{00000000-0005-0000-0000-000008490000}"/>
    <cellStyle name="Separador de milhares 3 16 5 4 3" xfId="31387" xr:uid="{00000000-0005-0000-0000-000009490000}"/>
    <cellStyle name="Separador de milhares 3 16 5 5" xfId="17912" xr:uid="{00000000-0005-0000-0000-00000A490000}"/>
    <cellStyle name="Separador de milhares 3 16 5 5 2" xfId="44102" xr:uid="{00000000-0005-0000-0000-00000B490000}"/>
    <cellStyle name="Separador de milhares 3 16 5 6" xfId="11578" xr:uid="{00000000-0005-0000-0000-00000C490000}"/>
    <cellStyle name="Separador de milhares 3 16 5 6 2" xfId="37771" xr:uid="{00000000-0005-0000-0000-00000D490000}"/>
    <cellStyle name="Separador de milhares 3 16 5 7" xfId="29689" xr:uid="{00000000-0005-0000-0000-00000E490000}"/>
    <cellStyle name="Separador de milhares 3 16 6" xfId="2183" xr:uid="{00000000-0005-0000-0000-00000F490000}"/>
    <cellStyle name="Separador de milhares 3 16 6 2" xfId="7040" xr:uid="{00000000-0005-0000-0000-000010490000}"/>
    <cellStyle name="Separador de milhares 3 16 6 2 2" xfId="10184" xr:uid="{00000000-0005-0000-0000-000011490000}"/>
    <cellStyle name="Separador de milhares 3 16 6 2 2 2" xfId="28398" xr:uid="{00000000-0005-0000-0000-000012490000}"/>
    <cellStyle name="Separador de milhares 3 16 6 2 2 2 2" xfId="54579" xr:uid="{00000000-0005-0000-0000-000013490000}"/>
    <cellStyle name="Separador de milhares 3 16 6 2 2 3" xfId="22484" xr:uid="{00000000-0005-0000-0000-000014490000}"/>
    <cellStyle name="Separador de milhares 3 16 6 2 2 3 2" xfId="48671" xr:uid="{00000000-0005-0000-0000-000015490000}"/>
    <cellStyle name="Separador de milhares 3 16 6 2 2 4" xfId="16570" xr:uid="{00000000-0005-0000-0000-000016490000}"/>
    <cellStyle name="Separador de milhares 3 16 6 2 2 4 2" xfId="42763" xr:uid="{00000000-0005-0000-0000-000017490000}"/>
    <cellStyle name="Separador de milhares 3 16 6 2 2 5" xfId="36377" xr:uid="{00000000-0005-0000-0000-000018490000}"/>
    <cellStyle name="Separador de milhares 3 16 6 2 3" xfId="25441" xr:uid="{00000000-0005-0000-0000-000019490000}"/>
    <cellStyle name="Separador de milhares 3 16 6 2 3 2" xfId="51625" xr:uid="{00000000-0005-0000-0000-00001A490000}"/>
    <cellStyle name="Separador de milhares 3 16 6 2 4" xfId="19527" xr:uid="{00000000-0005-0000-0000-00001B490000}"/>
    <cellStyle name="Separador de milhares 3 16 6 2 4 2" xfId="45717" xr:uid="{00000000-0005-0000-0000-00001C490000}"/>
    <cellStyle name="Separador de milhares 3 16 6 2 5" xfId="13429" xr:uid="{00000000-0005-0000-0000-00001D490000}"/>
    <cellStyle name="Separador de milhares 3 16 6 2 5 2" xfId="39622" xr:uid="{00000000-0005-0000-0000-00001E490000}"/>
    <cellStyle name="Separador de milhares 3 16 6 2 6" xfId="33236" xr:uid="{00000000-0005-0000-0000-00001F490000}"/>
    <cellStyle name="Separador de milhares 3 16 6 3" xfId="8716" xr:uid="{00000000-0005-0000-0000-000020490000}"/>
    <cellStyle name="Separador de milhares 3 16 6 3 2" xfId="26930" xr:uid="{00000000-0005-0000-0000-000021490000}"/>
    <cellStyle name="Separador de milhares 3 16 6 3 2 2" xfId="53111" xr:uid="{00000000-0005-0000-0000-000022490000}"/>
    <cellStyle name="Separador de milhares 3 16 6 3 3" xfId="21016" xr:uid="{00000000-0005-0000-0000-000023490000}"/>
    <cellStyle name="Separador de milhares 3 16 6 3 3 2" xfId="47203" xr:uid="{00000000-0005-0000-0000-000024490000}"/>
    <cellStyle name="Separador de milhares 3 16 6 3 4" xfId="15102" xr:uid="{00000000-0005-0000-0000-000025490000}"/>
    <cellStyle name="Separador de milhares 3 16 6 3 4 2" xfId="41295" xr:uid="{00000000-0005-0000-0000-000026490000}"/>
    <cellStyle name="Separador de milhares 3 16 6 3 5" xfId="34909" xr:uid="{00000000-0005-0000-0000-000027490000}"/>
    <cellStyle name="Separador de milhares 3 16 6 4" xfId="5341" xr:uid="{00000000-0005-0000-0000-000028490000}"/>
    <cellStyle name="Separador de milhares 3 16 6 4 2" xfId="23973" xr:uid="{00000000-0005-0000-0000-000029490000}"/>
    <cellStyle name="Separador de milhares 3 16 6 4 2 2" xfId="50157" xr:uid="{00000000-0005-0000-0000-00002A490000}"/>
    <cellStyle name="Separador de milhares 3 16 6 4 3" xfId="31537" xr:uid="{00000000-0005-0000-0000-00002B490000}"/>
    <cellStyle name="Separador de milhares 3 16 6 5" xfId="18059" xr:uid="{00000000-0005-0000-0000-00002C490000}"/>
    <cellStyle name="Separador de milhares 3 16 6 5 2" xfId="44249" xr:uid="{00000000-0005-0000-0000-00002D490000}"/>
    <cellStyle name="Separador de milhares 3 16 6 6" xfId="11728" xr:uid="{00000000-0005-0000-0000-00002E490000}"/>
    <cellStyle name="Separador de milhares 3 16 6 6 2" xfId="37921" xr:uid="{00000000-0005-0000-0000-00002F490000}"/>
    <cellStyle name="Separador de milhares 3 16 6 7" xfId="29839" xr:uid="{00000000-0005-0000-0000-000030490000}"/>
    <cellStyle name="Separador de milhares 3 16 7" xfId="2710" xr:uid="{00000000-0005-0000-0000-000031490000}"/>
    <cellStyle name="Separador de milhares 3 16 7 2" xfId="7187" xr:uid="{00000000-0005-0000-0000-000032490000}"/>
    <cellStyle name="Separador de milhares 3 16 7 2 2" xfId="10331" xr:uid="{00000000-0005-0000-0000-000033490000}"/>
    <cellStyle name="Separador de milhares 3 16 7 2 2 2" xfId="28545" xr:uid="{00000000-0005-0000-0000-000034490000}"/>
    <cellStyle name="Separador de milhares 3 16 7 2 2 2 2" xfId="54726" xr:uid="{00000000-0005-0000-0000-000035490000}"/>
    <cellStyle name="Separador de milhares 3 16 7 2 2 3" xfId="22631" xr:uid="{00000000-0005-0000-0000-000036490000}"/>
    <cellStyle name="Separador de milhares 3 16 7 2 2 3 2" xfId="48818" xr:uid="{00000000-0005-0000-0000-000037490000}"/>
    <cellStyle name="Separador de milhares 3 16 7 2 2 4" xfId="16717" xr:uid="{00000000-0005-0000-0000-000038490000}"/>
    <cellStyle name="Separador de milhares 3 16 7 2 2 4 2" xfId="42910" xr:uid="{00000000-0005-0000-0000-000039490000}"/>
    <cellStyle name="Separador de milhares 3 16 7 2 2 5" xfId="36524" xr:uid="{00000000-0005-0000-0000-00003A490000}"/>
    <cellStyle name="Separador de milhares 3 16 7 2 3" xfId="25588" xr:uid="{00000000-0005-0000-0000-00003B490000}"/>
    <cellStyle name="Separador de milhares 3 16 7 2 3 2" xfId="51772" xr:uid="{00000000-0005-0000-0000-00003C490000}"/>
    <cellStyle name="Separador de milhares 3 16 7 2 4" xfId="19674" xr:uid="{00000000-0005-0000-0000-00003D490000}"/>
    <cellStyle name="Separador de milhares 3 16 7 2 4 2" xfId="45864" xr:uid="{00000000-0005-0000-0000-00003E490000}"/>
    <cellStyle name="Separador de milhares 3 16 7 2 5" xfId="13576" xr:uid="{00000000-0005-0000-0000-00003F490000}"/>
    <cellStyle name="Separador de milhares 3 16 7 2 5 2" xfId="39769" xr:uid="{00000000-0005-0000-0000-000040490000}"/>
    <cellStyle name="Separador de milhares 3 16 7 2 6" xfId="33383" xr:uid="{00000000-0005-0000-0000-000041490000}"/>
    <cellStyle name="Separador de milhares 3 16 7 3" xfId="8863" xr:uid="{00000000-0005-0000-0000-000042490000}"/>
    <cellStyle name="Separador de milhares 3 16 7 3 2" xfId="27077" xr:uid="{00000000-0005-0000-0000-000043490000}"/>
    <cellStyle name="Separador de milhares 3 16 7 3 2 2" xfId="53258" xr:uid="{00000000-0005-0000-0000-000044490000}"/>
    <cellStyle name="Separador de milhares 3 16 7 3 3" xfId="21163" xr:uid="{00000000-0005-0000-0000-000045490000}"/>
    <cellStyle name="Separador de milhares 3 16 7 3 3 2" xfId="47350" xr:uid="{00000000-0005-0000-0000-000046490000}"/>
    <cellStyle name="Separador de milhares 3 16 7 3 4" xfId="15249" xr:uid="{00000000-0005-0000-0000-000047490000}"/>
    <cellStyle name="Separador de milhares 3 16 7 3 4 2" xfId="41442" xr:uid="{00000000-0005-0000-0000-000048490000}"/>
    <cellStyle name="Separador de milhares 3 16 7 3 5" xfId="35056" xr:uid="{00000000-0005-0000-0000-000049490000}"/>
    <cellStyle name="Separador de milhares 3 16 7 4" xfId="5488" xr:uid="{00000000-0005-0000-0000-00004A490000}"/>
    <cellStyle name="Separador de milhares 3 16 7 4 2" xfId="24120" xr:uid="{00000000-0005-0000-0000-00004B490000}"/>
    <cellStyle name="Separador de milhares 3 16 7 4 2 2" xfId="50304" xr:uid="{00000000-0005-0000-0000-00004C490000}"/>
    <cellStyle name="Separador de milhares 3 16 7 4 3" xfId="31684" xr:uid="{00000000-0005-0000-0000-00004D490000}"/>
    <cellStyle name="Separador de milhares 3 16 7 5" xfId="18206" xr:uid="{00000000-0005-0000-0000-00004E490000}"/>
    <cellStyle name="Separador de milhares 3 16 7 5 2" xfId="44396" xr:uid="{00000000-0005-0000-0000-00004F490000}"/>
    <cellStyle name="Separador de milhares 3 16 7 6" xfId="11875" xr:uid="{00000000-0005-0000-0000-000050490000}"/>
    <cellStyle name="Separador de milhares 3 16 7 6 2" xfId="38068" xr:uid="{00000000-0005-0000-0000-000051490000}"/>
    <cellStyle name="Separador de milhares 3 16 7 7" xfId="29986" xr:uid="{00000000-0005-0000-0000-000052490000}"/>
    <cellStyle name="Separador de milhares 3 16 8" xfId="3237" xr:uid="{00000000-0005-0000-0000-000053490000}"/>
    <cellStyle name="Separador de milhares 3 16 8 2" xfId="7334" xr:uid="{00000000-0005-0000-0000-000054490000}"/>
    <cellStyle name="Separador de milhares 3 16 8 2 2" xfId="10478" xr:uid="{00000000-0005-0000-0000-000055490000}"/>
    <cellStyle name="Separador de milhares 3 16 8 2 2 2" xfId="28692" xr:uid="{00000000-0005-0000-0000-000056490000}"/>
    <cellStyle name="Separador de milhares 3 16 8 2 2 2 2" xfId="54873" xr:uid="{00000000-0005-0000-0000-000057490000}"/>
    <cellStyle name="Separador de milhares 3 16 8 2 2 3" xfId="22778" xr:uid="{00000000-0005-0000-0000-000058490000}"/>
    <cellStyle name="Separador de milhares 3 16 8 2 2 3 2" xfId="48965" xr:uid="{00000000-0005-0000-0000-000059490000}"/>
    <cellStyle name="Separador de milhares 3 16 8 2 2 4" xfId="16864" xr:uid="{00000000-0005-0000-0000-00005A490000}"/>
    <cellStyle name="Separador de milhares 3 16 8 2 2 4 2" xfId="43057" xr:uid="{00000000-0005-0000-0000-00005B490000}"/>
    <cellStyle name="Separador de milhares 3 16 8 2 2 5" xfId="36671" xr:uid="{00000000-0005-0000-0000-00005C490000}"/>
    <cellStyle name="Separador de milhares 3 16 8 2 3" xfId="25735" xr:uid="{00000000-0005-0000-0000-00005D490000}"/>
    <cellStyle name="Separador de milhares 3 16 8 2 3 2" xfId="51919" xr:uid="{00000000-0005-0000-0000-00005E490000}"/>
    <cellStyle name="Separador de milhares 3 16 8 2 4" xfId="19821" xr:uid="{00000000-0005-0000-0000-00005F490000}"/>
    <cellStyle name="Separador de milhares 3 16 8 2 4 2" xfId="46011" xr:uid="{00000000-0005-0000-0000-000060490000}"/>
    <cellStyle name="Separador de milhares 3 16 8 2 5" xfId="13723" xr:uid="{00000000-0005-0000-0000-000061490000}"/>
    <cellStyle name="Separador de milhares 3 16 8 2 5 2" xfId="39916" xr:uid="{00000000-0005-0000-0000-000062490000}"/>
    <cellStyle name="Separador de milhares 3 16 8 2 6" xfId="33530" xr:uid="{00000000-0005-0000-0000-000063490000}"/>
    <cellStyle name="Separador de milhares 3 16 8 3" xfId="9010" xr:uid="{00000000-0005-0000-0000-000064490000}"/>
    <cellStyle name="Separador de milhares 3 16 8 3 2" xfId="27224" xr:uid="{00000000-0005-0000-0000-000065490000}"/>
    <cellStyle name="Separador de milhares 3 16 8 3 2 2" xfId="53405" xr:uid="{00000000-0005-0000-0000-000066490000}"/>
    <cellStyle name="Separador de milhares 3 16 8 3 3" xfId="21310" xr:uid="{00000000-0005-0000-0000-000067490000}"/>
    <cellStyle name="Separador de milhares 3 16 8 3 3 2" xfId="47497" xr:uid="{00000000-0005-0000-0000-000068490000}"/>
    <cellStyle name="Separador de milhares 3 16 8 3 4" xfId="15396" xr:uid="{00000000-0005-0000-0000-000069490000}"/>
    <cellStyle name="Separador de milhares 3 16 8 3 4 2" xfId="41589" xr:uid="{00000000-0005-0000-0000-00006A490000}"/>
    <cellStyle name="Separador de milhares 3 16 8 3 5" xfId="35203" xr:uid="{00000000-0005-0000-0000-00006B490000}"/>
    <cellStyle name="Separador de milhares 3 16 8 4" xfId="5635" xr:uid="{00000000-0005-0000-0000-00006C490000}"/>
    <cellStyle name="Separador de milhares 3 16 8 4 2" xfId="24267" xr:uid="{00000000-0005-0000-0000-00006D490000}"/>
    <cellStyle name="Separador de milhares 3 16 8 4 2 2" xfId="50451" xr:uid="{00000000-0005-0000-0000-00006E490000}"/>
    <cellStyle name="Separador de milhares 3 16 8 4 3" xfId="31831" xr:uid="{00000000-0005-0000-0000-00006F490000}"/>
    <cellStyle name="Separador de milhares 3 16 8 5" xfId="18353" xr:uid="{00000000-0005-0000-0000-000070490000}"/>
    <cellStyle name="Separador de milhares 3 16 8 5 2" xfId="44543" xr:uid="{00000000-0005-0000-0000-000071490000}"/>
    <cellStyle name="Separador de milhares 3 16 8 6" xfId="12022" xr:uid="{00000000-0005-0000-0000-000072490000}"/>
    <cellStyle name="Separador de milhares 3 16 8 6 2" xfId="38215" xr:uid="{00000000-0005-0000-0000-000073490000}"/>
    <cellStyle name="Separador de milhares 3 16 8 7" xfId="30133" xr:uid="{00000000-0005-0000-0000-000074490000}"/>
    <cellStyle name="Separador de milhares 3 16 9" xfId="3764" xr:uid="{00000000-0005-0000-0000-000075490000}"/>
    <cellStyle name="Separador de milhares 3 16 9 2" xfId="7481" xr:uid="{00000000-0005-0000-0000-000076490000}"/>
    <cellStyle name="Separador de milhares 3 16 9 2 2" xfId="10625" xr:uid="{00000000-0005-0000-0000-000077490000}"/>
    <cellStyle name="Separador de milhares 3 16 9 2 2 2" xfId="28839" xr:uid="{00000000-0005-0000-0000-000078490000}"/>
    <cellStyle name="Separador de milhares 3 16 9 2 2 2 2" xfId="55020" xr:uid="{00000000-0005-0000-0000-000079490000}"/>
    <cellStyle name="Separador de milhares 3 16 9 2 2 3" xfId="22925" xr:uid="{00000000-0005-0000-0000-00007A490000}"/>
    <cellStyle name="Separador de milhares 3 16 9 2 2 3 2" xfId="49112" xr:uid="{00000000-0005-0000-0000-00007B490000}"/>
    <cellStyle name="Separador de milhares 3 16 9 2 2 4" xfId="17011" xr:uid="{00000000-0005-0000-0000-00007C490000}"/>
    <cellStyle name="Separador de milhares 3 16 9 2 2 4 2" xfId="43204" xr:uid="{00000000-0005-0000-0000-00007D490000}"/>
    <cellStyle name="Separador de milhares 3 16 9 2 2 5" xfId="36818" xr:uid="{00000000-0005-0000-0000-00007E490000}"/>
    <cellStyle name="Separador de milhares 3 16 9 2 3" xfId="25882" xr:uid="{00000000-0005-0000-0000-00007F490000}"/>
    <cellStyle name="Separador de milhares 3 16 9 2 3 2" xfId="52066" xr:uid="{00000000-0005-0000-0000-000080490000}"/>
    <cellStyle name="Separador de milhares 3 16 9 2 4" xfId="19968" xr:uid="{00000000-0005-0000-0000-000081490000}"/>
    <cellStyle name="Separador de milhares 3 16 9 2 4 2" xfId="46158" xr:uid="{00000000-0005-0000-0000-000082490000}"/>
    <cellStyle name="Separador de milhares 3 16 9 2 5" xfId="13870" xr:uid="{00000000-0005-0000-0000-000083490000}"/>
    <cellStyle name="Separador de milhares 3 16 9 2 5 2" xfId="40063" xr:uid="{00000000-0005-0000-0000-000084490000}"/>
    <cellStyle name="Separador de milhares 3 16 9 2 6" xfId="33677" xr:uid="{00000000-0005-0000-0000-000085490000}"/>
    <cellStyle name="Separador de milhares 3 16 9 3" xfId="9157" xr:uid="{00000000-0005-0000-0000-000086490000}"/>
    <cellStyle name="Separador de milhares 3 16 9 3 2" xfId="27371" xr:uid="{00000000-0005-0000-0000-000087490000}"/>
    <cellStyle name="Separador de milhares 3 16 9 3 2 2" xfId="53552" xr:uid="{00000000-0005-0000-0000-000088490000}"/>
    <cellStyle name="Separador de milhares 3 16 9 3 3" xfId="21457" xr:uid="{00000000-0005-0000-0000-000089490000}"/>
    <cellStyle name="Separador de milhares 3 16 9 3 3 2" xfId="47644" xr:uid="{00000000-0005-0000-0000-00008A490000}"/>
    <cellStyle name="Separador de milhares 3 16 9 3 4" xfId="15543" xr:uid="{00000000-0005-0000-0000-00008B490000}"/>
    <cellStyle name="Separador de milhares 3 16 9 3 4 2" xfId="41736" xr:uid="{00000000-0005-0000-0000-00008C490000}"/>
    <cellStyle name="Separador de milhares 3 16 9 3 5" xfId="35350" xr:uid="{00000000-0005-0000-0000-00008D490000}"/>
    <cellStyle name="Separador de milhares 3 16 9 4" xfId="5782" xr:uid="{00000000-0005-0000-0000-00008E490000}"/>
    <cellStyle name="Separador de milhares 3 16 9 4 2" xfId="24414" xr:uid="{00000000-0005-0000-0000-00008F490000}"/>
    <cellStyle name="Separador de milhares 3 16 9 4 2 2" xfId="50598" xr:uid="{00000000-0005-0000-0000-000090490000}"/>
    <cellStyle name="Separador de milhares 3 16 9 4 3" xfId="31978" xr:uid="{00000000-0005-0000-0000-000091490000}"/>
    <cellStyle name="Separador de milhares 3 16 9 5" xfId="18500" xr:uid="{00000000-0005-0000-0000-000092490000}"/>
    <cellStyle name="Separador de milhares 3 16 9 5 2" xfId="44690" xr:uid="{00000000-0005-0000-0000-000093490000}"/>
    <cellStyle name="Separador de milhares 3 16 9 6" xfId="12169" xr:uid="{00000000-0005-0000-0000-000094490000}"/>
    <cellStyle name="Separador de milhares 3 16 9 6 2" xfId="38362" xr:uid="{00000000-0005-0000-0000-000095490000}"/>
    <cellStyle name="Separador de milhares 3 16 9 7" xfId="30280" xr:uid="{00000000-0005-0000-0000-000096490000}"/>
    <cellStyle name="Separador de milhares 3 17" xfId="216" xr:uid="{00000000-0005-0000-0000-000097490000}"/>
    <cellStyle name="Separador de milhares 3 17 10" xfId="6472" xr:uid="{00000000-0005-0000-0000-000098490000}"/>
    <cellStyle name="Separador de milhares 3 17 10 2" xfId="9623" xr:uid="{00000000-0005-0000-0000-000099490000}"/>
    <cellStyle name="Separador de milhares 3 17 10 2 2" xfId="27837" xr:uid="{00000000-0005-0000-0000-00009A490000}"/>
    <cellStyle name="Separador de milhares 3 17 10 2 2 2" xfId="54018" xr:uid="{00000000-0005-0000-0000-00009B490000}"/>
    <cellStyle name="Separador de milhares 3 17 10 2 3" xfId="21923" xr:uid="{00000000-0005-0000-0000-00009C490000}"/>
    <cellStyle name="Separador de milhares 3 17 10 2 3 2" xfId="48110" xr:uid="{00000000-0005-0000-0000-00009D490000}"/>
    <cellStyle name="Separador de milhares 3 17 10 2 4" xfId="16009" xr:uid="{00000000-0005-0000-0000-00009E490000}"/>
    <cellStyle name="Separador de milhares 3 17 10 2 4 2" xfId="42202" xr:uid="{00000000-0005-0000-0000-00009F490000}"/>
    <cellStyle name="Separador de milhares 3 17 10 2 5" xfId="35816" xr:uid="{00000000-0005-0000-0000-0000A0490000}"/>
    <cellStyle name="Separador de milhares 3 17 10 3" xfId="24880" xr:uid="{00000000-0005-0000-0000-0000A1490000}"/>
    <cellStyle name="Separador de milhares 3 17 10 3 2" xfId="51064" xr:uid="{00000000-0005-0000-0000-0000A2490000}"/>
    <cellStyle name="Separador de milhares 3 17 10 4" xfId="18966" xr:uid="{00000000-0005-0000-0000-0000A3490000}"/>
    <cellStyle name="Separador de milhares 3 17 10 4 2" xfId="45156" xr:uid="{00000000-0005-0000-0000-0000A4490000}"/>
    <cellStyle name="Separador de milhares 3 17 10 5" xfId="12861" xr:uid="{00000000-0005-0000-0000-0000A5490000}"/>
    <cellStyle name="Separador de milhares 3 17 10 5 2" xfId="39054" xr:uid="{00000000-0005-0000-0000-0000A6490000}"/>
    <cellStyle name="Separador de milhares 3 17 10 6" xfId="32668" xr:uid="{00000000-0005-0000-0000-0000A7490000}"/>
    <cellStyle name="Separador de milhares 3 17 11" xfId="8152" xr:uid="{00000000-0005-0000-0000-0000A8490000}"/>
    <cellStyle name="Separador de milhares 3 17 11 2" xfId="26366" xr:uid="{00000000-0005-0000-0000-0000A9490000}"/>
    <cellStyle name="Separador de milhares 3 17 11 2 2" xfId="52550" xr:uid="{00000000-0005-0000-0000-0000AA490000}"/>
    <cellStyle name="Separador de milhares 3 17 11 3" xfId="20452" xr:uid="{00000000-0005-0000-0000-0000AB490000}"/>
    <cellStyle name="Separador de milhares 3 17 11 3 2" xfId="46642" xr:uid="{00000000-0005-0000-0000-0000AC490000}"/>
    <cellStyle name="Separador de milhares 3 17 11 4" xfId="14541" xr:uid="{00000000-0005-0000-0000-0000AD490000}"/>
    <cellStyle name="Separador de milhares 3 17 11 4 2" xfId="40734" xr:uid="{00000000-0005-0000-0000-0000AE490000}"/>
    <cellStyle name="Separador de milhares 3 17 11 5" xfId="34348" xr:uid="{00000000-0005-0000-0000-0000AF490000}"/>
    <cellStyle name="Separador de milhares 3 17 12" xfId="4771" xr:uid="{00000000-0005-0000-0000-0000B0490000}"/>
    <cellStyle name="Separador de milhares 3 17 12 2" xfId="23409" xr:uid="{00000000-0005-0000-0000-0000B1490000}"/>
    <cellStyle name="Separador de milhares 3 17 12 2 2" xfId="49596" xr:uid="{00000000-0005-0000-0000-0000B2490000}"/>
    <cellStyle name="Separador de milhares 3 17 12 3" xfId="30969" xr:uid="{00000000-0005-0000-0000-0000B3490000}"/>
    <cellStyle name="Separador de milhares 3 17 13" xfId="17495" xr:uid="{00000000-0005-0000-0000-0000B4490000}"/>
    <cellStyle name="Separador de milhares 3 17 13 2" xfId="43688" xr:uid="{00000000-0005-0000-0000-0000B5490000}"/>
    <cellStyle name="Separador de milhares 3 17 14" xfId="11160" xr:uid="{00000000-0005-0000-0000-0000B6490000}"/>
    <cellStyle name="Separador de milhares 3 17 14 2" xfId="37353" xr:uid="{00000000-0005-0000-0000-0000B7490000}"/>
    <cellStyle name="Separador de milhares 3 17 15" xfId="29271" xr:uid="{00000000-0005-0000-0000-0000B8490000}"/>
    <cellStyle name="Separador de milhares 3 17 2" xfId="479" xr:uid="{00000000-0005-0000-0000-0000B9490000}"/>
    <cellStyle name="Separador de milhares 3 17 2 2" xfId="6543" xr:uid="{00000000-0005-0000-0000-0000BA490000}"/>
    <cellStyle name="Separador de milhares 3 17 2 2 2" xfId="9690" xr:uid="{00000000-0005-0000-0000-0000BB490000}"/>
    <cellStyle name="Separador de milhares 3 17 2 2 2 2" xfId="27904" xr:uid="{00000000-0005-0000-0000-0000BC490000}"/>
    <cellStyle name="Separador de milhares 3 17 2 2 2 2 2" xfId="54085" xr:uid="{00000000-0005-0000-0000-0000BD490000}"/>
    <cellStyle name="Separador de milhares 3 17 2 2 2 3" xfId="21990" xr:uid="{00000000-0005-0000-0000-0000BE490000}"/>
    <cellStyle name="Separador de milhares 3 17 2 2 2 3 2" xfId="48177" xr:uid="{00000000-0005-0000-0000-0000BF490000}"/>
    <cellStyle name="Separador de milhares 3 17 2 2 2 4" xfId="16076" xr:uid="{00000000-0005-0000-0000-0000C0490000}"/>
    <cellStyle name="Separador de milhares 3 17 2 2 2 4 2" xfId="42269" xr:uid="{00000000-0005-0000-0000-0000C1490000}"/>
    <cellStyle name="Separador de milhares 3 17 2 2 2 5" xfId="35883" xr:uid="{00000000-0005-0000-0000-0000C2490000}"/>
    <cellStyle name="Separador de milhares 3 17 2 2 3" xfId="24947" xr:uid="{00000000-0005-0000-0000-0000C3490000}"/>
    <cellStyle name="Separador de milhares 3 17 2 2 3 2" xfId="51131" xr:uid="{00000000-0005-0000-0000-0000C4490000}"/>
    <cellStyle name="Separador de milhares 3 17 2 2 4" xfId="19033" xr:uid="{00000000-0005-0000-0000-0000C5490000}"/>
    <cellStyle name="Separador de milhares 3 17 2 2 4 2" xfId="45223" xr:uid="{00000000-0005-0000-0000-0000C6490000}"/>
    <cellStyle name="Separador de milhares 3 17 2 2 5" xfId="12932" xr:uid="{00000000-0005-0000-0000-0000C7490000}"/>
    <cellStyle name="Separador de milhares 3 17 2 2 5 2" xfId="39125" xr:uid="{00000000-0005-0000-0000-0000C8490000}"/>
    <cellStyle name="Separador de milhares 3 17 2 2 6" xfId="32739" xr:uid="{00000000-0005-0000-0000-0000C9490000}"/>
    <cellStyle name="Separador de milhares 3 17 2 3" xfId="8219" xr:uid="{00000000-0005-0000-0000-0000CA490000}"/>
    <cellStyle name="Separador de milhares 3 17 2 3 2" xfId="26433" xr:uid="{00000000-0005-0000-0000-0000CB490000}"/>
    <cellStyle name="Separador de milhares 3 17 2 3 2 2" xfId="52617" xr:uid="{00000000-0005-0000-0000-0000CC490000}"/>
    <cellStyle name="Separador de milhares 3 17 2 3 3" xfId="20519" xr:uid="{00000000-0005-0000-0000-0000CD490000}"/>
    <cellStyle name="Separador de milhares 3 17 2 3 3 2" xfId="46709" xr:uid="{00000000-0005-0000-0000-0000CE490000}"/>
    <cellStyle name="Separador de milhares 3 17 2 3 4" xfId="14608" xr:uid="{00000000-0005-0000-0000-0000CF490000}"/>
    <cellStyle name="Separador de milhares 3 17 2 3 4 2" xfId="40801" xr:uid="{00000000-0005-0000-0000-0000D0490000}"/>
    <cellStyle name="Separador de milhares 3 17 2 3 5" xfId="34415" xr:uid="{00000000-0005-0000-0000-0000D1490000}"/>
    <cellStyle name="Separador de milhares 3 17 2 4" xfId="4842" xr:uid="{00000000-0005-0000-0000-0000D2490000}"/>
    <cellStyle name="Separador de milhares 3 17 2 4 2" xfId="23476" xr:uid="{00000000-0005-0000-0000-0000D3490000}"/>
    <cellStyle name="Separador de milhares 3 17 2 4 2 2" xfId="49663" xr:uid="{00000000-0005-0000-0000-0000D4490000}"/>
    <cellStyle name="Separador de milhares 3 17 2 4 3" xfId="31040" xr:uid="{00000000-0005-0000-0000-0000D5490000}"/>
    <cellStyle name="Separador de milhares 3 17 2 5" xfId="17562" xr:uid="{00000000-0005-0000-0000-0000D6490000}"/>
    <cellStyle name="Separador de milhares 3 17 2 5 2" xfId="43755" xr:uid="{00000000-0005-0000-0000-0000D7490000}"/>
    <cellStyle name="Separador de milhares 3 17 2 6" xfId="11231" xr:uid="{00000000-0005-0000-0000-0000D8490000}"/>
    <cellStyle name="Separador de milhares 3 17 2 6 2" xfId="37424" xr:uid="{00000000-0005-0000-0000-0000D9490000}"/>
    <cellStyle name="Separador de milhares 3 17 2 7" xfId="29342" xr:uid="{00000000-0005-0000-0000-0000DA490000}"/>
    <cellStyle name="Separador de milhares 3 17 3" xfId="776" xr:uid="{00000000-0005-0000-0000-0000DB490000}"/>
    <cellStyle name="Separador de milhares 3 17 3 2" xfId="6645" xr:uid="{00000000-0005-0000-0000-0000DC490000}"/>
    <cellStyle name="Separador de milhares 3 17 3 2 2" xfId="9792" xr:uid="{00000000-0005-0000-0000-0000DD490000}"/>
    <cellStyle name="Separador de milhares 3 17 3 2 2 2" xfId="28006" xr:uid="{00000000-0005-0000-0000-0000DE490000}"/>
    <cellStyle name="Separador de milhares 3 17 3 2 2 2 2" xfId="54187" xr:uid="{00000000-0005-0000-0000-0000DF490000}"/>
    <cellStyle name="Separador de milhares 3 17 3 2 2 3" xfId="22092" xr:uid="{00000000-0005-0000-0000-0000E0490000}"/>
    <cellStyle name="Separador de milhares 3 17 3 2 2 3 2" xfId="48279" xr:uid="{00000000-0005-0000-0000-0000E1490000}"/>
    <cellStyle name="Separador de milhares 3 17 3 2 2 4" xfId="16178" xr:uid="{00000000-0005-0000-0000-0000E2490000}"/>
    <cellStyle name="Separador de milhares 3 17 3 2 2 4 2" xfId="42371" xr:uid="{00000000-0005-0000-0000-0000E3490000}"/>
    <cellStyle name="Separador de milhares 3 17 3 2 2 5" xfId="35985" xr:uid="{00000000-0005-0000-0000-0000E4490000}"/>
    <cellStyle name="Separador de milhares 3 17 3 2 3" xfId="25049" xr:uid="{00000000-0005-0000-0000-0000E5490000}"/>
    <cellStyle name="Separador de milhares 3 17 3 2 3 2" xfId="51233" xr:uid="{00000000-0005-0000-0000-0000E6490000}"/>
    <cellStyle name="Separador de milhares 3 17 3 2 4" xfId="19135" xr:uid="{00000000-0005-0000-0000-0000E7490000}"/>
    <cellStyle name="Separador de milhares 3 17 3 2 4 2" xfId="45325" xr:uid="{00000000-0005-0000-0000-0000E8490000}"/>
    <cellStyle name="Separador de milhares 3 17 3 2 5" xfId="13034" xr:uid="{00000000-0005-0000-0000-0000E9490000}"/>
    <cellStyle name="Separador de milhares 3 17 3 2 5 2" xfId="39227" xr:uid="{00000000-0005-0000-0000-0000EA490000}"/>
    <cellStyle name="Separador de milhares 3 17 3 2 6" xfId="32841" xr:uid="{00000000-0005-0000-0000-0000EB490000}"/>
    <cellStyle name="Separador de milhares 3 17 3 3" xfId="8324" xr:uid="{00000000-0005-0000-0000-0000EC490000}"/>
    <cellStyle name="Separador de milhares 3 17 3 3 2" xfId="26538" xr:uid="{00000000-0005-0000-0000-0000ED490000}"/>
    <cellStyle name="Separador de milhares 3 17 3 3 2 2" xfId="52719" xr:uid="{00000000-0005-0000-0000-0000EE490000}"/>
    <cellStyle name="Separador de milhares 3 17 3 3 3" xfId="20624" xr:uid="{00000000-0005-0000-0000-0000EF490000}"/>
    <cellStyle name="Separador de milhares 3 17 3 3 3 2" xfId="46811" xr:uid="{00000000-0005-0000-0000-0000F0490000}"/>
    <cellStyle name="Separador de milhares 3 17 3 3 4" xfId="14710" xr:uid="{00000000-0005-0000-0000-0000F1490000}"/>
    <cellStyle name="Separador de milhares 3 17 3 3 4 2" xfId="40903" xr:uid="{00000000-0005-0000-0000-0000F2490000}"/>
    <cellStyle name="Separador de milhares 3 17 3 3 5" xfId="34517" xr:uid="{00000000-0005-0000-0000-0000F3490000}"/>
    <cellStyle name="Separador de milhares 3 17 3 4" xfId="4946" xr:uid="{00000000-0005-0000-0000-0000F4490000}"/>
    <cellStyle name="Separador de milhares 3 17 3 4 2" xfId="23581" xr:uid="{00000000-0005-0000-0000-0000F5490000}"/>
    <cellStyle name="Separador de milhares 3 17 3 4 2 2" xfId="49765" xr:uid="{00000000-0005-0000-0000-0000F6490000}"/>
    <cellStyle name="Separador de milhares 3 17 3 4 3" xfId="31142" xr:uid="{00000000-0005-0000-0000-0000F7490000}"/>
    <cellStyle name="Separador de milhares 3 17 3 5" xfId="17667" xr:uid="{00000000-0005-0000-0000-0000F8490000}"/>
    <cellStyle name="Separador de milhares 3 17 3 5 2" xfId="43857" xr:uid="{00000000-0005-0000-0000-0000F9490000}"/>
    <cellStyle name="Separador de milhares 3 17 3 6" xfId="11333" xr:uid="{00000000-0005-0000-0000-0000FA490000}"/>
    <cellStyle name="Separador de milhares 3 17 3 6 2" xfId="37526" xr:uid="{00000000-0005-0000-0000-0000FB490000}"/>
    <cellStyle name="Separador de milhares 3 17 3 7" xfId="29444" xr:uid="{00000000-0005-0000-0000-0000FC490000}"/>
    <cellStyle name="Separador de milhares 3 17 4" xfId="1127" xr:uid="{00000000-0005-0000-0000-0000FD490000}"/>
    <cellStyle name="Separador de milhares 3 17 4 2" xfId="6743" xr:uid="{00000000-0005-0000-0000-0000FE490000}"/>
    <cellStyle name="Separador de milhares 3 17 4 2 2" xfId="9890" xr:uid="{00000000-0005-0000-0000-0000FF490000}"/>
    <cellStyle name="Separador de milhares 3 17 4 2 2 2" xfId="28104" xr:uid="{00000000-0005-0000-0000-0000004A0000}"/>
    <cellStyle name="Separador de milhares 3 17 4 2 2 2 2" xfId="54285" xr:uid="{00000000-0005-0000-0000-0000014A0000}"/>
    <cellStyle name="Separador de milhares 3 17 4 2 2 3" xfId="22190" xr:uid="{00000000-0005-0000-0000-0000024A0000}"/>
    <cellStyle name="Separador de milhares 3 17 4 2 2 3 2" xfId="48377" xr:uid="{00000000-0005-0000-0000-0000034A0000}"/>
    <cellStyle name="Separador de milhares 3 17 4 2 2 4" xfId="16276" xr:uid="{00000000-0005-0000-0000-0000044A0000}"/>
    <cellStyle name="Separador de milhares 3 17 4 2 2 4 2" xfId="42469" xr:uid="{00000000-0005-0000-0000-0000054A0000}"/>
    <cellStyle name="Separador de milhares 3 17 4 2 2 5" xfId="36083" xr:uid="{00000000-0005-0000-0000-0000064A0000}"/>
    <cellStyle name="Separador de milhares 3 17 4 2 3" xfId="25147" xr:uid="{00000000-0005-0000-0000-0000074A0000}"/>
    <cellStyle name="Separador de milhares 3 17 4 2 3 2" xfId="51331" xr:uid="{00000000-0005-0000-0000-0000084A0000}"/>
    <cellStyle name="Separador de milhares 3 17 4 2 4" xfId="19233" xr:uid="{00000000-0005-0000-0000-0000094A0000}"/>
    <cellStyle name="Separador de milhares 3 17 4 2 4 2" xfId="45423" xr:uid="{00000000-0005-0000-0000-00000A4A0000}"/>
    <cellStyle name="Separador de milhares 3 17 4 2 5" xfId="13132" xr:uid="{00000000-0005-0000-0000-00000B4A0000}"/>
    <cellStyle name="Separador de milhares 3 17 4 2 5 2" xfId="39325" xr:uid="{00000000-0005-0000-0000-00000C4A0000}"/>
    <cellStyle name="Separador de milhares 3 17 4 2 6" xfId="32939" xr:uid="{00000000-0005-0000-0000-00000D4A0000}"/>
    <cellStyle name="Separador de milhares 3 17 4 3" xfId="8422" xr:uid="{00000000-0005-0000-0000-00000E4A0000}"/>
    <cellStyle name="Separador de milhares 3 17 4 3 2" xfId="26636" xr:uid="{00000000-0005-0000-0000-00000F4A0000}"/>
    <cellStyle name="Separador de milhares 3 17 4 3 2 2" xfId="52817" xr:uid="{00000000-0005-0000-0000-0000104A0000}"/>
    <cellStyle name="Separador de milhares 3 17 4 3 3" xfId="20722" xr:uid="{00000000-0005-0000-0000-0000114A0000}"/>
    <cellStyle name="Separador de milhares 3 17 4 3 3 2" xfId="46909" xr:uid="{00000000-0005-0000-0000-0000124A0000}"/>
    <cellStyle name="Separador de milhares 3 17 4 3 4" xfId="14808" xr:uid="{00000000-0005-0000-0000-0000134A0000}"/>
    <cellStyle name="Separador de milhares 3 17 4 3 4 2" xfId="41001" xr:uid="{00000000-0005-0000-0000-0000144A0000}"/>
    <cellStyle name="Separador de milhares 3 17 4 3 5" xfId="34615" xr:uid="{00000000-0005-0000-0000-0000154A0000}"/>
    <cellStyle name="Separador de milhares 3 17 4 4" xfId="5044" xr:uid="{00000000-0005-0000-0000-0000164A0000}"/>
    <cellStyle name="Separador de milhares 3 17 4 4 2" xfId="23679" xr:uid="{00000000-0005-0000-0000-0000174A0000}"/>
    <cellStyle name="Separador de milhares 3 17 4 4 2 2" xfId="49863" xr:uid="{00000000-0005-0000-0000-0000184A0000}"/>
    <cellStyle name="Separador de milhares 3 17 4 4 3" xfId="31240" xr:uid="{00000000-0005-0000-0000-0000194A0000}"/>
    <cellStyle name="Separador de milhares 3 17 4 5" xfId="17765" xr:uid="{00000000-0005-0000-0000-00001A4A0000}"/>
    <cellStyle name="Separador de milhares 3 17 4 5 2" xfId="43955" xr:uid="{00000000-0005-0000-0000-00001B4A0000}"/>
    <cellStyle name="Separador de milhares 3 17 4 6" xfId="11431" xr:uid="{00000000-0005-0000-0000-00001C4A0000}"/>
    <cellStyle name="Separador de milhares 3 17 4 6 2" xfId="37624" xr:uid="{00000000-0005-0000-0000-00001D4A0000}"/>
    <cellStyle name="Separador de milhares 3 17 4 7" xfId="29542" xr:uid="{00000000-0005-0000-0000-00001E4A0000}"/>
    <cellStyle name="Separador de milhares 3 17 5" xfId="1562" xr:uid="{00000000-0005-0000-0000-00001F4A0000}"/>
    <cellStyle name="Separador de milhares 3 17 5 2" xfId="6862" xr:uid="{00000000-0005-0000-0000-0000204A0000}"/>
    <cellStyle name="Separador de milhares 3 17 5 2 2" xfId="10009" xr:uid="{00000000-0005-0000-0000-0000214A0000}"/>
    <cellStyle name="Separador de milhares 3 17 5 2 2 2" xfId="28223" xr:uid="{00000000-0005-0000-0000-0000224A0000}"/>
    <cellStyle name="Separador de milhares 3 17 5 2 2 2 2" xfId="54404" xr:uid="{00000000-0005-0000-0000-0000234A0000}"/>
    <cellStyle name="Separador de milhares 3 17 5 2 2 3" xfId="22309" xr:uid="{00000000-0005-0000-0000-0000244A0000}"/>
    <cellStyle name="Separador de milhares 3 17 5 2 2 3 2" xfId="48496" xr:uid="{00000000-0005-0000-0000-0000254A0000}"/>
    <cellStyle name="Separador de milhares 3 17 5 2 2 4" xfId="16395" xr:uid="{00000000-0005-0000-0000-0000264A0000}"/>
    <cellStyle name="Separador de milhares 3 17 5 2 2 4 2" xfId="42588" xr:uid="{00000000-0005-0000-0000-0000274A0000}"/>
    <cellStyle name="Separador de milhares 3 17 5 2 2 5" xfId="36202" xr:uid="{00000000-0005-0000-0000-0000284A0000}"/>
    <cellStyle name="Separador de milhares 3 17 5 2 3" xfId="25266" xr:uid="{00000000-0005-0000-0000-0000294A0000}"/>
    <cellStyle name="Separador de milhares 3 17 5 2 3 2" xfId="51450" xr:uid="{00000000-0005-0000-0000-00002A4A0000}"/>
    <cellStyle name="Separador de milhares 3 17 5 2 4" xfId="19352" xr:uid="{00000000-0005-0000-0000-00002B4A0000}"/>
    <cellStyle name="Separador de milhares 3 17 5 2 4 2" xfId="45542" xr:uid="{00000000-0005-0000-0000-00002C4A0000}"/>
    <cellStyle name="Separador de milhares 3 17 5 2 5" xfId="13251" xr:uid="{00000000-0005-0000-0000-00002D4A0000}"/>
    <cellStyle name="Separador de milhares 3 17 5 2 5 2" xfId="39444" xr:uid="{00000000-0005-0000-0000-00002E4A0000}"/>
    <cellStyle name="Separador de milhares 3 17 5 2 6" xfId="33058" xr:uid="{00000000-0005-0000-0000-00002F4A0000}"/>
    <cellStyle name="Separador de milhares 3 17 5 3" xfId="8541" xr:uid="{00000000-0005-0000-0000-0000304A0000}"/>
    <cellStyle name="Separador de milhares 3 17 5 3 2" xfId="26755" xr:uid="{00000000-0005-0000-0000-0000314A0000}"/>
    <cellStyle name="Separador de milhares 3 17 5 3 2 2" xfId="52936" xr:uid="{00000000-0005-0000-0000-0000324A0000}"/>
    <cellStyle name="Separador de milhares 3 17 5 3 3" xfId="20841" xr:uid="{00000000-0005-0000-0000-0000334A0000}"/>
    <cellStyle name="Separador de milhares 3 17 5 3 3 2" xfId="47028" xr:uid="{00000000-0005-0000-0000-0000344A0000}"/>
    <cellStyle name="Separador de milhares 3 17 5 3 4" xfId="14927" xr:uid="{00000000-0005-0000-0000-0000354A0000}"/>
    <cellStyle name="Separador de milhares 3 17 5 3 4 2" xfId="41120" xr:uid="{00000000-0005-0000-0000-0000364A0000}"/>
    <cellStyle name="Separador de milhares 3 17 5 3 5" xfId="34734" xr:uid="{00000000-0005-0000-0000-0000374A0000}"/>
    <cellStyle name="Separador de milhares 3 17 5 4" xfId="5163" xr:uid="{00000000-0005-0000-0000-0000384A0000}"/>
    <cellStyle name="Separador de milhares 3 17 5 4 2" xfId="23798" xr:uid="{00000000-0005-0000-0000-0000394A0000}"/>
    <cellStyle name="Separador de milhares 3 17 5 4 2 2" xfId="49982" xr:uid="{00000000-0005-0000-0000-00003A4A0000}"/>
    <cellStyle name="Separador de milhares 3 17 5 4 3" xfId="31359" xr:uid="{00000000-0005-0000-0000-00003B4A0000}"/>
    <cellStyle name="Separador de milhares 3 17 5 5" xfId="17884" xr:uid="{00000000-0005-0000-0000-00003C4A0000}"/>
    <cellStyle name="Separador de milhares 3 17 5 5 2" xfId="44074" xr:uid="{00000000-0005-0000-0000-00003D4A0000}"/>
    <cellStyle name="Separador de milhares 3 17 5 6" xfId="11550" xr:uid="{00000000-0005-0000-0000-00003E4A0000}"/>
    <cellStyle name="Separador de milhares 3 17 5 6 2" xfId="37743" xr:uid="{00000000-0005-0000-0000-00003F4A0000}"/>
    <cellStyle name="Separador de milhares 3 17 5 7" xfId="29661" xr:uid="{00000000-0005-0000-0000-0000404A0000}"/>
    <cellStyle name="Separador de milhares 3 17 6" xfId="2092" xr:uid="{00000000-0005-0000-0000-0000414A0000}"/>
    <cellStyle name="Separador de milhares 3 17 6 2" xfId="7012" xr:uid="{00000000-0005-0000-0000-0000424A0000}"/>
    <cellStyle name="Separador de milhares 3 17 6 2 2" xfId="10156" xr:uid="{00000000-0005-0000-0000-0000434A0000}"/>
    <cellStyle name="Separador de milhares 3 17 6 2 2 2" xfId="28370" xr:uid="{00000000-0005-0000-0000-0000444A0000}"/>
    <cellStyle name="Separador de milhares 3 17 6 2 2 2 2" xfId="54551" xr:uid="{00000000-0005-0000-0000-0000454A0000}"/>
    <cellStyle name="Separador de milhares 3 17 6 2 2 3" xfId="22456" xr:uid="{00000000-0005-0000-0000-0000464A0000}"/>
    <cellStyle name="Separador de milhares 3 17 6 2 2 3 2" xfId="48643" xr:uid="{00000000-0005-0000-0000-0000474A0000}"/>
    <cellStyle name="Separador de milhares 3 17 6 2 2 4" xfId="16542" xr:uid="{00000000-0005-0000-0000-0000484A0000}"/>
    <cellStyle name="Separador de milhares 3 17 6 2 2 4 2" xfId="42735" xr:uid="{00000000-0005-0000-0000-0000494A0000}"/>
    <cellStyle name="Separador de milhares 3 17 6 2 2 5" xfId="36349" xr:uid="{00000000-0005-0000-0000-00004A4A0000}"/>
    <cellStyle name="Separador de milhares 3 17 6 2 3" xfId="25413" xr:uid="{00000000-0005-0000-0000-00004B4A0000}"/>
    <cellStyle name="Separador de milhares 3 17 6 2 3 2" xfId="51597" xr:uid="{00000000-0005-0000-0000-00004C4A0000}"/>
    <cellStyle name="Separador de milhares 3 17 6 2 4" xfId="19499" xr:uid="{00000000-0005-0000-0000-00004D4A0000}"/>
    <cellStyle name="Separador de milhares 3 17 6 2 4 2" xfId="45689" xr:uid="{00000000-0005-0000-0000-00004E4A0000}"/>
    <cellStyle name="Separador de milhares 3 17 6 2 5" xfId="13401" xr:uid="{00000000-0005-0000-0000-00004F4A0000}"/>
    <cellStyle name="Separador de milhares 3 17 6 2 5 2" xfId="39594" xr:uid="{00000000-0005-0000-0000-0000504A0000}"/>
    <cellStyle name="Separador de milhares 3 17 6 2 6" xfId="33208" xr:uid="{00000000-0005-0000-0000-0000514A0000}"/>
    <cellStyle name="Separador de milhares 3 17 6 3" xfId="8688" xr:uid="{00000000-0005-0000-0000-0000524A0000}"/>
    <cellStyle name="Separador de milhares 3 17 6 3 2" xfId="26902" xr:uid="{00000000-0005-0000-0000-0000534A0000}"/>
    <cellStyle name="Separador de milhares 3 17 6 3 2 2" xfId="53083" xr:uid="{00000000-0005-0000-0000-0000544A0000}"/>
    <cellStyle name="Separador de milhares 3 17 6 3 3" xfId="20988" xr:uid="{00000000-0005-0000-0000-0000554A0000}"/>
    <cellStyle name="Separador de milhares 3 17 6 3 3 2" xfId="47175" xr:uid="{00000000-0005-0000-0000-0000564A0000}"/>
    <cellStyle name="Separador de milhares 3 17 6 3 4" xfId="15074" xr:uid="{00000000-0005-0000-0000-0000574A0000}"/>
    <cellStyle name="Separador de milhares 3 17 6 3 4 2" xfId="41267" xr:uid="{00000000-0005-0000-0000-0000584A0000}"/>
    <cellStyle name="Separador de milhares 3 17 6 3 5" xfId="34881" xr:uid="{00000000-0005-0000-0000-0000594A0000}"/>
    <cellStyle name="Separador de milhares 3 17 6 4" xfId="5313" xr:uid="{00000000-0005-0000-0000-00005A4A0000}"/>
    <cellStyle name="Separador de milhares 3 17 6 4 2" xfId="23945" xr:uid="{00000000-0005-0000-0000-00005B4A0000}"/>
    <cellStyle name="Separador de milhares 3 17 6 4 2 2" xfId="50129" xr:uid="{00000000-0005-0000-0000-00005C4A0000}"/>
    <cellStyle name="Separador de milhares 3 17 6 4 3" xfId="31509" xr:uid="{00000000-0005-0000-0000-00005D4A0000}"/>
    <cellStyle name="Separador de milhares 3 17 6 5" xfId="18031" xr:uid="{00000000-0005-0000-0000-00005E4A0000}"/>
    <cellStyle name="Separador de milhares 3 17 6 5 2" xfId="44221" xr:uid="{00000000-0005-0000-0000-00005F4A0000}"/>
    <cellStyle name="Separador de milhares 3 17 6 6" xfId="11700" xr:uid="{00000000-0005-0000-0000-0000604A0000}"/>
    <cellStyle name="Separador de milhares 3 17 6 6 2" xfId="37893" xr:uid="{00000000-0005-0000-0000-0000614A0000}"/>
    <cellStyle name="Separador de milhares 3 17 6 7" xfId="29811" xr:uid="{00000000-0005-0000-0000-0000624A0000}"/>
    <cellStyle name="Separador de milhares 3 17 7" xfId="2619" xr:uid="{00000000-0005-0000-0000-0000634A0000}"/>
    <cellStyle name="Separador de milhares 3 17 7 2" xfId="7159" xr:uid="{00000000-0005-0000-0000-0000644A0000}"/>
    <cellStyle name="Separador de milhares 3 17 7 2 2" xfId="10303" xr:uid="{00000000-0005-0000-0000-0000654A0000}"/>
    <cellStyle name="Separador de milhares 3 17 7 2 2 2" xfId="28517" xr:uid="{00000000-0005-0000-0000-0000664A0000}"/>
    <cellStyle name="Separador de milhares 3 17 7 2 2 2 2" xfId="54698" xr:uid="{00000000-0005-0000-0000-0000674A0000}"/>
    <cellStyle name="Separador de milhares 3 17 7 2 2 3" xfId="22603" xr:uid="{00000000-0005-0000-0000-0000684A0000}"/>
    <cellStyle name="Separador de milhares 3 17 7 2 2 3 2" xfId="48790" xr:uid="{00000000-0005-0000-0000-0000694A0000}"/>
    <cellStyle name="Separador de milhares 3 17 7 2 2 4" xfId="16689" xr:uid="{00000000-0005-0000-0000-00006A4A0000}"/>
    <cellStyle name="Separador de milhares 3 17 7 2 2 4 2" xfId="42882" xr:uid="{00000000-0005-0000-0000-00006B4A0000}"/>
    <cellStyle name="Separador de milhares 3 17 7 2 2 5" xfId="36496" xr:uid="{00000000-0005-0000-0000-00006C4A0000}"/>
    <cellStyle name="Separador de milhares 3 17 7 2 3" xfId="25560" xr:uid="{00000000-0005-0000-0000-00006D4A0000}"/>
    <cellStyle name="Separador de milhares 3 17 7 2 3 2" xfId="51744" xr:uid="{00000000-0005-0000-0000-00006E4A0000}"/>
    <cellStyle name="Separador de milhares 3 17 7 2 4" xfId="19646" xr:uid="{00000000-0005-0000-0000-00006F4A0000}"/>
    <cellStyle name="Separador de milhares 3 17 7 2 4 2" xfId="45836" xr:uid="{00000000-0005-0000-0000-0000704A0000}"/>
    <cellStyle name="Separador de milhares 3 17 7 2 5" xfId="13548" xr:uid="{00000000-0005-0000-0000-0000714A0000}"/>
    <cellStyle name="Separador de milhares 3 17 7 2 5 2" xfId="39741" xr:uid="{00000000-0005-0000-0000-0000724A0000}"/>
    <cellStyle name="Separador de milhares 3 17 7 2 6" xfId="33355" xr:uid="{00000000-0005-0000-0000-0000734A0000}"/>
    <cellStyle name="Separador de milhares 3 17 7 3" xfId="8835" xr:uid="{00000000-0005-0000-0000-0000744A0000}"/>
    <cellStyle name="Separador de milhares 3 17 7 3 2" xfId="27049" xr:uid="{00000000-0005-0000-0000-0000754A0000}"/>
    <cellStyle name="Separador de milhares 3 17 7 3 2 2" xfId="53230" xr:uid="{00000000-0005-0000-0000-0000764A0000}"/>
    <cellStyle name="Separador de milhares 3 17 7 3 3" xfId="21135" xr:uid="{00000000-0005-0000-0000-0000774A0000}"/>
    <cellStyle name="Separador de milhares 3 17 7 3 3 2" xfId="47322" xr:uid="{00000000-0005-0000-0000-0000784A0000}"/>
    <cellStyle name="Separador de milhares 3 17 7 3 4" xfId="15221" xr:uid="{00000000-0005-0000-0000-0000794A0000}"/>
    <cellStyle name="Separador de milhares 3 17 7 3 4 2" xfId="41414" xr:uid="{00000000-0005-0000-0000-00007A4A0000}"/>
    <cellStyle name="Separador de milhares 3 17 7 3 5" xfId="35028" xr:uid="{00000000-0005-0000-0000-00007B4A0000}"/>
    <cellStyle name="Separador de milhares 3 17 7 4" xfId="5460" xr:uid="{00000000-0005-0000-0000-00007C4A0000}"/>
    <cellStyle name="Separador de milhares 3 17 7 4 2" xfId="24092" xr:uid="{00000000-0005-0000-0000-00007D4A0000}"/>
    <cellStyle name="Separador de milhares 3 17 7 4 2 2" xfId="50276" xr:uid="{00000000-0005-0000-0000-00007E4A0000}"/>
    <cellStyle name="Separador de milhares 3 17 7 4 3" xfId="31656" xr:uid="{00000000-0005-0000-0000-00007F4A0000}"/>
    <cellStyle name="Separador de milhares 3 17 7 5" xfId="18178" xr:uid="{00000000-0005-0000-0000-0000804A0000}"/>
    <cellStyle name="Separador de milhares 3 17 7 5 2" xfId="44368" xr:uid="{00000000-0005-0000-0000-0000814A0000}"/>
    <cellStyle name="Separador de milhares 3 17 7 6" xfId="11847" xr:uid="{00000000-0005-0000-0000-0000824A0000}"/>
    <cellStyle name="Separador de milhares 3 17 7 6 2" xfId="38040" xr:uid="{00000000-0005-0000-0000-0000834A0000}"/>
    <cellStyle name="Separador de milhares 3 17 7 7" xfId="29958" xr:uid="{00000000-0005-0000-0000-0000844A0000}"/>
    <cellStyle name="Separador de milhares 3 17 8" xfId="3146" xr:uid="{00000000-0005-0000-0000-0000854A0000}"/>
    <cellStyle name="Separador de milhares 3 17 8 2" xfId="7306" xr:uid="{00000000-0005-0000-0000-0000864A0000}"/>
    <cellStyle name="Separador de milhares 3 17 8 2 2" xfId="10450" xr:uid="{00000000-0005-0000-0000-0000874A0000}"/>
    <cellStyle name="Separador de milhares 3 17 8 2 2 2" xfId="28664" xr:uid="{00000000-0005-0000-0000-0000884A0000}"/>
    <cellStyle name="Separador de milhares 3 17 8 2 2 2 2" xfId="54845" xr:uid="{00000000-0005-0000-0000-0000894A0000}"/>
    <cellStyle name="Separador de milhares 3 17 8 2 2 3" xfId="22750" xr:uid="{00000000-0005-0000-0000-00008A4A0000}"/>
    <cellStyle name="Separador de milhares 3 17 8 2 2 3 2" xfId="48937" xr:uid="{00000000-0005-0000-0000-00008B4A0000}"/>
    <cellStyle name="Separador de milhares 3 17 8 2 2 4" xfId="16836" xr:uid="{00000000-0005-0000-0000-00008C4A0000}"/>
    <cellStyle name="Separador de milhares 3 17 8 2 2 4 2" xfId="43029" xr:uid="{00000000-0005-0000-0000-00008D4A0000}"/>
    <cellStyle name="Separador de milhares 3 17 8 2 2 5" xfId="36643" xr:uid="{00000000-0005-0000-0000-00008E4A0000}"/>
    <cellStyle name="Separador de milhares 3 17 8 2 3" xfId="25707" xr:uid="{00000000-0005-0000-0000-00008F4A0000}"/>
    <cellStyle name="Separador de milhares 3 17 8 2 3 2" xfId="51891" xr:uid="{00000000-0005-0000-0000-0000904A0000}"/>
    <cellStyle name="Separador de milhares 3 17 8 2 4" xfId="19793" xr:uid="{00000000-0005-0000-0000-0000914A0000}"/>
    <cellStyle name="Separador de milhares 3 17 8 2 4 2" xfId="45983" xr:uid="{00000000-0005-0000-0000-0000924A0000}"/>
    <cellStyle name="Separador de milhares 3 17 8 2 5" xfId="13695" xr:uid="{00000000-0005-0000-0000-0000934A0000}"/>
    <cellStyle name="Separador de milhares 3 17 8 2 5 2" xfId="39888" xr:uid="{00000000-0005-0000-0000-0000944A0000}"/>
    <cellStyle name="Separador de milhares 3 17 8 2 6" xfId="33502" xr:uid="{00000000-0005-0000-0000-0000954A0000}"/>
    <cellStyle name="Separador de milhares 3 17 8 3" xfId="8982" xr:uid="{00000000-0005-0000-0000-0000964A0000}"/>
    <cellStyle name="Separador de milhares 3 17 8 3 2" xfId="27196" xr:uid="{00000000-0005-0000-0000-0000974A0000}"/>
    <cellStyle name="Separador de milhares 3 17 8 3 2 2" xfId="53377" xr:uid="{00000000-0005-0000-0000-0000984A0000}"/>
    <cellStyle name="Separador de milhares 3 17 8 3 3" xfId="21282" xr:uid="{00000000-0005-0000-0000-0000994A0000}"/>
    <cellStyle name="Separador de milhares 3 17 8 3 3 2" xfId="47469" xr:uid="{00000000-0005-0000-0000-00009A4A0000}"/>
    <cellStyle name="Separador de milhares 3 17 8 3 4" xfId="15368" xr:uid="{00000000-0005-0000-0000-00009B4A0000}"/>
    <cellStyle name="Separador de milhares 3 17 8 3 4 2" xfId="41561" xr:uid="{00000000-0005-0000-0000-00009C4A0000}"/>
    <cellStyle name="Separador de milhares 3 17 8 3 5" xfId="35175" xr:uid="{00000000-0005-0000-0000-00009D4A0000}"/>
    <cellStyle name="Separador de milhares 3 17 8 4" xfId="5607" xr:uid="{00000000-0005-0000-0000-00009E4A0000}"/>
    <cellStyle name="Separador de milhares 3 17 8 4 2" xfId="24239" xr:uid="{00000000-0005-0000-0000-00009F4A0000}"/>
    <cellStyle name="Separador de milhares 3 17 8 4 2 2" xfId="50423" xr:uid="{00000000-0005-0000-0000-0000A04A0000}"/>
    <cellStyle name="Separador de milhares 3 17 8 4 3" xfId="31803" xr:uid="{00000000-0005-0000-0000-0000A14A0000}"/>
    <cellStyle name="Separador de milhares 3 17 8 5" xfId="18325" xr:uid="{00000000-0005-0000-0000-0000A24A0000}"/>
    <cellStyle name="Separador de milhares 3 17 8 5 2" xfId="44515" xr:uid="{00000000-0005-0000-0000-0000A34A0000}"/>
    <cellStyle name="Separador de milhares 3 17 8 6" xfId="11994" xr:uid="{00000000-0005-0000-0000-0000A44A0000}"/>
    <cellStyle name="Separador de milhares 3 17 8 6 2" xfId="38187" xr:uid="{00000000-0005-0000-0000-0000A54A0000}"/>
    <cellStyle name="Separador de milhares 3 17 8 7" xfId="30105" xr:uid="{00000000-0005-0000-0000-0000A64A0000}"/>
    <cellStyle name="Separador de milhares 3 17 9" xfId="3673" xr:uid="{00000000-0005-0000-0000-0000A74A0000}"/>
    <cellStyle name="Separador de milhares 3 17 9 2" xfId="7453" xr:uid="{00000000-0005-0000-0000-0000A84A0000}"/>
    <cellStyle name="Separador de milhares 3 17 9 2 2" xfId="10597" xr:uid="{00000000-0005-0000-0000-0000A94A0000}"/>
    <cellStyle name="Separador de milhares 3 17 9 2 2 2" xfId="28811" xr:uid="{00000000-0005-0000-0000-0000AA4A0000}"/>
    <cellStyle name="Separador de milhares 3 17 9 2 2 2 2" xfId="54992" xr:uid="{00000000-0005-0000-0000-0000AB4A0000}"/>
    <cellStyle name="Separador de milhares 3 17 9 2 2 3" xfId="22897" xr:uid="{00000000-0005-0000-0000-0000AC4A0000}"/>
    <cellStyle name="Separador de milhares 3 17 9 2 2 3 2" xfId="49084" xr:uid="{00000000-0005-0000-0000-0000AD4A0000}"/>
    <cellStyle name="Separador de milhares 3 17 9 2 2 4" xfId="16983" xr:uid="{00000000-0005-0000-0000-0000AE4A0000}"/>
    <cellStyle name="Separador de milhares 3 17 9 2 2 4 2" xfId="43176" xr:uid="{00000000-0005-0000-0000-0000AF4A0000}"/>
    <cellStyle name="Separador de milhares 3 17 9 2 2 5" xfId="36790" xr:uid="{00000000-0005-0000-0000-0000B04A0000}"/>
    <cellStyle name="Separador de milhares 3 17 9 2 3" xfId="25854" xr:uid="{00000000-0005-0000-0000-0000B14A0000}"/>
    <cellStyle name="Separador de milhares 3 17 9 2 3 2" xfId="52038" xr:uid="{00000000-0005-0000-0000-0000B24A0000}"/>
    <cellStyle name="Separador de milhares 3 17 9 2 4" xfId="19940" xr:uid="{00000000-0005-0000-0000-0000B34A0000}"/>
    <cellStyle name="Separador de milhares 3 17 9 2 4 2" xfId="46130" xr:uid="{00000000-0005-0000-0000-0000B44A0000}"/>
    <cellStyle name="Separador de milhares 3 17 9 2 5" xfId="13842" xr:uid="{00000000-0005-0000-0000-0000B54A0000}"/>
    <cellStyle name="Separador de milhares 3 17 9 2 5 2" xfId="40035" xr:uid="{00000000-0005-0000-0000-0000B64A0000}"/>
    <cellStyle name="Separador de milhares 3 17 9 2 6" xfId="33649" xr:uid="{00000000-0005-0000-0000-0000B74A0000}"/>
    <cellStyle name="Separador de milhares 3 17 9 3" xfId="9129" xr:uid="{00000000-0005-0000-0000-0000B84A0000}"/>
    <cellStyle name="Separador de milhares 3 17 9 3 2" xfId="27343" xr:uid="{00000000-0005-0000-0000-0000B94A0000}"/>
    <cellStyle name="Separador de milhares 3 17 9 3 2 2" xfId="53524" xr:uid="{00000000-0005-0000-0000-0000BA4A0000}"/>
    <cellStyle name="Separador de milhares 3 17 9 3 3" xfId="21429" xr:uid="{00000000-0005-0000-0000-0000BB4A0000}"/>
    <cellStyle name="Separador de milhares 3 17 9 3 3 2" xfId="47616" xr:uid="{00000000-0005-0000-0000-0000BC4A0000}"/>
    <cellStyle name="Separador de milhares 3 17 9 3 4" xfId="15515" xr:uid="{00000000-0005-0000-0000-0000BD4A0000}"/>
    <cellStyle name="Separador de milhares 3 17 9 3 4 2" xfId="41708" xr:uid="{00000000-0005-0000-0000-0000BE4A0000}"/>
    <cellStyle name="Separador de milhares 3 17 9 3 5" xfId="35322" xr:uid="{00000000-0005-0000-0000-0000BF4A0000}"/>
    <cellStyle name="Separador de milhares 3 17 9 4" xfId="5754" xr:uid="{00000000-0005-0000-0000-0000C04A0000}"/>
    <cellStyle name="Separador de milhares 3 17 9 4 2" xfId="24386" xr:uid="{00000000-0005-0000-0000-0000C14A0000}"/>
    <cellStyle name="Separador de milhares 3 17 9 4 2 2" xfId="50570" xr:uid="{00000000-0005-0000-0000-0000C24A0000}"/>
    <cellStyle name="Separador de milhares 3 17 9 4 3" xfId="31950" xr:uid="{00000000-0005-0000-0000-0000C34A0000}"/>
    <cellStyle name="Separador de milhares 3 17 9 5" xfId="18472" xr:uid="{00000000-0005-0000-0000-0000C44A0000}"/>
    <cellStyle name="Separador de milhares 3 17 9 5 2" xfId="44662" xr:uid="{00000000-0005-0000-0000-0000C54A0000}"/>
    <cellStyle name="Separador de milhares 3 17 9 6" xfId="12141" xr:uid="{00000000-0005-0000-0000-0000C64A0000}"/>
    <cellStyle name="Separador de milhares 3 17 9 6 2" xfId="38334" xr:uid="{00000000-0005-0000-0000-0000C74A0000}"/>
    <cellStyle name="Separador de milhares 3 17 9 7" xfId="30252" xr:uid="{00000000-0005-0000-0000-0000C84A0000}"/>
    <cellStyle name="Separador de milhares 3 18" xfId="309" xr:uid="{00000000-0005-0000-0000-0000C94A0000}"/>
    <cellStyle name="Separador de milhares 3 18 10" xfId="6500" xr:uid="{00000000-0005-0000-0000-0000CA4A0000}"/>
    <cellStyle name="Separador de milhares 3 18 10 2" xfId="9648" xr:uid="{00000000-0005-0000-0000-0000CB4A0000}"/>
    <cellStyle name="Separador de milhares 3 18 10 2 2" xfId="27862" xr:uid="{00000000-0005-0000-0000-0000CC4A0000}"/>
    <cellStyle name="Separador de milhares 3 18 10 2 2 2" xfId="54043" xr:uid="{00000000-0005-0000-0000-0000CD4A0000}"/>
    <cellStyle name="Separador de milhares 3 18 10 2 3" xfId="21948" xr:uid="{00000000-0005-0000-0000-0000CE4A0000}"/>
    <cellStyle name="Separador de milhares 3 18 10 2 3 2" xfId="48135" xr:uid="{00000000-0005-0000-0000-0000CF4A0000}"/>
    <cellStyle name="Separador de milhares 3 18 10 2 4" xfId="16034" xr:uid="{00000000-0005-0000-0000-0000D04A0000}"/>
    <cellStyle name="Separador de milhares 3 18 10 2 4 2" xfId="42227" xr:uid="{00000000-0005-0000-0000-0000D14A0000}"/>
    <cellStyle name="Separador de milhares 3 18 10 2 5" xfId="35841" xr:uid="{00000000-0005-0000-0000-0000D24A0000}"/>
    <cellStyle name="Separador de milhares 3 18 10 3" xfId="24905" xr:uid="{00000000-0005-0000-0000-0000D34A0000}"/>
    <cellStyle name="Separador de milhares 3 18 10 3 2" xfId="51089" xr:uid="{00000000-0005-0000-0000-0000D44A0000}"/>
    <cellStyle name="Separador de milhares 3 18 10 4" xfId="18991" xr:uid="{00000000-0005-0000-0000-0000D54A0000}"/>
    <cellStyle name="Separador de milhares 3 18 10 4 2" xfId="45181" xr:uid="{00000000-0005-0000-0000-0000D64A0000}"/>
    <cellStyle name="Separador de milhares 3 18 10 5" xfId="12889" xr:uid="{00000000-0005-0000-0000-0000D74A0000}"/>
    <cellStyle name="Separador de milhares 3 18 10 5 2" xfId="39082" xr:uid="{00000000-0005-0000-0000-0000D84A0000}"/>
    <cellStyle name="Separador de milhares 3 18 10 6" xfId="32696" xr:uid="{00000000-0005-0000-0000-0000D94A0000}"/>
    <cellStyle name="Separador de milhares 3 18 11" xfId="8177" xr:uid="{00000000-0005-0000-0000-0000DA4A0000}"/>
    <cellStyle name="Separador de milhares 3 18 11 2" xfId="26391" xr:uid="{00000000-0005-0000-0000-0000DB4A0000}"/>
    <cellStyle name="Separador de milhares 3 18 11 2 2" xfId="52575" xr:uid="{00000000-0005-0000-0000-0000DC4A0000}"/>
    <cellStyle name="Separador de milhares 3 18 11 3" xfId="20477" xr:uid="{00000000-0005-0000-0000-0000DD4A0000}"/>
    <cellStyle name="Separador de milhares 3 18 11 3 2" xfId="46667" xr:uid="{00000000-0005-0000-0000-0000DE4A0000}"/>
    <cellStyle name="Separador de milhares 3 18 11 4" xfId="14566" xr:uid="{00000000-0005-0000-0000-0000DF4A0000}"/>
    <cellStyle name="Separador de milhares 3 18 11 4 2" xfId="40759" xr:uid="{00000000-0005-0000-0000-0000E04A0000}"/>
    <cellStyle name="Separador de milhares 3 18 11 5" xfId="34373" xr:uid="{00000000-0005-0000-0000-0000E14A0000}"/>
    <cellStyle name="Separador de milhares 3 18 12" xfId="4799" xr:uid="{00000000-0005-0000-0000-0000E24A0000}"/>
    <cellStyle name="Separador de milhares 3 18 12 2" xfId="23434" xr:uid="{00000000-0005-0000-0000-0000E34A0000}"/>
    <cellStyle name="Separador de milhares 3 18 12 2 2" xfId="49621" xr:uid="{00000000-0005-0000-0000-0000E44A0000}"/>
    <cellStyle name="Separador de milhares 3 18 12 3" xfId="30997" xr:uid="{00000000-0005-0000-0000-0000E54A0000}"/>
    <cellStyle name="Separador de milhares 3 18 13" xfId="17520" xr:uid="{00000000-0005-0000-0000-0000E64A0000}"/>
    <cellStyle name="Separador de milhares 3 18 13 2" xfId="43713" xr:uid="{00000000-0005-0000-0000-0000E74A0000}"/>
    <cellStyle name="Separador de milhares 3 18 14" xfId="11188" xr:uid="{00000000-0005-0000-0000-0000E84A0000}"/>
    <cellStyle name="Separador de milhares 3 18 14 2" xfId="37381" xr:uid="{00000000-0005-0000-0000-0000E94A0000}"/>
    <cellStyle name="Separador de milhares 3 18 15" xfId="29299" xr:uid="{00000000-0005-0000-0000-0000EA4A0000}"/>
    <cellStyle name="Separador de milhares 3 18 2" xfId="954" xr:uid="{00000000-0005-0000-0000-0000EB4A0000}"/>
    <cellStyle name="Separador de milhares 3 18 2 2" xfId="6697" xr:uid="{00000000-0005-0000-0000-0000EC4A0000}"/>
    <cellStyle name="Separador de milhares 3 18 2 2 2" xfId="9844" xr:uid="{00000000-0005-0000-0000-0000ED4A0000}"/>
    <cellStyle name="Separador de milhares 3 18 2 2 2 2" xfId="28058" xr:uid="{00000000-0005-0000-0000-0000EE4A0000}"/>
    <cellStyle name="Separador de milhares 3 18 2 2 2 2 2" xfId="54239" xr:uid="{00000000-0005-0000-0000-0000EF4A0000}"/>
    <cellStyle name="Separador de milhares 3 18 2 2 2 3" xfId="22144" xr:uid="{00000000-0005-0000-0000-0000F04A0000}"/>
    <cellStyle name="Separador de milhares 3 18 2 2 2 3 2" xfId="48331" xr:uid="{00000000-0005-0000-0000-0000F14A0000}"/>
    <cellStyle name="Separador de milhares 3 18 2 2 2 4" xfId="16230" xr:uid="{00000000-0005-0000-0000-0000F24A0000}"/>
    <cellStyle name="Separador de milhares 3 18 2 2 2 4 2" xfId="42423" xr:uid="{00000000-0005-0000-0000-0000F34A0000}"/>
    <cellStyle name="Separador de milhares 3 18 2 2 2 5" xfId="36037" xr:uid="{00000000-0005-0000-0000-0000F44A0000}"/>
    <cellStyle name="Separador de milhares 3 18 2 2 3" xfId="25101" xr:uid="{00000000-0005-0000-0000-0000F54A0000}"/>
    <cellStyle name="Separador de milhares 3 18 2 2 3 2" xfId="51285" xr:uid="{00000000-0005-0000-0000-0000F64A0000}"/>
    <cellStyle name="Separador de milhares 3 18 2 2 4" xfId="19187" xr:uid="{00000000-0005-0000-0000-0000F74A0000}"/>
    <cellStyle name="Separador de milhares 3 18 2 2 4 2" xfId="45377" xr:uid="{00000000-0005-0000-0000-0000F84A0000}"/>
    <cellStyle name="Separador de milhares 3 18 2 2 5" xfId="13086" xr:uid="{00000000-0005-0000-0000-0000F94A0000}"/>
    <cellStyle name="Separador de milhares 3 18 2 2 5 2" xfId="39279" xr:uid="{00000000-0005-0000-0000-0000FA4A0000}"/>
    <cellStyle name="Separador de milhares 3 18 2 2 6" xfId="32893" xr:uid="{00000000-0005-0000-0000-0000FB4A0000}"/>
    <cellStyle name="Separador de milhares 3 18 2 3" xfId="8376" xr:uid="{00000000-0005-0000-0000-0000FC4A0000}"/>
    <cellStyle name="Separador de milhares 3 18 2 3 2" xfId="26590" xr:uid="{00000000-0005-0000-0000-0000FD4A0000}"/>
    <cellStyle name="Separador de milhares 3 18 2 3 2 2" xfId="52771" xr:uid="{00000000-0005-0000-0000-0000FE4A0000}"/>
    <cellStyle name="Separador de milhares 3 18 2 3 3" xfId="20676" xr:uid="{00000000-0005-0000-0000-0000FF4A0000}"/>
    <cellStyle name="Separador de milhares 3 18 2 3 3 2" xfId="46863" xr:uid="{00000000-0005-0000-0000-0000004B0000}"/>
    <cellStyle name="Separador de milhares 3 18 2 3 4" xfId="14762" xr:uid="{00000000-0005-0000-0000-0000014B0000}"/>
    <cellStyle name="Separador de milhares 3 18 2 3 4 2" xfId="40955" xr:uid="{00000000-0005-0000-0000-0000024B0000}"/>
    <cellStyle name="Separador de milhares 3 18 2 3 5" xfId="34569" xr:uid="{00000000-0005-0000-0000-0000034B0000}"/>
    <cellStyle name="Separador de milhares 3 18 2 4" xfId="4998" xr:uid="{00000000-0005-0000-0000-0000044B0000}"/>
    <cellStyle name="Separador de milhares 3 18 2 4 2" xfId="23633" xr:uid="{00000000-0005-0000-0000-0000054B0000}"/>
    <cellStyle name="Separador de milhares 3 18 2 4 2 2" xfId="49817" xr:uid="{00000000-0005-0000-0000-0000064B0000}"/>
    <cellStyle name="Separador de milhares 3 18 2 4 3" xfId="31194" xr:uid="{00000000-0005-0000-0000-0000074B0000}"/>
    <cellStyle name="Separador de milhares 3 18 2 5" xfId="17719" xr:uid="{00000000-0005-0000-0000-0000084B0000}"/>
    <cellStyle name="Separador de milhares 3 18 2 5 2" xfId="43909" xr:uid="{00000000-0005-0000-0000-0000094B0000}"/>
    <cellStyle name="Separador de milhares 3 18 2 6" xfId="11385" xr:uid="{00000000-0005-0000-0000-00000A4B0000}"/>
    <cellStyle name="Separador de milhares 3 18 2 6 2" xfId="37578" xr:uid="{00000000-0005-0000-0000-00000B4B0000}"/>
    <cellStyle name="Separador de milhares 3 18 2 7" xfId="29496" xr:uid="{00000000-0005-0000-0000-00000C4B0000}"/>
    <cellStyle name="Separador de milhares 3 18 3" xfId="1305" xr:uid="{00000000-0005-0000-0000-00000D4B0000}"/>
    <cellStyle name="Separador de milhares 3 18 3 2" xfId="6795" xr:uid="{00000000-0005-0000-0000-00000E4B0000}"/>
    <cellStyle name="Separador de milhares 3 18 3 2 2" xfId="9942" xr:uid="{00000000-0005-0000-0000-00000F4B0000}"/>
    <cellStyle name="Separador de milhares 3 18 3 2 2 2" xfId="28156" xr:uid="{00000000-0005-0000-0000-0000104B0000}"/>
    <cellStyle name="Separador de milhares 3 18 3 2 2 2 2" xfId="54337" xr:uid="{00000000-0005-0000-0000-0000114B0000}"/>
    <cellStyle name="Separador de milhares 3 18 3 2 2 3" xfId="22242" xr:uid="{00000000-0005-0000-0000-0000124B0000}"/>
    <cellStyle name="Separador de milhares 3 18 3 2 2 3 2" xfId="48429" xr:uid="{00000000-0005-0000-0000-0000134B0000}"/>
    <cellStyle name="Separador de milhares 3 18 3 2 2 4" xfId="16328" xr:uid="{00000000-0005-0000-0000-0000144B0000}"/>
    <cellStyle name="Separador de milhares 3 18 3 2 2 4 2" xfId="42521" xr:uid="{00000000-0005-0000-0000-0000154B0000}"/>
    <cellStyle name="Separador de milhares 3 18 3 2 2 5" xfId="36135" xr:uid="{00000000-0005-0000-0000-0000164B0000}"/>
    <cellStyle name="Separador de milhares 3 18 3 2 3" xfId="25199" xr:uid="{00000000-0005-0000-0000-0000174B0000}"/>
    <cellStyle name="Separador de milhares 3 18 3 2 3 2" xfId="51383" xr:uid="{00000000-0005-0000-0000-0000184B0000}"/>
    <cellStyle name="Separador de milhares 3 18 3 2 4" xfId="19285" xr:uid="{00000000-0005-0000-0000-0000194B0000}"/>
    <cellStyle name="Separador de milhares 3 18 3 2 4 2" xfId="45475" xr:uid="{00000000-0005-0000-0000-00001A4B0000}"/>
    <cellStyle name="Separador de milhares 3 18 3 2 5" xfId="13184" xr:uid="{00000000-0005-0000-0000-00001B4B0000}"/>
    <cellStyle name="Separador de milhares 3 18 3 2 5 2" xfId="39377" xr:uid="{00000000-0005-0000-0000-00001C4B0000}"/>
    <cellStyle name="Separador de milhares 3 18 3 2 6" xfId="32991" xr:uid="{00000000-0005-0000-0000-00001D4B0000}"/>
    <cellStyle name="Separador de milhares 3 18 3 3" xfId="8474" xr:uid="{00000000-0005-0000-0000-00001E4B0000}"/>
    <cellStyle name="Separador de milhares 3 18 3 3 2" xfId="26688" xr:uid="{00000000-0005-0000-0000-00001F4B0000}"/>
    <cellStyle name="Separador de milhares 3 18 3 3 2 2" xfId="52869" xr:uid="{00000000-0005-0000-0000-0000204B0000}"/>
    <cellStyle name="Separador de milhares 3 18 3 3 3" xfId="20774" xr:uid="{00000000-0005-0000-0000-0000214B0000}"/>
    <cellStyle name="Separador de milhares 3 18 3 3 3 2" xfId="46961" xr:uid="{00000000-0005-0000-0000-0000224B0000}"/>
    <cellStyle name="Separador de milhares 3 18 3 3 4" xfId="14860" xr:uid="{00000000-0005-0000-0000-0000234B0000}"/>
    <cellStyle name="Separador de milhares 3 18 3 3 4 2" xfId="41053" xr:uid="{00000000-0005-0000-0000-0000244B0000}"/>
    <cellStyle name="Separador de milhares 3 18 3 3 5" xfId="34667" xr:uid="{00000000-0005-0000-0000-0000254B0000}"/>
    <cellStyle name="Separador de milhares 3 18 3 4" xfId="5096" xr:uid="{00000000-0005-0000-0000-0000264B0000}"/>
    <cellStyle name="Separador de milhares 3 18 3 4 2" xfId="23731" xr:uid="{00000000-0005-0000-0000-0000274B0000}"/>
    <cellStyle name="Separador de milhares 3 18 3 4 2 2" xfId="49915" xr:uid="{00000000-0005-0000-0000-0000284B0000}"/>
    <cellStyle name="Separador de milhares 3 18 3 4 3" xfId="31292" xr:uid="{00000000-0005-0000-0000-0000294B0000}"/>
    <cellStyle name="Separador de milhares 3 18 3 5" xfId="17817" xr:uid="{00000000-0005-0000-0000-00002A4B0000}"/>
    <cellStyle name="Separador de milhares 3 18 3 5 2" xfId="44007" xr:uid="{00000000-0005-0000-0000-00002B4B0000}"/>
    <cellStyle name="Separador de milhares 3 18 3 6" xfId="11483" xr:uid="{00000000-0005-0000-0000-00002C4B0000}"/>
    <cellStyle name="Separador de milhares 3 18 3 6 2" xfId="37676" xr:uid="{00000000-0005-0000-0000-00002D4B0000}"/>
    <cellStyle name="Separador de milhares 3 18 3 7" xfId="29594" xr:uid="{00000000-0005-0000-0000-00002E4B0000}"/>
    <cellStyle name="Separador de milhares 3 18 4" xfId="1740" xr:uid="{00000000-0005-0000-0000-00002F4B0000}"/>
    <cellStyle name="Separador de milhares 3 18 4 2" xfId="6914" xr:uid="{00000000-0005-0000-0000-0000304B0000}"/>
    <cellStyle name="Separador de milhares 3 18 4 2 2" xfId="10061" xr:uid="{00000000-0005-0000-0000-0000314B0000}"/>
    <cellStyle name="Separador de milhares 3 18 4 2 2 2" xfId="28275" xr:uid="{00000000-0005-0000-0000-0000324B0000}"/>
    <cellStyle name="Separador de milhares 3 18 4 2 2 2 2" xfId="54456" xr:uid="{00000000-0005-0000-0000-0000334B0000}"/>
    <cellStyle name="Separador de milhares 3 18 4 2 2 3" xfId="22361" xr:uid="{00000000-0005-0000-0000-0000344B0000}"/>
    <cellStyle name="Separador de milhares 3 18 4 2 2 3 2" xfId="48548" xr:uid="{00000000-0005-0000-0000-0000354B0000}"/>
    <cellStyle name="Separador de milhares 3 18 4 2 2 4" xfId="16447" xr:uid="{00000000-0005-0000-0000-0000364B0000}"/>
    <cellStyle name="Separador de milhares 3 18 4 2 2 4 2" xfId="42640" xr:uid="{00000000-0005-0000-0000-0000374B0000}"/>
    <cellStyle name="Separador de milhares 3 18 4 2 2 5" xfId="36254" xr:uid="{00000000-0005-0000-0000-0000384B0000}"/>
    <cellStyle name="Separador de milhares 3 18 4 2 3" xfId="25318" xr:uid="{00000000-0005-0000-0000-0000394B0000}"/>
    <cellStyle name="Separador de milhares 3 18 4 2 3 2" xfId="51502" xr:uid="{00000000-0005-0000-0000-00003A4B0000}"/>
    <cellStyle name="Separador de milhares 3 18 4 2 4" xfId="19404" xr:uid="{00000000-0005-0000-0000-00003B4B0000}"/>
    <cellStyle name="Separador de milhares 3 18 4 2 4 2" xfId="45594" xr:uid="{00000000-0005-0000-0000-00003C4B0000}"/>
    <cellStyle name="Separador de milhares 3 18 4 2 5" xfId="13303" xr:uid="{00000000-0005-0000-0000-00003D4B0000}"/>
    <cellStyle name="Separador de milhares 3 18 4 2 5 2" xfId="39496" xr:uid="{00000000-0005-0000-0000-00003E4B0000}"/>
    <cellStyle name="Separador de milhares 3 18 4 2 6" xfId="33110" xr:uid="{00000000-0005-0000-0000-00003F4B0000}"/>
    <cellStyle name="Separador de milhares 3 18 4 3" xfId="8593" xr:uid="{00000000-0005-0000-0000-0000404B0000}"/>
    <cellStyle name="Separador de milhares 3 18 4 3 2" xfId="26807" xr:uid="{00000000-0005-0000-0000-0000414B0000}"/>
    <cellStyle name="Separador de milhares 3 18 4 3 2 2" xfId="52988" xr:uid="{00000000-0005-0000-0000-0000424B0000}"/>
    <cellStyle name="Separador de milhares 3 18 4 3 3" xfId="20893" xr:uid="{00000000-0005-0000-0000-0000434B0000}"/>
    <cellStyle name="Separador de milhares 3 18 4 3 3 2" xfId="47080" xr:uid="{00000000-0005-0000-0000-0000444B0000}"/>
    <cellStyle name="Separador de milhares 3 18 4 3 4" xfId="14979" xr:uid="{00000000-0005-0000-0000-0000454B0000}"/>
    <cellStyle name="Separador de milhares 3 18 4 3 4 2" xfId="41172" xr:uid="{00000000-0005-0000-0000-0000464B0000}"/>
    <cellStyle name="Separador de milhares 3 18 4 3 5" xfId="34786" xr:uid="{00000000-0005-0000-0000-0000474B0000}"/>
    <cellStyle name="Separador de milhares 3 18 4 4" xfId="5215" xr:uid="{00000000-0005-0000-0000-0000484B0000}"/>
    <cellStyle name="Separador de milhares 3 18 4 4 2" xfId="23850" xr:uid="{00000000-0005-0000-0000-0000494B0000}"/>
    <cellStyle name="Separador de milhares 3 18 4 4 2 2" xfId="50034" xr:uid="{00000000-0005-0000-0000-00004A4B0000}"/>
    <cellStyle name="Separador de milhares 3 18 4 4 3" xfId="31411" xr:uid="{00000000-0005-0000-0000-00004B4B0000}"/>
    <cellStyle name="Separador de milhares 3 18 4 5" xfId="17936" xr:uid="{00000000-0005-0000-0000-00004C4B0000}"/>
    <cellStyle name="Separador de milhares 3 18 4 5 2" xfId="44126" xr:uid="{00000000-0005-0000-0000-00004D4B0000}"/>
    <cellStyle name="Separador de milhares 3 18 4 6" xfId="11602" xr:uid="{00000000-0005-0000-0000-00004E4B0000}"/>
    <cellStyle name="Separador de milhares 3 18 4 6 2" xfId="37795" xr:uid="{00000000-0005-0000-0000-00004F4B0000}"/>
    <cellStyle name="Separador de milhares 3 18 4 7" xfId="29713" xr:uid="{00000000-0005-0000-0000-0000504B0000}"/>
    <cellStyle name="Separador de milhares 3 18 5" xfId="2270" xr:uid="{00000000-0005-0000-0000-0000514B0000}"/>
    <cellStyle name="Separador de milhares 3 18 5 2" xfId="7064" xr:uid="{00000000-0005-0000-0000-0000524B0000}"/>
    <cellStyle name="Separador de milhares 3 18 5 2 2" xfId="10208" xr:uid="{00000000-0005-0000-0000-0000534B0000}"/>
    <cellStyle name="Separador de milhares 3 18 5 2 2 2" xfId="28422" xr:uid="{00000000-0005-0000-0000-0000544B0000}"/>
    <cellStyle name="Separador de milhares 3 18 5 2 2 2 2" xfId="54603" xr:uid="{00000000-0005-0000-0000-0000554B0000}"/>
    <cellStyle name="Separador de milhares 3 18 5 2 2 3" xfId="22508" xr:uid="{00000000-0005-0000-0000-0000564B0000}"/>
    <cellStyle name="Separador de milhares 3 18 5 2 2 3 2" xfId="48695" xr:uid="{00000000-0005-0000-0000-0000574B0000}"/>
    <cellStyle name="Separador de milhares 3 18 5 2 2 4" xfId="16594" xr:uid="{00000000-0005-0000-0000-0000584B0000}"/>
    <cellStyle name="Separador de milhares 3 18 5 2 2 4 2" xfId="42787" xr:uid="{00000000-0005-0000-0000-0000594B0000}"/>
    <cellStyle name="Separador de milhares 3 18 5 2 2 5" xfId="36401" xr:uid="{00000000-0005-0000-0000-00005A4B0000}"/>
    <cellStyle name="Separador de milhares 3 18 5 2 3" xfId="25465" xr:uid="{00000000-0005-0000-0000-00005B4B0000}"/>
    <cellStyle name="Separador de milhares 3 18 5 2 3 2" xfId="51649" xr:uid="{00000000-0005-0000-0000-00005C4B0000}"/>
    <cellStyle name="Separador de milhares 3 18 5 2 4" xfId="19551" xr:uid="{00000000-0005-0000-0000-00005D4B0000}"/>
    <cellStyle name="Separador de milhares 3 18 5 2 4 2" xfId="45741" xr:uid="{00000000-0005-0000-0000-00005E4B0000}"/>
    <cellStyle name="Separador de milhares 3 18 5 2 5" xfId="13453" xr:uid="{00000000-0005-0000-0000-00005F4B0000}"/>
    <cellStyle name="Separador de milhares 3 18 5 2 5 2" xfId="39646" xr:uid="{00000000-0005-0000-0000-0000604B0000}"/>
    <cellStyle name="Separador de milhares 3 18 5 2 6" xfId="33260" xr:uid="{00000000-0005-0000-0000-0000614B0000}"/>
    <cellStyle name="Separador de milhares 3 18 5 3" xfId="8740" xr:uid="{00000000-0005-0000-0000-0000624B0000}"/>
    <cellStyle name="Separador de milhares 3 18 5 3 2" xfId="26954" xr:uid="{00000000-0005-0000-0000-0000634B0000}"/>
    <cellStyle name="Separador de milhares 3 18 5 3 2 2" xfId="53135" xr:uid="{00000000-0005-0000-0000-0000644B0000}"/>
    <cellStyle name="Separador de milhares 3 18 5 3 3" xfId="21040" xr:uid="{00000000-0005-0000-0000-0000654B0000}"/>
    <cellStyle name="Separador de milhares 3 18 5 3 3 2" xfId="47227" xr:uid="{00000000-0005-0000-0000-0000664B0000}"/>
    <cellStyle name="Separador de milhares 3 18 5 3 4" xfId="15126" xr:uid="{00000000-0005-0000-0000-0000674B0000}"/>
    <cellStyle name="Separador de milhares 3 18 5 3 4 2" xfId="41319" xr:uid="{00000000-0005-0000-0000-0000684B0000}"/>
    <cellStyle name="Separador de milhares 3 18 5 3 5" xfId="34933" xr:uid="{00000000-0005-0000-0000-0000694B0000}"/>
    <cellStyle name="Separador de milhares 3 18 5 4" xfId="5365" xr:uid="{00000000-0005-0000-0000-00006A4B0000}"/>
    <cellStyle name="Separador de milhares 3 18 5 4 2" xfId="23997" xr:uid="{00000000-0005-0000-0000-00006B4B0000}"/>
    <cellStyle name="Separador de milhares 3 18 5 4 2 2" xfId="50181" xr:uid="{00000000-0005-0000-0000-00006C4B0000}"/>
    <cellStyle name="Separador de milhares 3 18 5 4 3" xfId="31561" xr:uid="{00000000-0005-0000-0000-00006D4B0000}"/>
    <cellStyle name="Separador de milhares 3 18 5 5" xfId="18083" xr:uid="{00000000-0005-0000-0000-00006E4B0000}"/>
    <cellStyle name="Separador de milhares 3 18 5 5 2" xfId="44273" xr:uid="{00000000-0005-0000-0000-00006F4B0000}"/>
    <cellStyle name="Separador de milhares 3 18 5 6" xfId="11752" xr:uid="{00000000-0005-0000-0000-0000704B0000}"/>
    <cellStyle name="Separador de milhares 3 18 5 6 2" xfId="37945" xr:uid="{00000000-0005-0000-0000-0000714B0000}"/>
    <cellStyle name="Separador de milhares 3 18 5 7" xfId="29863" xr:uid="{00000000-0005-0000-0000-0000724B0000}"/>
    <cellStyle name="Separador de milhares 3 18 6" xfId="2797" xr:uid="{00000000-0005-0000-0000-0000734B0000}"/>
    <cellStyle name="Separador de milhares 3 18 6 2" xfId="7211" xr:uid="{00000000-0005-0000-0000-0000744B0000}"/>
    <cellStyle name="Separador de milhares 3 18 6 2 2" xfId="10355" xr:uid="{00000000-0005-0000-0000-0000754B0000}"/>
    <cellStyle name="Separador de milhares 3 18 6 2 2 2" xfId="28569" xr:uid="{00000000-0005-0000-0000-0000764B0000}"/>
    <cellStyle name="Separador de milhares 3 18 6 2 2 2 2" xfId="54750" xr:uid="{00000000-0005-0000-0000-0000774B0000}"/>
    <cellStyle name="Separador de milhares 3 18 6 2 2 3" xfId="22655" xr:uid="{00000000-0005-0000-0000-0000784B0000}"/>
    <cellStyle name="Separador de milhares 3 18 6 2 2 3 2" xfId="48842" xr:uid="{00000000-0005-0000-0000-0000794B0000}"/>
    <cellStyle name="Separador de milhares 3 18 6 2 2 4" xfId="16741" xr:uid="{00000000-0005-0000-0000-00007A4B0000}"/>
    <cellStyle name="Separador de milhares 3 18 6 2 2 4 2" xfId="42934" xr:uid="{00000000-0005-0000-0000-00007B4B0000}"/>
    <cellStyle name="Separador de milhares 3 18 6 2 2 5" xfId="36548" xr:uid="{00000000-0005-0000-0000-00007C4B0000}"/>
    <cellStyle name="Separador de milhares 3 18 6 2 3" xfId="25612" xr:uid="{00000000-0005-0000-0000-00007D4B0000}"/>
    <cellStyle name="Separador de milhares 3 18 6 2 3 2" xfId="51796" xr:uid="{00000000-0005-0000-0000-00007E4B0000}"/>
    <cellStyle name="Separador de milhares 3 18 6 2 4" xfId="19698" xr:uid="{00000000-0005-0000-0000-00007F4B0000}"/>
    <cellStyle name="Separador de milhares 3 18 6 2 4 2" xfId="45888" xr:uid="{00000000-0005-0000-0000-0000804B0000}"/>
    <cellStyle name="Separador de milhares 3 18 6 2 5" xfId="13600" xr:uid="{00000000-0005-0000-0000-0000814B0000}"/>
    <cellStyle name="Separador de milhares 3 18 6 2 5 2" xfId="39793" xr:uid="{00000000-0005-0000-0000-0000824B0000}"/>
    <cellStyle name="Separador de milhares 3 18 6 2 6" xfId="33407" xr:uid="{00000000-0005-0000-0000-0000834B0000}"/>
    <cellStyle name="Separador de milhares 3 18 6 3" xfId="8887" xr:uid="{00000000-0005-0000-0000-0000844B0000}"/>
    <cellStyle name="Separador de milhares 3 18 6 3 2" xfId="27101" xr:uid="{00000000-0005-0000-0000-0000854B0000}"/>
    <cellStyle name="Separador de milhares 3 18 6 3 2 2" xfId="53282" xr:uid="{00000000-0005-0000-0000-0000864B0000}"/>
    <cellStyle name="Separador de milhares 3 18 6 3 3" xfId="21187" xr:uid="{00000000-0005-0000-0000-0000874B0000}"/>
    <cellStyle name="Separador de milhares 3 18 6 3 3 2" xfId="47374" xr:uid="{00000000-0005-0000-0000-0000884B0000}"/>
    <cellStyle name="Separador de milhares 3 18 6 3 4" xfId="15273" xr:uid="{00000000-0005-0000-0000-0000894B0000}"/>
    <cellStyle name="Separador de milhares 3 18 6 3 4 2" xfId="41466" xr:uid="{00000000-0005-0000-0000-00008A4B0000}"/>
    <cellStyle name="Separador de milhares 3 18 6 3 5" xfId="35080" xr:uid="{00000000-0005-0000-0000-00008B4B0000}"/>
    <cellStyle name="Separador de milhares 3 18 6 4" xfId="5512" xr:uid="{00000000-0005-0000-0000-00008C4B0000}"/>
    <cellStyle name="Separador de milhares 3 18 6 4 2" xfId="24144" xr:uid="{00000000-0005-0000-0000-00008D4B0000}"/>
    <cellStyle name="Separador de milhares 3 18 6 4 2 2" xfId="50328" xr:uid="{00000000-0005-0000-0000-00008E4B0000}"/>
    <cellStyle name="Separador de milhares 3 18 6 4 3" xfId="31708" xr:uid="{00000000-0005-0000-0000-00008F4B0000}"/>
    <cellStyle name="Separador de milhares 3 18 6 5" xfId="18230" xr:uid="{00000000-0005-0000-0000-0000904B0000}"/>
    <cellStyle name="Separador de milhares 3 18 6 5 2" xfId="44420" xr:uid="{00000000-0005-0000-0000-0000914B0000}"/>
    <cellStyle name="Separador de milhares 3 18 6 6" xfId="11899" xr:uid="{00000000-0005-0000-0000-0000924B0000}"/>
    <cellStyle name="Separador de milhares 3 18 6 6 2" xfId="38092" xr:uid="{00000000-0005-0000-0000-0000934B0000}"/>
    <cellStyle name="Separador de milhares 3 18 6 7" xfId="30010" xr:uid="{00000000-0005-0000-0000-0000944B0000}"/>
    <cellStyle name="Separador de milhares 3 18 7" xfId="3324" xr:uid="{00000000-0005-0000-0000-0000954B0000}"/>
    <cellStyle name="Separador de milhares 3 18 7 2" xfId="7358" xr:uid="{00000000-0005-0000-0000-0000964B0000}"/>
    <cellStyle name="Separador de milhares 3 18 7 2 2" xfId="10502" xr:uid="{00000000-0005-0000-0000-0000974B0000}"/>
    <cellStyle name="Separador de milhares 3 18 7 2 2 2" xfId="28716" xr:uid="{00000000-0005-0000-0000-0000984B0000}"/>
    <cellStyle name="Separador de milhares 3 18 7 2 2 2 2" xfId="54897" xr:uid="{00000000-0005-0000-0000-0000994B0000}"/>
    <cellStyle name="Separador de milhares 3 18 7 2 2 3" xfId="22802" xr:uid="{00000000-0005-0000-0000-00009A4B0000}"/>
    <cellStyle name="Separador de milhares 3 18 7 2 2 3 2" xfId="48989" xr:uid="{00000000-0005-0000-0000-00009B4B0000}"/>
    <cellStyle name="Separador de milhares 3 18 7 2 2 4" xfId="16888" xr:uid="{00000000-0005-0000-0000-00009C4B0000}"/>
    <cellStyle name="Separador de milhares 3 18 7 2 2 4 2" xfId="43081" xr:uid="{00000000-0005-0000-0000-00009D4B0000}"/>
    <cellStyle name="Separador de milhares 3 18 7 2 2 5" xfId="36695" xr:uid="{00000000-0005-0000-0000-00009E4B0000}"/>
    <cellStyle name="Separador de milhares 3 18 7 2 3" xfId="25759" xr:uid="{00000000-0005-0000-0000-00009F4B0000}"/>
    <cellStyle name="Separador de milhares 3 18 7 2 3 2" xfId="51943" xr:uid="{00000000-0005-0000-0000-0000A04B0000}"/>
    <cellStyle name="Separador de milhares 3 18 7 2 4" xfId="19845" xr:uid="{00000000-0005-0000-0000-0000A14B0000}"/>
    <cellStyle name="Separador de milhares 3 18 7 2 4 2" xfId="46035" xr:uid="{00000000-0005-0000-0000-0000A24B0000}"/>
    <cellStyle name="Separador de milhares 3 18 7 2 5" xfId="13747" xr:uid="{00000000-0005-0000-0000-0000A34B0000}"/>
    <cellStyle name="Separador de milhares 3 18 7 2 5 2" xfId="39940" xr:uid="{00000000-0005-0000-0000-0000A44B0000}"/>
    <cellStyle name="Separador de milhares 3 18 7 2 6" xfId="33554" xr:uid="{00000000-0005-0000-0000-0000A54B0000}"/>
    <cellStyle name="Separador de milhares 3 18 7 3" xfId="9034" xr:uid="{00000000-0005-0000-0000-0000A64B0000}"/>
    <cellStyle name="Separador de milhares 3 18 7 3 2" xfId="27248" xr:uid="{00000000-0005-0000-0000-0000A74B0000}"/>
    <cellStyle name="Separador de milhares 3 18 7 3 2 2" xfId="53429" xr:uid="{00000000-0005-0000-0000-0000A84B0000}"/>
    <cellStyle name="Separador de milhares 3 18 7 3 3" xfId="21334" xr:uid="{00000000-0005-0000-0000-0000A94B0000}"/>
    <cellStyle name="Separador de milhares 3 18 7 3 3 2" xfId="47521" xr:uid="{00000000-0005-0000-0000-0000AA4B0000}"/>
    <cellStyle name="Separador de milhares 3 18 7 3 4" xfId="15420" xr:uid="{00000000-0005-0000-0000-0000AB4B0000}"/>
    <cellStyle name="Separador de milhares 3 18 7 3 4 2" xfId="41613" xr:uid="{00000000-0005-0000-0000-0000AC4B0000}"/>
    <cellStyle name="Separador de milhares 3 18 7 3 5" xfId="35227" xr:uid="{00000000-0005-0000-0000-0000AD4B0000}"/>
    <cellStyle name="Separador de milhares 3 18 7 4" xfId="5659" xr:uid="{00000000-0005-0000-0000-0000AE4B0000}"/>
    <cellStyle name="Separador de milhares 3 18 7 4 2" xfId="24291" xr:uid="{00000000-0005-0000-0000-0000AF4B0000}"/>
    <cellStyle name="Separador de milhares 3 18 7 4 2 2" xfId="50475" xr:uid="{00000000-0005-0000-0000-0000B04B0000}"/>
    <cellStyle name="Separador de milhares 3 18 7 4 3" xfId="31855" xr:uid="{00000000-0005-0000-0000-0000B14B0000}"/>
    <cellStyle name="Separador de milhares 3 18 7 5" xfId="18377" xr:uid="{00000000-0005-0000-0000-0000B24B0000}"/>
    <cellStyle name="Separador de milhares 3 18 7 5 2" xfId="44567" xr:uid="{00000000-0005-0000-0000-0000B34B0000}"/>
    <cellStyle name="Separador de milhares 3 18 7 6" xfId="12046" xr:uid="{00000000-0005-0000-0000-0000B44B0000}"/>
    <cellStyle name="Separador de milhares 3 18 7 6 2" xfId="38239" xr:uid="{00000000-0005-0000-0000-0000B54B0000}"/>
    <cellStyle name="Separador de milhares 3 18 7 7" xfId="30157" xr:uid="{00000000-0005-0000-0000-0000B64B0000}"/>
    <cellStyle name="Separador de milhares 3 18 8" xfId="3851" xr:uid="{00000000-0005-0000-0000-0000B74B0000}"/>
    <cellStyle name="Separador de milhares 3 18 8 2" xfId="7505" xr:uid="{00000000-0005-0000-0000-0000B84B0000}"/>
    <cellStyle name="Separador de milhares 3 18 8 2 2" xfId="10649" xr:uid="{00000000-0005-0000-0000-0000B94B0000}"/>
    <cellStyle name="Separador de milhares 3 18 8 2 2 2" xfId="28863" xr:uid="{00000000-0005-0000-0000-0000BA4B0000}"/>
    <cellStyle name="Separador de milhares 3 18 8 2 2 2 2" xfId="55044" xr:uid="{00000000-0005-0000-0000-0000BB4B0000}"/>
    <cellStyle name="Separador de milhares 3 18 8 2 2 3" xfId="22949" xr:uid="{00000000-0005-0000-0000-0000BC4B0000}"/>
    <cellStyle name="Separador de milhares 3 18 8 2 2 3 2" xfId="49136" xr:uid="{00000000-0005-0000-0000-0000BD4B0000}"/>
    <cellStyle name="Separador de milhares 3 18 8 2 2 4" xfId="17035" xr:uid="{00000000-0005-0000-0000-0000BE4B0000}"/>
    <cellStyle name="Separador de milhares 3 18 8 2 2 4 2" xfId="43228" xr:uid="{00000000-0005-0000-0000-0000BF4B0000}"/>
    <cellStyle name="Separador de milhares 3 18 8 2 2 5" xfId="36842" xr:uid="{00000000-0005-0000-0000-0000C04B0000}"/>
    <cellStyle name="Separador de milhares 3 18 8 2 3" xfId="25906" xr:uid="{00000000-0005-0000-0000-0000C14B0000}"/>
    <cellStyle name="Separador de milhares 3 18 8 2 3 2" xfId="52090" xr:uid="{00000000-0005-0000-0000-0000C24B0000}"/>
    <cellStyle name="Separador de milhares 3 18 8 2 4" xfId="19992" xr:uid="{00000000-0005-0000-0000-0000C34B0000}"/>
    <cellStyle name="Separador de milhares 3 18 8 2 4 2" xfId="46182" xr:uid="{00000000-0005-0000-0000-0000C44B0000}"/>
    <cellStyle name="Separador de milhares 3 18 8 2 5" xfId="13894" xr:uid="{00000000-0005-0000-0000-0000C54B0000}"/>
    <cellStyle name="Separador de milhares 3 18 8 2 5 2" xfId="40087" xr:uid="{00000000-0005-0000-0000-0000C64B0000}"/>
    <cellStyle name="Separador de milhares 3 18 8 2 6" xfId="33701" xr:uid="{00000000-0005-0000-0000-0000C74B0000}"/>
    <cellStyle name="Separador de milhares 3 18 8 3" xfId="9181" xr:uid="{00000000-0005-0000-0000-0000C84B0000}"/>
    <cellStyle name="Separador de milhares 3 18 8 3 2" xfId="27395" xr:uid="{00000000-0005-0000-0000-0000C94B0000}"/>
    <cellStyle name="Separador de milhares 3 18 8 3 2 2" xfId="53576" xr:uid="{00000000-0005-0000-0000-0000CA4B0000}"/>
    <cellStyle name="Separador de milhares 3 18 8 3 3" xfId="21481" xr:uid="{00000000-0005-0000-0000-0000CB4B0000}"/>
    <cellStyle name="Separador de milhares 3 18 8 3 3 2" xfId="47668" xr:uid="{00000000-0005-0000-0000-0000CC4B0000}"/>
    <cellStyle name="Separador de milhares 3 18 8 3 4" xfId="15567" xr:uid="{00000000-0005-0000-0000-0000CD4B0000}"/>
    <cellStyle name="Separador de milhares 3 18 8 3 4 2" xfId="41760" xr:uid="{00000000-0005-0000-0000-0000CE4B0000}"/>
    <cellStyle name="Separador de milhares 3 18 8 3 5" xfId="35374" xr:uid="{00000000-0005-0000-0000-0000CF4B0000}"/>
    <cellStyle name="Separador de milhares 3 18 8 4" xfId="5806" xr:uid="{00000000-0005-0000-0000-0000D04B0000}"/>
    <cellStyle name="Separador de milhares 3 18 8 4 2" xfId="24438" xr:uid="{00000000-0005-0000-0000-0000D14B0000}"/>
    <cellStyle name="Separador de milhares 3 18 8 4 2 2" xfId="50622" xr:uid="{00000000-0005-0000-0000-0000D24B0000}"/>
    <cellStyle name="Separador de milhares 3 18 8 4 3" xfId="32002" xr:uid="{00000000-0005-0000-0000-0000D34B0000}"/>
    <cellStyle name="Separador de milhares 3 18 8 5" xfId="18524" xr:uid="{00000000-0005-0000-0000-0000D44B0000}"/>
    <cellStyle name="Separador de milhares 3 18 8 5 2" xfId="44714" xr:uid="{00000000-0005-0000-0000-0000D54B0000}"/>
    <cellStyle name="Separador de milhares 3 18 8 6" xfId="12193" xr:uid="{00000000-0005-0000-0000-0000D64B0000}"/>
    <cellStyle name="Separador de milhares 3 18 8 6 2" xfId="38386" xr:uid="{00000000-0005-0000-0000-0000D74B0000}"/>
    <cellStyle name="Separador de milhares 3 18 8 7" xfId="30304" xr:uid="{00000000-0005-0000-0000-0000D84B0000}"/>
    <cellStyle name="Separador de milhares 3 18 9" xfId="664" xr:uid="{00000000-0005-0000-0000-0000D94B0000}"/>
    <cellStyle name="Separador de milhares 3 18 9 2" xfId="6599" xr:uid="{00000000-0005-0000-0000-0000DA4B0000}"/>
    <cellStyle name="Separador de milhares 3 18 9 2 2" xfId="9746" xr:uid="{00000000-0005-0000-0000-0000DB4B0000}"/>
    <cellStyle name="Separador de milhares 3 18 9 2 2 2" xfId="27960" xr:uid="{00000000-0005-0000-0000-0000DC4B0000}"/>
    <cellStyle name="Separador de milhares 3 18 9 2 2 2 2" xfId="54141" xr:uid="{00000000-0005-0000-0000-0000DD4B0000}"/>
    <cellStyle name="Separador de milhares 3 18 9 2 2 3" xfId="22046" xr:uid="{00000000-0005-0000-0000-0000DE4B0000}"/>
    <cellStyle name="Separador de milhares 3 18 9 2 2 3 2" xfId="48233" xr:uid="{00000000-0005-0000-0000-0000DF4B0000}"/>
    <cellStyle name="Separador de milhares 3 18 9 2 2 4" xfId="16132" xr:uid="{00000000-0005-0000-0000-0000E04B0000}"/>
    <cellStyle name="Separador de milhares 3 18 9 2 2 4 2" xfId="42325" xr:uid="{00000000-0005-0000-0000-0000E14B0000}"/>
    <cellStyle name="Separador de milhares 3 18 9 2 2 5" xfId="35939" xr:uid="{00000000-0005-0000-0000-0000E24B0000}"/>
    <cellStyle name="Separador de milhares 3 18 9 2 3" xfId="25003" xr:uid="{00000000-0005-0000-0000-0000E34B0000}"/>
    <cellStyle name="Separador de milhares 3 18 9 2 3 2" xfId="51187" xr:uid="{00000000-0005-0000-0000-0000E44B0000}"/>
    <cellStyle name="Separador de milhares 3 18 9 2 4" xfId="19089" xr:uid="{00000000-0005-0000-0000-0000E54B0000}"/>
    <cellStyle name="Separador de milhares 3 18 9 2 4 2" xfId="45279" xr:uid="{00000000-0005-0000-0000-0000E64B0000}"/>
    <cellStyle name="Separador de milhares 3 18 9 2 5" xfId="12988" xr:uid="{00000000-0005-0000-0000-0000E74B0000}"/>
    <cellStyle name="Separador de milhares 3 18 9 2 5 2" xfId="39181" xr:uid="{00000000-0005-0000-0000-0000E84B0000}"/>
    <cellStyle name="Separador de milhares 3 18 9 2 6" xfId="32795" xr:uid="{00000000-0005-0000-0000-0000E94B0000}"/>
    <cellStyle name="Separador de milhares 3 18 9 3" xfId="8278" xr:uid="{00000000-0005-0000-0000-0000EA4B0000}"/>
    <cellStyle name="Separador de milhares 3 18 9 3 2" xfId="26492" xr:uid="{00000000-0005-0000-0000-0000EB4B0000}"/>
    <cellStyle name="Separador de milhares 3 18 9 3 2 2" xfId="52673" xr:uid="{00000000-0005-0000-0000-0000EC4B0000}"/>
    <cellStyle name="Separador de milhares 3 18 9 3 3" xfId="20578" xr:uid="{00000000-0005-0000-0000-0000ED4B0000}"/>
    <cellStyle name="Separador de milhares 3 18 9 3 3 2" xfId="46765" xr:uid="{00000000-0005-0000-0000-0000EE4B0000}"/>
    <cellStyle name="Separador de milhares 3 18 9 3 4" xfId="14664" xr:uid="{00000000-0005-0000-0000-0000EF4B0000}"/>
    <cellStyle name="Separador de milhares 3 18 9 3 4 2" xfId="40857" xr:uid="{00000000-0005-0000-0000-0000F04B0000}"/>
    <cellStyle name="Separador de milhares 3 18 9 3 5" xfId="34471" xr:uid="{00000000-0005-0000-0000-0000F14B0000}"/>
    <cellStyle name="Separador de milhares 3 18 9 4" xfId="4900" xr:uid="{00000000-0005-0000-0000-0000F24B0000}"/>
    <cellStyle name="Separador de milhares 3 18 9 4 2" xfId="23535" xr:uid="{00000000-0005-0000-0000-0000F34B0000}"/>
    <cellStyle name="Separador de milhares 3 18 9 4 2 2" xfId="49719" xr:uid="{00000000-0005-0000-0000-0000F44B0000}"/>
    <cellStyle name="Separador de milhares 3 18 9 4 3" xfId="31096" xr:uid="{00000000-0005-0000-0000-0000F54B0000}"/>
    <cellStyle name="Separador de milhares 3 18 9 5" xfId="17621" xr:uid="{00000000-0005-0000-0000-0000F64B0000}"/>
    <cellStyle name="Separador de milhares 3 18 9 5 2" xfId="43811" xr:uid="{00000000-0005-0000-0000-0000F74B0000}"/>
    <cellStyle name="Separador de milhares 3 18 9 6" xfId="11287" xr:uid="{00000000-0005-0000-0000-0000F84B0000}"/>
    <cellStyle name="Separador de milhares 3 18 9 6 2" xfId="37480" xr:uid="{00000000-0005-0000-0000-0000F94B0000}"/>
    <cellStyle name="Separador de milhares 3 18 9 7" xfId="29398" xr:uid="{00000000-0005-0000-0000-0000FA4B0000}"/>
    <cellStyle name="Separador de milhares 3 19" xfId="566" xr:uid="{00000000-0005-0000-0000-0000FB4B0000}"/>
    <cellStyle name="Separador de milhares 3 19 10" xfId="4864" xr:uid="{00000000-0005-0000-0000-0000FC4B0000}"/>
    <cellStyle name="Separador de milhares 3 19 10 2" xfId="23498" xr:uid="{00000000-0005-0000-0000-0000FD4B0000}"/>
    <cellStyle name="Separador de milhares 3 19 10 2 2" xfId="49685" xr:uid="{00000000-0005-0000-0000-0000FE4B0000}"/>
    <cellStyle name="Separador de milhares 3 19 10 3" xfId="31062" xr:uid="{00000000-0005-0000-0000-0000FF4B0000}"/>
    <cellStyle name="Separador de milhares 3 19 11" xfId="17584" xr:uid="{00000000-0005-0000-0000-0000004C0000}"/>
    <cellStyle name="Separador de milhares 3 19 11 2" xfId="43777" xr:uid="{00000000-0005-0000-0000-0000014C0000}"/>
    <cellStyle name="Separador de milhares 3 19 12" xfId="11253" xr:uid="{00000000-0005-0000-0000-0000024C0000}"/>
    <cellStyle name="Separador de milhares 3 19 12 2" xfId="37446" xr:uid="{00000000-0005-0000-0000-0000034C0000}"/>
    <cellStyle name="Separador de milhares 3 19 13" xfId="29364" xr:uid="{00000000-0005-0000-0000-0000044C0000}"/>
    <cellStyle name="Separador de milhares 3 19 2" xfId="1389" xr:uid="{00000000-0005-0000-0000-0000054C0000}"/>
    <cellStyle name="Separador de milhares 3 19 2 2" xfId="6816" xr:uid="{00000000-0005-0000-0000-0000064C0000}"/>
    <cellStyle name="Separador de milhares 3 19 2 2 2" xfId="9963" xr:uid="{00000000-0005-0000-0000-0000074C0000}"/>
    <cellStyle name="Separador de milhares 3 19 2 2 2 2" xfId="28177" xr:uid="{00000000-0005-0000-0000-0000084C0000}"/>
    <cellStyle name="Separador de milhares 3 19 2 2 2 2 2" xfId="54358" xr:uid="{00000000-0005-0000-0000-0000094C0000}"/>
    <cellStyle name="Separador de milhares 3 19 2 2 2 3" xfId="22263" xr:uid="{00000000-0005-0000-0000-00000A4C0000}"/>
    <cellStyle name="Separador de milhares 3 19 2 2 2 3 2" xfId="48450" xr:uid="{00000000-0005-0000-0000-00000B4C0000}"/>
    <cellStyle name="Separador de milhares 3 19 2 2 2 4" xfId="16349" xr:uid="{00000000-0005-0000-0000-00000C4C0000}"/>
    <cellStyle name="Separador de milhares 3 19 2 2 2 4 2" xfId="42542" xr:uid="{00000000-0005-0000-0000-00000D4C0000}"/>
    <cellStyle name="Separador de milhares 3 19 2 2 2 5" xfId="36156" xr:uid="{00000000-0005-0000-0000-00000E4C0000}"/>
    <cellStyle name="Separador de milhares 3 19 2 2 3" xfId="25220" xr:uid="{00000000-0005-0000-0000-00000F4C0000}"/>
    <cellStyle name="Separador de milhares 3 19 2 2 3 2" xfId="51404" xr:uid="{00000000-0005-0000-0000-0000104C0000}"/>
    <cellStyle name="Separador de milhares 3 19 2 2 4" xfId="19306" xr:uid="{00000000-0005-0000-0000-0000114C0000}"/>
    <cellStyle name="Separador de milhares 3 19 2 2 4 2" xfId="45496" xr:uid="{00000000-0005-0000-0000-0000124C0000}"/>
    <cellStyle name="Separador de milhares 3 19 2 2 5" xfId="13205" xr:uid="{00000000-0005-0000-0000-0000134C0000}"/>
    <cellStyle name="Separador de milhares 3 19 2 2 5 2" xfId="39398" xr:uid="{00000000-0005-0000-0000-0000144C0000}"/>
    <cellStyle name="Separador de milhares 3 19 2 2 6" xfId="33012" xr:uid="{00000000-0005-0000-0000-0000154C0000}"/>
    <cellStyle name="Separador de milhares 3 19 2 3" xfId="8495" xr:uid="{00000000-0005-0000-0000-0000164C0000}"/>
    <cellStyle name="Separador de milhares 3 19 2 3 2" xfId="26709" xr:uid="{00000000-0005-0000-0000-0000174C0000}"/>
    <cellStyle name="Separador de milhares 3 19 2 3 2 2" xfId="52890" xr:uid="{00000000-0005-0000-0000-0000184C0000}"/>
    <cellStyle name="Separador de milhares 3 19 2 3 3" xfId="20795" xr:uid="{00000000-0005-0000-0000-0000194C0000}"/>
    <cellStyle name="Separador de milhares 3 19 2 3 3 2" xfId="46982" xr:uid="{00000000-0005-0000-0000-00001A4C0000}"/>
    <cellStyle name="Separador de milhares 3 19 2 3 4" xfId="14881" xr:uid="{00000000-0005-0000-0000-00001B4C0000}"/>
    <cellStyle name="Separador de milhares 3 19 2 3 4 2" xfId="41074" xr:uid="{00000000-0005-0000-0000-00001C4C0000}"/>
    <cellStyle name="Separador de milhares 3 19 2 3 5" xfId="34688" xr:uid="{00000000-0005-0000-0000-00001D4C0000}"/>
    <cellStyle name="Separador de milhares 3 19 2 4" xfId="5117" xr:uid="{00000000-0005-0000-0000-00001E4C0000}"/>
    <cellStyle name="Separador de milhares 3 19 2 4 2" xfId="23752" xr:uid="{00000000-0005-0000-0000-00001F4C0000}"/>
    <cellStyle name="Separador de milhares 3 19 2 4 2 2" xfId="49936" xr:uid="{00000000-0005-0000-0000-0000204C0000}"/>
    <cellStyle name="Separador de milhares 3 19 2 4 3" xfId="31313" xr:uid="{00000000-0005-0000-0000-0000214C0000}"/>
    <cellStyle name="Separador de milhares 3 19 2 5" xfId="17838" xr:uid="{00000000-0005-0000-0000-0000224C0000}"/>
    <cellStyle name="Separador de milhares 3 19 2 5 2" xfId="44028" xr:uid="{00000000-0005-0000-0000-0000234C0000}"/>
    <cellStyle name="Separador de milhares 3 19 2 6" xfId="11504" xr:uid="{00000000-0005-0000-0000-0000244C0000}"/>
    <cellStyle name="Separador de milhares 3 19 2 6 2" xfId="37697" xr:uid="{00000000-0005-0000-0000-0000254C0000}"/>
    <cellStyle name="Separador de milhares 3 19 2 7" xfId="29615" xr:uid="{00000000-0005-0000-0000-0000264C0000}"/>
    <cellStyle name="Separador de milhares 3 19 3" xfId="1824" xr:uid="{00000000-0005-0000-0000-0000274C0000}"/>
    <cellStyle name="Separador de milhares 3 19 3 2" xfId="6935" xr:uid="{00000000-0005-0000-0000-0000284C0000}"/>
    <cellStyle name="Separador de milhares 3 19 3 2 2" xfId="10082" xr:uid="{00000000-0005-0000-0000-0000294C0000}"/>
    <cellStyle name="Separador de milhares 3 19 3 2 2 2" xfId="28296" xr:uid="{00000000-0005-0000-0000-00002A4C0000}"/>
    <cellStyle name="Separador de milhares 3 19 3 2 2 2 2" xfId="54477" xr:uid="{00000000-0005-0000-0000-00002B4C0000}"/>
    <cellStyle name="Separador de milhares 3 19 3 2 2 3" xfId="22382" xr:uid="{00000000-0005-0000-0000-00002C4C0000}"/>
    <cellStyle name="Separador de milhares 3 19 3 2 2 3 2" xfId="48569" xr:uid="{00000000-0005-0000-0000-00002D4C0000}"/>
    <cellStyle name="Separador de milhares 3 19 3 2 2 4" xfId="16468" xr:uid="{00000000-0005-0000-0000-00002E4C0000}"/>
    <cellStyle name="Separador de milhares 3 19 3 2 2 4 2" xfId="42661" xr:uid="{00000000-0005-0000-0000-00002F4C0000}"/>
    <cellStyle name="Separador de milhares 3 19 3 2 2 5" xfId="36275" xr:uid="{00000000-0005-0000-0000-0000304C0000}"/>
    <cellStyle name="Separador de milhares 3 19 3 2 3" xfId="25339" xr:uid="{00000000-0005-0000-0000-0000314C0000}"/>
    <cellStyle name="Separador de milhares 3 19 3 2 3 2" xfId="51523" xr:uid="{00000000-0005-0000-0000-0000324C0000}"/>
    <cellStyle name="Separador de milhares 3 19 3 2 4" xfId="19425" xr:uid="{00000000-0005-0000-0000-0000334C0000}"/>
    <cellStyle name="Separador de milhares 3 19 3 2 4 2" xfId="45615" xr:uid="{00000000-0005-0000-0000-0000344C0000}"/>
    <cellStyle name="Separador de milhares 3 19 3 2 5" xfId="13324" xr:uid="{00000000-0005-0000-0000-0000354C0000}"/>
    <cellStyle name="Separador de milhares 3 19 3 2 5 2" xfId="39517" xr:uid="{00000000-0005-0000-0000-0000364C0000}"/>
    <cellStyle name="Separador de milhares 3 19 3 2 6" xfId="33131" xr:uid="{00000000-0005-0000-0000-0000374C0000}"/>
    <cellStyle name="Separador de milhares 3 19 3 3" xfId="8614" xr:uid="{00000000-0005-0000-0000-0000384C0000}"/>
    <cellStyle name="Separador de milhares 3 19 3 3 2" xfId="26828" xr:uid="{00000000-0005-0000-0000-0000394C0000}"/>
    <cellStyle name="Separador de milhares 3 19 3 3 2 2" xfId="53009" xr:uid="{00000000-0005-0000-0000-00003A4C0000}"/>
    <cellStyle name="Separador de milhares 3 19 3 3 3" xfId="20914" xr:uid="{00000000-0005-0000-0000-00003B4C0000}"/>
    <cellStyle name="Separador de milhares 3 19 3 3 3 2" xfId="47101" xr:uid="{00000000-0005-0000-0000-00003C4C0000}"/>
    <cellStyle name="Separador de milhares 3 19 3 3 4" xfId="15000" xr:uid="{00000000-0005-0000-0000-00003D4C0000}"/>
    <cellStyle name="Separador de milhares 3 19 3 3 4 2" xfId="41193" xr:uid="{00000000-0005-0000-0000-00003E4C0000}"/>
    <cellStyle name="Separador de milhares 3 19 3 3 5" xfId="34807" xr:uid="{00000000-0005-0000-0000-00003F4C0000}"/>
    <cellStyle name="Separador de milhares 3 19 3 4" xfId="5236" xr:uid="{00000000-0005-0000-0000-0000404C0000}"/>
    <cellStyle name="Separador de milhares 3 19 3 4 2" xfId="23871" xr:uid="{00000000-0005-0000-0000-0000414C0000}"/>
    <cellStyle name="Separador de milhares 3 19 3 4 2 2" xfId="50055" xr:uid="{00000000-0005-0000-0000-0000424C0000}"/>
    <cellStyle name="Separador de milhares 3 19 3 4 3" xfId="31432" xr:uid="{00000000-0005-0000-0000-0000434C0000}"/>
    <cellStyle name="Separador de milhares 3 19 3 5" xfId="17957" xr:uid="{00000000-0005-0000-0000-0000444C0000}"/>
    <cellStyle name="Separador de milhares 3 19 3 5 2" xfId="44147" xr:uid="{00000000-0005-0000-0000-0000454C0000}"/>
    <cellStyle name="Separador de milhares 3 19 3 6" xfId="11623" xr:uid="{00000000-0005-0000-0000-0000464C0000}"/>
    <cellStyle name="Separador de milhares 3 19 3 6 2" xfId="37816" xr:uid="{00000000-0005-0000-0000-0000474C0000}"/>
    <cellStyle name="Separador de milhares 3 19 3 7" xfId="29734" xr:uid="{00000000-0005-0000-0000-0000484C0000}"/>
    <cellStyle name="Separador de milhares 3 19 4" xfId="2354" xr:uid="{00000000-0005-0000-0000-0000494C0000}"/>
    <cellStyle name="Separador de milhares 3 19 4 2" xfId="7085" xr:uid="{00000000-0005-0000-0000-00004A4C0000}"/>
    <cellStyle name="Separador de milhares 3 19 4 2 2" xfId="10229" xr:uid="{00000000-0005-0000-0000-00004B4C0000}"/>
    <cellStyle name="Separador de milhares 3 19 4 2 2 2" xfId="28443" xr:uid="{00000000-0005-0000-0000-00004C4C0000}"/>
    <cellStyle name="Separador de milhares 3 19 4 2 2 2 2" xfId="54624" xr:uid="{00000000-0005-0000-0000-00004D4C0000}"/>
    <cellStyle name="Separador de milhares 3 19 4 2 2 3" xfId="22529" xr:uid="{00000000-0005-0000-0000-00004E4C0000}"/>
    <cellStyle name="Separador de milhares 3 19 4 2 2 3 2" xfId="48716" xr:uid="{00000000-0005-0000-0000-00004F4C0000}"/>
    <cellStyle name="Separador de milhares 3 19 4 2 2 4" xfId="16615" xr:uid="{00000000-0005-0000-0000-0000504C0000}"/>
    <cellStyle name="Separador de milhares 3 19 4 2 2 4 2" xfId="42808" xr:uid="{00000000-0005-0000-0000-0000514C0000}"/>
    <cellStyle name="Separador de milhares 3 19 4 2 2 5" xfId="36422" xr:uid="{00000000-0005-0000-0000-0000524C0000}"/>
    <cellStyle name="Separador de milhares 3 19 4 2 3" xfId="25486" xr:uid="{00000000-0005-0000-0000-0000534C0000}"/>
    <cellStyle name="Separador de milhares 3 19 4 2 3 2" xfId="51670" xr:uid="{00000000-0005-0000-0000-0000544C0000}"/>
    <cellStyle name="Separador de milhares 3 19 4 2 4" xfId="19572" xr:uid="{00000000-0005-0000-0000-0000554C0000}"/>
    <cellStyle name="Separador de milhares 3 19 4 2 4 2" xfId="45762" xr:uid="{00000000-0005-0000-0000-0000564C0000}"/>
    <cellStyle name="Separador de milhares 3 19 4 2 5" xfId="13474" xr:uid="{00000000-0005-0000-0000-0000574C0000}"/>
    <cellStyle name="Separador de milhares 3 19 4 2 5 2" xfId="39667" xr:uid="{00000000-0005-0000-0000-0000584C0000}"/>
    <cellStyle name="Separador de milhares 3 19 4 2 6" xfId="33281" xr:uid="{00000000-0005-0000-0000-0000594C0000}"/>
    <cellStyle name="Separador de milhares 3 19 4 3" xfId="8761" xr:uid="{00000000-0005-0000-0000-00005A4C0000}"/>
    <cellStyle name="Separador de milhares 3 19 4 3 2" xfId="26975" xr:uid="{00000000-0005-0000-0000-00005B4C0000}"/>
    <cellStyle name="Separador de milhares 3 19 4 3 2 2" xfId="53156" xr:uid="{00000000-0005-0000-0000-00005C4C0000}"/>
    <cellStyle name="Separador de milhares 3 19 4 3 3" xfId="21061" xr:uid="{00000000-0005-0000-0000-00005D4C0000}"/>
    <cellStyle name="Separador de milhares 3 19 4 3 3 2" xfId="47248" xr:uid="{00000000-0005-0000-0000-00005E4C0000}"/>
    <cellStyle name="Separador de milhares 3 19 4 3 4" xfId="15147" xr:uid="{00000000-0005-0000-0000-00005F4C0000}"/>
    <cellStyle name="Separador de milhares 3 19 4 3 4 2" xfId="41340" xr:uid="{00000000-0005-0000-0000-0000604C0000}"/>
    <cellStyle name="Separador de milhares 3 19 4 3 5" xfId="34954" xr:uid="{00000000-0005-0000-0000-0000614C0000}"/>
    <cellStyle name="Separador de milhares 3 19 4 4" xfId="5386" xr:uid="{00000000-0005-0000-0000-0000624C0000}"/>
    <cellStyle name="Separador de milhares 3 19 4 4 2" xfId="24018" xr:uid="{00000000-0005-0000-0000-0000634C0000}"/>
    <cellStyle name="Separador de milhares 3 19 4 4 2 2" xfId="50202" xr:uid="{00000000-0005-0000-0000-0000644C0000}"/>
    <cellStyle name="Separador de milhares 3 19 4 4 3" xfId="31582" xr:uid="{00000000-0005-0000-0000-0000654C0000}"/>
    <cellStyle name="Separador de milhares 3 19 4 5" xfId="18104" xr:uid="{00000000-0005-0000-0000-0000664C0000}"/>
    <cellStyle name="Separador de milhares 3 19 4 5 2" xfId="44294" xr:uid="{00000000-0005-0000-0000-0000674C0000}"/>
    <cellStyle name="Separador de milhares 3 19 4 6" xfId="11773" xr:uid="{00000000-0005-0000-0000-0000684C0000}"/>
    <cellStyle name="Separador de milhares 3 19 4 6 2" xfId="37966" xr:uid="{00000000-0005-0000-0000-0000694C0000}"/>
    <cellStyle name="Separador de milhares 3 19 4 7" xfId="29884" xr:uid="{00000000-0005-0000-0000-00006A4C0000}"/>
    <cellStyle name="Separador de milhares 3 19 5" xfId="2881" xr:uid="{00000000-0005-0000-0000-00006B4C0000}"/>
    <cellStyle name="Separador de milhares 3 19 5 2" xfId="7232" xr:uid="{00000000-0005-0000-0000-00006C4C0000}"/>
    <cellStyle name="Separador de milhares 3 19 5 2 2" xfId="10376" xr:uid="{00000000-0005-0000-0000-00006D4C0000}"/>
    <cellStyle name="Separador de milhares 3 19 5 2 2 2" xfId="28590" xr:uid="{00000000-0005-0000-0000-00006E4C0000}"/>
    <cellStyle name="Separador de milhares 3 19 5 2 2 2 2" xfId="54771" xr:uid="{00000000-0005-0000-0000-00006F4C0000}"/>
    <cellStyle name="Separador de milhares 3 19 5 2 2 3" xfId="22676" xr:uid="{00000000-0005-0000-0000-0000704C0000}"/>
    <cellStyle name="Separador de milhares 3 19 5 2 2 3 2" xfId="48863" xr:uid="{00000000-0005-0000-0000-0000714C0000}"/>
    <cellStyle name="Separador de milhares 3 19 5 2 2 4" xfId="16762" xr:uid="{00000000-0005-0000-0000-0000724C0000}"/>
    <cellStyle name="Separador de milhares 3 19 5 2 2 4 2" xfId="42955" xr:uid="{00000000-0005-0000-0000-0000734C0000}"/>
    <cellStyle name="Separador de milhares 3 19 5 2 2 5" xfId="36569" xr:uid="{00000000-0005-0000-0000-0000744C0000}"/>
    <cellStyle name="Separador de milhares 3 19 5 2 3" xfId="25633" xr:uid="{00000000-0005-0000-0000-0000754C0000}"/>
    <cellStyle name="Separador de milhares 3 19 5 2 3 2" xfId="51817" xr:uid="{00000000-0005-0000-0000-0000764C0000}"/>
    <cellStyle name="Separador de milhares 3 19 5 2 4" xfId="19719" xr:uid="{00000000-0005-0000-0000-0000774C0000}"/>
    <cellStyle name="Separador de milhares 3 19 5 2 4 2" xfId="45909" xr:uid="{00000000-0005-0000-0000-0000784C0000}"/>
    <cellStyle name="Separador de milhares 3 19 5 2 5" xfId="13621" xr:uid="{00000000-0005-0000-0000-0000794C0000}"/>
    <cellStyle name="Separador de milhares 3 19 5 2 5 2" xfId="39814" xr:uid="{00000000-0005-0000-0000-00007A4C0000}"/>
    <cellStyle name="Separador de milhares 3 19 5 2 6" xfId="33428" xr:uid="{00000000-0005-0000-0000-00007B4C0000}"/>
    <cellStyle name="Separador de milhares 3 19 5 3" xfId="8908" xr:uid="{00000000-0005-0000-0000-00007C4C0000}"/>
    <cellStyle name="Separador de milhares 3 19 5 3 2" xfId="27122" xr:uid="{00000000-0005-0000-0000-00007D4C0000}"/>
    <cellStyle name="Separador de milhares 3 19 5 3 2 2" xfId="53303" xr:uid="{00000000-0005-0000-0000-00007E4C0000}"/>
    <cellStyle name="Separador de milhares 3 19 5 3 3" xfId="21208" xr:uid="{00000000-0005-0000-0000-00007F4C0000}"/>
    <cellStyle name="Separador de milhares 3 19 5 3 3 2" xfId="47395" xr:uid="{00000000-0005-0000-0000-0000804C0000}"/>
    <cellStyle name="Separador de milhares 3 19 5 3 4" xfId="15294" xr:uid="{00000000-0005-0000-0000-0000814C0000}"/>
    <cellStyle name="Separador de milhares 3 19 5 3 4 2" xfId="41487" xr:uid="{00000000-0005-0000-0000-0000824C0000}"/>
    <cellStyle name="Separador de milhares 3 19 5 3 5" xfId="35101" xr:uid="{00000000-0005-0000-0000-0000834C0000}"/>
    <cellStyle name="Separador de milhares 3 19 5 4" xfId="5533" xr:uid="{00000000-0005-0000-0000-0000844C0000}"/>
    <cellStyle name="Separador de milhares 3 19 5 4 2" xfId="24165" xr:uid="{00000000-0005-0000-0000-0000854C0000}"/>
    <cellStyle name="Separador de milhares 3 19 5 4 2 2" xfId="50349" xr:uid="{00000000-0005-0000-0000-0000864C0000}"/>
    <cellStyle name="Separador de milhares 3 19 5 4 3" xfId="31729" xr:uid="{00000000-0005-0000-0000-0000874C0000}"/>
    <cellStyle name="Separador de milhares 3 19 5 5" xfId="18251" xr:uid="{00000000-0005-0000-0000-0000884C0000}"/>
    <cellStyle name="Separador de milhares 3 19 5 5 2" xfId="44441" xr:uid="{00000000-0005-0000-0000-0000894C0000}"/>
    <cellStyle name="Separador de milhares 3 19 5 6" xfId="11920" xr:uid="{00000000-0005-0000-0000-00008A4C0000}"/>
    <cellStyle name="Separador de milhares 3 19 5 6 2" xfId="38113" xr:uid="{00000000-0005-0000-0000-00008B4C0000}"/>
    <cellStyle name="Separador de milhares 3 19 5 7" xfId="30031" xr:uid="{00000000-0005-0000-0000-00008C4C0000}"/>
    <cellStyle name="Separador de milhares 3 19 6" xfId="3408" xr:uid="{00000000-0005-0000-0000-00008D4C0000}"/>
    <cellStyle name="Separador de milhares 3 19 6 2" xfId="7379" xr:uid="{00000000-0005-0000-0000-00008E4C0000}"/>
    <cellStyle name="Separador de milhares 3 19 6 2 2" xfId="10523" xr:uid="{00000000-0005-0000-0000-00008F4C0000}"/>
    <cellStyle name="Separador de milhares 3 19 6 2 2 2" xfId="28737" xr:uid="{00000000-0005-0000-0000-0000904C0000}"/>
    <cellStyle name="Separador de milhares 3 19 6 2 2 2 2" xfId="54918" xr:uid="{00000000-0005-0000-0000-0000914C0000}"/>
    <cellStyle name="Separador de milhares 3 19 6 2 2 3" xfId="22823" xr:uid="{00000000-0005-0000-0000-0000924C0000}"/>
    <cellStyle name="Separador de milhares 3 19 6 2 2 3 2" xfId="49010" xr:uid="{00000000-0005-0000-0000-0000934C0000}"/>
    <cellStyle name="Separador de milhares 3 19 6 2 2 4" xfId="16909" xr:uid="{00000000-0005-0000-0000-0000944C0000}"/>
    <cellStyle name="Separador de milhares 3 19 6 2 2 4 2" xfId="43102" xr:uid="{00000000-0005-0000-0000-0000954C0000}"/>
    <cellStyle name="Separador de milhares 3 19 6 2 2 5" xfId="36716" xr:uid="{00000000-0005-0000-0000-0000964C0000}"/>
    <cellStyle name="Separador de milhares 3 19 6 2 3" xfId="25780" xr:uid="{00000000-0005-0000-0000-0000974C0000}"/>
    <cellStyle name="Separador de milhares 3 19 6 2 3 2" xfId="51964" xr:uid="{00000000-0005-0000-0000-0000984C0000}"/>
    <cellStyle name="Separador de milhares 3 19 6 2 4" xfId="19866" xr:uid="{00000000-0005-0000-0000-0000994C0000}"/>
    <cellStyle name="Separador de milhares 3 19 6 2 4 2" xfId="46056" xr:uid="{00000000-0005-0000-0000-00009A4C0000}"/>
    <cellStyle name="Separador de milhares 3 19 6 2 5" xfId="13768" xr:uid="{00000000-0005-0000-0000-00009B4C0000}"/>
    <cellStyle name="Separador de milhares 3 19 6 2 5 2" xfId="39961" xr:uid="{00000000-0005-0000-0000-00009C4C0000}"/>
    <cellStyle name="Separador de milhares 3 19 6 2 6" xfId="33575" xr:uid="{00000000-0005-0000-0000-00009D4C0000}"/>
    <cellStyle name="Separador de milhares 3 19 6 3" xfId="9055" xr:uid="{00000000-0005-0000-0000-00009E4C0000}"/>
    <cellStyle name="Separador de milhares 3 19 6 3 2" xfId="27269" xr:uid="{00000000-0005-0000-0000-00009F4C0000}"/>
    <cellStyle name="Separador de milhares 3 19 6 3 2 2" xfId="53450" xr:uid="{00000000-0005-0000-0000-0000A04C0000}"/>
    <cellStyle name="Separador de milhares 3 19 6 3 3" xfId="21355" xr:uid="{00000000-0005-0000-0000-0000A14C0000}"/>
    <cellStyle name="Separador de milhares 3 19 6 3 3 2" xfId="47542" xr:uid="{00000000-0005-0000-0000-0000A24C0000}"/>
    <cellStyle name="Separador de milhares 3 19 6 3 4" xfId="15441" xr:uid="{00000000-0005-0000-0000-0000A34C0000}"/>
    <cellStyle name="Separador de milhares 3 19 6 3 4 2" xfId="41634" xr:uid="{00000000-0005-0000-0000-0000A44C0000}"/>
    <cellStyle name="Separador de milhares 3 19 6 3 5" xfId="35248" xr:uid="{00000000-0005-0000-0000-0000A54C0000}"/>
    <cellStyle name="Separador de milhares 3 19 6 4" xfId="5680" xr:uid="{00000000-0005-0000-0000-0000A64C0000}"/>
    <cellStyle name="Separador de milhares 3 19 6 4 2" xfId="24312" xr:uid="{00000000-0005-0000-0000-0000A74C0000}"/>
    <cellStyle name="Separador de milhares 3 19 6 4 2 2" xfId="50496" xr:uid="{00000000-0005-0000-0000-0000A84C0000}"/>
    <cellStyle name="Separador de milhares 3 19 6 4 3" xfId="31876" xr:uid="{00000000-0005-0000-0000-0000A94C0000}"/>
    <cellStyle name="Separador de milhares 3 19 6 5" xfId="18398" xr:uid="{00000000-0005-0000-0000-0000AA4C0000}"/>
    <cellStyle name="Separador de milhares 3 19 6 5 2" xfId="44588" xr:uid="{00000000-0005-0000-0000-0000AB4C0000}"/>
    <cellStyle name="Separador de milhares 3 19 6 6" xfId="12067" xr:uid="{00000000-0005-0000-0000-0000AC4C0000}"/>
    <cellStyle name="Separador de milhares 3 19 6 6 2" xfId="38260" xr:uid="{00000000-0005-0000-0000-0000AD4C0000}"/>
    <cellStyle name="Separador de milhares 3 19 6 7" xfId="30178" xr:uid="{00000000-0005-0000-0000-0000AE4C0000}"/>
    <cellStyle name="Separador de milhares 3 19 7" xfId="3935" xr:uid="{00000000-0005-0000-0000-0000AF4C0000}"/>
    <cellStyle name="Separador de milhares 3 19 7 2" xfId="7526" xr:uid="{00000000-0005-0000-0000-0000B04C0000}"/>
    <cellStyle name="Separador de milhares 3 19 7 2 2" xfId="10670" xr:uid="{00000000-0005-0000-0000-0000B14C0000}"/>
    <cellStyle name="Separador de milhares 3 19 7 2 2 2" xfId="28884" xr:uid="{00000000-0005-0000-0000-0000B24C0000}"/>
    <cellStyle name="Separador de milhares 3 19 7 2 2 2 2" xfId="55065" xr:uid="{00000000-0005-0000-0000-0000B34C0000}"/>
    <cellStyle name="Separador de milhares 3 19 7 2 2 3" xfId="22970" xr:uid="{00000000-0005-0000-0000-0000B44C0000}"/>
    <cellStyle name="Separador de milhares 3 19 7 2 2 3 2" xfId="49157" xr:uid="{00000000-0005-0000-0000-0000B54C0000}"/>
    <cellStyle name="Separador de milhares 3 19 7 2 2 4" xfId="17056" xr:uid="{00000000-0005-0000-0000-0000B64C0000}"/>
    <cellStyle name="Separador de milhares 3 19 7 2 2 4 2" xfId="43249" xr:uid="{00000000-0005-0000-0000-0000B74C0000}"/>
    <cellStyle name="Separador de milhares 3 19 7 2 2 5" xfId="36863" xr:uid="{00000000-0005-0000-0000-0000B84C0000}"/>
    <cellStyle name="Separador de milhares 3 19 7 2 3" xfId="25927" xr:uid="{00000000-0005-0000-0000-0000B94C0000}"/>
    <cellStyle name="Separador de milhares 3 19 7 2 3 2" xfId="52111" xr:uid="{00000000-0005-0000-0000-0000BA4C0000}"/>
    <cellStyle name="Separador de milhares 3 19 7 2 4" xfId="20013" xr:uid="{00000000-0005-0000-0000-0000BB4C0000}"/>
    <cellStyle name="Separador de milhares 3 19 7 2 4 2" xfId="46203" xr:uid="{00000000-0005-0000-0000-0000BC4C0000}"/>
    <cellStyle name="Separador de milhares 3 19 7 2 5" xfId="13915" xr:uid="{00000000-0005-0000-0000-0000BD4C0000}"/>
    <cellStyle name="Separador de milhares 3 19 7 2 5 2" xfId="40108" xr:uid="{00000000-0005-0000-0000-0000BE4C0000}"/>
    <cellStyle name="Separador de milhares 3 19 7 2 6" xfId="33722" xr:uid="{00000000-0005-0000-0000-0000BF4C0000}"/>
    <cellStyle name="Separador de milhares 3 19 7 3" xfId="9202" xr:uid="{00000000-0005-0000-0000-0000C04C0000}"/>
    <cellStyle name="Separador de milhares 3 19 7 3 2" xfId="27416" xr:uid="{00000000-0005-0000-0000-0000C14C0000}"/>
    <cellStyle name="Separador de milhares 3 19 7 3 2 2" xfId="53597" xr:uid="{00000000-0005-0000-0000-0000C24C0000}"/>
    <cellStyle name="Separador de milhares 3 19 7 3 3" xfId="21502" xr:uid="{00000000-0005-0000-0000-0000C34C0000}"/>
    <cellStyle name="Separador de milhares 3 19 7 3 3 2" xfId="47689" xr:uid="{00000000-0005-0000-0000-0000C44C0000}"/>
    <cellStyle name="Separador de milhares 3 19 7 3 4" xfId="15588" xr:uid="{00000000-0005-0000-0000-0000C54C0000}"/>
    <cellStyle name="Separador de milhares 3 19 7 3 4 2" xfId="41781" xr:uid="{00000000-0005-0000-0000-0000C64C0000}"/>
    <cellStyle name="Separador de milhares 3 19 7 3 5" xfId="35395" xr:uid="{00000000-0005-0000-0000-0000C74C0000}"/>
    <cellStyle name="Separador de milhares 3 19 7 4" xfId="5827" xr:uid="{00000000-0005-0000-0000-0000C84C0000}"/>
    <cellStyle name="Separador de milhares 3 19 7 4 2" xfId="24459" xr:uid="{00000000-0005-0000-0000-0000C94C0000}"/>
    <cellStyle name="Separador de milhares 3 19 7 4 2 2" xfId="50643" xr:uid="{00000000-0005-0000-0000-0000CA4C0000}"/>
    <cellStyle name="Separador de milhares 3 19 7 4 3" xfId="32023" xr:uid="{00000000-0005-0000-0000-0000CB4C0000}"/>
    <cellStyle name="Separador de milhares 3 19 7 5" xfId="18545" xr:uid="{00000000-0005-0000-0000-0000CC4C0000}"/>
    <cellStyle name="Separador de milhares 3 19 7 5 2" xfId="44735" xr:uid="{00000000-0005-0000-0000-0000CD4C0000}"/>
    <cellStyle name="Separador de milhares 3 19 7 6" xfId="12214" xr:uid="{00000000-0005-0000-0000-0000CE4C0000}"/>
    <cellStyle name="Separador de milhares 3 19 7 6 2" xfId="38407" xr:uid="{00000000-0005-0000-0000-0000CF4C0000}"/>
    <cellStyle name="Separador de milhares 3 19 7 7" xfId="30325" xr:uid="{00000000-0005-0000-0000-0000D04C0000}"/>
    <cellStyle name="Separador de milhares 3 19 8" xfId="6565" xr:uid="{00000000-0005-0000-0000-0000D14C0000}"/>
    <cellStyle name="Separador de milhares 3 19 8 2" xfId="9712" xr:uid="{00000000-0005-0000-0000-0000D24C0000}"/>
    <cellStyle name="Separador de milhares 3 19 8 2 2" xfId="27926" xr:uid="{00000000-0005-0000-0000-0000D34C0000}"/>
    <cellStyle name="Separador de milhares 3 19 8 2 2 2" xfId="54107" xr:uid="{00000000-0005-0000-0000-0000D44C0000}"/>
    <cellStyle name="Separador de milhares 3 19 8 2 3" xfId="22012" xr:uid="{00000000-0005-0000-0000-0000D54C0000}"/>
    <cellStyle name="Separador de milhares 3 19 8 2 3 2" xfId="48199" xr:uid="{00000000-0005-0000-0000-0000D64C0000}"/>
    <cellStyle name="Separador de milhares 3 19 8 2 4" xfId="16098" xr:uid="{00000000-0005-0000-0000-0000D74C0000}"/>
    <cellStyle name="Separador de milhares 3 19 8 2 4 2" xfId="42291" xr:uid="{00000000-0005-0000-0000-0000D84C0000}"/>
    <cellStyle name="Separador de milhares 3 19 8 2 5" xfId="35905" xr:uid="{00000000-0005-0000-0000-0000D94C0000}"/>
    <cellStyle name="Separador de milhares 3 19 8 3" xfId="24969" xr:uid="{00000000-0005-0000-0000-0000DA4C0000}"/>
    <cellStyle name="Separador de milhares 3 19 8 3 2" xfId="51153" xr:uid="{00000000-0005-0000-0000-0000DB4C0000}"/>
    <cellStyle name="Separador de milhares 3 19 8 4" xfId="19055" xr:uid="{00000000-0005-0000-0000-0000DC4C0000}"/>
    <cellStyle name="Separador de milhares 3 19 8 4 2" xfId="45245" xr:uid="{00000000-0005-0000-0000-0000DD4C0000}"/>
    <cellStyle name="Separador de milhares 3 19 8 5" xfId="12954" xr:uid="{00000000-0005-0000-0000-0000DE4C0000}"/>
    <cellStyle name="Separador de milhares 3 19 8 5 2" xfId="39147" xr:uid="{00000000-0005-0000-0000-0000DF4C0000}"/>
    <cellStyle name="Separador de milhares 3 19 8 6" xfId="32761" xr:uid="{00000000-0005-0000-0000-0000E04C0000}"/>
    <cellStyle name="Separador de milhares 3 19 9" xfId="8241" xr:uid="{00000000-0005-0000-0000-0000E14C0000}"/>
    <cellStyle name="Separador de milhares 3 19 9 2" xfId="26455" xr:uid="{00000000-0005-0000-0000-0000E24C0000}"/>
    <cellStyle name="Separador de milhares 3 19 9 2 2" xfId="52639" xr:uid="{00000000-0005-0000-0000-0000E34C0000}"/>
    <cellStyle name="Separador de milhares 3 19 9 3" xfId="20541" xr:uid="{00000000-0005-0000-0000-0000E44C0000}"/>
    <cellStyle name="Separador de milhares 3 19 9 3 2" xfId="46731" xr:uid="{00000000-0005-0000-0000-0000E54C0000}"/>
    <cellStyle name="Separador de milhares 3 19 9 4" xfId="14630" xr:uid="{00000000-0005-0000-0000-0000E64C0000}"/>
    <cellStyle name="Separador de milhares 3 19 9 4 2" xfId="40823" xr:uid="{00000000-0005-0000-0000-0000E74C0000}"/>
    <cellStyle name="Separador de milhares 3 19 9 5" xfId="34437" xr:uid="{00000000-0005-0000-0000-0000E84C0000}"/>
    <cellStyle name="Separador de milhares 3 2" xfId="31" xr:uid="{00000000-0005-0000-0000-0000E94C0000}"/>
    <cellStyle name="Separador de milhares 3 2 10" xfId="313" xr:uid="{00000000-0005-0000-0000-0000EA4C0000}"/>
    <cellStyle name="Separador de milhares 3 2 10 10" xfId="6501" xr:uid="{00000000-0005-0000-0000-0000EB4C0000}"/>
    <cellStyle name="Separador de milhares 3 2 10 10 2" xfId="9649" xr:uid="{00000000-0005-0000-0000-0000EC4C0000}"/>
    <cellStyle name="Separador de milhares 3 2 10 10 2 2" xfId="27863" xr:uid="{00000000-0005-0000-0000-0000ED4C0000}"/>
    <cellStyle name="Separador de milhares 3 2 10 10 2 2 2" xfId="54044" xr:uid="{00000000-0005-0000-0000-0000EE4C0000}"/>
    <cellStyle name="Separador de milhares 3 2 10 10 2 3" xfId="21949" xr:uid="{00000000-0005-0000-0000-0000EF4C0000}"/>
    <cellStyle name="Separador de milhares 3 2 10 10 2 3 2" xfId="48136" xr:uid="{00000000-0005-0000-0000-0000F04C0000}"/>
    <cellStyle name="Separador de milhares 3 2 10 10 2 4" xfId="16035" xr:uid="{00000000-0005-0000-0000-0000F14C0000}"/>
    <cellStyle name="Separador de milhares 3 2 10 10 2 4 2" xfId="42228" xr:uid="{00000000-0005-0000-0000-0000F24C0000}"/>
    <cellStyle name="Separador de milhares 3 2 10 10 2 5" xfId="35842" xr:uid="{00000000-0005-0000-0000-0000F34C0000}"/>
    <cellStyle name="Separador de milhares 3 2 10 10 3" xfId="24906" xr:uid="{00000000-0005-0000-0000-0000F44C0000}"/>
    <cellStyle name="Separador de milhares 3 2 10 10 3 2" xfId="51090" xr:uid="{00000000-0005-0000-0000-0000F54C0000}"/>
    <cellStyle name="Separador de milhares 3 2 10 10 4" xfId="18992" xr:uid="{00000000-0005-0000-0000-0000F64C0000}"/>
    <cellStyle name="Separador de milhares 3 2 10 10 4 2" xfId="45182" xr:uid="{00000000-0005-0000-0000-0000F74C0000}"/>
    <cellStyle name="Separador de milhares 3 2 10 10 5" xfId="12890" xr:uid="{00000000-0005-0000-0000-0000F84C0000}"/>
    <cellStyle name="Separador de milhares 3 2 10 10 5 2" xfId="39083" xr:uid="{00000000-0005-0000-0000-0000F94C0000}"/>
    <cellStyle name="Separador de milhares 3 2 10 10 6" xfId="32697" xr:uid="{00000000-0005-0000-0000-0000FA4C0000}"/>
    <cellStyle name="Separador de milhares 3 2 10 11" xfId="8178" xr:uid="{00000000-0005-0000-0000-0000FB4C0000}"/>
    <cellStyle name="Separador de milhares 3 2 10 11 2" xfId="26392" xr:uid="{00000000-0005-0000-0000-0000FC4C0000}"/>
    <cellStyle name="Separador de milhares 3 2 10 11 2 2" xfId="52576" xr:uid="{00000000-0005-0000-0000-0000FD4C0000}"/>
    <cellStyle name="Separador de milhares 3 2 10 11 3" xfId="20478" xr:uid="{00000000-0005-0000-0000-0000FE4C0000}"/>
    <cellStyle name="Separador de milhares 3 2 10 11 3 2" xfId="46668" xr:uid="{00000000-0005-0000-0000-0000FF4C0000}"/>
    <cellStyle name="Separador de milhares 3 2 10 11 4" xfId="14567" xr:uid="{00000000-0005-0000-0000-0000004D0000}"/>
    <cellStyle name="Separador de milhares 3 2 10 11 4 2" xfId="40760" xr:uid="{00000000-0005-0000-0000-0000014D0000}"/>
    <cellStyle name="Separador de milhares 3 2 10 11 5" xfId="34374" xr:uid="{00000000-0005-0000-0000-0000024D0000}"/>
    <cellStyle name="Separador de milhares 3 2 10 12" xfId="4800" xr:uid="{00000000-0005-0000-0000-0000034D0000}"/>
    <cellStyle name="Separador de milhares 3 2 10 12 2" xfId="23435" xr:uid="{00000000-0005-0000-0000-0000044D0000}"/>
    <cellStyle name="Separador de milhares 3 2 10 12 2 2" xfId="49622" xr:uid="{00000000-0005-0000-0000-0000054D0000}"/>
    <cellStyle name="Separador de milhares 3 2 10 12 3" xfId="30998" xr:uid="{00000000-0005-0000-0000-0000064D0000}"/>
    <cellStyle name="Separador de milhares 3 2 10 13" xfId="17521" xr:uid="{00000000-0005-0000-0000-0000074D0000}"/>
    <cellStyle name="Separador de milhares 3 2 10 13 2" xfId="43714" xr:uid="{00000000-0005-0000-0000-0000084D0000}"/>
    <cellStyle name="Separador de milhares 3 2 10 14" xfId="11189" xr:uid="{00000000-0005-0000-0000-0000094D0000}"/>
    <cellStyle name="Separador de milhares 3 2 10 14 2" xfId="37382" xr:uid="{00000000-0005-0000-0000-00000A4D0000}"/>
    <cellStyle name="Separador de milhares 3 2 10 15" xfId="29300" xr:uid="{00000000-0005-0000-0000-00000B4D0000}"/>
    <cellStyle name="Separador de milhares 3 2 10 2" xfId="958" xr:uid="{00000000-0005-0000-0000-00000C4D0000}"/>
    <cellStyle name="Separador de milhares 3 2 10 2 2" xfId="6698" xr:uid="{00000000-0005-0000-0000-00000D4D0000}"/>
    <cellStyle name="Separador de milhares 3 2 10 2 2 2" xfId="9845" xr:uid="{00000000-0005-0000-0000-00000E4D0000}"/>
    <cellStyle name="Separador de milhares 3 2 10 2 2 2 2" xfId="28059" xr:uid="{00000000-0005-0000-0000-00000F4D0000}"/>
    <cellStyle name="Separador de milhares 3 2 10 2 2 2 2 2" xfId="54240" xr:uid="{00000000-0005-0000-0000-0000104D0000}"/>
    <cellStyle name="Separador de milhares 3 2 10 2 2 2 3" xfId="22145" xr:uid="{00000000-0005-0000-0000-0000114D0000}"/>
    <cellStyle name="Separador de milhares 3 2 10 2 2 2 3 2" xfId="48332" xr:uid="{00000000-0005-0000-0000-0000124D0000}"/>
    <cellStyle name="Separador de milhares 3 2 10 2 2 2 4" xfId="16231" xr:uid="{00000000-0005-0000-0000-0000134D0000}"/>
    <cellStyle name="Separador de milhares 3 2 10 2 2 2 4 2" xfId="42424" xr:uid="{00000000-0005-0000-0000-0000144D0000}"/>
    <cellStyle name="Separador de milhares 3 2 10 2 2 2 5" xfId="36038" xr:uid="{00000000-0005-0000-0000-0000154D0000}"/>
    <cellStyle name="Separador de milhares 3 2 10 2 2 3" xfId="25102" xr:uid="{00000000-0005-0000-0000-0000164D0000}"/>
    <cellStyle name="Separador de milhares 3 2 10 2 2 3 2" xfId="51286" xr:uid="{00000000-0005-0000-0000-0000174D0000}"/>
    <cellStyle name="Separador de milhares 3 2 10 2 2 4" xfId="19188" xr:uid="{00000000-0005-0000-0000-0000184D0000}"/>
    <cellStyle name="Separador de milhares 3 2 10 2 2 4 2" xfId="45378" xr:uid="{00000000-0005-0000-0000-0000194D0000}"/>
    <cellStyle name="Separador de milhares 3 2 10 2 2 5" xfId="13087" xr:uid="{00000000-0005-0000-0000-00001A4D0000}"/>
    <cellStyle name="Separador de milhares 3 2 10 2 2 5 2" xfId="39280" xr:uid="{00000000-0005-0000-0000-00001B4D0000}"/>
    <cellStyle name="Separador de milhares 3 2 10 2 2 6" xfId="32894" xr:uid="{00000000-0005-0000-0000-00001C4D0000}"/>
    <cellStyle name="Separador de milhares 3 2 10 2 3" xfId="8377" xr:uid="{00000000-0005-0000-0000-00001D4D0000}"/>
    <cellStyle name="Separador de milhares 3 2 10 2 3 2" xfId="26591" xr:uid="{00000000-0005-0000-0000-00001E4D0000}"/>
    <cellStyle name="Separador de milhares 3 2 10 2 3 2 2" xfId="52772" xr:uid="{00000000-0005-0000-0000-00001F4D0000}"/>
    <cellStyle name="Separador de milhares 3 2 10 2 3 3" xfId="20677" xr:uid="{00000000-0005-0000-0000-0000204D0000}"/>
    <cellStyle name="Separador de milhares 3 2 10 2 3 3 2" xfId="46864" xr:uid="{00000000-0005-0000-0000-0000214D0000}"/>
    <cellStyle name="Separador de milhares 3 2 10 2 3 4" xfId="14763" xr:uid="{00000000-0005-0000-0000-0000224D0000}"/>
    <cellStyle name="Separador de milhares 3 2 10 2 3 4 2" xfId="40956" xr:uid="{00000000-0005-0000-0000-0000234D0000}"/>
    <cellStyle name="Separador de milhares 3 2 10 2 3 5" xfId="34570" xr:uid="{00000000-0005-0000-0000-0000244D0000}"/>
    <cellStyle name="Separador de milhares 3 2 10 2 4" xfId="4999" xr:uid="{00000000-0005-0000-0000-0000254D0000}"/>
    <cellStyle name="Separador de milhares 3 2 10 2 4 2" xfId="23634" xr:uid="{00000000-0005-0000-0000-0000264D0000}"/>
    <cellStyle name="Separador de milhares 3 2 10 2 4 2 2" xfId="49818" xr:uid="{00000000-0005-0000-0000-0000274D0000}"/>
    <cellStyle name="Separador de milhares 3 2 10 2 4 3" xfId="31195" xr:uid="{00000000-0005-0000-0000-0000284D0000}"/>
    <cellStyle name="Separador de milhares 3 2 10 2 5" xfId="17720" xr:uid="{00000000-0005-0000-0000-0000294D0000}"/>
    <cellStyle name="Separador de milhares 3 2 10 2 5 2" xfId="43910" xr:uid="{00000000-0005-0000-0000-00002A4D0000}"/>
    <cellStyle name="Separador de milhares 3 2 10 2 6" xfId="11386" xr:uid="{00000000-0005-0000-0000-00002B4D0000}"/>
    <cellStyle name="Separador de milhares 3 2 10 2 6 2" xfId="37579" xr:uid="{00000000-0005-0000-0000-00002C4D0000}"/>
    <cellStyle name="Separador de milhares 3 2 10 2 7" xfId="29497" xr:uid="{00000000-0005-0000-0000-00002D4D0000}"/>
    <cellStyle name="Separador de milhares 3 2 10 3" xfId="1309" xr:uid="{00000000-0005-0000-0000-00002E4D0000}"/>
    <cellStyle name="Separador de milhares 3 2 10 3 2" xfId="6796" xr:uid="{00000000-0005-0000-0000-00002F4D0000}"/>
    <cellStyle name="Separador de milhares 3 2 10 3 2 2" xfId="9943" xr:uid="{00000000-0005-0000-0000-0000304D0000}"/>
    <cellStyle name="Separador de milhares 3 2 10 3 2 2 2" xfId="28157" xr:uid="{00000000-0005-0000-0000-0000314D0000}"/>
    <cellStyle name="Separador de milhares 3 2 10 3 2 2 2 2" xfId="54338" xr:uid="{00000000-0005-0000-0000-0000324D0000}"/>
    <cellStyle name="Separador de milhares 3 2 10 3 2 2 3" xfId="22243" xr:uid="{00000000-0005-0000-0000-0000334D0000}"/>
    <cellStyle name="Separador de milhares 3 2 10 3 2 2 3 2" xfId="48430" xr:uid="{00000000-0005-0000-0000-0000344D0000}"/>
    <cellStyle name="Separador de milhares 3 2 10 3 2 2 4" xfId="16329" xr:uid="{00000000-0005-0000-0000-0000354D0000}"/>
    <cellStyle name="Separador de milhares 3 2 10 3 2 2 4 2" xfId="42522" xr:uid="{00000000-0005-0000-0000-0000364D0000}"/>
    <cellStyle name="Separador de milhares 3 2 10 3 2 2 5" xfId="36136" xr:uid="{00000000-0005-0000-0000-0000374D0000}"/>
    <cellStyle name="Separador de milhares 3 2 10 3 2 3" xfId="25200" xr:uid="{00000000-0005-0000-0000-0000384D0000}"/>
    <cellStyle name="Separador de milhares 3 2 10 3 2 3 2" xfId="51384" xr:uid="{00000000-0005-0000-0000-0000394D0000}"/>
    <cellStyle name="Separador de milhares 3 2 10 3 2 4" xfId="19286" xr:uid="{00000000-0005-0000-0000-00003A4D0000}"/>
    <cellStyle name="Separador de milhares 3 2 10 3 2 4 2" xfId="45476" xr:uid="{00000000-0005-0000-0000-00003B4D0000}"/>
    <cellStyle name="Separador de milhares 3 2 10 3 2 5" xfId="13185" xr:uid="{00000000-0005-0000-0000-00003C4D0000}"/>
    <cellStyle name="Separador de milhares 3 2 10 3 2 5 2" xfId="39378" xr:uid="{00000000-0005-0000-0000-00003D4D0000}"/>
    <cellStyle name="Separador de milhares 3 2 10 3 2 6" xfId="32992" xr:uid="{00000000-0005-0000-0000-00003E4D0000}"/>
    <cellStyle name="Separador de milhares 3 2 10 3 3" xfId="8475" xr:uid="{00000000-0005-0000-0000-00003F4D0000}"/>
    <cellStyle name="Separador de milhares 3 2 10 3 3 2" xfId="26689" xr:uid="{00000000-0005-0000-0000-0000404D0000}"/>
    <cellStyle name="Separador de milhares 3 2 10 3 3 2 2" xfId="52870" xr:uid="{00000000-0005-0000-0000-0000414D0000}"/>
    <cellStyle name="Separador de milhares 3 2 10 3 3 3" xfId="20775" xr:uid="{00000000-0005-0000-0000-0000424D0000}"/>
    <cellStyle name="Separador de milhares 3 2 10 3 3 3 2" xfId="46962" xr:uid="{00000000-0005-0000-0000-0000434D0000}"/>
    <cellStyle name="Separador de milhares 3 2 10 3 3 4" xfId="14861" xr:uid="{00000000-0005-0000-0000-0000444D0000}"/>
    <cellStyle name="Separador de milhares 3 2 10 3 3 4 2" xfId="41054" xr:uid="{00000000-0005-0000-0000-0000454D0000}"/>
    <cellStyle name="Separador de milhares 3 2 10 3 3 5" xfId="34668" xr:uid="{00000000-0005-0000-0000-0000464D0000}"/>
    <cellStyle name="Separador de milhares 3 2 10 3 4" xfId="5097" xr:uid="{00000000-0005-0000-0000-0000474D0000}"/>
    <cellStyle name="Separador de milhares 3 2 10 3 4 2" xfId="23732" xr:uid="{00000000-0005-0000-0000-0000484D0000}"/>
    <cellStyle name="Separador de milhares 3 2 10 3 4 2 2" xfId="49916" xr:uid="{00000000-0005-0000-0000-0000494D0000}"/>
    <cellStyle name="Separador de milhares 3 2 10 3 4 3" xfId="31293" xr:uid="{00000000-0005-0000-0000-00004A4D0000}"/>
    <cellStyle name="Separador de milhares 3 2 10 3 5" xfId="17818" xr:uid="{00000000-0005-0000-0000-00004B4D0000}"/>
    <cellStyle name="Separador de milhares 3 2 10 3 5 2" xfId="44008" xr:uid="{00000000-0005-0000-0000-00004C4D0000}"/>
    <cellStyle name="Separador de milhares 3 2 10 3 6" xfId="11484" xr:uid="{00000000-0005-0000-0000-00004D4D0000}"/>
    <cellStyle name="Separador de milhares 3 2 10 3 6 2" xfId="37677" xr:uid="{00000000-0005-0000-0000-00004E4D0000}"/>
    <cellStyle name="Separador de milhares 3 2 10 3 7" xfId="29595" xr:uid="{00000000-0005-0000-0000-00004F4D0000}"/>
    <cellStyle name="Separador de milhares 3 2 10 4" xfId="1744" xr:uid="{00000000-0005-0000-0000-0000504D0000}"/>
    <cellStyle name="Separador de milhares 3 2 10 4 2" xfId="6915" xr:uid="{00000000-0005-0000-0000-0000514D0000}"/>
    <cellStyle name="Separador de milhares 3 2 10 4 2 2" xfId="10062" xr:uid="{00000000-0005-0000-0000-0000524D0000}"/>
    <cellStyle name="Separador de milhares 3 2 10 4 2 2 2" xfId="28276" xr:uid="{00000000-0005-0000-0000-0000534D0000}"/>
    <cellStyle name="Separador de milhares 3 2 10 4 2 2 2 2" xfId="54457" xr:uid="{00000000-0005-0000-0000-0000544D0000}"/>
    <cellStyle name="Separador de milhares 3 2 10 4 2 2 3" xfId="22362" xr:uid="{00000000-0005-0000-0000-0000554D0000}"/>
    <cellStyle name="Separador de milhares 3 2 10 4 2 2 3 2" xfId="48549" xr:uid="{00000000-0005-0000-0000-0000564D0000}"/>
    <cellStyle name="Separador de milhares 3 2 10 4 2 2 4" xfId="16448" xr:uid="{00000000-0005-0000-0000-0000574D0000}"/>
    <cellStyle name="Separador de milhares 3 2 10 4 2 2 4 2" xfId="42641" xr:uid="{00000000-0005-0000-0000-0000584D0000}"/>
    <cellStyle name="Separador de milhares 3 2 10 4 2 2 5" xfId="36255" xr:uid="{00000000-0005-0000-0000-0000594D0000}"/>
    <cellStyle name="Separador de milhares 3 2 10 4 2 3" xfId="25319" xr:uid="{00000000-0005-0000-0000-00005A4D0000}"/>
    <cellStyle name="Separador de milhares 3 2 10 4 2 3 2" xfId="51503" xr:uid="{00000000-0005-0000-0000-00005B4D0000}"/>
    <cellStyle name="Separador de milhares 3 2 10 4 2 4" xfId="19405" xr:uid="{00000000-0005-0000-0000-00005C4D0000}"/>
    <cellStyle name="Separador de milhares 3 2 10 4 2 4 2" xfId="45595" xr:uid="{00000000-0005-0000-0000-00005D4D0000}"/>
    <cellStyle name="Separador de milhares 3 2 10 4 2 5" xfId="13304" xr:uid="{00000000-0005-0000-0000-00005E4D0000}"/>
    <cellStyle name="Separador de milhares 3 2 10 4 2 5 2" xfId="39497" xr:uid="{00000000-0005-0000-0000-00005F4D0000}"/>
    <cellStyle name="Separador de milhares 3 2 10 4 2 6" xfId="33111" xr:uid="{00000000-0005-0000-0000-0000604D0000}"/>
    <cellStyle name="Separador de milhares 3 2 10 4 3" xfId="8594" xr:uid="{00000000-0005-0000-0000-0000614D0000}"/>
    <cellStyle name="Separador de milhares 3 2 10 4 3 2" xfId="26808" xr:uid="{00000000-0005-0000-0000-0000624D0000}"/>
    <cellStyle name="Separador de milhares 3 2 10 4 3 2 2" xfId="52989" xr:uid="{00000000-0005-0000-0000-0000634D0000}"/>
    <cellStyle name="Separador de milhares 3 2 10 4 3 3" xfId="20894" xr:uid="{00000000-0005-0000-0000-0000644D0000}"/>
    <cellStyle name="Separador de milhares 3 2 10 4 3 3 2" xfId="47081" xr:uid="{00000000-0005-0000-0000-0000654D0000}"/>
    <cellStyle name="Separador de milhares 3 2 10 4 3 4" xfId="14980" xr:uid="{00000000-0005-0000-0000-0000664D0000}"/>
    <cellStyle name="Separador de milhares 3 2 10 4 3 4 2" xfId="41173" xr:uid="{00000000-0005-0000-0000-0000674D0000}"/>
    <cellStyle name="Separador de milhares 3 2 10 4 3 5" xfId="34787" xr:uid="{00000000-0005-0000-0000-0000684D0000}"/>
    <cellStyle name="Separador de milhares 3 2 10 4 4" xfId="5216" xr:uid="{00000000-0005-0000-0000-0000694D0000}"/>
    <cellStyle name="Separador de milhares 3 2 10 4 4 2" xfId="23851" xr:uid="{00000000-0005-0000-0000-00006A4D0000}"/>
    <cellStyle name="Separador de milhares 3 2 10 4 4 2 2" xfId="50035" xr:uid="{00000000-0005-0000-0000-00006B4D0000}"/>
    <cellStyle name="Separador de milhares 3 2 10 4 4 3" xfId="31412" xr:uid="{00000000-0005-0000-0000-00006C4D0000}"/>
    <cellStyle name="Separador de milhares 3 2 10 4 5" xfId="17937" xr:uid="{00000000-0005-0000-0000-00006D4D0000}"/>
    <cellStyle name="Separador de milhares 3 2 10 4 5 2" xfId="44127" xr:uid="{00000000-0005-0000-0000-00006E4D0000}"/>
    <cellStyle name="Separador de milhares 3 2 10 4 6" xfId="11603" xr:uid="{00000000-0005-0000-0000-00006F4D0000}"/>
    <cellStyle name="Separador de milhares 3 2 10 4 6 2" xfId="37796" xr:uid="{00000000-0005-0000-0000-0000704D0000}"/>
    <cellStyle name="Separador de milhares 3 2 10 4 7" xfId="29714" xr:uid="{00000000-0005-0000-0000-0000714D0000}"/>
    <cellStyle name="Separador de milhares 3 2 10 5" xfId="2274" xr:uid="{00000000-0005-0000-0000-0000724D0000}"/>
    <cellStyle name="Separador de milhares 3 2 10 5 2" xfId="7065" xr:uid="{00000000-0005-0000-0000-0000734D0000}"/>
    <cellStyle name="Separador de milhares 3 2 10 5 2 2" xfId="10209" xr:uid="{00000000-0005-0000-0000-0000744D0000}"/>
    <cellStyle name="Separador de milhares 3 2 10 5 2 2 2" xfId="28423" xr:uid="{00000000-0005-0000-0000-0000754D0000}"/>
    <cellStyle name="Separador de milhares 3 2 10 5 2 2 2 2" xfId="54604" xr:uid="{00000000-0005-0000-0000-0000764D0000}"/>
    <cellStyle name="Separador de milhares 3 2 10 5 2 2 3" xfId="22509" xr:uid="{00000000-0005-0000-0000-0000774D0000}"/>
    <cellStyle name="Separador de milhares 3 2 10 5 2 2 3 2" xfId="48696" xr:uid="{00000000-0005-0000-0000-0000784D0000}"/>
    <cellStyle name="Separador de milhares 3 2 10 5 2 2 4" xfId="16595" xr:uid="{00000000-0005-0000-0000-0000794D0000}"/>
    <cellStyle name="Separador de milhares 3 2 10 5 2 2 4 2" xfId="42788" xr:uid="{00000000-0005-0000-0000-00007A4D0000}"/>
    <cellStyle name="Separador de milhares 3 2 10 5 2 2 5" xfId="36402" xr:uid="{00000000-0005-0000-0000-00007B4D0000}"/>
    <cellStyle name="Separador de milhares 3 2 10 5 2 3" xfId="25466" xr:uid="{00000000-0005-0000-0000-00007C4D0000}"/>
    <cellStyle name="Separador de milhares 3 2 10 5 2 3 2" xfId="51650" xr:uid="{00000000-0005-0000-0000-00007D4D0000}"/>
    <cellStyle name="Separador de milhares 3 2 10 5 2 4" xfId="19552" xr:uid="{00000000-0005-0000-0000-00007E4D0000}"/>
    <cellStyle name="Separador de milhares 3 2 10 5 2 4 2" xfId="45742" xr:uid="{00000000-0005-0000-0000-00007F4D0000}"/>
    <cellStyle name="Separador de milhares 3 2 10 5 2 5" xfId="13454" xr:uid="{00000000-0005-0000-0000-0000804D0000}"/>
    <cellStyle name="Separador de milhares 3 2 10 5 2 5 2" xfId="39647" xr:uid="{00000000-0005-0000-0000-0000814D0000}"/>
    <cellStyle name="Separador de milhares 3 2 10 5 2 6" xfId="33261" xr:uid="{00000000-0005-0000-0000-0000824D0000}"/>
    <cellStyle name="Separador de milhares 3 2 10 5 3" xfId="8741" xr:uid="{00000000-0005-0000-0000-0000834D0000}"/>
    <cellStyle name="Separador de milhares 3 2 10 5 3 2" xfId="26955" xr:uid="{00000000-0005-0000-0000-0000844D0000}"/>
    <cellStyle name="Separador de milhares 3 2 10 5 3 2 2" xfId="53136" xr:uid="{00000000-0005-0000-0000-0000854D0000}"/>
    <cellStyle name="Separador de milhares 3 2 10 5 3 3" xfId="21041" xr:uid="{00000000-0005-0000-0000-0000864D0000}"/>
    <cellStyle name="Separador de milhares 3 2 10 5 3 3 2" xfId="47228" xr:uid="{00000000-0005-0000-0000-0000874D0000}"/>
    <cellStyle name="Separador de milhares 3 2 10 5 3 4" xfId="15127" xr:uid="{00000000-0005-0000-0000-0000884D0000}"/>
    <cellStyle name="Separador de milhares 3 2 10 5 3 4 2" xfId="41320" xr:uid="{00000000-0005-0000-0000-0000894D0000}"/>
    <cellStyle name="Separador de milhares 3 2 10 5 3 5" xfId="34934" xr:uid="{00000000-0005-0000-0000-00008A4D0000}"/>
    <cellStyle name="Separador de milhares 3 2 10 5 4" xfId="5366" xr:uid="{00000000-0005-0000-0000-00008B4D0000}"/>
    <cellStyle name="Separador de milhares 3 2 10 5 4 2" xfId="23998" xr:uid="{00000000-0005-0000-0000-00008C4D0000}"/>
    <cellStyle name="Separador de milhares 3 2 10 5 4 2 2" xfId="50182" xr:uid="{00000000-0005-0000-0000-00008D4D0000}"/>
    <cellStyle name="Separador de milhares 3 2 10 5 4 3" xfId="31562" xr:uid="{00000000-0005-0000-0000-00008E4D0000}"/>
    <cellStyle name="Separador de milhares 3 2 10 5 5" xfId="18084" xr:uid="{00000000-0005-0000-0000-00008F4D0000}"/>
    <cellStyle name="Separador de milhares 3 2 10 5 5 2" xfId="44274" xr:uid="{00000000-0005-0000-0000-0000904D0000}"/>
    <cellStyle name="Separador de milhares 3 2 10 5 6" xfId="11753" xr:uid="{00000000-0005-0000-0000-0000914D0000}"/>
    <cellStyle name="Separador de milhares 3 2 10 5 6 2" xfId="37946" xr:uid="{00000000-0005-0000-0000-0000924D0000}"/>
    <cellStyle name="Separador de milhares 3 2 10 5 7" xfId="29864" xr:uid="{00000000-0005-0000-0000-0000934D0000}"/>
    <cellStyle name="Separador de milhares 3 2 10 6" xfId="2801" xr:uid="{00000000-0005-0000-0000-0000944D0000}"/>
    <cellStyle name="Separador de milhares 3 2 10 6 2" xfId="7212" xr:uid="{00000000-0005-0000-0000-0000954D0000}"/>
    <cellStyle name="Separador de milhares 3 2 10 6 2 2" xfId="10356" xr:uid="{00000000-0005-0000-0000-0000964D0000}"/>
    <cellStyle name="Separador de milhares 3 2 10 6 2 2 2" xfId="28570" xr:uid="{00000000-0005-0000-0000-0000974D0000}"/>
    <cellStyle name="Separador de milhares 3 2 10 6 2 2 2 2" xfId="54751" xr:uid="{00000000-0005-0000-0000-0000984D0000}"/>
    <cellStyle name="Separador de milhares 3 2 10 6 2 2 3" xfId="22656" xr:uid="{00000000-0005-0000-0000-0000994D0000}"/>
    <cellStyle name="Separador de milhares 3 2 10 6 2 2 3 2" xfId="48843" xr:uid="{00000000-0005-0000-0000-00009A4D0000}"/>
    <cellStyle name="Separador de milhares 3 2 10 6 2 2 4" xfId="16742" xr:uid="{00000000-0005-0000-0000-00009B4D0000}"/>
    <cellStyle name="Separador de milhares 3 2 10 6 2 2 4 2" xfId="42935" xr:uid="{00000000-0005-0000-0000-00009C4D0000}"/>
    <cellStyle name="Separador de milhares 3 2 10 6 2 2 5" xfId="36549" xr:uid="{00000000-0005-0000-0000-00009D4D0000}"/>
    <cellStyle name="Separador de milhares 3 2 10 6 2 3" xfId="25613" xr:uid="{00000000-0005-0000-0000-00009E4D0000}"/>
    <cellStyle name="Separador de milhares 3 2 10 6 2 3 2" xfId="51797" xr:uid="{00000000-0005-0000-0000-00009F4D0000}"/>
    <cellStyle name="Separador de milhares 3 2 10 6 2 4" xfId="19699" xr:uid="{00000000-0005-0000-0000-0000A04D0000}"/>
    <cellStyle name="Separador de milhares 3 2 10 6 2 4 2" xfId="45889" xr:uid="{00000000-0005-0000-0000-0000A14D0000}"/>
    <cellStyle name="Separador de milhares 3 2 10 6 2 5" xfId="13601" xr:uid="{00000000-0005-0000-0000-0000A24D0000}"/>
    <cellStyle name="Separador de milhares 3 2 10 6 2 5 2" xfId="39794" xr:uid="{00000000-0005-0000-0000-0000A34D0000}"/>
    <cellStyle name="Separador de milhares 3 2 10 6 2 6" xfId="33408" xr:uid="{00000000-0005-0000-0000-0000A44D0000}"/>
    <cellStyle name="Separador de milhares 3 2 10 6 3" xfId="8888" xr:uid="{00000000-0005-0000-0000-0000A54D0000}"/>
    <cellStyle name="Separador de milhares 3 2 10 6 3 2" xfId="27102" xr:uid="{00000000-0005-0000-0000-0000A64D0000}"/>
    <cellStyle name="Separador de milhares 3 2 10 6 3 2 2" xfId="53283" xr:uid="{00000000-0005-0000-0000-0000A74D0000}"/>
    <cellStyle name="Separador de milhares 3 2 10 6 3 3" xfId="21188" xr:uid="{00000000-0005-0000-0000-0000A84D0000}"/>
    <cellStyle name="Separador de milhares 3 2 10 6 3 3 2" xfId="47375" xr:uid="{00000000-0005-0000-0000-0000A94D0000}"/>
    <cellStyle name="Separador de milhares 3 2 10 6 3 4" xfId="15274" xr:uid="{00000000-0005-0000-0000-0000AA4D0000}"/>
    <cellStyle name="Separador de milhares 3 2 10 6 3 4 2" xfId="41467" xr:uid="{00000000-0005-0000-0000-0000AB4D0000}"/>
    <cellStyle name="Separador de milhares 3 2 10 6 3 5" xfId="35081" xr:uid="{00000000-0005-0000-0000-0000AC4D0000}"/>
    <cellStyle name="Separador de milhares 3 2 10 6 4" xfId="5513" xr:uid="{00000000-0005-0000-0000-0000AD4D0000}"/>
    <cellStyle name="Separador de milhares 3 2 10 6 4 2" xfId="24145" xr:uid="{00000000-0005-0000-0000-0000AE4D0000}"/>
    <cellStyle name="Separador de milhares 3 2 10 6 4 2 2" xfId="50329" xr:uid="{00000000-0005-0000-0000-0000AF4D0000}"/>
    <cellStyle name="Separador de milhares 3 2 10 6 4 3" xfId="31709" xr:uid="{00000000-0005-0000-0000-0000B04D0000}"/>
    <cellStyle name="Separador de milhares 3 2 10 6 5" xfId="18231" xr:uid="{00000000-0005-0000-0000-0000B14D0000}"/>
    <cellStyle name="Separador de milhares 3 2 10 6 5 2" xfId="44421" xr:uid="{00000000-0005-0000-0000-0000B24D0000}"/>
    <cellStyle name="Separador de milhares 3 2 10 6 6" xfId="11900" xr:uid="{00000000-0005-0000-0000-0000B34D0000}"/>
    <cellStyle name="Separador de milhares 3 2 10 6 6 2" xfId="38093" xr:uid="{00000000-0005-0000-0000-0000B44D0000}"/>
    <cellStyle name="Separador de milhares 3 2 10 6 7" xfId="30011" xr:uid="{00000000-0005-0000-0000-0000B54D0000}"/>
    <cellStyle name="Separador de milhares 3 2 10 7" xfId="3328" xr:uid="{00000000-0005-0000-0000-0000B64D0000}"/>
    <cellStyle name="Separador de milhares 3 2 10 7 2" xfId="7359" xr:uid="{00000000-0005-0000-0000-0000B74D0000}"/>
    <cellStyle name="Separador de milhares 3 2 10 7 2 2" xfId="10503" xr:uid="{00000000-0005-0000-0000-0000B84D0000}"/>
    <cellStyle name="Separador de milhares 3 2 10 7 2 2 2" xfId="28717" xr:uid="{00000000-0005-0000-0000-0000B94D0000}"/>
    <cellStyle name="Separador de milhares 3 2 10 7 2 2 2 2" xfId="54898" xr:uid="{00000000-0005-0000-0000-0000BA4D0000}"/>
    <cellStyle name="Separador de milhares 3 2 10 7 2 2 3" xfId="22803" xr:uid="{00000000-0005-0000-0000-0000BB4D0000}"/>
    <cellStyle name="Separador de milhares 3 2 10 7 2 2 3 2" xfId="48990" xr:uid="{00000000-0005-0000-0000-0000BC4D0000}"/>
    <cellStyle name="Separador de milhares 3 2 10 7 2 2 4" xfId="16889" xr:uid="{00000000-0005-0000-0000-0000BD4D0000}"/>
    <cellStyle name="Separador de milhares 3 2 10 7 2 2 4 2" xfId="43082" xr:uid="{00000000-0005-0000-0000-0000BE4D0000}"/>
    <cellStyle name="Separador de milhares 3 2 10 7 2 2 5" xfId="36696" xr:uid="{00000000-0005-0000-0000-0000BF4D0000}"/>
    <cellStyle name="Separador de milhares 3 2 10 7 2 3" xfId="25760" xr:uid="{00000000-0005-0000-0000-0000C04D0000}"/>
    <cellStyle name="Separador de milhares 3 2 10 7 2 3 2" xfId="51944" xr:uid="{00000000-0005-0000-0000-0000C14D0000}"/>
    <cellStyle name="Separador de milhares 3 2 10 7 2 4" xfId="19846" xr:uid="{00000000-0005-0000-0000-0000C24D0000}"/>
    <cellStyle name="Separador de milhares 3 2 10 7 2 4 2" xfId="46036" xr:uid="{00000000-0005-0000-0000-0000C34D0000}"/>
    <cellStyle name="Separador de milhares 3 2 10 7 2 5" xfId="13748" xr:uid="{00000000-0005-0000-0000-0000C44D0000}"/>
    <cellStyle name="Separador de milhares 3 2 10 7 2 5 2" xfId="39941" xr:uid="{00000000-0005-0000-0000-0000C54D0000}"/>
    <cellStyle name="Separador de milhares 3 2 10 7 2 6" xfId="33555" xr:uid="{00000000-0005-0000-0000-0000C64D0000}"/>
    <cellStyle name="Separador de milhares 3 2 10 7 3" xfId="9035" xr:uid="{00000000-0005-0000-0000-0000C74D0000}"/>
    <cellStyle name="Separador de milhares 3 2 10 7 3 2" xfId="27249" xr:uid="{00000000-0005-0000-0000-0000C84D0000}"/>
    <cellStyle name="Separador de milhares 3 2 10 7 3 2 2" xfId="53430" xr:uid="{00000000-0005-0000-0000-0000C94D0000}"/>
    <cellStyle name="Separador de milhares 3 2 10 7 3 3" xfId="21335" xr:uid="{00000000-0005-0000-0000-0000CA4D0000}"/>
    <cellStyle name="Separador de milhares 3 2 10 7 3 3 2" xfId="47522" xr:uid="{00000000-0005-0000-0000-0000CB4D0000}"/>
    <cellStyle name="Separador de milhares 3 2 10 7 3 4" xfId="15421" xr:uid="{00000000-0005-0000-0000-0000CC4D0000}"/>
    <cellStyle name="Separador de milhares 3 2 10 7 3 4 2" xfId="41614" xr:uid="{00000000-0005-0000-0000-0000CD4D0000}"/>
    <cellStyle name="Separador de milhares 3 2 10 7 3 5" xfId="35228" xr:uid="{00000000-0005-0000-0000-0000CE4D0000}"/>
    <cellStyle name="Separador de milhares 3 2 10 7 4" xfId="5660" xr:uid="{00000000-0005-0000-0000-0000CF4D0000}"/>
    <cellStyle name="Separador de milhares 3 2 10 7 4 2" xfId="24292" xr:uid="{00000000-0005-0000-0000-0000D04D0000}"/>
    <cellStyle name="Separador de milhares 3 2 10 7 4 2 2" xfId="50476" xr:uid="{00000000-0005-0000-0000-0000D14D0000}"/>
    <cellStyle name="Separador de milhares 3 2 10 7 4 3" xfId="31856" xr:uid="{00000000-0005-0000-0000-0000D24D0000}"/>
    <cellStyle name="Separador de milhares 3 2 10 7 5" xfId="18378" xr:uid="{00000000-0005-0000-0000-0000D34D0000}"/>
    <cellStyle name="Separador de milhares 3 2 10 7 5 2" xfId="44568" xr:uid="{00000000-0005-0000-0000-0000D44D0000}"/>
    <cellStyle name="Separador de milhares 3 2 10 7 6" xfId="12047" xr:uid="{00000000-0005-0000-0000-0000D54D0000}"/>
    <cellStyle name="Separador de milhares 3 2 10 7 6 2" xfId="38240" xr:uid="{00000000-0005-0000-0000-0000D64D0000}"/>
    <cellStyle name="Separador de milhares 3 2 10 7 7" xfId="30158" xr:uid="{00000000-0005-0000-0000-0000D74D0000}"/>
    <cellStyle name="Separador de milhares 3 2 10 8" xfId="3855" xr:uid="{00000000-0005-0000-0000-0000D84D0000}"/>
    <cellStyle name="Separador de milhares 3 2 10 8 2" xfId="7506" xr:uid="{00000000-0005-0000-0000-0000D94D0000}"/>
    <cellStyle name="Separador de milhares 3 2 10 8 2 2" xfId="10650" xr:uid="{00000000-0005-0000-0000-0000DA4D0000}"/>
    <cellStyle name="Separador de milhares 3 2 10 8 2 2 2" xfId="28864" xr:uid="{00000000-0005-0000-0000-0000DB4D0000}"/>
    <cellStyle name="Separador de milhares 3 2 10 8 2 2 2 2" xfId="55045" xr:uid="{00000000-0005-0000-0000-0000DC4D0000}"/>
    <cellStyle name="Separador de milhares 3 2 10 8 2 2 3" xfId="22950" xr:uid="{00000000-0005-0000-0000-0000DD4D0000}"/>
    <cellStyle name="Separador de milhares 3 2 10 8 2 2 3 2" xfId="49137" xr:uid="{00000000-0005-0000-0000-0000DE4D0000}"/>
    <cellStyle name="Separador de milhares 3 2 10 8 2 2 4" xfId="17036" xr:uid="{00000000-0005-0000-0000-0000DF4D0000}"/>
    <cellStyle name="Separador de milhares 3 2 10 8 2 2 4 2" xfId="43229" xr:uid="{00000000-0005-0000-0000-0000E04D0000}"/>
    <cellStyle name="Separador de milhares 3 2 10 8 2 2 5" xfId="36843" xr:uid="{00000000-0005-0000-0000-0000E14D0000}"/>
    <cellStyle name="Separador de milhares 3 2 10 8 2 3" xfId="25907" xr:uid="{00000000-0005-0000-0000-0000E24D0000}"/>
    <cellStyle name="Separador de milhares 3 2 10 8 2 3 2" xfId="52091" xr:uid="{00000000-0005-0000-0000-0000E34D0000}"/>
    <cellStyle name="Separador de milhares 3 2 10 8 2 4" xfId="19993" xr:uid="{00000000-0005-0000-0000-0000E44D0000}"/>
    <cellStyle name="Separador de milhares 3 2 10 8 2 4 2" xfId="46183" xr:uid="{00000000-0005-0000-0000-0000E54D0000}"/>
    <cellStyle name="Separador de milhares 3 2 10 8 2 5" xfId="13895" xr:uid="{00000000-0005-0000-0000-0000E64D0000}"/>
    <cellStyle name="Separador de milhares 3 2 10 8 2 5 2" xfId="40088" xr:uid="{00000000-0005-0000-0000-0000E74D0000}"/>
    <cellStyle name="Separador de milhares 3 2 10 8 2 6" xfId="33702" xr:uid="{00000000-0005-0000-0000-0000E84D0000}"/>
    <cellStyle name="Separador de milhares 3 2 10 8 3" xfId="9182" xr:uid="{00000000-0005-0000-0000-0000E94D0000}"/>
    <cellStyle name="Separador de milhares 3 2 10 8 3 2" xfId="27396" xr:uid="{00000000-0005-0000-0000-0000EA4D0000}"/>
    <cellStyle name="Separador de milhares 3 2 10 8 3 2 2" xfId="53577" xr:uid="{00000000-0005-0000-0000-0000EB4D0000}"/>
    <cellStyle name="Separador de milhares 3 2 10 8 3 3" xfId="21482" xr:uid="{00000000-0005-0000-0000-0000EC4D0000}"/>
    <cellStyle name="Separador de milhares 3 2 10 8 3 3 2" xfId="47669" xr:uid="{00000000-0005-0000-0000-0000ED4D0000}"/>
    <cellStyle name="Separador de milhares 3 2 10 8 3 4" xfId="15568" xr:uid="{00000000-0005-0000-0000-0000EE4D0000}"/>
    <cellStyle name="Separador de milhares 3 2 10 8 3 4 2" xfId="41761" xr:uid="{00000000-0005-0000-0000-0000EF4D0000}"/>
    <cellStyle name="Separador de milhares 3 2 10 8 3 5" xfId="35375" xr:uid="{00000000-0005-0000-0000-0000F04D0000}"/>
    <cellStyle name="Separador de milhares 3 2 10 8 4" xfId="5807" xr:uid="{00000000-0005-0000-0000-0000F14D0000}"/>
    <cellStyle name="Separador de milhares 3 2 10 8 4 2" xfId="24439" xr:uid="{00000000-0005-0000-0000-0000F24D0000}"/>
    <cellStyle name="Separador de milhares 3 2 10 8 4 2 2" xfId="50623" xr:uid="{00000000-0005-0000-0000-0000F34D0000}"/>
    <cellStyle name="Separador de milhares 3 2 10 8 4 3" xfId="32003" xr:uid="{00000000-0005-0000-0000-0000F44D0000}"/>
    <cellStyle name="Separador de milhares 3 2 10 8 5" xfId="18525" xr:uid="{00000000-0005-0000-0000-0000F54D0000}"/>
    <cellStyle name="Separador de milhares 3 2 10 8 5 2" xfId="44715" xr:uid="{00000000-0005-0000-0000-0000F64D0000}"/>
    <cellStyle name="Separador de milhares 3 2 10 8 6" xfId="12194" xr:uid="{00000000-0005-0000-0000-0000F74D0000}"/>
    <cellStyle name="Separador de milhares 3 2 10 8 6 2" xfId="38387" xr:uid="{00000000-0005-0000-0000-0000F84D0000}"/>
    <cellStyle name="Separador de milhares 3 2 10 8 7" xfId="30305" xr:uid="{00000000-0005-0000-0000-0000F94D0000}"/>
    <cellStyle name="Separador de milhares 3 2 10 9" xfId="665" xr:uid="{00000000-0005-0000-0000-0000FA4D0000}"/>
    <cellStyle name="Separador de milhares 3 2 10 9 2" xfId="6600" xr:uid="{00000000-0005-0000-0000-0000FB4D0000}"/>
    <cellStyle name="Separador de milhares 3 2 10 9 2 2" xfId="9747" xr:uid="{00000000-0005-0000-0000-0000FC4D0000}"/>
    <cellStyle name="Separador de milhares 3 2 10 9 2 2 2" xfId="27961" xr:uid="{00000000-0005-0000-0000-0000FD4D0000}"/>
    <cellStyle name="Separador de milhares 3 2 10 9 2 2 2 2" xfId="54142" xr:uid="{00000000-0005-0000-0000-0000FE4D0000}"/>
    <cellStyle name="Separador de milhares 3 2 10 9 2 2 3" xfId="22047" xr:uid="{00000000-0005-0000-0000-0000FF4D0000}"/>
    <cellStyle name="Separador de milhares 3 2 10 9 2 2 3 2" xfId="48234" xr:uid="{00000000-0005-0000-0000-0000004E0000}"/>
    <cellStyle name="Separador de milhares 3 2 10 9 2 2 4" xfId="16133" xr:uid="{00000000-0005-0000-0000-0000014E0000}"/>
    <cellStyle name="Separador de milhares 3 2 10 9 2 2 4 2" xfId="42326" xr:uid="{00000000-0005-0000-0000-0000024E0000}"/>
    <cellStyle name="Separador de milhares 3 2 10 9 2 2 5" xfId="35940" xr:uid="{00000000-0005-0000-0000-0000034E0000}"/>
    <cellStyle name="Separador de milhares 3 2 10 9 2 3" xfId="25004" xr:uid="{00000000-0005-0000-0000-0000044E0000}"/>
    <cellStyle name="Separador de milhares 3 2 10 9 2 3 2" xfId="51188" xr:uid="{00000000-0005-0000-0000-0000054E0000}"/>
    <cellStyle name="Separador de milhares 3 2 10 9 2 4" xfId="19090" xr:uid="{00000000-0005-0000-0000-0000064E0000}"/>
    <cellStyle name="Separador de milhares 3 2 10 9 2 4 2" xfId="45280" xr:uid="{00000000-0005-0000-0000-0000074E0000}"/>
    <cellStyle name="Separador de milhares 3 2 10 9 2 5" xfId="12989" xr:uid="{00000000-0005-0000-0000-0000084E0000}"/>
    <cellStyle name="Separador de milhares 3 2 10 9 2 5 2" xfId="39182" xr:uid="{00000000-0005-0000-0000-0000094E0000}"/>
    <cellStyle name="Separador de milhares 3 2 10 9 2 6" xfId="32796" xr:uid="{00000000-0005-0000-0000-00000A4E0000}"/>
    <cellStyle name="Separador de milhares 3 2 10 9 3" xfId="8279" xr:uid="{00000000-0005-0000-0000-00000B4E0000}"/>
    <cellStyle name="Separador de milhares 3 2 10 9 3 2" xfId="26493" xr:uid="{00000000-0005-0000-0000-00000C4E0000}"/>
    <cellStyle name="Separador de milhares 3 2 10 9 3 2 2" xfId="52674" xr:uid="{00000000-0005-0000-0000-00000D4E0000}"/>
    <cellStyle name="Separador de milhares 3 2 10 9 3 3" xfId="20579" xr:uid="{00000000-0005-0000-0000-00000E4E0000}"/>
    <cellStyle name="Separador de milhares 3 2 10 9 3 3 2" xfId="46766" xr:uid="{00000000-0005-0000-0000-00000F4E0000}"/>
    <cellStyle name="Separador de milhares 3 2 10 9 3 4" xfId="14665" xr:uid="{00000000-0005-0000-0000-0000104E0000}"/>
    <cellStyle name="Separador de milhares 3 2 10 9 3 4 2" xfId="40858" xr:uid="{00000000-0005-0000-0000-0000114E0000}"/>
    <cellStyle name="Separador de milhares 3 2 10 9 3 5" xfId="34472" xr:uid="{00000000-0005-0000-0000-0000124E0000}"/>
    <cellStyle name="Separador de milhares 3 2 10 9 4" xfId="4901" xr:uid="{00000000-0005-0000-0000-0000134E0000}"/>
    <cellStyle name="Separador de milhares 3 2 10 9 4 2" xfId="23536" xr:uid="{00000000-0005-0000-0000-0000144E0000}"/>
    <cellStyle name="Separador de milhares 3 2 10 9 4 2 2" xfId="49720" xr:uid="{00000000-0005-0000-0000-0000154E0000}"/>
    <cellStyle name="Separador de milhares 3 2 10 9 4 3" xfId="31097" xr:uid="{00000000-0005-0000-0000-0000164E0000}"/>
    <cellStyle name="Separador de milhares 3 2 10 9 5" xfId="17622" xr:uid="{00000000-0005-0000-0000-0000174E0000}"/>
    <cellStyle name="Separador de milhares 3 2 10 9 5 2" xfId="43812" xr:uid="{00000000-0005-0000-0000-0000184E0000}"/>
    <cellStyle name="Separador de milhares 3 2 10 9 6" xfId="11288" xr:uid="{00000000-0005-0000-0000-0000194E0000}"/>
    <cellStyle name="Separador de milhares 3 2 10 9 6 2" xfId="37481" xr:uid="{00000000-0005-0000-0000-00001A4E0000}"/>
    <cellStyle name="Separador de milhares 3 2 10 9 7" xfId="29399" xr:uid="{00000000-0005-0000-0000-00001B4E0000}"/>
    <cellStyle name="Separador de milhares 3 2 11" xfId="570" xr:uid="{00000000-0005-0000-0000-00001C4E0000}"/>
    <cellStyle name="Separador de milhares 3 2 11 10" xfId="4865" xr:uid="{00000000-0005-0000-0000-00001D4E0000}"/>
    <cellStyle name="Separador de milhares 3 2 11 10 2" xfId="23499" xr:uid="{00000000-0005-0000-0000-00001E4E0000}"/>
    <cellStyle name="Separador de milhares 3 2 11 10 2 2" xfId="49686" xr:uid="{00000000-0005-0000-0000-00001F4E0000}"/>
    <cellStyle name="Separador de milhares 3 2 11 10 3" xfId="31063" xr:uid="{00000000-0005-0000-0000-0000204E0000}"/>
    <cellStyle name="Separador de milhares 3 2 11 11" xfId="17585" xr:uid="{00000000-0005-0000-0000-0000214E0000}"/>
    <cellStyle name="Separador de milhares 3 2 11 11 2" xfId="43778" xr:uid="{00000000-0005-0000-0000-0000224E0000}"/>
    <cellStyle name="Separador de milhares 3 2 11 12" xfId="11254" xr:uid="{00000000-0005-0000-0000-0000234E0000}"/>
    <cellStyle name="Separador de milhares 3 2 11 12 2" xfId="37447" xr:uid="{00000000-0005-0000-0000-0000244E0000}"/>
    <cellStyle name="Separador de milhares 3 2 11 13" xfId="29365" xr:uid="{00000000-0005-0000-0000-0000254E0000}"/>
    <cellStyle name="Separador de milhares 3 2 11 2" xfId="1393" xr:uid="{00000000-0005-0000-0000-0000264E0000}"/>
    <cellStyle name="Separador de milhares 3 2 11 2 2" xfId="6817" xr:uid="{00000000-0005-0000-0000-0000274E0000}"/>
    <cellStyle name="Separador de milhares 3 2 11 2 2 2" xfId="9964" xr:uid="{00000000-0005-0000-0000-0000284E0000}"/>
    <cellStyle name="Separador de milhares 3 2 11 2 2 2 2" xfId="28178" xr:uid="{00000000-0005-0000-0000-0000294E0000}"/>
    <cellStyle name="Separador de milhares 3 2 11 2 2 2 2 2" xfId="54359" xr:uid="{00000000-0005-0000-0000-00002A4E0000}"/>
    <cellStyle name="Separador de milhares 3 2 11 2 2 2 3" xfId="22264" xr:uid="{00000000-0005-0000-0000-00002B4E0000}"/>
    <cellStyle name="Separador de milhares 3 2 11 2 2 2 3 2" xfId="48451" xr:uid="{00000000-0005-0000-0000-00002C4E0000}"/>
    <cellStyle name="Separador de milhares 3 2 11 2 2 2 4" xfId="16350" xr:uid="{00000000-0005-0000-0000-00002D4E0000}"/>
    <cellStyle name="Separador de milhares 3 2 11 2 2 2 4 2" xfId="42543" xr:uid="{00000000-0005-0000-0000-00002E4E0000}"/>
    <cellStyle name="Separador de milhares 3 2 11 2 2 2 5" xfId="36157" xr:uid="{00000000-0005-0000-0000-00002F4E0000}"/>
    <cellStyle name="Separador de milhares 3 2 11 2 2 3" xfId="25221" xr:uid="{00000000-0005-0000-0000-0000304E0000}"/>
    <cellStyle name="Separador de milhares 3 2 11 2 2 3 2" xfId="51405" xr:uid="{00000000-0005-0000-0000-0000314E0000}"/>
    <cellStyle name="Separador de milhares 3 2 11 2 2 4" xfId="19307" xr:uid="{00000000-0005-0000-0000-0000324E0000}"/>
    <cellStyle name="Separador de milhares 3 2 11 2 2 4 2" xfId="45497" xr:uid="{00000000-0005-0000-0000-0000334E0000}"/>
    <cellStyle name="Separador de milhares 3 2 11 2 2 5" xfId="13206" xr:uid="{00000000-0005-0000-0000-0000344E0000}"/>
    <cellStyle name="Separador de milhares 3 2 11 2 2 5 2" xfId="39399" xr:uid="{00000000-0005-0000-0000-0000354E0000}"/>
    <cellStyle name="Separador de milhares 3 2 11 2 2 6" xfId="33013" xr:uid="{00000000-0005-0000-0000-0000364E0000}"/>
    <cellStyle name="Separador de milhares 3 2 11 2 3" xfId="8496" xr:uid="{00000000-0005-0000-0000-0000374E0000}"/>
    <cellStyle name="Separador de milhares 3 2 11 2 3 2" xfId="26710" xr:uid="{00000000-0005-0000-0000-0000384E0000}"/>
    <cellStyle name="Separador de milhares 3 2 11 2 3 2 2" xfId="52891" xr:uid="{00000000-0005-0000-0000-0000394E0000}"/>
    <cellStyle name="Separador de milhares 3 2 11 2 3 3" xfId="20796" xr:uid="{00000000-0005-0000-0000-00003A4E0000}"/>
    <cellStyle name="Separador de milhares 3 2 11 2 3 3 2" xfId="46983" xr:uid="{00000000-0005-0000-0000-00003B4E0000}"/>
    <cellStyle name="Separador de milhares 3 2 11 2 3 4" xfId="14882" xr:uid="{00000000-0005-0000-0000-00003C4E0000}"/>
    <cellStyle name="Separador de milhares 3 2 11 2 3 4 2" xfId="41075" xr:uid="{00000000-0005-0000-0000-00003D4E0000}"/>
    <cellStyle name="Separador de milhares 3 2 11 2 3 5" xfId="34689" xr:uid="{00000000-0005-0000-0000-00003E4E0000}"/>
    <cellStyle name="Separador de milhares 3 2 11 2 4" xfId="5118" xr:uid="{00000000-0005-0000-0000-00003F4E0000}"/>
    <cellStyle name="Separador de milhares 3 2 11 2 4 2" xfId="23753" xr:uid="{00000000-0005-0000-0000-0000404E0000}"/>
    <cellStyle name="Separador de milhares 3 2 11 2 4 2 2" xfId="49937" xr:uid="{00000000-0005-0000-0000-0000414E0000}"/>
    <cellStyle name="Separador de milhares 3 2 11 2 4 3" xfId="31314" xr:uid="{00000000-0005-0000-0000-0000424E0000}"/>
    <cellStyle name="Separador de milhares 3 2 11 2 5" xfId="17839" xr:uid="{00000000-0005-0000-0000-0000434E0000}"/>
    <cellStyle name="Separador de milhares 3 2 11 2 5 2" xfId="44029" xr:uid="{00000000-0005-0000-0000-0000444E0000}"/>
    <cellStyle name="Separador de milhares 3 2 11 2 6" xfId="11505" xr:uid="{00000000-0005-0000-0000-0000454E0000}"/>
    <cellStyle name="Separador de milhares 3 2 11 2 6 2" xfId="37698" xr:uid="{00000000-0005-0000-0000-0000464E0000}"/>
    <cellStyle name="Separador de milhares 3 2 11 2 7" xfId="29616" xr:uid="{00000000-0005-0000-0000-0000474E0000}"/>
    <cellStyle name="Separador de milhares 3 2 11 3" xfId="1828" xr:uid="{00000000-0005-0000-0000-0000484E0000}"/>
    <cellStyle name="Separador de milhares 3 2 11 3 2" xfId="6936" xr:uid="{00000000-0005-0000-0000-0000494E0000}"/>
    <cellStyle name="Separador de milhares 3 2 11 3 2 2" xfId="10083" xr:uid="{00000000-0005-0000-0000-00004A4E0000}"/>
    <cellStyle name="Separador de milhares 3 2 11 3 2 2 2" xfId="28297" xr:uid="{00000000-0005-0000-0000-00004B4E0000}"/>
    <cellStyle name="Separador de milhares 3 2 11 3 2 2 2 2" xfId="54478" xr:uid="{00000000-0005-0000-0000-00004C4E0000}"/>
    <cellStyle name="Separador de milhares 3 2 11 3 2 2 3" xfId="22383" xr:uid="{00000000-0005-0000-0000-00004D4E0000}"/>
    <cellStyle name="Separador de milhares 3 2 11 3 2 2 3 2" xfId="48570" xr:uid="{00000000-0005-0000-0000-00004E4E0000}"/>
    <cellStyle name="Separador de milhares 3 2 11 3 2 2 4" xfId="16469" xr:uid="{00000000-0005-0000-0000-00004F4E0000}"/>
    <cellStyle name="Separador de milhares 3 2 11 3 2 2 4 2" xfId="42662" xr:uid="{00000000-0005-0000-0000-0000504E0000}"/>
    <cellStyle name="Separador de milhares 3 2 11 3 2 2 5" xfId="36276" xr:uid="{00000000-0005-0000-0000-0000514E0000}"/>
    <cellStyle name="Separador de milhares 3 2 11 3 2 3" xfId="25340" xr:uid="{00000000-0005-0000-0000-0000524E0000}"/>
    <cellStyle name="Separador de milhares 3 2 11 3 2 3 2" xfId="51524" xr:uid="{00000000-0005-0000-0000-0000534E0000}"/>
    <cellStyle name="Separador de milhares 3 2 11 3 2 4" xfId="19426" xr:uid="{00000000-0005-0000-0000-0000544E0000}"/>
    <cellStyle name="Separador de milhares 3 2 11 3 2 4 2" xfId="45616" xr:uid="{00000000-0005-0000-0000-0000554E0000}"/>
    <cellStyle name="Separador de milhares 3 2 11 3 2 5" xfId="13325" xr:uid="{00000000-0005-0000-0000-0000564E0000}"/>
    <cellStyle name="Separador de milhares 3 2 11 3 2 5 2" xfId="39518" xr:uid="{00000000-0005-0000-0000-0000574E0000}"/>
    <cellStyle name="Separador de milhares 3 2 11 3 2 6" xfId="33132" xr:uid="{00000000-0005-0000-0000-0000584E0000}"/>
    <cellStyle name="Separador de milhares 3 2 11 3 3" xfId="8615" xr:uid="{00000000-0005-0000-0000-0000594E0000}"/>
    <cellStyle name="Separador de milhares 3 2 11 3 3 2" xfId="26829" xr:uid="{00000000-0005-0000-0000-00005A4E0000}"/>
    <cellStyle name="Separador de milhares 3 2 11 3 3 2 2" xfId="53010" xr:uid="{00000000-0005-0000-0000-00005B4E0000}"/>
    <cellStyle name="Separador de milhares 3 2 11 3 3 3" xfId="20915" xr:uid="{00000000-0005-0000-0000-00005C4E0000}"/>
    <cellStyle name="Separador de milhares 3 2 11 3 3 3 2" xfId="47102" xr:uid="{00000000-0005-0000-0000-00005D4E0000}"/>
    <cellStyle name="Separador de milhares 3 2 11 3 3 4" xfId="15001" xr:uid="{00000000-0005-0000-0000-00005E4E0000}"/>
    <cellStyle name="Separador de milhares 3 2 11 3 3 4 2" xfId="41194" xr:uid="{00000000-0005-0000-0000-00005F4E0000}"/>
    <cellStyle name="Separador de milhares 3 2 11 3 3 5" xfId="34808" xr:uid="{00000000-0005-0000-0000-0000604E0000}"/>
    <cellStyle name="Separador de milhares 3 2 11 3 4" xfId="5237" xr:uid="{00000000-0005-0000-0000-0000614E0000}"/>
    <cellStyle name="Separador de milhares 3 2 11 3 4 2" xfId="23872" xr:uid="{00000000-0005-0000-0000-0000624E0000}"/>
    <cellStyle name="Separador de milhares 3 2 11 3 4 2 2" xfId="50056" xr:uid="{00000000-0005-0000-0000-0000634E0000}"/>
    <cellStyle name="Separador de milhares 3 2 11 3 4 3" xfId="31433" xr:uid="{00000000-0005-0000-0000-0000644E0000}"/>
    <cellStyle name="Separador de milhares 3 2 11 3 5" xfId="17958" xr:uid="{00000000-0005-0000-0000-0000654E0000}"/>
    <cellStyle name="Separador de milhares 3 2 11 3 5 2" xfId="44148" xr:uid="{00000000-0005-0000-0000-0000664E0000}"/>
    <cellStyle name="Separador de milhares 3 2 11 3 6" xfId="11624" xr:uid="{00000000-0005-0000-0000-0000674E0000}"/>
    <cellStyle name="Separador de milhares 3 2 11 3 6 2" xfId="37817" xr:uid="{00000000-0005-0000-0000-0000684E0000}"/>
    <cellStyle name="Separador de milhares 3 2 11 3 7" xfId="29735" xr:uid="{00000000-0005-0000-0000-0000694E0000}"/>
    <cellStyle name="Separador de milhares 3 2 11 4" xfId="2358" xr:uid="{00000000-0005-0000-0000-00006A4E0000}"/>
    <cellStyle name="Separador de milhares 3 2 11 4 2" xfId="7086" xr:uid="{00000000-0005-0000-0000-00006B4E0000}"/>
    <cellStyle name="Separador de milhares 3 2 11 4 2 2" xfId="10230" xr:uid="{00000000-0005-0000-0000-00006C4E0000}"/>
    <cellStyle name="Separador de milhares 3 2 11 4 2 2 2" xfId="28444" xr:uid="{00000000-0005-0000-0000-00006D4E0000}"/>
    <cellStyle name="Separador de milhares 3 2 11 4 2 2 2 2" xfId="54625" xr:uid="{00000000-0005-0000-0000-00006E4E0000}"/>
    <cellStyle name="Separador de milhares 3 2 11 4 2 2 3" xfId="22530" xr:uid="{00000000-0005-0000-0000-00006F4E0000}"/>
    <cellStyle name="Separador de milhares 3 2 11 4 2 2 3 2" xfId="48717" xr:uid="{00000000-0005-0000-0000-0000704E0000}"/>
    <cellStyle name="Separador de milhares 3 2 11 4 2 2 4" xfId="16616" xr:uid="{00000000-0005-0000-0000-0000714E0000}"/>
    <cellStyle name="Separador de milhares 3 2 11 4 2 2 4 2" xfId="42809" xr:uid="{00000000-0005-0000-0000-0000724E0000}"/>
    <cellStyle name="Separador de milhares 3 2 11 4 2 2 5" xfId="36423" xr:uid="{00000000-0005-0000-0000-0000734E0000}"/>
    <cellStyle name="Separador de milhares 3 2 11 4 2 3" xfId="25487" xr:uid="{00000000-0005-0000-0000-0000744E0000}"/>
    <cellStyle name="Separador de milhares 3 2 11 4 2 3 2" xfId="51671" xr:uid="{00000000-0005-0000-0000-0000754E0000}"/>
    <cellStyle name="Separador de milhares 3 2 11 4 2 4" xfId="19573" xr:uid="{00000000-0005-0000-0000-0000764E0000}"/>
    <cellStyle name="Separador de milhares 3 2 11 4 2 4 2" xfId="45763" xr:uid="{00000000-0005-0000-0000-0000774E0000}"/>
    <cellStyle name="Separador de milhares 3 2 11 4 2 5" xfId="13475" xr:uid="{00000000-0005-0000-0000-0000784E0000}"/>
    <cellStyle name="Separador de milhares 3 2 11 4 2 5 2" xfId="39668" xr:uid="{00000000-0005-0000-0000-0000794E0000}"/>
    <cellStyle name="Separador de milhares 3 2 11 4 2 6" xfId="33282" xr:uid="{00000000-0005-0000-0000-00007A4E0000}"/>
    <cellStyle name="Separador de milhares 3 2 11 4 3" xfId="8762" xr:uid="{00000000-0005-0000-0000-00007B4E0000}"/>
    <cellStyle name="Separador de milhares 3 2 11 4 3 2" xfId="26976" xr:uid="{00000000-0005-0000-0000-00007C4E0000}"/>
    <cellStyle name="Separador de milhares 3 2 11 4 3 2 2" xfId="53157" xr:uid="{00000000-0005-0000-0000-00007D4E0000}"/>
    <cellStyle name="Separador de milhares 3 2 11 4 3 3" xfId="21062" xr:uid="{00000000-0005-0000-0000-00007E4E0000}"/>
    <cellStyle name="Separador de milhares 3 2 11 4 3 3 2" xfId="47249" xr:uid="{00000000-0005-0000-0000-00007F4E0000}"/>
    <cellStyle name="Separador de milhares 3 2 11 4 3 4" xfId="15148" xr:uid="{00000000-0005-0000-0000-0000804E0000}"/>
    <cellStyle name="Separador de milhares 3 2 11 4 3 4 2" xfId="41341" xr:uid="{00000000-0005-0000-0000-0000814E0000}"/>
    <cellStyle name="Separador de milhares 3 2 11 4 3 5" xfId="34955" xr:uid="{00000000-0005-0000-0000-0000824E0000}"/>
    <cellStyle name="Separador de milhares 3 2 11 4 4" xfId="5387" xr:uid="{00000000-0005-0000-0000-0000834E0000}"/>
    <cellStyle name="Separador de milhares 3 2 11 4 4 2" xfId="24019" xr:uid="{00000000-0005-0000-0000-0000844E0000}"/>
    <cellStyle name="Separador de milhares 3 2 11 4 4 2 2" xfId="50203" xr:uid="{00000000-0005-0000-0000-0000854E0000}"/>
    <cellStyle name="Separador de milhares 3 2 11 4 4 3" xfId="31583" xr:uid="{00000000-0005-0000-0000-0000864E0000}"/>
    <cellStyle name="Separador de milhares 3 2 11 4 5" xfId="18105" xr:uid="{00000000-0005-0000-0000-0000874E0000}"/>
    <cellStyle name="Separador de milhares 3 2 11 4 5 2" xfId="44295" xr:uid="{00000000-0005-0000-0000-0000884E0000}"/>
    <cellStyle name="Separador de milhares 3 2 11 4 6" xfId="11774" xr:uid="{00000000-0005-0000-0000-0000894E0000}"/>
    <cellStyle name="Separador de milhares 3 2 11 4 6 2" xfId="37967" xr:uid="{00000000-0005-0000-0000-00008A4E0000}"/>
    <cellStyle name="Separador de milhares 3 2 11 4 7" xfId="29885" xr:uid="{00000000-0005-0000-0000-00008B4E0000}"/>
    <cellStyle name="Separador de milhares 3 2 11 5" xfId="2885" xr:uid="{00000000-0005-0000-0000-00008C4E0000}"/>
    <cellStyle name="Separador de milhares 3 2 11 5 2" xfId="7233" xr:uid="{00000000-0005-0000-0000-00008D4E0000}"/>
    <cellStyle name="Separador de milhares 3 2 11 5 2 2" xfId="10377" xr:uid="{00000000-0005-0000-0000-00008E4E0000}"/>
    <cellStyle name="Separador de milhares 3 2 11 5 2 2 2" xfId="28591" xr:uid="{00000000-0005-0000-0000-00008F4E0000}"/>
    <cellStyle name="Separador de milhares 3 2 11 5 2 2 2 2" xfId="54772" xr:uid="{00000000-0005-0000-0000-0000904E0000}"/>
    <cellStyle name="Separador de milhares 3 2 11 5 2 2 3" xfId="22677" xr:uid="{00000000-0005-0000-0000-0000914E0000}"/>
    <cellStyle name="Separador de milhares 3 2 11 5 2 2 3 2" xfId="48864" xr:uid="{00000000-0005-0000-0000-0000924E0000}"/>
    <cellStyle name="Separador de milhares 3 2 11 5 2 2 4" xfId="16763" xr:uid="{00000000-0005-0000-0000-0000934E0000}"/>
    <cellStyle name="Separador de milhares 3 2 11 5 2 2 4 2" xfId="42956" xr:uid="{00000000-0005-0000-0000-0000944E0000}"/>
    <cellStyle name="Separador de milhares 3 2 11 5 2 2 5" xfId="36570" xr:uid="{00000000-0005-0000-0000-0000954E0000}"/>
    <cellStyle name="Separador de milhares 3 2 11 5 2 3" xfId="25634" xr:uid="{00000000-0005-0000-0000-0000964E0000}"/>
    <cellStyle name="Separador de milhares 3 2 11 5 2 3 2" xfId="51818" xr:uid="{00000000-0005-0000-0000-0000974E0000}"/>
    <cellStyle name="Separador de milhares 3 2 11 5 2 4" xfId="19720" xr:uid="{00000000-0005-0000-0000-0000984E0000}"/>
    <cellStyle name="Separador de milhares 3 2 11 5 2 4 2" xfId="45910" xr:uid="{00000000-0005-0000-0000-0000994E0000}"/>
    <cellStyle name="Separador de milhares 3 2 11 5 2 5" xfId="13622" xr:uid="{00000000-0005-0000-0000-00009A4E0000}"/>
    <cellStyle name="Separador de milhares 3 2 11 5 2 5 2" xfId="39815" xr:uid="{00000000-0005-0000-0000-00009B4E0000}"/>
    <cellStyle name="Separador de milhares 3 2 11 5 2 6" xfId="33429" xr:uid="{00000000-0005-0000-0000-00009C4E0000}"/>
    <cellStyle name="Separador de milhares 3 2 11 5 3" xfId="8909" xr:uid="{00000000-0005-0000-0000-00009D4E0000}"/>
    <cellStyle name="Separador de milhares 3 2 11 5 3 2" xfId="27123" xr:uid="{00000000-0005-0000-0000-00009E4E0000}"/>
    <cellStyle name="Separador de milhares 3 2 11 5 3 2 2" xfId="53304" xr:uid="{00000000-0005-0000-0000-00009F4E0000}"/>
    <cellStyle name="Separador de milhares 3 2 11 5 3 3" xfId="21209" xr:uid="{00000000-0005-0000-0000-0000A04E0000}"/>
    <cellStyle name="Separador de milhares 3 2 11 5 3 3 2" xfId="47396" xr:uid="{00000000-0005-0000-0000-0000A14E0000}"/>
    <cellStyle name="Separador de milhares 3 2 11 5 3 4" xfId="15295" xr:uid="{00000000-0005-0000-0000-0000A24E0000}"/>
    <cellStyle name="Separador de milhares 3 2 11 5 3 4 2" xfId="41488" xr:uid="{00000000-0005-0000-0000-0000A34E0000}"/>
    <cellStyle name="Separador de milhares 3 2 11 5 3 5" xfId="35102" xr:uid="{00000000-0005-0000-0000-0000A44E0000}"/>
    <cellStyle name="Separador de milhares 3 2 11 5 4" xfId="5534" xr:uid="{00000000-0005-0000-0000-0000A54E0000}"/>
    <cellStyle name="Separador de milhares 3 2 11 5 4 2" xfId="24166" xr:uid="{00000000-0005-0000-0000-0000A64E0000}"/>
    <cellStyle name="Separador de milhares 3 2 11 5 4 2 2" xfId="50350" xr:uid="{00000000-0005-0000-0000-0000A74E0000}"/>
    <cellStyle name="Separador de milhares 3 2 11 5 4 3" xfId="31730" xr:uid="{00000000-0005-0000-0000-0000A84E0000}"/>
    <cellStyle name="Separador de milhares 3 2 11 5 5" xfId="18252" xr:uid="{00000000-0005-0000-0000-0000A94E0000}"/>
    <cellStyle name="Separador de milhares 3 2 11 5 5 2" xfId="44442" xr:uid="{00000000-0005-0000-0000-0000AA4E0000}"/>
    <cellStyle name="Separador de milhares 3 2 11 5 6" xfId="11921" xr:uid="{00000000-0005-0000-0000-0000AB4E0000}"/>
    <cellStyle name="Separador de milhares 3 2 11 5 6 2" xfId="38114" xr:uid="{00000000-0005-0000-0000-0000AC4E0000}"/>
    <cellStyle name="Separador de milhares 3 2 11 5 7" xfId="30032" xr:uid="{00000000-0005-0000-0000-0000AD4E0000}"/>
    <cellStyle name="Separador de milhares 3 2 11 6" xfId="3412" xr:uid="{00000000-0005-0000-0000-0000AE4E0000}"/>
    <cellStyle name="Separador de milhares 3 2 11 6 2" xfId="7380" xr:uid="{00000000-0005-0000-0000-0000AF4E0000}"/>
    <cellStyle name="Separador de milhares 3 2 11 6 2 2" xfId="10524" xr:uid="{00000000-0005-0000-0000-0000B04E0000}"/>
    <cellStyle name="Separador de milhares 3 2 11 6 2 2 2" xfId="28738" xr:uid="{00000000-0005-0000-0000-0000B14E0000}"/>
    <cellStyle name="Separador de milhares 3 2 11 6 2 2 2 2" xfId="54919" xr:uid="{00000000-0005-0000-0000-0000B24E0000}"/>
    <cellStyle name="Separador de milhares 3 2 11 6 2 2 3" xfId="22824" xr:uid="{00000000-0005-0000-0000-0000B34E0000}"/>
    <cellStyle name="Separador de milhares 3 2 11 6 2 2 3 2" xfId="49011" xr:uid="{00000000-0005-0000-0000-0000B44E0000}"/>
    <cellStyle name="Separador de milhares 3 2 11 6 2 2 4" xfId="16910" xr:uid="{00000000-0005-0000-0000-0000B54E0000}"/>
    <cellStyle name="Separador de milhares 3 2 11 6 2 2 4 2" xfId="43103" xr:uid="{00000000-0005-0000-0000-0000B64E0000}"/>
    <cellStyle name="Separador de milhares 3 2 11 6 2 2 5" xfId="36717" xr:uid="{00000000-0005-0000-0000-0000B74E0000}"/>
    <cellStyle name="Separador de milhares 3 2 11 6 2 3" xfId="25781" xr:uid="{00000000-0005-0000-0000-0000B84E0000}"/>
    <cellStyle name="Separador de milhares 3 2 11 6 2 3 2" xfId="51965" xr:uid="{00000000-0005-0000-0000-0000B94E0000}"/>
    <cellStyle name="Separador de milhares 3 2 11 6 2 4" xfId="19867" xr:uid="{00000000-0005-0000-0000-0000BA4E0000}"/>
    <cellStyle name="Separador de milhares 3 2 11 6 2 4 2" xfId="46057" xr:uid="{00000000-0005-0000-0000-0000BB4E0000}"/>
    <cellStyle name="Separador de milhares 3 2 11 6 2 5" xfId="13769" xr:uid="{00000000-0005-0000-0000-0000BC4E0000}"/>
    <cellStyle name="Separador de milhares 3 2 11 6 2 5 2" xfId="39962" xr:uid="{00000000-0005-0000-0000-0000BD4E0000}"/>
    <cellStyle name="Separador de milhares 3 2 11 6 2 6" xfId="33576" xr:uid="{00000000-0005-0000-0000-0000BE4E0000}"/>
    <cellStyle name="Separador de milhares 3 2 11 6 3" xfId="9056" xr:uid="{00000000-0005-0000-0000-0000BF4E0000}"/>
    <cellStyle name="Separador de milhares 3 2 11 6 3 2" xfId="27270" xr:uid="{00000000-0005-0000-0000-0000C04E0000}"/>
    <cellStyle name="Separador de milhares 3 2 11 6 3 2 2" xfId="53451" xr:uid="{00000000-0005-0000-0000-0000C14E0000}"/>
    <cellStyle name="Separador de milhares 3 2 11 6 3 3" xfId="21356" xr:uid="{00000000-0005-0000-0000-0000C24E0000}"/>
    <cellStyle name="Separador de milhares 3 2 11 6 3 3 2" xfId="47543" xr:uid="{00000000-0005-0000-0000-0000C34E0000}"/>
    <cellStyle name="Separador de milhares 3 2 11 6 3 4" xfId="15442" xr:uid="{00000000-0005-0000-0000-0000C44E0000}"/>
    <cellStyle name="Separador de milhares 3 2 11 6 3 4 2" xfId="41635" xr:uid="{00000000-0005-0000-0000-0000C54E0000}"/>
    <cellStyle name="Separador de milhares 3 2 11 6 3 5" xfId="35249" xr:uid="{00000000-0005-0000-0000-0000C64E0000}"/>
    <cellStyle name="Separador de milhares 3 2 11 6 4" xfId="5681" xr:uid="{00000000-0005-0000-0000-0000C74E0000}"/>
    <cellStyle name="Separador de milhares 3 2 11 6 4 2" xfId="24313" xr:uid="{00000000-0005-0000-0000-0000C84E0000}"/>
    <cellStyle name="Separador de milhares 3 2 11 6 4 2 2" xfId="50497" xr:uid="{00000000-0005-0000-0000-0000C94E0000}"/>
    <cellStyle name="Separador de milhares 3 2 11 6 4 3" xfId="31877" xr:uid="{00000000-0005-0000-0000-0000CA4E0000}"/>
    <cellStyle name="Separador de milhares 3 2 11 6 5" xfId="18399" xr:uid="{00000000-0005-0000-0000-0000CB4E0000}"/>
    <cellStyle name="Separador de milhares 3 2 11 6 5 2" xfId="44589" xr:uid="{00000000-0005-0000-0000-0000CC4E0000}"/>
    <cellStyle name="Separador de milhares 3 2 11 6 6" xfId="12068" xr:uid="{00000000-0005-0000-0000-0000CD4E0000}"/>
    <cellStyle name="Separador de milhares 3 2 11 6 6 2" xfId="38261" xr:uid="{00000000-0005-0000-0000-0000CE4E0000}"/>
    <cellStyle name="Separador de milhares 3 2 11 6 7" xfId="30179" xr:uid="{00000000-0005-0000-0000-0000CF4E0000}"/>
    <cellStyle name="Separador de milhares 3 2 11 7" xfId="3939" xr:uid="{00000000-0005-0000-0000-0000D04E0000}"/>
    <cellStyle name="Separador de milhares 3 2 11 7 2" xfId="7527" xr:uid="{00000000-0005-0000-0000-0000D14E0000}"/>
    <cellStyle name="Separador de milhares 3 2 11 7 2 2" xfId="10671" xr:uid="{00000000-0005-0000-0000-0000D24E0000}"/>
    <cellStyle name="Separador de milhares 3 2 11 7 2 2 2" xfId="28885" xr:uid="{00000000-0005-0000-0000-0000D34E0000}"/>
    <cellStyle name="Separador de milhares 3 2 11 7 2 2 2 2" xfId="55066" xr:uid="{00000000-0005-0000-0000-0000D44E0000}"/>
    <cellStyle name="Separador de milhares 3 2 11 7 2 2 3" xfId="22971" xr:uid="{00000000-0005-0000-0000-0000D54E0000}"/>
    <cellStyle name="Separador de milhares 3 2 11 7 2 2 3 2" xfId="49158" xr:uid="{00000000-0005-0000-0000-0000D64E0000}"/>
    <cellStyle name="Separador de milhares 3 2 11 7 2 2 4" xfId="17057" xr:uid="{00000000-0005-0000-0000-0000D74E0000}"/>
    <cellStyle name="Separador de milhares 3 2 11 7 2 2 4 2" xfId="43250" xr:uid="{00000000-0005-0000-0000-0000D84E0000}"/>
    <cellStyle name="Separador de milhares 3 2 11 7 2 2 5" xfId="36864" xr:uid="{00000000-0005-0000-0000-0000D94E0000}"/>
    <cellStyle name="Separador de milhares 3 2 11 7 2 3" xfId="25928" xr:uid="{00000000-0005-0000-0000-0000DA4E0000}"/>
    <cellStyle name="Separador de milhares 3 2 11 7 2 3 2" xfId="52112" xr:uid="{00000000-0005-0000-0000-0000DB4E0000}"/>
    <cellStyle name="Separador de milhares 3 2 11 7 2 4" xfId="20014" xr:uid="{00000000-0005-0000-0000-0000DC4E0000}"/>
    <cellStyle name="Separador de milhares 3 2 11 7 2 4 2" xfId="46204" xr:uid="{00000000-0005-0000-0000-0000DD4E0000}"/>
    <cellStyle name="Separador de milhares 3 2 11 7 2 5" xfId="13916" xr:uid="{00000000-0005-0000-0000-0000DE4E0000}"/>
    <cellStyle name="Separador de milhares 3 2 11 7 2 5 2" xfId="40109" xr:uid="{00000000-0005-0000-0000-0000DF4E0000}"/>
    <cellStyle name="Separador de milhares 3 2 11 7 2 6" xfId="33723" xr:uid="{00000000-0005-0000-0000-0000E04E0000}"/>
    <cellStyle name="Separador de milhares 3 2 11 7 3" xfId="9203" xr:uid="{00000000-0005-0000-0000-0000E14E0000}"/>
    <cellStyle name="Separador de milhares 3 2 11 7 3 2" xfId="27417" xr:uid="{00000000-0005-0000-0000-0000E24E0000}"/>
    <cellStyle name="Separador de milhares 3 2 11 7 3 2 2" xfId="53598" xr:uid="{00000000-0005-0000-0000-0000E34E0000}"/>
    <cellStyle name="Separador de milhares 3 2 11 7 3 3" xfId="21503" xr:uid="{00000000-0005-0000-0000-0000E44E0000}"/>
    <cellStyle name="Separador de milhares 3 2 11 7 3 3 2" xfId="47690" xr:uid="{00000000-0005-0000-0000-0000E54E0000}"/>
    <cellStyle name="Separador de milhares 3 2 11 7 3 4" xfId="15589" xr:uid="{00000000-0005-0000-0000-0000E64E0000}"/>
    <cellStyle name="Separador de milhares 3 2 11 7 3 4 2" xfId="41782" xr:uid="{00000000-0005-0000-0000-0000E74E0000}"/>
    <cellStyle name="Separador de milhares 3 2 11 7 3 5" xfId="35396" xr:uid="{00000000-0005-0000-0000-0000E84E0000}"/>
    <cellStyle name="Separador de milhares 3 2 11 7 4" xfId="5828" xr:uid="{00000000-0005-0000-0000-0000E94E0000}"/>
    <cellStyle name="Separador de milhares 3 2 11 7 4 2" xfId="24460" xr:uid="{00000000-0005-0000-0000-0000EA4E0000}"/>
    <cellStyle name="Separador de milhares 3 2 11 7 4 2 2" xfId="50644" xr:uid="{00000000-0005-0000-0000-0000EB4E0000}"/>
    <cellStyle name="Separador de milhares 3 2 11 7 4 3" xfId="32024" xr:uid="{00000000-0005-0000-0000-0000EC4E0000}"/>
    <cellStyle name="Separador de milhares 3 2 11 7 5" xfId="18546" xr:uid="{00000000-0005-0000-0000-0000ED4E0000}"/>
    <cellStyle name="Separador de milhares 3 2 11 7 5 2" xfId="44736" xr:uid="{00000000-0005-0000-0000-0000EE4E0000}"/>
    <cellStyle name="Separador de milhares 3 2 11 7 6" xfId="12215" xr:uid="{00000000-0005-0000-0000-0000EF4E0000}"/>
    <cellStyle name="Separador de milhares 3 2 11 7 6 2" xfId="38408" xr:uid="{00000000-0005-0000-0000-0000F04E0000}"/>
    <cellStyle name="Separador de milhares 3 2 11 7 7" xfId="30326" xr:uid="{00000000-0005-0000-0000-0000F14E0000}"/>
    <cellStyle name="Separador de milhares 3 2 11 8" xfId="6566" xr:uid="{00000000-0005-0000-0000-0000F24E0000}"/>
    <cellStyle name="Separador de milhares 3 2 11 8 2" xfId="9713" xr:uid="{00000000-0005-0000-0000-0000F34E0000}"/>
    <cellStyle name="Separador de milhares 3 2 11 8 2 2" xfId="27927" xr:uid="{00000000-0005-0000-0000-0000F44E0000}"/>
    <cellStyle name="Separador de milhares 3 2 11 8 2 2 2" xfId="54108" xr:uid="{00000000-0005-0000-0000-0000F54E0000}"/>
    <cellStyle name="Separador de milhares 3 2 11 8 2 3" xfId="22013" xr:uid="{00000000-0005-0000-0000-0000F64E0000}"/>
    <cellStyle name="Separador de milhares 3 2 11 8 2 3 2" xfId="48200" xr:uid="{00000000-0005-0000-0000-0000F74E0000}"/>
    <cellStyle name="Separador de milhares 3 2 11 8 2 4" xfId="16099" xr:uid="{00000000-0005-0000-0000-0000F84E0000}"/>
    <cellStyle name="Separador de milhares 3 2 11 8 2 4 2" xfId="42292" xr:uid="{00000000-0005-0000-0000-0000F94E0000}"/>
    <cellStyle name="Separador de milhares 3 2 11 8 2 5" xfId="35906" xr:uid="{00000000-0005-0000-0000-0000FA4E0000}"/>
    <cellStyle name="Separador de milhares 3 2 11 8 3" xfId="24970" xr:uid="{00000000-0005-0000-0000-0000FB4E0000}"/>
    <cellStyle name="Separador de milhares 3 2 11 8 3 2" xfId="51154" xr:uid="{00000000-0005-0000-0000-0000FC4E0000}"/>
    <cellStyle name="Separador de milhares 3 2 11 8 4" xfId="19056" xr:uid="{00000000-0005-0000-0000-0000FD4E0000}"/>
    <cellStyle name="Separador de milhares 3 2 11 8 4 2" xfId="45246" xr:uid="{00000000-0005-0000-0000-0000FE4E0000}"/>
    <cellStyle name="Separador de milhares 3 2 11 8 5" xfId="12955" xr:uid="{00000000-0005-0000-0000-0000FF4E0000}"/>
    <cellStyle name="Separador de milhares 3 2 11 8 5 2" xfId="39148" xr:uid="{00000000-0005-0000-0000-0000004F0000}"/>
    <cellStyle name="Separador de milhares 3 2 11 8 6" xfId="32762" xr:uid="{00000000-0005-0000-0000-0000014F0000}"/>
    <cellStyle name="Separador de milhares 3 2 11 9" xfId="8242" xr:uid="{00000000-0005-0000-0000-0000024F0000}"/>
    <cellStyle name="Separador de milhares 3 2 11 9 2" xfId="26456" xr:uid="{00000000-0005-0000-0000-0000034F0000}"/>
    <cellStyle name="Separador de milhares 3 2 11 9 2 2" xfId="52640" xr:uid="{00000000-0005-0000-0000-0000044F0000}"/>
    <cellStyle name="Separador de milhares 3 2 11 9 3" xfId="20542" xr:uid="{00000000-0005-0000-0000-0000054F0000}"/>
    <cellStyle name="Separador de milhares 3 2 11 9 3 2" xfId="46732" xr:uid="{00000000-0005-0000-0000-0000064F0000}"/>
    <cellStyle name="Separador de milhares 3 2 11 9 4" xfId="14631" xr:uid="{00000000-0005-0000-0000-0000074F0000}"/>
    <cellStyle name="Separador de milhares 3 2 11 9 4 2" xfId="40824" xr:uid="{00000000-0005-0000-0000-0000084F0000}"/>
    <cellStyle name="Separador de milhares 3 2 11 9 5" xfId="34438" xr:uid="{00000000-0005-0000-0000-0000094F0000}"/>
    <cellStyle name="Separador de milhares 3 2 12" xfId="691" xr:uid="{00000000-0005-0000-0000-00000A4F0000}"/>
    <cellStyle name="Separador de milhares 3 2 12 2" xfId="4115" xr:uid="{00000000-0005-0000-0000-00000B4F0000}"/>
    <cellStyle name="Separador de milhares 3 2 12 2 2" xfId="7576" xr:uid="{00000000-0005-0000-0000-00000C4F0000}"/>
    <cellStyle name="Separador de milhares 3 2 12 2 2 2" xfId="10720" xr:uid="{00000000-0005-0000-0000-00000D4F0000}"/>
    <cellStyle name="Separador de milhares 3 2 12 2 2 2 2" xfId="28934" xr:uid="{00000000-0005-0000-0000-00000E4F0000}"/>
    <cellStyle name="Separador de milhares 3 2 12 2 2 2 2 2" xfId="55115" xr:uid="{00000000-0005-0000-0000-00000F4F0000}"/>
    <cellStyle name="Separador de milhares 3 2 12 2 2 2 3" xfId="23020" xr:uid="{00000000-0005-0000-0000-0000104F0000}"/>
    <cellStyle name="Separador de milhares 3 2 12 2 2 2 3 2" xfId="49207" xr:uid="{00000000-0005-0000-0000-0000114F0000}"/>
    <cellStyle name="Separador de milhares 3 2 12 2 2 2 4" xfId="17106" xr:uid="{00000000-0005-0000-0000-0000124F0000}"/>
    <cellStyle name="Separador de milhares 3 2 12 2 2 2 4 2" xfId="43299" xr:uid="{00000000-0005-0000-0000-0000134F0000}"/>
    <cellStyle name="Separador de milhares 3 2 12 2 2 2 5" xfId="36913" xr:uid="{00000000-0005-0000-0000-0000144F0000}"/>
    <cellStyle name="Separador de milhares 3 2 12 2 2 3" xfId="25977" xr:uid="{00000000-0005-0000-0000-0000154F0000}"/>
    <cellStyle name="Separador de milhares 3 2 12 2 2 3 2" xfId="52161" xr:uid="{00000000-0005-0000-0000-0000164F0000}"/>
    <cellStyle name="Separador de milhares 3 2 12 2 2 4" xfId="20063" xr:uid="{00000000-0005-0000-0000-0000174F0000}"/>
    <cellStyle name="Separador de milhares 3 2 12 2 2 4 2" xfId="46253" xr:uid="{00000000-0005-0000-0000-0000184F0000}"/>
    <cellStyle name="Separador de milhares 3 2 12 2 2 5" xfId="13965" xr:uid="{00000000-0005-0000-0000-0000194F0000}"/>
    <cellStyle name="Separador de milhares 3 2 12 2 2 5 2" xfId="40158" xr:uid="{00000000-0005-0000-0000-00001A4F0000}"/>
    <cellStyle name="Separador de milhares 3 2 12 2 2 6" xfId="33772" xr:uid="{00000000-0005-0000-0000-00001B4F0000}"/>
    <cellStyle name="Separador de milhares 3 2 12 2 3" xfId="9252" xr:uid="{00000000-0005-0000-0000-00001C4F0000}"/>
    <cellStyle name="Separador de milhares 3 2 12 2 3 2" xfId="27466" xr:uid="{00000000-0005-0000-0000-00001D4F0000}"/>
    <cellStyle name="Separador de milhares 3 2 12 2 3 2 2" xfId="53647" xr:uid="{00000000-0005-0000-0000-00001E4F0000}"/>
    <cellStyle name="Separador de milhares 3 2 12 2 3 3" xfId="21552" xr:uid="{00000000-0005-0000-0000-00001F4F0000}"/>
    <cellStyle name="Separador de milhares 3 2 12 2 3 3 2" xfId="47739" xr:uid="{00000000-0005-0000-0000-0000204F0000}"/>
    <cellStyle name="Separador de milhares 3 2 12 2 3 4" xfId="15638" xr:uid="{00000000-0005-0000-0000-0000214F0000}"/>
    <cellStyle name="Separador de milhares 3 2 12 2 3 4 2" xfId="41831" xr:uid="{00000000-0005-0000-0000-0000224F0000}"/>
    <cellStyle name="Separador de milhares 3 2 12 2 3 5" xfId="35445" xr:uid="{00000000-0005-0000-0000-0000234F0000}"/>
    <cellStyle name="Separador de milhares 3 2 12 2 4" xfId="5877" xr:uid="{00000000-0005-0000-0000-0000244F0000}"/>
    <cellStyle name="Separador de milhares 3 2 12 2 4 2" xfId="24509" xr:uid="{00000000-0005-0000-0000-0000254F0000}"/>
    <cellStyle name="Separador de milhares 3 2 12 2 4 2 2" xfId="50693" xr:uid="{00000000-0005-0000-0000-0000264F0000}"/>
    <cellStyle name="Separador de milhares 3 2 12 2 4 3" xfId="32073" xr:uid="{00000000-0005-0000-0000-0000274F0000}"/>
    <cellStyle name="Separador de milhares 3 2 12 2 5" xfId="18595" xr:uid="{00000000-0005-0000-0000-0000284F0000}"/>
    <cellStyle name="Separador de milhares 3 2 12 2 5 2" xfId="44785" xr:uid="{00000000-0005-0000-0000-0000294F0000}"/>
    <cellStyle name="Separador de milhares 3 2 12 2 6" xfId="12264" xr:uid="{00000000-0005-0000-0000-00002A4F0000}"/>
    <cellStyle name="Separador de milhares 3 2 12 2 6 2" xfId="38457" xr:uid="{00000000-0005-0000-0000-00002B4F0000}"/>
    <cellStyle name="Separador de milhares 3 2 12 2 7" xfId="30375" xr:uid="{00000000-0005-0000-0000-00002C4F0000}"/>
    <cellStyle name="Separador de milhares 3 2 12 3" xfId="6621" xr:uid="{00000000-0005-0000-0000-00002D4F0000}"/>
    <cellStyle name="Separador de milhares 3 2 12 3 2" xfId="9768" xr:uid="{00000000-0005-0000-0000-00002E4F0000}"/>
    <cellStyle name="Separador de milhares 3 2 12 3 2 2" xfId="27982" xr:uid="{00000000-0005-0000-0000-00002F4F0000}"/>
    <cellStyle name="Separador de milhares 3 2 12 3 2 2 2" xfId="54163" xr:uid="{00000000-0005-0000-0000-0000304F0000}"/>
    <cellStyle name="Separador de milhares 3 2 12 3 2 3" xfId="22068" xr:uid="{00000000-0005-0000-0000-0000314F0000}"/>
    <cellStyle name="Separador de milhares 3 2 12 3 2 3 2" xfId="48255" xr:uid="{00000000-0005-0000-0000-0000324F0000}"/>
    <cellStyle name="Separador de milhares 3 2 12 3 2 4" xfId="16154" xr:uid="{00000000-0005-0000-0000-0000334F0000}"/>
    <cellStyle name="Separador de milhares 3 2 12 3 2 4 2" xfId="42347" xr:uid="{00000000-0005-0000-0000-0000344F0000}"/>
    <cellStyle name="Separador de milhares 3 2 12 3 2 5" xfId="35961" xr:uid="{00000000-0005-0000-0000-0000354F0000}"/>
    <cellStyle name="Separador de milhares 3 2 12 3 3" xfId="25025" xr:uid="{00000000-0005-0000-0000-0000364F0000}"/>
    <cellStyle name="Separador de milhares 3 2 12 3 3 2" xfId="51209" xr:uid="{00000000-0005-0000-0000-0000374F0000}"/>
    <cellStyle name="Separador de milhares 3 2 12 3 4" xfId="19111" xr:uid="{00000000-0005-0000-0000-0000384F0000}"/>
    <cellStyle name="Separador de milhares 3 2 12 3 4 2" xfId="45301" xr:uid="{00000000-0005-0000-0000-0000394F0000}"/>
    <cellStyle name="Separador de milhares 3 2 12 3 5" xfId="13010" xr:uid="{00000000-0005-0000-0000-00003A4F0000}"/>
    <cellStyle name="Separador de milhares 3 2 12 3 5 2" xfId="39203" xr:uid="{00000000-0005-0000-0000-00003B4F0000}"/>
    <cellStyle name="Separador de milhares 3 2 12 3 6" xfId="32817" xr:uid="{00000000-0005-0000-0000-00003C4F0000}"/>
    <cellStyle name="Separador de milhares 3 2 12 4" xfId="8300" xr:uid="{00000000-0005-0000-0000-00003D4F0000}"/>
    <cellStyle name="Separador de milhares 3 2 12 4 2" xfId="26514" xr:uid="{00000000-0005-0000-0000-00003E4F0000}"/>
    <cellStyle name="Separador de milhares 3 2 12 4 2 2" xfId="52695" xr:uid="{00000000-0005-0000-0000-00003F4F0000}"/>
    <cellStyle name="Separador de milhares 3 2 12 4 3" xfId="20600" xr:uid="{00000000-0005-0000-0000-0000404F0000}"/>
    <cellStyle name="Separador de milhares 3 2 12 4 3 2" xfId="46787" xr:uid="{00000000-0005-0000-0000-0000414F0000}"/>
    <cellStyle name="Separador de milhares 3 2 12 4 4" xfId="14686" xr:uid="{00000000-0005-0000-0000-0000424F0000}"/>
    <cellStyle name="Separador de milhares 3 2 12 4 4 2" xfId="40879" xr:uid="{00000000-0005-0000-0000-0000434F0000}"/>
    <cellStyle name="Separador de milhares 3 2 12 4 5" xfId="34493" xr:uid="{00000000-0005-0000-0000-0000444F0000}"/>
    <cellStyle name="Separador de milhares 3 2 12 5" xfId="4922" xr:uid="{00000000-0005-0000-0000-0000454F0000}"/>
    <cellStyle name="Separador de milhares 3 2 12 5 2" xfId="23557" xr:uid="{00000000-0005-0000-0000-0000464F0000}"/>
    <cellStyle name="Separador de milhares 3 2 12 5 2 2" xfId="49741" xr:uid="{00000000-0005-0000-0000-0000474F0000}"/>
    <cellStyle name="Separador de milhares 3 2 12 5 3" xfId="31118" xr:uid="{00000000-0005-0000-0000-0000484F0000}"/>
    <cellStyle name="Separador de milhares 3 2 12 6" xfId="17643" xr:uid="{00000000-0005-0000-0000-0000494F0000}"/>
    <cellStyle name="Separador de milhares 3 2 12 6 2" xfId="43833" xr:uid="{00000000-0005-0000-0000-00004A4F0000}"/>
    <cellStyle name="Separador de milhares 3 2 12 7" xfId="11309" xr:uid="{00000000-0005-0000-0000-00004B4F0000}"/>
    <cellStyle name="Separador de milhares 3 2 12 7 2" xfId="37502" xr:uid="{00000000-0005-0000-0000-00004C4F0000}"/>
    <cellStyle name="Separador de milhares 3 2 12 8" xfId="29420" xr:uid="{00000000-0005-0000-0000-00004D4F0000}"/>
    <cellStyle name="Separador de milhares 3 2 13" xfId="1042" xr:uid="{00000000-0005-0000-0000-00004E4F0000}"/>
    <cellStyle name="Separador de milhares 3 2 13 2" xfId="6719" xr:uid="{00000000-0005-0000-0000-00004F4F0000}"/>
    <cellStyle name="Separador de milhares 3 2 13 2 2" xfId="9866" xr:uid="{00000000-0005-0000-0000-0000504F0000}"/>
    <cellStyle name="Separador de milhares 3 2 13 2 2 2" xfId="28080" xr:uid="{00000000-0005-0000-0000-0000514F0000}"/>
    <cellStyle name="Separador de milhares 3 2 13 2 2 2 2" xfId="54261" xr:uid="{00000000-0005-0000-0000-0000524F0000}"/>
    <cellStyle name="Separador de milhares 3 2 13 2 2 3" xfId="22166" xr:uid="{00000000-0005-0000-0000-0000534F0000}"/>
    <cellStyle name="Separador de milhares 3 2 13 2 2 3 2" xfId="48353" xr:uid="{00000000-0005-0000-0000-0000544F0000}"/>
    <cellStyle name="Separador de milhares 3 2 13 2 2 4" xfId="16252" xr:uid="{00000000-0005-0000-0000-0000554F0000}"/>
    <cellStyle name="Separador de milhares 3 2 13 2 2 4 2" xfId="42445" xr:uid="{00000000-0005-0000-0000-0000564F0000}"/>
    <cellStyle name="Separador de milhares 3 2 13 2 2 5" xfId="36059" xr:uid="{00000000-0005-0000-0000-0000574F0000}"/>
    <cellStyle name="Separador de milhares 3 2 13 2 3" xfId="25123" xr:uid="{00000000-0005-0000-0000-0000584F0000}"/>
    <cellStyle name="Separador de milhares 3 2 13 2 3 2" xfId="51307" xr:uid="{00000000-0005-0000-0000-0000594F0000}"/>
    <cellStyle name="Separador de milhares 3 2 13 2 4" xfId="19209" xr:uid="{00000000-0005-0000-0000-00005A4F0000}"/>
    <cellStyle name="Separador de milhares 3 2 13 2 4 2" xfId="45399" xr:uid="{00000000-0005-0000-0000-00005B4F0000}"/>
    <cellStyle name="Separador de milhares 3 2 13 2 5" xfId="13108" xr:uid="{00000000-0005-0000-0000-00005C4F0000}"/>
    <cellStyle name="Separador de milhares 3 2 13 2 5 2" xfId="39301" xr:uid="{00000000-0005-0000-0000-00005D4F0000}"/>
    <cellStyle name="Separador de milhares 3 2 13 2 6" xfId="32915" xr:uid="{00000000-0005-0000-0000-00005E4F0000}"/>
    <cellStyle name="Separador de milhares 3 2 13 3" xfId="8398" xr:uid="{00000000-0005-0000-0000-00005F4F0000}"/>
    <cellStyle name="Separador de milhares 3 2 13 3 2" xfId="26612" xr:uid="{00000000-0005-0000-0000-0000604F0000}"/>
    <cellStyle name="Separador de milhares 3 2 13 3 2 2" xfId="52793" xr:uid="{00000000-0005-0000-0000-0000614F0000}"/>
    <cellStyle name="Separador de milhares 3 2 13 3 3" xfId="20698" xr:uid="{00000000-0005-0000-0000-0000624F0000}"/>
    <cellStyle name="Separador de milhares 3 2 13 3 3 2" xfId="46885" xr:uid="{00000000-0005-0000-0000-0000634F0000}"/>
    <cellStyle name="Separador de milhares 3 2 13 3 4" xfId="14784" xr:uid="{00000000-0005-0000-0000-0000644F0000}"/>
    <cellStyle name="Separador de milhares 3 2 13 3 4 2" xfId="40977" xr:uid="{00000000-0005-0000-0000-0000654F0000}"/>
    <cellStyle name="Separador de milhares 3 2 13 3 5" xfId="34591" xr:uid="{00000000-0005-0000-0000-0000664F0000}"/>
    <cellStyle name="Separador de milhares 3 2 13 4" xfId="5020" xr:uid="{00000000-0005-0000-0000-0000674F0000}"/>
    <cellStyle name="Separador de milhares 3 2 13 4 2" xfId="23655" xr:uid="{00000000-0005-0000-0000-0000684F0000}"/>
    <cellStyle name="Separador de milhares 3 2 13 4 2 2" xfId="49839" xr:uid="{00000000-0005-0000-0000-0000694F0000}"/>
    <cellStyle name="Separador de milhares 3 2 13 4 3" xfId="31216" xr:uid="{00000000-0005-0000-0000-00006A4F0000}"/>
    <cellStyle name="Separador de milhares 3 2 13 5" xfId="17741" xr:uid="{00000000-0005-0000-0000-00006B4F0000}"/>
    <cellStyle name="Separador de milhares 3 2 13 5 2" xfId="43931" xr:uid="{00000000-0005-0000-0000-00006C4F0000}"/>
    <cellStyle name="Separador de milhares 3 2 13 6" xfId="11407" xr:uid="{00000000-0005-0000-0000-00006D4F0000}"/>
    <cellStyle name="Separador de milhares 3 2 13 6 2" xfId="37600" xr:uid="{00000000-0005-0000-0000-00006E4F0000}"/>
    <cellStyle name="Separador de milhares 3 2 13 7" xfId="29518" xr:uid="{00000000-0005-0000-0000-00006F4F0000}"/>
    <cellStyle name="Separador de milhares 3 2 14" xfId="1477" xr:uid="{00000000-0005-0000-0000-0000704F0000}"/>
    <cellStyle name="Separador de milhares 3 2 14 2" xfId="6838" xr:uid="{00000000-0005-0000-0000-0000714F0000}"/>
    <cellStyle name="Separador de milhares 3 2 14 2 2" xfId="9985" xr:uid="{00000000-0005-0000-0000-0000724F0000}"/>
    <cellStyle name="Separador de milhares 3 2 14 2 2 2" xfId="28199" xr:uid="{00000000-0005-0000-0000-0000734F0000}"/>
    <cellStyle name="Separador de milhares 3 2 14 2 2 2 2" xfId="54380" xr:uid="{00000000-0005-0000-0000-0000744F0000}"/>
    <cellStyle name="Separador de milhares 3 2 14 2 2 3" xfId="22285" xr:uid="{00000000-0005-0000-0000-0000754F0000}"/>
    <cellStyle name="Separador de milhares 3 2 14 2 2 3 2" xfId="48472" xr:uid="{00000000-0005-0000-0000-0000764F0000}"/>
    <cellStyle name="Separador de milhares 3 2 14 2 2 4" xfId="16371" xr:uid="{00000000-0005-0000-0000-0000774F0000}"/>
    <cellStyle name="Separador de milhares 3 2 14 2 2 4 2" xfId="42564" xr:uid="{00000000-0005-0000-0000-0000784F0000}"/>
    <cellStyle name="Separador de milhares 3 2 14 2 2 5" xfId="36178" xr:uid="{00000000-0005-0000-0000-0000794F0000}"/>
    <cellStyle name="Separador de milhares 3 2 14 2 3" xfId="25242" xr:uid="{00000000-0005-0000-0000-00007A4F0000}"/>
    <cellStyle name="Separador de milhares 3 2 14 2 3 2" xfId="51426" xr:uid="{00000000-0005-0000-0000-00007B4F0000}"/>
    <cellStyle name="Separador de milhares 3 2 14 2 4" xfId="19328" xr:uid="{00000000-0005-0000-0000-00007C4F0000}"/>
    <cellStyle name="Separador de milhares 3 2 14 2 4 2" xfId="45518" xr:uid="{00000000-0005-0000-0000-00007D4F0000}"/>
    <cellStyle name="Separador de milhares 3 2 14 2 5" xfId="13227" xr:uid="{00000000-0005-0000-0000-00007E4F0000}"/>
    <cellStyle name="Separador de milhares 3 2 14 2 5 2" xfId="39420" xr:uid="{00000000-0005-0000-0000-00007F4F0000}"/>
    <cellStyle name="Separador de milhares 3 2 14 2 6" xfId="33034" xr:uid="{00000000-0005-0000-0000-0000804F0000}"/>
    <cellStyle name="Separador de milhares 3 2 14 3" xfId="8517" xr:uid="{00000000-0005-0000-0000-0000814F0000}"/>
    <cellStyle name="Separador de milhares 3 2 14 3 2" xfId="26731" xr:uid="{00000000-0005-0000-0000-0000824F0000}"/>
    <cellStyle name="Separador de milhares 3 2 14 3 2 2" xfId="52912" xr:uid="{00000000-0005-0000-0000-0000834F0000}"/>
    <cellStyle name="Separador de milhares 3 2 14 3 3" xfId="20817" xr:uid="{00000000-0005-0000-0000-0000844F0000}"/>
    <cellStyle name="Separador de milhares 3 2 14 3 3 2" xfId="47004" xr:uid="{00000000-0005-0000-0000-0000854F0000}"/>
    <cellStyle name="Separador de milhares 3 2 14 3 4" xfId="14903" xr:uid="{00000000-0005-0000-0000-0000864F0000}"/>
    <cellStyle name="Separador de milhares 3 2 14 3 4 2" xfId="41096" xr:uid="{00000000-0005-0000-0000-0000874F0000}"/>
    <cellStyle name="Separador de milhares 3 2 14 3 5" xfId="34710" xr:uid="{00000000-0005-0000-0000-0000884F0000}"/>
    <cellStyle name="Separador de milhares 3 2 14 4" xfId="5139" xr:uid="{00000000-0005-0000-0000-0000894F0000}"/>
    <cellStyle name="Separador de milhares 3 2 14 4 2" xfId="23774" xr:uid="{00000000-0005-0000-0000-00008A4F0000}"/>
    <cellStyle name="Separador de milhares 3 2 14 4 2 2" xfId="49958" xr:uid="{00000000-0005-0000-0000-00008B4F0000}"/>
    <cellStyle name="Separador de milhares 3 2 14 4 3" xfId="31335" xr:uid="{00000000-0005-0000-0000-00008C4F0000}"/>
    <cellStyle name="Separador de milhares 3 2 14 5" xfId="17860" xr:uid="{00000000-0005-0000-0000-00008D4F0000}"/>
    <cellStyle name="Separador de milhares 3 2 14 5 2" xfId="44050" xr:uid="{00000000-0005-0000-0000-00008E4F0000}"/>
    <cellStyle name="Separador de milhares 3 2 14 6" xfId="11526" xr:uid="{00000000-0005-0000-0000-00008F4F0000}"/>
    <cellStyle name="Separador de milhares 3 2 14 6 2" xfId="37719" xr:uid="{00000000-0005-0000-0000-0000904F0000}"/>
    <cellStyle name="Separador de milhares 3 2 14 7" xfId="29637" xr:uid="{00000000-0005-0000-0000-0000914F0000}"/>
    <cellStyle name="Separador de milhares 3 2 15" xfId="2007" xr:uid="{00000000-0005-0000-0000-0000924F0000}"/>
    <cellStyle name="Separador de milhares 3 2 15 2" xfId="6988" xr:uid="{00000000-0005-0000-0000-0000934F0000}"/>
    <cellStyle name="Separador de milhares 3 2 15 2 2" xfId="10132" xr:uid="{00000000-0005-0000-0000-0000944F0000}"/>
    <cellStyle name="Separador de milhares 3 2 15 2 2 2" xfId="28346" xr:uid="{00000000-0005-0000-0000-0000954F0000}"/>
    <cellStyle name="Separador de milhares 3 2 15 2 2 2 2" xfId="54527" xr:uid="{00000000-0005-0000-0000-0000964F0000}"/>
    <cellStyle name="Separador de milhares 3 2 15 2 2 3" xfId="22432" xr:uid="{00000000-0005-0000-0000-0000974F0000}"/>
    <cellStyle name="Separador de milhares 3 2 15 2 2 3 2" xfId="48619" xr:uid="{00000000-0005-0000-0000-0000984F0000}"/>
    <cellStyle name="Separador de milhares 3 2 15 2 2 4" xfId="16518" xr:uid="{00000000-0005-0000-0000-0000994F0000}"/>
    <cellStyle name="Separador de milhares 3 2 15 2 2 4 2" xfId="42711" xr:uid="{00000000-0005-0000-0000-00009A4F0000}"/>
    <cellStyle name="Separador de milhares 3 2 15 2 2 5" xfId="36325" xr:uid="{00000000-0005-0000-0000-00009B4F0000}"/>
    <cellStyle name="Separador de milhares 3 2 15 2 3" xfId="25389" xr:uid="{00000000-0005-0000-0000-00009C4F0000}"/>
    <cellStyle name="Separador de milhares 3 2 15 2 3 2" xfId="51573" xr:uid="{00000000-0005-0000-0000-00009D4F0000}"/>
    <cellStyle name="Separador de milhares 3 2 15 2 4" xfId="19475" xr:uid="{00000000-0005-0000-0000-00009E4F0000}"/>
    <cellStyle name="Separador de milhares 3 2 15 2 4 2" xfId="45665" xr:uid="{00000000-0005-0000-0000-00009F4F0000}"/>
    <cellStyle name="Separador de milhares 3 2 15 2 5" xfId="13377" xr:uid="{00000000-0005-0000-0000-0000A04F0000}"/>
    <cellStyle name="Separador de milhares 3 2 15 2 5 2" xfId="39570" xr:uid="{00000000-0005-0000-0000-0000A14F0000}"/>
    <cellStyle name="Separador de milhares 3 2 15 2 6" xfId="33184" xr:uid="{00000000-0005-0000-0000-0000A24F0000}"/>
    <cellStyle name="Separador de milhares 3 2 15 3" xfId="8664" xr:uid="{00000000-0005-0000-0000-0000A34F0000}"/>
    <cellStyle name="Separador de milhares 3 2 15 3 2" xfId="26878" xr:uid="{00000000-0005-0000-0000-0000A44F0000}"/>
    <cellStyle name="Separador de milhares 3 2 15 3 2 2" xfId="53059" xr:uid="{00000000-0005-0000-0000-0000A54F0000}"/>
    <cellStyle name="Separador de milhares 3 2 15 3 3" xfId="20964" xr:uid="{00000000-0005-0000-0000-0000A64F0000}"/>
    <cellStyle name="Separador de milhares 3 2 15 3 3 2" xfId="47151" xr:uid="{00000000-0005-0000-0000-0000A74F0000}"/>
    <cellStyle name="Separador de milhares 3 2 15 3 4" xfId="15050" xr:uid="{00000000-0005-0000-0000-0000A84F0000}"/>
    <cellStyle name="Separador de milhares 3 2 15 3 4 2" xfId="41243" xr:uid="{00000000-0005-0000-0000-0000A94F0000}"/>
    <cellStyle name="Separador de milhares 3 2 15 3 5" xfId="34857" xr:uid="{00000000-0005-0000-0000-0000AA4F0000}"/>
    <cellStyle name="Separador de milhares 3 2 15 4" xfId="5289" xr:uid="{00000000-0005-0000-0000-0000AB4F0000}"/>
    <cellStyle name="Separador de milhares 3 2 15 4 2" xfId="23921" xr:uid="{00000000-0005-0000-0000-0000AC4F0000}"/>
    <cellStyle name="Separador de milhares 3 2 15 4 2 2" xfId="50105" xr:uid="{00000000-0005-0000-0000-0000AD4F0000}"/>
    <cellStyle name="Separador de milhares 3 2 15 4 3" xfId="31485" xr:uid="{00000000-0005-0000-0000-0000AE4F0000}"/>
    <cellStyle name="Separador de milhares 3 2 15 5" xfId="18007" xr:uid="{00000000-0005-0000-0000-0000AF4F0000}"/>
    <cellStyle name="Separador de milhares 3 2 15 5 2" xfId="44197" xr:uid="{00000000-0005-0000-0000-0000B04F0000}"/>
    <cellStyle name="Separador de milhares 3 2 15 6" xfId="11676" xr:uid="{00000000-0005-0000-0000-0000B14F0000}"/>
    <cellStyle name="Separador de milhares 3 2 15 6 2" xfId="37869" xr:uid="{00000000-0005-0000-0000-0000B24F0000}"/>
    <cellStyle name="Separador de milhares 3 2 15 7" xfId="29787" xr:uid="{00000000-0005-0000-0000-0000B34F0000}"/>
    <cellStyle name="Separador de milhares 3 2 16" xfId="2534" xr:uid="{00000000-0005-0000-0000-0000B44F0000}"/>
    <cellStyle name="Separador de milhares 3 2 16 2" xfId="7135" xr:uid="{00000000-0005-0000-0000-0000B54F0000}"/>
    <cellStyle name="Separador de milhares 3 2 16 2 2" xfId="10279" xr:uid="{00000000-0005-0000-0000-0000B64F0000}"/>
    <cellStyle name="Separador de milhares 3 2 16 2 2 2" xfId="28493" xr:uid="{00000000-0005-0000-0000-0000B74F0000}"/>
    <cellStyle name="Separador de milhares 3 2 16 2 2 2 2" xfId="54674" xr:uid="{00000000-0005-0000-0000-0000B84F0000}"/>
    <cellStyle name="Separador de milhares 3 2 16 2 2 3" xfId="22579" xr:uid="{00000000-0005-0000-0000-0000B94F0000}"/>
    <cellStyle name="Separador de milhares 3 2 16 2 2 3 2" xfId="48766" xr:uid="{00000000-0005-0000-0000-0000BA4F0000}"/>
    <cellStyle name="Separador de milhares 3 2 16 2 2 4" xfId="16665" xr:uid="{00000000-0005-0000-0000-0000BB4F0000}"/>
    <cellStyle name="Separador de milhares 3 2 16 2 2 4 2" xfId="42858" xr:uid="{00000000-0005-0000-0000-0000BC4F0000}"/>
    <cellStyle name="Separador de milhares 3 2 16 2 2 5" xfId="36472" xr:uid="{00000000-0005-0000-0000-0000BD4F0000}"/>
    <cellStyle name="Separador de milhares 3 2 16 2 3" xfId="25536" xr:uid="{00000000-0005-0000-0000-0000BE4F0000}"/>
    <cellStyle name="Separador de milhares 3 2 16 2 3 2" xfId="51720" xr:uid="{00000000-0005-0000-0000-0000BF4F0000}"/>
    <cellStyle name="Separador de milhares 3 2 16 2 4" xfId="19622" xr:uid="{00000000-0005-0000-0000-0000C04F0000}"/>
    <cellStyle name="Separador de milhares 3 2 16 2 4 2" xfId="45812" xr:uid="{00000000-0005-0000-0000-0000C14F0000}"/>
    <cellStyle name="Separador de milhares 3 2 16 2 5" xfId="13524" xr:uid="{00000000-0005-0000-0000-0000C24F0000}"/>
    <cellStyle name="Separador de milhares 3 2 16 2 5 2" xfId="39717" xr:uid="{00000000-0005-0000-0000-0000C34F0000}"/>
    <cellStyle name="Separador de milhares 3 2 16 2 6" xfId="33331" xr:uid="{00000000-0005-0000-0000-0000C44F0000}"/>
    <cellStyle name="Separador de milhares 3 2 16 3" xfId="8811" xr:uid="{00000000-0005-0000-0000-0000C54F0000}"/>
    <cellStyle name="Separador de milhares 3 2 16 3 2" xfId="27025" xr:uid="{00000000-0005-0000-0000-0000C64F0000}"/>
    <cellStyle name="Separador de milhares 3 2 16 3 2 2" xfId="53206" xr:uid="{00000000-0005-0000-0000-0000C74F0000}"/>
    <cellStyle name="Separador de milhares 3 2 16 3 3" xfId="21111" xr:uid="{00000000-0005-0000-0000-0000C84F0000}"/>
    <cellStyle name="Separador de milhares 3 2 16 3 3 2" xfId="47298" xr:uid="{00000000-0005-0000-0000-0000C94F0000}"/>
    <cellStyle name="Separador de milhares 3 2 16 3 4" xfId="15197" xr:uid="{00000000-0005-0000-0000-0000CA4F0000}"/>
    <cellStyle name="Separador de milhares 3 2 16 3 4 2" xfId="41390" xr:uid="{00000000-0005-0000-0000-0000CB4F0000}"/>
    <cellStyle name="Separador de milhares 3 2 16 3 5" xfId="35004" xr:uid="{00000000-0005-0000-0000-0000CC4F0000}"/>
    <cellStyle name="Separador de milhares 3 2 16 4" xfId="5436" xr:uid="{00000000-0005-0000-0000-0000CD4F0000}"/>
    <cellStyle name="Separador de milhares 3 2 16 4 2" xfId="24068" xr:uid="{00000000-0005-0000-0000-0000CE4F0000}"/>
    <cellStyle name="Separador de milhares 3 2 16 4 2 2" xfId="50252" xr:uid="{00000000-0005-0000-0000-0000CF4F0000}"/>
    <cellStyle name="Separador de milhares 3 2 16 4 3" xfId="31632" xr:uid="{00000000-0005-0000-0000-0000D04F0000}"/>
    <cellStyle name="Separador de milhares 3 2 16 5" xfId="18154" xr:uid="{00000000-0005-0000-0000-0000D14F0000}"/>
    <cellStyle name="Separador de milhares 3 2 16 5 2" xfId="44344" xr:uid="{00000000-0005-0000-0000-0000D24F0000}"/>
    <cellStyle name="Separador de milhares 3 2 16 6" xfId="11823" xr:uid="{00000000-0005-0000-0000-0000D34F0000}"/>
    <cellStyle name="Separador de milhares 3 2 16 6 2" xfId="38016" xr:uid="{00000000-0005-0000-0000-0000D44F0000}"/>
    <cellStyle name="Separador de milhares 3 2 16 7" xfId="29934" xr:uid="{00000000-0005-0000-0000-0000D54F0000}"/>
    <cellStyle name="Separador de milhares 3 2 17" xfId="3061" xr:uid="{00000000-0005-0000-0000-0000D64F0000}"/>
    <cellStyle name="Separador de milhares 3 2 17 2" xfId="7282" xr:uid="{00000000-0005-0000-0000-0000D74F0000}"/>
    <cellStyle name="Separador de milhares 3 2 17 2 2" xfId="10426" xr:uid="{00000000-0005-0000-0000-0000D84F0000}"/>
    <cellStyle name="Separador de milhares 3 2 17 2 2 2" xfId="28640" xr:uid="{00000000-0005-0000-0000-0000D94F0000}"/>
    <cellStyle name="Separador de milhares 3 2 17 2 2 2 2" xfId="54821" xr:uid="{00000000-0005-0000-0000-0000DA4F0000}"/>
    <cellStyle name="Separador de milhares 3 2 17 2 2 3" xfId="22726" xr:uid="{00000000-0005-0000-0000-0000DB4F0000}"/>
    <cellStyle name="Separador de milhares 3 2 17 2 2 3 2" xfId="48913" xr:uid="{00000000-0005-0000-0000-0000DC4F0000}"/>
    <cellStyle name="Separador de milhares 3 2 17 2 2 4" xfId="16812" xr:uid="{00000000-0005-0000-0000-0000DD4F0000}"/>
    <cellStyle name="Separador de milhares 3 2 17 2 2 4 2" xfId="43005" xr:uid="{00000000-0005-0000-0000-0000DE4F0000}"/>
    <cellStyle name="Separador de milhares 3 2 17 2 2 5" xfId="36619" xr:uid="{00000000-0005-0000-0000-0000DF4F0000}"/>
    <cellStyle name="Separador de milhares 3 2 17 2 3" xfId="25683" xr:uid="{00000000-0005-0000-0000-0000E04F0000}"/>
    <cellStyle name="Separador de milhares 3 2 17 2 3 2" xfId="51867" xr:uid="{00000000-0005-0000-0000-0000E14F0000}"/>
    <cellStyle name="Separador de milhares 3 2 17 2 4" xfId="19769" xr:uid="{00000000-0005-0000-0000-0000E24F0000}"/>
    <cellStyle name="Separador de milhares 3 2 17 2 4 2" xfId="45959" xr:uid="{00000000-0005-0000-0000-0000E34F0000}"/>
    <cellStyle name="Separador de milhares 3 2 17 2 5" xfId="13671" xr:uid="{00000000-0005-0000-0000-0000E44F0000}"/>
    <cellStyle name="Separador de milhares 3 2 17 2 5 2" xfId="39864" xr:uid="{00000000-0005-0000-0000-0000E54F0000}"/>
    <cellStyle name="Separador de milhares 3 2 17 2 6" xfId="33478" xr:uid="{00000000-0005-0000-0000-0000E64F0000}"/>
    <cellStyle name="Separador de milhares 3 2 17 3" xfId="8958" xr:uid="{00000000-0005-0000-0000-0000E74F0000}"/>
    <cellStyle name="Separador de milhares 3 2 17 3 2" xfId="27172" xr:uid="{00000000-0005-0000-0000-0000E84F0000}"/>
    <cellStyle name="Separador de milhares 3 2 17 3 2 2" xfId="53353" xr:uid="{00000000-0005-0000-0000-0000E94F0000}"/>
    <cellStyle name="Separador de milhares 3 2 17 3 3" xfId="21258" xr:uid="{00000000-0005-0000-0000-0000EA4F0000}"/>
    <cellStyle name="Separador de milhares 3 2 17 3 3 2" xfId="47445" xr:uid="{00000000-0005-0000-0000-0000EB4F0000}"/>
    <cellStyle name="Separador de milhares 3 2 17 3 4" xfId="15344" xr:uid="{00000000-0005-0000-0000-0000EC4F0000}"/>
    <cellStyle name="Separador de milhares 3 2 17 3 4 2" xfId="41537" xr:uid="{00000000-0005-0000-0000-0000ED4F0000}"/>
    <cellStyle name="Separador de milhares 3 2 17 3 5" xfId="35151" xr:uid="{00000000-0005-0000-0000-0000EE4F0000}"/>
    <cellStyle name="Separador de milhares 3 2 17 4" xfId="5583" xr:uid="{00000000-0005-0000-0000-0000EF4F0000}"/>
    <cellStyle name="Separador de milhares 3 2 17 4 2" xfId="24215" xr:uid="{00000000-0005-0000-0000-0000F04F0000}"/>
    <cellStyle name="Separador de milhares 3 2 17 4 2 2" xfId="50399" xr:uid="{00000000-0005-0000-0000-0000F14F0000}"/>
    <cellStyle name="Separador de milhares 3 2 17 4 3" xfId="31779" xr:uid="{00000000-0005-0000-0000-0000F24F0000}"/>
    <cellStyle name="Separador de milhares 3 2 17 5" xfId="18301" xr:uid="{00000000-0005-0000-0000-0000F34F0000}"/>
    <cellStyle name="Separador de milhares 3 2 17 5 2" xfId="44491" xr:uid="{00000000-0005-0000-0000-0000F44F0000}"/>
    <cellStyle name="Separador de milhares 3 2 17 6" xfId="11970" xr:uid="{00000000-0005-0000-0000-0000F54F0000}"/>
    <cellStyle name="Separador de milhares 3 2 17 6 2" xfId="38163" xr:uid="{00000000-0005-0000-0000-0000F64F0000}"/>
    <cellStyle name="Separador de milhares 3 2 17 7" xfId="30081" xr:uid="{00000000-0005-0000-0000-0000F74F0000}"/>
    <cellStyle name="Separador de milhares 3 2 18" xfId="3588" xr:uid="{00000000-0005-0000-0000-0000F84F0000}"/>
    <cellStyle name="Separador de milhares 3 2 18 2" xfId="7429" xr:uid="{00000000-0005-0000-0000-0000F94F0000}"/>
    <cellStyle name="Separador de milhares 3 2 18 2 2" xfId="10573" xr:uid="{00000000-0005-0000-0000-0000FA4F0000}"/>
    <cellStyle name="Separador de milhares 3 2 18 2 2 2" xfId="28787" xr:uid="{00000000-0005-0000-0000-0000FB4F0000}"/>
    <cellStyle name="Separador de milhares 3 2 18 2 2 2 2" xfId="54968" xr:uid="{00000000-0005-0000-0000-0000FC4F0000}"/>
    <cellStyle name="Separador de milhares 3 2 18 2 2 3" xfId="22873" xr:uid="{00000000-0005-0000-0000-0000FD4F0000}"/>
    <cellStyle name="Separador de milhares 3 2 18 2 2 3 2" xfId="49060" xr:uid="{00000000-0005-0000-0000-0000FE4F0000}"/>
    <cellStyle name="Separador de milhares 3 2 18 2 2 4" xfId="16959" xr:uid="{00000000-0005-0000-0000-0000FF4F0000}"/>
    <cellStyle name="Separador de milhares 3 2 18 2 2 4 2" xfId="43152" xr:uid="{00000000-0005-0000-0000-000000500000}"/>
    <cellStyle name="Separador de milhares 3 2 18 2 2 5" xfId="36766" xr:uid="{00000000-0005-0000-0000-000001500000}"/>
    <cellStyle name="Separador de milhares 3 2 18 2 3" xfId="25830" xr:uid="{00000000-0005-0000-0000-000002500000}"/>
    <cellStyle name="Separador de milhares 3 2 18 2 3 2" xfId="52014" xr:uid="{00000000-0005-0000-0000-000003500000}"/>
    <cellStyle name="Separador de milhares 3 2 18 2 4" xfId="19916" xr:uid="{00000000-0005-0000-0000-000004500000}"/>
    <cellStyle name="Separador de milhares 3 2 18 2 4 2" xfId="46106" xr:uid="{00000000-0005-0000-0000-000005500000}"/>
    <cellStyle name="Separador de milhares 3 2 18 2 5" xfId="13818" xr:uid="{00000000-0005-0000-0000-000006500000}"/>
    <cellStyle name="Separador de milhares 3 2 18 2 5 2" xfId="40011" xr:uid="{00000000-0005-0000-0000-000007500000}"/>
    <cellStyle name="Separador de milhares 3 2 18 2 6" xfId="33625" xr:uid="{00000000-0005-0000-0000-000008500000}"/>
    <cellStyle name="Separador de milhares 3 2 18 3" xfId="9105" xr:uid="{00000000-0005-0000-0000-000009500000}"/>
    <cellStyle name="Separador de milhares 3 2 18 3 2" xfId="27319" xr:uid="{00000000-0005-0000-0000-00000A500000}"/>
    <cellStyle name="Separador de milhares 3 2 18 3 2 2" xfId="53500" xr:uid="{00000000-0005-0000-0000-00000B500000}"/>
    <cellStyle name="Separador de milhares 3 2 18 3 3" xfId="21405" xr:uid="{00000000-0005-0000-0000-00000C500000}"/>
    <cellStyle name="Separador de milhares 3 2 18 3 3 2" xfId="47592" xr:uid="{00000000-0005-0000-0000-00000D500000}"/>
    <cellStyle name="Separador de milhares 3 2 18 3 4" xfId="15491" xr:uid="{00000000-0005-0000-0000-00000E500000}"/>
    <cellStyle name="Separador de milhares 3 2 18 3 4 2" xfId="41684" xr:uid="{00000000-0005-0000-0000-00000F500000}"/>
    <cellStyle name="Separador de milhares 3 2 18 3 5" xfId="35298" xr:uid="{00000000-0005-0000-0000-000010500000}"/>
    <cellStyle name="Separador de milhares 3 2 18 4" xfId="5730" xr:uid="{00000000-0005-0000-0000-000011500000}"/>
    <cellStyle name="Separador de milhares 3 2 18 4 2" xfId="24362" xr:uid="{00000000-0005-0000-0000-000012500000}"/>
    <cellStyle name="Separador de milhares 3 2 18 4 2 2" xfId="50546" xr:uid="{00000000-0005-0000-0000-000013500000}"/>
    <cellStyle name="Separador de milhares 3 2 18 4 3" xfId="31926" xr:uid="{00000000-0005-0000-0000-000014500000}"/>
    <cellStyle name="Separador de milhares 3 2 18 5" xfId="18448" xr:uid="{00000000-0005-0000-0000-000015500000}"/>
    <cellStyle name="Separador de milhares 3 2 18 5 2" xfId="44638" xr:uid="{00000000-0005-0000-0000-000016500000}"/>
    <cellStyle name="Separador de milhares 3 2 18 6" xfId="12117" xr:uid="{00000000-0005-0000-0000-000017500000}"/>
    <cellStyle name="Separador de milhares 3 2 18 6 2" xfId="38310" xr:uid="{00000000-0005-0000-0000-000018500000}"/>
    <cellStyle name="Separador de milhares 3 2 18 7" xfId="30228" xr:uid="{00000000-0005-0000-0000-000019500000}"/>
    <cellStyle name="Separador de milhares 3 2 19" xfId="6413" xr:uid="{00000000-0005-0000-0000-00001A500000}"/>
    <cellStyle name="Separador de milhares 3 2 19 2" xfId="9569" xr:uid="{00000000-0005-0000-0000-00001B500000}"/>
    <cellStyle name="Separador de milhares 3 2 19 2 2" xfId="27783" xr:uid="{00000000-0005-0000-0000-00001C500000}"/>
    <cellStyle name="Separador de milhares 3 2 19 2 2 2" xfId="53964" xr:uid="{00000000-0005-0000-0000-00001D500000}"/>
    <cellStyle name="Separador de milhares 3 2 19 2 3" xfId="21869" xr:uid="{00000000-0005-0000-0000-00001E500000}"/>
    <cellStyle name="Separador de milhares 3 2 19 2 3 2" xfId="48056" xr:uid="{00000000-0005-0000-0000-00001F500000}"/>
    <cellStyle name="Separador de milhares 3 2 19 2 4" xfId="15955" xr:uid="{00000000-0005-0000-0000-000020500000}"/>
    <cellStyle name="Separador de milhares 3 2 19 2 4 2" xfId="42148" xr:uid="{00000000-0005-0000-0000-000021500000}"/>
    <cellStyle name="Separador de milhares 3 2 19 2 5" xfId="35762" xr:uid="{00000000-0005-0000-0000-000022500000}"/>
    <cellStyle name="Separador de milhares 3 2 19 3" xfId="24826" xr:uid="{00000000-0005-0000-0000-000023500000}"/>
    <cellStyle name="Separador de milhares 3 2 19 3 2" xfId="51010" xr:uid="{00000000-0005-0000-0000-000024500000}"/>
    <cellStyle name="Separador de milhares 3 2 19 4" xfId="18912" xr:uid="{00000000-0005-0000-0000-000025500000}"/>
    <cellStyle name="Separador de milhares 3 2 19 4 2" xfId="45102" xr:uid="{00000000-0005-0000-0000-000026500000}"/>
    <cellStyle name="Separador de milhares 3 2 19 5" xfId="12802" xr:uid="{00000000-0005-0000-0000-000027500000}"/>
    <cellStyle name="Separador de milhares 3 2 19 5 2" xfId="38995" xr:uid="{00000000-0005-0000-0000-000028500000}"/>
    <cellStyle name="Separador de milhares 3 2 19 6" xfId="32609" xr:uid="{00000000-0005-0000-0000-000029500000}"/>
    <cellStyle name="Separador de milhares 3 2 2" xfId="67" xr:uid="{00000000-0005-0000-0000-00002A500000}"/>
    <cellStyle name="Separador de milhares 3 2 2 10" xfId="2570" xr:uid="{00000000-0005-0000-0000-00002B500000}"/>
    <cellStyle name="Separador de milhares 3 2 2 10 2" xfId="7144" xr:uid="{00000000-0005-0000-0000-00002C500000}"/>
    <cellStyle name="Separador de milhares 3 2 2 10 2 2" xfId="10288" xr:uid="{00000000-0005-0000-0000-00002D500000}"/>
    <cellStyle name="Separador de milhares 3 2 2 10 2 2 2" xfId="28502" xr:uid="{00000000-0005-0000-0000-00002E500000}"/>
    <cellStyle name="Separador de milhares 3 2 2 10 2 2 2 2" xfId="54683" xr:uid="{00000000-0005-0000-0000-00002F500000}"/>
    <cellStyle name="Separador de milhares 3 2 2 10 2 2 3" xfId="22588" xr:uid="{00000000-0005-0000-0000-000030500000}"/>
    <cellStyle name="Separador de milhares 3 2 2 10 2 2 3 2" xfId="48775" xr:uid="{00000000-0005-0000-0000-000031500000}"/>
    <cellStyle name="Separador de milhares 3 2 2 10 2 2 4" xfId="16674" xr:uid="{00000000-0005-0000-0000-000032500000}"/>
    <cellStyle name="Separador de milhares 3 2 2 10 2 2 4 2" xfId="42867" xr:uid="{00000000-0005-0000-0000-000033500000}"/>
    <cellStyle name="Separador de milhares 3 2 2 10 2 2 5" xfId="36481" xr:uid="{00000000-0005-0000-0000-000034500000}"/>
    <cellStyle name="Separador de milhares 3 2 2 10 2 3" xfId="25545" xr:uid="{00000000-0005-0000-0000-000035500000}"/>
    <cellStyle name="Separador de milhares 3 2 2 10 2 3 2" xfId="51729" xr:uid="{00000000-0005-0000-0000-000036500000}"/>
    <cellStyle name="Separador de milhares 3 2 2 10 2 4" xfId="19631" xr:uid="{00000000-0005-0000-0000-000037500000}"/>
    <cellStyle name="Separador de milhares 3 2 2 10 2 4 2" xfId="45821" xr:uid="{00000000-0005-0000-0000-000038500000}"/>
    <cellStyle name="Separador de milhares 3 2 2 10 2 5" xfId="13533" xr:uid="{00000000-0005-0000-0000-000039500000}"/>
    <cellStyle name="Separador de milhares 3 2 2 10 2 5 2" xfId="39726" xr:uid="{00000000-0005-0000-0000-00003A500000}"/>
    <cellStyle name="Separador de milhares 3 2 2 10 2 6" xfId="33340" xr:uid="{00000000-0005-0000-0000-00003B500000}"/>
    <cellStyle name="Separador de milhares 3 2 2 10 3" xfId="8820" xr:uid="{00000000-0005-0000-0000-00003C500000}"/>
    <cellStyle name="Separador de milhares 3 2 2 10 3 2" xfId="27034" xr:uid="{00000000-0005-0000-0000-00003D500000}"/>
    <cellStyle name="Separador de milhares 3 2 2 10 3 2 2" xfId="53215" xr:uid="{00000000-0005-0000-0000-00003E500000}"/>
    <cellStyle name="Separador de milhares 3 2 2 10 3 3" xfId="21120" xr:uid="{00000000-0005-0000-0000-00003F500000}"/>
    <cellStyle name="Separador de milhares 3 2 2 10 3 3 2" xfId="47307" xr:uid="{00000000-0005-0000-0000-000040500000}"/>
    <cellStyle name="Separador de milhares 3 2 2 10 3 4" xfId="15206" xr:uid="{00000000-0005-0000-0000-000041500000}"/>
    <cellStyle name="Separador de milhares 3 2 2 10 3 4 2" xfId="41399" xr:uid="{00000000-0005-0000-0000-000042500000}"/>
    <cellStyle name="Separador de milhares 3 2 2 10 3 5" xfId="35013" xr:uid="{00000000-0005-0000-0000-000043500000}"/>
    <cellStyle name="Separador de milhares 3 2 2 10 4" xfId="5445" xr:uid="{00000000-0005-0000-0000-000044500000}"/>
    <cellStyle name="Separador de milhares 3 2 2 10 4 2" xfId="24077" xr:uid="{00000000-0005-0000-0000-000045500000}"/>
    <cellStyle name="Separador de milhares 3 2 2 10 4 2 2" xfId="50261" xr:uid="{00000000-0005-0000-0000-000046500000}"/>
    <cellStyle name="Separador de milhares 3 2 2 10 4 3" xfId="31641" xr:uid="{00000000-0005-0000-0000-000047500000}"/>
    <cellStyle name="Separador de milhares 3 2 2 10 5" xfId="18163" xr:uid="{00000000-0005-0000-0000-000048500000}"/>
    <cellStyle name="Separador de milhares 3 2 2 10 5 2" xfId="44353" xr:uid="{00000000-0005-0000-0000-000049500000}"/>
    <cellStyle name="Separador de milhares 3 2 2 10 6" xfId="11832" xr:uid="{00000000-0005-0000-0000-00004A500000}"/>
    <cellStyle name="Separador de milhares 3 2 2 10 6 2" xfId="38025" xr:uid="{00000000-0005-0000-0000-00004B500000}"/>
    <cellStyle name="Separador de milhares 3 2 2 10 7" xfId="29943" xr:uid="{00000000-0005-0000-0000-00004C500000}"/>
    <cellStyle name="Separador de milhares 3 2 2 11" xfId="3097" xr:uid="{00000000-0005-0000-0000-00004D500000}"/>
    <cellStyle name="Separador de milhares 3 2 2 11 2" xfId="7291" xr:uid="{00000000-0005-0000-0000-00004E500000}"/>
    <cellStyle name="Separador de milhares 3 2 2 11 2 2" xfId="10435" xr:uid="{00000000-0005-0000-0000-00004F500000}"/>
    <cellStyle name="Separador de milhares 3 2 2 11 2 2 2" xfId="28649" xr:uid="{00000000-0005-0000-0000-000050500000}"/>
    <cellStyle name="Separador de milhares 3 2 2 11 2 2 2 2" xfId="54830" xr:uid="{00000000-0005-0000-0000-000051500000}"/>
    <cellStyle name="Separador de milhares 3 2 2 11 2 2 3" xfId="22735" xr:uid="{00000000-0005-0000-0000-000052500000}"/>
    <cellStyle name="Separador de milhares 3 2 2 11 2 2 3 2" xfId="48922" xr:uid="{00000000-0005-0000-0000-000053500000}"/>
    <cellStyle name="Separador de milhares 3 2 2 11 2 2 4" xfId="16821" xr:uid="{00000000-0005-0000-0000-000054500000}"/>
    <cellStyle name="Separador de milhares 3 2 2 11 2 2 4 2" xfId="43014" xr:uid="{00000000-0005-0000-0000-000055500000}"/>
    <cellStyle name="Separador de milhares 3 2 2 11 2 2 5" xfId="36628" xr:uid="{00000000-0005-0000-0000-000056500000}"/>
    <cellStyle name="Separador de milhares 3 2 2 11 2 3" xfId="25692" xr:uid="{00000000-0005-0000-0000-000057500000}"/>
    <cellStyle name="Separador de milhares 3 2 2 11 2 3 2" xfId="51876" xr:uid="{00000000-0005-0000-0000-000058500000}"/>
    <cellStyle name="Separador de milhares 3 2 2 11 2 4" xfId="19778" xr:uid="{00000000-0005-0000-0000-000059500000}"/>
    <cellStyle name="Separador de milhares 3 2 2 11 2 4 2" xfId="45968" xr:uid="{00000000-0005-0000-0000-00005A500000}"/>
    <cellStyle name="Separador de milhares 3 2 2 11 2 5" xfId="13680" xr:uid="{00000000-0005-0000-0000-00005B500000}"/>
    <cellStyle name="Separador de milhares 3 2 2 11 2 5 2" xfId="39873" xr:uid="{00000000-0005-0000-0000-00005C500000}"/>
    <cellStyle name="Separador de milhares 3 2 2 11 2 6" xfId="33487" xr:uid="{00000000-0005-0000-0000-00005D500000}"/>
    <cellStyle name="Separador de milhares 3 2 2 11 3" xfId="8967" xr:uid="{00000000-0005-0000-0000-00005E500000}"/>
    <cellStyle name="Separador de milhares 3 2 2 11 3 2" xfId="27181" xr:uid="{00000000-0005-0000-0000-00005F500000}"/>
    <cellStyle name="Separador de milhares 3 2 2 11 3 2 2" xfId="53362" xr:uid="{00000000-0005-0000-0000-000060500000}"/>
    <cellStyle name="Separador de milhares 3 2 2 11 3 3" xfId="21267" xr:uid="{00000000-0005-0000-0000-000061500000}"/>
    <cellStyle name="Separador de milhares 3 2 2 11 3 3 2" xfId="47454" xr:uid="{00000000-0005-0000-0000-000062500000}"/>
    <cellStyle name="Separador de milhares 3 2 2 11 3 4" xfId="15353" xr:uid="{00000000-0005-0000-0000-000063500000}"/>
    <cellStyle name="Separador de milhares 3 2 2 11 3 4 2" xfId="41546" xr:uid="{00000000-0005-0000-0000-000064500000}"/>
    <cellStyle name="Separador de milhares 3 2 2 11 3 5" xfId="35160" xr:uid="{00000000-0005-0000-0000-000065500000}"/>
    <cellStyle name="Separador de milhares 3 2 2 11 4" xfId="5592" xr:uid="{00000000-0005-0000-0000-000066500000}"/>
    <cellStyle name="Separador de milhares 3 2 2 11 4 2" xfId="24224" xr:uid="{00000000-0005-0000-0000-000067500000}"/>
    <cellStyle name="Separador de milhares 3 2 2 11 4 2 2" xfId="50408" xr:uid="{00000000-0005-0000-0000-000068500000}"/>
    <cellStyle name="Separador de milhares 3 2 2 11 4 3" xfId="31788" xr:uid="{00000000-0005-0000-0000-000069500000}"/>
    <cellStyle name="Separador de milhares 3 2 2 11 5" xfId="18310" xr:uid="{00000000-0005-0000-0000-00006A500000}"/>
    <cellStyle name="Separador de milhares 3 2 2 11 5 2" xfId="44500" xr:uid="{00000000-0005-0000-0000-00006B500000}"/>
    <cellStyle name="Separador de milhares 3 2 2 11 6" xfId="11979" xr:uid="{00000000-0005-0000-0000-00006C500000}"/>
    <cellStyle name="Separador de milhares 3 2 2 11 6 2" xfId="38172" xr:uid="{00000000-0005-0000-0000-00006D500000}"/>
    <cellStyle name="Separador de milhares 3 2 2 11 7" xfId="30090" xr:uid="{00000000-0005-0000-0000-00006E500000}"/>
    <cellStyle name="Separador de milhares 3 2 2 12" xfId="3624" xr:uid="{00000000-0005-0000-0000-00006F500000}"/>
    <cellStyle name="Separador de milhares 3 2 2 12 2" xfId="7438" xr:uid="{00000000-0005-0000-0000-000070500000}"/>
    <cellStyle name="Separador de milhares 3 2 2 12 2 2" xfId="10582" xr:uid="{00000000-0005-0000-0000-000071500000}"/>
    <cellStyle name="Separador de milhares 3 2 2 12 2 2 2" xfId="28796" xr:uid="{00000000-0005-0000-0000-000072500000}"/>
    <cellStyle name="Separador de milhares 3 2 2 12 2 2 2 2" xfId="54977" xr:uid="{00000000-0005-0000-0000-000073500000}"/>
    <cellStyle name="Separador de milhares 3 2 2 12 2 2 3" xfId="22882" xr:uid="{00000000-0005-0000-0000-000074500000}"/>
    <cellStyle name="Separador de milhares 3 2 2 12 2 2 3 2" xfId="49069" xr:uid="{00000000-0005-0000-0000-000075500000}"/>
    <cellStyle name="Separador de milhares 3 2 2 12 2 2 4" xfId="16968" xr:uid="{00000000-0005-0000-0000-000076500000}"/>
    <cellStyle name="Separador de milhares 3 2 2 12 2 2 4 2" xfId="43161" xr:uid="{00000000-0005-0000-0000-000077500000}"/>
    <cellStyle name="Separador de milhares 3 2 2 12 2 2 5" xfId="36775" xr:uid="{00000000-0005-0000-0000-000078500000}"/>
    <cellStyle name="Separador de milhares 3 2 2 12 2 3" xfId="25839" xr:uid="{00000000-0005-0000-0000-000079500000}"/>
    <cellStyle name="Separador de milhares 3 2 2 12 2 3 2" xfId="52023" xr:uid="{00000000-0005-0000-0000-00007A500000}"/>
    <cellStyle name="Separador de milhares 3 2 2 12 2 4" xfId="19925" xr:uid="{00000000-0005-0000-0000-00007B500000}"/>
    <cellStyle name="Separador de milhares 3 2 2 12 2 4 2" xfId="46115" xr:uid="{00000000-0005-0000-0000-00007C500000}"/>
    <cellStyle name="Separador de milhares 3 2 2 12 2 5" xfId="13827" xr:uid="{00000000-0005-0000-0000-00007D500000}"/>
    <cellStyle name="Separador de milhares 3 2 2 12 2 5 2" xfId="40020" xr:uid="{00000000-0005-0000-0000-00007E500000}"/>
    <cellStyle name="Separador de milhares 3 2 2 12 2 6" xfId="33634" xr:uid="{00000000-0005-0000-0000-00007F500000}"/>
    <cellStyle name="Separador de milhares 3 2 2 12 3" xfId="9114" xr:uid="{00000000-0005-0000-0000-000080500000}"/>
    <cellStyle name="Separador de milhares 3 2 2 12 3 2" xfId="27328" xr:uid="{00000000-0005-0000-0000-000081500000}"/>
    <cellStyle name="Separador de milhares 3 2 2 12 3 2 2" xfId="53509" xr:uid="{00000000-0005-0000-0000-000082500000}"/>
    <cellStyle name="Separador de milhares 3 2 2 12 3 3" xfId="21414" xr:uid="{00000000-0005-0000-0000-000083500000}"/>
    <cellStyle name="Separador de milhares 3 2 2 12 3 3 2" xfId="47601" xr:uid="{00000000-0005-0000-0000-000084500000}"/>
    <cellStyle name="Separador de milhares 3 2 2 12 3 4" xfId="15500" xr:uid="{00000000-0005-0000-0000-000085500000}"/>
    <cellStyle name="Separador de milhares 3 2 2 12 3 4 2" xfId="41693" xr:uid="{00000000-0005-0000-0000-000086500000}"/>
    <cellStyle name="Separador de milhares 3 2 2 12 3 5" xfId="35307" xr:uid="{00000000-0005-0000-0000-000087500000}"/>
    <cellStyle name="Separador de milhares 3 2 2 12 4" xfId="5739" xr:uid="{00000000-0005-0000-0000-000088500000}"/>
    <cellStyle name="Separador de milhares 3 2 2 12 4 2" xfId="24371" xr:uid="{00000000-0005-0000-0000-000089500000}"/>
    <cellStyle name="Separador de milhares 3 2 2 12 4 2 2" xfId="50555" xr:uid="{00000000-0005-0000-0000-00008A500000}"/>
    <cellStyle name="Separador de milhares 3 2 2 12 4 3" xfId="31935" xr:uid="{00000000-0005-0000-0000-00008B500000}"/>
    <cellStyle name="Separador de milhares 3 2 2 12 5" xfId="18457" xr:uid="{00000000-0005-0000-0000-00008C500000}"/>
    <cellStyle name="Separador de milhares 3 2 2 12 5 2" xfId="44647" xr:uid="{00000000-0005-0000-0000-00008D500000}"/>
    <cellStyle name="Separador de milhares 3 2 2 12 6" xfId="12126" xr:uid="{00000000-0005-0000-0000-00008E500000}"/>
    <cellStyle name="Separador de milhares 3 2 2 12 6 2" xfId="38319" xr:uid="{00000000-0005-0000-0000-00008F500000}"/>
    <cellStyle name="Separador de milhares 3 2 2 12 7" xfId="30237" xr:uid="{00000000-0005-0000-0000-000090500000}"/>
    <cellStyle name="Separador de milhares 3 2 2 13" xfId="6422" xr:uid="{00000000-0005-0000-0000-000091500000}"/>
    <cellStyle name="Separador de milhares 3 2 2 13 2" xfId="9578" xr:uid="{00000000-0005-0000-0000-000092500000}"/>
    <cellStyle name="Separador de milhares 3 2 2 13 2 2" xfId="27792" xr:uid="{00000000-0005-0000-0000-000093500000}"/>
    <cellStyle name="Separador de milhares 3 2 2 13 2 2 2" xfId="53973" xr:uid="{00000000-0005-0000-0000-000094500000}"/>
    <cellStyle name="Separador de milhares 3 2 2 13 2 3" xfId="21878" xr:uid="{00000000-0005-0000-0000-000095500000}"/>
    <cellStyle name="Separador de milhares 3 2 2 13 2 3 2" xfId="48065" xr:uid="{00000000-0005-0000-0000-000096500000}"/>
    <cellStyle name="Separador de milhares 3 2 2 13 2 4" xfId="15964" xr:uid="{00000000-0005-0000-0000-000097500000}"/>
    <cellStyle name="Separador de milhares 3 2 2 13 2 4 2" xfId="42157" xr:uid="{00000000-0005-0000-0000-000098500000}"/>
    <cellStyle name="Separador de milhares 3 2 2 13 2 5" xfId="35771" xr:uid="{00000000-0005-0000-0000-000099500000}"/>
    <cellStyle name="Separador de milhares 3 2 2 13 3" xfId="24835" xr:uid="{00000000-0005-0000-0000-00009A500000}"/>
    <cellStyle name="Separador de milhares 3 2 2 13 3 2" xfId="51019" xr:uid="{00000000-0005-0000-0000-00009B500000}"/>
    <cellStyle name="Separador de milhares 3 2 2 13 4" xfId="18921" xr:uid="{00000000-0005-0000-0000-00009C500000}"/>
    <cellStyle name="Separador de milhares 3 2 2 13 4 2" xfId="45111" xr:uid="{00000000-0005-0000-0000-00009D500000}"/>
    <cellStyle name="Separador de milhares 3 2 2 13 5" xfId="12811" xr:uid="{00000000-0005-0000-0000-00009E500000}"/>
    <cellStyle name="Separador de milhares 3 2 2 13 5 2" xfId="39004" xr:uid="{00000000-0005-0000-0000-00009F500000}"/>
    <cellStyle name="Separador de milhares 3 2 2 13 6" xfId="32618" xr:uid="{00000000-0005-0000-0000-0000A0500000}"/>
    <cellStyle name="Separador de milhares 3 2 2 14" xfId="8107" xr:uid="{00000000-0005-0000-0000-0000A1500000}"/>
    <cellStyle name="Separador de milhares 3 2 2 14 2" xfId="26321" xr:uid="{00000000-0005-0000-0000-0000A2500000}"/>
    <cellStyle name="Separador de milhares 3 2 2 14 2 2" xfId="52505" xr:uid="{00000000-0005-0000-0000-0000A3500000}"/>
    <cellStyle name="Separador de milhares 3 2 2 14 3" xfId="20407" xr:uid="{00000000-0005-0000-0000-0000A4500000}"/>
    <cellStyle name="Separador de milhares 3 2 2 14 3 2" xfId="46597" xr:uid="{00000000-0005-0000-0000-0000A5500000}"/>
    <cellStyle name="Separador de milhares 3 2 2 14 4" xfId="14496" xr:uid="{00000000-0005-0000-0000-0000A6500000}"/>
    <cellStyle name="Separador de milhares 3 2 2 14 4 2" xfId="40689" xr:uid="{00000000-0005-0000-0000-0000A7500000}"/>
    <cellStyle name="Separador de milhares 3 2 2 14 5" xfId="34303" xr:uid="{00000000-0005-0000-0000-0000A8500000}"/>
    <cellStyle name="Separador de milhares 3 2 2 15" xfId="4720" xr:uid="{00000000-0005-0000-0000-0000A9500000}"/>
    <cellStyle name="Separador de milhares 3 2 2 15 2" xfId="23364" xr:uid="{00000000-0005-0000-0000-0000AA500000}"/>
    <cellStyle name="Separador de milhares 3 2 2 15 2 2" xfId="49551" xr:uid="{00000000-0005-0000-0000-0000AB500000}"/>
    <cellStyle name="Separador de milhares 3 2 2 15 3" xfId="30919" xr:uid="{00000000-0005-0000-0000-0000AC500000}"/>
    <cellStyle name="Separador de milhares 3 2 2 16" xfId="17450" xr:uid="{00000000-0005-0000-0000-0000AD500000}"/>
    <cellStyle name="Separador de milhares 3 2 2 16 2" xfId="43643" xr:uid="{00000000-0005-0000-0000-0000AE500000}"/>
    <cellStyle name="Separador de milhares 3 2 2 17" xfId="11110" xr:uid="{00000000-0005-0000-0000-0000AF500000}"/>
    <cellStyle name="Separador de milhares 3 2 2 17 2" xfId="37303" xr:uid="{00000000-0005-0000-0000-0000B0500000}"/>
    <cellStyle name="Separador de milhares 3 2 2 18" xfId="29221" xr:uid="{00000000-0005-0000-0000-0000B1500000}"/>
    <cellStyle name="Separador de milhares 3 2 2 2" xfId="161" xr:uid="{00000000-0005-0000-0000-0000B2500000}"/>
    <cellStyle name="Separador de milhares 3 2 2 2 10" xfId="6451" xr:uid="{00000000-0005-0000-0000-0000B3500000}"/>
    <cellStyle name="Separador de milhares 3 2 2 2 10 2" xfId="9605" xr:uid="{00000000-0005-0000-0000-0000B4500000}"/>
    <cellStyle name="Separador de milhares 3 2 2 2 10 2 2" xfId="27819" xr:uid="{00000000-0005-0000-0000-0000B5500000}"/>
    <cellStyle name="Separador de milhares 3 2 2 2 10 2 2 2" xfId="54000" xr:uid="{00000000-0005-0000-0000-0000B6500000}"/>
    <cellStyle name="Separador de milhares 3 2 2 2 10 2 3" xfId="21905" xr:uid="{00000000-0005-0000-0000-0000B7500000}"/>
    <cellStyle name="Separador de milhares 3 2 2 2 10 2 3 2" xfId="48092" xr:uid="{00000000-0005-0000-0000-0000B8500000}"/>
    <cellStyle name="Separador de milhares 3 2 2 2 10 2 4" xfId="15991" xr:uid="{00000000-0005-0000-0000-0000B9500000}"/>
    <cellStyle name="Separador de milhares 3 2 2 2 10 2 4 2" xfId="42184" xr:uid="{00000000-0005-0000-0000-0000BA500000}"/>
    <cellStyle name="Separador de milhares 3 2 2 2 10 2 5" xfId="35798" xr:uid="{00000000-0005-0000-0000-0000BB500000}"/>
    <cellStyle name="Separador de milhares 3 2 2 2 10 3" xfId="24862" xr:uid="{00000000-0005-0000-0000-0000BC500000}"/>
    <cellStyle name="Separador de milhares 3 2 2 2 10 3 2" xfId="51046" xr:uid="{00000000-0005-0000-0000-0000BD500000}"/>
    <cellStyle name="Separador de milhares 3 2 2 2 10 4" xfId="18948" xr:uid="{00000000-0005-0000-0000-0000BE500000}"/>
    <cellStyle name="Separador de milhares 3 2 2 2 10 4 2" xfId="45138" xr:uid="{00000000-0005-0000-0000-0000BF500000}"/>
    <cellStyle name="Separador de milhares 3 2 2 2 10 5" xfId="12840" xr:uid="{00000000-0005-0000-0000-0000C0500000}"/>
    <cellStyle name="Separador de milhares 3 2 2 2 10 5 2" xfId="39033" xr:uid="{00000000-0005-0000-0000-0000C1500000}"/>
    <cellStyle name="Separador de milhares 3 2 2 2 10 6" xfId="32647" xr:uid="{00000000-0005-0000-0000-0000C2500000}"/>
    <cellStyle name="Separador de milhares 3 2 2 2 11" xfId="8134" xr:uid="{00000000-0005-0000-0000-0000C3500000}"/>
    <cellStyle name="Separador de milhares 3 2 2 2 11 2" xfId="26348" xr:uid="{00000000-0005-0000-0000-0000C4500000}"/>
    <cellStyle name="Separador de milhares 3 2 2 2 11 2 2" xfId="52532" xr:uid="{00000000-0005-0000-0000-0000C5500000}"/>
    <cellStyle name="Separador de milhares 3 2 2 2 11 3" xfId="20434" xr:uid="{00000000-0005-0000-0000-0000C6500000}"/>
    <cellStyle name="Separador de milhares 3 2 2 2 11 3 2" xfId="46624" xr:uid="{00000000-0005-0000-0000-0000C7500000}"/>
    <cellStyle name="Separador de milhares 3 2 2 2 11 4" xfId="14523" xr:uid="{00000000-0005-0000-0000-0000C8500000}"/>
    <cellStyle name="Separador de milhares 3 2 2 2 11 4 2" xfId="40716" xr:uid="{00000000-0005-0000-0000-0000C9500000}"/>
    <cellStyle name="Separador de milhares 3 2 2 2 11 5" xfId="34330" xr:uid="{00000000-0005-0000-0000-0000CA500000}"/>
    <cellStyle name="Separador de milhares 3 2 2 2 12" xfId="4750" xr:uid="{00000000-0005-0000-0000-0000CB500000}"/>
    <cellStyle name="Separador de milhares 3 2 2 2 12 2" xfId="23391" xr:uid="{00000000-0005-0000-0000-0000CC500000}"/>
    <cellStyle name="Separador de milhares 3 2 2 2 12 2 2" xfId="49578" xr:uid="{00000000-0005-0000-0000-0000CD500000}"/>
    <cellStyle name="Separador de milhares 3 2 2 2 12 3" xfId="30948" xr:uid="{00000000-0005-0000-0000-0000CE500000}"/>
    <cellStyle name="Separador de milhares 3 2 2 2 13" xfId="17477" xr:uid="{00000000-0005-0000-0000-0000CF500000}"/>
    <cellStyle name="Separador de milhares 3 2 2 2 13 2" xfId="43670" xr:uid="{00000000-0005-0000-0000-0000D0500000}"/>
    <cellStyle name="Separador de milhares 3 2 2 2 14" xfId="11139" xr:uid="{00000000-0005-0000-0000-0000D1500000}"/>
    <cellStyle name="Separador de milhares 3 2 2 2 14 2" xfId="37332" xr:uid="{00000000-0005-0000-0000-0000D2500000}"/>
    <cellStyle name="Separador de milhares 3 2 2 2 15" xfId="29251" xr:uid="{00000000-0005-0000-0000-0000D3500000}"/>
    <cellStyle name="Separador de milhares 3 2 2 2 2" xfId="434" xr:uid="{00000000-0005-0000-0000-0000D4500000}"/>
    <cellStyle name="Separador de milhares 3 2 2 2 2 10" xfId="17551" xr:uid="{00000000-0005-0000-0000-0000D5500000}"/>
    <cellStyle name="Separador de milhares 3 2 2 2 2 10 2" xfId="43744" xr:uid="{00000000-0005-0000-0000-0000D6500000}"/>
    <cellStyle name="Separador de milhares 3 2 2 2 2 11" xfId="11220" xr:uid="{00000000-0005-0000-0000-0000D7500000}"/>
    <cellStyle name="Separador de milhares 3 2 2 2 2 11 2" xfId="37413" xr:uid="{00000000-0005-0000-0000-0000D8500000}"/>
    <cellStyle name="Separador de milhares 3 2 2 2 2 12" xfId="29331" xr:uid="{00000000-0005-0000-0000-0000D9500000}"/>
    <cellStyle name="Separador de milhares 3 2 2 2 2 2" xfId="1953" xr:uid="{00000000-0005-0000-0000-0000DA500000}"/>
    <cellStyle name="Separador de milhares 3 2 2 2 2 2 2" xfId="6970" xr:uid="{00000000-0005-0000-0000-0000DB500000}"/>
    <cellStyle name="Separador de milhares 3 2 2 2 2 2 2 2" xfId="10117" xr:uid="{00000000-0005-0000-0000-0000DC500000}"/>
    <cellStyle name="Separador de milhares 3 2 2 2 2 2 2 2 2" xfId="28331" xr:uid="{00000000-0005-0000-0000-0000DD500000}"/>
    <cellStyle name="Separador de milhares 3 2 2 2 2 2 2 2 2 2" xfId="54512" xr:uid="{00000000-0005-0000-0000-0000DE500000}"/>
    <cellStyle name="Separador de milhares 3 2 2 2 2 2 2 2 3" xfId="22417" xr:uid="{00000000-0005-0000-0000-0000DF500000}"/>
    <cellStyle name="Separador de milhares 3 2 2 2 2 2 2 2 3 2" xfId="48604" xr:uid="{00000000-0005-0000-0000-0000E0500000}"/>
    <cellStyle name="Separador de milhares 3 2 2 2 2 2 2 2 4" xfId="16503" xr:uid="{00000000-0005-0000-0000-0000E1500000}"/>
    <cellStyle name="Separador de milhares 3 2 2 2 2 2 2 2 4 2" xfId="42696" xr:uid="{00000000-0005-0000-0000-0000E2500000}"/>
    <cellStyle name="Separador de milhares 3 2 2 2 2 2 2 2 5" xfId="36310" xr:uid="{00000000-0005-0000-0000-0000E3500000}"/>
    <cellStyle name="Separador de milhares 3 2 2 2 2 2 2 3" xfId="25374" xr:uid="{00000000-0005-0000-0000-0000E4500000}"/>
    <cellStyle name="Separador de milhares 3 2 2 2 2 2 2 3 2" xfId="51558" xr:uid="{00000000-0005-0000-0000-0000E5500000}"/>
    <cellStyle name="Separador de milhares 3 2 2 2 2 2 2 4" xfId="19460" xr:uid="{00000000-0005-0000-0000-0000E6500000}"/>
    <cellStyle name="Separador de milhares 3 2 2 2 2 2 2 4 2" xfId="45650" xr:uid="{00000000-0005-0000-0000-0000E7500000}"/>
    <cellStyle name="Separador de milhares 3 2 2 2 2 2 2 5" xfId="13359" xr:uid="{00000000-0005-0000-0000-0000E8500000}"/>
    <cellStyle name="Separador de milhares 3 2 2 2 2 2 2 5 2" xfId="39552" xr:uid="{00000000-0005-0000-0000-0000E9500000}"/>
    <cellStyle name="Separador de milhares 3 2 2 2 2 2 2 6" xfId="33166" xr:uid="{00000000-0005-0000-0000-0000EA500000}"/>
    <cellStyle name="Separador de milhares 3 2 2 2 2 2 3" xfId="8649" xr:uid="{00000000-0005-0000-0000-0000EB500000}"/>
    <cellStyle name="Separador de milhares 3 2 2 2 2 2 3 2" xfId="26863" xr:uid="{00000000-0005-0000-0000-0000EC500000}"/>
    <cellStyle name="Separador de milhares 3 2 2 2 2 2 3 2 2" xfId="53044" xr:uid="{00000000-0005-0000-0000-0000ED500000}"/>
    <cellStyle name="Separador de milhares 3 2 2 2 2 2 3 3" xfId="20949" xr:uid="{00000000-0005-0000-0000-0000EE500000}"/>
    <cellStyle name="Separador de milhares 3 2 2 2 2 2 3 3 2" xfId="47136" xr:uid="{00000000-0005-0000-0000-0000EF500000}"/>
    <cellStyle name="Separador de milhares 3 2 2 2 2 2 3 4" xfId="15035" xr:uid="{00000000-0005-0000-0000-0000F0500000}"/>
    <cellStyle name="Separador de milhares 3 2 2 2 2 2 3 4 2" xfId="41228" xr:uid="{00000000-0005-0000-0000-0000F1500000}"/>
    <cellStyle name="Separador de milhares 3 2 2 2 2 2 3 5" xfId="34842" xr:uid="{00000000-0005-0000-0000-0000F2500000}"/>
    <cellStyle name="Separador de milhares 3 2 2 2 2 2 4" xfId="5271" xr:uid="{00000000-0005-0000-0000-0000F3500000}"/>
    <cellStyle name="Separador de milhares 3 2 2 2 2 2 4 2" xfId="23906" xr:uid="{00000000-0005-0000-0000-0000F4500000}"/>
    <cellStyle name="Separador de milhares 3 2 2 2 2 2 4 2 2" xfId="50090" xr:uid="{00000000-0005-0000-0000-0000F5500000}"/>
    <cellStyle name="Separador de milhares 3 2 2 2 2 2 4 3" xfId="31467" xr:uid="{00000000-0005-0000-0000-0000F6500000}"/>
    <cellStyle name="Separador de milhares 3 2 2 2 2 2 5" xfId="17992" xr:uid="{00000000-0005-0000-0000-0000F7500000}"/>
    <cellStyle name="Separador de milhares 3 2 2 2 2 2 5 2" xfId="44182" xr:uid="{00000000-0005-0000-0000-0000F8500000}"/>
    <cellStyle name="Separador de milhares 3 2 2 2 2 2 6" xfId="11658" xr:uid="{00000000-0005-0000-0000-0000F9500000}"/>
    <cellStyle name="Separador de milhares 3 2 2 2 2 2 6 2" xfId="37851" xr:uid="{00000000-0005-0000-0000-0000FA500000}"/>
    <cellStyle name="Separador de milhares 3 2 2 2 2 2 7" xfId="29769" xr:uid="{00000000-0005-0000-0000-0000FB500000}"/>
    <cellStyle name="Separador de milhares 3 2 2 2 2 3" xfId="2483" xr:uid="{00000000-0005-0000-0000-0000FC500000}"/>
    <cellStyle name="Separador de milhares 3 2 2 2 2 3 2" xfId="7120" xr:uid="{00000000-0005-0000-0000-0000FD500000}"/>
    <cellStyle name="Separador de milhares 3 2 2 2 2 3 2 2" xfId="10264" xr:uid="{00000000-0005-0000-0000-0000FE500000}"/>
    <cellStyle name="Separador de milhares 3 2 2 2 2 3 2 2 2" xfId="28478" xr:uid="{00000000-0005-0000-0000-0000FF500000}"/>
    <cellStyle name="Separador de milhares 3 2 2 2 2 3 2 2 2 2" xfId="54659" xr:uid="{00000000-0005-0000-0000-000000510000}"/>
    <cellStyle name="Separador de milhares 3 2 2 2 2 3 2 2 3" xfId="22564" xr:uid="{00000000-0005-0000-0000-000001510000}"/>
    <cellStyle name="Separador de milhares 3 2 2 2 2 3 2 2 3 2" xfId="48751" xr:uid="{00000000-0005-0000-0000-000002510000}"/>
    <cellStyle name="Separador de milhares 3 2 2 2 2 3 2 2 4" xfId="16650" xr:uid="{00000000-0005-0000-0000-000003510000}"/>
    <cellStyle name="Separador de milhares 3 2 2 2 2 3 2 2 4 2" xfId="42843" xr:uid="{00000000-0005-0000-0000-000004510000}"/>
    <cellStyle name="Separador de milhares 3 2 2 2 2 3 2 2 5" xfId="36457" xr:uid="{00000000-0005-0000-0000-000005510000}"/>
    <cellStyle name="Separador de milhares 3 2 2 2 2 3 2 3" xfId="25521" xr:uid="{00000000-0005-0000-0000-000006510000}"/>
    <cellStyle name="Separador de milhares 3 2 2 2 2 3 2 3 2" xfId="51705" xr:uid="{00000000-0005-0000-0000-000007510000}"/>
    <cellStyle name="Separador de milhares 3 2 2 2 2 3 2 4" xfId="19607" xr:uid="{00000000-0005-0000-0000-000008510000}"/>
    <cellStyle name="Separador de milhares 3 2 2 2 2 3 2 4 2" xfId="45797" xr:uid="{00000000-0005-0000-0000-000009510000}"/>
    <cellStyle name="Separador de milhares 3 2 2 2 2 3 2 5" xfId="13509" xr:uid="{00000000-0005-0000-0000-00000A510000}"/>
    <cellStyle name="Separador de milhares 3 2 2 2 2 3 2 5 2" xfId="39702" xr:uid="{00000000-0005-0000-0000-00000B510000}"/>
    <cellStyle name="Separador de milhares 3 2 2 2 2 3 2 6" xfId="33316" xr:uid="{00000000-0005-0000-0000-00000C510000}"/>
    <cellStyle name="Separador de milhares 3 2 2 2 2 3 3" xfId="8796" xr:uid="{00000000-0005-0000-0000-00000D510000}"/>
    <cellStyle name="Separador de milhares 3 2 2 2 2 3 3 2" xfId="27010" xr:uid="{00000000-0005-0000-0000-00000E510000}"/>
    <cellStyle name="Separador de milhares 3 2 2 2 2 3 3 2 2" xfId="53191" xr:uid="{00000000-0005-0000-0000-00000F510000}"/>
    <cellStyle name="Separador de milhares 3 2 2 2 2 3 3 3" xfId="21096" xr:uid="{00000000-0005-0000-0000-000010510000}"/>
    <cellStyle name="Separador de milhares 3 2 2 2 2 3 3 3 2" xfId="47283" xr:uid="{00000000-0005-0000-0000-000011510000}"/>
    <cellStyle name="Separador de milhares 3 2 2 2 2 3 3 4" xfId="15182" xr:uid="{00000000-0005-0000-0000-000012510000}"/>
    <cellStyle name="Separador de milhares 3 2 2 2 2 3 3 4 2" xfId="41375" xr:uid="{00000000-0005-0000-0000-000013510000}"/>
    <cellStyle name="Separador de milhares 3 2 2 2 2 3 3 5" xfId="34989" xr:uid="{00000000-0005-0000-0000-000014510000}"/>
    <cellStyle name="Separador de milhares 3 2 2 2 2 3 4" xfId="5421" xr:uid="{00000000-0005-0000-0000-000015510000}"/>
    <cellStyle name="Separador de milhares 3 2 2 2 2 3 4 2" xfId="24053" xr:uid="{00000000-0005-0000-0000-000016510000}"/>
    <cellStyle name="Separador de milhares 3 2 2 2 2 3 4 2 2" xfId="50237" xr:uid="{00000000-0005-0000-0000-000017510000}"/>
    <cellStyle name="Separador de milhares 3 2 2 2 2 3 4 3" xfId="31617" xr:uid="{00000000-0005-0000-0000-000018510000}"/>
    <cellStyle name="Separador de milhares 3 2 2 2 2 3 5" xfId="18139" xr:uid="{00000000-0005-0000-0000-000019510000}"/>
    <cellStyle name="Separador de milhares 3 2 2 2 2 3 5 2" xfId="44329" xr:uid="{00000000-0005-0000-0000-00001A510000}"/>
    <cellStyle name="Separador de milhares 3 2 2 2 2 3 6" xfId="11808" xr:uid="{00000000-0005-0000-0000-00001B510000}"/>
    <cellStyle name="Separador de milhares 3 2 2 2 2 3 6 2" xfId="38001" xr:uid="{00000000-0005-0000-0000-00001C510000}"/>
    <cellStyle name="Separador de milhares 3 2 2 2 2 3 7" xfId="29919" xr:uid="{00000000-0005-0000-0000-00001D510000}"/>
    <cellStyle name="Separador de milhares 3 2 2 2 2 4" xfId="3010" xr:uid="{00000000-0005-0000-0000-00001E510000}"/>
    <cellStyle name="Separador de milhares 3 2 2 2 2 4 2" xfId="7267" xr:uid="{00000000-0005-0000-0000-00001F510000}"/>
    <cellStyle name="Separador de milhares 3 2 2 2 2 4 2 2" xfId="10411" xr:uid="{00000000-0005-0000-0000-000020510000}"/>
    <cellStyle name="Separador de milhares 3 2 2 2 2 4 2 2 2" xfId="28625" xr:uid="{00000000-0005-0000-0000-000021510000}"/>
    <cellStyle name="Separador de milhares 3 2 2 2 2 4 2 2 2 2" xfId="54806" xr:uid="{00000000-0005-0000-0000-000022510000}"/>
    <cellStyle name="Separador de milhares 3 2 2 2 2 4 2 2 3" xfId="22711" xr:uid="{00000000-0005-0000-0000-000023510000}"/>
    <cellStyle name="Separador de milhares 3 2 2 2 2 4 2 2 3 2" xfId="48898" xr:uid="{00000000-0005-0000-0000-000024510000}"/>
    <cellStyle name="Separador de milhares 3 2 2 2 2 4 2 2 4" xfId="16797" xr:uid="{00000000-0005-0000-0000-000025510000}"/>
    <cellStyle name="Separador de milhares 3 2 2 2 2 4 2 2 4 2" xfId="42990" xr:uid="{00000000-0005-0000-0000-000026510000}"/>
    <cellStyle name="Separador de milhares 3 2 2 2 2 4 2 2 5" xfId="36604" xr:uid="{00000000-0005-0000-0000-000027510000}"/>
    <cellStyle name="Separador de milhares 3 2 2 2 2 4 2 3" xfId="25668" xr:uid="{00000000-0005-0000-0000-000028510000}"/>
    <cellStyle name="Separador de milhares 3 2 2 2 2 4 2 3 2" xfId="51852" xr:uid="{00000000-0005-0000-0000-000029510000}"/>
    <cellStyle name="Separador de milhares 3 2 2 2 2 4 2 4" xfId="19754" xr:uid="{00000000-0005-0000-0000-00002A510000}"/>
    <cellStyle name="Separador de milhares 3 2 2 2 2 4 2 4 2" xfId="45944" xr:uid="{00000000-0005-0000-0000-00002B510000}"/>
    <cellStyle name="Separador de milhares 3 2 2 2 2 4 2 5" xfId="13656" xr:uid="{00000000-0005-0000-0000-00002C510000}"/>
    <cellStyle name="Separador de milhares 3 2 2 2 2 4 2 5 2" xfId="39849" xr:uid="{00000000-0005-0000-0000-00002D510000}"/>
    <cellStyle name="Separador de milhares 3 2 2 2 2 4 2 6" xfId="33463" xr:uid="{00000000-0005-0000-0000-00002E510000}"/>
    <cellStyle name="Separador de milhares 3 2 2 2 2 4 3" xfId="8943" xr:uid="{00000000-0005-0000-0000-00002F510000}"/>
    <cellStyle name="Separador de milhares 3 2 2 2 2 4 3 2" xfId="27157" xr:uid="{00000000-0005-0000-0000-000030510000}"/>
    <cellStyle name="Separador de milhares 3 2 2 2 2 4 3 2 2" xfId="53338" xr:uid="{00000000-0005-0000-0000-000031510000}"/>
    <cellStyle name="Separador de milhares 3 2 2 2 2 4 3 3" xfId="21243" xr:uid="{00000000-0005-0000-0000-000032510000}"/>
    <cellStyle name="Separador de milhares 3 2 2 2 2 4 3 3 2" xfId="47430" xr:uid="{00000000-0005-0000-0000-000033510000}"/>
    <cellStyle name="Separador de milhares 3 2 2 2 2 4 3 4" xfId="15329" xr:uid="{00000000-0005-0000-0000-000034510000}"/>
    <cellStyle name="Separador de milhares 3 2 2 2 2 4 3 4 2" xfId="41522" xr:uid="{00000000-0005-0000-0000-000035510000}"/>
    <cellStyle name="Separador de milhares 3 2 2 2 2 4 3 5" xfId="35136" xr:uid="{00000000-0005-0000-0000-000036510000}"/>
    <cellStyle name="Separador de milhares 3 2 2 2 2 4 4" xfId="5568" xr:uid="{00000000-0005-0000-0000-000037510000}"/>
    <cellStyle name="Separador de milhares 3 2 2 2 2 4 4 2" xfId="24200" xr:uid="{00000000-0005-0000-0000-000038510000}"/>
    <cellStyle name="Separador de milhares 3 2 2 2 2 4 4 2 2" xfId="50384" xr:uid="{00000000-0005-0000-0000-000039510000}"/>
    <cellStyle name="Separador de milhares 3 2 2 2 2 4 4 3" xfId="31764" xr:uid="{00000000-0005-0000-0000-00003A510000}"/>
    <cellStyle name="Separador de milhares 3 2 2 2 2 4 5" xfId="18286" xr:uid="{00000000-0005-0000-0000-00003B510000}"/>
    <cellStyle name="Separador de milhares 3 2 2 2 2 4 5 2" xfId="44476" xr:uid="{00000000-0005-0000-0000-00003C510000}"/>
    <cellStyle name="Separador de milhares 3 2 2 2 2 4 6" xfId="11955" xr:uid="{00000000-0005-0000-0000-00003D510000}"/>
    <cellStyle name="Separador de milhares 3 2 2 2 2 4 6 2" xfId="38148" xr:uid="{00000000-0005-0000-0000-00003E510000}"/>
    <cellStyle name="Separador de milhares 3 2 2 2 2 4 7" xfId="30066" xr:uid="{00000000-0005-0000-0000-00003F510000}"/>
    <cellStyle name="Separador de milhares 3 2 2 2 2 5" xfId="3537" xr:uid="{00000000-0005-0000-0000-000040510000}"/>
    <cellStyle name="Separador de milhares 3 2 2 2 2 5 2" xfId="7414" xr:uid="{00000000-0005-0000-0000-000041510000}"/>
    <cellStyle name="Separador de milhares 3 2 2 2 2 5 2 2" xfId="10558" xr:uid="{00000000-0005-0000-0000-000042510000}"/>
    <cellStyle name="Separador de milhares 3 2 2 2 2 5 2 2 2" xfId="28772" xr:uid="{00000000-0005-0000-0000-000043510000}"/>
    <cellStyle name="Separador de milhares 3 2 2 2 2 5 2 2 2 2" xfId="54953" xr:uid="{00000000-0005-0000-0000-000044510000}"/>
    <cellStyle name="Separador de milhares 3 2 2 2 2 5 2 2 3" xfId="22858" xr:uid="{00000000-0005-0000-0000-000045510000}"/>
    <cellStyle name="Separador de milhares 3 2 2 2 2 5 2 2 3 2" xfId="49045" xr:uid="{00000000-0005-0000-0000-000046510000}"/>
    <cellStyle name="Separador de milhares 3 2 2 2 2 5 2 2 4" xfId="16944" xr:uid="{00000000-0005-0000-0000-000047510000}"/>
    <cellStyle name="Separador de milhares 3 2 2 2 2 5 2 2 4 2" xfId="43137" xr:uid="{00000000-0005-0000-0000-000048510000}"/>
    <cellStyle name="Separador de milhares 3 2 2 2 2 5 2 2 5" xfId="36751" xr:uid="{00000000-0005-0000-0000-000049510000}"/>
    <cellStyle name="Separador de milhares 3 2 2 2 2 5 2 3" xfId="25815" xr:uid="{00000000-0005-0000-0000-00004A510000}"/>
    <cellStyle name="Separador de milhares 3 2 2 2 2 5 2 3 2" xfId="51999" xr:uid="{00000000-0005-0000-0000-00004B510000}"/>
    <cellStyle name="Separador de milhares 3 2 2 2 2 5 2 4" xfId="19901" xr:uid="{00000000-0005-0000-0000-00004C510000}"/>
    <cellStyle name="Separador de milhares 3 2 2 2 2 5 2 4 2" xfId="46091" xr:uid="{00000000-0005-0000-0000-00004D510000}"/>
    <cellStyle name="Separador de milhares 3 2 2 2 2 5 2 5" xfId="13803" xr:uid="{00000000-0005-0000-0000-00004E510000}"/>
    <cellStyle name="Separador de milhares 3 2 2 2 2 5 2 5 2" xfId="39996" xr:uid="{00000000-0005-0000-0000-00004F510000}"/>
    <cellStyle name="Separador de milhares 3 2 2 2 2 5 2 6" xfId="33610" xr:uid="{00000000-0005-0000-0000-000050510000}"/>
    <cellStyle name="Separador de milhares 3 2 2 2 2 5 3" xfId="9090" xr:uid="{00000000-0005-0000-0000-000051510000}"/>
    <cellStyle name="Separador de milhares 3 2 2 2 2 5 3 2" xfId="27304" xr:uid="{00000000-0005-0000-0000-000052510000}"/>
    <cellStyle name="Separador de milhares 3 2 2 2 2 5 3 2 2" xfId="53485" xr:uid="{00000000-0005-0000-0000-000053510000}"/>
    <cellStyle name="Separador de milhares 3 2 2 2 2 5 3 3" xfId="21390" xr:uid="{00000000-0005-0000-0000-000054510000}"/>
    <cellStyle name="Separador de milhares 3 2 2 2 2 5 3 3 2" xfId="47577" xr:uid="{00000000-0005-0000-0000-000055510000}"/>
    <cellStyle name="Separador de milhares 3 2 2 2 2 5 3 4" xfId="15476" xr:uid="{00000000-0005-0000-0000-000056510000}"/>
    <cellStyle name="Separador de milhares 3 2 2 2 2 5 3 4 2" xfId="41669" xr:uid="{00000000-0005-0000-0000-000057510000}"/>
    <cellStyle name="Separador de milhares 3 2 2 2 2 5 3 5" xfId="35283" xr:uid="{00000000-0005-0000-0000-000058510000}"/>
    <cellStyle name="Separador de milhares 3 2 2 2 2 5 4" xfId="5715" xr:uid="{00000000-0005-0000-0000-000059510000}"/>
    <cellStyle name="Separador de milhares 3 2 2 2 2 5 4 2" xfId="24347" xr:uid="{00000000-0005-0000-0000-00005A510000}"/>
    <cellStyle name="Separador de milhares 3 2 2 2 2 5 4 2 2" xfId="50531" xr:uid="{00000000-0005-0000-0000-00005B510000}"/>
    <cellStyle name="Separador de milhares 3 2 2 2 2 5 4 3" xfId="31911" xr:uid="{00000000-0005-0000-0000-00005C510000}"/>
    <cellStyle name="Separador de milhares 3 2 2 2 2 5 5" xfId="18433" xr:uid="{00000000-0005-0000-0000-00005D510000}"/>
    <cellStyle name="Separador de milhares 3 2 2 2 2 5 5 2" xfId="44623" xr:uid="{00000000-0005-0000-0000-00005E510000}"/>
    <cellStyle name="Separador de milhares 3 2 2 2 2 5 6" xfId="12102" xr:uid="{00000000-0005-0000-0000-00005F510000}"/>
    <cellStyle name="Separador de milhares 3 2 2 2 2 5 6 2" xfId="38295" xr:uid="{00000000-0005-0000-0000-000060510000}"/>
    <cellStyle name="Separador de milhares 3 2 2 2 2 5 7" xfId="30213" xr:uid="{00000000-0005-0000-0000-000061510000}"/>
    <cellStyle name="Separador de milhares 3 2 2 2 2 6" xfId="4064" xr:uid="{00000000-0005-0000-0000-000062510000}"/>
    <cellStyle name="Separador de milhares 3 2 2 2 2 6 2" xfId="7561" xr:uid="{00000000-0005-0000-0000-000063510000}"/>
    <cellStyle name="Separador de milhares 3 2 2 2 2 6 2 2" xfId="10705" xr:uid="{00000000-0005-0000-0000-000064510000}"/>
    <cellStyle name="Separador de milhares 3 2 2 2 2 6 2 2 2" xfId="28919" xr:uid="{00000000-0005-0000-0000-000065510000}"/>
    <cellStyle name="Separador de milhares 3 2 2 2 2 6 2 2 2 2" xfId="55100" xr:uid="{00000000-0005-0000-0000-000066510000}"/>
    <cellStyle name="Separador de milhares 3 2 2 2 2 6 2 2 3" xfId="23005" xr:uid="{00000000-0005-0000-0000-000067510000}"/>
    <cellStyle name="Separador de milhares 3 2 2 2 2 6 2 2 3 2" xfId="49192" xr:uid="{00000000-0005-0000-0000-000068510000}"/>
    <cellStyle name="Separador de milhares 3 2 2 2 2 6 2 2 4" xfId="17091" xr:uid="{00000000-0005-0000-0000-000069510000}"/>
    <cellStyle name="Separador de milhares 3 2 2 2 2 6 2 2 4 2" xfId="43284" xr:uid="{00000000-0005-0000-0000-00006A510000}"/>
    <cellStyle name="Separador de milhares 3 2 2 2 2 6 2 2 5" xfId="36898" xr:uid="{00000000-0005-0000-0000-00006B510000}"/>
    <cellStyle name="Separador de milhares 3 2 2 2 2 6 2 3" xfId="25962" xr:uid="{00000000-0005-0000-0000-00006C510000}"/>
    <cellStyle name="Separador de milhares 3 2 2 2 2 6 2 3 2" xfId="52146" xr:uid="{00000000-0005-0000-0000-00006D510000}"/>
    <cellStyle name="Separador de milhares 3 2 2 2 2 6 2 4" xfId="20048" xr:uid="{00000000-0005-0000-0000-00006E510000}"/>
    <cellStyle name="Separador de milhares 3 2 2 2 2 6 2 4 2" xfId="46238" xr:uid="{00000000-0005-0000-0000-00006F510000}"/>
    <cellStyle name="Separador de milhares 3 2 2 2 2 6 2 5" xfId="13950" xr:uid="{00000000-0005-0000-0000-000070510000}"/>
    <cellStyle name="Separador de milhares 3 2 2 2 2 6 2 5 2" xfId="40143" xr:uid="{00000000-0005-0000-0000-000071510000}"/>
    <cellStyle name="Separador de milhares 3 2 2 2 2 6 2 6" xfId="33757" xr:uid="{00000000-0005-0000-0000-000072510000}"/>
    <cellStyle name="Separador de milhares 3 2 2 2 2 6 3" xfId="9237" xr:uid="{00000000-0005-0000-0000-000073510000}"/>
    <cellStyle name="Separador de milhares 3 2 2 2 2 6 3 2" xfId="27451" xr:uid="{00000000-0005-0000-0000-000074510000}"/>
    <cellStyle name="Separador de milhares 3 2 2 2 2 6 3 2 2" xfId="53632" xr:uid="{00000000-0005-0000-0000-000075510000}"/>
    <cellStyle name="Separador de milhares 3 2 2 2 2 6 3 3" xfId="21537" xr:uid="{00000000-0005-0000-0000-000076510000}"/>
    <cellStyle name="Separador de milhares 3 2 2 2 2 6 3 3 2" xfId="47724" xr:uid="{00000000-0005-0000-0000-000077510000}"/>
    <cellStyle name="Separador de milhares 3 2 2 2 2 6 3 4" xfId="15623" xr:uid="{00000000-0005-0000-0000-000078510000}"/>
    <cellStyle name="Separador de milhares 3 2 2 2 2 6 3 4 2" xfId="41816" xr:uid="{00000000-0005-0000-0000-000079510000}"/>
    <cellStyle name="Separador de milhares 3 2 2 2 2 6 3 5" xfId="35430" xr:uid="{00000000-0005-0000-0000-00007A510000}"/>
    <cellStyle name="Separador de milhares 3 2 2 2 2 6 4" xfId="5862" xr:uid="{00000000-0005-0000-0000-00007B510000}"/>
    <cellStyle name="Separador de milhares 3 2 2 2 2 6 4 2" xfId="24494" xr:uid="{00000000-0005-0000-0000-00007C510000}"/>
    <cellStyle name="Separador de milhares 3 2 2 2 2 6 4 2 2" xfId="50678" xr:uid="{00000000-0005-0000-0000-00007D510000}"/>
    <cellStyle name="Separador de milhares 3 2 2 2 2 6 4 3" xfId="32058" xr:uid="{00000000-0005-0000-0000-00007E510000}"/>
    <cellStyle name="Separador de milhares 3 2 2 2 2 6 5" xfId="18580" xr:uid="{00000000-0005-0000-0000-00007F510000}"/>
    <cellStyle name="Separador de milhares 3 2 2 2 2 6 5 2" xfId="44770" xr:uid="{00000000-0005-0000-0000-000080510000}"/>
    <cellStyle name="Separador de milhares 3 2 2 2 2 6 6" xfId="12249" xr:uid="{00000000-0005-0000-0000-000081510000}"/>
    <cellStyle name="Separador de milhares 3 2 2 2 2 6 6 2" xfId="38442" xr:uid="{00000000-0005-0000-0000-000082510000}"/>
    <cellStyle name="Separador de milhares 3 2 2 2 2 6 7" xfId="30360" xr:uid="{00000000-0005-0000-0000-000083510000}"/>
    <cellStyle name="Separador de milhares 3 2 2 2 2 7" xfId="6532" xr:uid="{00000000-0005-0000-0000-000084510000}"/>
    <cellStyle name="Separador de milhares 3 2 2 2 2 7 2" xfId="9679" xr:uid="{00000000-0005-0000-0000-000085510000}"/>
    <cellStyle name="Separador de milhares 3 2 2 2 2 7 2 2" xfId="27893" xr:uid="{00000000-0005-0000-0000-000086510000}"/>
    <cellStyle name="Separador de milhares 3 2 2 2 2 7 2 2 2" xfId="54074" xr:uid="{00000000-0005-0000-0000-000087510000}"/>
    <cellStyle name="Separador de milhares 3 2 2 2 2 7 2 3" xfId="21979" xr:uid="{00000000-0005-0000-0000-000088510000}"/>
    <cellStyle name="Separador de milhares 3 2 2 2 2 7 2 3 2" xfId="48166" xr:uid="{00000000-0005-0000-0000-000089510000}"/>
    <cellStyle name="Separador de milhares 3 2 2 2 2 7 2 4" xfId="16065" xr:uid="{00000000-0005-0000-0000-00008A510000}"/>
    <cellStyle name="Separador de milhares 3 2 2 2 2 7 2 4 2" xfId="42258" xr:uid="{00000000-0005-0000-0000-00008B510000}"/>
    <cellStyle name="Separador de milhares 3 2 2 2 2 7 2 5" xfId="35872" xr:uid="{00000000-0005-0000-0000-00008C510000}"/>
    <cellStyle name="Separador de milhares 3 2 2 2 2 7 3" xfId="24936" xr:uid="{00000000-0005-0000-0000-00008D510000}"/>
    <cellStyle name="Separador de milhares 3 2 2 2 2 7 3 2" xfId="51120" xr:uid="{00000000-0005-0000-0000-00008E510000}"/>
    <cellStyle name="Separador de milhares 3 2 2 2 2 7 4" xfId="19022" xr:uid="{00000000-0005-0000-0000-00008F510000}"/>
    <cellStyle name="Separador de milhares 3 2 2 2 2 7 4 2" xfId="45212" xr:uid="{00000000-0005-0000-0000-000090510000}"/>
    <cellStyle name="Separador de milhares 3 2 2 2 2 7 5" xfId="12921" xr:uid="{00000000-0005-0000-0000-000091510000}"/>
    <cellStyle name="Separador de milhares 3 2 2 2 2 7 5 2" xfId="39114" xr:uid="{00000000-0005-0000-0000-000092510000}"/>
    <cellStyle name="Separador de milhares 3 2 2 2 2 7 6" xfId="32728" xr:uid="{00000000-0005-0000-0000-000093510000}"/>
    <cellStyle name="Separador de milhares 3 2 2 2 2 8" xfId="8208" xr:uid="{00000000-0005-0000-0000-000094510000}"/>
    <cellStyle name="Separador de milhares 3 2 2 2 2 8 2" xfId="26422" xr:uid="{00000000-0005-0000-0000-000095510000}"/>
    <cellStyle name="Separador de milhares 3 2 2 2 2 8 2 2" xfId="52606" xr:uid="{00000000-0005-0000-0000-000096510000}"/>
    <cellStyle name="Separador de milhares 3 2 2 2 2 8 3" xfId="20508" xr:uid="{00000000-0005-0000-0000-000097510000}"/>
    <cellStyle name="Separador de milhares 3 2 2 2 2 8 3 2" xfId="46698" xr:uid="{00000000-0005-0000-0000-000098510000}"/>
    <cellStyle name="Separador de milhares 3 2 2 2 2 8 4" xfId="14597" xr:uid="{00000000-0005-0000-0000-000099510000}"/>
    <cellStyle name="Separador de milhares 3 2 2 2 2 8 4 2" xfId="40790" xr:uid="{00000000-0005-0000-0000-00009A510000}"/>
    <cellStyle name="Separador de milhares 3 2 2 2 2 8 5" xfId="34404" xr:uid="{00000000-0005-0000-0000-00009B510000}"/>
    <cellStyle name="Separador de milhares 3 2 2 2 2 9" xfId="4831" xr:uid="{00000000-0005-0000-0000-00009C510000}"/>
    <cellStyle name="Separador de milhares 3 2 2 2 2 9 2" xfId="23465" xr:uid="{00000000-0005-0000-0000-00009D510000}"/>
    <cellStyle name="Separador de milhares 3 2 2 2 2 9 2 2" xfId="49652" xr:uid="{00000000-0005-0000-0000-00009E510000}"/>
    <cellStyle name="Separador de milhares 3 2 2 2 2 9 3" xfId="31029" xr:uid="{00000000-0005-0000-0000-00009F510000}"/>
    <cellStyle name="Separador de milhares 3 2 2 2 3" xfId="907" xr:uid="{00000000-0005-0000-0000-0000A0510000}"/>
    <cellStyle name="Separador de milhares 3 2 2 2 3 2" xfId="6683" xr:uid="{00000000-0005-0000-0000-0000A1510000}"/>
    <cellStyle name="Separador de milhares 3 2 2 2 3 2 2" xfId="9830" xr:uid="{00000000-0005-0000-0000-0000A2510000}"/>
    <cellStyle name="Separador de milhares 3 2 2 2 3 2 2 2" xfId="28044" xr:uid="{00000000-0005-0000-0000-0000A3510000}"/>
    <cellStyle name="Separador de milhares 3 2 2 2 3 2 2 2 2" xfId="54225" xr:uid="{00000000-0005-0000-0000-0000A4510000}"/>
    <cellStyle name="Separador de milhares 3 2 2 2 3 2 2 3" xfId="22130" xr:uid="{00000000-0005-0000-0000-0000A5510000}"/>
    <cellStyle name="Separador de milhares 3 2 2 2 3 2 2 3 2" xfId="48317" xr:uid="{00000000-0005-0000-0000-0000A6510000}"/>
    <cellStyle name="Separador de milhares 3 2 2 2 3 2 2 4" xfId="16216" xr:uid="{00000000-0005-0000-0000-0000A7510000}"/>
    <cellStyle name="Separador de milhares 3 2 2 2 3 2 2 4 2" xfId="42409" xr:uid="{00000000-0005-0000-0000-0000A8510000}"/>
    <cellStyle name="Separador de milhares 3 2 2 2 3 2 2 5" xfId="36023" xr:uid="{00000000-0005-0000-0000-0000A9510000}"/>
    <cellStyle name="Separador de milhares 3 2 2 2 3 2 3" xfId="25087" xr:uid="{00000000-0005-0000-0000-0000AA510000}"/>
    <cellStyle name="Separador de milhares 3 2 2 2 3 2 3 2" xfId="51271" xr:uid="{00000000-0005-0000-0000-0000AB510000}"/>
    <cellStyle name="Separador de milhares 3 2 2 2 3 2 4" xfId="19173" xr:uid="{00000000-0005-0000-0000-0000AC510000}"/>
    <cellStyle name="Separador de milhares 3 2 2 2 3 2 4 2" xfId="45363" xr:uid="{00000000-0005-0000-0000-0000AD510000}"/>
    <cellStyle name="Separador de milhares 3 2 2 2 3 2 5" xfId="13072" xr:uid="{00000000-0005-0000-0000-0000AE510000}"/>
    <cellStyle name="Separador de milhares 3 2 2 2 3 2 5 2" xfId="39265" xr:uid="{00000000-0005-0000-0000-0000AF510000}"/>
    <cellStyle name="Separador de milhares 3 2 2 2 3 2 6" xfId="32879" xr:uid="{00000000-0005-0000-0000-0000B0510000}"/>
    <cellStyle name="Separador de milhares 3 2 2 2 3 3" xfId="8362" xr:uid="{00000000-0005-0000-0000-0000B1510000}"/>
    <cellStyle name="Separador de milhares 3 2 2 2 3 3 2" xfId="26576" xr:uid="{00000000-0005-0000-0000-0000B2510000}"/>
    <cellStyle name="Separador de milhares 3 2 2 2 3 3 2 2" xfId="52757" xr:uid="{00000000-0005-0000-0000-0000B3510000}"/>
    <cellStyle name="Separador de milhares 3 2 2 2 3 3 3" xfId="20662" xr:uid="{00000000-0005-0000-0000-0000B4510000}"/>
    <cellStyle name="Separador de milhares 3 2 2 2 3 3 3 2" xfId="46849" xr:uid="{00000000-0005-0000-0000-0000B5510000}"/>
    <cellStyle name="Separador de milhares 3 2 2 2 3 3 4" xfId="14748" xr:uid="{00000000-0005-0000-0000-0000B6510000}"/>
    <cellStyle name="Separador de milhares 3 2 2 2 3 3 4 2" xfId="40941" xr:uid="{00000000-0005-0000-0000-0000B7510000}"/>
    <cellStyle name="Separador de milhares 3 2 2 2 3 3 5" xfId="34555" xr:uid="{00000000-0005-0000-0000-0000B8510000}"/>
    <cellStyle name="Separador de milhares 3 2 2 2 3 4" xfId="4984" xr:uid="{00000000-0005-0000-0000-0000B9510000}"/>
    <cellStyle name="Separador de milhares 3 2 2 2 3 4 2" xfId="23619" xr:uid="{00000000-0005-0000-0000-0000BA510000}"/>
    <cellStyle name="Separador de milhares 3 2 2 2 3 4 2 2" xfId="49803" xr:uid="{00000000-0005-0000-0000-0000BB510000}"/>
    <cellStyle name="Separador de milhares 3 2 2 2 3 4 3" xfId="31180" xr:uid="{00000000-0005-0000-0000-0000BC510000}"/>
    <cellStyle name="Separador de milhares 3 2 2 2 3 5" xfId="17705" xr:uid="{00000000-0005-0000-0000-0000BD510000}"/>
    <cellStyle name="Separador de milhares 3 2 2 2 3 5 2" xfId="43895" xr:uid="{00000000-0005-0000-0000-0000BE510000}"/>
    <cellStyle name="Separador de milhares 3 2 2 2 3 6" xfId="11371" xr:uid="{00000000-0005-0000-0000-0000BF510000}"/>
    <cellStyle name="Separador de milhares 3 2 2 2 3 6 2" xfId="37564" xr:uid="{00000000-0005-0000-0000-0000C0510000}"/>
    <cellStyle name="Separador de milhares 3 2 2 2 3 7" xfId="29482" xr:uid="{00000000-0005-0000-0000-0000C1510000}"/>
    <cellStyle name="Separador de milhares 3 2 2 2 4" xfId="1258" xr:uid="{00000000-0005-0000-0000-0000C2510000}"/>
    <cellStyle name="Separador de milhares 3 2 2 2 4 2" xfId="6781" xr:uid="{00000000-0005-0000-0000-0000C3510000}"/>
    <cellStyle name="Separador de milhares 3 2 2 2 4 2 2" xfId="9928" xr:uid="{00000000-0005-0000-0000-0000C4510000}"/>
    <cellStyle name="Separador de milhares 3 2 2 2 4 2 2 2" xfId="28142" xr:uid="{00000000-0005-0000-0000-0000C5510000}"/>
    <cellStyle name="Separador de milhares 3 2 2 2 4 2 2 2 2" xfId="54323" xr:uid="{00000000-0005-0000-0000-0000C6510000}"/>
    <cellStyle name="Separador de milhares 3 2 2 2 4 2 2 3" xfId="22228" xr:uid="{00000000-0005-0000-0000-0000C7510000}"/>
    <cellStyle name="Separador de milhares 3 2 2 2 4 2 2 3 2" xfId="48415" xr:uid="{00000000-0005-0000-0000-0000C8510000}"/>
    <cellStyle name="Separador de milhares 3 2 2 2 4 2 2 4" xfId="16314" xr:uid="{00000000-0005-0000-0000-0000C9510000}"/>
    <cellStyle name="Separador de milhares 3 2 2 2 4 2 2 4 2" xfId="42507" xr:uid="{00000000-0005-0000-0000-0000CA510000}"/>
    <cellStyle name="Separador de milhares 3 2 2 2 4 2 2 5" xfId="36121" xr:uid="{00000000-0005-0000-0000-0000CB510000}"/>
    <cellStyle name="Separador de milhares 3 2 2 2 4 2 3" xfId="25185" xr:uid="{00000000-0005-0000-0000-0000CC510000}"/>
    <cellStyle name="Separador de milhares 3 2 2 2 4 2 3 2" xfId="51369" xr:uid="{00000000-0005-0000-0000-0000CD510000}"/>
    <cellStyle name="Separador de milhares 3 2 2 2 4 2 4" xfId="19271" xr:uid="{00000000-0005-0000-0000-0000CE510000}"/>
    <cellStyle name="Separador de milhares 3 2 2 2 4 2 4 2" xfId="45461" xr:uid="{00000000-0005-0000-0000-0000CF510000}"/>
    <cellStyle name="Separador de milhares 3 2 2 2 4 2 5" xfId="13170" xr:uid="{00000000-0005-0000-0000-0000D0510000}"/>
    <cellStyle name="Separador de milhares 3 2 2 2 4 2 5 2" xfId="39363" xr:uid="{00000000-0005-0000-0000-0000D1510000}"/>
    <cellStyle name="Separador de milhares 3 2 2 2 4 2 6" xfId="32977" xr:uid="{00000000-0005-0000-0000-0000D2510000}"/>
    <cellStyle name="Separador de milhares 3 2 2 2 4 3" xfId="8460" xr:uid="{00000000-0005-0000-0000-0000D3510000}"/>
    <cellStyle name="Separador de milhares 3 2 2 2 4 3 2" xfId="26674" xr:uid="{00000000-0005-0000-0000-0000D4510000}"/>
    <cellStyle name="Separador de milhares 3 2 2 2 4 3 2 2" xfId="52855" xr:uid="{00000000-0005-0000-0000-0000D5510000}"/>
    <cellStyle name="Separador de milhares 3 2 2 2 4 3 3" xfId="20760" xr:uid="{00000000-0005-0000-0000-0000D6510000}"/>
    <cellStyle name="Separador de milhares 3 2 2 2 4 3 3 2" xfId="46947" xr:uid="{00000000-0005-0000-0000-0000D7510000}"/>
    <cellStyle name="Separador de milhares 3 2 2 2 4 3 4" xfId="14846" xr:uid="{00000000-0005-0000-0000-0000D8510000}"/>
    <cellStyle name="Separador de milhares 3 2 2 2 4 3 4 2" xfId="41039" xr:uid="{00000000-0005-0000-0000-0000D9510000}"/>
    <cellStyle name="Separador de milhares 3 2 2 2 4 3 5" xfId="34653" xr:uid="{00000000-0005-0000-0000-0000DA510000}"/>
    <cellStyle name="Separador de milhares 3 2 2 2 4 4" xfId="5082" xr:uid="{00000000-0005-0000-0000-0000DB510000}"/>
    <cellStyle name="Separador de milhares 3 2 2 2 4 4 2" xfId="23717" xr:uid="{00000000-0005-0000-0000-0000DC510000}"/>
    <cellStyle name="Separador de milhares 3 2 2 2 4 4 2 2" xfId="49901" xr:uid="{00000000-0005-0000-0000-0000DD510000}"/>
    <cellStyle name="Separador de milhares 3 2 2 2 4 4 3" xfId="31278" xr:uid="{00000000-0005-0000-0000-0000DE510000}"/>
    <cellStyle name="Separador de milhares 3 2 2 2 4 5" xfId="17803" xr:uid="{00000000-0005-0000-0000-0000DF510000}"/>
    <cellStyle name="Separador de milhares 3 2 2 2 4 5 2" xfId="43993" xr:uid="{00000000-0005-0000-0000-0000E0510000}"/>
    <cellStyle name="Separador de milhares 3 2 2 2 4 6" xfId="11469" xr:uid="{00000000-0005-0000-0000-0000E1510000}"/>
    <cellStyle name="Separador de milhares 3 2 2 2 4 6 2" xfId="37662" xr:uid="{00000000-0005-0000-0000-0000E2510000}"/>
    <cellStyle name="Separador de milhares 3 2 2 2 4 7" xfId="29580" xr:uid="{00000000-0005-0000-0000-0000E3510000}"/>
    <cellStyle name="Separador de milhares 3 2 2 2 5" xfId="1693" xr:uid="{00000000-0005-0000-0000-0000E4510000}"/>
    <cellStyle name="Separador de milhares 3 2 2 2 5 2" xfId="6900" xr:uid="{00000000-0005-0000-0000-0000E5510000}"/>
    <cellStyle name="Separador de milhares 3 2 2 2 5 2 2" xfId="10047" xr:uid="{00000000-0005-0000-0000-0000E6510000}"/>
    <cellStyle name="Separador de milhares 3 2 2 2 5 2 2 2" xfId="28261" xr:uid="{00000000-0005-0000-0000-0000E7510000}"/>
    <cellStyle name="Separador de milhares 3 2 2 2 5 2 2 2 2" xfId="54442" xr:uid="{00000000-0005-0000-0000-0000E8510000}"/>
    <cellStyle name="Separador de milhares 3 2 2 2 5 2 2 3" xfId="22347" xr:uid="{00000000-0005-0000-0000-0000E9510000}"/>
    <cellStyle name="Separador de milhares 3 2 2 2 5 2 2 3 2" xfId="48534" xr:uid="{00000000-0005-0000-0000-0000EA510000}"/>
    <cellStyle name="Separador de milhares 3 2 2 2 5 2 2 4" xfId="16433" xr:uid="{00000000-0005-0000-0000-0000EB510000}"/>
    <cellStyle name="Separador de milhares 3 2 2 2 5 2 2 4 2" xfId="42626" xr:uid="{00000000-0005-0000-0000-0000EC510000}"/>
    <cellStyle name="Separador de milhares 3 2 2 2 5 2 2 5" xfId="36240" xr:uid="{00000000-0005-0000-0000-0000ED510000}"/>
    <cellStyle name="Separador de milhares 3 2 2 2 5 2 3" xfId="25304" xr:uid="{00000000-0005-0000-0000-0000EE510000}"/>
    <cellStyle name="Separador de milhares 3 2 2 2 5 2 3 2" xfId="51488" xr:uid="{00000000-0005-0000-0000-0000EF510000}"/>
    <cellStyle name="Separador de milhares 3 2 2 2 5 2 4" xfId="19390" xr:uid="{00000000-0005-0000-0000-0000F0510000}"/>
    <cellStyle name="Separador de milhares 3 2 2 2 5 2 4 2" xfId="45580" xr:uid="{00000000-0005-0000-0000-0000F1510000}"/>
    <cellStyle name="Separador de milhares 3 2 2 2 5 2 5" xfId="13289" xr:uid="{00000000-0005-0000-0000-0000F2510000}"/>
    <cellStyle name="Separador de milhares 3 2 2 2 5 2 5 2" xfId="39482" xr:uid="{00000000-0005-0000-0000-0000F3510000}"/>
    <cellStyle name="Separador de milhares 3 2 2 2 5 2 6" xfId="33096" xr:uid="{00000000-0005-0000-0000-0000F4510000}"/>
    <cellStyle name="Separador de milhares 3 2 2 2 5 3" xfId="8579" xr:uid="{00000000-0005-0000-0000-0000F5510000}"/>
    <cellStyle name="Separador de milhares 3 2 2 2 5 3 2" xfId="26793" xr:uid="{00000000-0005-0000-0000-0000F6510000}"/>
    <cellStyle name="Separador de milhares 3 2 2 2 5 3 2 2" xfId="52974" xr:uid="{00000000-0005-0000-0000-0000F7510000}"/>
    <cellStyle name="Separador de milhares 3 2 2 2 5 3 3" xfId="20879" xr:uid="{00000000-0005-0000-0000-0000F8510000}"/>
    <cellStyle name="Separador de milhares 3 2 2 2 5 3 3 2" xfId="47066" xr:uid="{00000000-0005-0000-0000-0000F9510000}"/>
    <cellStyle name="Separador de milhares 3 2 2 2 5 3 4" xfId="14965" xr:uid="{00000000-0005-0000-0000-0000FA510000}"/>
    <cellStyle name="Separador de milhares 3 2 2 2 5 3 4 2" xfId="41158" xr:uid="{00000000-0005-0000-0000-0000FB510000}"/>
    <cellStyle name="Separador de milhares 3 2 2 2 5 3 5" xfId="34772" xr:uid="{00000000-0005-0000-0000-0000FC510000}"/>
    <cellStyle name="Separador de milhares 3 2 2 2 5 4" xfId="5201" xr:uid="{00000000-0005-0000-0000-0000FD510000}"/>
    <cellStyle name="Separador de milhares 3 2 2 2 5 4 2" xfId="23836" xr:uid="{00000000-0005-0000-0000-0000FE510000}"/>
    <cellStyle name="Separador de milhares 3 2 2 2 5 4 2 2" xfId="50020" xr:uid="{00000000-0005-0000-0000-0000FF510000}"/>
    <cellStyle name="Separador de milhares 3 2 2 2 5 4 3" xfId="31397" xr:uid="{00000000-0005-0000-0000-000000520000}"/>
    <cellStyle name="Separador de milhares 3 2 2 2 5 5" xfId="17922" xr:uid="{00000000-0005-0000-0000-000001520000}"/>
    <cellStyle name="Separador de milhares 3 2 2 2 5 5 2" xfId="44112" xr:uid="{00000000-0005-0000-0000-000002520000}"/>
    <cellStyle name="Separador de milhares 3 2 2 2 5 6" xfId="11588" xr:uid="{00000000-0005-0000-0000-000003520000}"/>
    <cellStyle name="Separador de milhares 3 2 2 2 5 6 2" xfId="37781" xr:uid="{00000000-0005-0000-0000-000004520000}"/>
    <cellStyle name="Separador de milhares 3 2 2 2 5 7" xfId="29699" xr:uid="{00000000-0005-0000-0000-000005520000}"/>
    <cellStyle name="Separador de milhares 3 2 2 2 6" xfId="2223" xr:uid="{00000000-0005-0000-0000-000006520000}"/>
    <cellStyle name="Separador de milhares 3 2 2 2 6 2" xfId="7050" xr:uid="{00000000-0005-0000-0000-000007520000}"/>
    <cellStyle name="Separador de milhares 3 2 2 2 6 2 2" xfId="10194" xr:uid="{00000000-0005-0000-0000-000008520000}"/>
    <cellStyle name="Separador de milhares 3 2 2 2 6 2 2 2" xfId="28408" xr:uid="{00000000-0005-0000-0000-000009520000}"/>
    <cellStyle name="Separador de milhares 3 2 2 2 6 2 2 2 2" xfId="54589" xr:uid="{00000000-0005-0000-0000-00000A520000}"/>
    <cellStyle name="Separador de milhares 3 2 2 2 6 2 2 3" xfId="22494" xr:uid="{00000000-0005-0000-0000-00000B520000}"/>
    <cellStyle name="Separador de milhares 3 2 2 2 6 2 2 3 2" xfId="48681" xr:uid="{00000000-0005-0000-0000-00000C520000}"/>
    <cellStyle name="Separador de milhares 3 2 2 2 6 2 2 4" xfId="16580" xr:uid="{00000000-0005-0000-0000-00000D520000}"/>
    <cellStyle name="Separador de milhares 3 2 2 2 6 2 2 4 2" xfId="42773" xr:uid="{00000000-0005-0000-0000-00000E520000}"/>
    <cellStyle name="Separador de milhares 3 2 2 2 6 2 2 5" xfId="36387" xr:uid="{00000000-0005-0000-0000-00000F520000}"/>
    <cellStyle name="Separador de milhares 3 2 2 2 6 2 3" xfId="25451" xr:uid="{00000000-0005-0000-0000-000010520000}"/>
    <cellStyle name="Separador de milhares 3 2 2 2 6 2 3 2" xfId="51635" xr:uid="{00000000-0005-0000-0000-000011520000}"/>
    <cellStyle name="Separador de milhares 3 2 2 2 6 2 4" xfId="19537" xr:uid="{00000000-0005-0000-0000-000012520000}"/>
    <cellStyle name="Separador de milhares 3 2 2 2 6 2 4 2" xfId="45727" xr:uid="{00000000-0005-0000-0000-000013520000}"/>
    <cellStyle name="Separador de milhares 3 2 2 2 6 2 5" xfId="13439" xr:uid="{00000000-0005-0000-0000-000014520000}"/>
    <cellStyle name="Separador de milhares 3 2 2 2 6 2 5 2" xfId="39632" xr:uid="{00000000-0005-0000-0000-000015520000}"/>
    <cellStyle name="Separador de milhares 3 2 2 2 6 2 6" xfId="33246" xr:uid="{00000000-0005-0000-0000-000016520000}"/>
    <cellStyle name="Separador de milhares 3 2 2 2 6 3" xfId="8726" xr:uid="{00000000-0005-0000-0000-000017520000}"/>
    <cellStyle name="Separador de milhares 3 2 2 2 6 3 2" xfId="26940" xr:uid="{00000000-0005-0000-0000-000018520000}"/>
    <cellStyle name="Separador de milhares 3 2 2 2 6 3 2 2" xfId="53121" xr:uid="{00000000-0005-0000-0000-000019520000}"/>
    <cellStyle name="Separador de milhares 3 2 2 2 6 3 3" xfId="21026" xr:uid="{00000000-0005-0000-0000-00001A520000}"/>
    <cellStyle name="Separador de milhares 3 2 2 2 6 3 3 2" xfId="47213" xr:uid="{00000000-0005-0000-0000-00001B520000}"/>
    <cellStyle name="Separador de milhares 3 2 2 2 6 3 4" xfId="15112" xr:uid="{00000000-0005-0000-0000-00001C520000}"/>
    <cellStyle name="Separador de milhares 3 2 2 2 6 3 4 2" xfId="41305" xr:uid="{00000000-0005-0000-0000-00001D520000}"/>
    <cellStyle name="Separador de milhares 3 2 2 2 6 3 5" xfId="34919" xr:uid="{00000000-0005-0000-0000-00001E520000}"/>
    <cellStyle name="Separador de milhares 3 2 2 2 6 4" xfId="5351" xr:uid="{00000000-0005-0000-0000-00001F520000}"/>
    <cellStyle name="Separador de milhares 3 2 2 2 6 4 2" xfId="23983" xr:uid="{00000000-0005-0000-0000-000020520000}"/>
    <cellStyle name="Separador de milhares 3 2 2 2 6 4 2 2" xfId="50167" xr:uid="{00000000-0005-0000-0000-000021520000}"/>
    <cellStyle name="Separador de milhares 3 2 2 2 6 4 3" xfId="31547" xr:uid="{00000000-0005-0000-0000-000022520000}"/>
    <cellStyle name="Separador de milhares 3 2 2 2 6 5" xfId="18069" xr:uid="{00000000-0005-0000-0000-000023520000}"/>
    <cellStyle name="Separador de milhares 3 2 2 2 6 5 2" xfId="44259" xr:uid="{00000000-0005-0000-0000-000024520000}"/>
    <cellStyle name="Separador de milhares 3 2 2 2 6 6" xfId="11738" xr:uid="{00000000-0005-0000-0000-000025520000}"/>
    <cellStyle name="Separador de milhares 3 2 2 2 6 6 2" xfId="37931" xr:uid="{00000000-0005-0000-0000-000026520000}"/>
    <cellStyle name="Separador de milhares 3 2 2 2 6 7" xfId="29849" xr:uid="{00000000-0005-0000-0000-000027520000}"/>
    <cellStyle name="Separador de milhares 3 2 2 2 7" xfId="2750" xr:uid="{00000000-0005-0000-0000-000028520000}"/>
    <cellStyle name="Separador de milhares 3 2 2 2 7 2" xfId="7197" xr:uid="{00000000-0005-0000-0000-000029520000}"/>
    <cellStyle name="Separador de milhares 3 2 2 2 7 2 2" xfId="10341" xr:uid="{00000000-0005-0000-0000-00002A520000}"/>
    <cellStyle name="Separador de milhares 3 2 2 2 7 2 2 2" xfId="28555" xr:uid="{00000000-0005-0000-0000-00002B520000}"/>
    <cellStyle name="Separador de milhares 3 2 2 2 7 2 2 2 2" xfId="54736" xr:uid="{00000000-0005-0000-0000-00002C520000}"/>
    <cellStyle name="Separador de milhares 3 2 2 2 7 2 2 3" xfId="22641" xr:uid="{00000000-0005-0000-0000-00002D520000}"/>
    <cellStyle name="Separador de milhares 3 2 2 2 7 2 2 3 2" xfId="48828" xr:uid="{00000000-0005-0000-0000-00002E520000}"/>
    <cellStyle name="Separador de milhares 3 2 2 2 7 2 2 4" xfId="16727" xr:uid="{00000000-0005-0000-0000-00002F520000}"/>
    <cellStyle name="Separador de milhares 3 2 2 2 7 2 2 4 2" xfId="42920" xr:uid="{00000000-0005-0000-0000-000030520000}"/>
    <cellStyle name="Separador de milhares 3 2 2 2 7 2 2 5" xfId="36534" xr:uid="{00000000-0005-0000-0000-000031520000}"/>
    <cellStyle name="Separador de milhares 3 2 2 2 7 2 3" xfId="25598" xr:uid="{00000000-0005-0000-0000-000032520000}"/>
    <cellStyle name="Separador de milhares 3 2 2 2 7 2 3 2" xfId="51782" xr:uid="{00000000-0005-0000-0000-000033520000}"/>
    <cellStyle name="Separador de milhares 3 2 2 2 7 2 4" xfId="19684" xr:uid="{00000000-0005-0000-0000-000034520000}"/>
    <cellStyle name="Separador de milhares 3 2 2 2 7 2 4 2" xfId="45874" xr:uid="{00000000-0005-0000-0000-000035520000}"/>
    <cellStyle name="Separador de milhares 3 2 2 2 7 2 5" xfId="13586" xr:uid="{00000000-0005-0000-0000-000036520000}"/>
    <cellStyle name="Separador de milhares 3 2 2 2 7 2 5 2" xfId="39779" xr:uid="{00000000-0005-0000-0000-000037520000}"/>
    <cellStyle name="Separador de milhares 3 2 2 2 7 2 6" xfId="33393" xr:uid="{00000000-0005-0000-0000-000038520000}"/>
    <cellStyle name="Separador de milhares 3 2 2 2 7 3" xfId="8873" xr:uid="{00000000-0005-0000-0000-000039520000}"/>
    <cellStyle name="Separador de milhares 3 2 2 2 7 3 2" xfId="27087" xr:uid="{00000000-0005-0000-0000-00003A520000}"/>
    <cellStyle name="Separador de milhares 3 2 2 2 7 3 2 2" xfId="53268" xr:uid="{00000000-0005-0000-0000-00003B520000}"/>
    <cellStyle name="Separador de milhares 3 2 2 2 7 3 3" xfId="21173" xr:uid="{00000000-0005-0000-0000-00003C520000}"/>
    <cellStyle name="Separador de milhares 3 2 2 2 7 3 3 2" xfId="47360" xr:uid="{00000000-0005-0000-0000-00003D520000}"/>
    <cellStyle name="Separador de milhares 3 2 2 2 7 3 4" xfId="15259" xr:uid="{00000000-0005-0000-0000-00003E520000}"/>
    <cellStyle name="Separador de milhares 3 2 2 2 7 3 4 2" xfId="41452" xr:uid="{00000000-0005-0000-0000-00003F520000}"/>
    <cellStyle name="Separador de milhares 3 2 2 2 7 3 5" xfId="35066" xr:uid="{00000000-0005-0000-0000-000040520000}"/>
    <cellStyle name="Separador de milhares 3 2 2 2 7 4" xfId="5498" xr:uid="{00000000-0005-0000-0000-000041520000}"/>
    <cellStyle name="Separador de milhares 3 2 2 2 7 4 2" xfId="24130" xr:uid="{00000000-0005-0000-0000-000042520000}"/>
    <cellStyle name="Separador de milhares 3 2 2 2 7 4 2 2" xfId="50314" xr:uid="{00000000-0005-0000-0000-000043520000}"/>
    <cellStyle name="Separador de milhares 3 2 2 2 7 4 3" xfId="31694" xr:uid="{00000000-0005-0000-0000-000044520000}"/>
    <cellStyle name="Separador de milhares 3 2 2 2 7 5" xfId="18216" xr:uid="{00000000-0005-0000-0000-000045520000}"/>
    <cellStyle name="Separador de milhares 3 2 2 2 7 5 2" xfId="44406" xr:uid="{00000000-0005-0000-0000-000046520000}"/>
    <cellStyle name="Separador de milhares 3 2 2 2 7 6" xfId="11885" xr:uid="{00000000-0005-0000-0000-000047520000}"/>
    <cellStyle name="Separador de milhares 3 2 2 2 7 6 2" xfId="38078" xr:uid="{00000000-0005-0000-0000-000048520000}"/>
    <cellStyle name="Separador de milhares 3 2 2 2 7 7" xfId="29996" xr:uid="{00000000-0005-0000-0000-000049520000}"/>
    <cellStyle name="Separador de milhares 3 2 2 2 8" xfId="3277" xr:uid="{00000000-0005-0000-0000-00004A520000}"/>
    <cellStyle name="Separador de milhares 3 2 2 2 8 2" xfId="7344" xr:uid="{00000000-0005-0000-0000-00004B520000}"/>
    <cellStyle name="Separador de milhares 3 2 2 2 8 2 2" xfId="10488" xr:uid="{00000000-0005-0000-0000-00004C520000}"/>
    <cellStyle name="Separador de milhares 3 2 2 2 8 2 2 2" xfId="28702" xr:uid="{00000000-0005-0000-0000-00004D520000}"/>
    <cellStyle name="Separador de milhares 3 2 2 2 8 2 2 2 2" xfId="54883" xr:uid="{00000000-0005-0000-0000-00004E520000}"/>
    <cellStyle name="Separador de milhares 3 2 2 2 8 2 2 3" xfId="22788" xr:uid="{00000000-0005-0000-0000-00004F520000}"/>
    <cellStyle name="Separador de milhares 3 2 2 2 8 2 2 3 2" xfId="48975" xr:uid="{00000000-0005-0000-0000-000050520000}"/>
    <cellStyle name="Separador de milhares 3 2 2 2 8 2 2 4" xfId="16874" xr:uid="{00000000-0005-0000-0000-000051520000}"/>
    <cellStyle name="Separador de milhares 3 2 2 2 8 2 2 4 2" xfId="43067" xr:uid="{00000000-0005-0000-0000-000052520000}"/>
    <cellStyle name="Separador de milhares 3 2 2 2 8 2 2 5" xfId="36681" xr:uid="{00000000-0005-0000-0000-000053520000}"/>
    <cellStyle name="Separador de milhares 3 2 2 2 8 2 3" xfId="25745" xr:uid="{00000000-0005-0000-0000-000054520000}"/>
    <cellStyle name="Separador de milhares 3 2 2 2 8 2 3 2" xfId="51929" xr:uid="{00000000-0005-0000-0000-000055520000}"/>
    <cellStyle name="Separador de milhares 3 2 2 2 8 2 4" xfId="19831" xr:uid="{00000000-0005-0000-0000-000056520000}"/>
    <cellStyle name="Separador de milhares 3 2 2 2 8 2 4 2" xfId="46021" xr:uid="{00000000-0005-0000-0000-000057520000}"/>
    <cellStyle name="Separador de milhares 3 2 2 2 8 2 5" xfId="13733" xr:uid="{00000000-0005-0000-0000-000058520000}"/>
    <cellStyle name="Separador de milhares 3 2 2 2 8 2 5 2" xfId="39926" xr:uid="{00000000-0005-0000-0000-000059520000}"/>
    <cellStyle name="Separador de milhares 3 2 2 2 8 2 6" xfId="33540" xr:uid="{00000000-0005-0000-0000-00005A520000}"/>
    <cellStyle name="Separador de milhares 3 2 2 2 8 3" xfId="9020" xr:uid="{00000000-0005-0000-0000-00005B520000}"/>
    <cellStyle name="Separador de milhares 3 2 2 2 8 3 2" xfId="27234" xr:uid="{00000000-0005-0000-0000-00005C520000}"/>
    <cellStyle name="Separador de milhares 3 2 2 2 8 3 2 2" xfId="53415" xr:uid="{00000000-0005-0000-0000-00005D520000}"/>
    <cellStyle name="Separador de milhares 3 2 2 2 8 3 3" xfId="21320" xr:uid="{00000000-0005-0000-0000-00005E520000}"/>
    <cellStyle name="Separador de milhares 3 2 2 2 8 3 3 2" xfId="47507" xr:uid="{00000000-0005-0000-0000-00005F520000}"/>
    <cellStyle name="Separador de milhares 3 2 2 2 8 3 4" xfId="15406" xr:uid="{00000000-0005-0000-0000-000060520000}"/>
    <cellStyle name="Separador de milhares 3 2 2 2 8 3 4 2" xfId="41599" xr:uid="{00000000-0005-0000-0000-000061520000}"/>
    <cellStyle name="Separador de milhares 3 2 2 2 8 3 5" xfId="35213" xr:uid="{00000000-0005-0000-0000-000062520000}"/>
    <cellStyle name="Separador de milhares 3 2 2 2 8 4" xfId="5645" xr:uid="{00000000-0005-0000-0000-000063520000}"/>
    <cellStyle name="Separador de milhares 3 2 2 2 8 4 2" xfId="24277" xr:uid="{00000000-0005-0000-0000-000064520000}"/>
    <cellStyle name="Separador de milhares 3 2 2 2 8 4 2 2" xfId="50461" xr:uid="{00000000-0005-0000-0000-000065520000}"/>
    <cellStyle name="Separador de milhares 3 2 2 2 8 4 3" xfId="31841" xr:uid="{00000000-0005-0000-0000-000066520000}"/>
    <cellStyle name="Separador de milhares 3 2 2 2 8 5" xfId="18363" xr:uid="{00000000-0005-0000-0000-000067520000}"/>
    <cellStyle name="Separador de milhares 3 2 2 2 8 5 2" xfId="44553" xr:uid="{00000000-0005-0000-0000-000068520000}"/>
    <cellStyle name="Separador de milhares 3 2 2 2 8 6" xfId="12032" xr:uid="{00000000-0005-0000-0000-000069520000}"/>
    <cellStyle name="Separador de milhares 3 2 2 2 8 6 2" xfId="38225" xr:uid="{00000000-0005-0000-0000-00006A520000}"/>
    <cellStyle name="Separador de milhares 3 2 2 2 8 7" xfId="30143" xr:uid="{00000000-0005-0000-0000-00006B520000}"/>
    <cellStyle name="Separador de milhares 3 2 2 2 9" xfId="3804" xr:uid="{00000000-0005-0000-0000-00006C520000}"/>
    <cellStyle name="Separador de milhares 3 2 2 2 9 2" xfId="7491" xr:uid="{00000000-0005-0000-0000-00006D520000}"/>
    <cellStyle name="Separador de milhares 3 2 2 2 9 2 2" xfId="10635" xr:uid="{00000000-0005-0000-0000-00006E520000}"/>
    <cellStyle name="Separador de milhares 3 2 2 2 9 2 2 2" xfId="28849" xr:uid="{00000000-0005-0000-0000-00006F520000}"/>
    <cellStyle name="Separador de milhares 3 2 2 2 9 2 2 2 2" xfId="55030" xr:uid="{00000000-0005-0000-0000-000070520000}"/>
    <cellStyle name="Separador de milhares 3 2 2 2 9 2 2 3" xfId="22935" xr:uid="{00000000-0005-0000-0000-000071520000}"/>
    <cellStyle name="Separador de milhares 3 2 2 2 9 2 2 3 2" xfId="49122" xr:uid="{00000000-0005-0000-0000-000072520000}"/>
    <cellStyle name="Separador de milhares 3 2 2 2 9 2 2 4" xfId="17021" xr:uid="{00000000-0005-0000-0000-000073520000}"/>
    <cellStyle name="Separador de milhares 3 2 2 2 9 2 2 4 2" xfId="43214" xr:uid="{00000000-0005-0000-0000-000074520000}"/>
    <cellStyle name="Separador de milhares 3 2 2 2 9 2 2 5" xfId="36828" xr:uid="{00000000-0005-0000-0000-000075520000}"/>
    <cellStyle name="Separador de milhares 3 2 2 2 9 2 3" xfId="25892" xr:uid="{00000000-0005-0000-0000-000076520000}"/>
    <cellStyle name="Separador de milhares 3 2 2 2 9 2 3 2" xfId="52076" xr:uid="{00000000-0005-0000-0000-000077520000}"/>
    <cellStyle name="Separador de milhares 3 2 2 2 9 2 4" xfId="19978" xr:uid="{00000000-0005-0000-0000-000078520000}"/>
    <cellStyle name="Separador de milhares 3 2 2 2 9 2 4 2" xfId="46168" xr:uid="{00000000-0005-0000-0000-000079520000}"/>
    <cellStyle name="Separador de milhares 3 2 2 2 9 2 5" xfId="13880" xr:uid="{00000000-0005-0000-0000-00007A520000}"/>
    <cellStyle name="Separador de milhares 3 2 2 2 9 2 5 2" xfId="40073" xr:uid="{00000000-0005-0000-0000-00007B520000}"/>
    <cellStyle name="Separador de milhares 3 2 2 2 9 2 6" xfId="33687" xr:uid="{00000000-0005-0000-0000-00007C520000}"/>
    <cellStyle name="Separador de milhares 3 2 2 2 9 3" xfId="9167" xr:uid="{00000000-0005-0000-0000-00007D520000}"/>
    <cellStyle name="Separador de milhares 3 2 2 2 9 3 2" xfId="27381" xr:uid="{00000000-0005-0000-0000-00007E520000}"/>
    <cellStyle name="Separador de milhares 3 2 2 2 9 3 2 2" xfId="53562" xr:uid="{00000000-0005-0000-0000-00007F520000}"/>
    <cellStyle name="Separador de milhares 3 2 2 2 9 3 3" xfId="21467" xr:uid="{00000000-0005-0000-0000-000080520000}"/>
    <cellStyle name="Separador de milhares 3 2 2 2 9 3 3 2" xfId="47654" xr:uid="{00000000-0005-0000-0000-000081520000}"/>
    <cellStyle name="Separador de milhares 3 2 2 2 9 3 4" xfId="15553" xr:uid="{00000000-0005-0000-0000-000082520000}"/>
    <cellStyle name="Separador de milhares 3 2 2 2 9 3 4 2" xfId="41746" xr:uid="{00000000-0005-0000-0000-000083520000}"/>
    <cellStyle name="Separador de milhares 3 2 2 2 9 3 5" xfId="35360" xr:uid="{00000000-0005-0000-0000-000084520000}"/>
    <cellStyle name="Separador de milhares 3 2 2 2 9 4" xfId="5792" xr:uid="{00000000-0005-0000-0000-000085520000}"/>
    <cellStyle name="Separador de milhares 3 2 2 2 9 4 2" xfId="24424" xr:uid="{00000000-0005-0000-0000-000086520000}"/>
    <cellStyle name="Separador de milhares 3 2 2 2 9 4 2 2" xfId="50608" xr:uid="{00000000-0005-0000-0000-000087520000}"/>
    <cellStyle name="Separador de milhares 3 2 2 2 9 4 3" xfId="31988" xr:uid="{00000000-0005-0000-0000-000088520000}"/>
    <cellStyle name="Separador de milhares 3 2 2 2 9 5" xfId="18510" xr:uid="{00000000-0005-0000-0000-000089520000}"/>
    <cellStyle name="Separador de milhares 3 2 2 2 9 5 2" xfId="44700" xr:uid="{00000000-0005-0000-0000-00008A520000}"/>
    <cellStyle name="Separador de milhares 3 2 2 2 9 6" xfId="12179" xr:uid="{00000000-0005-0000-0000-00008B520000}"/>
    <cellStyle name="Separador de milhares 3 2 2 2 9 6 2" xfId="38372" xr:uid="{00000000-0005-0000-0000-00008C520000}"/>
    <cellStyle name="Separador de milhares 3 2 2 2 9 7" xfId="30290" xr:uid="{00000000-0005-0000-0000-00008D520000}"/>
    <cellStyle name="Separador de milhares 3 2 2 3" xfId="256" xr:uid="{00000000-0005-0000-0000-00008E520000}"/>
    <cellStyle name="Separador de milhares 3 2 2 3 10" xfId="6482" xr:uid="{00000000-0005-0000-0000-00008F520000}"/>
    <cellStyle name="Separador de milhares 3 2 2 3 10 2" xfId="9633" xr:uid="{00000000-0005-0000-0000-000090520000}"/>
    <cellStyle name="Separador de milhares 3 2 2 3 10 2 2" xfId="27847" xr:uid="{00000000-0005-0000-0000-000091520000}"/>
    <cellStyle name="Separador de milhares 3 2 2 3 10 2 2 2" xfId="54028" xr:uid="{00000000-0005-0000-0000-000092520000}"/>
    <cellStyle name="Separador de milhares 3 2 2 3 10 2 3" xfId="21933" xr:uid="{00000000-0005-0000-0000-000093520000}"/>
    <cellStyle name="Separador de milhares 3 2 2 3 10 2 3 2" xfId="48120" xr:uid="{00000000-0005-0000-0000-000094520000}"/>
    <cellStyle name="Separador de milhares 3 2 2 3 10 2 4" xfId="16019" xr:uid="{00000000-0005-0000-0000-000095520000}"/>
    <cellStyle name="Separador de milhares 3 2 2 3 10 2 4 2" xfId="42212" xr:uid="{00000000-0005-0000-0000-000096520000}"/>
    <cellStyle name="Separador de milhares 3 2 2 3 10 2 5" xfId="35826" xr:uid="{00000000-0005-0000-0000-000097520000}"/>
    <cellStyle name="Separador de milhares 3 2 2 3 10 3" xfId="24890" xr:uid="{00000000-0005-0000-0000-000098520000}"/>
    <cellStyle name="Separador de milhares 3 2 2 3 10 3 2" xfId="51074" xr:uid="{00000000-0005-0000-0000-000099520000}"/>
    <cellStyle name="Separador de milhares 3 2 2 3 10 4" xfId="18976" xr:uid="{00000000-0005-0000-0000-00009A520000}"/>
    <cellStyle name="Separador de milhares 3 2 2 3 10 4 2" xfId="45166" xr:uid="{00000000-0005-0000-0000-00009B520000}"/>
    <cellStyle name="Separador de milhares 3 2 2 3 10 5" xfId="12871" xr:uid="{00000000-0005-0000-0000-00009C520000}"/>
    <cellStyle name="Separador de milhares 3 2 2 3 10 5 2" xfId="39064" xr:uid="{00000000-0005-0000-0000-00009D520000}"/>
    <cellStyle name="Separador de milhares 3 2 2 3 10 6" xfId="32678" xr:uid="{00000000-0005-0000-0000-00009E520000}"/>
    <cellStyle name="Separador de milhares 3 2 2 3 11" xfId="8162" xr:uid="{00000000-0005-0000-0000-00009F520000}"/>
    <cellStyle name="Separador de milhares 3 2 2 3 11 2" xfId="26376" xr:uid="{00000000-0005-0000-0000-0000A0520000}"/>
    <cellStyle name="Separador de milhares 3 2 2 3 11 2 2" xfId="52560" xr:uid="{00000000-0005-0000-0000-0000A1520000}"/>
    <cellStyle name="Separador de milhares 3 2 2 3 11 3" xfId="20462" xr:uid="{00000000-0005-0000-0000-0000A2520000}"/>
    <cellStyle name="Separador de milhares 3 2 2 3 11 3 2" xfId="46652" xr:uid="{00000000-0005-0000-0000-0000A3520000}"/>
    <cellStyle name="Separador de milhares 3 2 2 3 11 4" xfId="14551" xr:uid="{00000000-0005-0000-0000-0000A4520000}"/>
    <cellStyle name="Separador de milhares 3 2 2 3 11 4 2" xfId="40744" xr:uid="{00000000-0005-0000-0000-0000A5520000}"/>
    <cellStyle name="Separador de milhares 3 2 2 3 11 5" xfId="34358" xr:uid="{00000000-0005-0000-0000-0000A6520000}"/>
    <cellStyle name="Separador de milhares 3 2 2 3 12" xfId="4781" xr:uid="{00000000-0005-0000-0000-0000A7520000}"/>
    <cellStyle name="Separador de milhares 3 2 2 3 12 2" xfId="23419" xr:uid="{00000000-0005-0000-0000-0000A8520000}"/>
    <cellStyle name="Separador de milhares 3 2 2 3 12 2 2" xfId="49606" xr:uid="{00000000-0005-0000-0000-0000A9520000}"/>
    <cellStyle name="Separador de milhares 3 2 2 3 12 3" xfId="30979" xr:uid="{00000000-0005-0000-0000-0000AA520000}"/>
    <cellStyle name="Separador de milhares 3 2 2 3 13" xfId="17505" xr:uid="{00000000-0005-0000-0000-0000AB520000}"/>
    <cellStyle name="Separador de milhares 3 2 2 3 13 2" xfId="43698" xr:uid="{00000000-0005-0000-0000-0000AC520000}"/>
    <cellStyle name="Separador de milhares 3 2 2 3 14" xfId="11170" xr:uid="{00000000-0005-0000-0000-0000AD520000}"/>
    <cellStyle name="Separador de milhares 3 2 2 3 14 2" xfId="37363" xr:uid="{00000000-0005-0000-0000-0000AE520000}"/>
    <cellStyle name="Separador de milhares 3 2 2 3 15" xfId="29281" xr:uid="{00000000-0005-0000-0000-0000AF520000}"/>
    <cellStyle name="Separador de milhares 3 2 2 3 2" xfId="519" xr:uid="{00000000-0005-0000-0000-0000B0520000}"/>
    <cellStyle name="Separador de milhares 3 2 2 3 2 2" xfId="6553" xr:uid="{00000000-0005-0000-0000-0000B1520000}"/>
    <cellStyle name="Separador de milhares 3 2 2 3 2 2 2" xfId="9700" xr:uid="{00000000-0005-0000-0000-0000B2520000}"/>
    <cellStyle name="Separador de milhares 3 2 2 3 2 2 2 2" xfId="27914" xr:uid="{00000000-0005-0000-0000-0000B3520000}"/>
    <cellStyle name="Separador de milhares 3 2 2 3 2 2 2 2 2" xfId="54095" xr:uid="{00000000-0005-0000-0000-0000B4520000}"/>
    <cellStyle name="Separador de milhares 3 2 2 3 2 2 2 3" xfId="22000" xr:uid="{00000000-0005-0000-0000-0000B5520000}"/>
    <cellStyle name="Separador de milhares 3 2 2 3 2 2 2 3 2" xfId="48187" xr:uid="{00000000-0005-0000-0000-0000B6520000}"/>
    <cellStyle name="Separador de milhares 3 2 2 3 2 2 2 4" xfId="16086" xr:uid="{00000000-0005-0000-0000-0000B7520000}"/>
    <cellStyle name="Separador de milhares 3 2 2 3 2 2 2 4 2" xfId="42279" xr:uid="{00000000-0005-0000-0000-0000B8520000}"/>
    <cellStyle name="Separador de milhares 3 2 2 3 2 2 2 5" xfId="35893" xr:uid="{00000000-0005-0000-0000-0000B9520000}"/>
    <cellStyle name="Separador de milhares 3 2 2 3 2 2 3" xfId="24957" xr:uid="{00000000-0005-0000-0000-0000BA520000}"/>
    <cellStyle name="Separador de milhares 3 2 2 3 2 2 3 2" xfId="51141" xr:uid="{00000000-0005-0000-0000-0000BB520000}"/>
    <cellStyle name="Separador de milhares 3 2 2 3 2 2 4" xfId="19043" xr:uid="{00000000-0005-0000-0000-0000BC520000}"/>
    <cellStyle name="Separador de milhares 3 2 2 3 2 2 4 2" xfId="45233" xr:uid="{00000000-0005-0000-0000-0000BD520000}"/>
    <cellStyle name="Separador de milhares 3 2 2 3 2 2 5" xfId="12942" xr:uid="{00000000-0005-0000-0000-0000BE520000}"/>
    <cellStyle name="Separador de milhares 3 2 2 3 2 2 5 2" xfId="39135" xr:uid="{00000000-0005-0000-0000-0000BF520000}"/>
    <cellStyle name="Separador de milhares 3 2 2 3 2 2 6" xfId="32749" xr:uid="{00000000-0005-0000-0000-0000C0520000}"/>
    <cellStyle name="Separador de milhares 3 2 2 3 2 3" xfId="8229" xr:uid="{00000000-0005-0000-0000-0000C1520000}"/>
    <cellStyle name="Separador de milhares 3 2 2 3 2 3 2" xfId="26443" xr:uid="{00000000-0005-0000-0000-0000C2520000}"/>
    <cellStyle name="Separador de milhares 3 2 2 3 2 3 2 2" xfId="52627" xr:uid="{00000000-0005-0000-0000-0000C3520000}"/>
    <cellStyle name="Separador de milhares 3 2 2 3 2 3 3" xfId="20529" xr:uid="{00000000-0005-0000-0000-0000C4520000}"/>
    <cellStyle name="Separador de milhares 3 2 2 3 2 3 3 2" xfId="46719" xr:uid="{00000000-0005-0000-0000-0000C5520000}"/>
    <cellStyle name="Separador de milhares 3 2 2 3 2 3 4" xfId="14618" xr:uid="{00000000-0005-0000-0000-0000C6520000}"/>
    <cellStyle name="Separador de milhares 3 2 2 3 2 3 4 2" xfId="40811" xr:uid="{00000000-0005-0000-0000-0000C7520000}"/>
    <cellStyle name="Separador de milhares 3 2 2 3 2 3 5" xfId="34425" xr:uid="{00000000-0005-0000-0000-0000C8520000}"/>
    <cellStyle name="Separador de milhares 3 2 2 3 2 4" xfId="4852" xr:uid="{00000000-0005-0000-0000-0000C9520000}"/>
    <cellStyle name="Separador de milhares 3 2 2 3 2 4 2" xfId="23486" xr:uid="{00000000-0005-0000-0000-0000CA520000}"/>
    <cellStyle name="Separador de milhares 3 2 2 3 2 4 2 2" xfId="49673" xr:uid="{00000000-0005-0000-0000-0000CB520000}"/>
    <cellStyle name="Separador de milhares 3 2 2 3 2 4 3" xfId="31050" xr:uid="{00000000-0005-0000-0000-0000CC520000}"/>
    <cellStyle name="Separador de milhares 3 2 2 3 2 5" xfId="17572" xr:uid="{00000000-0005-0000-0000-0000CD520000}"/>
    <cellStyle name="Separador de milhares 3 2 2 3 2 5 2" xfId="43765" xr:uid="{00000000-0005-0000-0000-0000CE520000}"/>
    <cellStyle name="Separador de milhares 3 2 2 3 2 6" xfId="11241" xr:uid="{00000000-0005-0000-0000-0000CF520000}"/>
    <cellStyle name="Separador de milhares 3 2 2 3 2 6 2" xfId="37434" xr:uid="{00000000-0005-0000-0000-0000D0520000}"/>
    <cellStyle name="Separador de milhares 3 2 2 3 2 7" xfId="29352" xr:uid="{00000000-0005-0000-0000-0000D1520000}"/>
    <cellStyle name="Separador de milhares 3 2 2 3 3" xfId="816" xr:uid="{00000000-0005-0000-0000-0000D2520000}"/>
    <cellStyle name="Separador de milhares 3 2 2 3 3 2" xfId="6655" xr:uid="{00000000-0005-0000-0000-0000D3520000}"/>
    <cellStyle name="Separador de milhares 3 2 2 3 3 2 2" xfId="9802" xr:uid="{00000000-0005-0000-0000-0000D4520000}"/>
    <cellStyle name="Separador de milhares 3 2 2 3 3 2 2 2" xfId="28016" xr:uid="{00000000-0005-0000-0000-0000D5520000}"/>
    <cellStyle name="Separador de milhares 3 2 2 3 3 2 2 2 2" xfId="54197" xr:uid="{00000000-0005-0000-0000-0000D6520000}"/>
    <cellStyle name="Separador de milhares 3 2 2 3 3 2 2 3" xfId="22102" xr:uid="{00000000-0005-0000-0000-0000D7520000}"/>
    <cellStyle name="Separador de milhares 3 2 2 3 3 2 2 3 2" xfId="48289" xr:uid="{00000000-0005-0000-0000-0000D8520000}"/>
    <cellStyle name="Separador de milhares 3 2 2 3 3 2 2 4" xfId="16188" xr:uid="{00000000-0005-0000-0000-0000D9520000}"/>
    <cellStyle name="Separador de milhares 3 2 2 3 3 2 2 4 2" xfId="42381" xr:uid="{00000000-0005-0000-0000-0000DA520000}"/>
    <cellStyle name="Separador de milhares 3 2 2 3 3 2 2 5" xfId="35995" xr:uid="{00000000-0005-0000-0000-0000DB520000}"/>
    <cellStyle name="Separador de milhares 3 2 2 3 3 2 3" xfId="25059" xr:uid="{00000000-0005-0000-0000-0000DC520000}"/>
    <cellStyle name="Separador de milhares 3 2 2 3 3 2 3 2" xfId="51243" xr:uid="{00000000-0005-0000-0000-0000DD520000}"/>
    <cellStyle name="Separador de milhares 3 2 2 3 3 2 4" xfId="19145" xr:uid="{00000000-0005-0000-0000-0000DE520000}"/>
    <cellStyle name="Separador de milhares 3 2 2 3 3 2 4 2" xfId="45335" xr:uid="{00000000-0005-0000-0000-0000DF520000}"/>
    <cellStyle name="Separador de milhares 3 2 2 3 3 2 5" xfId="13044" xr:uid="{00000000-0005-0000-0000-0000E0520000}"/>
    <cellStyle name="Separador de milhares 3 2 2 3 3 2 5 2" xfId="39237" xr:uid="{00000000-0005-0000-0000-0000E1520000}"/>
    <cellStyle name="Separador de milhares 3 2 2 3 3 2 6" xfId="32851" xr:uid="{00000000-0005-0000-0000-0000E2520000}"/>
    <cellStyle name="Separador de milhares 3 2 2 3 3 3" xfId="8334" xr:uid="{00000000-0005-0000-0000-0000E3520000}"/>
    <cellStyle name="Separador de milhares 3 2 2 3 3 3 2" xfId="26548" xr:uid="{00000000-0005-0000-0000-0000E4520000}"/>
    <cellStyle name="Separador de milhares 3 2 2 3 3 3 2 2" xfId="52729" xr:uid="{00000000-0005-0000-0000-0000E5520000}"/>
    <cellStyle name="Separador de milhares 3 2 2 3 3 3 3" xfId="20634" xr:uid="{00000000-0005-0000-0000-0000E6520000}"/>
    <cellStyle name="Separador de milhares 3 2 2 3 3 3 3 2" xfId="46821" xr:uid="{00000000-0005-0000-0000-0000E7520000}"/>
    <cellStyle name="Separador de milhares 3 2 2 3 3 3 4" xfId="14720" xr:uid="{00000000-0005-0000-0000-0000E8520000}"/>
    <cellStyle name="Separador de milhares 3 2 2 3 3 3 4 2" xfId="40913" xr:uid="{00000000-0005-0000-0000-0000E9520000}"/>
    <cellStyle name="Separador de milhares 3 2 2 3 3 3 5" xfId="34527" xr:uid="{00000000-0005-0000-0000-0000EA520000}"/>
    <cellStyle name="Separador de milhares 3 2 2 3 3 4" xfId="4956" xr:uid="{00000000-0005-0000-0000-0000EB520000}"/>
    <cellStyle name="Separador de milhares 3 2 2 3 3 4 2" xfId="23591" xr:uid="{00000000-0005-0000-0000-0000EC520000}"/>
    <cellStyle name="Separador de milhares 3 2 2 3 3 4 2 2" xfId="49775" xr:uid="{00000000-0005-0000-0000-0000ED520000}"/>
    <cellStyle name="Separador de milhares 3 2 2 3 3 4 3" xfId="31152" xr:uid="{00000000-0005-0000-0000-0000EE520000}"/>
    <cellStyle name="Separador de milhares 3 2 2 3 3 5" xfId="17677" xr:uid="{00000000-0005-0000-0000-0000EF520000}"/>
    <cellStyle name="Separador de milhares 3 2 2 3 3 5 2" xfId="43867" xr:uid="{00000000-0005-0000-0000-0000F0520000}"/>
    <cellStyle name="Separador de milhares 3 2 2 3 3 6" xfId="11343" xr:uid="{00000000-0005-0000-0000-0000F1520000}"/>
    <cellStyle name="Separador de milhares 3 2 2 3 3 6 2" xfId="37536" xr:uid="{00000000-0005-0000-0000-0000F2520000}"/>
    <cellStyle name="Separador de milhares 3 2 2 3 3 7" xfId="29454" xr:uid="{00000000-0005-0000-0000-0000F3520000}"/>
    <cellStyle name="Separador de milhares 3 2 2 3 4" xfId="1167" xr:uid="{00000000-0005-0000-0000-0000F4520000}"/>
    <cellStyle name="Separador de milhares 3 2 2 3 4 2" xfId="6753" xr:uid="{00000000-0005-0000-0000-0000F5520000}"/>
    <cellStyle name="Separador de milhares 3 2 2 3 4 2 2" xfId="9900" xr:uid="{00000000-0005-0000-0000-0000F6520000}"/>
    <cellStyle name="Separador de milhares 3 2 2 3 4 2 2 2" xfId="28114" xr:uid="{00000000-0005-0000-0000-0000F7520000}"/>
    <cellStyle name="Separador de milhares 3 2 2 3 4 2 2 2 2" xfId="54295" xr:uid="{00000000-0005-0000-0000-0000F8520000}"/>
    <cellStyle name="Separador de milhares 3 2 2 3 4 2 2 3" xfId="22200" xr:uid="{00000000-0005-0000-0000-0000F9520000}"/>
    <cellStyle name="Separador de milhares 3 2 2 3 4 2 2 3 2" xfId="48387" xr:uid="{00000000-0005-0000-0000-0000FA520000}"/>
    <cellStyle name="Separador de milhares 3 2 2 3 4 2 2 4" xfId="16286" xr:uid="{00000000-0005-0000-0000-0000FB520000}"/>
    <cellStyle name="Separador de milhares 3 2 2 3 4 2 2 4 2" xfId="42479" xr:uid="{00000000-0005-0000-0000-0000FC520000}"/>
    <cellStyle name="Separador de milhares 3 2 2 3 4 2 2 5" xfId="36093" xr:uid="{00000000-0005-0000-0000-0000FD520000}"/>
    <cellStyle name="Separador de milhares 3 2 2 3 4 2 3" xfId="25157" xr:uid="{00000000-0005-0000-0000-0000FE520000}"/>
    <cellStyle name="Separador de milhares 3 2 2 3 4 2 3 2" xfId="51341" xr:uid="{00000000-0005-0000-0000-0000FF520000}"/>
    <cellStyle name="Separador de milhares 3 2 2 3 4 2 4" xfId="19243" xr:uid="{00000000-0005-0000-0000-000000530000}"/>
    <cellStyle name="Separador de milhares 3 2 2 3 4 2 4 2" xfId="45433" xr:uid="{00000000-0005-0000-0000-000001530000}"/>
    <cellStyle name="Separador de milhares 3 2 2 3 4 2 5" xfId="13142" xr:uid="{00000000-0005-0000-0000-000002530000}"/>
    <cellStyle name="Separador de milhares 3 2 2 3 4 2 5 2" xfId="39335" xr:uid="{00000000-0005-0000-0000-000003530000}"/>
    <cellStyle name="Separador de milhares 3 2 2 3 4 2 6" xfId="32949" xr:uid="{00000000-0005-0000-0000-000004530000}"/>
    <cellStyle name="Separador de milhares 3 2 2 3 4 3" xfId="8432" xr:uid="{00000000-0005-0000-0000-000005530000}"/>
    <cellStyle name="Separador de milhares 3 2 2 3 4 3 2" xfId="26646" xr:uid="{00000000-0005-0000-0000-000006530000}"/>
    <cellStyle name="Separador de milhares 3 2 2 3 4 3 2 2" xfId="52827" xr:uid="{00000000-0005-0000-0000-000007530000}"/>
    <cellStyle name="Separador de milhares 3 2 2 3 4 3 3" xfId="20732" xr:uid="{00000000-0005-0000-0000-000008530000}"/>
    <cellStyle name="Separador de milhares 3 2 2 3 4 3 3 2" xfId="46919" xr:uid="{00000000-0005-0000-0000-000009530000}"/>
    <cellStyle name="Separador de milhares 3 2 2 3 4 3 4" xfId="14818" xr:uid="{00000000-0005-0000-0000-00000A530000}"/>
    <cellStyle name="Separador de milhares 3 2 2 3 4 3 4 2" xfId="41011" xr:uid="{00000000-0005-0000-0000-00000B530000}"/>
    <cellStyle name="Separador de milhares 3 2 2 3 4 3 5" xfId="34625" xr:uid="{00000000-0005-0000-0000-00000C530000}"/>
    <cellStyle name="Separador de milhares 3 2 2 3 4 4" xfId="5054" xr:uid="{00000000-0005-0000-0000-00000D530000}"/>
    <cellStyle name="Separador de milhares 3 2 2 3 4 4 2" xfId="23689" xr:uid="{00000000-0005-0000-0000-00000E530000}"/>
    <cellStyle name="Separador de milhares 3 2 2 3 4 4 2 2" xfId="49873" xr:uid="{00000000-0005-0000-0000-00000F530000}"/>
    <cellStyle name="Separador de milhares 3 2 2 3 4 4 3" xfId="31250" xr:uid="{00000000-0005-0000-0000-000010530000}"/>
    <cellStyle name="Separador de milhares 3 2 2 3 4 5" xfId="17775" xr:uid="{00000000-0005-0000-0000-000011530000}"/>
    <cellStyle name="Separador de milhares 3 2 2 3 4 5 2" xfId="43965" xr:uid="{00000000-0005-0000-0000-000012530000}"/>
    <cellStyle name="Separador de milhares 3 2 2 3 4 6" xfId="11441" xr:uid="{00000000-0005-0000-0000-000013530000}"/>
    <cellStyle name="Separador de milhares 3 2 2 3 4 6 2" xfId="37634" xr:uid="{00000000-0005-0000-0000-000014530000}"/>
    <cellStyle name="Separador de milhares 3 2 2 3 4 7" xfId="29552" xr:uid="{00000000-0005-0000-0000-000015530000}"/>
    <cellStyle name="Separador de milhares 3 2 2 3 5" xfId="1602" xr:uid="{00000000-0005-0000-0000-000016530000}"/>
    <cellStyle name="Separador de milhares 3 2 2 3 5 2" xfId="6872" xr:uid="{00000000-0005-0000-0000-000017530000}"/>
    <cellStyle name="Separador de milhares 3 2 2 3 5 2 2" xfId="10019" xr:uid="{00000000-0005-0000-0000-000018530000}"/>
    <cellStyle name="Separador de milhares 3 2 2 3 5 2 2 2" xfId="28233" xr:uid="{00000000-0005-0000-0000-000019530000}"/>
    <cellStyle name="Separador de milhares 3 2 2 3 5 2 2 2 2" xfId="54414" xr:uid="{00000000-0005-0000-0000-00001A530000}"/>
    <cellStyle name="Separador de milhares 3 2 2 3 5 2 2 3" xfId="22319" xr:uid="{00000000-0005-0000-0000-00001B530000}"/>
    <cellStyle name="Separador de milhares 3 2 2 3 5 2 2 3 2" xfId="48506" xr:uid="{00000000-0005-0000-0000-00001C530000}"/>
    <cellStyle name="Separador de milhares 3 2 2 3 5 2 2 4" xfId="16405" xr:uid="{00000000-0005-0000-0000-00001D530000}"/>
    <cellStyle name="Separador de milhares 3 2 2 3 5 2 2 4 2" xfId="42598" xr:uid="{00000000-0005-0000-0000-00001E530000}"/>
    <cellStyle name="Separador de milhares 3 2 2 3 5 2 2 5" xfId="36212" xr:uid="{00000000-0005-0000-0000-00001F530000}"/>
    <cellStyle name="Separador de milhares 3 2 2 3 5 2 3" xfId="25276" xr:uid="{00000000-0005-0000-0000-000020530000}"/>
    <cellStyle name="Separador de milhares 3 2 2 3 5 2 3 2" xfId="51460" xr:uid="{00000000-0005-0000-0000-000021530000}"/>
    <cellStyle name="Separador de milhares 3 2 2 3 5 2 4" xfId="19362" xr:uid="{00000000-0005-0000-0000-000022530000}"/>
    <cellStyle name="Separador de milhares 3 2 2 3 5 2 4 2" xfId="45552" xr:uid="{00000000-0005-0000-0000-000023530000}"/>
    <cellStyle name="Separador de milhares 3 2 2 3 5 2 5" xfId="13261" xr:uid="{00000000-0005-0000-0000-000024530000}"/>
    <cellStyle name="Separador de milhares 3 2 2 3 5 2 5 2" xfId="39454" xr:uid="{00000000-0005-0000-0000-000025530000}"/>
    <cellStyle name="Separador de milhares 3 2 2 3 5 2 6" xfId="33068" xr:uid="{00000000-0005-0000-0000-000026530000}"/>
    <cellStyle name="Separador de milhares 3 2 2 3 5 3" xfId="8551" xr:uid="{00000000-0005-0000-0000-000027530000}"/>
    <cellStyle name="Separador de milhares 3 2 2 3 5 3 2" xfId="26765" xr:uid="{00000000-0005-0000-0000-000028530000}"/>
    <cellStyle name="Separador de milhares 3 2 2 3 5 3 2 2" xfId="52946" xr:uid="{00000000-0005-0000-0000-000029530000}"/>
    <cellStyle name="Separador de milhares 3 2 2 3 5 3 3" xfId="20851" xr:uid="{00000000-0005-0000-0000-00002A530000}"/>
    <cellStyle name="Separador de milhares 3 2 2 3 5 3 3 2" xfId="47038" xr:uid="{00000000-0005-0000-0000-00002B530000}"/>
    <cellStyle name="Separador de milhares 3 2 2 3 5 3 4" xfId="14937" xr:uid="{00000000-0005-0000-0000-00002C530000}"/>
    <cellStyle name="Separador de milhares 3 2 2 3 5 3 4 2" xfId="41130" xr:uid="{00000000-0005-0000-0000-00002D530000}"/>
    <cellStyle name="Separador de milhares 3 2 2 3 5 3 5" xfId="34744" xr:uid="{00000000-0005-0000-0000-00002E530000}"/>
    <cellStyle name="Separador de milhares 3 2 2 3 5 4" xfId="5173" xr:uid="{00000000-0005-0000-0000-00002F530000}"/>
    <cellStyle name="Separador de milhares 3 2 2 3 5 4 2" xfId="23808" xr:uid="{00000000-0005-0000-0000-000030530000}"/>
    <cellStyle name="Separador de milhares 3 2 2 3 5 4 2 2" xfId="49992" xr:uid="{00000000-0005-0000-0000-000031530000}"/>
    <cellStyle name="Separador de milhares 3 2 2 3 5 4 3" xfId="31369" xr:uid="{00000000-0005-0000-0000-000032530000}"/>
    <cellStyle name="Separador de milhares 3 2 2 3 5 5" xfId="17894" xr:uid="{00000000-0005-0000-0000-000033530000}"/>
    <cellStyle name="Separador de milhares 3 2 2 3 5 5 2" xfId="44084" xr:uid="{00000000-0005-0000-0000-000034530000}"/>
    <cellStyle name="Separador de milhares 3 2 2 3 5 6" xfId="11560" xr:uid="{00000000-0005-0000-0000-000035530000}"/>
    <cellStyle name="Separador de milhares 3 2 2 3 5 6 2" xfId="37753" xr:uid="{00000000-0005-0000-0000-000036530000}"/>
    <cellStyle name="Separador de milhares 3 2 2 3 5 7" xfId="29671" xr:uid="{00000000-0005-0000-0000-000037530000}"/>
    <cellStyle name="Separador de milhares 3 2 2 3 6" xfId="2132" xr:uid="{00000000-0005-0000-0000-000038530000}"/>
    <cellStyle name="Separador de milhares 3 2 2 3 6 2" xfId="7022" xr:uid="{00000000-0005-0000-0000-000039530000}"/>
    <cellStyle name="Separador de milhares 3 2 2 3 6 2 2" xfId="10166" xr:uid="{00000000-0005-0000-0000-00003A530000}"/>
    <cellStyle name="Separador de milhares 3 2 2 3 6 2 2 2" xfId="28380" xr:uid="{00000000-0005-0000-0000-00003B530000}"/>
    <cellStyle name="Separador de milhares 3 2 2 3 6 2 2 2 2" xfId="54561" xr:uid="{00000000-0005-0000-0000-00003C530000}"/>
    <cellStyle name="Separador de milhares 3 2 2 3 6 2 2 3" xfId="22466" xr:uid="{00000000-0005-0000-0000-00003D530000}"/>
    <cellStyle name="Separador de milhares 3 2 2 3 6 2 2 3 2" xfId="48653" xr:uid="{00000000-0005-0000-0000-00003E530000}"/>
    <cellStyle name="Separador de milhares 3 2 2 3 6 2 2 4" xfId="16552" xr:uid="{00000000-0005-0000-0000-00003F530000}"/>
    <cellStyle name="Separador de milhares 3 2 2 3 6 2 2 4 2" xfId="42745" xr:uid="{00000000-0005-0000-0000-000040530000}"/>
    <cellStyle name="Separador de milhares 3 2 2 3 6 2 2 5" xfId="36359" xr:uid="{00000000-0005-0000-0000-000041530000}"/>
    <cellStyle name="Separador de milhares 3 2 2 3 6 2 3" xfId="25423" xr:uid="{00000000-0005-0000-0000-000042530000}"/>
    <cellStyle name="Separador de milhares 3 2 2 3 6 2 3 2" xfId="51607" xr:uid="{00000000-0005-0000-0000-000043530000}"/>
    <cellStyle name="Separador de milhares 3 2 2 3 6 2 4" xfId="19509" xr:uid="{00000000-0005-0000-0000-000044530000}"/>
    <cellStyle name="Separador de milhares 3 2 2 3 6 2 4 2" xfId="45699" xr:uid="{00000000-0005-0000-0000-000045530000}"/>
    <cellStyle name="Separador de milhares 3 2 2 3 6 2 5" xfId="13411" xr:uid="{00000000-0005-0000-0000-000046530000}"/>
    <cellStyle name="Separador de milhares 3 2 2 3 6 2 5 2" xfId="39604" xr:uid="{00000000-0005-0000-0000-000047530000}"/>
    <cellStyle name="Separador de milhares 3 2 2 3 6 2 6" xfId="33218" xr:uid="{00000000-0005-0000-0000-000048530000}"/>
    <cellStyle name="Separador de milhares 3 2 2 3 6 3" xfId="8698" xr:uid="{00000000-0005-0000-0000-000049530000}"/>
    <cellStyle name="Separador de milhares 3 2 2 3 6 3 2" xfId="26912" xr:uid="{00000000-0005-0000-0000-00004A530000}"/>
    <cellStyle name="Separador de milhares 3 2 2 3 6 3 2 2" xfId="53093" xr:uid="{00000000-0005-0000-0000-00004B530000}"/>
    <cellStyle name="Separador de milhares 3 2 2 3 6 3 3" xfId="20998" xr:uid="{00000000-0005-0000-0000-00004C530000}"/>
    <cellStyle name="Separador de milhares 3 2 2 3 6 3 3 2" xfId="47185" xr:uid="{00000000-0005-0000-0000-00004D530000}"/>
    <cellStyle name="Separador de milhares 3 2 2 3 6 3 4" xfId="15084" xr:uid="{00000000-0005-0000-0000-00004E530000}"/>
    <cellStyle name="Separador de milhares 3 2 2 3 6 3 4 2" xfId="41277" xr:uid="{00000000-0005-0000-0000-00004F530000}"/>
    <cellStyle name="Separador de milhares 3 2 2 3 6 3 5" xfId="34891" xr:uid="{00000000-0005-0000-0000-000050530000}"/>
    <cellStyle name="Separador de milhares 3 2 2 3 6 4" xfId="5323" xr:uid="{00000000-0005-0000-0000-000051530000}"/>
    <cellStyle name="Separador de milhares 3 2 2 3 6 4 2" xfId="23955" xr:uid="{00000000-0005-0000-0000-000052530000}"/>
    <cellStyle name="Separador de milhares 3 2 2 3 6 4 2 2" xfId="50139" xr:uid="{00000000-0005-0000-0000-000053530000}"/>
    <cellStyle name="Separador de milhares 3 2 2 3 6 4 3" xfId="31519" xr:uid="{00000000-0005-0000-0000-000054530000}"/>
    <cellStyle name="Separador de milhares 3 2 2 3 6 5" xfId="18041" xr:uid="{00000000-0005-0000-0000-000055530000}"/>
    <cellStyle name="Separador de milhares 3 2 2 3 6 5 2" xfId="44231" xr:uid="{00000000-0005-0000-0000-000056530000}"/>
    <cellStyle name="Separador de milhares 3 2 2 3 6 6" xfId="11710" xr:uid="{00000000-0005-0000-0000-000057530000}"/>
    <cellStyle name="Separador de milhares 3 2 2 3 6 6 2" xfId="37903" xr:uid="{00000000-0005-0000-0000-000058530000}"/>
    <cellStyle name="Separador de milhares 3 2 2 3 6 7" xfId="29821" xr:uid="{00000000-0005-0000-0000-000059530000}"/>
    <cellStyle name="Separador de milhares 3 2 2 3 7" xfId="2659" xr:uid="{00000000-0005-0000-0000-00005A530000}"/>
    <cellStyle name="Separador de milhares 3 2 2 3 7 2" xfId="7169" xr:uid="{00000000-0005-0000-0000-00005B530000}"/>
    <cellStyle name="Separador de milhares 3 2 2 3 7 2 2" xfId="10313" xr:uid="{00000000-0005-0000-0000-00005C530000}"/>
    <cellStyle name="Separador de milhares 3 2 2 3 7 2 2 2" xfId="28527" xr:uid="{00000000-0005-0000-0000-00005D530000}"/>
    <cellStyle name="Separador de milhares 3 2 2 3 7 2 2 2 2" xfId="54708" xr:uid="{00000000-0005-0000-0000-00005E530000}"/>
    <cellStyle name="Separador de milhares 3 2 2 3 7 2 2 3" xfId="22613" xr:uid="{00000000-0005-0000-0000-00005F530000}"/>
    <cellStyle name="Separador de milhares 3 2 2 3 7 2 2 3 2" xfId="48800" xr:uid="{00000000-0005-0000-0000-000060530000}"/>
    <cellStyle name="Separador de milhares 3 2 2 3 7 2 2 4" xfId="16699" xr:uid="{00000000-0005-0000-0000-000061530000}"/>
    <cellStyle name="Separador de milhares 3 2 2 3 7 2 2 4 2" xfId="42892" xr:uid="{00000000-0005-0000-0000-000062530000}"/>
    <cellStyle name="Separador de milhares 3 2 2 3 7 2 2 5" xfId="36506" xr:uid="{00000000-0005-0000-0000-000063530000}"/>
    <cellStyle name="Separador de milhares 3 2 2 3 7 2 3" xfId="25570" xr:uid="{00000000-0005-0000-0000-000064530000}"/>
    <cellStyle name="Separador de milhares 3 2 2 3 7 2 3 2" xfId="51754" xr:uid="{00000000-0005-0000-0000-000065530000}"/>
    <cellStyle name="Separador de milhares 3 2 2 3 7 2 4" xfId="19656" xr:uid="{00000000-0005-0000-0000-000066530000}"/>
    <cellStyle name="Separador de milhares 3 2 2 3 7 2 4 2" xfId="45846" xr:uid="{00000000-0005-0000-0000-000067530000}"/>
    <cellStyle name="Separador de milhares 3 2 2 3 7 2 5" xfId="13558" xr:uid="{00000000-0005-0000-0000-000068530000}"/>
    <cellStyle name="Separador de milhares 3 2 2 3 7 2 5 2" xfId="39751" xr:uid="{00000000-0005-0000-0000-000069530000}"/>
    <cellStyle name="Separador de milhares 3 2 2 3 7 2 6" xfId="33365" xr:uid="{00000000-0005-0000-0000-00006A530000}"/>
    <cellStyle name="Separador de milhares 3 2 2 3 7 3" xfId="8845" xr:uid="{00000000-0005-0000-0000-00006B530000}"/>
    <cellStyle name="Separador de milhares 3 2 2 3 7 3 2" xfId="27059" xr:uid="{00000000-0005-0000-0000-00006C530000}"/>
    <cellStyle name="Separador de milhares 3 2 2 3 7 3 2 2" xfId="53240" xr:uid="{00000000-0005-0000-0000-00006D530000}"/>
    <cellStyle name="Separador de milhares 3 2 2 3 7 3 3" xfId="21145" xr:uid="{00000000-0005-0000-0000-00006E530000}"/>
    <cellStyle name="Separador de milhares 3 2 2 3 7 3 3 2" xfId="47332" xr:uid="{00000000-0005-0000-0000-00006F530000}"/>
    <cellStyle name="Separador de milhares 3 2 2 3 7 3 4" xfId="15231" xr:uid="{00000000-0005-0000-0000-000070530000}"/>
    <cellStyle name="Separador de milhares 3 2 2 3 7 3 4 2" xfId="41424" xr:uid="{00000000-0005-0000-0000-000071530000}"/>
    <cellStyle name="Separador de milhares 3 2 2 3 7 3 5" xfId="35038" xr:uid="{00000000-0005-0000-0000-000072530000}"/>
    <cellStyle name="Separador de milhares 3 2 2 3 7 4" xfId="5470" xr:uid="{00000000-0005-0000-0000-000073530000}"/>
    <cellStyle name="Separador de milhares 3 2 2 3 7 4 2" xfId="24102" xr:uid="{00000000-0005-0000-0000-000074530000}"/>
    <cellStyle name="Separador de milhares 3 2 2 3 7 4 2 2" xfId="50286" xr:uid="{00000000-0005-0000-0000-000075530000}"/>
    <cellStyle name="Separador de milhares 3 2 2 3 7 4 3" xfId="31666" xr:uid="{00000000-0005-0000-0000-000076530000}"/>
    <cellStyle name="Separador de milhares 3 2 2 3 7 5" xfId="18188" xr:uid="{00000000-0005-0000-0000-000077530000}"/>
    <cellStyle name="Separador de milhares 3 2 2 3 7 5 2" xfId="44378" xr:uid="{00000000-0005-0000-0000-000078530000}"/>
    <cellStyle name="Separador de milhares 3 2 2 3 7 6" xfId="11857" xr:uid="{00000000-0005-0000-0000-000079530000}"/>
    <cellStyle name="Separador de milhares 3 2 2 3 7 6 2" xfId="38050" xr:uid="{00000000-0005-0000-0000-00007A530000}"/>
    <cellStyle name="Separador de milhares 3 2 2 3 7 7" xfId="29968" xr:uid="{00000000-0005-0000-0000-00007B530000}"/>
    <cellStyle name="Separador de milhares 3 2 2 3 8" xfId="3186" xr:uid="{00000000-0005-0000-0000-00007C530000}"/>
    <cellStyle name="Separador de milhares 3 2 2 3 8 2" xfId="7316" xr:uid="{00000000-0005-0000-0000-00007D530000}"/>
    <cellStyle name="Separador de milhares 3 2 2 3 8 2 2" xfId="10460" xr:uid="{00000000-0005-0000-0000-00007E530000}"/>
    <cellStyle name="Separador de milhares 3 2 2 3 8 2 2 2" xfId="28674" xr:uid="{00000000-0005-0000-0000-00007F530000}"/>
    <cellStyle name="Separador de milhares 3 2 2 3 8 2 2 2 2" xfId="54855" xr:uid="{00000000-0005-0000-0000-000080530000}"/>
    <cellStyle name="Separador de milhares 3 2 2 3 8 2 2 3" xfId="22760" xr:uid="{00000000-0005-0000-0000-000081530000}"/>
    <cellStyle name="Separador de milhares 3 2 2 3 8 2 2 3 2" xfId="48947" xr:uid="{00000000-0005-0000-0000-000082530000}"/>
    <cellStyle name="Separador de milhares 3 2 2 3 8 2 2 4" xfId="16846" xr:uid="{00000000-0005-0000-0000-000083530000}"/>
    <cellStyle name="Separador de milhares 3 2 2 3 8 2 2 4 2" xfId="43039" xr:uid="{00000000-0005-0000-0000-000084530000}"/>
    <cellStyle name="Separador de milhares 3 2 2 3 8 2 2 5" xfId="36653" xr:uid="{00000000-0005-0000-0000-000085530000}"/>
    <cellStyle name="Separador de milhares 3 2 2 3 8 2 3" xfId="25717" xr:uid="{00000000-0005-0000-0000-000086530000}"/>
    <cellStyle name="Separador de milhares 3 2 2 3 8 2 3 2" xfId="51901" xr:uid="{00000000-0005-0000-0000-000087530000}"/>
    <cellStyle name="Separador de milhares 3 2 2 3 8 2 4" xfId="19803" xr:uid="{00000000-0005-0000-0000-000088530000}"/>
    <cellStyle name="Separador de milhares 3 2 2 3 8 2 4 2" xfId="45993" xr:uid="{00000000-0005-0000-0000-000089530000}"/>
    <cellStyle name="Separador de milhares 3 2 2 3 8 2 5" xfId="13705" xr:uid="{00000000-0005-0000-0000-00008A530000}"/>
    <cellStyle name="Separador de milhares 3 2 2 3 8 2 5 2" xfId="39898" xr:uid="{00000000-0005-0000-0000-00008B530000}"/>
    <cellStyle name="Separador de milhares 3 2 2 3 8 2 6" xfId="33512" xr:uid="{00000000-0005-0000-0000-00008C530000}"/>
    <cellStyle name="Separador de milhares 3 2 2 3 8 3" xfId="8992" xr:uid="{00000000-0005-0000-0000-00008D530000}"/>
    <cellStyle name="Separador de milhares 3 2 2 3 8 3 2" xfId="27206" xr:uid="{00000000-0005-0000-0000-00008E530000}"/>
    <cellStyle name="Separador de milhares 3 2 2 3 8 3 2 2" xfId="53387" xr:uid="{00000000-0005-0000-0000-00008F530000}"/>
    <cellStyle name="Separador de milhares 3 2 2 3 8 3 3" xfId="21292" xr:uid="{00000000-0005-0000-0000-000090530000}"/>
    <cellStyle name="Separador de milhares 3 2 2 3 8 3 3 2" xfId="47479" xr:uid="{00000000-0005-0000-0000-000091530000}"/>
    <cellStyle name="Separador de milhares 3 2 2 3 8 3 4" xfId="15378" xr:uid="{00000000-0005-0000-0000-000092530000}"/>
    <cellStyle name="Separador de milhares 3 2 2 3 8 3 4 2" xfId="41571" xr:uid="{00000000-0005-0000-0000-000093530000}"/>
    <cellStyle name="Separador de milhares 3 2 2 3 8 3 5" xfId="35185" xr:uid="{00000000-0005-0000-0000-000094530000}"/>
    <cellStyle name="Separador de milhares 3 2 2 3 8 4" xfId="5617" xr:uid="{00000000-0005-0000-0000-000095530000}"/>
    <cellStyle name="Separador de milhares 3 2 2 3 8 4 2" xfId="24249" xr:uid="{00000000-0005-0000-0000-000096530000}"/>
    <cellStyle name="Separador de milhares 3 2 2 3 8 4 2 2" xfId="50433" xr:uid="{00000000-0005-0000-0000-000097530000}"/>
    <cellStyle name="Separador de milhares 3 2 2 3 8 4 3" xfId="31813" xr:uid="{00000000-0005-0000-0000-000098530000}"/>
    <cellStyle name="Separador de milhares 3 2 2 3 8 5" xfId="18335" xr:uid="{00000000-0005-0000-0000-000099530000}"/>
    <cellStyle name="Separador de milhares 3 2 2 3 8 5 2" xfId="44525" xr:uid="{00000000-0005-0000-0000-00009A530000}"/>
    <cellStyle name="Separador de milhares 3 2 2 3 8 6" xfId="12004" xr:uid="{00000000-0005-0000-0000-00009B530000}"/>
    <cellStyle name="Separador de milhares 3 2 2 3 8 6 2" xfId="38197" xr:uid="{00000000-0005-0000-0000-00009C530000}"/>
    <cellStyle name="Separador de milhares 3 2 2 3 8 7" xfId="30115" xr:uid="{00000000-0005-0000-0000-00009D530000}"/>
    <cellStyle name="Separador de milhares 3 2 2 3 9" xfId="3713" xr:uid="{00000000-0005-0000-0000-00009E530000}"/>
    <cellStyle name="Separador de milhares 3 2 2 3 9 2" xfId="7463" xr:uid="{00000000-0005-0000-0000-00009F530000}"/>
    <cellStyle name="Separador de milhares 3 2 2 3 9 2 2" xfId="10607" xr:uid="{00000000-0005-0000-0000-0000A0530000}"/>
    <cellStyle name="Separador de milhares 3 2 2 3 9 2 2 2" xfId="28821" xr:uid="{00000000-0005-0000-0000-0000A1530000}"/>
    <cellStyle name="Separador de milhares 3 2 2 3 9 2 2 2 2" xfId="55002" xr:uid="{00000000-0005-0000-0000-0000A2530000}"/>
    <cellStyle name="Separador de milhares 3 2 2 3 9 2 2 3" xfId="22907" xr:uid="{00000000-0005-0000-0000-0000A3530000}"/>
    <cellStyle name="Separador de milhares 3 2 2 3 9 2 2 3 2" xfId="49094" xr:uid="{00000000-0005-0000-0000-0000A4530000}"/>
    <cellStyle name="Separador de milhares 3 2 2 3 9 2 2 4" xfId="16993" xr:uid="{00000000-0005-0000-0000-0000A5530000}"/>
    <cellStyle name="Separador de milhares 3 2 2 3 9 2 2 4 2" xfId="43186" xr:uid="{00000000-0005-0000-0000-0000A6530000}"/>
    <cellStyle name="Separador de milhares 3 2 2 3 9 2 2 5" xfId="36800" xr:uid="{00000000-0005-0000-0000-0000A7530000}"/>
    <cellStyle name="Separador de milhares 3 2 2 3 9 2 3" xfId="25864" xr:uid="{00000000-0005-0000-0000-0000A8530000}"/>
    <cellStyle name="Separador de milhares 3 2 2 3 9 2 3 2" xfId="52048" xr:uid="{00000000-0005-0000-0000-0000A9530000}"/>
    <cellStyle name="Separador de milhares 3 2 2 3 9 2 4" xfId="19950" xr:uid="{00000000-0005-0000-0000-0000AA530000}"/>
    <cellStyle name="Separador de milhares 3 2 2 3 9 2 4 2" xfId="46140" xr:uid="{00000000-0005-0000-0000-0000AB530000}"/>
    <cellStyle name="Separador de milhares 3 2 2 3 9 2 5" xfId="13852" xr:uid="{00000000-0005-0000-0000-0000AC530000}"/>
    <cellStyle name="Separador de milhares 3 2 2 3 9 2 5 2" xfId="40045" xr:uid="{00000000-0005-0000-0000-0000AD530000}"/>
    <cellStyle name="Separador de milhares 3 2 2 3 9 2 6" xfId="33659" xr:uid="{00000000-0005-0000-0000-0000AE530000}"/>
    <cellStyle name="Separador de milhares 3 2 2 3 9 3" xfId="9139" xr:uid="{00000000-0005-0000-0000-0000AF530000}"/>
    <cellStyle name="Separador de milhares 3 2 2 3 9 3 2" xfId="27353" xr:uid="{00000000-0005-0000-0000-0000B0530000}"/>
    <cellStyle name="Separador de milhares 3 2 2 3 9 3 2 2" xfId="53534" xr:uid="{00000000-0005-0000-0000-0000B1530000}"/>
    <cellStyle name="Separador de milhares 3 2 2 3 9 3 3" xfId="21439" xr:uid="{00000000-0005-0000-0000-0000B2530000}"/>
    <cellStyle name="Separador de milhares 3 2 2 3 9 3 3 2" xfId="47626" xr:uid="{00000000-0005-0000-0000-0000B3530000}"/>
    <cellStyle name="Separador de milhares 3 2 2 3 9 3 4" xfId="15525" xr:uid="{00000000-0005-0000-0000-0000B4530000}"/>
    <cellStyle name="Separador de milhares 3 2 2 3 9 3 4 2" xfId="41718" xr:uid="{00000000-0005-0000-0000-0000B5530000}"/>
    <cellStyle name="Separador de milhares 3 2 2 3 9 3 5" xfId="35332" xr:uid="{00000000-0005-0000-0000-0000B6530000}"/>
    <cellStyle name="Separador de milhares 3 2 2 3 9 4" xfId="5764" xr:uid="{00000000-0005-0000-0000-0000B7530000}"/>
    <cellStyle name="Separador de milhares 3 2 2 3 9 4 2" xfId="24396" xr:uid="{00000000-0005-0000-0000-0000B8530000}"/>
    <cellStyle name="Separador de milhares 3 2 2 3 9 4 2 2" xfId="50580" xr:uid="{00000000-0005-0000-0000-0000B9530000}"/>
    <cellStyle name="Separador de milhares 3 2 2 3 9 4 3" xfId="31960" xr:uid="{00000000-0005-0000-0000-0000BA530000}"/>
    <cellStyle name="Separador de milhares 3 2 2 3 9 5" xfId="18482" xr:uid="{00000000-0005-0000-0000-0000BB530000}"/>
    <cellStyle name="Separador de milhares 3 2 2 3 9 5 2" xfId="44672" xr:uid="{00000000-0005-0000-0000-0000BC530000}"/>
    <cellStyle name="Separador de milhares 3 2 2 3 9 6" xfId="12151" xr:uid="{00000000-0005-0000-0000-0000BD530000}"/>
    <cellStyle name="Separador de milhares 3 2 2 3 9 6 2" xfId="38344" xr:uid="{00000000-0005-0000-0000-0000BE530000}"/>
    <cellStyle name="Separador de milhares 3 2 2 3 9 7" xfId="30262" xr:uid="{00000000-0005-0000-0000-0000BF530000}"/>
    <cellStyle name="Separador de milhares 3 2 2 4" xfId="349" xr:uid="{00000000-0005-0000-0000-0000C0530000}"/>
    <cellStyle name="Separador de milhares 3 2 2 4 10" xfId="6510" xr:uid="{00000000-0005-0000-0000-0000C1530000}"/>
    <cellStyle name="Separador de milhares 3 2 2 4 10 2" xfId="9658" xr:uid="{00000000-0005-0000-0000-0000C2530000}"/>
    <cellStyle name="Separador de milhares 3 2 2 4 10 2 2" xfId="27872" xr:uid="{00000000-0005-0000-0000-0000C3530000}"/>
    <cellStyle name="Separador de milhares 3 2 2 4 10 2 2 2" xfId="54053" xr:uid="{00000000-0005-0000-0000-0000C4530000}"/>
    <cellStyle name="Separador de milhares 3 2 2 4 10 2 3" xfId="21958" xr:uid="{00000000-0005-0000-0000-0000C5530000}"/>
    <cellStyle name="Separador de milhares 3 2 2 4 10 2 3 2" xfId="48145" xr:uid="{00000000-0005-0000-0000-0000C6530000}"/>
    <cellStyle name="Separador de milhares 3 2 2 4 10 2 4" xfId="16044" xr:uid="{00000000-0005-0000-0000-0000C7530000}"/>
    <cellStyle name="Separador de milhares 3 2 2 4 10 2 4 2" xfId="42237" xr:uid="{00000000-0005-0000-0000-0000C8530000}"/>
    <cellStyle name="Separador de milhares 3 2 2 4 10 2 5" xfId="35851" xr:uid="{00000000-0005-0000-0000-0000C9530000}"/>
    <cellStyle name="Separador de milhares 3 2 2 4 10 3" xfId="24915" xr:uid="{00000000-0005-0000-0000-0000CA530000}"/>
    <cellStyle name="Separador de milhares 3 2 2 4 10 3 2" xfId="51099" xr:uid="{00000000-0005-0000-0000-0000CB530000}"/>
    <cellStyle name="Separador de milhares 3 2 2 4 10 4" xfId="19001" xr:uid="{00000000-0005-0000-0000-0000CC530000}"/>
    <cellStyle name="Separador de milhares 3 2 2 4 10 4 2" xfId="45191" xr:uid="{00000000-0005-0000-0000-0000CD530000}"/>
    <cellStyle name="Separador de milhares 3 2 2 4 10 5" xfId="12899" xr:uid="{00000000-0005-0000-0000-0000CE530000}"/>
    <cellStyle name="Separador de milhares 3 2 2 4 10 5 2" xfId="39092" xr:uid="{00000000-0005-0000-0000-0000CF530000}"/>
    <cellStyle name="Separador de milhares 3 2 2 4 10 6" xfId="32706" xr:uid="{00000000-0005-0000-0000-0000D0530000}"/>
    <cellStyle name="Separador de milhares 3 2 2 4 11" xfId="8187" xr:uid="{00000000-0005-0000-0000-0000D1530000}"/>
    <cellStyle name="Separador de milhares 3 2 2 4 11 2" xfId="26401" xr:uid="{00000000-0005-0000-0000-0000D2530000}"/>
    <cellStyle name="Separador de milhares 3 2 2 4 11 2 2" xfId="52585" xr:uid="{00000000-0005-0000-0000-0000D3530000}"/>
    <cellStyle name="Separador de milhares 3 2 2 4 11 3" xfId="20487" xr:uid="{00000000-0005-0000-0000-0000D4530000}"/>
    <cellStyle name="Separador de milhares 3 2 2 4 11 3 2" xfId="46677" xr:uid="{00000000-0005-0000-0000-0000D5530000}"/>
    <cellStyle name="Separador de milhares 3 2 2 4 11 4" xfId="14576" xr:uid="{00000000-0005-0000-0000-0000D6530000}"/>
    <cellStyle name="Separador de milhares 3 2 2 4 11 4 2" xfId="40769" xr:uid="{00000000-0005-0000-0000-0000D7530000}"/>
    <cellStyle name="Separador de milhares 3 2 2 4 11 5" xfId="34383" xr:uid="{00000000-0005-0000-0000-0000D8530000}"/>
    <cellStyle name="Separador de milhares 3 2 2 4 12" xfId="4809" xr:uid="{00000000-0005-0000-0000-0000D9530000}"/>
    <cellStyle name="Separador de milhares 3 2 2 4 12 2" xfId="23444" xr:uid="{00000000-0005-0000-0000-0000DA530000}"/>
    <cellStyle name="Separador de milhares 3 2 2 4 12 2 2" xfId="49631" xr:uid="{00000000-0005-0000-0000-0000DB530000}"/>
    <cellStyle name="Separador de milhares 3 2 2 4 12 3" xfId="31007" xr:uid="{00000000-0005-0000-0000-0000DC530000}"/>
    <cellStyle name="Separador de milhares 3 2 2 4 13" xfId="17530" xr:uid="{00000000-0005-0000-0000-0000DD530000}"/>
    <cellStyle name="Separador de milhares 3 2 2 4 13 2" xfId="43723" xr:uid="{00000000-0005-0000-0000-0000DE530000}"/>
    <cellStyle name="Separador de milhares 3 2 2 4 14" xfId="11198" xr:uid="{00000000-0005-0000-0000-0000DF530000}"/>
    <cellStyle name="Separador de milhares 3 2 2 4 14 2" xfId="37391" xr:uid="{00000000-0005-0000-0000-0000E0530000}"/>
    <cellStyle name="Separador de milhares 3 2 2 4 15" xfId="29309" xr:uid="{00000000-0005-0000-0000-0000E1530000}"/>
    <cellStyle name="Separador de milhares 3 2 2 4 2" xfId="994" xr:uid="{00000000-0005-0000-0000-0000E2530000}"/>
    <cellStyle name="Separador de milhares 3 2 2 4 2 2" xfId="6707" xr:uid="{00000000-0005-0000-0000-0000E3530000}"/>
    <cellStyle name="Separador de milhares 3 2 2 4 2 2 2" xfId="9854" xr:uid="{00000000-0005-0000-0000-0000E4530000}"/>
    <cellStyle name="Separador de milhares 3 2 2 4 2 2 2 2" xfId="28068" xr:uid="{00000000-0005-0000-0000-0000E5530000}"/>
    <cellStyle name="Separador de milhares 3 2 2 4 2 2 2 2 2" xfId="54249" xr:uid="{00000000-0005-0000-0000-0000E6530000}"/>
    <cellStyle name="Separador de milhares 3 2 2 4 2 2 2 3" xfId="22154" xr:uid="{00000000-0005-0000-0000-0000E7530000}"/>
    <cellStyle name="Separador de milhares 3 2 2 4 2 2 2 3 2" xfId="48341" xr:uid="{00000000-0005-0000-0000-0000E8530000}"/>
    <cellStyle name="Separador de milhares 3 2 2 4 2 2 2 4" xfId="16240" xr:uid="{00000000-0005-0000-0000-0000E9530000}"/>
    <cellStyle name="Separador de milhares 3 2 2 4 2 2 2 4 2" xfId="42433" xr:uid="{00000000-0005-0000-0000-0000EA530000}"/>
    <cellStyle name="Separador de milhares 3 2 2 4 2 2 2 5" xfId="36047" xr:uid="{00000000-0005-0000-0000-0000EB530000}"/>
    <cellStyle name="Separador de milhares 3 2 2 4 2 2 3" xfId="25111" xr:uid="{00000000-0005-0000-0000-0000EC530000}"/>
    <cellStyle name="Separador de milhares 3 2 2 4 2 2 3 2" xfId="51295" xr:uid="{00000000-0005-0000-0000-0000ED530000}"/>
    <cellStyle name="Separador de milhares 3 2 2 4 2 2 4" xfId="19197" xr:uid="{00000000-0005-0000-0000-0000EE530000}"/>
    <cellStyle name="Separador de milhares 3 2 2 4 2 2 4 2" xfId="45387" xr:uid="{00000000-0005-0000-0000-0000EF530000}"/>
    <cellStyle name="Separador de milhares 3 2 2 4 2 2 5" xfId="13096" xr:uid="{00000000-0005-0000-0000-0000F0530000}"/>
    <cellStyle name="Separador de milhares 3 2 2 4 2 2 5 2" xfId="39289" xr:uid="{00000000-0005-0000-0000-0000F1530000}"/>
    <cellStyle name="Separador de milhares 3 2 2 4 2 2 6" xfId="32903" xr:uid="{00000000-0005-0000-0000-0000F2530000}"/>
    <cellStyle name="Separador de milhares 3 2 2 4 2 3" xfId="8386" xr:uid="{00000000-0005-0000-0000-0000F3530000}"/>
    <cellStyle name="Separador de milhares 3 2 2 4 2 3 2" xfId="26600" xr:uid="{00000000-0005-0000-0000-0000F4530000}"/>
    <cellStyle name="Separador de milhares 3 2 2 4 2 3 2 2" xfId="52781" xr:uid="{00000000-0005-0000-0000-0000F5530000}"/>
    <cellStyle name="Separador de milhares 3 2 2 4 2 3 3" xfId="20686" xr:uid="{00000000-0005-0000-0000-0000F6530000}"/>
    <cellStyle name="Separador de milhares 3 2 2 4 2 3 3 2" xfId="46873" xr:uid="{00000000-0005-0000-0000-0000F7530000}"/>
    <cellStyle name="Separador de milhares 3 2 2 4 2 3 4" xfId="14772" xr:uid="{00000000-0005-0000-0000-0000F8530000}"/>
    <cellStyle name="Separador de milhares 3 2 2 4 2 3 4 2" xfId="40965" xr:uid="{00000000-0005-0000-0000-0000F9530000}"/>
    <cellStyle name="Separador de milhares 3 2 2 4 2 3 5" xfId="34579" xr:uid="{00000000-0005-0000-0000-0000FA530000}"/>
    <cellStyle name="Separador de milhares 3 2 2 4 2 4" xfId="5008" xr:uid="{00000000-0005-0000-0000-0000FB530000}"/>
    <cellStyle name="Separador de milhares 3 2 2 4 2 4 2" xfId="23643" xr:uid="{00000000-0005-0000-0000-0000FC530000}"/>
    <cellStyle name="Separador de milhares 3 2 2 4 2 4 2 2" xfId="49827" xr:uid="{00000000-0005-0000-0000-0000FD530000}"/>
    <cellStyle name="Separador de milhares 3 2 2 4 2 4 3" xfId="31204" xr:uid="{00000000-0005-0000-0000-0000FE530000}"/>
    <cellStyle name="Separador de milhares 3 2 2 4 2 5" xfId="17729" xr:uid="{00000000-0005-0000-0000-0000FF530000}"/>
    <cellStyle name="Separador de milhares 3 2 2 4 2 5 2" xfId="43919" xr:uid="{00000000-0005-0000-0000-000000540000}"/>
    <cellStyle name="Separador de milhares 3 2 2 4 2 6" xfId="11395" xr:uid="{00000000-0005-0000-0000-000001540000}"/>
    <cellStyle name="Separador de milhares 3 2 2 4 2 6 2" xfId="37588" xr:uid="{00000000-0005-0000-0000-000002540000}"/>
    <cellStyle name="Separador de milhares 3 2 2 4 2 7" xfId="29506" xr:uid="{00000000-0005-0000-0000-000003540000}"/>
    <cellStyle name="Separador de milhares 3 2 2 4 3" xfId="1345" xr:uid="{00000000-0005-0000-0000-000004540000}"/>
    <cellStyle name="Separador de milhares 3 2 2 4 3 2" xfId="6805" xr:uid="{00000000-0005-0000-0000-000005540000}"/>
    <cellStyle name="Separador de milhares 3 2 2 4 3 2 2" xfId="9952" xr:uid="{00000000-0005-0000-0000-000006540000}"/>
    <cellStyle name="Separador de milhares 3 2 2 4 3 2 2 2" xfId="28166" xr:uid="{00000000-0005-0000-0000-000007540000}"/>
    <cellStyle name="Separador de milhares 3 2 2 4 3 2 2 2 2" xfId="54347" xr:uid="{00000000-0005-0000-0000-000008540000}"/>
    <cellStyle name="Separador de milhares 3 2 2 4 3 2 2 3" xfId="22252" xr:uid="{00000000-0005-0000-0000-000009540000}"/>
    <cellStyle name="Separador de milhares 3 2 2 4 3 2 2 3 2" xfId="48439" xr:uid="{00000000-0005-0000-0000-00000A540000}"/>
    <cellStyle name="Separador de milhares 3 2 2 4 3 2 2 4" xfId="16338" xr:uid="{00000000-0005-0000-0000-00000B540000}"/>
    <cellStyle name="Separador de milhares 3 2 2 4 3 2 2 4 2" xfId="42531" xr:uid="{00000000-0005-0000-0000-00000C540000}"/>
    <cellStyle name="Separador de milhares 3 2 2 4 3 2 2 5" xfId="36145" xr:uid="{00000000-0005-0000-0000-00000D540000}"/>
    <cellStyle name="Separador de milhares 3 2 2 4 3 2 3" xfId="25209" xr:uid="{00000000-0005-0000-0000-00000E540000}"/>
    <cellStyle name="Separador de milhares 3 2 2 4 3 2 3 2" xfId="51393" xr:uid="{00000000-0005-0000-0000-00000F540000}"/>
    <cellStyle name="Separador de milhares 3 2 2 4 3 2 4" xfId="19295" xr:uid="{00000000-0005-0000-0000-000010540000}"/>
    <cellStyle name="Separador de milhares 3 2 2 4 3 2 4 2" xfId="45485" xr:uid="{00000000-0005-0000-0000-000011540000}"/>
    <cellStyle name="Separador de milhares 3 2 2 4 3 2 5" xfId="13194" xr:uid="{00000000-0005-0000-0000-000012540000}"/>
    <cellStyle name="Separador de milhares 3 2 2 4 3 2 5 2" xfId="39387" xr:uid="{00000000-0005-0000-0000-000013540000}"/>
    <cellStyle name="Separador de milhares 3 2 2 4 3 2 6" xfId="33001" xr:uid="{00000000-0005-0000-0000-000014540000}"/>
    <cellStyle name="Separador de milhares 3 2 2 4 3 3" xfId="8484" xr:uid="{00000000-0005-0000-0000-000015540000}"/>
    <cellStyle name="Separador de milhares 3 2 2 4 3 3 2" xfId="26698" xr:uid="{00000000-0005-0000-0000-000016540000}"/>
    <cellStyle name="Separador de milhares 3 2 2 4 3 3 2 2" xfId="52879" xr:uid="{00000000-0005-0000-0000-000017540000}"/>
    <cellStyle name="Separador de milhares 3 2 2 4 3 3 3" xfId="20784" xr:uid="{00000000-0005-0000-0000-000018540000}"/>
    <cellStyle name="Separador de milhares 3 2 2 4 3 3 3 2" xfId="46971" xr:uid="{00000000-0005-0000-0000-000019540000}"/>
    <cellStyle name="Separador de milhares 3 2 2 4 3 3 4" xfId="14870" xr:uid="{00000000-0005-0000-0000-00001A540000}"/>
    <cellStyle name="Separador de milhares 3 2 2 4 3 3 4 2" xfId="41063" xr:uid="{00000000-0005-0000-0000-00001B540000}"/>
    <cellStyle name="Separador de milhares 3 2 2 4 3 3 5" xfId="34677" xr:uid="{00000000-0005-0000-0000-00001C540000}"/>
    <cellStyle name="Separador de milhares 3 2 2 4 3 4" xfId="5106" xr:uid="{00000000-0005-0000-0000-00001D540000}"/>
    <cellStyle name="Separador de milhares 3 2 2 4 3 4 2" xfId="23741" xr:uid="{00000000-0005-0000-0000-00001E540000}"/>
    <cellStyle name="Separador de milhares 3 2 2 4 3 4 2 2" xfId="49925" xr:uid="{00000000-0005-0000-0000-00001F540000}"/>
    <cellStyle name="Separador de milhares 3 2 2 4 3 4 3" xfId="31302" xr:uid="{00000000-0005-0000-0000-000020540000}"/>
    <cellStyle name="Separador de milhares 3 2 2 4 3 5" xfId="17827" xr:uid="{00000000-0005-0000-0000-000021540000}"/>
    <cellStyle name="Separador de milhares 3 2 2 4 3 5 2" xfId="44017" xr:uid="{00000000-0005-0000-0000-000022540000}"/>
    <cellStyle name="Separador de milhares 3 2 2 4 3 6" xfId="11493" xr:uid="{00000000-0005-0000-0000-000023540000}"/>
    <cellStyle name="Separador de milhares 3 2 2 4 3 6 2" xfId="37686" xr:uid="{00000000-0005-0000-0000-000024540000}"/>
    <cellStyle name="Separador de milhares 3 2 2 4 3 7" xfId="29604" xr:uid="{00000000-0005-0000-0000-000025540000}"/>
    <cellStyle name="Separador de milhares 3 2 2 4 4" xfId="1780" xr:uid="{00000000-0005-0000-0000-000026540000}"/>
    <cellStyle name="Separador de milhares 3 2 2 4 4 2" xfId="6924" xr:uid="{00000000-0005-0000-0000-000027540000}"/>
    <cellStyle name="Separador de milhares 3 2 2 4 4 2 2" xfId="10071" xr:uid="{00000000-0005-0000-0000-000028540000}"/>
    <cellStyle name="Separador de milhares 3 2 2 4 4 2 2 2" xfId="28285" xr:uid="{00000000-0005-0000-0000-000029540000}"/>
    <cellStyle name="Separador de milhares 3 2 2 4 4 2 2 2 2" xfId="54466" xr:uid="{00000000-0005-0000-0000-00002A540000}"/>
    <cellStyle name="Separador de milhares 3 2 2 4 4 2 2 3" xfId="22371" xr:uid="{00000000-0005-0000-0000-00002B540000}"/>
    <cellStyle name="Separador de milhares 3 2 2 4 4 2 2 3 2" xfId="48558" xr:uid="{00000000-0005-0000-0000-00002C540000}"/>
    <cellStyle name="Separador de milhares 3 2 2 4 4 2 2 4" xfId="16457" xr:uid="{00000000-0005-0000-0000-00002D540000}"/>
    <cellStyle name="Separador de milhares 3 2 2 4 4 2 2 4 2" xfId="42650" xr:uid="{00000000-0005-0000-0000-00002E540000}"/>
    <cellStyle name="Separador de milhares 3 2 2 4 4 2 2 5" xfId="36264" xr:uid="{00000000-0005-0000-0000-00002F540000}"/>
    <cellStyle name="Separador de milhares 3 2 2 4 4 2 3" xfId="25328" xr:uid="{00000000-0005-0000-0000-000030540000}"/>
    <cellStyle name="Separador de milhares 3 2 2 4 4 2 3 2" xfId="51512" xr:uid="{00000000-0005-0000-0000-000031540000}"/>
    <cellStyle name="Separador de milhares 3 2 2 4 4 2 4" xfId="19414" xr:uid="{00000000-0005-0000-0000-000032540000}"/>
    <cellStyle name="Separador de milhares 3 2 2 4 4 2 4 2" xfId="45604" xr:uid="{00000000-0005-0000-0000-000033540000}"/>
    <cellStyle name="Separador de milhares 3 2 2 4 4 2 5" xfId="13313" xr:uid="{00000000-0005-0000-0000-000034540000}"/>
    <cellStyle name="Separador de milhares 3 2 2 4 4 2 5 2" xfId="39506" xr:uid="{00000000-0005-0000-0000-000035540000}"/>
    <cellStyle name="Separador de milhares 3 2 2 4 4 2 6" xfId="33120" xr:uid="{00000000-0005-0000-0000-000036540000}"/>
    <cellStyle name="Separador de milhares 3 2 2 4 4 3" xfId="8603" xr:uid="{00000000-0005-0000-0000-000037540000}"/>
    <cellStyle name="Separador de milhares 3 2 2 4 4 3 2" xfId="26817" xr:uid="{00000000-0005-0000-0000-000038540000}"/>
    <cellStyle name="Separador de milhares 3 2 2 4 4 3 2 2" xfId="52998" xr:uid="{00000000-0005-0000-0000-000039540000}"/>
    <cellStyle name="Separador de milhares 3 2 2 4 4 3 3" xfId="20903" xr:uid="{00000000-0005-0000-0000-00003A540000}"/>
    <cellStyle name="Separador de milhares 3 2 2 4 4 3 3 2" xfId="47090" xr:uid="{00000000-0005-0000-0000-00003B540000}"/>
    <cellStyle name="Separador de milhares 3 2 2 4 4 3 4" xfId="14989" xr:uid="{00000000-0005-0000-0000-00003C540000}"/>
    <cellStyle name="Separador de milhares 3 2 2 4 4 3 4 2" xfId="41182" xr:uid="{00000000-0005-0000-0000-00003D540000}"/>
    <cellStyle name="Separador de milhares 3 2 2 4 4 3 5" xfId="34796" xr:uid="{00000000-0005-0000-0000-00003E540000}"/>
    <cellStyle name="Separador de milhares 3 2 2 4 4 4" xfId="5225" xr:uid="{00000000-0005-0000-0000-00003F540000}"/>
    <cellStyle name="Separador de milhares 3 2 2 4 4 4 2" xfId="23860" xr:uid="{00000000-0005-0000-0000-000040540000}"/>
    <cellStyle name="Separador de milhares 3 2 2 4 4 4 2 2" xfId="50044" xr:uid="{00000000-0005-0000-0000-000041540000}"/>
    <cellStyle name="Separador de milhares 3 2 2 4 4 4 3" xfId="31421" xr:uid="{00000000-0005-0000-0000-000042540000}"/>
    <cellStyle name="Separador de milhares 3 2 2 4 4 5" xfId="17946" xr:uid="{00000000-0005-0000-0000-000043540000}"/>
    <cellStyle name="Separador de milhares 3 2 2 4 4 5 2" xfId="44136" xr:uid="{00000000-0005-0000-0000-000044540000}"/>
    <cellStyle name="Separador de milhares 3 2 2 4 4 6" xfId="11612" xr:uid="{00000000-0005-0000-0000-000045540000}"/>
    <cellStyle name="Separador de milhares 3 2 2 4 4 6 2" xfId="37805" xr:uid="{00000000-0005-0000-0000-000046540000}"/>
    <cellStyle name="Separador de milhares 3 2 2 4 4 7" xfId="29723" xr:uid="{00000000-0005-0000-0000-000047540000}"/>
    <cellStyle name="Separador de milhares 3 2 2 4 5" xfId="2310" xr:uid="{00000000-0005-0000-0000-000048540000}"/>
    <cellStyle name="Separador de milhares 3 2 2 4 5 2" xfId="7074" xr:uid="{00000000-0005-0000-0000-000049540000}"/>
    <cellStyle name="Separador de milhares 3 2 2 4 5 2 2" xfId="10218" xr:uid="{00000000-0005-0000-0000-00004A540000}"/>
    <cellStyle name="Separador de milhares 3 2 2 4 5 2 2 2" xfId="28432" xr:uid="{00000000-0005-0000-0000-00004B540000}"/>
    <cellStyle name="Separador de milhares 3 2 2 4 5 2 2 2 2" xfId="54613" xr:uid="{00000000-0005-0000-0000-00004C540000}"/>
    <cellStyle name="Separador de milhares 3 2 2 4 5 2 2 3" xfId="22518" xr:uid="{00000000-0005-0000-0000-00004D540000}"/>
    <cellStyle name="Separador de milhares 3 2 2 4 5 2 2 3 2" xfId="48705" xr:uid="{00000000-0005-0000-0000-00004E540000}"/>
    <cellStyle name="Separador de milhares 3 2 2 4 5 2 2 4" xfId="16604" xr:uid="{00000000-0005-0000-0000-00004F540000}"/>
    <cellStyle name="Separador de milhares 3 2 2 4 5 2 2 4 2" xfId="42797" xr:uid="{00000000-0005-0000-0000-000050540000}"/>
    <cellStyle name="Separador de milhares 3 2 2 4 5 2 2 5" xfId="36411" xr:uid="{00000000-0005-0000-0000-000051540000}"/>
    <cellStyle name="Separador de milhares 3 2 2 4 5 2 3" xfId="25475" xr:uid="{00000000-0005-0000-0000-000052540000}"/>
    <cellStyle name="Separador de milhares 3 2 2 4 5 2 3 2" xfId="51659" xr:uid="{00000000-0005-0000-0000-000053540000}"/>
    <cellStyle name="Separador de milhares 3 2 2 4 5 2 4" xfId="19561" xr:uid="{00000000-0005-0000-0000-000054540000}"/>
    <cellStyle name="Separador de milhares 3 2 2 4 5 2 4 2" xfId="45751" xr:uid="{00000000-0005-0000-0000-000055540000}"/>
    <cellStyle name="Separador de milhares 3 2 2 4 5 2 5" xfId="13463" xr:uid="{00000000-0005-0000-0000-000056540000}"/>
    <cellStyle name="Separador de milhares 3 2 2 4 5 2 5 2" xfId="39656" xr:uid="{00000000-0005-0000-0000-000057540000}"/>
    <cellStyle name="Separador de milhares 3 2 2 4 5 2 6" xfId="33270" xr:uid="{00000000-0005-0000-0000-000058540000}"/>
    <cellStyle name="Separador de milhares 3 2 2 4 5 3" xfId="8750" xr:uid="{00000000-0005-0000-0000-000059540000}"/>
    <cellStyle name="Separador de milhares 3 2 2 4 5 3 2" xfId="26964" xr:uid="{00000000-0005-0000-0000-00005A540000}"/>
    <cellStyle name="Separador de milhares 3 2 2 4 5 3 2 2" xfId="53145" xr:uid="{00000000-0005-0000-0000-00005B540000}"/>
    <cellStyle name="Separador de milhares 3 2 2 4 5 3 3" xfId="21050" xr:uid="{00000000-0005-0000-0000-00005C540000}"/>
    <cellStyle name="Separador de milhares 3 2 2 4 5 3 3 2" xfId="47237" xr:uid="{00000000-0005-0000-0000-00005D540000}"/>
    <cellStyle name="Separador de milhares 3 2 2 4 5 3 4" xfId="15136" xr:uid="{00000000-0005-0000-0000-00005E540000}"/>
    <cellStyle name="Separador de milhares 3 2 2 4 5 3 4 2" xfId="41329" xr:uid="{00000000-0005-0000-0000-00005F540000}"/>
    <cellStyle name="Separador de milhares 3 2 2 4 5 3 5" xfId="34943" xr:uid="{00000000-0005-0000-0000-000060540000}"/>
    <cellStyle name="Separador de milhares 3 2 2 4 5 4" xfId="5375" xr:uid="{00000000-0005-0000-0000-000061540000}"/>
    <cellStyle name="Separador de milhares 3 2 2 4 5 4 2" xfId="24007" xr:uid="{00000000-0005-0000-0000-000062540000}"/>
    <cellStyle name="Separador de milhares 3 2 2 4 5 4 2 2" xfId="50191" xr:uid="{00000000-0005-0000-0000-000063540000}"/>
    <cellStyle name="Separador de milhares 3 2 2 4 5 4 3" xfId="31571" xr:uid="{00000000-0005-0000-0000-000064540000}"/>
    <cellStyle name="Separador de milhares 3 2 2 4 5 5" xfId="18093" xr:uid="{00000000-0005-0000-0000-000065540000}"/>
    <cellStyle name="Separador de milhares 3 2 2 4 5 5 2" xfId="44283" xr:uid="{00000000-0005-0000-0000-000066540000}"/>
    <cellStyle name="Separador de milhares 3 2 2 4 5 6" xfId="11762" xr:uid="{00000000-0005-0000-0000-000067540000}"/>
    <cellStyle name="Separador de milhares 3 2 2 4 5 6 2" xfId="37955" xr:uid="{00000000-0005-0000-0000-000068540000}"/>
    <cellStyle name="Separador de milhares 3 2 2 4 5 7" xfId="29873" xr:uid="{00000000-0005-0000-0000-000069540000}"/>
    <cellStyle name="Separador de milhares 3 2 2 4 6" xfId="2837" xr:uid="{00000000-0005-0000-0000-00006A540000}"/>
    <cellStyle name="Separador de milhares 3 2 2 4 6 2" xfId="7221" xr:uid="{00000000-0005-0000-0000-00006B540000}"/>
    <cellStyle name="Separador de milhares 3 2 2 4 6 2 2" xfId="10365" xr:uid="{00000000-0005-0000-0000-00006C540000}"/>
    <cellStyle name="Separador de milhares 3 2 2 4 6 2 2 2" xfId="28579" xr:uid="{00000000-0005-0000-0000-00006D540000}"/>
    <cellStyle name="Separador de milhares 3 2 2 4 6 2 2 2 2" xfId="54760" xr:uid="{00000000-0005-0000-0000-00006E540000}"/>
    <cellStyle name="Separador de milhares 3 2 2 4 6 2 2 3" xfId="22665" xr:uid="{00000000-0005-0000-0000-00006F540000}"/>
    <cellStyle name="Separador de milhares 3 2 2 4 6 2 2 3 2" xfId="48852" xr:uid="{00000000-0005-0000-0000-000070540000}"/>
    <cellStyle name="Separador de milhares 3 2 2 4 6 2 2 4" xfId="16751" xr:uid="{00000000-0005-0000-0000-000071540000}"/>
    <cellStyle name="Separador de milhares 3 2 2 4 6 2 2 4 2" xfId="42944" xr:uid="{00000000-0005-0000-0000-000072540000}"/>
    <cellStyle name="Separador de milhares 3 2 2 4 6 2 2 5" xfId="36558" xr:uid="{00000000-0005-0000-0000-000073540000}"/>
    <cellStyle name="Separador de milhares 3 2 2 4 6 2 3" xfId="25622" xr:uid="{00000000-0005-0000-0000-000074540000}"/>
    <cellStyle name="Separador de milhares 3 2 2 4 6 2 3 2" xfId="51806" xr:uid="{00000000-0005-0000-0000-000075540000}"/>
    <cellStyle name="Separador de milhares 3 2 2 4 6 2 4" xfId="19708" xr:uid="{00000000-0005-0000-0000-000076540000}"/>
    <cellStyle name="Separador de milhares 3 2 2 4 6 2 4 2" xfId="45898" xr:uid="{00000000-0005-0000-0000-000077540000}"/>
    <cellStyle name="Separador de milhares 3 2 2 4 6 2 5" xfId="13610" xr:uid="{00000000-0005-0000-0000-000078540000}"/>
    <cellStyle name="Separador de milhares 3 2 2 4 6 2 5 2" xfId="39803" xr:uid="{00000000-0005-0000-0000-000079540000}"/>
    <cellStyle name="Separador de milhares 3 2 2 4 6 2 6" xfId="33417" xr:uid="{00000000-0005-0000-0000-00007A540000}"/>
    <cellStyle name="Separador de milhares 3 2 2 4 6 3" xfId="8897" xr:uid="{00000000-0005-0000-0000-00007B540000}"/>
    <cellStyle name="Separador de milhares 3 2 2 4 6 3 2" xfId="27111" xr:uid="{00000000-0005-0000-0000-00007C540000}"/>
    <cellStyle name="Separador de milhares 3 2 2 4 6 3 2 2" xfId="53292" xr:uid="{00000000-0005-0000-0000-00007D540000}"/>
    <cellStyle name="Separador de milhares 3 2 2 4 6 3 3" xfId="21197" xr:uid="{00000000-0005-0000-0000-00007E540000}"/>
    <cellStyle name="Separador de milhares 3 2 2 4 6 3 3 2" xfId="47384" xr:uid="{00000000-0005-0000-0000-00007F540000}"/>
    <cellStyle name="Separador de milhares 3 2 2 4 6 3 4" xfId="15283" xr:uid="{00000000-0005-0000-0000-000080540000}"/>
    <cellStyle name="Separador de milhares 3 2 2 4 6 3 4 2" xfId="41476" xr:uid="{00000000-0005-0000-0000-000081540000}"/>
    <cellStyle name="Separador de milhares 3 2 2 4 6 3 5" xfId="35090" xr:uid="{00000000-0005-0000-0000-000082540000}"/>
    <cellStyle name="Separador de milhares 3 2 2 4 6 4" xfId="5522" xr:uid="{00000000-0005-0000-0000-000083540000}"/>
    <cellStyle name="Separador de milhares 3 2 2 4 6 4 2" xfId="24154" xr:uid="{00000000-0005-0000-0000-000084540000}"/>
    <cellStyle name="Separador de milhares 3 2 2 4 6 4 2 2" xfId="50338" xr:uid="{00000000-0005-0000-0000-000085540000}"/>
    <cellStyle name="Separador de milhares 3 2 2 4 6 4 3" xfId="31718" xr:uid="{00000000-0005-0000-0000-000086540000}"/>
    <cellStyle name="Separador de milhares 3 2 2 4 6 5" xfId="18240" xr:uid="{00000000-0005-0000-0000-000087540000}"/>
    <cellStyle name="Separador de milhares 3 2 2 4 6 5 2" xfId="44430" xr:uid="{00000000-0005-0000-0000-000088540000}"/>
    <cellStyle name="Separador de milhares 3 2 2 4 6 6" xfId="11909" xr:uid="{00000000-0005-0000-0000-000089540000}"/>
    <cellStyle name="Separador de milhares 3 2 2 4 6 6 2" xfId="38102" xr:uid="{00000000-0005-0000-0000-00008A540000}"/>
    <cellStyle name="Separador de milhares 3 2 2 4 6 7" xfId="30020" xr:uid="{00000000-0005-0000-0000-00008B540000}"/>
    <cellStyle name="Separador de milhares 3 2 2 4 7" xfId="3364" xr:uid="{00000000-0005-0000-0000-00008C540000}"/>
    <cellStyle name="Separador de milhares 3 2 2 4 7 2" xfId="7368" xr:uid="{00000000-0005-0000-0000-00008D540000}"/>
    <cellStyle name="Separador de milhares 3 2 2 4 7 2 2" xfId="10512" xr:uid="{00000000-0005-0000-0000-00008E540000}"/>
    <cellStyle name="Separador de milhares 3 2 2 4 7 2 2 2" xfId="28726" xr:uid="{00000000-0005-0000-0000-00008F540000}"/>
    <cellStyle name="Separador de milhares 3 2 2 4 7 2 2 2 2" xfId="54907" xr:uid="{00000000-0005-0000-0000-000090540000}"/>
    <cellStyle name="Separador de milhares 3 2 2 4 7 2 2 3" xfId="22812" xr:uid="{00000000-0005-0000-0000-000091540000}"/>
    <cellStyle name="Separador de milhares 3 2 2 4 7 2 2 3 2" xfId="48999" xr:uid="{00000000-0005-0000-0000-000092540000}"/>
    <cellStyle name="Separador de milhares 3 2 2 4 7 2 2 4" xfId="16898" xr:uid="{00000000-0005-0000-0000-000093540000}"/>
    <cellStyle name="Separador de milhares 3 2 2 4 7 2 2 4 2" xfId="43091" xr:uid="{00000000-0005-0000-0000-000094540000}"/>
    <cellStyle name="Separador de milhares 3 2 2 4 7 2 2 5" xfId="36705" xr:uid="{00000000-0005-0000-0000-000095540000}"/>
    <cellStyle name="Separador de milhares 3 2 2 4 7 2 3" xfId="25769" xr:uid="{00000000-0005-0000-0000-000096540000}"/>
    <cellStyle name="Separador de milhares 3 2 2 4 7 2 3 2" xfId="51953" xr:uid="{00000000-0005-0000-0000-000097540000}"/>
    <cellStyle name="Separador de milhares 3 2 2 4 7 2 4" xfId="19855" xr:uid="{00000000-0005-0000-0000-000098540000}"/>
    <cellStyle name="Separador de milhares 3 2 2 4 7 2 4 2" xfId="46045" xr:uid="{00000000-0005-0000-0000-000099540000}"/>
    <cellStyle name="Separador de milhares 3 2 2 4 7 2 5" xfId="13757" xr:uid="{00000000-0005-0000-0000-00009A540000}"/>
    <cellStyle name="Separador de milhares 3 2 2 4 7 2 5 2" xfId="39950" xr:uid="{00000000-0005-0000-0000-00009B540000}"/>
    <cellStyle name="Separador de milhares 3 2 2 4 7 2 6" xfId="33564" xr:uid="{00000000-0005-0000-0000-00009C540000}"/>
    <cellStyle name="Separador de milhares 3 2 2 4 7 3" xfId="9044" xr:uid="{00000000-0005-0000-0000-00009D540000}"/>
    <cellStyle name="Separador de milhares 3 2 2 4 7 3 2" xfId="27258" xr:uid="{00000000-0005-0000-0000-00009E540000}"/>
    <cellStyle name="Separador de milhares 3 2 2 4 7 3 2 2" xfId="53439" xr:uid="{00000000-0005-0000-0000-00009F540000}"/>
    <cellStyle name="Separador de milhares 3 2 2 4 7 3 3" xfId="21344" xr:uid="{00000000-0005-0000-0000-0000A0540000}"/>
    <cellStyle name="Separador de milhares 3 2 2 4 7 3 3 2" xfId="47531" xr:uid="{00000000-0005-0000-0000-0000A1540000}"/>
    <cellStyle name="Separador de milhares 3 2 2 4 7 3 4" xfId="15430" xr:uid="{00000000-0005-0000-0000-0000A2540000}"/>
    <cellStyle name="Separador de milhares 3 2 2 4 7 3 4 2" xfId="41623" xr:uid="{00000000-0005-0000-0000-0000A3540000}"/>
    <cellStyle name="Separador de milhares 3 2 2 4 7 3 5" xfId="35237" xr:uid="{00000000-0005-0000-0000-0000A4540000}"/>
    <cellStyle name="Separador de milhares 3 2 2 4 7 4" xfId="5669" xr:uid="{00000000-0005-0000-0000-0000A5540000}"/>
    <cellStyle name="Separador de milhares 3 2 2 4 7 4 2" xfId="24301" xr:uid="{00000000-0005-0000-0000-0000A6540000}"/>
    <cellStyle name="Separador de milhares 3 2 2 4 7 4 2 2" xfId="50485" xr:uid="{00000000-0005-0000-0000-0000A7540000}"/>
    <cellStyle name="Separador de milhares 3 2 2 4 7 4 3" xfId="31865" xr:uid="{00000000-0005-0000-0000-0000A8540000}"/>
    <cellStyle name="Separador de milhares 3 2 2 4 7 5" xfId="18387" xr:uid="{00000000-0005-0000-0000-0000A9540000}"/>
    <cellStyle name="Separador de milhares 3 2 2 4 7 5 2" xfId="44577" xr:uid="{00000000-0005-0000-0000-0000AA540000}"/>
    <cellStyle name="Separador de milhares 3 2 2 4 7 6" xfId="12056" xr:uid="{00000000-0005-0000-0000-0000AB540000}"/>
    <cellStyle name="Separador de milhares 3 2 2 4 7 6 2" xfId="38249" xr:uid="{00000000-0005-0000-0000-0000AC540000}"/>
    <cellStyle name="Separador de milhares 3 2 2 4 7 7" xfId="30167" xr:uid="{00000000-0005-0000-0000-0000AD540000}"/>
    <cellStyle name="Separador de milhares 3 2 2 4 8" xfId="3891" xr:uid="{00000000-0005-0000-0000-0000AE540000}"/>
    <cellStyle name="Separador de milhares 3 2 2 4 8 2" xfId="7515" xr:uid="{00000000-0005-0000-0000-0000AF540000}"/>
    <cellStyle name="Separador de milhares 3 2 2 4 8 2 2" xfId="10659" xr:uid="{00000000-0005-0000-0000-0000B0540000}"/>
    <cellStyle name="Separador de milhares 3 2 2 4 8 2 2 2" xfId="28873" xr:uid="{00000000-0005-0000-0000-0000B1540000}"/>
    <cellStyle name="Separador de milhares 3 2 2 4 8 2 2 2 2" xfId="55054" xr:uid="{00000000-0005-0000-0000-0000B2540000}"/>
    <cellStyle name="Separador de milhares 3 2 2 4 8 2 2 3" xfId="22959" xr:uid="{00000000-0005-0000-0000-0000B3540000}"/>
    <cellStyle name="Separador de milhares 3 2 2 4 8 2 2 3 2" xfId="49146" xr:uid="{00000000-0005-0000-0000-0000B4540000}"/>
    <cellStyle name="Separador de milhares 3 2 2 4 8 2 2 4" xfId="17045" xr:uid="{00000000-0005-0000-0000-0000B5540000}"/>
    <cellStyle name="Separador de milhares 3 2 2 4 8 2 2 4 2" xfId="43238" xr:uid="{00000000-0005-0000-0000-0000B6540000}"/>
    <cellStyle name="Separador de milhares 3 2 2 4 8 2 2 5" xfId="36852" xr:uid="{00000000-0005-0000-0000-0000B7540000}"/>
    <cellStyle name="Separador de milhares 3 2 2 4 8 2 3" xfId="25916" xr:uid="{00000000-0005-0000-0000-0000B8540000}"/>
    <cellStyle name="Separador de milhares 3 2 2 4 8 2 3 2" xfId="52100" xr:uid="{00000000-0005-0000-0000-0000B9540000}"/>
    <cellStyle name="Separador de milhares 3 2 2 4 8 2 4" xfId="20002" xr:uid="{00000000-0005-0000-0000-0000BA540000}"/>
    <cellStyle name="Separador de milhares 3 2 2 4 8 2 4 2" xfId="46192" xr:uid="{00000000-0005-0000-0000-0000BB540000}"/>
    <cellStyle name="Separador de milhares 3 2 2 4 8 2 5" xfId="13904" xr:uid="{00000000-0005-0000-0000-0000BC540000}"/>
    <cellStyle name="Separador de milhares 3 2 2 4 8 2 5 2" xfId="40097" xr:uid="{00000000-0005-0000-0000-0000BD540000}"/>
    <cellStyle name="Separador de milhares 3 2 2 4 8 2 6" xfId="33711" xr:uid="{00000000-0005-0000-0000-0000BE540000}"/>
    <cellStyle name="Separador de milhares 3 2 2 4 8 3" xfId="9191" xr:uid="{00000000-0005-0000-0000-0000BF540000}"/>
    <cellStyle name="Separador de milhares 3 2 2 4 8 3 2" xfId="27405" xr:uid="{00000000-0005-0000-0000-0000C0540000}"/>
    <cellStyle name="Separador de milhares 3 2 2 4 8 3 2 2" xfId="53586" xr:uid="{00000000-0005-0000-0000-0000C1540000}"/>
    <cellStyle name="Separador de milhares 3 2 2 4 8 3 3" xfId="21491" xr:uid="{00000000-0005-0000-0000-0000C2540000}"/>
    <cellStyle name="Separador de milhares 3 2 2 4 8 3 3 2" xfId="47678" xr:uid="{00000000-0005-0000-0000-0000C3540000}"/>
    <cellStyle name="Separador de milhares 3 2 2 4 8 3 4" xfId="15577" xr:uid="{00000000-0005-0000-0000-0000C4540000}"/>
    <cellStyle name="Separador de milhares 3 2 2 4 8 3 4 2" xfId="41770" xr:uid="{00000000-0005-0000-0000-0000C5540000}"/>
    <cellStyle name="Separador de milhares 3 2 2 4 8 3 5" xfId="35384" xr:uid="{00000000-0005-0000-0000-0000C6540000}"/>
    <cellStyle name="Separador de milhares 3 2 2 4 8 4" xfId="5816" xr:uid="{00000000-0005-0000-0000-0000C7540000}"/>
    <cellStyle name="Separador de milhares 3 2 2 4 8 4 2" xfId="24448" xr:uid="{00000000-0005-0000-0000-0000C8540000}"/>
    <cellStyle name="Separador de milhares 3 2 2 4 8 4 2 2" xfId="50632" xr:uid="{00000000-0005-0000-0000-0000C9540000}"/>
    <cellStyle name="Separador de milhares 3 2 2 4 8 4 3" xfId="32012" xr:uid="{00000000-0005-0000-0000-0000CA540000}"/>
    <cellStyle name="Separador de milhares 3 2 2 4 8 5" xfId="18534" xr:uid="{00000000-0005-0000-0000-0000CB540000}"/>
    <cellStyle name="Separador de milhares 3 2 2 4 8 5 2" xfId="44724" xr:uid="{00000000-0005-0000-0000-0000CC540000}"/>
    <cellStyle name="Separador de milhares 3 2 2 4 8 6" xfId="12203" xr:uid="{00000000-0005-0000-0000-0000CD540000}"/>
    <cellStyle name="Separador de milhares 3 2 2 4 8 6 2" xfId="38396" xr:uid="{00000000-0005-0000-0000-0000CE540000}"/>
    <cellStyle name="Separador de milhares 3 2 2 4 8 7" xfId="30314" xr:uid="{00000000-0005-0000-0000-0000CF540000}"/>
    <cellStyle name="Separador de milhares 3 2 2 4 9" xfId="674" xr:uid="{00000000-0005-0000-0000-0000D0540000}"/>
    <cellStyle name="Separador de milhares 3 2 2 4 9 2" xfId="6609" xr:uid="{00000000-0005-0000-0000-0000D1540000}"/>
    <cellStyle name="Separador de milhares 3 2 2 4 9 2 2" xfId="9756" xr:uid="{00000000-0005-0000-0000-0000D2540000}"/>
    <cellStyle name="Separador de milhares 3 2 2 4 9 2 2 2" xfId="27970" xr:uid="{00000000-0005-0000-0000-0000D3540000}"/>
    <cellStyle name="Separador de milhares 3 2 2 4 9 2 2 2 2" xfId="54151" xr:uid="{00000000-0005-0000-0000-0000D4540000}"/>
    <cellStyle name="Separador de milhares 3 2 2 4 9 2 2 3" xfId="22056" xr:uid="{00000000-0005-0000-0000-0000D5540000}"/>
    <cellStyle name="Separador de milhares 3 2 2 4 9 2 2 3 2" xfId="48243" xr:uid="{00000000-0005-0000-0000-0000D6540000}"/>
    <cellStyle name="Separador de milhares 3 2 2 4 9 2 2 4" xfId="16142" xr:uid="{00000000-0005-0000-0000-0000D7540000}"/>
    <cellStyle name="Separador de milhares 3 2 2 4 9 2 2 4 2" xfId="42335" xr:uid="{00000000-0005-0000-0000-0000D8540000}"/>
    <cellStyle name="Separador de milhares 3 2 2 4 9 2 2 5" xfId="35949" xr:uid="{00000000-0005-0000-0000-0000D9540000}"/>
    <cellStyle name="Separador de milhares 3 2 2 4 9 2 3" xfId="25013" xr:uid="{00000000-0005-0000-0000-0000DA540000}"/>
    <cellStyle name="Separador de milhares 3 2 2 4 9 2 3 2" xfId="51197" xr:uid="{00000000-0005-0000-0000-0000DB540000}"/>
    <cellStyle name="Separador de milhares 3 2 2 4 9 2 4" xfId="19099" xr:uid="{00000000-0005-0000-0000-0000DC540000}"/>
    <cellStyle name="Separador de milhares 3 2 2 4 9 2 4 2" xfId="45289" xr:uid="{00000000-0005-0000-0000-0000DD540000}"/>
    <cellStyle name="Separador de milhares 3 2 2 4 9 2 5" xfId="12998" xr:uid="{00000000-0005-0000-0000-0000DE540000}"/>
    <cellStyle name="Separador de milhares 3 2 2 4 9 2 5 2" xfId="39191" xr:uid="{00000000-0005-0000-0000-0000DF540000}"/>
    <cellStyle name="Separador de milhares 3 2 2 4 9 2 6" xfId="32805" xr:uid="{00000000-0005-0000-0000-0000E0540000}"/>
    <cellStyle name="Separador de milhares 3 2 2 4 9 3" xfId="8288" xr:uid="{00000000-0005-0000-0000-0000E1540000}"/>
    <cellStyle name="Separador de milhares 3 2 2 4 9 3 2" xfId="26502" xr:uid="{00000000-0005-0000-0000-0000E2540000}"/>
    <cellStyle name="Separador de milhares 3 2 2 4 9 3 2 2" xfId="52683" xr:uid="{00000000-0005-0000-0000-0000E3540000}"/>
    <cellStyle name="Separador de milhares 3 2 2 4 9 3 3" xfId="20588" xr:uid="{00000000-0005-0000-0000-0000E4540000}"/>
    <cellStyle name="Separador de milhares 3 2 2 4 9 3 3 2" xfId="46775" xr:uid="{00000000-0005-0000-0000-0000E5540000}"/>
    <cellStyle name="Separador de milhares 3 2 2 4 9 3 4" xfId="14674" xr:uid="{00000000-0005-0000-0000-0000E6540000}"/>
    <cellStyle name="Separador de milhares 3 2 2 4 9 3 4 2" xfId="40867" xr:uid="{00000000-0005-0000-0000-0000E7540000}"/>
    <cellStyle name="Separador de milhares 3 2 2 4 9 3 5" xfId="34481" xr:uid="{00000000-0005-0000-0000-0000E8540000}"/>
    <cellStyle name="Separador de milhares 3 2 2 4 9 4" xfId="4910" xr:uid="{00000000-0005-0000-0000-0000E9540000}"/>
    <cellStyle name="Separador de milhares 3 2 2 4 9 4 2" xfId="23545" xr:uid="{00000000-0005-0000-0000-0000EA540000}"/>
    <cellStyle name="Separador de milhares 3 2 2 4 9 4 2 2" xfId="49729" xr:uid="{00000000-0005-0000-0000-0000EB540000}"/>
    <cellStyle name="Separador de milhares 3 2 2 4 9 4 3" xfId="31106" xr:uid="{00000000-0005-0000-0000-0000EC540000}"/>
    <cellStyle name="Separador de milhares 3 2 2 4 9 5" xfId="17631" xr:uid="{00000000-0005-0000-0000-0000ED540000}"/>
    <cellStyle name="Separador de milhares 3 2 2 4 9 5 2" xfId="43821" xr:uid="{00000000-0005-0000-0000-0000EE540000}"/>
    <cellStyle name="Separador de milhares 3 2 2 4 9 6" xfId="11297" xr:uid="{00000000-0005-0000-0000-0000EF540000}"/>
    <cellStyle name="Separador de milhares 3 2 2 4 9 6 2" xfId="37490" xr:uid="{00000000-0005-0000-0000-0000F0540000}"/>
    <cellStyle name="Separador de milhares 3 2 2 4 9 7" xfId="29408" xr:uid="{00000000-0005-0000-0000-0000F1540000}"/>
    <cellStyle name="Separador de milhares 3 2 2 5" xfId="606" xr:uid="{00000000-0005-0000-0000-0000F2540000}"/>
    <cellStyle name="Separador de milhares 3 2 2 5 10" xfId="4874" xr:uid="{00000000-0005-0000-0000-0000F3540000}"/>
    <cellStyle name="Separador de milhares 3 2 2 5 10 2" xfId="23508" xr:uid="{00000000-0005-0000-0000-0000F4540000}"/>
    <cellStyle name="Separador de milhares 3 2 2 5 10 2 2" xfId="49695" xr:uid="{00000000-0005-0000-0000-0000F5540000}"/>
    <cellStyle name="Separador de milhares 3 2 2 5 10 3" xfId="31072" xr:uid="{00000000-0005-0000-0000-0000F6540000}"/>
    <cellStyle name="Separador de milhares 3 2 2 5 11" xfId="17594" xr:uid="{00000000-0005-0000-0000-0000F7540000}"/>
    <cellStyle name="Separador de milhares 3 2 2 5 11 2" xfId="43787" xr:uid="{00000000-0005-0000-0000-0000F8540000}"/>
    <cellStyle name="Separador de milhares 3 2 2 5 12" xfId="11263" xr:uid="{00000000-0005-0000-0000-0000F9540000}"/>
    <cellStyle name="Separador de milhares 3 2 2 5 12 2" xfId="37456" xr:uid="{00000000-0005-0000-0000-0000FA540000}"/>
    <cellStyle name="Separador de milhares 3 2 2 5 13" xfId="29374" xr:uid="{00000000-0005-0000-0000-0000FB540000}"/>
    <cellStyle name="Separador de milhares 3 2 2 5 2" xfId="1429" xr:uid="{00000000-0005-0000-0000-0000FC540000}"/>
    <cellStyle name="Separador de milhares 3 2 2 5 2 2" xfId="6826" xr:uid="{00000000-0005-0000-0000-0000FD540000}"/>
    <cellStyle name="Separador de milhares 3 2 2 5 2 2 2" xfId="9973" xr:uid="{00000000-0005-0000-0000-0000FE540000}"/>
    <cellStyle name="Separador de milhares 3 2 2 5 2 2 2 2" xfId="28187" xr:uid="{00000000-0005-0000-0000-0000FF540000}"/>
    <cellStyle name="Separador de milhares 3 2 2 5 2 2 2 2 2" xfId="54368" xr:uid="{00000000-0005-0000-0000-000000550000}"/>
    <cellStyle name="Separador de milhares 3 2 2 5 2 2 2 3" xfId="22273" xr:uid="{00000000-0005-0000-0000-000001550000}"/>
    <cellStyle name="Separador de milhares 3 2 2 5 2 2 2 3 2" xfId="48460" xr:uid="{00000000-0005-0000-0000-000002550000}"/>
    <cellStyle name="Separador de milhares 3 2 2 5 2 2 2 4" xfId="16359" xr:uid="{00000000-0005-0000-0000-000003550000}"/>
    <cellStyle name="Separador de milhares 3 2 2 5 2 2 2 4 2" xfId="42552" xr:uid="{00000000-0005-0000-0000-000004550000}"/>
    <cellStyle name="Separador de milhares 3 2 2 5 2 2 2 5" xfId="36166" xr:uid="{00000000-0005-0000-0000-000005550000}"/>
    <cellStyle name="Separador de milhares 3 2 2 5 2 2 3" xfId="25230" xr:uid="{00000000-0005-0000-0000-000006550000}"/>
    <cellStyle name="Separador de milhares 3 2 2 5 2 2 3 2" xfId="51414" xr:uid="{00000000-0005-0000-0000-000007550000}"/>
    <cellStyle name="Separador de milhares 3 2 2 5 2 2 4" xfId="19316" xr:uid="{00000000-0005-0000-0000-000008550000}"/>
    <cellStyle name="Separador de milhares 3 2 2 5 2 2 4 2" xfId="45506" xr:uid="{00000000-0005-0000-0000-000009550000}"/>
    <cellStyle name="Separador de milhares 3 2 2 5 2 2 5" xfId="13215" xr:uid="{00000000-0005-0000-0000-00000A550000}"/>
    <cellStyle name="Separador de milhares 3 2 2 5 2 2 5 2" xfId="39408" xr:uid="{00000000-0005-0000-0000-00000B550000}"/>
    <cellStyle name="Separador de milhares 3 2 2 5 2 2 6" xfId="33022" xr:uid="{00000000-0005-0000-0000-00000C550000}"/>
    <cellStyle name="Separador de milhares 3 2 2 5 2 3" xfId="8505" xr:uid="{00000000-0005-0000-0000-00000D550000}"/>
    <cellStyle name="Separador de milhares 3 2 2 5 2 3 2" xfId="26719" xr:uid="{00000000-0005-0000-0000-00000E550000}"/>
    <cellStyle name="Separador de milhares 3 2 2 5 2 3 2 2" xfId="52900" xr:uid="{00000000-0005-0000-0000-00000F550000}"/>
    <cellStyle name="Separador de milhares 3 2 2 5 2 3 3" xfId="20805" xr:uid="{00000000-0005-0000-0000-000010550000}"/>
    <cellStyle name="Separador de milhares 3 2 2 5 2 3 3 2" xfId="46992" xr:uid="{00000000-0005-0000-0000-000011550000}"/>
    <cellStyle name="Separador de milhares 3 2 2 5 2 3 4" xfId="14891" xr:uid="{00000000-0005-0000-0000-000012550000}"/>
    <cellStyle name="Separador de milhares 3 2 2 5 2 3 4 2" xfId="41084" xr:uid="{00000000-0005-0000-0000-000013550000}"/>
    <cellStyle name="Separador de milhares 3 2 2 5 2 3 5" xfId="34698" xr:uid="{00000000-0005-0000-0000-000014550000}"/>
    <cellStyle name="Separador de milhares 3 2 2 5 2 4" xfId="5127" xr:uid="{00000000-0005-0000-0000-000015550000}"/>
    <cellStyle name="Separador de milhares 3 2 2 5 2 4 2" xfId="23762" xr:uid="{00000000-0005-0000-0000-000016550000}"/>
    <cellStyle name="Separador de milhares 3 2 2 5 2 4 2 2" xfId="49946" xr:uid="{00000000-0005-0000-0000-000017550000}"/>
    <cellStyle name="Separador de milhares 3 2 2 5 2 4 3" xfId="31323" xr:uid="{00000000-0005-0000-0000-000018550000}"/>
    <cellStyle name="Separador de milhares 3 2 2 5 2 5" xfId="17848" xr:uid="{00000000-0005-0000-0000-000019550000}"/>
    <cellStyle name="Separador de milhares 3 2 2 5 2 5 2" xfId="44038" xr:uid="{00000000-0005-0000-0000-00001A550000}"/>
    <cellStyle name="Separador de milhares 3 2 2 5 2 6" xfId="11514" xr:uid="{00000000-0005-0000-0000-00001B550000}"/>
    <cellStyle name="Separador de milhares 3 2 2 5 2 6 2" xfId="37707" xr:uid="{00000000-0005-0000-0000-00001C550000}"/>
    <cellStyle name="Separador de milhares 3 2 2 5 2 7" xfId="29625" xr:uid="{00000000-0005-0000-0000-00001D550000}"/>
    <cellStyle name="Separador de milhares 3 2 2 5 3" xfId="1864" xr:uid="{00000000-0005-0000-0000-00001E550000}"/>
    <cellStyle name="Separador de milhares 3 2 2 5 3 2" xfId="6945" xr:uid="{00000000-0005-0000-0000-00001F550000}"/>
    <cellStyle name="Separador de milhares 3 2 2 5 3 2 2" xfId="10092" xr:uid="{00000000-0005-0000-0000-000020550000}"/>
    <cellStyle name="Separador de milhares 3 2 2 5 3 2 2 2" xfId="28306" xr:uid="{00000000-0005-0000-0000-000021550000}"/>
    <cellStyle name="Separador de milhares 3 2 2 5 3 2 2 2 2" xfId="54487" xr:uid="{00000000-0005-0000-0000-000022550000}"/>
    <cellStyle name="Separador de milhares 3 2 2 5 3 2 2 3" xfId="22392" xr:uid="{00000000-0005-0000-0000-000023550000}"/>
    <cellStyle name="Separador de milhares 3 2 2 5 3 2 2 3 2" xfId="48579" xr:uid="{00000000-0005-0000-0000-000024550000}"/>
    <cellStyle name="Separador de milhares 3 2 2 5 3 2 2 4" xfId="16478" xr:uid="{00000000-0005-0000-0000-000025550000}"/>
    <cellStyle name="Separador de milhares 3 2 2 5 3 2 2 4 2" xfId="42671" xr:uid="{00000000-0005-0000-0000-000026550000}"/>
    <cellStyle name="Separador de milhares 3 2 2 5 3 2 2 5" xfId="36285" xr:uid="{00000000-0005-0000-0000-000027550000}"/>
    <cellStyle name="Separador de milhares 3 2 2 5 3 2 3" xfId="25349" xr:uid="{00000000-0005-0000-0000-000028550000}"/>
    <cellStyle name="Separador de milhares 3 2 2 5 3 2 3 2" xfId="51533" xr:uid="{00000000-0005-0000-0000-000029550000}"/>
    <cellStyle name="Separador de milhares 3 2 2 5 3 2 4" xfId="19435" xr:uid="{00000000-0005-0000-0000-00002A550000}"/>
    <cellStyle name="Separador de milhares 3 2 2 5 3 2 4 2" xfId="45625" xr:uid="{00000000-0005-0000-0000-00002B550000}"/>
    <cellStyle name="Separador de milhares 3 2 2 5 3 2 5" xfId="13334" xr:uid="{00000000-0005-0000-0000-00002C550000}"/>
    <cellStyle name="Separador de milhares 3 2 2 5 3 2 5 2" xfId="39527" xr:uid="{00000000-0005-0000-0000-00002D550000}"/>
    <cellStyle name="Separador de milhares 3 2 2 5 3 2 6" xfId="33141" xr:uid="{00000000-0005-0000-0000-00002E550000}"/>
    <cellStyle name="Separador de milhares 3 2 2 5 3 3" xfId="8624" xr:uid="{00000000-0005-0000-0000-00002F550000}"/>
    <cellStyle name="Separador de milhares 3 2 2 5 3 3 2" xfId="26838" xr:uid="{00000000-0005-0000-0000-000030550000}"/>
    <cellStyle name="Separador de milhares 3 2 2 5 3 3 2 2" xfId="53019" xr:uid="{00000000-0005-0000-0000-000031550000}"/>
    <cellStyle name="Separador de milhares 3 2 2 5 3 3 3" xfId="20924" xr:uid="{00000000-0005-0000-0000-000032550000}"/>
    <cellStyle name="Separador de milhares 3 2 2 5 3 3 3 2" xfId="47111" xr:uid="{00000000-0005-0000-0000-000033550000}"/>
    <cellStyle name="Separador de milhares 3 2 2 5 3 3 4" xfId="15010" xr:uid="{00000000-0005-0000-0000-000034550000}"/>
    <cellStyle name="Separador de milhares 3 2 2 5 3 3 4 2" xfId="41203" xr:uid="{00000000-0005-0000-0000-000035550000}"/>
    <cellStyle name="Separador de milhares 3 2 2 5 3 3 5" xfId="34817" xr:uid="{00000000-0005-0000-0000-000036550000}"/>
    <cellStyle name="Separador de milhares 3 2 2 5 3 4" xfId="5246" xr:uid="{00000000-0005-0000-0000-000037550000}"/>
    <cellStyle name="Separador de milhares 3 2 2 5 3 4 2" xfId="23881" xr:uid="{00000000-0005-0000-0000-000038550000}"/>
    <cellStyle name="Separador de milhares 3 2 2 5 3 4 2 2" xfId="50065" xr:uid="{00000000-0005-0000-0000-000039550000}"/>
    <cellStyle name="Separador de milhares 3 2 2 5 3 4 3" xfId="31442" xr:uid="{00000000-0005-0000-0000-00003A550000}"/>
    <cellStyle name="Separador de milhares 3 2 2 5 3 5" xfId="17967" xr:uid="{00000000-0005-0000-0000-00003B550000}"/>
    <cellStyle name="Separador de milhares 3 2 2 5 3 5 2" xfId="44157" xr:uid="{00000000-0005-0000-0000-00003C550000}"/>
    <cellStyle name="Separador de milhares 3 2 2 5 3 6" xfId="11633" xr:uid="{00000000-0005-0000-0000-00003D550000}"/>
    <cellStyle name="Separador de milhares 3 2 2 5 3 6 2" xfId="37826" xr:uid="{00000000-0005-0000-0000-00003E550000}"/>
    <cellStyle name="Separador de milhares 3 2 2 5 3 7" xfId="29744" xr:uid="{00000000-0005-0000-0000-00003F550000}"/>
    <cellStyle name="Separador de milhares 3 2 2 5 4" xfId="2394" xr:uid="{00000000-0005-0000-0000-000040550000}"/>
    <cellStyle name="Separador de milhares 3 2 2 5 4 2" xfId="7095" xr:uid="{00000000-0005-0000-0000-000041550000}"/>
    <cellStyle name="Separador de milhares 3 2 2 5 4 2 2" xfId="10239" xr:uid="{00000000-0005-0000-0000-000042550000}"/>
    <cellStyle name="Separador de milhares 3 2 2 5 4 2 2 2" xfId="28453" xr:uid="{00000000-0005-0000-0000-000043550000}"/>
    <cellStyle name="Separador de milhares 3 2 2 5 4 2 2 2 2" xfId="54634" xr:uid="{00000000-0005-0000-0000-000044550000}"/>
    <cellStyle name="Separador de milhares 3 2 2 5 4 2 2 3" xfId="22539" xr:uid="{00000000-0005-0000-0000-000045550000}"/>
    <cellStyle name="Separador de milhares 3 2 2 5 4 2 2 3 2" xfId="48726" xr:uid="{00000000-0005-0000-0000-000046550000}"/>
    <cellStyle name="Separador de milhares 3 2 2 5 4 2 2 4" xfId="16625" xr:uid="{00000000-0005-0000-0000-000047550000}"/>
    <cellStyle name="Separador de milhares 3 2 2 5 4 2 2 4 2" xfId="42818" xr:uid="{00000000-0005-0000-0000-000048550000}"/>
    <cellStyle name="Separador de milhares 3 2 2 5 4 2 2 5" xfId="36432" xr:uid="{00000000-0005-0000-0000-000049550000}"/>
    <cellStyle name="Separador de milhares 3 2 2 5 4 2 3" xfId="25496" xr:uid="{00000000-0005-0000-0000-00004A550000}"/>
    <cellStyle name="Separador de milhares 3 2 2 5 4 2 3 2" xfId="51680" xr:uid="{00000000-0005-0000-0000-00004B550000}"/>
    <cellStyle name="Separador de milhares 3 2 2 5 4 2 4" xfId="19582" xr:uid="{00000000-0005-0000-0000-00004C550000}"/>
    <cellStyle name="Separador de milhares 3 2 2 5 4 2 4 2" xfId="45772" xr:uid="{00000000-0005-0000-0000-00004D550000}"/>
    <cellStyle name="Separador de milhares 3 2 2 5 4 2 5" xfId="13484" xr:uid="{00000000-0005-0000-0000-00004E550000}"/>
    <cellStyle name="Separador de milhares 3 2 2 5 4 2 5 2" xfId="39677" xr:uid="{00000000-0005-0000-0000-00004F550000}"/>
    <cellStyle name="Separador de milhares 3 2 2 5 4 2 6" xfId="33291" xr:uid="{00000000-0005-0000-0000-000050550000}"/>
    <cellStyle name="Separador de milhares 3 2 2 5 4 3" xfId="8771" xr:uid="{00000000-0005-0000-0000-000051550000}"/>
    <cellStyle name="Separador de milhares 3 2 2 5 4 3 2" xfId="26985" xr:uid="{00000000-0005-0000-0000-000052550000}"/>
    <cellStyle name="Separador de milhares 3 2 2 5 4 3 2 2" xfId="53166" xr:uid="{00000000-0005-0000-0000-000053550000}"/>
    <cellStyle name="Separador de milhares 3 2 2 5 4 3 3" xfId="21071" xr:uid="{00000000-0005-0000-0000-000054550000}"/>
    <cellStyle name="Separador de milhares 3 2 2 5 4 3 3 2" xfId="47258" xr:uid="{00000000-0005-0000-0000-000055550000}"/>
    <cellStyle name="Separador de milhares 3 2 2 5 4 3 4" xfId="15157" xr:uid="{00000000-0005-0000-0000-000056550000}"/>
    <cellStyle name="Separador de milhares 3 2 2 5 4 3 4 2" xfId="41350" xr:uid="{00000000-0005-0000-0000-000057550000}"/>
    <cellStyle name="Separador de milhares 3 2 2 5 4 3 5" xfId="34964" xr:uid="{00000000-0005-0000-0000-000058550000}"/>
    <cellStyle name="Separador de milhares 3 2 2 5 4 4" xfId="5396" xr:uid="{00000000-0005-0000-0000-000059550000}"/>
    <cellStyle name="Separador de milhares 3 2 2 5 4 4 2" xfId="24028" xr:uid="{00000000-0005-0000-0000-00005A550000}"/>
    <cellStyle name="Separador de milhares 3 2 2 5 4 4 2 2" xfId="50212" xr:uid="{00000000-0005-0000-0000-00005B550000}"/>
    <cellStyle name="Separador de milhares 3 2 2 5 4 4 3" xfId="31592" xr:uid="{00000000-0005-0000-0000-00005C550000}"/>
    <cellStyle name="Separador de milhares 3 2 2 5 4 5" xfId="18114" xr:uid="{00000000-0005-0000-0000-00005D550000}"/>
    <cellStyle name="Separador de milhares 3 2 2 5 4 5 2" xfId="44304" xr:uid="{00000000-0005-0000-0000-00005E550000}"/>
    <cellStyle name="Separador de milhares 3 2 2 5 4 6" xfId="11783" xr:uid="{00000000-0005-0000-0000-00005F550000}"/>
    <cellStyle name="Separador de milhares 3 2 2 5 4 6 2" xfId="37976" xr:uid="{00000000-0005-0000-0000-000060550000}"/>
    <cellStyle name="Separador de milhares 3 2 2 5 4 7" xfId="29894" xr:uid="{00000000-0005-0000-0000-000061550000}"/>
    <cellStyle name="Separador de milhares 3 2 2 5 5" xfId="2921" xr:uid="{00000000-0005-0000-0000-000062550000}"/>
    <cellStyle name="Separador de milhares 3 2 2 5 5 2" xfId="7242" xr:uid="{00000000-0005-0000-0000-000063550000}"/>
    <cellStyle name="Separador de milhares 3 2 2 5 5 2 2" xfId="10386" xr:uid="{00000000-0005-0000-0000-000064550000}"/>
    <cellStyle name="Separador de milhares 3 2 2 5 5 2 2 2" xfId="28600" xr:uid="{00000000-0005-0000-0000-000065550000}"/>
    <cellStyle name="Separador de milhares 3 2 2 5 5 2 2 2 2" xfId="54781" xr:uid="{00000000-0005-0000-0000-000066550000}"/>
    <cellStyle name="Separador de milhares 3 2 2 5 5 2 2 3" xfId="22686" xr:uid="{00000000-0005-0000-0000-000067550000}"/>
    <cellStyle name="Separador de milhares 3 2 2 5 5 2 2 3 2" xfId="48873" xr:uid="{00000000-0005-0000-0000-000068550000}"/>
    <cellStyle name="Separador de milhares 3 2 2 5 5 2 2 4" xfId="16772" xr:uid="{00000000-0005-0000-0000-000069550000}"/>
    <cellStyle name="Separador de milhares 3 2 2 5 5 2 2 4 2" xfId="42965" xr:uid="{00000000-0005-0000-0000-00006A550000}"/>
    <cellStyle name="Separador de milhares 3 2 2 5 5 2 2 5" xfId="36579" xr:uid="{00000000-0005-0000-0000-00006B550000}"/>
    <cellStyle name="Separador de milhares 3 2 2 5 5 2 3" xfId="25643" xr:uid="{00000000-0005-0000-0000-00006C550000}"/>
    <cellStyle name="Separador de milhares 3 2 2 5 5 2 3 2" xfId="51827" xr:uid="{00000000-0005-0000-0000-00006D550000}"/>
    <cellStyle name="Separador de milhares 3 2 2 5 5 2 4" xfId="19729" xr:uid="{00000000-0005-0000-0000-00006E550000}"/>
    <cellStyle name="Separador de milhares 3 2 2 5 5 2 4 2" xfId="45919" xr:uid="{00000000-0005-0000-0000-00006F550000}"/>
    <cellStyle name="Separador de milhares 3 2 2 5 5 2 5" xfId="13631" xr:uid="{00000000-0005-0000-0000-000070550000}"/>
    <cellStyle name="Separador de milhares 3 2 2 5 5 2 5 2" xfId="39824" xr:uid="{00000000-0005-0000-0000-000071550000}"/>
    <cellStyle name="Separador de milhares 3 2 2 5 5 2 6" xfId="33438" xr:uid="{00000000-0005-0000-0000-000072550000}"/>
    <cellStyle name="Separador de milhares 3 2 2 5 5 3" xfId="8918" xr:uid="{00000000-0005-0000-0000-000073550000}"/>
    <cellStyle name="Separador de milhares 3 2 2 5 5 3 2" xfId="27132" xr:uid="{00000000-0005-0000-0000-000074550000}"/>
    <cellStyle name="Separador de milhares 3 2 2 5 5 3 2 2" xfId="53313" xr:uid="{00000000-0005-0000-0000-000075550000}"/>
    <cellStyle name="Separador de milhares 3 2 2 5 5 3 3" xfId="21218" xr:uid="{00000000-0005-0000-0000-000076550000}"/>
    <cellStyle name="Separador de milhares 3 2 2 5 5 3 3 2" xfId="47405" xr:uid="{00000000-0005-0000-0000-000077550000}"/>
    <cellStyle name="Separador de milhares 3 2 2 5 5 3 4" xfId="15304" xr:uid="{00000000-0005-0000-0000-000078550000}"/>
    <cellStyle name="Separador de milhares 3 2 2 5 5 3 4 2" xfId="41497" xr:uid="{00000000-0005-0000-0000-000079550000}"/>
    <cellStyle name="Separador de milhares 3 2 2 5 5 3 5" xfId="35111" xr:uid="{00000000-0005-0000-0000-00007A550000}"/>
    <cellStyle name="Separador de milhares 3 2 2 5 5 4" xfId="5543" xr:uid="{00000000-0005-0000-0000-00007B550000}"/>
    <cellStyle name="Separador de milhares 3 2 2 5 5 4 2" xfId="24175" xr:uid="{00000000-0005-0000-0000-00007C550000}"/>
    <cellStyle name="Separador de milhares 3 2 2 5 5 4 2 2" xfId="50359" xr:uid="{00000000-0005-0000-0000-00007D550000}"/>
    <cellStyle name="Separador de milhares 3 2 2 5 5 4 3" xfId="31739" xr:uid="{00000000-0005-0000-0000-00007E550000}"/>
    <cellStyle name="Separador de milhares 3 2 2 5 5 5" xfId="18261" xr:uid="{00000000-0005-0000-0000-00007F550000}"/>
    <cellStyle name="Separador de milhares 3 2 2 5 5 5 2" xfId="44451" xr:uid="{00000000-0005-0000-0000-000080550000}"/>
    <cellStyle name="Separador de milhares 3 2 2 5 5 6" xfId="11930" xr:uid="{00000000-0005-0000-0000-000081550000}"/>
    <cellStyle name="Separador de milhares 3 2 2 5 5 6 2" xfId="38123" xr:uid="{00000000-0005-0000-0000-000082550000}"/>
    <cellStyle name="Separador de milhares 3 2 2 5 5 7" xfId="30041" xr:uid="{00000000-0005-0000-0000-000083550000}"/>
    <cellStyle name="Separador de milhares 3 2 2 5 6" xfId="3448" xr:uid="{00000000-0005-0000-0000-000084550000}"/>
    <cellStyle name="Separador de milhares 3 2 2 5 6 2" xfId="7389" xr:uid="{00000000-0005-0000-0000-000085550000}"/>
    <cellStyle name="Separador de milhares 3 2 2 5 6 2 2" xfId="10533" xr:uid="{00000000-0005-0000-0000-000086550000}"/>
    <cellStyle name="Separador de milhares 3 2 2 5 6 2 2 2" xfId="28747" xr:uid="{00000000-0005-0000-0000-000087550000}"/>
    <cellStyle name="Separador de milhares 3 2 2 5 6 2 2 2 2" xfId="54928" xr:uid="{00000000-0005-0000-0000-000088550000}"/>
    <cellStyle name="Separador de milhares 3 2 2 5 6 2 2 3" xfId="22833" xr:uid="{00000000-0005-0000-0000-000089550000}"/>
    <cellStyle name="Separador de milhares 3 2 2 5 6 2 2 3 2" xfId="49020" xr:uid="{00000000-0005-0000-0000-00008A550000}"/>
    <cellStyle name="Separador de milhares 3 2 2 5 6 2 2 4" xfId="16919" xr:uid="{00000000-0005-0000-0000-00008B550000}"/>
    <cellStyle name="Separador de milhares 3 2 2 5 6 2 2 4 2" xfId="43112" xr:uid="{00000000-0005-0000-0000-00008C550000}"/>
    <cellStyle name="Separador de milhares 3 2 2 5 6 2 2 5" xfId="36726" xr:uid="{00000000-0005-0000-0000-00008D550000}"/>
    <cellStyle name="Separador de milhares 3 2 2 5 6 2 3" xfId="25790" xr:uid="{00000000-0005-0000-0000-00008E550000}"/>
    <cellStyle name="Separador de milhares 3 2 2 5 6 2 3 2" xfId="51974" xr:uid="{00000000-0005-0000-0000-00008F550000}"/>
    <cellStyle name="Separador de milhares 3 2 2 5 6 2 4" xfId="19876" xr:uid="{00000000-0005-0000-0000-000090550000}"/>
    <cellStyle name="Separador de milhares 3 2 2 5 6 2 4 2" xfId="46066" xr:uid="{00000000-0005-0000-0000-000091550000}"/>
    <cellStyle name="Separador de milhares 3 2 2 5 6 2 5" xfId="13778" xr:uid="{00000000-0005-0000-0000-000092550000}"/>
    <cellStyle name="Separador de milhares 3 2 2 5 6 2 5 2" xfId="39971" xr:uid="{00000000-0005-0000-0000-000093550000}"/>
    <cellStyle name="Separador de milhares 3 2 2 5 6 2 6" xfId="33585" xr:uid="{00000000-0005-0000-0000-000094550000}"/>
    <cellStyle name="Separador de milhares 3 2 2 5 6 3" xfId="9065" xr:uid="{00000000-0005-0000-0000-000095550000}"/>
    <cellStyle name="Separador de milhares 3 2 2 5 6 3 2" xfId="27279" xr:uid="{00000000-0005-0000-0000-000096550000}"/>
    <cellStyle name="Separador de milhares 3 2 2 5 6 3 2 2" xfId="53460" xr:uid="{00000000-0005-0000-0000-000097550000}"/>
    <cellStyle name="Separador de milhares 3 2 2 5 6 3 3" xfId="21365" xr:uid="{00000000-0005-0000-0000-000098550000}"/>
    <cellStyle name="Separador de milhares 3 2 2 5 6 3 3 2" xfId="47552" xr:uid="{00000000-0005-0000-0000-000099550000}"/>
    <cellStyle name="Separador de milhares 3 2 2 5 6 3 4" xfId="15451" xr:uid="{00000000-0005-0000-0000-00009A550000}"/>
    <cellStyle name="Separador de milhares 3 2 2 5 6 3 4 2" xfId="41644" xr:uid="{00000000-0005-0000-0000-00009B550000}"/>
    <cellStyle name="Separador de milhares 3 2 2 5 6 3 5" xfId="35258" xr:uid="{00000000-0005-0000-0000-00009C550000}"/>
    <cellStyle name="Separador de milhares 3 2 2 5 6 4" xfId="5690" xr:uid="{00000000-0005-0000-0000-00009D550000}"/>
    <cellStyle name="Separador de milhares 3 2 2 5 6 4 2" xfId="24322" xr:uid="{00000000-0005-0000-0000-00009E550000}"/>
    <cellStyle name="Separador de milhares 3 2 2 5 6 4 2 2" xfId="50506" xr:uid="{00000000-0005-0000-0000-00009F550000}"/>
    <cellStyle name="Separador de milhares 3 2 2 5 6 4 3" xfId="31886" xr:uid="{00000000-0005-0000-0000-0000A0550000}"/>
    <cellStyle name="Separador de milhares 3 2 2 5 6 5" xfId="18408" xr:uid="{00000000-0005-0000-0000-0000A1550000}"/>
    <cellStyle name="Separador de milhares 3 2 2 5 6 5 2" xfId="44598" xr:uid="{00000000-0005-0000-0000-0000A2550000}"/>
    <cellStyle name="Separador de milhares 3 2 2 5 6 6" xfId="12077" xr:uid="{00000000-0005-0000-0000-0000A3550000}"/>
    <cellStyle name="Separador de milhares 3 2 2 5 6 6 2" xfId="38270" xr:uid="{00000000-0005-0000-0000-0000A4550000}"/>
    <cellStyle name="Separador de milhares 3 2 2 5 6 7" xfId="30188" xr:uid="{00000000-0005-0000-0000-0000A5550000}"/>
    <cellStyle name="Separador de milhares 3 2 2 5 7" xfId="3975" xr:uid="{00000000-0005-0000-0000-0000A6550000}"/>
    <cellStyle name="Separador de milhares 3 2 2 5 7 2" xfId="7536" xr:uid="{00000000-0005-0000-0000-0000A7550000}"/>
    <cellStyle name="Separador de milhares 3 2 2 5 7 2 2" xfId="10680" xr:uid="{00000000-0005-0000-0000-0000A8550000}"/>
    <cellStyle name="Separador de milhares 3 2 2 5 7 2 2 2" xfId="28894" xr:uid="{00000000-0005-0000-0000-0000A9550000}"/>
    <cellStyle name="Separador de milhares 3 2 2 5 7 2 2 2 2" xfId="55075" xr:uid="{00000000-0005-0000-0000-0000AA550000}"/>
    <cellStyle name="Separador de milhares 3 2 2 5 7 2 2 3" xfId="22980" xr:uid="{00000000-0005-0000-0000-0000AB550000}"/>
    <cellStyle name="Separador de milhares 3 2 2 5 7 2 2 3 2" xfId="49167" xr:uid="{00000000-0005-0000-0000-0000AC550000}"/>
    <cellStyle name="Separador de milhares 3 2 2 5 7 2 2 4" xfId="17066" xr:uid="{00000000-0005-0000-0000-0000AD550000}"/>
    <cellStyle name="Separador de milhares 3 2 2 5 7 2 2 4 2" xfId="43259" xr:uid="{00000000-0005-0000-0000-0000AE550000}"/>
    <cellStyle name="Separador de milhares 3 2 2 5 7 2 2 5" xfId="36873" xr:uid="{00000000-0005-0000-0000-0000AF550000}"/>
    <cellStyle name="Separador de milhares 3 2 2 5 7 2 3" xfId="25937" xr:uid="{00000000-0005-0000-0000-0000B0550000}"/>
    <cellStyle name="Separador de milhares 3 2 2 5 7 2 3 2" xfId="52121" xr:uid="{00000000-0005-0000-0000-0000B1550000}"/>
    <cellStyle name="Separador de milhares 3 2 2 5 7 2 4" xfId="20023" xr:uid="{00000000-0005-0000-0000-0000B2550000}"/>
    <cellStyle name="Separador de milhares 3 2 2 5 7 2 4 2" xfId="46213" xr:uid="{00000000-0005-0000-0000-0000B3550000}"/>
    <cellStyle name="Separador de milhares 3 2 2 5 7 2 5" xfId="13925" xr:uid="{00000000-0005-0000-0000-0000B4550000}"/>
    <cellStyle name="Separador de milhares 3 2 2 5 7 2 5 2" xfId="40118" xr:uid="{00000000-0005-0000-0000-0000B5550000}"/>
    <cellStyle name="Separador de milhares 3 2 2 5 7 2 6" xfId="33732" xr:uid="{00000000-0005-0000-0000-0000B6550000}"/>
    <cellStyle name="Separador de milhares 3 2 2 5 7 3" xfId="9212" xr:uid="{00000000-0005-0000-0000-0000B7550000}"/>
    <cellStyle name="Separador de milhares 3 2 2 5 7 3 2" xfId="27426" xr:uid="{00000000-0005-0000-0000-0000B8550000}"/>
    <cellStyle name="Separador de milhares 3 2 2 5 7 3 2 2" xfId="53607" xr:uid="{00000000-0005-0000-0000-0000B9550000}"/>
    <cellStyle name="Separador de milhares 3 2 2 5 7 3 3" xfId="21512" xr:uid="{00000000-0005-0000-0000-0000BA550000}"/>
    <cellStyle name="Separador de milhares 3 2 2 5 7 3 3 2" xfId="47699" xr:uid="{00000000-0005-0000-0000-0000BB550000}"/>
    <cellStyle name="Separador de milhares 3 2 2 5 7 3 4" xfId="15598" xr:uid="{00000000-0005-0000-0000-0000BC550000}"/>
    <cellStyle name="Separador de milhares 3 2 2 5 7 3 4 2" xfId="41791" xr:uid="{00000000-0005-0000-0000-0000BD550000}"/>
    <cellStyle name="Separador de milhares 3 2 2 5 7 3 5" xfId="35405" xr:uid="{00000000-0005-0000-0000-0000BE550000}"/>
    <cellStyle name="Separador de milhares 3 2 2 5 7 4" xfId="5837" xr:uid="{00000000-0005-0000-0000-0000BF550000}"/>
    <cellStyle name="Separador de milhares 3 2 2 5 7 4 2" xfId="24469" xr:uid="{00000000-0005-0000-0000-0000C0550000}"/>
    <cellStyle name="Separador de milhares 3 2 2 5 7 4 2 2" xfId="50653" xr:uid="{00000000-0005-0000-0000-0000C1550000}"/>
    <cellStyle name="Separador de milhares 3 2 2 5 7 4 3" xfId="32033" xr:uid="{00000000-0005-0000-0000-0000C2550000}"/>
    <cellStyle name="Separador de milhares 3 2 2 5 7 5" xfId="18555" xr:uid="{00000000-0005-0000-0000-0000C3550000}"/>
    <cellStyle name="Separador de milhares 3 2 2 5 7 5 2" xfId="44745" xr:uid="{00000000-0005-0000-0000-0000C4550000}"/>
    <cellStyle name="Separador de milhares 3 2 2 5 7 6" xfId="12224" xr:uid="{00000000-0005-0000-0000-0000C5550000}"/>
    <cellStyle name="Separador de milhares 3 2 2 5 7 6 2" xfId="38417" xr:uid="{00000000-0005-0000-0000-0000C6550000}"/>
    <cellStyle name="Separador de milhares 3 2 2 5 7 7" xfId="30335" xr:uid="{00000000-0005-0000-0000-0000C7550000}"/>
    <cellStyle name="Separador de milhares 3 2 2 5 8" xfId="6575" xr:uid="{00000000-0005-0000-0000-0000C8550000}"/>
    <cellStyle name="Separador de milhares 3 2 2 5 8 2" xfId="9722" xr:uid="{00000000-0005-0000-0000-0000C9550000}"/>
    <cellStyle name="Separador de milhares 3 2 2 5 8 2 2" xfId="27936" xr:uid="{00000000-0005-0000-0000-0000CA550000}"/>
    <cellStyle name="Separador de milhares 3 2 2 5 8 2 2 2" xfId="54117" xr:uid="{00000000-0005-0000-0000-0000CB550000}"/>
    <cellStyle name="Separador de milhares 3 2 2 5 8 2 3" xfId="22022" xr:uid="{00000000-0005-0000-0000-0000CC550000}"/>
    <cellStyle name="Separador de milhares 3 2 2 5 8 2 3 2" xfId="48209" xr:uid="{00000000-0005-0000-0000-0000CD550000}"/>
    <cellStyle name="Separador de milhares 3 2 2 5 8 2 4" xfId="16108" xr:uid="{00000000-0005-0000-0000-0000CE550000}"/>
    <cellStyle name="Separador de milhares 3 2 2 5 8 2 4 2" xfId="42301" xr:uid="{00000000-0005-0000-0000-0000CF550000}"/>
    <cellStyle name="Separador de milhares 3 2 2 5 8 2 5" xfId="35915" xr:uid="{00000000-0005-0000-0000-0000D0550000}"/>
    <cellStyle name="Separador de milhares 3 2 2 5 8 3" xfId="24979" xr:uid="{00000000-0005-0000-0000-0000D1550000}"/>
    <cellStyle name="Separador de milhares 3 2 2 5 8 3 2" xfId="51163" xr:uid="{00000000-0005-0000-0000-0000D2550000}"/>
    <cellStyle name="Separador de milhares 3 2 2 5 8 4" xfId="19065" xr:uid="{00000000-0005-0000-0000-0000D3550000}"/>
    <cellStyle name="Separador de milhares 3 2 2 5 8 4 2" xfId="45255" xr:uid="{00000000-0005-0000-0000-0000D4550000}"/>
    <cellStyle name="Separador de milhares 3 2 2 5 8 5" xfId="12964" xr:uid="{00000000-0005-0000-0000-0000D5550000}"/>
    <cellStyle name="Separador de milhares 3 2 2 5 8 5 2" xfId="39157" xr:uid="{00000000-0005-0000-0000-0000D6550000}"/>
    <cellStyle name="Separador de milhares 3 2 2 5 8 6" xfId="32771" xr:uid="{00000000-0005-0000-0000-0000D7550000}"/>
    <cellStyle name="Separador de milhares 3 2 2 5 9" xfId="8251" xr:uid="{00000000-0005-0000-0000-0000D8550000}"/>
    <cellStyle name="Separador de milhares 3 2 2 5 9 2" xfId="26465" xr:uid="{00000000-0005-0000-0000-0000D9550000}"/>
    <cellStyle name="Separador de milhares 3 2 2 5 9 2 2" xfId="52649" xr:uid="{00000000-0005-0000-0000-0000DA550000}"/>
    <cellStyle name="Separador de milhares 3 2 2 5 9 3" xfId="20551" xr:uid="{00000000-0005-0000-0000-0000DB550000}"/>
    <cellStyle name="Separador de milhares 3 2 2 5 9 3 2" xfId="46741" xr:uid="{00000000-0005-0000-0000-0000DC550000}"/>
    <cellStyle name="Separador de milhares 3 2 2 5 9 4" xfId="14640" xr:uid="{00000000-0005-0000-0000-0000DD550000}"/>
    <cellStyle name="Separador de milhares 3 2 2 5 9 4 2" xfId="40833" xr:uid="{00000000-0005-0000-0000-0000DE550000}"/>
    <cellStyle name="Separador de milhares 3 2 2 5 9 5" xfId="34447" xr:uid="{00000000-0005-0000-0000-0000DF550000}"/>
    <cellStyle name="Separador de milhares 3 2 2 6" xfId="727" xr:uid="{00000000-0005-0000-0000-0000E0550000}"/>
    <cellStyle name="Separador de milhares 3 2 2 6 2" xfId="4151" xr:uid="{00000000-0005-0000-0000-0000E1550000}"/>
    <cellStyle name="Separador de milhares 3 2 2 6 2 2" xfId="7585" xr:uid="{00000000-0005-0000-0000-0000E2550000}"/>
    <cellStyle name="Separador de milhares 3 2 2 6 2 2 2" xfId="10729" xr:uid="{00000000-0005-0000-0000-0000E3550000}"/>
    <cellStyle name="Separador de milhares 3 2 2 6 2 2 2 2" xfId="28943" xr:uid="{00000000-0005-0000-0000-0000E4550000}"/>
    <cellStyle name="Separador de milhares 3 2 2 6 2 2 2 2 2" xfId="55124" xr:uid="{00000000-0005-0000-0000-0000E5550000}"/>
    <cellStyle name="Separador de milhares 3 2 2 6 2 2 2 3" xfId="23029" xr:uid="{00000000-0005-0000-0000-0000E6550000}"/>
    <cellStyle name="Separador de milhares 3 2 2 6 2 2 2 3 2" xfId="49216" xr:uid="{00000000-0005-0000-0000-0000E7550000}"/>
    <cellStyle name="Separador de milhares 3 2 2 6 2 2 2 4" xfId="17115" xr:uid="{00000000-0005-0000-0000-0000E8550000}"/>
    <cellStyle name="Separador de milhares 3 2 2 6 2 2 2 4 2" xfId="43308" xr:uid="{00000000-0005-0000-0000-0000E9550000}"/>
    <cellStyle name="Separador de milhares 3 2 2 6 2 2 2 5" xfId="36922" xr:uid="{00000000-0005-0000-0000-0000EA550000}"/>
    <cellStyle name="Separador de milhares 3 2 2 6 2 2 3" xfId="25986" xr:uid="{00000000-0005-0000-0000-0000EB550000}"/>
    <cellStyle name="Separador de milhares 3 2 2 6 2 2 3 2" xfId="52170" xr:uid="{00000000-0005-0000-0000-0000EC550000}"/>
    <cellStyle name="Separador de milhares 3 2 2 6 2 2 4" xfId="20072" xr:uid="{00000000-0005-0000-0000-0000ED550000}"/>
    <cellStyle name="Separador de milhares 3 2 2 6 2 2 4 2" xfId="46262" xr:uid="{00000000-0005-0000-0000-0000EE550000}"/>
    <cellStyle name="Separador de milhares 3 2 2 6 2 2 5" xfId="13974" xr:uid="{00000000-0005-0000-0000-0000EF550000}"/>
    <cellStyle name="Separador de milhares 3 2 2 6 2 2 5 2" xfId="40167" xr:uid="{00000000-0005-0000-0000-0000F0550000}"/>
    <cellStyle name="Separador de milhares 3 2 2 6 2 2 6" xfId="33781" xr:uid="{00000000-0005-0000-0000-0000F1550000}"/>
    <cellStyle name="Separador de milhares 3 2 2 6 2 3" xfId="9261" xr:uid="{00000000-0005-0000-0000-0000F2550000}"/>
    <cellStyle name="Separador de milhares 3 2 2 6 2 3 2" xfId="27475" xr:uid="{00000000-0005-0000-0000-0000F3550000}"/>
    <cellStyle name="Separador de milhares 3 2 2 6 2 3 2 2" xfId="53656" xr:uid="{00000000-0005-0000-0000-0000F4550000}"/>
    <cellStyle name="Separador de milhares 3 2 2 6 2 3 3" xfId="21561" xr:uid="{00000000-0005-0000-0000-0000F5550000}"/>
    <cellStyle name="Separador de milhares 3 2 2 6 2 3 3 2" xfId="47748" xr:uid="{00000000-0005-0000-0000-0000F6550000}"/>
    <cellStyle name="Separador de milhares 3 2 2 6 2 3 4" xfId="15647" xr:uid="{00000000-0005-0000-0000-0000F7550000}"/>
    <cellStyle name="Separador de milhares 3 2 2 6 2 3 4 2" xfId="41840" xr:uid="{00000000-0005-0000-0000-0000F8550000}"/>
    <cellStyle name="Separador de milhares 3 2 2 6 2 3 5" xfId="35454" xr:uid="{00000000-0005-0000-0000-0000F9550000}"/>
    <cellStyle name="Separador de milhares 3 2 2 6 2 4" xfId="5886" xr:uid="{00000000-0005-0000-0000-0000FA550000}"/>
    <cellStyle name="Separador de milhares 3 2 2 6 2 4 2" xfId="24518" xr:uid="{00000000-0005-0000-0000-0000FB550000}"/>
    <cellStyle name="Separador de milhares 3 2 2 6 2 4 2 2" xfId="50702" xr:uid="{00000000-0005-0000-0000-0000FC550000}"/>
    <cellStyle name="Separador de milhares 3 2 2 6 2 4 3" xfId="32082" xr:uid="{00000000-0005-0000-0000-0000FD550000}"/>
    <cellStyle name="Separador de milhares 3 2 2 6 2 5" xfId="18604" xr:uid="{00000000-0005-0000-0000-0000FE550000}"/>
    <cellStyle name="Separador de milhares 3 2 2 6 2 5 2" xfId="44794" xr:uid="{00000000-0005-0000-0000-0000FF550000}"/>
    <cellStyle name="Separador de milhares 3 2 2 6 2 6" xfId="12273" xr:uid="{00000000-0005-0000-0000-000000560000}"/>
    <cellStyle name="Separador de milhares 3 2 2 6 2 6 2" xfId="38466" xr:uid="{00000000-0005-0000-0000-000001560000}"/>
    <cellStyle name="Separador de milhares 3 2 2 6 2 7" xfId="30384" xr:uid="{00000000-0005-0000-0000-000002560000}"/>
    <cellStyle name="Separador de milhares 3 2 2 6 3" xfId="6630" xr:uid="{00000000-0005-0000-0000-000003560000}"/>
    <cellStyle name="Separador de milhares 3 2 2 6 3 2" xfId="9777" xr:uid="{00000000-0005-0000-0000-000004560000}"/>
    <cellStyle name="Separador de milhares 3 2 2 6 3 2 2" xfId="27991" xr:uid="{00000000-0005-0000-0000-000005560000}"/>
    <cellStyle name="Separador de milhares 3 2 2 6 3 2 2 2" xfId="54172" xr:uid="{00000000-0005-0000-0000-000006560000}"/>
    <cellStyle name="Separador de milhares 3 2 2 6 3 2 3" xfId="22077" xr:uid="{00000000-0005-0000-0000-000007560000}"/>
    <cellStyle name="Separador de milhares 3 2 2 6 3 2 3 2" xfId="48264" xr:uid="{00000000-0005-0000-0000-000008560000}"/>
    <cellStyle name="Separador de milhares 3 2 2 6 3 2 4" xfId="16163" xr:uid="{00000000-0005-0000-0000-000009560000}"/>
    <cellStyle name="Separador de milhares 3 2 2 6 3 2 4 2" xfId="42356" xr:uid="{00000000-0005-0000-0000-00000A560000}"/>
    <cellStyle name="Separador de milhares 3 2 2 6 3 2 5" xfId="35970" xr:uid="{00000000-0005-0000-0000-00000B560000}"/>
    <cellStyle name="Separador de milhares 3 2 2 6 3 3" xfId="25034" xr:uid="{00000000-0005-0000-0000-00000C560000}"/>
    <cellStyle name="Separador de milhares 3 2 2 6 3 3 2" xfId="51218" xr:uid="{00000000-0005-0000-0000-00000D560000}"/>
    <cellStyle name="Separador de milhares 3 2 2 6 3 4" xfId="19120" xr:uid="{00000000-0005-0000-0000-00000E560000}"/>
    <cellStyle name="Separador de milhares 3 2 2 6 3 4 2" xfId="45310" xr:uid="{00000000-0005-0000-0000-00000F560000}"/>
    <cellStyle name="Separador de milhares 3 2 2 6 3 5" xfId="13019" xr:uid="{00000000-0005-0000-0000-000010560000}"/>
    <cellStyle name="Separador de milhares 3 2 2 6 3 5 2" xfId="39212" xr:uid="{00000000-0005-0000-0000-000011560000}"/>
    <cellStyle name="Separador de milhares 3 2 2 6 3 6" xfId="32826" xr:uid="{00000000-0005-0000-0000-000012560000}"/>
    <cellStyle name="Separador de milhares 3 2 2 6 4" xfId="8309" xr:uid="{00000000-0005-0000-0000-000013560000}"/>
    <cellStyle name="Separador de milhares 3 2 2 6 4 2" xfId="26523" xr:uid="{00000000-0005-0000-0000-000014560000}"/>
    <cellStyle name="Separador de milhares 3 2 2 6 4 2 2" xfId="52704" xr:uid="{00000000-0005-0000-0000-000015560000}"/>
    <cellStyle name="Separador de milhares 3 2 2 6 4 3" xfId="20609" xr:uid="{00000000-0005-0000-0000-000016560000}"/>
    <cellStyle name="Separador de milhares 3 2 2 6 4 3 2" xfId="46796" xr:uid="{00000000-0005-0000-0000-000017560000}"/>
    <cellStyle name="Separador de milhares 3 2 2 6 4 4" xfId="14695" xr:uid="{00000000-0005-0000-0000-000018560000}"/>
    <cellStyle name="Separador de milhares 3 2 2 6 4 4 2" xfId="40888" xr:uid="{00000000-0005-0000-0000-000019560000}"/>
    <cellStyle name="Separador de milhares 3 2 2 6 4 5" xfId="34502" xr:uid="{00000000-0005-0000-0000-00001A560000}"/>
    <cellStyle name="Separador de milhares 3 2 2 6 5" xfId="4931" xr:uid="{00000000-0005-0000-0000-00001B560000}"/>
    <cellStyle name="Separador de milhares 3 2 2 6 5 2" xfId="23566" xr:uid="{00000000-0005-0000-0000-00001C560000}"/>
    <cellStyle name="Separador de milhares 3 2 2 6 5 2 2" xfId="49750" xr:uid="{00000000-0005-0000-0000-00001D560000}"/>
    <cellStyle name="Separador de milhares 3 2 2 6 5 3" xfId="31127" xr:uid="{00000000-0005-0000-0000-00001E560000}"/>
    <cellStyle name="Separador de milhares 3 2 2 6 6" xfId="17652" xr:uid="{00000000-0005-0000-0000-00001F560000}"/>
    <cellStyle name="Separador de milhares 3 2 2 6 6 2" xfId="43842" xr:uid="{00000000-0005-0000-0000-000020560000}"/>
    <cellStyle name="Separador de milhares 3 2 2 6 7" xfId="11318" xr:uid="{00000000-0005-0000-0000-000021560000}"/>
    <cellStyle name="Separador de milhares 3 2 2 6 7 2" xfId="37511" xr:uid="{00000000-0005-0000-0000-000022560000}"/>
    <cellStyle name="Separador de milhares 3 2 2 6 8" xfId="29429" xr:uid="{00000000-0005-0000-0000-000023560000}"/>
    <cellStyle name="Separador de milhares 3 2 2 7" xfId="1078" xr:uid="{00000000-0005-0000-0000-000024560000}"/>
    <cellStyle name="Separador de milhares 3 2 2 7 2" xfId="6728" xr:uid="{00000000-0005-0000-0000-000025560000}"/>
    <cellStyle name="Separador de milhares 3 2 2 7 2 2" xfId="9875" xr:uid="{00000000-0005-0000-0000-000026560000}"/>
    <cellStyle name="Separador de milhares 3 2 2 7 2 2 2" xfId="28089" xr:uid="{00000000-0005-0000-0000-000027560000}"/>
    <cellStyle name="Separador de milhares 3 2 2 7 2 2 2 2" xfId="54270" xr:uid="{00000000-0005-0000-0000-000028560000}"/>
    <cellStyle name="Separador de milhares 3 2 2 7 2 2 3" xfId="22175" xr:uid="{00000000-0005-0000-0000-000029560000}"/>
    <cellStyle name="Separador de milhares 3 2 2 7 2 2 3 2" xfId="48362" xr:uid="{00000000-0005-0000-0000-00002A560000}"/>
    <cellStyle name="Separador de milhares 3 2 2 7 2 2 4" xfId="16261" xr:uid="{00000000-0005-0000-0000-00002B560000}"/>
    <cellStyle name="Separador de milhares 3 2 2 7 2 2 4 2" xfId="42454" xr:uid="{00000000-0005-0000-0000-00002C560000}"/>
    <cellStyle name="Separador de milhares 3 2 2 7 2 2 5" xfId="36068" xr:uid="{00000000-0005-0000-0000-00002D560000}"/>
    <cellStyle name="Separador de milhares 3 2 2 7 2 3" xfId="25132" xr:uid="{00000000-0005-0000-0000-00002E560000}"/>
    <cellStyle name="Separador de milhares 3 2 2 7 2 3 2" xfId="51316" xr:uid="{00000000-0005-0000-0000-00002F560000}"/>
    <cellStyle name="Separador de milhares 3 2 2 7 2 4" xfId="19218" xr:uid="{00000000-0005-0000-0000-000030560000}"/>
    <cellStyle name="Separador de milhares 3 2 2 7 2 4 2" xfId="45408" xr:uid="{00000000-0005-0000-0000-000031560000}"/>
    <cellStyle name="Separador de milhares 3 2 2 7 2 5" xfId="13117" xr:uid="{00000000-0005-0000-0000-000032560000}"/>
    <cellStyle name="Separador de milhares 3 2 2 7 2 5 2" xfId="39310" xr:uid="{00000000-0005-0000-0000-000033560000}"/>
    <cellStyle name="Separador de milhares 3 2 2 7 2 6" xfId="32924" xr:uid="{00000000-0005-0000-0000-000034560000}"/>
    <cellStyle name="Separador de milhares 3 2 2 7 3" xfId="8407" xr:uid="{00000000-0005-0000-0000-000035560000}"/>
    <cellStyle name="Separador de milhares 3 2 2 7 3 2" xfId="26621" xr:uid="{00000000-0005-0000-0000-000036560000}"/>
    <cellStyle name="Separador de milhares 3 2 2 7 3 2 2" xfId="52802" xr:uid="{00000000-0005-0000-0000-000037560000}"/>
    <cellStyle name="Separador de milhares 3 2 2 7 3 3" xfId="20707" xr:uid="{00000000-0005-0000-0000-000038560000}"/>
    <cellStyle name="Separador de milhares 3 2 2 7 3 3 2" xfId="46894" xr:uid="{00000000-0005-0000-0000-000039560000}"/>
    <cellStyle name="Separador de milhares 3 2 2 7 3 4" xfId="14793" xr:uid="{00000000-0005-0000-0000-00003A560000}"/>
    <cellStyle name="Separador de milhares 3 2 2 7 3 4 2" xfId="40986" xr:uid="{00000000-0005-0000-0000-00003B560000}"/>
    <cellStyle name="Separador de milhares 3 2 2 7 3 5" xfId="34600" xr:uid="{00000000-0005-0000-0000-00003C560000}"/>
    <cellStyle name="Separador de milhares 3 2 2 7 4" xfId="5029" xr:uid="{00000000-0005-0000-0000-00003D560000}"/>
    <cellStyle name="Separador de milhares 3 2 2 7 4 2" xfId="23664" xr:uid="{00000000-0005-0000-0000-00003E560000}"/>
    <cellStyle name="Separador de milhares 3 2 2 7 4 2 2" xfId="49848" xr:uid="{00000000-0005-0000-0000-00003F560000}"/>
    <cellStyle name="Separador de milhares 3 2 2 7 4 3" xfId="31225" xr:uid="{00000000-0005-0000-0000-000040560000}"/>
    <cellStyle name="Separador de milhares 3 2 2 7 5" xfId="17750" xr:uid="{00000000-0005-0000-0000-000041560000}"/>
    <cellStyle name="Separador de milhares 3 2 2 7 5 2" xfId="43940" xr:uid="{00000000-0005-0000-0000-000042560000}"/>
    <cellStyle name="Separador de milhares 3 2 2 7 6" xfId="11416" xr:uid="{00000000-0005-0000-0000-000043560000}"/>
    <cellStyle name="Separador de milhares 3 2 2 7 6 2" xfId="37609" xr:uid="{00000000-0005-0000-0000-000044560000}"/>
    <cellStyle name="Separador de milhares 3 2 2 7 7" xfId="29527" xr:uid="{00000000-0005-0000-0000-000045560000}"/>
    <cellStyle name="Separador de milhares 3 2 2 8" xfId="1513" xr:uid="{00000000-0005-0000-0000-000046560000}"/>
    <cellStyle name="Separador de milhares 3 2 2 8 2" xfId="6847" xr:uid="{00000000-0005-0000-0000-000047560000}"/>
    <cellStyle name="Separador de milhares 3 2 2 8 2 2" xfId="9994" xr:uid="{00000000-0005-0000-0000-000048560000}"/>
    <cellStyle name="Separador de milhares 3 2 2 8 2 2 2" xfId="28208" xr:uid="{00000000-0005-0000-0000-000049560000}"/>
    <cellStyle name="Separador de milhares 3 2 2 8 2 2 2 2" xfId="54389" xr:uid="{00000000-0005-0000-0000-00004A560000}"/>
    <cellStyle name="Separador de milhares 3 2 2 8 2 2 3" xfId="22294" xr:uid="{00000000-0005-0000-0000-00004B560000}"/>
    <cellStyle name="Separador de milhares 3 2 2 8 2 2 3 2" xfId="48481" xr:uid="{00000000-0005-0000-0000-00004C560000}"/>
    <cellStyle name="Separador de milhares 3 2 2 8 2 2 4" xfId="16380" xr:uid="{00000000-0005-0000-0000-00004D560000}"/>
    <cellStyle name="Separador de milhares 3 2 2 8 2 2 4 2" xfId="42573" xr:uid="{00000000-0005-0000-0000-00004E560000}"/>
    <cellStyle name="Separador de milhares 3 2 2 8 2 2 5" xfId="36187" xr:uid="{00000000-0005-0000-0000-00004F560000}"/>
    <cellStyle name="Separador de milhares 3 2 2 8 2 3" xfId="25251" xr:uid="{00000000-0005-0000-0000-000050560000}"/>
    <cellStyle name="Separador de milhares 3 2 2 8 2 3 2" xfId="51435" xr:uid="{00000000-0005-0000-0000-000051560000}"/>
    <cellStyle name="Separador de milhares 3 2 2 8 2 4" xfId="19337" xr:uid="{00000000-0005-0000-0000-000052560000}"/>
    <cellStyle name="Separador de milhares 3 2 2 8 2 4 2" xfId="45527" xr:uid="{00000000-0005-0000-0000-000053560000}"/>
    <cellStyle name="Separador de milhares 3 2 2 8 2 5" xfId="13236" xr:uid="{00000000-0005-0000-0000-000054560000}"/>
    <cellStyle name="Separador de milhares 3 2 2 8 2 5 2" xfId="39429" xr:uid="{00000000-0005-0000-0000-000055560000}"/>
    <cellStyle name="Separador de milhares 3 2 2 8 2 6" xfId="33043" xr:uid="{00000000-0005-0000-0000-000056560000}"/>
    <cellStyle name="Separador de milhares 3 2 2 8 3" xfId="8526" xr:uid="{00000000-0005-0000-0000-000057560000}"/>
    <cellStyle name="Separador de milhares 3 2 2 8 3 2" xfId="26740" xr:uid="{00000000-0005-0000-0000-000058560000}"/>
    <cellStyle name="Separador de milhares 3 2 2 8 3 2 2" xfId="52921" xr:uid="{00000000-0005-0000-0000-000059560000}"/>
    <cellStyle name="Separador de milhares 3 2 2 8 3 3" xfId="20826" xr:uid="{00000000-0005-0000-0000-00005A560000}"/>
    <cellStyle name="Separador de milhares 3 2 2 8 3 3 2" xfId="47013" xr:uid="{00000000-0005-0000-0000-00005B560000}"/>
    <cellStyle name="Separador de milhares 3 2 2 8 3 4" xfId="14912" xr:uid="{00000000-0005-0000-0000-00005C560000}"/>
    <cellStyle name="Separador de milhares 3 2 2 8 3 4 2" xfId="41105" xr:uid="{00000000-0005-0000-0000-00005D560000}"/>
    <cellStyle name="Separador de milhares 3 2 2 8 3 5" xfId="34719" xr:uid="{00000000-0005-0000-0000-00005E560000}"/>
    <cellStyle name="Separador de milhares 3 2 2 8 4" xfId="5148" xr:uid="{00000000-0005-0000-0000-00005F560000}"/>
    <cellStyle name="Separador de milhares 3 2 2 8 4 2" xfId="23783" xr:uid="{00000000-0005-0000-0000-000060560000}"/>
    <cellStyle name="Separador de milhares 3 2 2 8 4 2 2" xfId="49967" xr:uid="{00000000-0005-0000-0000-000061560000}"/>
    <cellStyle name="Separador de milhares 3 2 2 8 4 3" xfId="31344" xr:uid="{00000000-0005-0000-0000-000062560000}"/>
    <cellStyle name="Separador de milhares 3 2 2 8 5" xfId="17869" xr:uid="{00000000-0005-0000-0000-000063560000}"/>
    <cellStyle name="Separador de milhares 3 2 2 8 5 2" xfId="44059" xr:uid="{00000000-0005-0000-0000-000064560000}"/>
    <cellStyle name="Separador de milhares 3 2 2 8 6" xfId="11535" xr:uid="{00000000-0005-0000-0000-000065560000}"/>
    <cellStyle name="Separador de milhares 3 2 2 8 6 2" xfId="37728" xr:uid="{00000000-0005-0000-0000-000066560000}"/>
    <cellStyle name="Separador de milhares 3 2 2 8 7" xfId="29646" xr:uid="{00000000-0005-0000-0000-000067560000}"/>
    <cellStyle name="Separador de milhares 3 2 2 9" xfId="2043" xr:uid="{00000000-0005-0000-0000-000068560000}"/>
    <cellStyle name="Separador de milhares 3 2 2 9 2" xfId="6997" xr:uid="{00000000-0005-0000-0000-000069560000}"/>
    <cellStyle name="Separador de milhares 3 2 2 9 2 2" xfId="10141" xr:uid="{00000000-0005-0000-0000-00006A560000}"/>
    <cellStyle name="Separador de milhares 3 2 2 9 2 2 2" xfId="28355" xr:uid="{00000000-0005-0000-0000-00006B560000}"/>
    <cellStyle name="Separador de milhares 3 2 2 9 2 2 2 2" xfId="54536" xr:uid="{00000000-0005-0000-0000-00006C560000}"/>
    <cellStyle name="Separador de milhares 3 2 2 9 2 2 3" xfId="22441" xr:uid="{00000000-0005-0000-0000-00006D560000}"/>
    <cellStyle name="Separador de milhares 3 2 2 9 2 2 3 2" xfId="48628" xr:uid="{00000000-0005-0000-0000-00006E560000}"/>
    <cellStyle name="Separador de milhares 3 2 2 9 2 2 4" xfId="16527" xr:uid="{00000000-0005-0000-0000-00006F560000}"/>
    <cellStyle name="Separador de milhares 3 2 2 9 2 2 4 2" xfId="42720" xr:uid="{00000000-0005-0000-0000-000070560000}"/>
    <cellStyle name="Separador de milhares 3 2 2 9 2 2 5" xfId="36334" xr:uid="{00000000-0005-0000-0000-000071560000}"/>
    <cellStyle name="Separador de milhares 3 2 2 9 2 3" xfId="25398" xr:uid="{00000000-0005-0000-0000-000072560000}"/>
    <cellStyle name="Separador de milhares 3 2 2 9 2 3 2" xfId="51582" xr:uid="{00000000-0005-0000-0000-000073560000}"/>
    <cellStyle name="Separador de milhares 3 2 2 9 2 4" xfId="19484" xr:uid="{00000000-0005-0000-0000-000074560000}"/>
    <cellStyle name="Separador de milhares 3 2 2 9 2 4 2" xfId="45674" xr:uid="{00000000-0005-0000-0000-000075560000}"/>
    <cellStyle name="Separador de milhares 3 2 2 9 2 5" xfId="13386" xr:uid="{00000000-0005-0000-0000-000076560000}"/>
    <cellStyle name="Separador de milhares 3 2 2 9 2 5 2" xfId="39579" xr:uid="{00000000-0005-0000-0000-000077560000}"/>
    <cellStyle name="Separador de milhares 3 2 2 9 2 6" xfId="33193" xr:uid="{00000000-0005-0000-0000-000078560000}"/>
    <cellStyle name="Separador de milhares 3 2 2 9 3" xfId="8673" xr:uid="{00000000-0005-0000-0000-000079560000}"/>
    <cellStyle name="Separador de milhares 3 2 2 9 3 2" xfId="26887" xr:uid="{00000000-0005-0000-0000-00007A560000}"/>
    <cellStyle name="Separador de milhares 3 2 2 9 3 2 2" xfId="53068" xr:uid="{00000000-0005-0000-0000-00007B560000}"/>
    <cellStyle name="Separador de milhares 3 2 2 9 3 3" xfId="20973" xr:uid="{00000000-0005-0000-0000-00007C560000}"/>
    <cellStyle name="Separador de milhares 3 2 2 9 3 3 2" xfId="47160" xr:uid="{00000000-0005-0000-0000-00007D560000}"/>
    <cellStyle name="Separador de milhares 3 2 2 9 3 4" xfId="15059" xr:uid="{00000000-0005-0000-0000-00007E560000}"/>
    <cellStyle name="Separador de milhares 3 2 2 9 3 4 2" xfId="41252" xr:uid="{00000000-0005-0000-0000-00007F560000}"/>
    <cellStyle name="Separador de milhares 3 2 2 9 3 5" xfId="34866" xr:uid="{00000000-0005-0000-0000-000080560000}"/>
    <cellStyle name="Separador de milhares 3 2 2 9 4" xfId="5298" xr:uid="{00000000-0005-0000-0000-000081560000}"/>
    <cellStyle name="Separador de milhares 3 2 2 9 4 2" xfId="23930" xr:uid="{00000000-0005-0000-0000-000082560000}"/>
    <cellStyle name="Separador de milhares 3 2 2 9 4 2 2" xfId="50114" xr:uid="{00000000-0005-0000-0000-000083560000}"/>
    <cellStyle name="Separador de milhares 3 2 2 9 4 3" xfId="31494" xr:uid="{00000000-0005-0000-0000-000084560000}"/>
    <cellStyle name="Separador de milhares 3 2 2 9 5" xfId="18016" xr:uid="{00000000-0005-0000-0000-000085560000}"/>
    <cellStyle name="Separador de milhares 3 2 2 9 5 2" xfId="44206" xr:uid="{00000000-0005-0000-0000-000086560000}"/>
    <cellStyle name="Separador de milhares 3 2 2 9 6" xfId="11685" xr:uid="{00000000-0005-0000-0000-000087560000}"/>
    <cellStyle name="Separador de milhares 3 2 2 9 6 2" xfId="37878" xr:uid="{00000000-0005-0000-0000-000088560000}"/>
    <cellStyle name="Separador de milhares 3 2 2 9 7" xfId="29796" xr:uid="{00000000-0005-0000-0000-000089560000}"/>
    <cellStyle name="Separador de milhares 3 2 20" xfId="8098" xr:uid="{00000000-0005-0000-0000-00008A560000}"/>
    <cellStyle name="Separador de milhares 3 2 20 2" xfId="26312" xr:uid="{00000000-0005-0000-0000-00008B560000}"/>
    <cellStyle name="Separador de milhares 3 2 20 2 2" xfId="52496" xr:uid="{00000000-0005-0000-0000-00008C560000}"/>
    <cellStyle name="Separador de milhares 3 2 20 3" xfId="20398" xr:uid="{00000000-0005-0000-0000-00008D560000}"/>
    <cellStyle name="Separador de milhares 3 2 20 3 2" xfId="46588" xr:uid="{00000000-0005-0000-0000-00008E560000}"/>
    <cellStyle name="Separador de milhares 3 2 20 4" xfId="14487" xr:uid="{00000000-0005-0000-0000-00008F560000}"/>
    <cellStyle name="Separador de milhares 3 2 20 4 2" xfId="40680" xr:uid="{00000000-0005-0000-0000-000090560000}"/>
    <cellStyle name="Separador de milhares 3 2 20 5" xfId="34294" xr:uid="{00000000-0005-0000-0000-000091560000}"/>
    <cellStyle name="Separador de milhares 3 2 21" xfId="4711" xr:uid="{00000000-0005-0000-0000-000092560000}"/>
    <cellStyle name="Separador de milhares 3 2 21 2" xfId="23355" xr:uid="{00000000-0005-0000-0000-000093560000}"/>
    <cellStyle name="Separador de milhares 3 2 21 2 2" xfId="49542" xr:uid="{00000000-0005-0000-0000-000094560000}"/>
    <cellStyle name="Separador de milhares 3 2 21 3" xfId="30910" xr:uid="{00000000-0005-0000-0000-000095560000}"/>
    <cellStyle name="Separador de milhares 3 2 22" xfId="17441" xr:uid="{00000000-0005-0000-0000-000096560000}"/>
    <cellStyle name="Separador de milhares 3 2 22 2" xfId="43634" xr:uid="{00000000-0005-0000-0000-000097560000}"/>
    <cellStyle name="Separador de milhares 3 2 23" xfId="11101" xr:uid="{00000000-0005-0000-0000-000098560000}"/>
    <cellStyle name="Separador de milhares 3 2 23 2" xfId="37294" xr:uid="{00000000-0005-0000-0000-000099560000}"/>
    <cellStyle name="Separador de milhares 3 2 24" xfId="29212" xr:uid="{00000000-0005-0000-0000-00009A560000}"/>
    <cellStyle name="Separador de milhares 3 2 3" xfId="75" xr:uid="{00000000-0005-0000-0000-00009B560000}"/>
    <cellStyle name="Separador de milhares 3 2 3 10" xfId="2578" xr:uid="{00000000-0005-0000-0000-00009C560000}"/>
    <cellStyle name="Separador de milhares 3 2 3 10 2" xfId="7146" xr:uid="{00000000-0005-0000-0000-00009D560000}"/>
    <cellStyle name="Separador de milhares 3 2 3 10 2 2" xfId="10290" xr:uid="{00000000-0005-0000-0000-00009E560000}"/>
    <cellStyle name="Separador de milhares 3 2 3 10 2 2 2" xfId="28504" xr:uid="{00000000-0005-0000-0000-00009F560000}"/>
    <cellStyle name="Separador de milhares 3 2 3 10 2 2 2 2" xfId="54685" xr:uid="{00000000-0005-0000-0000-0000A0560000}"/>
    <cellStyle name="Separador de milhares 3 2 3 10 2 2 3" xfId="22590" xr:uid="{00000000-0005-0000-0000-0000A1560000}"/>
    <cellStyle name="Separador de milhares 3 2 3 10 2 2 3 2" xfId="48777" xr:uid="{00000000-0005-0000-0000-0000A2560000}"/>
    <cellStyle name="Separador de milhares 3 2 3 10 2 2 4" xfId="16676" xr:uid="{00000000-0005-0000-0000-0000A3560000}"/>
    <cellStyle name="Separador de milhares 3 2 3 10 2 2 4 2" xfId="42869" xr:uid="{00000000-0005-0000-0000-0000A4560000}"/>
    <cellStyle name="Separador de milhares 3 2 3 10 2 2 5" xfId="36483" xr:uid="{00000000-0005-0000-0000-0000A5560000}"/>
    <cellStyle name="Separador de milhares 3 2 3 10 2 3" xfId="25547" xr:uid="{00000000-0005-0000-0000-0000A6560000}"/>
    <cellStyle name="Separador de milhares 3 2 3 10 2 3 2" xfId="51731" xr:uid="{00000000-0005-0000-0000-0000A7560000}"/>
    <cellStyle name="Separador de milhares 3 2 3 10 2 4" xfId="19633" xr:uid="{00000000-0005-0000-0000-0000A8560000}"/>
    <cellStyle name="Separador de milhares 3 2 3 10 2 4 2" xfId="45823" xr:uid="{00000000-0005-0000-0000-0000A9560000}"/>
    <cellStyle name="Separador de milhares 3 2 3 10 2 5" xfId="13535" xr:uid="{00000000-0005-0000-0000-0000AA560000}"/>
    <cellStyle name="Separador de milhares 3 2 3 10 2 5 2" xfId="39728" xr:uid="{00000000-0005-0000-0000-0000AB560000}"/>
    <cellStyle name="Separador de milhares 3 2 3 10 2 6" xfId="33342" xr:uid="{00000000-0005-0000-0000-0000AC560000}"/>
    <cellStyle name="Separador de milhares 3 2 3 10 3" xfId="8822" xr:uid="{00000000-0005-0000-0000-0000AD560000}"/>
    <cellStyle name="Separador de milhares 3 2 3 10 3 2" xfId="27036" xr:uid="{00000000-0005-0000-0000-0000AE560000}"/>
    <cellStyle name="Separador de milhares 3 2 3 10 3 2 2" xfId="53217" xr:uid="{00000000-0005-0000-0000-0000AF560000}"/>
    <cellStyle name="Separador de milhares 3 2 3 10 3 3" xfId="21122" xr:uid="{00000000-0005-0000-0000-0000B0560000}"/>
    <cellStyle name="Separador de milhares 3 2 3 10 3 3 2" xfId="47309" xr:uid="{00000000-0005-0000-0000-0000B1560000}"/>
    <cellStyle name="Separador de milhares 3 2 3 10 3 4" xfId="15208" xr:uid="{00000000-0005-0000-0000-0000B2560000}"/>
    <cellStyle name="Separador de milhares 3 2 3 10 3 4 2" xfId="41401" xr:uid="{00000000-0005-0000-0000-0000B3560000}"/>
    <cellStyle name="Separador de milhares 3 2 3 10 3 5" xfId="35015" xr:uid="{00000000-0005-0000-0000-0000B4560000}"/>
    <cellStyle name="Separador de milhares 3 2 3 10 4" xfId="5447" xr:uid="{00000000-0005-0000-0000-0000B5560000}"/>
    <cellStyle name="Separador de milhares 3 2 3 10 4 2" xfId="24079" xr:uid="{00000000-0005-0000-0000-0000B6560000}"/>
    <cellStyle name="Separador de milhares 3 2 3 10 4 2 2" xfId="50263" xr:uid="{00000000-0005-0000-0000-0000B7560000}"/>
    <cellStyle name="Separador de milhares 3 2 3 10 4 3" xfId="31643" xr:uid="{00000000-0005-0000-0000-0000B8560000}"/>
    <cellStyle name="Separador de milhares 3 2 3 10 5" xfId="18165" xr:uid="{00000000-0005-0000-0000-0000B9560000}"/>
    <cellStyle name="Separador de milhares 3 2 3 10 5 2" xfId="44355" xr:uid="{00000000-0005-0000-0000-0000BA560000}"/>
    <cellStyle name="Separador de milhares 3 2 3 10 6" xfId="11834" xr:uid="{00000000-0005-0000-0000-0000BB560000}"/>
    <cellStyle name="Separador de milhares 3 2 3 10 6 2" xfId="38027" xr:uid="{00000000-0005-0000-0000-0000BC560000}"/>
    <cellStyle name="Separador de milhares 3 2 3 10 7" xfId="29945" xr:uid="{00000000-0005-0000-0000-0000BD560000}"/>
    <cellStyle name="Separador de milhares 3 2 3 11" xfId="3105" xr:uid="{00000000-0005-0000-0000-0000BE560000}"/>
    <cellStyle name="Separador de milhares 3 2 3 11 2" xfId="7293" xr:uid="{00000000-0005-0000-0000-0000BF560000}"/>
    <cellStyle name="Separador de milhares 3 2 3 11 2 2" xfId="10437" xr:uid="{00000000-0005-0000-0000-0000C0560000}"/>
    <cellStyle name="Separador de milhares 3 2 3 11 2 2 2" xfId="28651" xr:uid="{00000000-0005-0000-0000-0000C1560000}"/>
    <cellStyle name="Separador de milhares 3 2 3 11 2 2 2 2" xfId="54832" xr:uid="{00000000-0005-0000-0000-0000C2560000}"/>
    <cellStyle name="Separador de milhares 3 2 3 11 2 2 3" xfId="22737" xr:uid="{00000000-0005-0000-0000-0000C3560000}"/>
    <cellStyle name="Separador de milhares 3 2 3 11 2 2 3 2" xfId="48924" xr:uid="{00000000-0005-0000-0000-0000C4560000}"/>
    <cellStyle name="Separador de milhares 3 2 3 11 2 2 4" xfId="16823" xr:uid="{00000000-0005-0000-0000-0000C5560000}"/>
    <cellStyle name="Separador de milhares 3 2 3 11 2 2 4 2" xfId="43016" xr:uid="{00000000-0005-0000-0000-0000C6560000}"/>
    <cellStyle name="Separador de milhares 3 2 3 11 2 2 5" xfId="36630" xr:uid="{00000000-0005-0000-0000-0000C7560000}"/>
    <cellStyle name="Separador de milhares 3 2 3 11 2 3" xfId="25694" xr:uid="{00000000-0005-0000-0000-0000C8560000}"/>
    <cellStyle name="Separador de milhares 3 2 3 11 2 3 2" xfId="51878" xr:uid="{00000000-0005-0000-0000-0000C9560000}"/>
    <cellStyle name="Separador de milhares 3 2 3 11 2 4" xfId="19780" xr:uid="{00000000-0005-0000-0000-0000CA560000}"/>
    <cellStyle name="Separador de milhares 3 2 3 11 2 4 2" xfId="45970" xr:uid="{00000000-0005-0000-0000-0000CB560000}"/>
    <cellStyle name="Separador de milhares 3 2 3 11 2 5" xfId="13682" xr:uid="{00000000-0005-0000-0000-0000CC560000}"/>
    <cellStyle name="Separador de milhares 3 2 3 11 2 5 2" xfId="39875" xr:uid="{00000000-0005-0000-0000-0000CD560000}"/>
    <cellStyle name="Separador de milhares 3 2 3 11 2 6" xfId="33489" xr:uid="{00000000-0005-0000-0000-0000CE560000}"/>
    <cellStyle name="Separador de milhares 3 2 3 11 3" xfId="8969" xr:uid="{00000000-0005-0000-0000-0000CF560000}"/>
    <cellStyle name="Separador de milhares 3 2 3 11 3 2" xfId="27183" xr:uid="{00000000-0005-0000-0000-0000D0560000}"/>
    <cellStyle name="Separador de milhares 3 2 3 11 3 2 2" xfId="53364" xr:uid="{00000000-0005-0000-0000-0000D1560000}"/>
    <cellStyle name="Separador de milhares 3 2 3 11 3 3" xfId="21269" xr:uid="{00000000-0005-0000-0000-0000D2560000}"/>
    <cellStyle name="Separador de milhares 3 2 3 11 3 3 2" xfId="47456" xr:uid="{00000000-0005-0000-0000-0000D3560000}"/>
    <cellStyle name="Separador de milhares 3 2 3 11 3 4" xfId="15355" xr:uid="{00000000-0005-0000-0000-0000D4560000}"/>
    <cellStyle name="Separador de milhares 3 2 3 11 3 4 2" xfId="41548" xr:uid="{00000000-0005-0000-0000-0000D5560000}"/>
    <cellStyle name="Separador de milhares 3 2 3 11 3 5" xfId="35162" xr:uid="{00000000-0005-0000-0000-0000D6560000}"/>
    <cellStyle name="Separador de milhares 3 2 3 11 4" xfId="5594" xr:uid="{00000000-0005-0000-0000-0000D7560000}"/>
    <cellStyle name="Separador de milhares 3 2 3 11 4 2" xfId="24226" xr:uid="{00000000-0005-0000-0000-0000D8560000}"/>
    <cellStyle name="Separador de milhares 3 2 3 11 4 2 2" xfId="50410" xr:uid="{00000000-0005-0000-0000-0000D9560000}"/>
    <cellStyle name="Separador de milhares 3 2 3 11 4 3" xfId="31790" xr:uid="{00000000-0005-0000-0000-0000DA560000}"/>
    <cellStyle name="Separador de milhares 3 2 3 11 5" xfId="18312" xr:uid="{00000000-0005-0000-0000-0000DB560000}"/>
    <cellStyle name="Separador de milhares 3 2 3 11 5 2" xfId="44502" xr:uid="{00000000-0005-0000-0000-0000DC560000}"/>
    <cellStyle name="Separador de milhares 3 2 3 11 6" xfId="11981" xr:uid="{00000000-0005-0000-0000-0000DD560000}"/>
    <cellStyle name="Separador de milhares 3 2 3 11 6 2" xfId="38174" xr:uid="{00000000-0005-0000-0000-0000DE560000}"/>
    <cellStyle name="Separador de milhares 3 2 3 11 7" xfId="30092" xr:uid="{00000000-0005-0000-0000-0000DF560000}"/>
    <cellStyle name="Separador de milhares 3 2 3 12" xfId="3632" xr:uid="{00000000-0005-0000-0000-0000E0560000}"/>
    <cellStyle name="Separador de milhares 3 2 3 12 2" xfId="7440" xr:uid="{00000000-0005-0000-0000-0000E1560000}"/>
    <cellStyle name="Separador de milhares 3 2 3 12 2 2" xfId="10584" xr:uid="{00000000-0005-0000-0000-0000E2560000}"/>
    <cellStyle name="Separador de milhares 3 2 3 12 2 2 2" xfId="28798" xr:uid="{00000000-0005-0000-0000-0000E3560000}"/>
    <cellStyle name="Separador de milhares 3 2 3 12 2 2 2 2" xfId="54979" xr:uid="{00000000-0005-0000-0000-0000E4560000}"/>
    <cellStyle name="Separador de milhares 3 2 3 12 2 2 3" xfId="22884" xr:uid="{00000000-0005-0000-0000-0000E5560000}"/>
    <cellStyle name="Separador de milhares 3 2 3 12 2 2 3 2" xfId="49071" xr:uid="{00000000-0005-0000-0000-0000E6560000}"/>
    <cellStyle name="Separador de milhares 3 2 3 12 2 2 4" xfId="16970" xr:uid="{00000000-0005-0000-0000-0000E7560000}"/>
    <cellStyle name="Separador de milhares 3 2 3 12 2 2 4 2" xfId="43163" xr:uid="{00000000-0005-0000-0000-0000E8560000}"/>
    <cellStyle name="Separador de milhares 3 2 3 12 2 2 5" xfId="36777" xr:uid="{00000000-0005-0000-0000-0000E9560000}"/>
    <cellStyle name="Separador de milhares 3 2 3 12 2 3" xfId="25841" xr:uid="{00000000-0005-0000-0000-0000EA560000}"/>
    <cellStyle name="Separador de milhares 3 2 3 12 2 3 2" xfId="52025" xr:uid="{00000000-0005-0000-0000-0000EB560000}"/>
    <cellStyle name="Separador de milhares 3 2 3 12 2 4" xfId="19927" xr:uid="{00000000-0005-0000-0000-0000EC560000}"/>
    <cellStyle name="Separador de milhares 3 2 3 12 2 4 2" xfId="46117" xr:uid="{00000000-0005-0000-0000-0000ED560000}"/>
    <cellStyle name="Separador de milhares 3 2 3 12 2 5" xfId="13829" xr:uid="{00000000-0005-0000-0000-0000EE560000}"/>
    <cellStyle name="Separador de milhares 3 2 3 12 2 5 2" xfId="40022" xr:uid="{00000000-0005-0000-0000-0000EF560000}"/>
    <cellStyle name="Separador de milhares 3 2 3 12 2 6" xfId="33636" xr:uid="{00000000-0005-0000-0000-0000F0560000}"/>
    <cellStyle name="Separador de milhares 3 2 3 12 3" xfId="9116" xr:uid="{00000000-0005-0000-0000-0000F1560000}"/>
    <cellStyle name="Separador de milhares 3 2 3 12 3 2" xfId="27330" xr:uid="{00000000-0005-0000-0000-0000F2560000}"/>
    <cellStyle name="Separador de milhares 3 2 3 12 3 2 2" xfId="53511" xr:uid="{00000000-0005-0000-0000-0000F3560000}"/>
    <cellStyle name="Separador de milhares 3 2 3 12 3 3" xfId="21416" xr:uid="{00000000-0005-0000-0000-0000F4560000}"/>
    <cellStyle name="Separador de milhares 3 2 3 12 3 3 2" xfId="47603" xr:uid="{00000000-0005-0000-0000-0000F5560000}"/>
    <cellStyle name="Separador de milhares 3 2 3 12 3 4" xfId="15502" xr:uid="{00000000-0005-0000-0000-0000F6560000}"/>
    <cellStyle name="Separador de milhares 3 2 3 12 3 4 2" xfId="41695" xr:uid="{00000000-0005-0000-0000-0000F7560000}"/>
    <cellStyle name="Separador de milhares 3 2 3 12 3 5" xfId="35309" xr:uid="{00000000-0005-0000-0000-0000F8560000}"/>
    <cellStyle name="Separador de milhares 3 2 3 12 4" xfId="5741" xr:uid="{00000000-0005-0000-0000-0000F9560000}"/>
    <cellStyle name="Separador de milhares 3 2 3 12 4 2" xfId="24373" xr:uid="{00000000-0005-0000-0000-0000FA560000}"/>
    <cellStyle name="Separador de milhares 3 2 3 12 4 2 2" xfId="50557" xr:uid="{00000000-0005-0000-0000-0000FB560000}"/>
    <cellStyle name="Separador de milhares 3 2 3 12 4 3" xfId="31937" xr:uid="{00000000-0005-0000-0000-0000FC560000}"/>
    <cellStyle name="Separador de milhares 3 2 3 12 5" xfId="18459" xr:uid="{00000000-0005-0000-0000-0000FD560000}"/>
    <cellStyle name="Separador de milhares 3 2 3 12 5 2" xfId="44649" xr:uid="{00000000-0005-0000-0000-0000FE560000}"/>
    <cellStyle name="Separador de milhares 3 2 3 12 6" xfId="12128" xr:uid="{00000000-0005-0000-0000-0000FF560000}"/>
    <cellStyle name="Separador de milhares 3 2 3 12 6 2" xfId="38321" xr:uid="{00000000-0005-0000-0000-000000570000}"/>
    <cellStyle name="Separador de milhares 3 2 3 12 7" xfId="30239" xr:uid="{00000000-0005-0000-0000-000001570000}"/>
    <cellStyle name="Separador de milhares 3 2 3 13" xfId="6424" xr:uid="{00000000-0005-0000-0000-000002570000}"/>
    <cellStyle name="Separador de milhares 3 2 3 13 2" xfId="9580" xr:uid="{00000000-0005-0000-0000-000003570000}"/>
    <cellStyle name="Separador de milhares 3 2 3 13 2 2" xfId="27794" xr:uid="{00000000-0005-0000-0000-000004570000}"/>
    <cellStyle name="Separador de milhares 3 2 3 13 2 2 2" xfId="53975" xr:uid="{00000000-0005-0000-0000-000005570000}"/>
    <cellStyle name="Separador de milhares 3 2 3 13 2 3" xfId="21880" xr:uid="{00000000-0005-0000-0000-000006570000}"/>
    <cellStyle name="Separador de milhares 3 2 3 13 2 3 2" xfId="48067" xr:uid="{00000000-0005-0000-0000-000007570000}"/>
    <cellStyle name="Separador de milhares 3 2 3 13 2 4" xfId="15966" xr:uid="{00000000-0005-0000-0000-000008570000}"/>
    <cellStyle name="Separador de milhares 3 2 3 13 2 4 2" xfId="42159" xr:uid="{00000000-0005-0000-0000-000009570000}"/>
    <cellStyle name="Separador de milhares 3 2 3 13 2 5" xfId="35773" xr:uid="{00000000-0005-0000-0000-00000A570000}"/>
    <cellStyle name="Separador de milhares 3 2 3 13 3" xfId="24837" xr:uid="{00000000-0005-0000-0000-00000B570000}"/>
    <cellStyle name="Separador de milhares 3 2 3 13 3 2" xfId="51021" xr:uid="{00000000-0005-0000-0000-00000C570000}"/>
    <cellStyle name="Separador de milhares 3 2 3 13 4" xfId="18923" xr:uid="{00000000-0005-0000-0000-00000D570000}"/>
    <cellStyle name="Separador de milhares 3 2 3 13 4 2" xfId="45113" xr:uid="{00000000-0005-0000-0000-00000E570000}"/>
    <cellStyle name="Separador de milhares 3 2 3 13 5" xfId="12813" xr:uid="{00000000-0005-0000-0000-00000F570000}"/>
    <cellStyle name="Separador de milhares 3 2 3 13 5 2" xfId="39006" xr:uid="{00000000-0005-0000-0000-000010570000}"/>
    <cellStyle name="Separador de milhares 3 2 3 13 6" xfId="32620" xr:uid="{00000000-0005-0000-0000-000011570000}"/>
    <cellStyle name="Separador de milhares 3 2 3 14" xfId="8109" xr:uid="{00000000-0005-0000-0000-000012570000}"/>
    <cellStyle name="Separador de milhares 3 2 3 14 2" xfId="26323" xr:uid="{00000000-0005-0000-0000-000013570000}"/>
    <cellStyle name="Separador de milhares 3 2 3 14 2 2" xfId="52507" xr:uid="{00000000-0005-0000-0000-000014570000}"/>
    <cellStyle name="Separador de milhares 3 2 3 14 3" xfId="20409" xr:uid="{00000000-0005-0000-0000-000015570000}"/>
    <cellStyle name="Separador de milhares 3 2 3 14 3 2" xfId="46599" xr:uid="{00000000-0005-0000-0000-000016570000}"/>
    <cellStyle name="Separador de milhares 3 2 3 14 4" xfId="14498" xr:uid="{00000000-0005-0000-0000-000017570000}"/>
    <cellStyle name="Separador de milhares 3 2 3 14 4 2" xfId="40691" xr:uid="{00000000-0005-0000-0000-000018570000}"/>
    <cellStyle name="Separador de milhares 3 2 3 14 5" xfId="34305" xr:uid="{00000000-0005-0000-0000-000019570000}"/>
    <cellStyle name="Separador de milhares 3 2 3 15" xfId="4722" xr:uid="{00000000-0005-0000-0000-00001A570000}"/>
    <cellStyle name="Separador de milhares 3 2 3 15 2" xfId="23366" xr:uid="{00000000-0005-0000-0000-00001B570000}"/>
    <cellStyle name="Separador de milhares 3 2 3 15 2 2" xfId="49553" xr:uid="{00000000-0005-0000-0000-00001C570000}"/>
    <cellStyle name="Separador de milhares 3 2 3 15 3" xfId="30921" xr:uid="{00000000-0005-0000-0000-00001D570000}"/>
    <cellStyle name="Separador de milhares 3 2 3 16" xfId="17452" xr:uid="{00000000-0005-0000-0000-00001E570000}"/>
    <cellStyle name="Separador de milhares 3 2 3 16 2" xfId="43645" xr:uid="{00000000-0005-0000-0000-00001F570000}"/>
    <cellStyle name="Separador de milhares 3 2 3 17" xfId="11112" xr:uid="{00000000-0005-0000-0000-000020570000}"/>
    <cellStyle name="Separador de milhares 3 2 3 17 2" xfId="37305" xr:uid="{00000000-0005-0000-0000-000021570000}"/>
    <cellStyle name="Separador de milhares 3 2 3 18" xfId="29223" xr:uid="{00000000-0005-0000-0000-000022570000}"/>
    <cellStyle name="Separador de milhares 3 2 3 2" xfId="169" xr:uid="{00000000-0005-0000-0000-000023570000}"/>
    <cellStyle name="Separador de milhares 3 2 3 2 10" xfId="6453" xr:uid="{00000000-0005-0000-0000-000024570000}"/>
    <cellStyle name="Separador de milhares 3 2 3 2 10 2" xfId="9607" xr:uid="{00000000-0005-0000-0000-000025570000}"/>
    <cellStyle name="Separador de milhares 3 2 3 2 10 2 2" xfId="27821" xr:uid="{00000000-0005-0000-0000-000026570000}"/>
    <cellStyle name="Separador de milhares 3 2 3 2 10 2 2 2" xfId="54002" xr:uid="{00000000-0005-0000-0000-000027570000}"/>
    <cellStyle name="Separador de milhares 3 2 3 2 10 2 3" xfId="21907" xr:uid="{00000000-0005-0000-0000-000028570000}"/>
    <cellStyle name="Separador de milhares 3 2 3 2 10 2 3 2" xfId="48094" xr:uid="{00000000-0005-0000-0000-000029570000}"/>
    <cellStyle name="Separador de milhares 3 2 3 2 10 2 4" xfId="15993" xr:uid="{00000000-0005-0000-0000-00002A570000}"/>
    <cellStyle name="Separador de milhares 3 2 3 2 10 2 4 2" xfId="42186" xr:uid="{00000000-0005-0000-0000-00002B570000}"/>
    <cellStyle name="Separador de milhares 3 2 3 2 10 2 5" xfId="35800" xr:uid="{00000000-0005-0000-0000-00002C570000}"/>
    <cellStyle name="Separador de milhares 3 2 3 2 10 3" xfId="24864" xr:uid="{00000000-0005-0000-0000-00002D570000}"/>
    <cellStyle name="Separador de milhares 3 2 3 2 10 3 2" xfId="51048" xr:uid="{00000000-0005-0000-0000-00002E570000}"/>
    <cellStyle name="Separador de milhares 3 2 3 2 10 4" xfId="18950" xr:uid="{00000000-0005-0000-0000-00002F570000}"/>
    <cellStyle name="Separador de milhares 3 2 3 2 10 4 2" xfId="45140" xr:uid="{00000000-0005-0000-0000-000030570000}"/>
    <cellStyle name="Separador de milhares 3 2 3 2 10 5" xfId="12842" xr:uid="{00000000-0005-0000-0000-000031570000}"/>
    <cellStyle name="Separador de milhares 3 2 3 2 10 5 2" xfId="39035" xr:uid="{00000000-0005-0000-0000-000032570000}"/>
    <cellStyle name="Separador de milhares 3 2 3 2 10 6" xfId="32649" xr:uid="{00000000-0005-0000-0000-000033570000}"/>
    <cellStyle name="Separador de milhares 3 2 3 2 11" xfId="8136" xr:uid="{00000000-0005-0000-0000-000034570000}"/>
    <cellStyle name="Separador de milhares 3 2 3 2 11 2" xfId="26350" xr:uid="{00000000-0005-0000-0000-000035570000}"/>
    <cellStyle name="Separador de milhares 3 2 3 2 11 2 2" xfId="52534" xr:uid="{00000000-0005-0000-0000-000036570000}"/>
    <cellStyle name="Separador de milhares 3 2 3 2 11 3" xfId="20436" xr:uid="{00000000-0005-0000-0000-000037570000}"/>
    <cellStyle name="Separador de milhares 3 2 3 2 11 3 2" xfId="46626" xr:uid="{00000000-0005-0000-0000-000038570000}"/>
    <cellStyle name="Separador de milhares 3 2 3 2 11 4" xfId="14525" xr:uid="{00000000-0005-0000-0000-000039570000}"/>
    <cellStyle name="Separador de milhares 3 2 3 2 11 4 2" xfId="40718" xr:uid="{00000000-0005-0000-0000-00003A570000}"/>
    <cellStyle name="Separador de milhares 3 2 3 2 11 5" xfId="34332" xr:uid="{00000000-0005-0000-0000-00003B570000}"/>
    <cellStyle name="Separador de milhares 3 2 3 2 12" xfId="4752" xr:uid="{00000000-0005-0000-0000-00003C570000}"/>
    <cellStyle name="Separador de milhares 3 2 3 2 12 2" xfId="23393" xr:uid="{00000000-0005-0000-0000-00003D570000}"/>
    <cellStyle name="Separador de milhares 3 2 3 2 12 2 2" xfId="49580" xr:uid="{00000000-0005-0000-0000-00003E570000}"/>
    <cellStyle name="Separador de milhares 3 2 3 2 12 3" xfId="30950" xr:uid="{00000000-0005-0000-0000-00003F570000}"/>
    <cellStyle name="Separador de milhares 3 2 3 2 13" xfId="17479" xr:uid="{00000000-0005-0000-0000-000040570000}"/>
    <cellStyle name="Separador de milhares 3 2 3 2 13 2" xfId="43672" xr:uid="{00000000-0005-0000-0000-000041570000}"/>
    <cellStyle name="Separador de milhares 3 2 3 2 14" xfId="11141" xr:uid="{00000000-0005-0000-0000-000042570000}"/>
    <cellStyle name="Separador de milhares 3 2 3 2 14 2" xfId="37334" xr:uid="{00000000-0005-0000-0000-000043570000}"/>
    <cellStyle name="Separador de milhares 3 2 3 2 15" xfId="29253" xr:uid="{00000000-0005-0000-0000-000044570000}"/>
    <cellStyle name="Separador de milhares 3 2 3 2 2" xfId="442" xr:uid="{00000000-0005-0000-0000-000045570000}"/>
    <cellStyle name="Separador de milhares 3 2 3 2 2 10" xfId="17553" xr:uid="{00000000-0005-0000-0000-000046570000}"/>
    <cellStyle name="Separador de milhares 3 2 3 2 2 10 2" xfId="43746" xr:uid="{00000000-0005-0000-0000-000047570000}"/>
    <cellStyle name="Separador de milhares 3 2 3 2 2 11" xfId="11222" xr:uid="{00000000-0005-0000-0000-000048570000}"/>
    <cellStyle name="Separador de milhares 3 2 3 2 2 11 2" xfId="37415" xr:uid="{00000000-0005-0000-0000-000049570000}"/>
    <cellStyle name="Separador de milhares 3 2 3 2 2 12" xfId="29333" xr:uid="{00000000-0005-0000-0000-00004A570000}"/>
    <cellStyle name="Separador de milhares 3 2 3 2 2 2" xfId="1961" xr:uid="{00000000-0005-0000-0000-00004B570000}"/>
    <cellStyle name="Separador de milhares 3 2 3 2 2 2 2" xfId="6972" xr:uid="{00000000-0005-0000-0000-00004C570000}"/>
    <cellStyle name="Separador de milhares 3 2 3 2 2 2 2 2" xfId="10119" xr:uid="{00000000-0005-0000-0000-00004D570000}"/>
    <cellStyle name="Separador de milhares 3 2 3 2 2 2 2 2 2" xfId="28333" xr:uid="{00000000-0005-0000-0000-00004E570000}"/>
    <cellStyle name="Separador de milhares 3 2 3 2 2 2 2 2 2 2" xfId="54514" xr:uid="{00000000-0005-0000-0000-00004F570000}"/>
    <cellStyle name="Separador de milhares 3 2 3 2 2 2 2 2 3" xfId="22419" xr:uid="{00000000-0005-0000-0000-000050570000}"/>
    <cellStyle name="Separador de milhares 3 2 3 2 2 2 2 2 3 2" xfId="48606" xr:uid="{00000000-0005-0000-0000-000051570000}"/>
    <cellStyle name="Separador de milhares 3 2 3 2 2 2 2 2 4" xfId="16505" xr:uid="{00000000-0005-0000-0000-000052570000}"/>
    <cellStyle name="Separador de milhares 3 2 3 2 2 2 2 2 4 2" xfId="42698" xr:uid="{00000000-0005-0000-0000-000053570000}"/>
    <cellStyle name="Separador de milhares 3 2 3 2 2 2 2 2 5" xfId="36312" xr:uid="{00000000-0005-0000-0000-000054570000}"/>
    <cellStyle name="Separador de milhares 3 2 3 2 2 2 2 3" xfId="25376" xr:uid="{00000000-0005-0000-0000-000055570000}"/>
    <cellStyle name="Separador de milhares 3 2 3 2 2 2 2 3 2" xfId="51560" xr:uid="{00000000-0005-0000-0000-000056570000}"/>
    <cellStyle name="Separador de milhares 3 2 3 2 2 2 2 4" xfId="19462" xr:uid="{00000000-0005-0000-0000-000057570000}"/>
    <cellStyle name="Separador de milhares 3 2 3 2 2 2 2 4 2" xfId="45652" xr:uid="{00000000-0005-0000-0000-000058570000}"/>
    <cellStyle name="Separador de milhares 3 2 3 2 2 2 2 5" xfId="13361" xr:uid="{00000000-0005-0000-0000-000059570000}"/>
    <cellStyle name="Separador de milhares 3 2 3 2 2 2 2 5 2" xfId="39554" xr:uid="{00000000-0005-0000-0000-00005A570000}"/>
    <cellStyle name="Separador de milhares 3 2 3 2 2 2 2 6" xfId="33168" xr:uid="{00000000-0005-0000-0000-00005B570000}"/>
    <cellStyle name="Separador de milhares 3 2 3 2 2 2 3" xfId="8651" xr:uid="{00000000-0005-0000-0000-00005C570000}"/>
    <cellStyle name="Separador de milhares 3 2 3 2 2 2 3 2" xfId="26865" xr:uid="{00000000-0005-0000-0000-00005D570000}"/>
    <cellStyle name="Separador de milhares 3 2 3 2 2 2 3 2 2" xfId="53046" xr:uid="{00000000-0005-0000-0000-00005E570000}"/>
    <cellStyle name="Separador de milhares 3 2 3 2 2 2 3 3" xfId="20951" xr:uid="{00000000-0005-0000-0000-00005F570000}"/>
    <cellStyle name="Separador de milhares 3 2 3 2 2 2 3 3 2" xfId="47138" xr:uid="{00000000-0005-0000-0000-000060570000}"/>
    <cellStyle name="Separador de milhares 3 2 3 2 2 2 3 4" xfId="15037" xr:uid="{00000000-0005-0000-0000-000061570000}"/>
    <cellStyle name="Separador de milhares 3 2 3 2 2 2 3 4 2" xfId="41230" xr:uid="{00000000-0005-0000-0000-000062570000}"/>
    <cellStyle name="Separador de milhares 3 2 3 2 2 2 3 5" xfId="34844" xr:uid="{00000000-0005-0000-0000-000063570000}"/>
    <cellStyle name="Separador de milhares 3 2 3 2 2 2 4" xfId="5273" xr:uid="{00000000-0005-0000-0000-000064570000}"/>
    <cellStyle name="Separador de milhares 3 2 3 2 2 2 4 2" xfId="23908" xr:uid="{00000000-0005-0000-0000-000065570000}"/>
    <cellStyle name="Separador de milhares 3 2 3 2 2 2 4 2 2" xfId="50092" xr:uid="{00000000-0005-0000-0000-000066570000}"/>
    <cellStyle name="Separador de milhares 3 2 3 2 2 2 4 3" xfId="31469" xr:uid="{00000000-0005-0000-0000-000067570000}"/>
    <cellStyle name="Separador de milhares 3 2 3 2 2 2 5" xfId="17994" xr:uid="{00000000-0005-0000-0000-000068570000}"/>
    <cellStyle name="Separador de milhares 3 2 3 2 2 2 5 2" xfId="44184" xr:uid="{00000000-0005-0000-0000-000069570000}"/>
    <cellStyle name="Separador de milhares 3 2 3 2 2 2 6" xfId="11660" xr:uid="{00000000-0005-0000-0000-00006A570000}"/>
    <cellStyle name="Separador de milhares 3 2 3 2 2 2 6 2" xfId="37853" xr:uid="{00000000-0005-0000-0000-00006B570000}"/>
    <cellStyle name="Separador de milhares 3 2 3 2 2 2 7" xfId="29771" xr:uid="{00000000-0005-0000-0000-00006C570000}"/>
    <cellStyle name="Separador de milhares 3 2 3 2 2 3" xfId="2491" xr:uid="{00000000-0005-0000-0000-00006D570000}"/>
    <cellStyle name="Separador de milhares 3 2 3 2 2 3 2" xfId="7122" xr:uid="{00000000-0005-0000-0000-00006E570000}"/>
    <cellStyle name="Separador de milhares 3 2 3 2 2 3 2 2" xfId="10266" xr:uid="{00000000-0005-0000-0000-00006F570000}"/>
    <cellStyle name="Separador de milhares 3 2 3 2 2 3 2 2 2" xfId="28480" xr:uid="{00000000-0005-0000-0000-000070570000}"/>
    <cellStyle name="Separador de milhares 3 2 3 2 2 3 2 2 2 2" xfId="54661" xr:uid="{00000000-0005-0000-0000-000071570000}"/>
    <cellStyle name="Separador de milhares 3 2 3 2 2 3 2 2 3" xfId="22566" xr:uid="{00000000-0005-0000-0000-000072570000}"/>
    <cellStyle name="Separador de milhares 3 2 3 2 2 3 2 2 3 2" xfId="48753" xr:uid="{00000000-0005-0000-0000-000073570000}"/>
    <cellStyle name="Separador de milhares 3 2 3 2 2 3 2 2 4" xfId="16652" xr:uid="{00000000-0005-0000-0000-000074570000}"/>
    <cellStyle name="Separador de milhares 3 2 3 2 2 3 2 2 4 2" xfId="42845" xr:uid="{00000000-0005-0000-0000-000075570000}"/>
    <cellStyle name="Separador de milhares 3 2 3 2 2 3 2 2 5" xfId="36459" xr:uid="{00000000-0005-0000-0000-000076570000}"/>
    <cellStyle name="Separador de milhares 3 2 3 2 2 3 2 3" xfId="25523" xr:uid="{00000000-0005-0000-0000-000077570000}"/>
    <cellStyle name="Separador de milhares 3 2 3 2 2 3 2 3 2" xfId="51707" xr:uid="{00000000-0005-0000-0000-000078570000}"/>
    <cellStyle name="Separador de milhares 3 2 3 2 2 3 2 4" xfId="19609" xr:uid="{00000000-0005-0000-0000-000079570000}"/>
    <cellStyle name="Separador de milhares 3 2 3 2 2 3 2 4 2" xfId="45799" xr:uid="{00000000-0005-0000-0000-00007A570000}"/>
    <cellStyle name="Separador de milhares 3 2 3 2 2 3 2 5" xfId="13511" xr:uid="{00000000-0005-0000-0000-00007B570000}"/>
    <cellStyle name="Separador de milhares 3 2 3 2 2 3 2 5 2" xfId="39704" xr:uid="{00000000-0005-0000-0000-00007C570000}"/>
    <cellStyle name="Separador de milhares 3 2 3 2 2 3 2 6" xfId="33318" xr:uid="{00000000-0005-0000-0000-00007D570000}"/>
    <cellStyle name="Separador de milhares 3 2 3 2 2 3 3" xfId="8798" xr:uid="{00000000-0005-0000-0000-00007E570000}"/>
    <cellStyle name="Separador de milhares 3 2 3 2 2 3 3 2" xfId="27012" xr:uid="{00000000-0005-0000-0000-00007F570000}"/>
    <cellStyle name="Separador de milhares 3 2 3 2 2 3 3 2 2" xfId="53193" xr:uid="{00000000-0005-0000-0000-000080570000}"/>
    <cellStyle name="Separador de milhares 3 2 3 2 2 3 3 3" xfId="21098" xr:uid="{00000000-0005-0000-0000-000081570000}"/>
    <cellStyle name="Separador de milhares 3 2 3 2 2 3 3 3 2" xfId="47285" xr:uid="{00000000-0005-0000-0000-000082570000}"/>
    <cellStyle name="Separador de milhares 3 2 3 2 2 3 3 4" xfId="15184" xr:uid="{00000000-0005-0000-0000-000083570000}"/>
    <cellStyle name="Separador de milhares 3 2 3 2 2 3 3 4 2" xfId="41377" xr:uid="{00000000-0005-0000-0000-000084570000}"/>
    <cellStyle name="Separador de milhares 3 2 3 2 2 3 3 5" xfId="34991" xr:uid="{00000000-0005-0000-0000-000085570000}"/>
    <cellStyle name="Separador de milhares 3 2 3 2 2 3 4" xfId="5423" xr:uid="{00000000-0005-0000-0000-000086570000}"/>
    <cellStyle name="Separador de milhares 3 2 3 2 2 3 4 2" xfId="24055" xr:uid="{00000000-0005-0000-0000-000087570000}"/>
    <cellStyle name="Separador de milhares 3 2 3 2 2 3 4 2 2" xfId="50239" xr:uid="{00000000-0005-0000-0000-000088570000}"/>
    <cellStyle name="Separador de milhares 3 2 3 2 2 3 4 3" xfId="31619" xr:uid="{00000000-0005-0000-0000-000089570000}"/>
    <cellStyle name="Separador de milhares 3 2 3 2 2 3 5" xfId="18141" xr:uid="{00000000-0005-0000-0000-00008A570000}"/>
    <cellStyle name="Separador de milhares 3 2 3 2 2 3 5 2" xfId="44331" xr:uid="{00000000-0005-0000-0000-00008B570000}"/>
    <cellStyle name="Separador de milhares 3 2 3 2 2 3 6" xfId="11810" xr:uid="{00000000-0005-0000-0000-00008C570000}"/>
    <cellStyle name="Separador de milhares 3 2 3 2 2 3 6 2" xfId="38003" xr:uid="{00000000-0005-0000-0000-00008D570000}"/>
    <cellStyle name="Separador de milhares 3 2 3 2 2 3 7" xfId="29921" xr:uid="{00000000-0005-0000-0000-00008E570000}"/>
    <cellStyle name="Separador de milhares 3 2 3 2 2 4" xfId="3018" xr:uid="{00000000-0005-0000-0000-00008F570000}"/>
    <cellStyle name="Separador de milhares 3 2 3 2 2 4 2" xfId="7269" xr:uid="{00000000-0005-0000-0000-000090570000}"/>
    <cellStyle name="Separador de milhares 3 2 3 2 2 4 2 2" xfId="10413" xr:uid="{00000000-0005-0000-0000-000091570000}"/>
    <cellStyle name="Separador de milhares 3 2 3 2 2 4 2 2 2" xfId="28627" xr:uid="{00000000-0005-0000-0000-000092570000}"/>
    <cellStyle name="Separador de milhares 3 2 3 2 2 4 2 2 2 2" xfId="54808" xr:uid="{00000000-0005-0000-0000-000093570000}"/>
    <cellStyle name="Separador de milhares 3 2 3 2 2 4 2 2 3" xfId="22713" xr:uid="{00000000-0005-0000-0000-000094570000}"/>
    <cellStyle name="Separador de milhares 3 2 3 2 2 4 2 2 3 2" xfId="48900" xr:uid="{00000000-0005-0000-0000-000095570000}"/>
    <cellStyle name="Separador de milhares 3 2 3 2 2 4 2 2 4" xfId="16799" xr:uid="{00000000-0005-0000-0000-000096570000}"/>
    <cellStyle name="Separador de milhares 3 2 3 2 2 4 2 2 4 2" xfId="42992" xr:uid="{00000000-0005-0000-0000-000097570000}"/>
    <cellStyle name="Separador de milhares 3 2 3 2 2 4 2 2 5" xfId="36606" xr:uid="{00000000-0005-0000-0000-000098570000}"/>
    <cellStyle name="Separador de milhares 3 2 3 2 2 4 2 3" xfId="25670" xr:uid="{00000000-0005-0000-0000-000099570000}"/>
    <cellStyle name="Separador de milhares 3 2 3 2 2 4 2 3 2" xfId="51854" xr:uid="{00000000-0005-0000-0000-00009A570000}"/>
    <cellStyle name="Separador de milhares 3 2 3 2 2 4 2 4" xfId="19756" xr:uid="{00000000-0005-0000-0000-00009B570000}"/>
    <cellStyle name="Separador de milhares 3 2 3 2 2 4 2 4 2" xfId="45946" xr:uid="{00000000-0005-0000-0000-00009C570000}"/>
    <cellStyle name="Separador de milhares 3 2 3 2 2 4 2 5" xfId="13658" xr:uid="{00000000-0005-0000-0000-00009D570000}"/>
    <cellStyle name="Separador de milhares 3 2 3 2 2 4 2 5 2" xfId="39851" xr:uid="{00000000-0005-0000-0000-00009E570000}"/>
    <cellStyle name="Separador de milhares 3 2 3 2 2 4 2 6" xfId="33465" xr:uid="{00000000-0005-0000-0000-00009F570000}"/>
    <cellStyle name="Separador de milhares 3 2 3 2 2 4 3" xfId="8945" xr:uid="{00000000-0005-0000-0000-0000A0570000}"/>
    <cellStyle name="Separador de milhares 3 2 3 2 2 4 3 2" xfId="27159" xr:uid="{00000000-0005-0000-0000-0000A1570000}"/>
    <cellStyle name="Separador de milhares 3 2 3 2 2 4 3 2 2" xfId="53340" xr:uid="{00000000-0005-0000-0000-0000A2570000}"/>
    <cellStyle name="Separador de milhares 3 2 3 2 2 4 3 3" xfId="21245" xr:uid="{00000000-0005-0000-0000-0000A3570000}"/>
    <cellStyle name="Separador de milhares 3 2 3 2 2 4 3 3 2" xfId="47432" xr:uid="{00000000-0005-0000-0000-0000A4570000}"/>
    <cellStyle name="Separador de milhares 3 2 3 2 2 4 3 4" xfId="15331" xr:uid="{00000000-0005-0000-0000-0000A5570000}"/>
    <cellStyle name="Separador de milhares 3 2 3 2 2 4 3 4 2" xfId="41524" xr:uid="{00000000-0005-0000-0000-0000A6570000}"/>
    <cellStyle name="Separador de milhares 3 2 3 2 2 4 3 5" xfId="35138" xr:uid="{00000000-0005-0000-0000-0000A7570000}"/>
    <cellStyle name="Separador de milhares 3 2 3 2 2 4 4" xfId="5570" xr:uid="{00000000-0005-0000-0000-0000A8570000}"/>
    <cellStyle name="Separador de milhares 3 2 3 2 2 4 4 2" xfId="24202" xr:uid="{00000000-0005-0000-0000-0000A9570000}"/>
    <cellStyle name="Separador de milhares 3 2 3 2 2 4 4 2 2" xfId="50386" xr:uid="{00000000-0005-0000-0000-0000AA570000}"/>
    <cellStyle name="Separador de milhares 3 2 3 2 2 4 4 3" xfId="31766" xr:uid="{00000000-0005-0000-0000-0000AB570000}"/>
    <cellStyle name="Separador de milhares 3 2 3 2 2 4 5" xfId="18288" xr:uid="{00000000-0005-0000-0000-0000AC570000}"/>
    <cellStyle name="Separador de milhares 3 2 3 2 2 4 5 2" xfId="44478" xr:uid="{00000000-0005-0000-0000-0000AD570000}"/>
    <cellStyle name="Separador de milhares 3 2 3 2 2 4 6" xfId="11957" xr:uid="{00000000-0005-0000-0000-0000AE570000}"/>
    <cellStyle name="Separador de milhares 3 2 3 2 2 4 6 2" xfId="38150" xr:uid="{00000000-0005-0000-0000-0000AF570000}"/>
    <cellStyle name="Separador de milhares 3 2 3 2 2 4 7" xfId="30068" xr:uid="{00000000-0005-0000-0000-0000B0570000}"/>
    <cellStyle name="Separador de milhares 3 2 3 2 2 5" xfId="3545" xr:uid="{00000000-0005-0000-0000-0000B1570000}"/>
    <cellStyle name="Separador de milhares 3 2 3 2 2 5 2" xfId="7416" xr:uid="{00000000-0005-0000-0000-0000B2570000}"/>
    <cellStyle name="Separador de milhares 3 2 3 2 2 5 2 2" xfId="10560" xr:uid="{00000000-0005-0000-0000-0000B3570000}"/>
    <cellStyle name="Separador de milhares 3 2 3 2 2 5 2 2 2" xfId="28774" xr:uid="{00000000-0005-0000-0000-0000B4570000}"/>
    <cellStyle name="Separador de milhares 3 2 3 2 2 5 2 2 2 2" xfId="54955" xr:uid="{00000000-0005-0000-0000-0000B5570000}"/>
    <cellStyle name="Separador de milhares 3 2 3 2 2 5 2 2 3" xfId="22860" xr:uid="{00000000-0005-0000-0000-0000B6570000}"/>
    <cellStyle name="Separador de milhares 3 2 3 2 2 5 2 2 3 2" xfId="49047" xr:uid="{00000000-0005-0000-0000-0000B7570000}"/>
    <cellStyle name="Separador de milhares 3 2 3 2 2 5 2 2 4" xfId="16946" xr:uid="{00000000-0005-0000-0000-0000B8570000}"/>
    <cellStyle name="Separador de milhares 3 2 3 2 2 5 2 2 4 2" xfId="43139" xr:uid="{00000000-0005-0000-0000-0000B9570000}"/>
    <cellStyle name="Separador de milhares 3 2 3 2 2 5 2 2 5" xfId="36753" xr:uid="{00000000-0005-0000-0000-0000BA570000}"/>
    <cellStyle name="Separador de milhares 3 2 3 2 2 5 2 3" xfId="25817" xr:uid="{00000000-0005-0000-0000-0000BB570000}"/>
    <cellStyle name="Separador de milhares 3 2 3 2 2 5 2 3 2" xfId="52001" xr:uid="{00000000-0005-0000-0000-0000BC570000}"/>
    <cellStyle name="Separador de milhares 3 2 3 2 2 5 2 4" xfId="19903" xr:uid="{00000000-0005-0000-0000-0000BD570000}"/>
    <cellStyle name="Separador de milhares 3 2 3 2 2 5 2 4 2" xfId="46093" xr:uid="{00000000-0005-0000-0000-0000BE570000}"/>
    <cellStyle name="Separador de milhares 3 2 3 2 2 5 2 5" xfId="13805" xr:uid="{00000000-0005-0000-0000-0000BF570000}"/>
    <cellStyle name="Separador de milhares 3 2 3 2 2 5 2 5 2" xfId="39998" xr:uid="{00000000-0005-0000-0000-0000C0570000}"/>
    <cellStyle name="Separador de milhares 3 2 3 2 2 5 2 6" xfId="33612" xr:uid="{00000000-0005-0000-0000-0000C1570000}"/>
    <cellStyle name="Separador de milhares 3 2 3 2 2 5 3" xfId="9092" xr:uid="{00000000-0005-0000-0000-0000C2570000}"/>
    <cellStyle name="Separador de milhares 3 2 3 2 2 5 3 2" xfId="27306" xr:uid="{00000000-0005-0000-0000-0000C3570000}"/>
    <cellStyle name="Separador de milhares 3 2 3 2 2 5 3 2 2" xfId="53487" xr:uid="{00000000-0005-0000-0000-0000C4570000}"/>
    <cellStyle name="Separador de milhares 3 2 3 2 2 5 3 3" xfId="21392" xr:uid="{00000000-0005-0000-0000-0000C5570000}"/>
    <cellStyle name="Separador de milhares 3 2 3 2 2 5 3 3 2" xfId="47579" xr:uid="{00000000-0005-0000-0000-0000C6570000}"/>
    <cellStyle name="Separador de milhares 3 2 3 2 2 5 3 4" xfId="15478" xr:uid="{00000000-0005-0000-0000-0000C7570000}"/>
    <cellStyle name="Separador de milhares 3 2 3 2 2 5 3 4 2" xfId="41671" xr:uid="{00000000-0005-0000-0000-0000C8570000}"/>
    <cellStyle name="Separador de milhares 3 2 3 2 2 5 3 5" xfId="35285" xr:uid="{00000000-0005-0000-0000-0000C9570000}"/>
    <cellStyle name="Separador de milhares 3 2 3 2 2 5 4" xfId="5717" xr:uid="{00000000-0005-0000-0000-0000CA570000}"/>
    <cellStyle name="Separador de milhares 3 2 3 2 2 5 4 2" xfId="24349" xr:uid="{00000000-0005-0000-0000-0000CB570000}"/>
    <cellStyle name="Separador de milhares 3 2 3 2 2 5 4 2 2" xfId="50533" xr:uid="{00000000-0005-0000-0000-0000CC570000}"/>
    <cellStyle name="Separador de milhares 3 2 3 2 2 5 4 3" xfId="31913" xr:uid="{00000000-0005-0000-0000-0000CD570000}"/>
    <cellStyle name="Separador de milhares 3 2 3 2 2 5 5" xfId="18435" xr:uid="{00000000-0005-0000-0000-0000CE570000}"/>
    <cellStyle name="Separador de milhares 3 2 3 2 2 5 5 2" xfId="44625" xr:uid="{00000000-0005-0000-0000-0000CF570000}"/>
    <cellStyle name="Separador de milhares 3 2 3 2 2 5 6" xfId="12104" xr:uid="{00000000-0005-0000-0000-0000D0570000}"/>
    <cellStyle name="Separador de milhares 3 2 3 2 2 5 6 2" xfId="38297" xr:uid="{00000000-0005-0000-0000-0000D1570000}"/>
    <cellStyle name="Separador de milhares 3 2 3 2 2 5 7" xfId="30215" xr:uid="{00000000-0005-0000-0000-0000D2570000}"/>
    <cellStyle name="Separador de milhares 3 2 3 2 2 6" xfId="4072" xr:uid="{00000000-0005-0000-0000-0000D3570000}"/>
    <cellStyle name="Separador de milhares 3 2 3 2 2 6 2" xfId="7563" xr:uid="{00000000-0005-0000-0000-0000D4570000}"/>
    <cellStyle name="Separador de milhares 3 2 3 2 2 6 2 2" xfId="10707" xr:uid="{00000000-0005-0000-0000-0000D5570000}"/>
    <cellStyle name="Separador de milhares 3 2 3 2 2 6 2 2 2" xfId="28921" xr:uid="{00000000-0005-0000-0000-0000D6570000}"/>
    <cellStyle name="Separador de milhares 3 2 3 2 2 6 2 2 2 2" xfId="55102" xr:uid="{00000000-0005-0000-0000-0000D7570000}"/>
    <cellStyle name="Separador de milhares 3 2 3 2 2 6 2 2 3" xfId="23007" xr:uid="{00000000-0005-0000-0000-0000D8570000}"/>
    <cellStyle name="Separador de milhares 3 2 3 2 2 6 2 2 3 2" xfId="49194" xr:uid="{00000000-0005-0000-0000-0000D9570000}"/>
    <cellStyle name="Separador de milhares 3 2 3 2 2 6 2 2 4" xfId="17093" xr:uid="{00000000-0005-0000-0000-0000DA570000}"/>
    <cellStyle name="Separador de milhares 3 2 3 2 2 6 2 2 4 2" xfId="43286" xr:uid="{00000000-0005-0000-0000-0000DB570000}"/>
    <cellStyle name="Separador de milhares 3 2 3 2 2 6 2 2 5" xfId="36900" xr:uid="{00000000-0005-0000-0000-0000DC570000}"/>
    <cellStyle name="Separador de milhares 3 2 3 2 2 6 2 3" xfId="25964" xr:uid="{00000000-0005-0000-0000-0000DD570000}"/>
    <cellStyle name="Separador de milhares 3 2 3 2 2 6 2 3 2" xfId="52148" xr:uid="{00000000-0005-0000-0000-0000DE570000}"/>
    <cellStyle name="Separador de milhares 3 2 3 2 2 6 2 4" xfId="20050" xr:uid="{00000000-0005-0000-0000-0000DF570000}"/>
    <cellStyle name="Separador de milhares 3 2 3 2 2 6 2 4 2" xfId="46240" xr:uid="{00000000-0005-0000-0000-0000E0570000}"/>
    <cellStyle name="Separador de milhares 3 2 3 2 2 6 2 5" xfId="13952" xr:uid="{00000000-0005-0000-0000-0000E1570000}"/>
    <cellStyle name="Separador de milhares 3 2 3 2 2 6 2 5 2" xfId="40145" xr:uid="{00000000-0005-0000-0000-0000E2570000}"/>
    <cellStyle name="Separador de milhares 3 2 3 2 2 6 2 6" xfId="33759" xr:uid="{00000000-0005-0000-0000-0000E3570000}"/>
    <cellStyle name="Separador de milhares 3 2 3 2 2 6 3" xfId="9239" xr:uid="{00000000-0005-0000-0000-0000E4570000}"/>
    <cellStyle name="Separador de milhares 3 2 3 2 2 6 3 2" xfId="27453" xr:uid="{00000000-0005-0000-0000-0000E5570000}"/>
    <cellStyle name="Separador de milhares 3 2 3 2 2 6 3 2 2" xfId="53634" xr:uid="{00000000-0005-0000-0000-0000E6570000}"/>
    <cellStyle name="Separador de milhares 3 2 3 2 2 6 3 3" xfId="21539" xr:uid="{00000000-0005-0000-0000-0000E7570000}"/>
    <cellStyle name="Separador de milhares 3 2 3 2 2 6 3 3 2" xfId="47726" xr:uid="{00000000-0005-0000-0000-0000E8570000}"/>
    <cellStyle name="Separador de milhares 3 2 3 2 2 6 3 4" xfId="15625" xr:uid="{00000000-0005-0000-0000-0000E9570000}"/>
    <cellStyle name="Separador de milhares 3 2 3 2 2 6 3 4 2" xfId="41818" xr:uid="{00000000-0005-0000-0000-0000EA570000}"/>
    <cellStyle name="Separador de milhares 3 2 3 2 2 6 3 5" xfId="35432" xr:uid="{00000000-0005-0000-0000-0000EB570000}"/>
    <cellStyle name="Separador de milhares 3 2 3 2 2 6 4" xfId="5864" xr:uid="{00000000-0005-0000-0000-0000EC570000}"/>
    <cellStyle name="Separador de milhares 3 2 3 2 2 6 4 2" xfId="24496" xr:uid="{00000000-0005-0000-0000-0000ED570000}"/>
    <cellStyle name="Separador de milhares 3 2 3 2 2 6 4 2 2" xfId="50680" xr:uid="{00000000-0005-0000-0000-0000EE570000}"/>
    <cellStyle name="Separador de milhares 3 2 3 2 2 6 4 3" xfId="32060" xr:uid="{00000000-0005-0000-0000-0000EF570000}"/>
    <cellStyle name="Separador de milhares 3 2 3 2 2 6 5" xfId="18582" xr:uid="{00000000-0005-0000-0000-0000F0570000}"/>
    <cellStyle name="Separador de milhares 3 2 3 2 2 6 5 2" xfId="44772" xr:uid="{00000000-0005-0000-0000-0000F1570000}"/>
    <cellStyle name="Separador de milhares 3 2 3 2 2 6 6" xfId="12251" xr:uid="{00000000-0005-0000-0000-0000F2570000}"/>
    <cellStyle name="Separador de milhares 3 2 3 2 2 6 6 2" xfId="38444" xr:uid="{00000000-0005-0000-0000-0000F3570000}"/>
    <cellStyle name="Separador de milhares 3 2 3 2 2 6 7" xfId="30362" xr:uid="{00000000-0005-0000-0000-0000F4570000}"/>
    <cellStyle name="Separador de milhares 3 2 3 2 2 7" xfId="6534" xr:uid="{00000000-0005-0000-0000-0000F5570000}"/>
    <cellStyle name="Separador de milhares 3 2 3 2 2 7 2" xfId="9681" xr:uid="{00000000-0005-0000-0000-0000F6570000}"/>
    <cellStyle name="Separador de milhares 3 2 3 2 2 7 2 2" xfId="27895" xr:uid="{00000000-0005-0000-0000-0000F7570000}"/>
    <cellStyle name="Separador de milhares 3 2 3 2 2 7 2 2 2" xfId="54076" xr:uid="{00000000-0005-0000-0000-0000F8570000}"/>
    <cellStyle name="Separador de milhares 3 2 3 2 2 7 2 3" xfId="21981" xr:uid="{00000000-0005-0000-0000-0000F9570000}"/>
    <cellStyle name="Separador de milhares 3 2 3 2 2 7 2 3 2" xfId="48168" xr:uid="{00000000-0005-0000-0000-0000FA570000}"/>
    <cellStyle name="Separador de milhares 3 2 3 2 2 7 2 4" xfId="16067" xr:uid="{00000000-0005-0000-0000-0000FB570000}"/>
    <cellStyle name="Separador de milhares 3 2 3 2 2 7 2 4 2" xfId="42260" xr:uid="{00000000-0005-0000-0000-0000FC570000}"/>
    <cellStyle name="Separador de milhares 3 2 3 2 2 7 2 5" xfId="35874" xr:uid="{00000000-0005-0000-0000-0000FD570000}"/>
    <cellStyle name="Separador de milhares 3 2 3 2 2 7 3" xfId="24938" xr:uid="{00000000-0005-0000-0000-0000FE570000}"/>
    <cellStyle name="Separador de milhares 3 2 3 2 2 7 3 2" xfId="51122" xr:uid="{00000000-0005-0000-0000-0000FF570000}"/>
    <cellStyle name="Separador de milhares 3 2 3 2 2 7 4" xfId="19024" xr:uid="{00000000-0005-0000-0000-000000580000}"/>
    <cellStyle name="Separador de milhares 3 2 3 2 2 7 4 2" xfId="45214" xr:uid="{00000000-0005-0000-0000-000001580000}"/>
    <cellStyle name="Separador de milhares 3 2 3 2 2 7 5" xfId="12923" xr:uid="{00000000-0005-0000-0000-000002580000}"/>
    <cellStyle name="Separador de milhares 3 2 3 2 2 7 5 2" xfId="39116" xr:uid="{00000000-0005-0000-0000-000003580000}"/>
    <cellStyle name="Separador de milhares 3 2 3 2 2 7 6" xfId="32730" xr:uid="{00000000-0005-0000-0000-000004580000}"/>
    <cellStyle name="Separador de milhares 3 2 3 2 2 8" xfId="8210" xr:uid="{00000000-0005-0000-0000-000005580000}"/>
    <cellStyle name="Separador de milhares 3 2 3 2 2 8 2" xfId="26424" xr:uid="{00000000-0005-0000-0000-000006580000}"/>
    <cellStyle name="Separador de milhares 3 2 3 2 2 8 2 2" xfId="52608" xr:uid="{00000000-0005-0000-0000-000007580000}"/>
    <cellStyle name="Separador de milhares 3 2 3 2 2 8 3" xfId="20510" xr:uid="{00000000-0005-0000-0000-000008580000}"/>
    <cellStyle name="Separador de milhares 3 2 3 2 2 8 3 2" xfId="46700" xr:uid="{00000000-0005-0000-0000-000009580000}"/>
    <cellStyle name="Separador de milhares 3 2 3 2 2 8 4" xfId="14599" xr:uid="{00000000-0005-0000-0000-00000A580000}"/>
    <cellStyle name="Separador de milhares 3 2 3 2 2 8 4 2" xfId="40792" xr:uid="{00000000-0005-0000-0000-00000B580000}"/>
    <cellStyle name="Separador de milhares 3 2 3 2 2 8 5" xfId="34406" xr:uid="{00000000-0005-0000-0000-00000C580000}"/>
    <cellStyle name="Separador de milhares 3 2 3 2 2 9" xfId="4833" xr:uid="{00000000-0005-0000-0000-00000D580000}"/>
    <cellStyle name="Separador de milhares 3 2 3 2 2 9 2" xfId="23467" xr:uid="{00000000-0005-0000-0000-00000E580000}"/>
    <cellStyle name="Separador de milhares 3 2 3 2 2 9 2 2" xfId="49654" xr:uid="{00000000-0005-0000-0000-00000F580000}"/>
    <cellStyle name="Separador de milhares 3 2 3 2 2 9 3" xfId="31031" xr:uid="{00000000-0005-0000-0000-000010580000}"/>
    <cellStyle name="Separador de milhares 3 2 3 2 3" xfId="915" xr:uid="{00000000-0005-0000-0000-000011580000}"/>
    <cellStyle name="Separador de milhares 3 2 3 2 3 2" xfId="6685" xr:uid="{00000000-0005-0000-0000-000012580000}"/>
    <cellStyle name="Separador de milhares 3 2 3 2 3 2 2" xfId="9832" xr:uid="{00000000-0005-0000-0000-000013580000}"/>
    <cellStyle name="Separador de milhares 3 2 3 2 3 2 2 2" xfId="28046" xr:uid="{00000000-0005-0000-0000-000014580000}"/>
    <cellStyle name="Separador de milhares 3 2 3 2 3 2 2 2 2" xfId="54227" xr:uid="{00000000-0005-0000-0000-000015580000}"/>
    <cellStyle name="Separador de milhares 3 2 3 2 3 2 2 3" xfId="22132" xr:uid="{00000000-0005-0000-0000-000016580000}"/>
    <cellStyle name="Separador de milhares 3 2 3 2 3 2 2 3 2" xfId="48319" xr:uid="{00000000-0005-0000-0000-000017580000}"/>
    <cellStyle name="Separador de milhares 3 2 3 2 3 2 2 4" xfId="16218" xr:uid="{00000000-0005-0000-0000-000018580000}"/>
    <cellStyle name="Separador de milhares 3 2 3 2 3 2 2 4 2" xfId="42411" xr:uid="{00000000-0005-0000-0000-000019580000}"/>
    <cellStyle name="Separador de milhares 3 2 3 2 3 2 2 5" xfId="36025" xr:uid="{00000000-0005-0000-0000-00001A580000}"/>
    <cellStyle name="Separador de milhares 3 2 3 2 3 2 3" xfId="25089" xr:uid="{00000000-0005-0000-0000-00001B580000}"/>
    <cellStyle name="Separador de milhares 3 2 3 2 3 2 3 2" xfId="51273" xr:uid="{00000000-0005-0000-0000-00001C580000}"/>
    <cellStyle name="Separador de milhares 3 2 3 2 3 2 4" xfId="19175" xr:uid="{00000000-0005-0000-0000-00001D580000}"/>
    <cellStyle name="Separador de milhares 3 2 3 2 3 2 4 2" xfId="45365" xr:uid="{00000000-0005-0000-0000-00001E580000}"/>
    <cellStyle name="Separador de milhares 3 2 3 2 3 2 5" xfId="13074" xr:uid="{00000000-0005-0000-0000-00001F580000}"/>
    <cellStyle name="Separador de milhares 3 2 3 2 3 2 5 2" xfId="39267" xr:uid="{00000000-0005-0000-0000-000020580000}"/>
    <cellStyle name="Separador de milhares 3 2 3 2 3 2 6" xfId="32881" xr:uid="{00000000-0005-0000-0000-000021580000}"/>
    <cellStyle name="Separador de milhares 3 2 3 2 3 3" xfId="8364" xr:uid="{00000000-0005-0000-0000-000022580000}"/>
    <cellStyle name="Separador de milhares 3 2 3 2 3 3 2" xfId="26578" xr:uid="{00000000-0005-0000-0000-000023580000}"/>
    <cellStyle name="Separador de milhares 3 2 3 2 3 3 2 2" xfId="52759" xr:uid="{00000000-0005-0000-0000-000024580000}"/>
    <cellStyle name="Separador de milhares 3 2 3 2 3 3 3" xfId="20664" xr:uid="{00000000-0005-0000-0000-000025580000}"/>
    <cellStyle name="Separador de milhares 3 2 3 2 3 3 3 2" xfId="46851" xr:uid="{00000000-0005-0000-0000-000026580000}"/>
    <cellStyle name="Separador de milhares 3 2 3 2 3 3 4" xfId="14750" xr:uid="{00000000-0005-0000-0000-000027580000}"/>
    <cellStyle name="Separador de milhares 3 2 3 2 3 3 4 2" xfId="40943" xr:uid="{00000000-0005-0000-0000-000028580000}"/>
    <cellStyle name="Separador de milhares 3 2 3 2 3 3 5" xfId="34557" xr:uid="{00000000-0005-0000-0000-000029580000}"/>
    <cellStyle name="Separador de milhares 3 2 3 2 3 4" xfId="4986" xr:uid="{00000000-0005-0000-0000-00002A580000}"/>
    <cellStyle name="Separador de milhares 3 2 3 2 3 4 2" xfId="23621" xr:uid="{00000000-0005-0000-0000-00002B580000}"/>
    <cellStyle name="Separador de milhares 3 2 3 2 3 4 2 2" xfId="49805" xr:uid="{00000000-0005-0000-0000-00002C580000}"/>
    <cellStyle name="Separador de milhares 3 2 3 2 3 4 3" xfId="31182" xr:uid="{00000000-0005-0000-0000-00002D580000}"/>
    <cellStyle name="Separador de milhares 3 2 3 2 3 5" xfId="17707" xr:uid="{00000000-0005-0000-0000-00002E580000}"/>
    <cellStyle name="Separador de milhares 3 2 3 2 3 5 2" xfId="43897" xr:uid="{00000000-0005-0000-0000-00002F580000}"/>
    <cellStyle name="Separador de milhares 3 2 3 2 3 6" xfId="11373" xr:uid="{00000000-0005-0000-0000-000030580000}"/>
    <cellStyle name="Separador de milhares 3 2 3 2 3 6 2" xfId="37566" xr:uid="{00000000-0005-0000-0000-000031580000}"/>
    <cellStyle name="Separador de milhares 3 2 3 2 3 7" xfId="29484" xr:uid="{00000000-0005-0000-0000-000032580000}"/>
    <cellStyle name="Separador de milhares 3 2 3 2 4" xfId="1266" xr:uid="{00000000-0005-0000-0000-000033580000}"/>
    <cellStyle name="Separador de milhares 3 2 3 2 4 2" xfId="6783" xr:uid="{00000000-0005-0000-0000-000034580000}"/>
    <cellStyle name="Separador de milhares 3 2 3 2 4 2 2" xfId="9930" xr:uid="{00000000-0005-0000-0000-000035580000}"/>
    <cellStyle name="Separador de milhares 3 2 3 2 4 2 2 2" xfId="28144" xr:uid="{00000000-0005-0000-0000-000036580000}"/>
    <cellStyle name="Separador de milhares 3 2 3 2 4 2 2 2 2" xfId="54325" xr:uid="{00000000-0005-0000-0000-000037580000}"/>
    <cellStyle name="Separador de milhares 3 2 3 2 4 2 2 3" xfId="22230" xr:uid="{00000000-0005-0000-0000-000038580000}"/>
    <cellStyle name="Separador de milhares 3 2 3 2 4 2 2 3 2" xfId="48417" xr:uid="{00000000-0005-0000-0000-000039580000}"/>
    <cellStyle name="Separador de milhares 3 2 3 2 4 2 2 4" xfId="16316" xr:uid="{00000000-0005-0000-0000-00003A580000}"/>
    <cellStyle name="Separador de milhares 3 2 3 2 4 2 2 4 2" xfId="42509" xr:uid="{00000000-0005-0000-0000-00003B580000}"/>
    <cellStyle name="Separador de milhares 3 2 3 2 4 2 2 5" xfId="36123" xr:uid="{00000000-0005-0000-0000-00003C580000}"/>
    <cellStyle name="Separador de milhares 3 2 3 2 4 2 3" xfId="25187" xr:uid="{00000000-0005-0000-0000-00003D580000}"/>
    <cellStyle name="Separador de milhares 3 2 3 2 4 2 3 2" xfId="51371" xr:uid="{00000000-0005-0000-0000-00003E580000}"/>
    <cellStyle name="Separador de milhares 3 2 3 2 4 2 4" xfId="19273" xr:uid="{00000000-0005-0000-0000-00003F580000}"/>
    <cellStyle name="Separador de milhares 3 2 3 2 4 2 4 2" xfId="45463" xr:uid="{00000000-0005-0000-0000-000040580000}"/>
    <cellStyle name="Separador de milhares 3 2 3 2 4 2 5" xfId="13172" xr:uid="{00000000-0005-0000-0000-000041580000}"/>
    <cellStyle name="Separador de milhares 3 2 3 2 4 2 5 2" xfId="39365" xr:uid="{00000000-0005-0000-0000-000042580000}"/>
    <cellStyle name="Separador de milhares 3 2 3 2 4 2 6" xfId="32979" xr:uid="{00000000-0005-0000-0000-000043580000}"/>
    <cellStyle name="Separador de milhares 3 2 3 2 4 3" xfId="8462" xr:uid="{00000000-0005-0000-0000-000044580000}"/>
    <cellStyle name="Separador de milhares 3 2 3 2 4 3 2" xfId="26676" xr:uid="{00000000-0005-0000-0000-000045580000}"/>
    <cellStyle name="Separador de milhares 3 2 3 2 4 3 2 2" xfId="52857" xr:uid="{00000000-0005-0000-0000-000046580000}"/>
    <cellStyle name="Separador de milhares 3 2 3 2 4 3 3" xfId="20762" xr:uid="{00000000-0005-0000-0000-000047580000}"/>
    <cellStyle name="Separador de milhares 3 2 3 2 4 3 3 2" xfId="46949" xr:uid="{00000000-0005-0000-0000-000048580000}"/>
    <cellStyle name="Separador de milhares 3 2 3 2 4 3 4" xfId="14848" xr:uid="{00000000-0005-0000-0000-000049580000}"/>
    <cellStyle name="Separador de milhares 3 2 3 2 4 3 4 2" xfId="41041" xr:uid="{00000000-0005-0000-0000-00004A580000}"/>
    <cellStyle name="Separador de milhares 3 2 3 2 4 3 5" xfId="34655" xr:uid="{00000000-0005-0000-0000-00004B580000}"/>
    <cellStyle name="Separador de milhares 3 2 3 2 4 4" xfId="5084" xr:uid="{00000000-0005-0000-0000-00004C580000}"/>
    <cellStyle name="Separador de milhares 3 2 3 2 4 4 2" xfId="23719" xr:uid="{00000000-0005-0000-0000-00004D580000}"/>
    <cellStyle name="Separador de milhares 3 2 3 2 4 4 2 2" xfId="49903" xr:uid="{00000000-0005-0000-0000-00004E580000}"/>
    <cellStyle name="Separador de milhares 3 2 3 2 4 4 3" xfId="31280" xr:uid="{00000000-0005-0000-0000-00004F580000}"/>
    <cellStyle name="Separador de milhares 3 2 3 2 4 5" xfId="17805" xr:uid="{00000000-0005-0000-0000-000050580000}"/>
    <cellStyle name="Separador de milhares 3 2 3 2 4 5 2" xfId="43995" xr:uid="{00000000-0005-0000-0000-000051580000}"/>
    <cellStyle name="Separador de milhares 3 2 3 2 4 6" xfId="11471" xr:uid="{00000000-0005-0000-0000-000052580000}"/>
    <cellStyle name="Separador de milhares 3 2 3 2 4 6 2" xfId="37664" xr:uid="{00000000-0005-0000-0000-000053580000}"/>
    <cellStyle name="Separador de milhares 3 2 3 2 4 7" xfId="29582" xr:uid="{00000000-0005-0000-0000-000054580000}"/>
    <cellStyle name="Separador de milhares 3 2 3 2 5" xfId="1701" xr:uid="{00000000-0005-0000-0000-000055580000}"/>
    <cellStyle name="Separador de milhares 3 2 3 2 5 2" xfId="6902" xr:uid="{00000000-0005-0000-0000-000056580000}"/>
    <cellStyle name="Separador de milhares 3 2 3 2 5 2 2" xfId="10049" xr:uid="{00000000-0005-0000-0000-000057580000}"/>
    <cellStyle name="Separador de milhares 3 2 3 2 5 2 2 2" xfId="28263" xr:uid="{00000000-0005-0000-0000-000058580000}"/>
    <cellStyle name="Separador de milhares 3 2 3 2 5 2 2 2 2" xfId="54444" xr:uid="{00000000-0005-0000-0000-000059580000}"/>
    <cellStyle name="Separador de milhares 3 2 3 2 5 2 2 3" xfId="22349" xr:uid="{00000000-0005-0000-0000-00005A580000}"/>
    <cellStyle name="Separador de milhares 3 2 3 2 5 2 2 3 2" xfId="48536" xr:uid="{00000000-0005-0000-0000-00005B580000}"/>
    <cellStyle name="Separador de milhares 3 2 3 2 5 2 2 4" xfId="16435" xr:uid="{00000000-0005-0000-0000-00005C580000}"/>
    <cellStyle name="Separador de milhares 3 2 3 2 5 2 2 4 2" xfId="42628" xr:uid="{00000000-0005-0000-0000-00005D580000}"/>
    <cellStyle name="Separador de milhares 3 2 3 2 5 2 2 5" xfId="36242" xr:uid="{00000000-0005-0000-0000-00005E580000}"/>
    <cellStyle name="Separador de milhares 3 2 3 2 5 2 3" xfId="25306" xr:uid="{00000000-0005-0000-0000-00005F580000}"/>
    <cellStyle name="Separador de milhares 3 2 3 2 5 2 3 2" xfId="51490" xr:uid="{00000000-0005-0000-0000-000060580000}"/>
    <cellStyle name="Separador de milhares 3 2 3 2 5 2 4" xfId="19392" xr:uid="{00000000-0005-0000-0000-000061580000}"/>
    <cellStyle name="Separador de milhares 3 2 3 2 5 2 4 2" xfId="45582" xr:uid="{00000000-0005-0000-0000-000062580000}"/>
    <cellStyle name="Separador de milhares 3 2 3 2 5 2 5" xfId="13291" xr:uid="{00000000-0005-0000-0000-000063580000}"/>
    <cellStyle name="Separador de milhares 3 2 3 2 5 2 5 2" xfId="39484" xr:uid="{00000000-0005-0000-0000-000064580000}"/>
    <cellStyle name="Separador de milhares 3 2 3 2 5 2 6" xfId="33098" xr:uid="{00000000-0005-0000-0000-000065580000}"/>
    <cellStyle name="Separador de milhares 3 2 3 2 5 3" xfId="8581" xr:uid="{00000000-0005-0000-0000-000066580000}"/>
    <cellStyle name="Separador de milhares 3 2 3 2 5 3 2" xfId="26795" xr:uid="{00000000-0005-0000-0000-000067580000}"/>
    <cellStyle name="Separador de milhares 3 2 3 2 5 3 2 2" xfId="52976" xr:uid="{00000000-0005-0000-0000-000068580000}"/>
    <cellStyle name="Separador de milhares 3 2 3 2 5 3 3" xfId="20881" xr:uid="{00000000-0005-0000-0000-000069580000}"/>
    <cellStyle name="Separador de milhares 3 2 3 2 5 3 3 2" xfId="47068" xr:uid="{00000000-0005-0000-0000-00006A580000}"/>
    <cellStyle name="Separador de milhares 3 2 3 2 5 3 4" xfId="14967" xr:uid="{00000000-0005-0000-0000-00006B580000}"/>
    <cellStyle name="Separador de milhares 3 2 3 2 5 3 4 2" xfId="41160" xr:uid="{00000000-0005-0000-0000-00006C580000}"/>
    <cellStyle name="Separador de milhares 3 2 3 2 5 3 5" xfId="34774" xr:uid="{00000000-0005-0000-0000-00006D580000}"/>
    <cellStyle name="Separador de milhares 3 2 3 2 5 4" xfId="5203" xr:uid="{00000000-0005-0000-0000-00006E580000}"/>
    <cellStyle name="Separador de milhares 3 2 3 2 5 4 2" xfId="23838" xr:uid="{00000000-0005-0000-0000-00006F580000}"/>
    <cellStyle name="Separador de milhares 3 2 3 2 5 4 2 2" xfId="50022" xr:uid="{00000000-0005-0000-0000-000070580000}"/>
    <cellStyle name="Separador de milhares 3 2 3 2 5 4 3" xfId="31399" xr:uid="{00000000-0005-0000-0000-000071580000}"/>
    <cellStyle name="Separador de milhares 3 2 3 2 5 5" xfId="17924" xr:uid="{00000000-0005-0000-0000-000072580000}"/>
    <cellStyle name="Separador de milhares 3 2 3 2 5 5 2" xfId="44114" xr:uid="{00000000-0005-0000-0000-000073580000}"/>
    <cellStyle name="Separador de milhares 3 2 3 2 5 6" xfId="11590" xr:uid="{00000000-0005-0000-0000-000074580000}"/>
    <cellStyle name="Separador de milhares 3 2 3 2 5 6 2" xfId="37783" xr:uid="{00000000-0005-0000-0000-000075580000}"/>
    <cellStyle name="Separador de milhares 3 2 3 2 5 7" xfId="29701" xr:uid="{00000000-0005-0000-0000-000076580000}"/>
    <cellStyle name="Separador de milhares 3 2 3 2 6" xfId="2231" xr:uid="{00000000-0005-0000-0000-000077580000}"/>
    <cellStyle name="Separador de milhares 3 2 3 2 6 2" xfId="7052" xr:uid="{00000000-0005-0000-0000-000078580000}"/>
    <cellStyle name="Separador de milhares 3 2 3 2 6 2 2" xfId="10196" xr:uid="{00000000-0005-0000-0000-000079580000}"/>
    <cellStyle name="Separador de milhares 3 2 3 2 6 2 2 2" xfId="28410" xr:uid="{00000000-0005-0000-0000-00007A580000}"/>
    <cellStyle name="Separador de milhares 3 2 3 2 6 2 2 2 2" xfId="54591" xr:uid="{00000000-0005-0000-0000-00007B580000}"/>
    <cellStyle name="Separador de milhares 3 2 3 2 6 2 2 3" xfId="22496" xr:uid="{00000000-0005-0000-0000-00007C580000}"/>
    <cellStyle name="Separador de milhares 3 2 3 2 6 2 2 3 2" xfId="48683" xr:uid="{00000000-0005-0000-0000-00007D580000}"/>
    <cellStyle name="Separador de milhares 3 2 3 2 6 2 2 4" xfId="16582" xr:uid="{00000000-0005-0000-0000-00007E580000}"/>
    <cellStyle name="Separador de milhares 3 2 3 2 6 2 2 4 2" xfId="42775" xr:uid="{00000000-0005-0000-0000-00007F580000}"/>
    <cellStyle name="Separador de milhares 3 2 3 2 6 2 2 5" xfId="36389" xr:uid="{00000000-0005-0000-0000-000080580000}"/>
    <cellStyle name="Separador de milhares 3 2 3 2 6 2 3" xfId="25453" xr:uid="{00000000-0005-0000-0000-000081580000}"/>
    <cellStyle name="Separador de milhares 3 2 3 2 6 2 3 2" xfId="51637" xr:uid="{00000000-0005-0000-0000-000082580000}"/>
    <cellStyle name="Separador de milhares 3 2 3 2 6 2 4" xfId="19539" xr:uid="{00000000-0005-0000-0000-000083580000}"/>
    <cellStyle name="Separador de milhares 3 2 3 2 6 2 4 2" xfId="45729" xr:uid="{00000000-0005-0000-0000-000084580000}"/>
    <cellStyle name="Separador de milhares 3 2 3 2 6 2 5" xfId="13441" xr:uid="{00000000-0005-0000-0000-000085580000}"/>
    <cellStyle name="Separador de milhares 3 2 3 2 6 2 5 2" xfId="39634" xr:uid="{00000000-0005-0000-0000-000086580000}"/>
    <cellStyle name="Separador de milhares 3 2 3 2 6 2 6" xfId="33248" xr:uid="{00000000-0005-0000-0000-000087580000}"/>
    <cellStyle name="Separador de milhares 3 2 3 2 6 3" xfId="8728" xr:uid="{00000000-0005-0000-0000-000088580000}"/>
    <cellStyle name="Separador de milhares 3 2 3 2 6 3 2" xfId="26942" xr:uid="{00000000-0005-0000-0000-000089580000}"/>
    <cellStyle name="Separador de milhares 3 2 3 2 6 3 2 2" xfId="53123" xr:uid="{00000000-0005-0000-0000-00008A580000}"/>
    <cellStyle name="Separador de milhares 3 2 3 2 6 3 3" xfId="21028" xr:uid="{00000000-0005-0000-0000-00008B580000}"/>
    <cellStyle name="Separador de milhares 3 2 3 2 6 3 3 2" xfId="47215" xr:uid="{00000000-0005-0000-0000-00008C580000}"/>
    <cellStyle name="Separador de milhares 3 2 3 2 6 3 4" xfId="15114" xr:uid="{00000000-0005-0000-0000-00008D580000}"/>
    <cellStyle name="Separador de milhares 3 2 3 2 6 3 4 2" xfId="41307" xr:uid="{00000000-0005-0000-0000-00008E580000}"/>
    <cellStyle name="Separador de milhares 3 2 3 2 6 3 5" xfId="34921" xr:uid="{00000000-0005-0000-0000-00008F580000}"/>
    <cellStyle name="Separador de milhares 3 2 3 2 6 4" xfId="5353" xr:uid="{00000000-0005-0000-0000-000090580000}"/>
    <cellStyle name="Separador de milhares 3 2 3 2 6 4 2" xfId="23985" xr:uid="{00000000-0005-0000-0000-000091580000}"/>
    <cellStyle name="Separador de milhares 3 2 3 2 6 4 2 2" xfId="50169" xr:uid="{00000000-0005-0000-0000-000092580000}"/>
    <cellStyle name="Separador de milhares 3 2 3 2 6 4 3" xfId="31549" xr:uid="{00000000-0005-0000-0000-000093580000}"/>
    <cellStyle name="Separador de milhares 3 2 3 2 6 5" xfId="18071" xr:uid="{00000000-0005-0000-0000-000094580000}"/>
    <cellStyle name="Separador de milhares 3 2 3 2 6 5 2" xfId="44261" xr:uid="{00000000-0005-0000-0000-000095580000}"/>
    <cellStyle name="Separador de milhares 3 2 3 2 6 6" xfId="11740" xr:uid="{00000000-0005-0000-0000-000096580000}"/>
    <cellStyle name="Separador de milhares 3 2 3 2 6 6 2" xfId="37933" xr:uid="{00000000-0005-0000-0000-000097580000}"/>
    <cellStyle name="Separador de milhares 3 2 3 2 6 7" xfId="29851" xr:uid="{00000000-0005-0000-0000-000098580000}"/>
    <cellStyle name="Separador de milhares 3 2 3 2 7" xfId="2758" xr:uid="{00000000-0005-0000-0000-000099580000}"/>
    <cellStyle name="Separador de milhares 3 2 3 2 7 2" xfId="7199" xr:uid="{00000000-0005-0000-0000-00009A580000}"/>
    <cellStyle name="Separador de milhares 3 2 3 2 7 2 2" xfId="10343" xr:uid="{00000000-0005-0000-0000-00009B580000}"/>
    <cellStyle name="Separador de milhares 3 2 3 2 7 2 2 2" xfId="28557" xr:uid="{00000000-0005-0000-0000-00009C580000}"/>
    <cellStyle name="Separador de milhares 3 2 3 2 7 2 2 2 2" xfId="54738" xr:uid="{00000000-0005-0000-0000-00009D580000}"/>
    <cellStyle name="Separador de milhares 3 2 3 2 7 2 2 3" xfId="22643" xr:uid="{00000000-0005-0000-0000-00009E580000}"/>
    <cellStyle name="Separador de milhares 3 2 3 2 7 2 2 3 2" xfId="48830" xr:uid="{00000000-0005-0000-0000-00009F580000}"/>
    <cellStyle name="Separador de milhares 3 2 3 2 7 2 2 4" xfId="16729" xr:uid="{00000000-0005-0000-0000-0000A0580000}"/>
    <cellStyle name="Separador de milhares 3 2 3 2 7 2 2 4 2" xfId="42922" xr:uid="{00000000-0005-0000-0000-0000A1580000}"/>
    <cellStyle name="Separador de milhares 3 2 3 2 7 2 2 5" xfId="36536" xr:uid="{00000000-0005-0000-0000-0000A2580000}"/>
    <cellStyle name="Separador de milhares 3 2 3 2 7 2 3" xfId="25600" xr:uid="{00000000-0005-0000-0000-0000A3580000}"/>
    <cellStyle name="Separador de milhares 3 2 3 2 7 2 3 2" xfId="51784" xr:uid="{00000000-0005-0000-0000-0000A4580000}"/>
    <cellStyle name="Separador de milhares 3 2 3 2 7 2 4" xfId="19686" xr:uid="{00000000-0005-0000-0000-0000A5580000}"/>
    <cellStyle name="Separador de milhares 3 2 3 2 7 2 4 2" xfId="45876" xr:uid="{00000000-0005-0000-0000-0000A6580000}"/>
    <cellStyle name="Separador de milhares 3 2 3 2 7 2 5" xfId="13588" xr:uid="{00000000-0005-0000-0000-0000A7580000}"/>
    <cellStyle name="Separador de milhares 3 2 3 2 7 2 5 2" xfId="39781" xr:uid="{00000000-0005-0000-0000-0000A8580000}"/>
    <cellStyle name="Separador de milhares 3 2 3 2 7 2 6" xfId="33395" xr:uid="{00000000-0005-0000-0000-0000A9580000}"/>
    <cellStyle name="Separador de milhares 3 2 3 2 7 3" xfId="8875" xr:uid="{00000000-0005-0000-0000-0000AA580000}"/>
    <cellStyle name="Separador de milhares 3 2 3 2 7 3 2" xfId="27089" xr:uid="{00000000-0005-0000-0000-0000AB580000}"/>
    <cellStyle name="Separador de milhares 3 2 3 2 7 3 2 2" xfId="53270" xr:uid="{00000000-0005-0000-0000-0000AC580000}"/>
    <cellStyle name="Separador de milhares 3 2 3 2 7 3 3" xfId="21175" xr:uid="{00000000-0005-0000-0000-0000AD580000}"/>
    <cellStyle name="Separador de milhares 3 2 3 2 7 3 3 2" xfId="47362" xr:uid="{00000000-0005-0000-0000-0000AE580000}"/>
    <cellStyle name="Separador de milhares 3 2 3 2 7 3 4" xfId="15261" xr:uid="{00000000-0005-0000-0000-0000AF580000}"/>
    <cellStyle name="Separador de milhares 3 2 3 2 7 3 4 2" xfId="41454" xr:uid="{00000000-0005-0000-0000-0000B0580000}"/>
    <cellStyle name="Separador de milhares 3 2 3 2 7 3 5" xfId="35068" xr:uid="{00000000-0005-0000-0000-0000B1580000}"/>
    <cellStyle name="Separador de milhares 3 2 3 2 7 4" xfId="5500" xr:uid="{00000000-0005-0000-0000-0000B2580000}"/>
    <cellStyle name="Separador de milhares 3 2 3 2 7 4 2" xfId="24132" xr:uid="{00000000-0005-0000-0000-0000B3580000}"/>
    <cellStyle name="Separador de milhares 3 2 3 2 7 4 2 2" xfId="50316" xr:uid="{00000000-0005-0000-0000-0000B4580000}"/>
    <cellStyle name="Separador de milhares 3 2 3 2 7 4 3" xfId="31696" xr:uid="{00000000-0005-0000-0000-0000B5580000}"/>
    <cellStyle name="Separador de milhares 3 2 3 2 7 5" xfId="18218" xr:uid="{00000000-0005-0000-0000-0000B6580000}"/>
    <cellStyle name="Separador de milhares 3 2 3 2 7 5 2" xfId="44408" xr:uid="{00000000-0005-0000-0000-0000B7580000}"/>
    <cellStyle name="Separador de milhares 3 2 3 2 7 6" xfId="11887" xr:uid="{00000000-0005-0000-0000-0000B8580000}"/>
    <cellStyle name="Separador de milhares 3 2 3 2 7 6 2" xfId="38080" xr:uid="{00000000-0005-0000-0000-0000B9580000}"/>
    <cellStyle name="Separador de milhares 3 2 3 2 7 7" xfId="29998" xr:uid="{00000000-0005-0000-0000-0000BA580000}"/>
    <cellStyle name="Separador de milhares 3 2 3 2 8" xfId="3285" xr:uid="{00000000-0005-0000-0000-0000BB580000}"/>
    <cellStyle name="Separador de milhares 3 2 3 2 8 2" xfId="7346" xr:uid="{00000000-0005-0000-0000-0000BC580000}"/>
    <cellStyle name="Separador de milhares 3 2 3 2 8 2 2" xfId="10490" xr:uid="{00000000-0005-0000-0000-0000BD580000}"/>
    <cellStyle name="Separador de milhares 3 2 3 2 8 2 2 2" xfId="28704" xr:uid="{00000000-0005-0000-0000-0000BE580000}"/>
    <cellStyle name="Separador de milhares 3 2 3 2 8 2 2 2 2" xfId="54885" xr:uid="{00000000-0005-0000-0000-0000BF580000}"/>
    <cellStyle name="Separador de milhares 3 2 3 2 8 2 2 3" xfId="22790" xr:uid="{00000000-0005-0000-0000-0000C0580000}"/>
    <cellStyle name="Separador de milhares 3 2 3 2 8 2 2 3 2" xfId="48977" xr:uid="{00000000-0005-0000-0000-0000C1580000}"/>
    <cellStyle name="Separador de milhares 3 2 3 2 8 2 2 4" xfId="16876" xr:uid="{00000000-0005-0000-0000-0000C2580000}"/>
    <cellStyle name="Separador de milhares 3 2 3 2 8 2 2 4 2" xfId="43069" xr:uid="{00000000-0005-0000-0000-0000C3580000}"/>
    <cellStyle name="Separador de milhares 3 2 3 2 8 2 2 5" xfId="36683" xr:uid="{00000000-0005-0000-0000-0000C4580000}"/>
    <cellStyle name="Separador de milhares 3 2 3 2 8 2 3" xfId="25747" xr:uid="{00000000-0005-0000-0000-0000C5580000}"/>
    <cellStyle name="Separador de milhares 3 2 3 2 8 2 3 2" xfId="51931" xr:uid="{00000000-0005-0000-0000-0000C6580000}"/>
    <cellStyle name="Separador de milhares 3 2 3 2 8 2 4" xfId="19833" xr:uid="{00000000-0005-0000-0000-0000C7580000}"/>
    <cellStyle name="Separador de milhares 3 2 3 2 8 2 4 2" xfId="46023" xr:uid="{00000000-0005-0000-0000-0000C8580000}"/>
    <cellStyle name="Separador de milhares 3 2 3 2 8 2 5" xfId="13735" xr:uid="{00000000-0005-0000-0000-0000C9580000}"/>
    <cellStyle name="Separador de milhares 3 2 3 2 8 2 5 2" xfId="39928" xr:uid="{00000000-0005-0000-0000-0000CA580000}"/>
    <cellStyle name="Separador de milhares 3 2 3 2 8 2 6" xfId="33542" xr:uid="{00000000-0005-0000-0000-0000CB580000}"/>
    <cellStyle name="Separador de milhares 3 2 3 2 8 3" xfId="9022" xr:uid="{00000000-0005-0000-0000-0000CC580000}"/>
    <cellStyle name="Separador de milhares 3 2 3 2 8 3 2" xfId="27236" xr:uid="{00000000-0005-0000-0000-0000CD580000}"/>
    <cellStyle name="Separador de milhares 3 2 3 2 8 3 2 2" xfId="53417" xr:uid="{00000000-0005-0000-0000-0000CE580000}"/>
    <cellStyle name="Separador de milhares 3 2 3 2 8 3 3" xfId="21322" xr:uid="{00000000-0005-0000-0000-0000CF580000}"/>
    <cellStyle name="Separador de milhares 3 2 3 2 8 3 3 2" xfId="47509" xr:uid="{00000000-0005-0000-0000-0000D0580000}"/>
    <cellStyle name="Separador de milhares 3 2 3 2 8 3 4" xfId="15408" xr:uid="{00000000-0005-0000-0000-0000D1580000}"/>
    <cellStyle name="Separador de milhares 3 2 3 2 8 3 4 2" xfId="41601" xr:uid="{00000000-0005-0000-0000-0000D2580000}"/>
    <cellStyle name="Separador de milhares 3 2 3 2 8 3 5" xfId="35215" xr:uid="{00000000-0005-0000-0000-0000D3580000}"/>
    <cellStyle name="Separador de milhares 3 2 3 2 8 4" xfId="5647" xr:uid="{00000000-0005-0000-0000-0000D4580000}"/>
    <cellStyle name="Separador de milhares 3 2 3 2 8 4 2" xfId="24279" xr:uid="{00000000-0005-0000-0000-0000D5580000}"/>
    <cellStyle name="Separador de milhares 3 2 3 2 8 4 2 2" xfId="50463" xr:uid="{00000000-0005-0000-0000-0000D6580000}"/>
    <cellStyle name="Separador de milhares 3 2 3 2 8 4 3" xfId="31843" xr:uid="{00000000-0005-0000-0000-0000D7580000}"/>
    <cellStyle name="Separador de milhares 3 2 3 2 8 5" xfId="18365" xr:uid="{00000000-0005-0000-0000-0000D8580000}"/>
    <cellStyle name="Separador de milhares 3 2 3 2 8 5 2" xfId="44555" xr:uid="{00000000-0005-0000-0000-0000D9580000}"/>
    <cellStyle name="Separador de milhares 3 2 3 2 8 6" xfId="12034" xr:uid="{00000000-0005-0000-0000-0000DA580000}"/>
    <cellStyle name="Separador de milhares 3 2 3 2 8 6 2" xfId="38227" xr:uid="{00000000-0005-0000-0000-0000DB580000}"/>
    <cellStyle name="Separador de milhares 3 2 3 2 8 7" xfId="30145" xr:uid="{00000000-0005-0000-0000-0000DC580000}"/>
    <cellStyle name="Separador de milhares 3 2 3 2 9" xfId="3812" xr:uid="{00000000-0005-0000-0000-0000DD580000}"/>
    <cellStyle name="Separador de milhares 3 2 3 2 9 2" xfId="7493" xr:uid="{00000000-0005-0000-0000-0000DE580000}"/>
    <cellStyle name="Separador de milhares 3 2 3 2 9 2 2" xfId="10637" xr:uid="{00000000-0005-0000-0000-0000DF580000}"/>
    <cellStyle name="Separador de milhares 3 2 3 2 9 2 2 2" xfId="28851" xr:uid="{00000000-0005-0000-0000-0000E0580000}"/>
    <cellStyle name="Separador de milhares 3 2 3 2 9 2 2 2 2" xfId="55032" xr:uid="{00000000-0005-0000-0000-0000E1580000}"/>
    <cellStyle name="Separador de milhares 3 2 3 2 9 2 2 3" xfId="22937" xr:uid="{00000000-0005-0000-0000-0000E2580000}"/>
    <cellStyle name="Separador de milhares 3 2 3 2 9 2 2 3 2" xfId="49124" xr:uid="{00000000-0005-0000-0000-0000E3580000}"/>
    <cellStyle name="Separador de milhares 3 2 3 2 9 2 2 4" xfId="17023" xr:uid="{00000000-0005-0000-0000-0000E4580000}"/>
    <cellStyle name="Separador de milhares 3 2 3 2 9 2 2 4 2" xfId="43216" xr:uid="{00000000-0005-0000-0000-0000E5580000}"/>
    <cellStyle name="Separador de milhares 3 2 3 2 9 2 2 5" xfId="36830" xr:uid="{00000000-0005-0000-0000-0000E6580000}"/>
    <cellStyle name="Separador de milhares 3 2 3 2 9 2 3" xfId="25894" xr:uid="{00000000-0005-0000-0000-0000E7580000}"/>
    <cellStyle name="Separador de milhares 3 2 3 2 9 2 3 2" xfId="52078" xr:uid="{00000000-0005-0000-0000-0000E8580000}"/>
    <cellStyle name="Separador de milhares 3 2 3 2 9 2 4" xfId="19980" xr:uid="{00000000-0005-0000-0000-0000E9580000}"/>
    <cellStyle name="Separador de milhares 3 2 3 2 9 2 4 2" xfId="46170" xr:uid="{00000000-0005-0000-0000-0000EA580000}"/>
    <cellStyle name="Separador de milhares 3 2 3 2 9 2 5" xfId="13882" xr:uid="{00000000-0005-0000-0000-0000EB580000}"/>
    <cellStyle name="Separador de milhares 3 2 3 2 9 2 5 2" xfId="40075" xr:uid="{00000000-0005-0000-0000-0000EC580000}"/>
    <cellStyle name="Separador de milhares 3 2 3 2 9 2 6" xfId="33689" xr:uid="{00000000-0005-0000-0000-0000ED580000}"/>
    <cellStyle name="Separador de milhares 3 2 3 2 9 3" xfId="9169" xr:uid="{00000000-0005-0000-0000-0000EE580000}"/>
    <cellStyle name="Separador de milhares 3 2 3 2 9 3 2" xfId="27383" xr:uid="{00000000-0005-0000-0000-0000EF580000}"/>
    <cellStyle name="Separador de milhares 3 2 3 2 9 3 2 2" xfId="53564" xr:uid="{00000000-0005-0000-0000-0000F0580000}"/>
    <cellStyle name="Separador de milhares 3 2 3 2 9 3 3" xfId="21469" xr:uid="{00000000-0005-0000-0000-0000F1580000}"/>
    <cellStyle name="Separador de milhares 3 2 3 2 9 3 3 2" xfId="47656" xr:uid="{00000000-0005-0000-0000-0000F2580000}"/>
    <cellStyle name="Separador de milhares 3 2 3 2 9 3 4" xfId="15555" xr:uid="{00000000-0005-0000-0000-0000F3580000}"/>
    <cellStyle name="Separador de milhares 3 2 3 2 9 3 4 2" xfId="41748" xr:uid="{00000000-0005-0000-0000-0000F4580000}"/>
    <cellStyle name="Separador de milhares 3 2 3 2 9 3 5" xfId="35362" xr:uid="{00000000-0005-0000-0000-0000F5580000}"/>
    <cellStyle name="Separador de milhares 3 2 3 2 9 4" xfId="5794" xr:uid="{00000000-0005-0000-0000-0000F6580000}"/>
    <cellStyle name="Separador de milhares 3 2 3 2 9 4 2" xfId="24426" xr:uid="{00000000-0005-0000-0000-0000F7580000}"/>
    <cellStyle name="Separador de milhares 3 2 3 2 9 4 2 2" xfId="50610" xr:uid="{00000000-0005-0000-0000-0000F8580000}"/>
    <cellStyle name="Separador de milhares 3 2 3 2 9 4 3" xfId="31990" xr:uid="{00000000-0005-0000-0000-0000F9580000}"/>
    <cellStyle name="Separador de milhares 3 2 3 2 9 5" xfId="18512" xr:uid="{00000000-0005-0000-0000-0000FA580000}"/>
    <cellStyle name="Separador de milhares 3 2 3 2 9 5 2" xfId="44702" xr:uid="{00000000-0005-0000-0000-0000FB580000}"/>
    <cellStyle name="Separador de milhares 3 2 3 2 9 6" xfId="12181" xr:uid="{00000000-0005-0000-0000-0000FC580000}"/>
    <cellStyle name="Separador de milhares 3 2 3 2 9 6 2" xfId="38374" xr:uid="{00000000-0005-0000-0000-0000FD580000}"/>
    <cellStyle name="Separador de milhares 3 2 3 2 9 7" xfId="30292" xr:uid="{00000000-0005-0000-0000-0000FE580000}"/>
    <cellStyle name="Separador de milhares 3 2 3 3" xfId="264" xr:uid="{00000000-0005-0000-0000-0000FF580000}"/>
    <cellStyle name="Separador de milhares 3 2 3 3 10" xfId="6484" xr:uid="{00000000-0005-0000-0000-000000590000}"/>
    <cellStyle name="Separador de milhares 3 2 3 3 10 2" xfId="9635" xr:uid="{00000000-0005-0000-0000-000001590000}"/>
    <cellStyle name="Separador de milhares 3 2 3 3 10 2 2" xfId="27849" xr:uid="{00000000-0005-0000-0000-000002590000}"/>
    <cellStyle name="Separador de milhares 3 2 3 3 10 2 2 2" xfId="54030" xr:uid="{00000000-0005-0000-0000-000003590000}"/>
    <cellStyle name="Separador de milhares 3 2 3 3 10 2 3" xfId="21935" xr:uid="{00000000-0005-0000-0000-000004590000}"/>
    <cellStyle name="Separador de milhares 3 2 3 3 10 2 3 2" xfId="48122" xr:uid="{00000000-0005-0000-0000-000005590000}"/>
    <cellStyle name="Separador de milhares 3 2 3 3 10 2 4" xfId="16021" xr:uid="{00000000-0005-0000-0000-000006590000}"/>
    <cellStyle name="Separador de milhares 3 2 3 3 10 2 4 2" xfId="42214" xr:uid="{00000000-0005-0000-0000-000007590000}"/>
    <cellStyle name="Separador de milhares 3 2 3 3 10 2 5" xfId="35828" xr:uid="{00000000-0005-0000-0000-000008590000}"/>
    <cellStyle name="Separador de milhares 3 2 3 3 10 3" xfId="24892" xr:uid="{00000000-0005-0000-0000-000009590000}"/>
    <cellStyle name="Separador de milhares 3 2 3 3 10 3 2" xfId="51076" xr:uid="{00000000-0005-0000-0000-00000A590000}"/>
    <cellStyle name="Separador de milhares 3 2 3 3 10 4" xfId="18978" xr:uid="{00000000-0005-0000-0000-00000B590000}"/>
    <cellStyle name="Separador de milhares 3 2 3 3 10 4 2" xfId="45168" xr:uid="{00000000-0005-0000-0000-00000C590000}"/>
    <cellStyle name="Separador de milhares 3 2 3 3 10 5" xfId="12873" xr:uid="{00000000-0005-0000-0000-00000D590000}"/>
    <cellStyle name="Separador de milhares 3 2 3 3 10 5 2" xfId="39066" xr:uid="{00000000-0005-0000-0000-00000E590000}"/>
    <cellStyle name="Separador de milhares 3 2 3 3 10 6" xfId="32680" xr:uid="{00000000-0005-0000-0000-00000F590000}"/>
    <cellStyle name="Separador de milhares 3 2 3 3 11" xfId="8164" xr:uid="{00000000-0005-0000-0000-000010590000}"/>
    <cellStyle name="Separador de milhares 3 2 3 3 11 2" xfId="26378" xr:uid="{00000000-0005-0000-0000-000011590000}"/>
    <cellStyle name="Separador de milhares 3 2 3 3 11 2 2" xfId="52562" xr:uid="{00000000-0005-0000-0000-000012590000}"/>
    <cellStyle name="Separador de milhares 3 2 3 3 11 3" xfId="20464" xr:uid="{00000000-0005-0000-0000-000013590000}"/>
    <cellStyle name="Separador de milhares 3 2 3 3 11 3 2" xfId="46654" xr:uid="{00000000-0005-0000-0000-000014590000}"/>
    <cellStyle name="Separador de milhares 3 2 3 3 11 4" xfId="14553" xr:uid="{00000000-0005-0000-0000-000015590000}"/>
    <cellStyle name="Separador de milhares 3 2 3 3 11 4 2" xfId="40746" xr:uid="{00000000-0005-0000-0000-000016590000}"/>
    <cellStyle name="Separador de milhares 3 2 3 3 11 5" xfId="34360" xr:uid="{00000000-0005-0000-0000-000017590000}"/>
    <cellStyle name="Separador de milhares 3 2 3 3 12" xfId="4783" xr:uid="{00000000-0005-0000-0000-000018590000}"/>
    <cellStyle name="Separador de milhares 3 2 3 3 12 2" xfId="23421" xr:uid="{00000000-0005-0000-0000-000019590000}"/>
    <cellStyle name="Separador de milhares 3 2 3 3 12 2 2" xfId="49608" xr:uid="{00000000-0005-0000-0000-00001A590000}"/>
    <cellStyle name="Separador de milhares 3 2 3 3 12 3" xfId="30981" xr:uid="{00000000-0005-0000-0000-00001B590000}"/>
    <cellStyle name="Separador de milhares 3 2 3 3 13" xfId="17507" xr:uid="{00000000-0005-0000-0000-00001C590000}"/>
    <cellStyle name="Separador de milhares 3 2 3 3 13 2" xfId="43700" xr:uid="{00000000-0005-0000-0000-00001D590000}"/>
    <cellStyle name="Separador de milhares 3 2 3 3 14" xfId="11172" xr:uid="{00000000-0005-0000-0000-00001E590000}"/>
    <cellStyle name="Separador de milhares 3 2 3 3 14 2" xfId="37365" xr:uid="{00000000-0005-0000-0000-00001F590000}"/>
    <cellStyle name="Separador de milhares 3 2 3 3 15" xfId="29283" xr:uid="{00000000-0005-0000-0000-000020590000}"/>
    <cellStyle name="Separador de milhares 3 2 3 3 2" xfId="527" xr:uid="{00000000-0005-0000-0000-000021590000}"/>
    <cellStyle name="Separador de milhares 3 2 3 3 2 2" xfId="6555" xr:uid="{00000000-0005-0000-0000-000022590000}"/>
    <cellStyle name="Separador de milhares 3 2 3 3 2 2 2" xfId="9702" xr:uid="{00000000-0005-0000-0000-000023590000}"/>
    <cellStyle name="Separador de milhares 3 2 3 3 2 2 2 2" xfId="27916" xr:uid="{00000000-0005-0000-0000-000024590000}"/>
    <cellStyle name="Separador de milhares 3 2 3 3 2 2 2 2 2" xfId="54097" xr:uid="{00000000-0005-0000-0000-000025590000}"/>
    <cellStyle name="Separador de milhares 3 2 3 3 2 2 2 3" xfId="22002" xr:uid="{00000000-0005-0000-0000-000026590000}"/>
    <cellStyle name="Separador de milhares 3 2 3 3 2 2 2 3 2" xfId="48189" xr:uid="{00000000-0005-0000-0000-000027590000}"/>
    <cellStyle name="Separador de milhares 3 2 3 3 2 2 2 4" xfId="16088" xr:uid="{00000000-0005-0000-0000-000028590000}"/>
    <cellStyle name="Separador de milhares 3 2 3 3 2 2 2 4 2" xfId="42281" xr:uid="{00000000-0005-0000-0000-000029590000}"/>
    <cellStyle name="Separador de milhares 3 2 3 3 2 2 2 5" xfId="35895" xr:uid="{00000000-0005-0000-0000-00002A590000}"/>
    <cellStyle name="Separador de milhares 3 2 3 3 2 2 3" xfId="24959" xr:uid="{00000000-0005-0000-0000-00002B590000}"/>
    <cellStyle name="Separador de milhares 3 2 3 3 2 2 3 2" xfId="51143" xr:uid="{00000000-0005-0000-0000-00002C590000}"/>
    <cellStyle name="Separador de milhares 3 2 3 3 2 2 4" xfId="19045" xr:uid="{00000000-0005-0000-0000-00002D590000}"/>
    <cellStyle name="Separador de milhares 3 2 3 3 2 2 4 2" xfId="45235" xr:uid="{00000000-0005-0000-0000-00002E590000}"/>
    <cellStyle name="Separador de milhares 3 2 3 3 2 2 5" xfId="12944" xr:uid="{00000000-0005-0000-0000-00002F590000}"/>
    <cellStyle name="Separador de milhares 3 2 3 3 2 2 5 2" xfId="39137" xr:uid="{00000000-0005-0000-0000-000030590000}"/>
    <cellStyle name="Separador de milhares 3 2 3 3 2 2 6" xfId="32751" xr:uid="{00000000-0005-0000-0000-000031590000}"/>
    <cellStyle name="Separador de milhares 3 2 3 3 2 3" xfId="8231" xr:uid="{00000000-0005-0000-0000-000032590000}"/>
    <cellStyle name="Separador de milhares 3 2 3 3 2 3 2" xfId="26445" xr:uid="{00000000-0005-0000-0000-000033590000}"/>
    <cellStyle name="Separador de milhares 3 2 3 3 2 3 2 2" xfId="52629" xr:uid="{00000000-0005-0000-0000-000034590000}"/>
    <cellStyle name="Separador de milhares 3 2 3 3 2 3 3" xfId="20531" xr:uid="{00000000-0005-0000-0000-000035590000}"/>
    <cellStyle name="Separador de milhares 3 2 3 3 2 3 3 2" xfId="46721" xr:uid="{00000000-0005-0000-0000-000036590000}"/>
    <cellStyle name="Separador de milhares 3 2 3 3 2 3 4" xfId="14620" xr:uid="{00000000-0005-0000-0000-000037590000}"/>
    <cellStyle name="Separador de milhares 3 2 3 3 2 3 4 2" xfId="40813" xr:uid="{00000000-0005-0000-0000-000038590000}"/>
    <cellStyle name="Separador de milhares 3 2 3 3 2 3 5" xfId="34427" xr:uid="{00000000-0005-0000-0000-000039590000}"/>
    <cellStyle name="Separador de milhares 3 2 3 3 2 4" xfId="4854" xr:uid="{00000000-0005-0000-0000-00003A590000}"/>
    <cellStyle name="Separador de milhares 3 2 3 3 2 4 2" xfId="23488" xr:uid="{00000000-0005-0000-0000-00003B590000}"/>
    <cellStyle name="Separador de milhares 3 2 3 3 2 4 2 2" xfId="49675" xr:uid="{00000000-0005-0000-0000-00003C590000}"/>
    <cellStyle name="Separador de milhares 3 2 3 3 2 4 3" xfId="31052" xr:uid="{00000000-0005-0000-0000-00003D590000}"/>
    <cellStyle name="Separador de milhares 3 2 3 3 2 5" xfId="17574" xr:uid="{00000000-0005-0000-0000-00003E590000}"/>
    <cellStyle name="Separador de milhares 3 2 3 3 2 5 2" xfId="43767" xr:uid="{00000000-0005-0000-0000-00003F590000}"/>
    <cellStyle name="Separador de milhares 3 2 3 3 2 6" xfId="11243" xr:uid="{00000000-0005-0000-0000-000040590000}"/>
    <cellStyle name="Separador de milhares 3 2 3 3 2 6 2" xfId="37436" xr:uid="{00000000-0005-0000-0000-000041590000}"/>
    <cellStyle name="Separador de milhares 3 2 3 3 2 7" xfId="29354" xr:uid="{00000000-0005-0000-0000-000042590000}"/>
    <cellStyle name="Separador de milhares 3 2 3 3 3" xfId="824" xr:uid="{00000000-0005-0000-0000-000043590000}"/>
    <cellStyle name="Separador de milhares 3 2 3 3 3 2" xfId="6657" xr:uid="{00000000-0005-0000-0000-000044590000}"/>
    <cellStyle name="Separador de milhares 3 2 3 3 3 2 2" xfId="9804" xr:uid="{00000000-0005-0000-0000-000045590000}"/>
    <cellStyle name="Separador de milhares 3 2 3 3 3 2 2 2" xfId="28018" xr:uid="{00000000-0005-0000-0000-000046590000}"/>
    <cellStyle name="Separador de milhares 3 2 3 3 3 2 2 2 2" xfId="54199" xr:uid="{00000000-0005-0000-0000-000047590000}"/>
    <cellStyle name="Separador de milhares 3 2 3 3 3 2 2 3" xfId="22104" xr:uid="{00000000-0005-0000-0000-000048590000}"/>
    <cellStyle name="Separador de milhares 3 2 3 3 3 2 2 3 2" xfId="48291" xr:uid="{00000000-0005-0000-0000-000049590000}"/>
    <cellStyle name="Separador de milhares 3 2 3 3 3 2 2 4" xfId="16190" xr:uid="{00000000-0005-0000-0000-00004A590000}"/>
    <cellStyle name="Separador de milhares 3 2 3 3 3 2 2 4 2" xfId="42383" xr:uid="{00000000-0005-0000-0000-00004B590000}"/>
    <cellStyle name="Separador de milhares 3 2 3 3 3 2 2 5" xfId="35997" xr:uid="{00000000-0005-0000-0000-00004C590000}"/>
    <cellStyle name="Separador de milhares 3 2 3 3 3 2 3" xfId="25061" xr:uid="{00000000-0005-0000-0000-00004D590000}"/>
    <cellStyle name="Separador de milhares 3 2 3 3 3 2 3 2" xfId="51245" xr:uid="{00000000-0005-0000-0000-00004E590000}"/>
    <cellStyle name="Separador de milhares 3 2 3 3 3 2 4" xfId="19147" xr:uid="{00000000-0005-0000-0000-00004F590000}"/>
    <cellStyle name="Separador de milhares 3 2 3 3 3 2 4 2" xfId="45337" xr:uid="{00000000-0005-0000-0000-000050590000}"/>
    <cellStyle name="Separador de milhares 3 2 3 3 3 2 5" xfId="13046" xr:uid="{00000000-0005-0000-0000-000051590000}"/>
    <cellStyle name="Separador de milhares 3 2 3 3 3 2 5 2" xfId="39239" xr:uid="{00000000-0005-0000-0000-000052590000}"/>
    <cellStyle name="Separador de milhares 3 2 3 3 3 2 6" xfId="32853" xr:uid="{00000000-0005-0000-0000-000053590000}"/>
    <cellStyle name="Separador de milhares 3 2 3 3 3 3" xfId="8336" xr:uid="{00000000-0005-0000-0000-000054590000}"/>
    <cellStyle name="Separador de milhares 3 2 3 3 3 3 2" xfId="26550" xr:uid="{00000000-0005-0000-0000-000055590000}"/>
    <cellStyle name="Separador de milhares 3 2 3 3 3 3 2 2" xfId="52731" xr:uid="{00000000-0005-0000-0000-000056590000}"/>
    <cellStyle name="Separador de milhares 3 2 3 3 3 3 3" xfId="20636" xr:uid="{00000000-0005-0000-0000-000057590000}"/>
    <cellStyle name="Separador de milhares 3 2 3 3 3 3 3 2" xfId="46823" xr:uid="{00000000-0005-0000-0000-000058590000}"/>
    <cellStyle name="Separador de milhares 3 2 3 3 3 3 4" xfId="14722" xr:uid="{00000000-0005-0000-0000-000059590000}"/>
    <cellStyle name="Separador de milhares 3 2 3 3 3 3 4 2" xfId="40915" xr:uid="{00000000-0005-0000-0000-00005A590000}"/>
    <cellStyle name="Separador de milhares 3 2 3 3 3 3 5" xfId="34529" xr:uid="{00000000-0005-0000-0000-00005B590000}"/>
    <cellStyle name="Separador de milhares 3 2 3 3 3 4" xfId="4958" xr:uid="{00000000-0005-0000-0000-00005C590000}"/>
    <cellStyle name="Separador de milhares 3 2 3 3 3 4 2" xfId="23593" xr:uid="{00000000-0005-0000-0000-00005D590000}"/>
    <cellStyle name="Separador de milhares 3 2 3 3 3 4 2 2" xfId="49777" xr:uid="{00000000-0005-0000-0000-00005E590000}"/>
    <cellStyle name="Separador de milhares 3 2 3 3 3 4 3" xfId="31154" xr:uid="{00000000-0005-0000-0000-00005F590000}"/>
    <cellStyle name="Separador de milhares 3 2 3 3 3 5" xfId="17679" xr:uid="{00000000-0005-0000-0000-000060590000}"/>
    <cellStyle name="Separador de milhares 3 2 3 3 3 5 2" xfId="43869" xr:uid="{00000000-0005-0000-0000-000061590000}"/>
    <cellStyle name="Separador de milhares 3 2 3 3 3 6" xfId="11345" xr:uid="{00000000-0005-0000-0000-000062590000}"/>
    <cellStyle name="Separador de milhares 3 2 3 3 3 6 2" xfId="37538" xr:uid="{00000000-0005-0000-0000-000063590000}"/>
    <cellStyle name="Separador de milhares 3 2 3 3 3 7" xfId="29456" xr:uid="{00000000-0005-0000-0000-000064590000}"/>
    <cellStyle name="Separador de milhares 3 2 3 3 4" xfId="1175" xr:uid="{00000000-0005-0000-0000-000065590000}"/>
    <cellStyle name="Separador de milhares 3 2 3 3 4 2" xfId="6755" xr:uid="{00000000-0005-0000-0000-000066590000}"/>
    <cellStyle name="Separador de milhares 3 2 3 3 4 2 2" xfId="9902" xr:uid="{00000000-0005-0000-0000-000067590000}"/>
    <cellStyle name="Separador de milhares 3 2 3 3 4 2 2 2" xfId="28116" xr:uid="{00000000-0005-0000-0000-000068590000}"/>
    <cellStyle name="Separador de milhares 3 2 3 3 4 2 2 2 2" xfId="54297" xr:uid="{00000000-0005-0000-0000-000069590000}"/>
    <cellStyle name="Separador de milhares 3 2 3 3 4 2 2 3" xfId="22202" xr:uid="{00000000-0005-0000-0000-00006A590000}"/>
    <cellStyle name="Separador de milhares 3 2 3 3 4 2 2 3 2" xfId="48389" xr:uid="{00000000-0005-0000-0000-00006B590000}"/>
    <cellStyle name="Separador de milhares 3 2 3 3 4 2 2 4" xfId="16288" xr:uid="{00000000-0005-0000-0000-00006C590000}"/>
    <cellStyle name="Separador de milhares 3 2 3 3 4 2 2 4 2" xfId="42481" xr:uid="{00000000-0005-0000-0000-00006D590000}"/>
    <cellStyle name="Separador de milhares 3 2 3 3 4 2 2 5" xfId="36095" xr:uid="{00000000-0005-0000-0000-00006E590000}"/>
    <cellStyle name="Separador de milhares 3 2 3 3 4 2 3" xfId="25159" xr:uid="{00000000-0005-0000-0000-00006F590000}"/>
    <cellStyle name="Separador de milhares 3 2 3 3 4 2 3 2" xfId="51343" xr:uid="{00000000-0005-0000-0000-000070590000}"/>
    <cellStyle name="Separador de milhares 3 2 3 3 4 2 4" xfId="19245" xr:uid="{00000000-0005-0000-0000-000071590000}"/>
    <cellStyle name="Separador de milhares 3 2 3 3 4 2 4 2" xfId="45435" xr:uid="{00000000-0005-0000-0000-000072590000}"/>
    <cellStyle name="Separador de milhares 3 2 3 3 4 2 5" xfId="13144" xr:uid="{00000000-0005-0000-0000-000073590000}"/>
    <cellStyle name="Separador de milhares 3 2 3 3 4 2 5 2" xfId="39337" xr:uid="{00000000-0005-0000-0000-000074590000}"/>
    <cellStyle name="Separador de milhares 3 2 3 3 4 2 6" xfId="32951" xr:uid="{00000000-0005-0000-0000-000075590000}"/>
    <cellStyle name="Separador de milhares 3 2 3 3 4 3" xfId="8434" xr:uid="{00000000-0005-0000-0000-000076590000}"/>
    <cellStyle name="Separador de milhares 3 2 3 3 4 3 2" xfId="26648" xr:uid="{00000000-0005-0000-0000-000077590000}"/>
    <cellStyle name="Separador de milhares 3 2 3 3 4 3 2 2" xfId="52829" xr:uid="{00000000-0005-0000-0000-000078590000}"/>
    <cellStyle name="Separador de milhares 3 2 3 3 4 3 3" xfId="20734" xr:uid="{00000000-0005-0000-0000-000079590000}"/>
    <cellStyle name="Separador de milhares 3 2 3 3 4 3 3 2" xfId="46921" xr:uid="{00000000-0005-0000-0000-00007A590000}"/>
    <cellStyle name="Separador de milhares 3 2 3 3 4 3 4" xfId="14820" xr:uid="{00000000-0005-0000-0000-00007B590000}"/>
    <cellStyle name="Separador de milhares 3 2 3 3 4 3 4 2" xfId="41013" xr:uid="{00000000-0005-0000-0000-00007C590000}"/>
    <cellStyle name="Separador de milhares 3 2 3 3 4 3 5" xfId="34627" xr:uid="{00000000-0005-0000-0000-00007D590000}"/>
    <cellStyle name="Separador de milhares 3 2 3 3 4 4" xfId="5056" xr:uid="{00000000-0005-0000-0000-00007E590000}"/>
    <cellStyle name="Separador de milhares 3 2 3 3 4 4 2" xfId="23691" xr:uid="{00000000-0005-0000-0000-00007F590000}"/>
    <cellStyle name="Separador de milhares 3 2 3 3 4 4 2 2" xfId="49875" xr:uid="{00000000-0005-0000-0000-000080590000}"/>
    <cellStyle name="Separador de milhares 3 2 3 3 4 4 3" xfId="31252" xr:uid="{00000000-0005-0000-0000-000081590000}"/>
    <cellStyle name="Separador de milhares 3 2 3 3 4 5" xfId="17777" xr:uid="{00000000-0005-0000-0000-000082590000}"/>
    <cellStyle name="Separador de milhares 3 2 3 3 4 5 2" xfId="43967" xr:uid="{00000000-0005-0000-0000-000083590000}"/>
    <cellStyle name="Separador de milhares 3 2 3 3 4 6" xfId="11443" xr:uid="{00000000-0005-0000-0000-000084590000}"/>
    <cellStyle name="Separador de milhares 3 2 3 3 4 6 2" xfId="37636" xr:uid="{00000000-0005-0000-0000-000085590000}"/>
    <cellStyle name="Separador de milhares 3 2 3 3 4 7" xfId="29554" xr:uid="{00000000-0005-0000-0000-000086590000}"/>
    <cellStyle name="Separador de milhares 3 2 3 3 5" xfId="1610" xr:uid="{00000000-0005-0000-0000-000087590000}"/>
    <cellStyle name="Separador de milhares 3 2 3 3 5 2" xfId="6874" xr:uid="{00000000-0005-0000-0000-000088590000}"/>
    <cellStyle name="Separador de milhares 3 2 3 3 5 2 2" xfId="10021" xr:uid="{00000000-0005-0000-0000-000089590000}"/>
    <cellStyle name="Separador de milhares 3 2 3 3 5 2 2 2" xfId="28235" xr:uid="{00000000-0005-0000-0000-00008A590000}"/>
    <cellStyle name="Separador de milhares 3 2 3 3 5 2 2 2 2" xfId="54416" xr:uid="{00000000-0005-0000-0000-00008B590000}"/>
    <cellStyle name="Separador de milhares 3 2 3 3 5 2 2 3" xfId="22321" xr:uid="{00000000-0005-0000-0000-00008C590000}"/>
    <cellStyle name="Separador de milhares 3 2 3 3 5 2 2 3 2" xfId="48508" xr:uid="{00000000-0005-0000-0000-00008D590000}"/>
    <cellStyle name="Separador de milhares 3 2 3 3 5 2 2 4" xfId="16407" xr:uid="{00000000-0005-0000-0000-00008E590000}"/>
    <cellStyle name="Separador de milhares 3 2 3 3 5 2 2 4 2" xfId="42600" xr:uid="{00000000-0005-0000-0000-00008F590000}"/>
    <cellStyle name="Separador de milhares 3 2 3 3 5 2 2 5" xfId="36214" xr:uid="{00000000-0005-0000-0000-000090590000}"/>
    <cellStyle name="Separador de milhares 3 2 3 3 5 2 3" xfId="25278" xr:uid="{00000000-0005-0000-0000-000091590000}"/>
    <cellStyle name="Separador de milhares 3 2 3 3 5 2 3 2" xfId="51462" xr:uid="{00000000-0005-0000-0000-000092590000}"/>
    <cellStyle name="Separador de milhares 3 2 3 3 5 2 4" xfId="19364" xr:uid="{00000000-0005-0000-0000-000093590000}"/>
    <cellStyle name="Separador de milhares 3 2 3 3 5 2 4 2" xfId="45554" xr:uid="{00000000-0005-0000-0000-000094590000}"/>
    <cellStyle name="Separador de milhares 3 2 3 3 5 2 5" xfId="13263" xr:uid="{00000000-0005-0000-0000-000095590000}"/>
    <cellStyle name="Separador de milhares 3 2 3 3 5 2 5 2" xfId="39456" xr:uid="{00000000-0005-0000-0000-000096590000}"/>
    <cellStyle name="Separador de milhares 3 2 3 3 5 2 6" xfId="33070" xr:uid="{00000000-0005-0000-0000-000097590000}"/>
    <cellStyle name="Separador de milhares 3 2 3 3 5 3" xfId="8553" xr:uid="{00000000-0005-0000-0000-000098590000}"/>
    <cellStyle name="Separador de milhares 3 2 3 3 5 3 2" xfId="26767" xr:uid="{00000000-0005-0000-0000-000099590000}"/>
    <cellStyle name="Separador de milhares 3 2 3 3 5 3 2 2" xfId="52948" xr:uid="{00000000-0005-0000-0000-00009A590000}"/>
    <cellStyle name="Separador de milhares 3 2 3 3 5 3 3" xfId="20853" xr:uid="{00000000-0005-0000-0000-00009B590000}"/>
    <cellStyle name="Separador de milhares 3 2 3 3 5 3 3 2" xfId="47040" xr:uid="{00000000-0005-0000-0000-00009C590000}"/>
    <cellStyle name="Separador de milhares 3 2 3 3 5 3 4" xfId="14939" xr:uid="{00000000-0005-0000-0000-00009D590000}"/>
    <cellStyle name="Separador de milhares 3 2 3 3 5 3 4 2" xfId="41132" xr:uid="{00000000-0005-0000-0000-00009E590000}"/>
    <cellStyle name="Separador de milhares 3 2 3 3 5 3 5" xfId="34746" xr:uid="{00000000-0005-0000-0000-00009F590000}"/>
    <cellStyle name="Separador de milhares 3 2 3 3 5 4" xfId="5175" xr:uid="{00000000-0005-0000-0000-0000A0590000}"/>
    <cellStyle name="Separador de milhares 3 2 3 3 5 4 2" xfId="23810" xr:uid="{00000000-0005-0000-0000-0000A1590000}"/>
    <cellStyle name="Separador de milhares 3 2 3 3 5 4 2 2" xfId="49994" xr:uid="{00000000-0005-0000-0000-0000A2590000}"/>
    <cellStyle name="Separador de milhares 3 2 3 3 5 4 3" xfId="31371" xr:uid="{00000000-0005-0000-0000-0000A3590000}"/>
    <cellStyle name="Separador de milhares 3 2 3 3 5 5" xfId="17896" xr:uid="{00000000-0005-0000-0000-0000A4590000}"/>
    <cellStyle name="Separador de milhares 3 2 3 3 5 5 2" xfId="44086" xr:uid="{00000000-0005-0000-0000-0000A5590000}"/>
    <cellStyle name="Separador de milhares 3 2 3 3 5 6" xfId="11562" xr:uid="{00000000-0005-0000-0000-0000A6590000}"/>
    <cellStyle name="Separador de milhares 3 2 3 3 5 6 2" xfId="37755" xr:uid="{00000000-0005-0000-0000-0000A7590000}"/>
    <cellStyle name="Separador de milhares 3 2 3 3 5 7" xfId="29673" xr:uid="{00000000-0005-0000-0000-0000A8590000}"/>
    <cellStyle name="Separador de milhares 3 2 3 3 6" xfId="2140" xr:uid="{00000000-0005-0000-0000-0000A9590000}"/>
    <cellStyle name="Separador de milhares 3 2 3 3 6 2" xfId="7024" xr:uid="{00000000-0005-0000-0000-0000AA590000}"/>
    <cellStyle name="Separador de milhares 3 2 3 3 6 2 2" xfId="10168" xr:uid="{00000000-0005-0000-0000-0000AB590000}"/>
    <cellStyle name="Separador de milhares 3 2 3 3 6 2 2 2" xfId="28382" xr:uid="{00000000-0005-0000-0000-0000AC590000}"/>
    <cellStyle name="Separador de milhares 3 2 3 3 6 2 2 2 2" xfId="54563" xr:uid="{00000000-0005-0000-0000-0000AD590000}"/>
    <cellStyle name="Separador de milhares 3 2 3 3 6 2 2 3" xfId="22468" xr:uid="{00000000-0005-0000-0000-0000AE590000}"/>
    <cellStyle name="Separador de milhares 3 2 3 3 6 2 2 3 2" xfId="48655" xr:uid="{00000000-0005-0000-0000-0000AF590000}"/>
    <cellStyle name="Separador de milhares 3 2 3 3 6 2 2 4" xfId="16554" xr:uid="{00000000-0005-0000-0000-0000B0590000}"/>
    <cellStyle name="Separador de milhares 3 2 3 3 6 2 2 4 2" xfId="42747" xr:uid="{00000000-0005-0000-0000-0000B1590000}"/>
    <cellStyle name="Separador de milhares 3 2 3 3 6 2 2 5" xfId="36361" xr:uid="{00000000-0005-0000-0000-0000B2590000}"/>
    <cellStyle name="Separador de milhares 3 2 3 3 6 2 3" xfId="25425" xr:uid="{00000000-0005-0000-0000-0000B3590000}"/>
    <cellStyle name="Separador de milhares 3 2 3 3 6 2 3 2" xfId="51609" xr:uid="{00000000-0005-0000-0000-0000B4590000}"/>
    <cellStyle name="Separador de milhares 3 2 3 3 6 2 4" xfId="19511" xr:uid="{00000000-0005-0000-0000-0000B5590000}"/>
    <cellStyle name="Separador de milhares 3 2 3 3 6 2 4 2" xfId="45701" xr:uid="{00000000-0005-0000-0000-0000B6590000}"/>
    <cellStyle name="Separador de milhares 3 2 3 3 6 2 5" xfId="13413" xr:uid="{00000000-0005-0000-0000-0000B7590000}"/>
    <cellStyle name="Separador de milhares 3 2 3 3 6 2 5 2" xfId="39606" xr:uid="{00000000-0005-0000-0000-0000B8590000}"/>
    <cellStyle name="Separador de milhares 3 2 3 3 6 2 6" xfId="33220" xr:uid="{00000000-0005-0000-0000-0000B9590000}"/>
    <cellStyle name="Separador de milhares 3 2 3 3 6 3" xfId="8700" xr:uid="{00000000-0005-0000-0000-0000BA590000}"/>
    <cellStyle name="Separador de milhares 3 2 3 3 6 3 2" xfId="26914" xr:uid="{00000000-0005-0000-0000-0000BB590000}"/>
    <cellStyle name="Separador de milhares 3 2 3 3 6 3 2 2" xfId="53095" xr:uid="{00000000-0005-0000-0000-0000BC590000}"/>
    <cellStyle name="Separador de milhares 3 2 3 3 6 3 3" xfId="21000" xr:uid="{00000000-0005-0000-0000-0000BD590000}"/>
    <cellStyle name="Separador de milhares 3 2 3 3 6 3 3 2" xfId="47187" xr:uid="{00000000-0005-0000-0000-0000BE590000}"/>
    <cellStyle name="Separador de milhares 3 2 3 3 6 3 4" xfId="15086" xr:uid="{00000000-0005-0000-0000-0000BF590000}"/>
    <cellStyle name="Separador de milhares 3 2 3 3 6 3 4 2" xfId="41279" xr:uid="{00000000-0005-0000-0000-0000C0590000}"/>
    <cellStyle name="Separador de milhares 3 2 3 3 6 3 5" xfId="34893" xr:uid="{00000000-0005-0000-0000-0000C1590000}"/>
    <cellStyle name="Separador de milhares 3 2 3 3 6 4" xfId="5325" xr:uid="{00000000-0005-0000-0000-0000C2590000}"/>
    <cellStyle name="Separador de milhares 3 2 3 3 6 4 2" xfId="23957" xr:uid="{00000000-0005-0000-0000-0000C3590000}"/>
    <cellStyle name="Separador de milhares 3 2 3 3 6 4 2 2" xfId="50141" xr:uid="{00000000-0005-0000-0000-0000C4590000}"/>
    <cellStyle name="Separador de milhares 3 2 3 3 6 4 3" xfId="31521" xr:uid="{00000000-0005-0000-0000-0000C5590000}"/>
    <cellStyle name="Separador de milhares 3 2 3 3 6 5" xfId="18043" xr:uid="{00000000-0005-0000-0000-0000C6590000}"/>
    <cellStyle name="Separador de milhares 3 2 3 3 6 5 2" xfId="44233" xr:uid="{00000000-0005-0000-0000-0000C7590000}"/>
    <cellStyle name="Separador de milhares 3 2 3 3 6 6" xfId="11712" xr:uid="{00000000-0005-0000-0000-0000C8590000}"/>
    <cellStyle name="Separador de milhares 3 2 3 3 6 6 2" xfId="37905" xr:uid="{00000000-0005-0000-0000-0000C9590000}"/>
    <cellStyle name="Separador de milhares 3 2 3 3 6 7" xfId="29823" xr:uid="{00000000-0005-0000-0000-0000CA590000}"/>
    <cellStyle name="Separador de milhares 3 2 3 3 7" xfId="2667" xr:uid="{00000000-0005-0000-0000-0000CB590000}"/>
    <cellStyle name="Separador de milhares 3 2 3 3 7 2" xfId="7171" xr:uid="{00000000-0005-0000-0000-0000CC590000}"/>
    <cellStyle name="Separador de milhares 3 2 3 3 7 2 2" xfId="10315" xr:uid="{00000000-0005-0000-0000-0000CD590000}"/>
    <cellStyle name="Separador de milhares 3 2 3 3 7 2 2 2" xfId="28529" xr:uid="{00000000-0005-0000-0000-0000CE590000}"/>
    <cellStyle name="Separador de milhares 3 2 3 3 7 2 2 2 2" xfId="54710" xr:uid="{00000000-0005-0000-0000-0000CF590000}"/>
    <cellStyle name="Separador de milhares 3 2 3 3 7 2 2 3" xfId="22615" xr:uid="{00000000-0005-0000-0000-0000D0590000}"/>
    <cellStyle name="Separador de milhares 3 2 3 3 7 2 2 3 2" xfId="48802" xr:uid="{00000000-0005-0000-0000-0000D1590000}"/>
    <cellStyle name="Separador de milhares 3 2 3 3 7 2 2 4" xfId="16701" xr:uid="{00000000-0005-0000-0000-0000D2590000}"/>
    <cellStyle name="Separador de milhares 3 2 3 3 7 2 2 4 2" xfId="42894" xr:uid="{00000000-0005-0000-0000-0000D3590000}"/>
    <cellStyle name="Separador de milhares 3 2 3 3 7 2 2 5" xfId="36508" xr:uid="{00000000-0005-0000-0000-0000D4590000}"/>
    <cellStyle name="Separador de milhares 3 2 3 3 7 2 3" xfId="25572" xr:uid="{00000000-0005-0000-0000-0000D5590000}"/>
    <cellStyle name="Separador de milhares 3 2 3 3 7 2 3 2" xfId="51756" xr:uid="{00000000-0005-0000-0000-0000D6590000}"/>
    <cellStyle name="Separador de milhares 3 2 3 3 7 2 4" xfId="19658" xr:uid="{00000000-0005-0000-0000-0000D7590000}"/>
    <cellStyle name="Separador de milhares 3 2 3 3 7 2 4 2" xfId="45848" xr:uid="{00000000-0005-0000-0000-0000D8590000}"/>
    <cellStyle name="Separador de milhares 3 2 3 3 7 2 5" xfId="13560" xr:uid="{00000000-0005-0000-0000-0000D9590000}"/>
    <cellStyle name="Separador de milhares 3 2 3 3 7 2 5 2" xfId="39753" xr:uid="{00000000-0005-0000-0000-0000DA590000}"/>
    <cellStyle name="Separador de milhares 3 2 3 3 7 2 6" xfId="33367" xr:uid="{00000000-0005-0000-0000-0000DB590000}"/>
    <cellStyle name="Separador de milhares 3 2 3 3 7 3" xfId="8847" xr:uid="{00000000-0005-0000-0000-0000DC590000}"/>
    <cellStyle name="Separador de milhares 3 2 3 3 7 3 2" xfId="27061" xr:uid="{00000000-0005-0000-0000-0000DD590000}"/>
    <cellStyle name="Separador de milhares 3 2 3 3 7 3 2 2" xfId="53242" xr:uid="{00000000-0005-0000-0000-0000DE590000}"/>
    <cellStyle name="Separador de milhares 3 2 3 3 7 3 3" xfId="21147" xr:uid="{00000000-0005-0000-0000-0000DF590000}"/>
    <cellStyle name="Separador de milhares 3 2 3 3 7 3 3 2" xfId="47334" xr:uid="{00000000-0005-0000-0000-0000E0590000}"/>
    <cellStyle name="Separador de milhares 3 2 3 3 7 3 4" xfId="15233" xr:uid="{00000000-0005-0000-0000-0000E1590000}"/>
    <cellStyle name="Separador de milhares 3 2 3 3 7 3 4 2" xfId="41426" xr:uid="{00000000-0005-0000-0000-0000E2590000}"/>
    <cellStyle name="Separador de milhares 3 2 3 3 7 3 5" xfId="35040" xr:uid="{00000000-0005-0000-0000-0000E3590000}"/>
    <cellStyle name="Separador de milhares 3 2 3 3 7 4" xfId="5472" xr:uid="{00000000-0005-0000-0000-0000E4590000}"/>
    <cellStyle name="Separador de milhares 3 2 3 3 7 4 2" xfId="24104" xr:uid="{00000000-0005-0000-0000-0000E5590000}"/>
    <cellStyle name="Separador de milhares 3 2 3 3 7 4 2 2" xfId="50288" xr:uid="{00000000-0005-0000-0000-0000E6590000}"/>
    <cellStyle name="Separador de milhares 3 2 3 3 7 4 3" xfId="31668" xr:uid="{00000000-0005-0000-0000-0000E7590000}"/>
    <cellStyle name="Separador de milhares 3 2 3 3 7 5" xfId="18190" xr:uid="{00000000-0005-0000-0000-0000E8590000}"/>
    <cellStyle name="Separador de milhares 3 2 3 3 7 5 2" xfId="44380" xr:uid="{00000000-0005-0000-0000-0000E9590000}"/>
    <cellStyle name="Separador de milhares 3 2 3 3 7 6" xfId="11859" xr:uid="{00000000-0005-0000-0000-0000EA590000}"/>
    <cellStyle name="Separador de milhares 3 2 3 3 7 6 2" xfId="38052" xr:uid="{00000000-0005-0000-0000-0000EB590000}"/>
    <cellStyle name="Separador de milhares 3 2 3 3 7 7" xfId="29970" xr:uid="{00000000-0005-0000-0000-0000EC590000}"/>
    <cellStyle name="Separador de milhares 3 2 3 3 8" xfId="3194" xr:uid="{00000000-0005-0000-0000-0000ED590000}"/>
    <cellStyle name="Separador de milhares 3 2 3 3 8 2" xfId="7318" xr:uid="{00000000-0005-0000-0000-0000EE590000}"/>
    <cellStyle name="Separador de milhares 3 2 3 3 8 2 2" xfId="10462" xr:uid="{00000000-0005-0000-0000-0000EF590000}"/>
    <cellStyle name="Separador de milhares 3 2 3 3 8 2 2 2" xfId="28676" xr:uid="{00000000-0005-0000-0000-0000F0590000}"/>
    <cellStyle name="Separador de milhares 3 2 3 3 8 2 2 2 2" xfId="54857" xr:uid="{00000000-0005-0000-0000-0000F1590000}"/>
    <cellStyle name="Separador de milhares 3 2 3 3 8 2 2 3" xfId="22762" xr:uid="{00000000-0005-0000-0000-0000F2590000}"/>
    <cellStyle name="Separador de milhares 3 2 3 3 8 2 2 3 2" xfId="48949" xr:uid="{00000000-0005-0000-0000-0000F3590000}"/>
    <cellStyle name="Separador de milhares 3 2 3 3 8 2 2 4" xfId="16848" xr:uid="{00000000-0005-0000-0000-0000F4590000}"/>
    <cellStyle name="Separador de milhares 3 2 3 3 8 2 2 4 2" xfId="43041" xr:uid="{00000000-0005-0000-0000-0000F5590000}"/>
    <cellStyle name="Separador de milhares 3 2 3 3 8 2 2 5" xfId="36655" xr:uid="{00000000-0005-0000-0000-0000F6590000}"/>
    <cellStyle name="Separador de milhares 3 2 3 3 8 2 3" xfId="25719" xr:uid="{00000000-0005-0000-0000-0000F7590000}"/>
    <cellStyle name="Separador de milhares 3 2 3 3 8 2 3 2" xfId="51903" xr:uid="{00000000-0005-0000-0000-0000F8590000}"/>
    <cellStyle name="Separador de milhares 3 2 3 3 8 2 4" xfId="19805" xr:uid="{00000000-0005-0000-0000-0000F9590000}"/>
    <cellStyle name="Separador de milhares 3 2 3 3 8 2 4 2" xfId="45995" xr:uid="{00000000-0005-0000-0000-0000FA590000}"/>
    <cellStyle name="Separador de milhares 3 2 3 3 8 2 5" xfId="13707" xr:uid="{00000000-0005-0000-0000-0000FB590000}"/>
    <cellStyle name="Separador de milhares 3 2 3 3 8 2 5 2" xfId="39900" xr:uid="{00000000-0005-0000-0000-0000FC590000}"/>
    <cellStyle name="Separador de milhares 3 2 3 3 8 2 6" xfId="33514" xr:uid="{00000000-0005-0000-0000-0000FD590000}"/>
    <cellStyle name="Separador de milhares 3 2 3 3 8 3" xfId="8994" xr:uid="{00000000-0005-0000-0000-0000FE590000}"/>
    <cellStyle name="Separador de milhares 3 2 3 3 8 3 2" xfId="27208" xr:uid="{00000000-0005-0000-0000-0000FF590000}"/>
    <cellStyle name="Separador de milhares 3 2 3 3 8 3 2 2" xfId="53389" xr:uid="{00000000-0005-0000-0000-0000005A0000}"/>
    <cellStyle name="Separador de milhares 3 2 3 3 8 3 3" xfId="21294" xr:uid="{00000000-0005-0000-0000-0000015A0000}"/>
    <cellStyle name="Separador de milhares 3 2 3 3 8 3 3 2" xfId="47481" xr:uid="{00000000-0005-0000-0000-0000025A0000}"/>
    <cellStyle name="Separador de milhares 3 2 3 3 8 3 4" xfId="15380" xr:uid="{00000000-0005-0000-0000-0000035A0000}"/>
    <cellStyle name="Separador de milhares 3 2 3 3 8 3 4 2" xfId="41573" xr:uid="{00000000-0005-0000-0000-0000045A0000}"/>
    <cellStyle name="Separador de milhares 3 2 3 3 8 3 5" xfId="35187" xr:uid="{00000000-0005-0000-0000-0000055A0000}"/>
    <cellStyle name="Separador de milhares 3 2 3 3 8 4" xfId="5619" xr:uid="{00000000-0005-0000-0000-0000065A0000}"/>
    <cellStyle name="Separador de milhares 3 2 3 3 8 4 2" xfId="24251" xr:uid="{00000000-0005-0000-0000-0000075A0000}"/>
    <cellStyle name="Separador de milhares 3 2 3 3 8 4 2 2" xfId="50435" xr:uid="{00000000-0005-0000-0000-0000085A0000}"/>
    <cellStyle name="Separador de milhares 3 2 3 3 8 4 3" xfId="31815" xr:uid="{00000000-0005-0000-0000-0000095A0000}"/>
    <cellStyle name="Separador de milhares 3 2 3 3 8 5" xfId="18337" xr:uid="{00000000-0005-0000-0000-00000A5A0000}"/>
    <cellStyle name="Separador de milhares 3 2 3 3 8 5 2" xfId="44527" xr:uid="{00000000-0005-0000-0000-00000B5A0000}"/>
    <cellStyle name="Separador de milhares 3 2 3 3 8 6" xfId="12006" xr:uid="{00000000-0005-0000-0000-00000C5A0000}"/>
    <cellStyle name="Separador de milhares 3 2 3 3 8 6 2" xfId="38199" xr:uid="{00000000-0005-0000-0000-00000D5A0000}"/>
    <cellStyle name="Separador de milhares 3 2 3 3 8 7" xfId="30117" xr:uid="{00000000-0005-0000-0000-00000E5A0000}"/>
    <cellStyle name="Separador de milhares 3 2 3 3 9" xfId="3721" xr:uid="{00000000-0005-0000-0000-00000F5A0000}"/>
    <cellStyle name="Separador de milhares 3 2 3 3 9 2" xfId="7465" xr:uid="{00000000-0005-0000-0000-0000105A0000}"/>
    <cellStyle name="Separador de milhares 3 2 3 3 9 2 2" xfId="10609" xr:uid="{00000000-0005-0000-0000-0000115A0000}"/>
    <cellStyle name="Separador de milhares 3 2 3 3 9 2 2 2" xfId="28823" xr:uid="{00000000-0005-0000-0000-0000125A0000}"/>
    <cellStyle name="Separador de milhares 3 2 3 3 9 2 2 2 2" xfId="55004" xr:uid="{00000000-0005-0000-0000-0000135A0000}"/>
    <cellStyle name="Separador de milhares 3 2 3 3 9 2 2 3" xfId="22909" xr:uid="{00000000-0005-0000-0000-0000145A0000}"/>
    <cellStyle name="Separador de milhares 3 2 3 3 9 2 2 3 2" xfId="49096" xr:uid="{00000000-0005-0000-0000-0000155A0000}"/>
    <cellStyle name="Separador de milhares 3 2 3 3 9 2 2 4" xfId="16995" xr:uid="{00000000-0005-0000-0000-0000165A0000}"/>
    <cellStyle name="Separador de milhares 3 2 3 3 9 2 2 4 2" xfId="43188" xr:uid="{00000000-0005-0000-0000-0000175A0000}"/>
    <cellStyle name="Separador de milhares 3 2 3 3 9 2 2 5" xfId="36802" xr:uid="{00000000-0005-0000-0000-0000185A0000}"/>
    <cellStyle name="Separador de milhares 3 2 3 3 9 2 3" xfId="25866" xr:uid="{00000000-0005-0000-0000-0000195A0000}"/>
    <cellStyle name="Separador de milhares 3 2 3 3 9 2 3 2" xfId="52050" xr:uid="{00000000-0005-0000-0000-00001A5A0000}"/>
    <cellStyle name="Separador de milhares 3 2 3 3 9 2 4" xfId="19952" xr:uid="{00000000-0005-0000-0000-00001B5A0000}"/>
    <cellStyle name="Separador de milhares 3 2 3 3 9 2 4 2" xfId="46142" xr:uid="{00000000-0005-0000-0000-00001C5A0000}"/>
    <cellStyle name="Separador de milhares 3 2 3 3 9 2 5" xfId="13854" xr:uid="{00000000-0005-0000-0000-00001D5A0000}"/>
    <cellStyle name="Separador de milhares 3 2 3 3 9 2 5 2" xfId="40047" xr:uid="{00000000-0005-0000-0000-00001E5A0000}"/>
    <cellStyle name="Separador de milhares 3 2 3 3 9 2 6" xfId="33661" xr:uid="{00000000-0005-0000-0000-00001F5A0000}"/>
    <cellStyle name="Separador de milhares 3 2 3 3 9 3" xfId="9141" xr:uid="{00000000-0005-0000-0000-0000205A0000}"/>
    <cellStyle name="Separador de milhares 3 2 3 3 9 3 2" xfId="27355" xr:uid="{00000000-0005-0000-0000-0000215A0000}"/>
    <cellStyle name="Separador de milhares 3 2 3 3 9 3 2 2" xfId="53536" xr:uid="{00000000-0005-0000-0000-0000225A0000}"/>
    <cellStyle name="Separador de milhares 3 2 3 3 9 3 3" xfId="21441" xr:uid="{00000000-0005-0000-0000-0000235A0000}"/>
    <cellStyle name="Separador de milhares 3 2 3 3 9 3 3 2" xfId="47628" xr:uid="{00000000-0005-0000-0000-0000245A0000}"/>
    <cellStyle name="Separador de milhares 3 2 3 3 9 3 4" xfId="15527" xr:uid="{00000000-0005-0000-0000-0000255A0000}"/>
    <cellStyle name="Separador de milhares 3 2 3 3 9 3 4 2" xfId="41720" xr:uid="{00000000-0005-0000-0000-0000265A0000}"/>
    <cellStyle name="Separador de milhares 3 2 3 3 9 3 5" xfId="35334" xr:uid="{00000000-0005-0000-0000-0000275A0000}"/>
    <cellStyle name="Separador de milhares 3 2 3 3 9 4" xfId="5766" xr:uid="{00000000-0005-0000-0000-0000285A0000}"/>
    <cellStyle name="Separador de milhares 3 2 3 3 9 4 2" xfId="24398" xr:uid="{00000000-0005-0000-0000-0000295A0000}"/>
    <cellStyle name="Separador de milhares 3 2 3 3 9 4 2 2" xfId="50582" xr:uid="{00000000-0005-0000-0000-00002A5A0000}"/>
    <cellStyle name="Separador de milhares 3 2 3 3 9 4 3" xfId="31962" xr:uid="{00000000-0005-0000-0000-00002B5A0000}"/>
    <cellStyle name="Separador de milhares 3 2 3 3 9 5" xfId="18484" xr:uid="{00000000-0005-0000-0000-00002C5A0000}"/>
    <cellStyle name="Separador de milhares 3 2 3 3 9 5 2" xfId="44674" xr:uid="{00000000-0005-0000-0000-00002D5A0000}"/>
    <cellStyle name="Separador de milhares 3 2 3 3 9 6" xfId="12153" xr:uid="{00000000-0005-0000-0000-00002E5A0000}"/>
    <cellStyle name="Separador de milhares 3 2 3 3 9 6 2" xfId="38346" xr:uid="{00000000-0005-0000-0000-00002F5A0000}"/>
    <cellStyle name="Separador de milhares 3 2 3 3 9 7" xfId="30264" xr:uid="{00000000-0005-0000-0000-0000305A0000}"/>
    <cellStyle name="Separador de milhares 3 2 3 4" xfId="357" xr:uid="{00000000-0005-0000-0000-0000315A0000}"/>
    <cellStyle name="Separador de milhares 3 2 3 4 10" xfId="6512" xr:uid="{00000000-0005-0000-0000-0000325A0000}"/>
    <cellStyle name="Separador de milhares 3 2 3 4 10 2" xfId="9660" xr:uid="{00000000-0005-0000-0000-0000335A0000}"/>
    <cellStyle name="Separador de milhares 3 2 3 4 10 2 2" xfId="27874" xr:uid="{00000000-0005-0000-0000-0000345A0000}"/>
    <cellStyle name="Separador de milhares 3 2 3 4 10 2 2 2" xfId="54055" xr:uid="{00000000-0005-0000-0000-0000355A0000}"/>
    <cellStyle name="Separador de milhares 3 2 3 4 10 2 3" xfId="21960" xr:uid="{00000000-0005-0000-0000-0000365A0000}"/>
    <cellStyle name="Separador de milhares 3 2 3 4 10 2 3 2" xfId="48147" xr:uid="{00000000-0005-0000-0000-0000375A0000}"/>
    <cellStyle name="Separador de milhares 3 2 3 4 10 2 4" xfId="16046" xr:uid="{00000000-0005-0000-0000-0000385A0000}"/>
    <cellStyle name="Separador de milhares 3 2 3 4 10 2 4 2" xfId="42239" xr:uid="{00000000-0005-0000-0000-0000395A0000}"/>
    <cellStyle name="Separador de milhares 3 2 3 4 10 2 5" xfId="35853" xr:uid="{00000000-0005-0000-0000-00003A5A0000}"/>
    <cellStyle name="Separador de milhares 3 2 3 4 10 3" xfId="24917" xr:uid="{00000000-0005-0000-0000-00003B5A0000}"/>
    <cellStyle name="Separador de milhares 3 2 3 4 10 3 2" xfId="51101" xr:uid="{00000000-0005-0000-0000-00003C5A0000}"/>
    <cellStyle name="Separador de milhares 3 2 3 4 10 4" xfId="19003" xr:uid="{00000000-0005-0000-0000-00003D5A0000}"/>
    <cellStyle name="Separador de milhares 3 2 3 4 10 4 2" xfId="45193" xr:uid="{00000000-0005-0000-0000-00003E5A0000}"/>
    <cellStyle name="Separador de milhares 3 2 3 4 10 5" xfId="12901" xr:uid="{00000000-0005-0000-0000-00003F5A0000}"/>
    <cellStyle name="Separador de milhares 3 2 3 4 10 5 2" xfId="39094" xr:uid="{00000000-0005-0000-0000-0000405A0000}"/>
    <cellStyle name="Separador de milhares 3 2 3 4 10 6" xfId="32708" xr:uid="{00000000-0005-0000-0000-0000415A0000}"/>
    <cellStyle name="Separador de milhares 3 2 3 4 11" xfId="8189" xr:uid="{00000000-0005-0000-0000-0000425A0000}"/>
    <cellStyle name="Separador de milhares 3 2 3 4 11 2" xfId="26403" xr:uid="{00000000-0005-0000-0000-0000435A0000}"/>
    <cellStyle name="Separador de milhares 3 2 3 4 11 2 2" xfId="52587" xr:uid="{00000000-0005-0000-0000-0000445A0000}"/>
    <cellStyle name="Separador de milhares 3 2 3 4 11 3" xfId="20489" xr:uid="{00000000-0005-0000-0000-0000455A0000}"/>
    <cellStyle name="Separador de milhares 3 2 3 4 11 3 2" xfId="46679" xr:uid="{00000000-0005-0000-0000-0000465A0000}"/>
    <cellStyle name="Separador de milhares 3 2 3 4 11 4" xfId="14578" xr:uid="{00000000-0005-0000-0000-0000475A0000}"/>
    <cellStyle name="Separador de milhares 3 2 3 4 11 4 2" xfId="40771" xr:uid="{00000000-0005-0000-0000-0000485A0000}"/>
    <cellStyle name="Separador de milhares 3 2 3 4 11 5" xfId="34385" xr:uid="{00000000-0005-0000-0000-0000495A0000}"/>
    <cellStyle name="Separador de milhares 3 2 3 4 12" xfId="4811" xr:uid="{00000000-0005-0000-0000-00004A5A0000}"/>
    <cellStyle name="Separador de milhares 3 2 3 4 12 2" xfId="23446" xr:uid="{00000000-0005-0000-0000-00004B5A0000}"/>
    <cellStyle name="Separador de milhares 3 2 3 4 12 2 2" xfId="49633" xr:uid="{00000000-0005-0000-0000-00004C5A0000}"/>
    <cellStyle name="Separador de milhares 3 2 3 4 12 3" xfId="31009" xr:uid="{00000000-0005-0000-0000-00004D5A0000}"/>
    <cellStyle name="Separador de milhares 3 2 3 4 13" xfId="17532" xr:uid="{00000000-0005-0000-0000-00004E5A0000}"/>
    <cellStyle name="Separador de milhares 3 2 3 4 13 2" xfId="43725" xr:uid="{00000000-0005-0000-0000-00004F5A0000}"/>
    <cellStyle name="Separador de milhares 3 2 3 4 14" xfId="11200" xr:uid="{00000000-0005-0000-0000-0000505A0000}"/>
    <cellStyle name="Separador de milhares 3 2 3 4 14 2" xfId="37393" xr:uid="{00000000-0005-0000-0000-0000515A0000}"/>
    <cellStyle name="Separador de milhares 3 2 3 4 15" xfId="29311" xr:uid="{00000000-0005-0000-0000-0000525A0000}"/>
    <cellStyle name="Separador de milhares 3 2 3 4 2" xfId="1002" xr:uid="{00000000-0005-0000-0000-0000535A0000}"/>
    <cellStyle name="Separador de milhares 3 2 3 4 2 2" xfId="6709" xr:uid="{00000000-0005-0000-0000-0000545A0000}"/>
    <cellStyle name="Separador de milhares 3 2 3 4 2 2 2" xfId="9856" xr:uid="{00000000-0005-0000-0000-0000555A0000}"/>
    <cellStyle name="Separador de milhares 3 2 3 4 2 2 2 2" xfId="28070" xr:uid="{00000000-0005-0000-0000-0000565A0000}"/>
    <cellStyle name="Separador de milhares 3 2 3 4 2 2 2 2 2" xfId="54251" xr:uid="{00000000-0005-0000-0000-0000575A0000}"/>
    <cellStyle name="Separador de milhares 3 2 3 4 2 2 2 3" xfId="22156" xr:uid="{00000000-0005-0000-0000-0000585A0000}"/>
    <cellStyle name="Separador de milhares 3 2 3 4 2 2 2 3 2" xfId="48343" xr:uid="{00000000-0005-0000-0000-0000595A0000}"/>
    <cellStyle name="Separador de milhares 3 2 3 4 2 2 2 4" xfId="16242" xr:uid="{00000000-0005-0000-0000-00005A5A0000}"/>
    <cellStyle name="Separador de milhares 3 2 3 4 2 2 2 4 2" xfId="42435" xr:uid="{00000000-0005-0000-0000-00005B5A0000}"/>
    <cellStyle name="Separador de milhares 3 2 3 4 2 2 2 5" xfId="36049" xr:uid="{00000000-0005-0000-0000-00005C5A0000}"/>
    <cellStyle name="Separador de milhares 3 2 3 4 2 2 3" xfId="25113" xr:uid="{00000000-0005-0000-0000-00005D5A0000}"/>
    <cellStyle name="Separador de milhares 3 2 3 4 2 2 3 2" xfId="51297" xr:uid="{00000000-0005-0000-0000-00005E5A0000}"/>
    <cellStyle name="Separador de milhares 3 2 3 4 2 2 4" xfId="19199" xr:uid="{00000000-0005-0000-0000-00005F5A0000}"/>
    <cellStyle name="Separador de milhares 3 2 3 4 2 2 4 2" xfId="45389" xr:uid="{00000000-0005-0000-0000-0000605A0000}"/>
    <cellStyle name="Separador de milhares 3 2 3 4 2 2 5" xfId="13098" xr:uid="{00000000-0005-0000-0000-0000615A0000}"/>
    <cellStyle name="Separador de milhares 3 2 3 4 2 2 5 2" xfId="39291" xr:uid="{00000000-0005-0000-0000-0000625A0000}"/>
    <cellStyle name="Separador de milhares 3 2 3 4 2 2 6" xfId="32905" xr:uid="{00000000-0005-0000-0000-0000635A0000}"/>
    <cellStyle name="Separador de milhares 3 2 3 4 2 3" xfId="8388" xr:uid="{00000000-0005-0000-0000-0000645A0000}"/>
    <cellStyle name="Separador de milhares 3 2 3 4 2 3 2" xfId="26602" xr:uid="{00000000-0005-0000-0000-0000655A0000}"/>
    <cellStyle name="Separador de milhares 3 2 3 4 2 3 2 2" xfId="52783" xr:uid="{00000000-0005-0000-0000-0000665A0000}"/>
    <cellStyle name="Separador de milhares 3 2 3 4 2 3 3" xfId="20688" xr:uid="{00000000-0005-0000-0000-0000675A0000}"/>
    <cellStyle name="Separador de milhares 3 2 3 4 2 3 3 2" xfId="46875" xr:uid="{00000000-0005-0000-0000-0000685A0000}"/>
    <cellStyle name="Separador de milhares 3 2 3 4 2 3 4" xfId="14774" xr:uid="{00000000-0005-0000-0000-0000695A0000}"/>
    <cellStyle name="Separador de milhares 3 2 3 4 2 3 4 2" xfId="40967" xr:uid="{00000000-0005-0000-0000-00006A5A0000}"/>
    <cellStyle name="Separador de milhares 3 2 3 4 2 3 5" xfId="34581" xr:uid="{00000000-0005-0000-0000-00006B5A0000}"/>
    <cellStyle name="Separador de milhares 3 2 3 4 2 4" xfId="5010" xr:uid="{00000000-0005-0000-0000-00006C5A0000}"/>
    <cellStyle name="Separador de milhares 3 2 3 4 2 4 2" xfId="23645" xr:uid="{00000000-0005-0000-0000-00006D5A0000}"/>
    <cellStyle name="Separador de milhares 3 2 3 4 2 4 2 2" xfId="49829" xr:uid="{00000000-0005-0000-0000-00006E5A0000}"/>
    <cellStyle name="Separador de milhares 3 2 3 4 2 4 3" xfId="31206" xr:uid="{00000000-0005-0000-0000-00006F5A0000}"/>
    <cellStyle name="Separador de milhares 3 2 3 4 2 5" xfId="17731" xr:uid="{00000000-0005-0000-0000-0000705A0000}"/>
    <cellStyle name="Separador de milhares 3 2 3 4 2 5 2" xfId="43921" xr:uid="{00000000-0005-0000-0000-0000715A0000}"/>
    <cellStyle name="Separador de milhares 3 2 3 4 2 6" xfId="11397" xr:uid="{00000000-0005-0000-0000-0000725A0000}"/>
    <cellStyle name="Separador de milhares 3 2 3 4 2 6 2" xfId="37590" xr:uid="{00000000-0005-0000-0000-0000735A0000}"/>
    <cellStyle name="Separador de milhares 3 2 3 4 2 7" xfId="29508" xr:uid="{00000000-0005-0000-0000-0000745A0000}"/>
    <cellStyle name="Separador de milhares 3 2 3 4 3" xfId="1353" xr:uid="{00000000-0005-0000-0000-0000755A0000}"/>
    <cellStyle name="Separador de milhares 3 2 3 4 3 2" xfId="6807" xr:uid="{00000000-0005-0000-0000-0000765A0000}"/>
    <cellStyle name="Separador de milhares 3 2 3 4 3 2 2" xfId="9954" xr:uid="{00000000-0005-0000-0000-0000775A0000}"/>
    <cellStyle name="Separador de milhares 3 2 3 4 3 2 2 2" xfId="28168" xr:uid="{00000000-0005-0000-0000-0000785A0000}"/>
    <cellStyle name="Separador de milhares 3 2 3 4 3 2 2 2 2" xfId="54349" xr:uid="{00000000-0005-0000-0000-0000795A0000}"/>
    <cellStyle name="Separador de milhares 3 2 3 4 3 2 2 3" xfId="22254" xr:uid="{00000000-0005-0000-0000-00007A5A0000}"/>
    <cellStyle name="Separador de milhares 3 2 3 4 3 2 2 3 2" xfId="48441" xr:uid="{00000000-0005-0000-0000-00007B5A0000}"/>
    <cellStyle name="Separador de milhares 3 2 3 4 3 2 2 4" xfId="16340" xr:uid="{00000000-0005-0000-0000-00007C5A0000}"/>
    <cellStyle name="Separador de milhares 3 2 3 4 3 2 2 4 2" xfId="42533" xr:uid="{00000000-0005-0000-0000-00007D5A0000}"/>
    <cellStyle name="Separador de milhares 3 2 3 4 3 2 2 5" xfId="36147" xr:uid="{00000000-0005-0000-0000-00007E5A0000}"/>
    <cellStyle name="Separador de milhares 3 2 3 4 3 2 3" xfId="25211" xr:uid="{00000000-0005-0000-0000-00007F5A0000}"/>
    <cellStyle name="Separador de milhares 3 2 3 4 3 2 3 2" xfId="51395" xr:uid="{00000000-0005-0000-0000-0000805A0000}"/>
    <cellStyle name="Separador de milhares 3 2 3 4 3 2 4" xfId="19297" xr:uid="{00000000-0005-0000-0000-0000815A0000}"/>
    <cellStyle name="Separador de milhares 3 2 3 4 3 2 4 2" xfId="45487" xr:uid="{00000000-0005-0000-0000-0000825A0000}"/>
    <cellStyle name="Separador de milhares 3 2 3 4 3 2 5" xfId="13196" xr:uid="{00000000-0005-0000-0000-0000835A0000}"/>
    <cellStyle name="Separador de milhares 3 2 3 4 3 2 5 2" xfId="39389" xr:uid="{00000000-0005-0000-0000-0000845A0000}"/>
    <cellStyle name="Separador de milhares 3 2 3 4 3 2 6" xfId="33003" xr:uid="{00000000-0005-0000-0000-0000855A0000}"/>
    <cellStyle name="Separador de milhares 3 2 3 4 3 3" xfId="8486" xr:uid="{00000000-0005-0000-0000-0000865A0000}"/>
    <cellStyle name="Separador de milhares 3 2 3 4 3 3 2" xfId="26700" xr:uid="{00000000-0005-0000-0000-0000875A0000}"/>
    <cellStyle name="Separador de milhares 3 2 3 4 3 3 2 2" xfId="52881" xr:uid="{00000000-0005-0000-0000-0000885A0000}"/>
    <cellStyle name="Separador de milhares 3 2 3 4 3 3 3" xfId="20786" xr:uid="{00000000-0005-0000-0000-0000895A0000}"/>
    <cellStyle name="Separador de milhares 3 2 3 4 3 3 3 2" xfId="46973" xr:uid="{00000000-0005-0000-0000-00008A5A0000}"/>
    <cellStyle name="Separador de milhares 3 2 3 4 3 3 4" xfId="14872" xr:uid="{00000000-0005-0000-0000-00008B5A0000}"/>
    <cellStyle name="Separador de milhares 3 2 3 4 3 3 4 2" xfId="41065" xr:uid="{00000000-0005-0000-0000-00008C5A0000}"/>
    <cellStyle name="Separador de milhares 3 2 3 4 3 3 5" xfId="34679" xr:uid="{00000000-0005-0000-0000-00008D5A0000}"/>
    <cellStyle name="Separador de milhares 3 2 3 4 3 4" xfId="5108" xr:uid="{00000000-0005-0000-0000-00008E5A0000}"/>
    <cellStyle name="Separador de milhares 3 2 3 4 3 4 2" xfId="23743" xr:uid="{00000000-0005-0000-0000-00008F5A0000}"/>
    <cellStyle name="Separador de milhares 3 2 3 4 3 4 2 2" xfId="49927" xr:uid="{00000000-0005-0000-0000-0000905A0000}"/>
    <cellStyle name="Separador de milhares 3 2 3 4 3 4 3" xfId="31304" xr:uid="{00000000-0005-0000-0000-0000915A0000}"/>
    <cellStyle name="Separador de milhares 3 2 3 4 3 5" xfId="17829" xr:uid="{00000000-0005-0000-0000-0000925A0000}"/>
    <cellStyle name="Separador de milhares 3 2 3 4 3 5 2" xfId="44019" xr:uid="{00000000-0005-0000-0000-0000935A0000}"/>
    <cellStyle name="Separador de milhares 3 2 3 4 3 6" xfId="11495" xr:uid="{00000000-0005-0000-0000-0000945A0000}"/>
    <cellStyle name="Separador de milhares 3 2 3 4 3 6 2" xfId="37688" xr:uid="{00000000-0005-0000-0000-0000955A0000}"/>
    <cellStyle name="Separador de milhares 3 2 3 4 3 7" xfId="29606" xr:uid="{00000000-0005-0000-0000-0000965A0000}"/>
    <cellStyle name="Separador de milhares 3 2 3 4 4" xfId="1788" xr:uid="{00000000-0005-0000-0000-0000975A0000}"/>
    <cellStyle name="Separador de milhares 3 2 3 4 4 2" xfId="6926" xr:uid="{00000000-0005-0000-0000-0000985A0000}"/>
    <cellStyle name="Separador de milhares 3 2 3 4 4 2 2" xfId="10073" xr:uid="{00000000-0005-0000-0000-0000995A0000}"/>
    <cellStyle name="Separador de milhares 3 2 3 4 4 2 2 2" xfId="28287" xr:uid="{00000000-0005-0000-0000-00009A5A0000}"/>
    <cellStyle name="Separador de milhares 3 2 3 4 4 2 2 2 2" xfId="54468" xr:uid="{00000000-0005-0000-0000-00009B5A0000}"/>
    <cellStyle name="Separador de milhares 3 2 3 4 4 2 2 3" xfId="22373" xr:uid="{00000000-0005-0000-0000-00009C5A0000}"/>
    <cellStyle name="Separador de milhares 3 2 3 4 4 2 2 3 2" xfId="48560" xr:uid="{00000000-0005-0000-0000-00009D5A0000}"/>
    <cellStyle name="Separador de milhares 3 2 3 4 4 2 2 4" xfId="16459" xr:uid="{00000000-0005-0000-0000-00009E5A0000}"/>
    <cellStyle name="Separador de milhares 3 2 3 4 4 2 2 4 2" xfId="42652" xr:uid="{00000000-0005-0000-0000-00009F5A0000}"/>
    <cellStyle name="Separador de milhares 3 2 3 4 4 2 2 5" xfId="36266" xr:uid="{00000000-0005-0000-0000-0000A05A0000}"/>
    <cellStyle name="Separador de milhares 3 2 3 4 4 2 3" xfId="25330" xr:uid="{00000000-0005-0000-0000-0000A15A0000}"/>
    <cellStyle name="Separador de milhares 3 2 3 4 4 2 3 2" xfId="51514" xr:uid="{00000000-0005-0000-0000-0000A25A0000}"/>
    <cellStyle name="Separador de milhares 3 2 3 4 4 2 4" xfId="19416" xr:uid="{00000000-0005-0000-0000-0000A35A0000}"/>
    <cellStyle name="Separador de milhares 3 2 3 4 4 2 4 2" xfId="45606" xr:uid="{00000000-0005-0000-0000-0000A45A0000}"/>
    <cellStyle name="Separador de milhares 3 2 3 4 4 2 5" xfId="13315" xr:uid="{00000000-0005-0000-0000-0000A55A0000}"/>
    <cellStyle name="Separador de milhares 3 2 3 4 4 2 5 2" xfId="39508" xr:uid="{00000000-0005-0000-0000-0000A65A0000}"/>
    <cellStyle name="Separador de milhares 3 2 3 4 4 2 6" xfId="33122" xr:uid="{00000000-0005-0000-0000-0000A75A0000}"/>
    <cellStyle name="Separador de milhares 3 2 3 4 4 3" xfId="8605" xr:uid="{00000000-0005-0000-0000-0000A85A0000}"/>
    <cellStyle name="Separador de milhares 3 2 3 4 4 3 2" xfId="26819" xr:uid="{00000000-0005-0000-0000-0000A95A0000}"/>
    <cellStyle name="Separador de milhares 3 2 3 4 4 3 2 2" xfId="53000" xr:uid="{00000000-0005-0000-0000-0000AA5A0000}"/>
    <cellStyle name="Separador de milhares 3 2 3 4 4 3 3" xfId="20905" xr:uid="{00000000-0005-0000-0000-0000AB5A0000}"/>
    <cellStyle name="Separador de milhares 3 2 3 4 4 3 3 2" xfId="47092" xr:uid="{00000000-0005-0000-0000-0000AC5A0000}"/>
    <cellStyle name="Separador de milhares 3 2 3 4 4 3 4" xfId="14991" xr:uid="{00000000-0005-0000-0000-0000AD5A0000}"/>
    <cellStyle name="Separador de milhares 3 2 3 4 4 3 4 2" xfId="41184" xr:uid="{00000000-0005-0000-0000-0000AE5A0000}"/>
    <cellStyle name="Separador de milhares 3 2 3 4 4 3 5" xfId="34798" xr:uid="{00000000-0005-0000-0000-0000AF5A0000}"/>
    <cellStyle name="Separador de milhares 3 2 3 4 4 4" xfId="5227" xr:uid="{00000000-0005-0000-0000-0000B05A0000}"/>
    <cellStyle name="Separador de milhares 3 2 3 4 4 4 2" xfId="23862" xr:uid="{00000000-0005-0000-0000-0000B15A0000}"/>
    <cellStyle name="Separador de milhares 3 2 3 4 4 4 2 2" xfId="50046" xr:uid="{00000000-0005-0000-0000-0000B25A0000}"/>
    <cellStyle name="Separador de milhares 3 2 3 4 4 4 3" xfId="31423" xr:uid="{00000000-0005-0000-0000-0000B35A0000}"/>
    <cellStyle name="Separador de milhares 3 2 3 4 4 5" xfId="17948" xr:uid="{00000000-0005-0000-0000-0000B45A0000}"/>
    <cellStyle name="Separador de milhares 3 2 3 4 4 5 2" xfId="44138" xr:uid="{00000000-0005-0000-0000-0000B55A0000}"/>
    <cellStyle name="Separador de milhares 3 2 3 4 4 6" xfId="11614" xr:uid="{00000000-0005-0000-0000-0000B65A0000}"/>
    <cellStyle name="Separador de milhares 3 2 3 4 4 6 2" xfId="37807" xr:uid="{00000000-0005-0000-0000-0000B75A0000}"/>
    <cellStyle name="Separador de milhares 3 2 3 4 4 7" xfId="29725" xr:uid="{00000000-0005-0000-0000-0000B85A0000}"/>
    <cellStyle name="Separador de milhares 3 2 3 4 5" xfId="2318" xr:uid="{00000000-0005-0000-0000-0000B95A0000}"/>
    <cellStyle name="Separador de milhares 3 2 3 4 5 2" xfId="7076" xr:uid="{00000000-0005-0000-0000-0000BA5A0000}"/>
    <cellStyle name="Separador de milhares 3 2 3 4 5 2 2" xfId="10220" xr:uid="{00000000-0005-0000-0000-0000BB5A0000}"/>
    <cellStyle name="Separador de milhares 3 2 3 4 5 2 2 2" xfId="28434" xr:uid="{00000000-0005-0000-0000-0000BC5A0000}"/>
    <cellStyle name="Separador de milhares 3 2 3 4 5 2 2 2 2" xfId="54615" xr:uid="{00000000-0005-0000-0000-0000BD5A0000}"/>
    <cellStyle name="Separador de milhares 3 2 3 4 5 2 2 3" xfId="22520" xr:uid="{00000000-0005-0000-0000-0000BE5A0000}"/>
    <cellStyle name="Separador de milhares 3 2 3 4 5 2 2 3 2" xfId="48707" xr:uid="{00000000-0005-0000-0000-0000BF5A0000}"/>
    <cellStyle name="Separador de milhares 3 2 3 4 5 2 2 4" xfId="16606" xr:uid="{00000000-0005-0000-0000-0000C05A0000}"/>
    <cellStyle name="Separador de milhares 3 2 3 4 5 2 2 4 2" xfId="42799" xr:uid="{00000000-0005-0000-0000-0000C15A0000}"/>
    <cellStyle name="Separador de milhares 3 2 3 4 5 2 2 5" xfId="36413" xr:uid="{00000000-0005-0000-0000-0000C25A0000}"/>
    <cellStyle name="Separador de milhares 3 2 3 4 5 2 3" xfId="25477" xr:uid="{00000000-0005-0000-0000-0000C35A0000}"/>
    <cellStyle name="Separador de milhares 3 2 3 4 5 2 3 2" xfId="51661" xr:uid="{00000000-0005-0000-0000-0000C45A0000}"/>
    <cellStyle name="Separador de milhares 3 2 3 4 5 2 4" xfId="19563" xr:uid="{00000000-0005-0000-0000-0000C55A0000}"/>
    <cellStyle name="Separador de milhares 3 2 3 4 5 2 4 2" xfId="45753" xr:uid="{00000000-0005-0000-0000-0000C65A0000}"/>
    <cellStyle name="Separador de milhares 3 2 3 4 5 2 5" xfId="13465" xr:uid="{00000000-0005-0000-0000-0000C75A0000}"/>
    <cellStyle name="Separador de milhares 3 2 3 4 5 2 5 2" xfId="39658" xr:uid="{00000000-0005-0000-0000-0000C85A0000}"/>
    <cellStyle name="Separador de milhares 3 2 3 4 5 2 6" xfId="33272" xr:uid="{00000000-0005-0000-0000-0000C95A0000}"/>
    <cellStyle name="Separador de milhares 3 2 3 4 5 3" xfId="8752" xr:uid="{00000000-0005-0000-0000-0000CA5A0000}"/>
    <cellStyle name="Separador de milhares 3 2 3 4 5 3 2" xfId="26966" xr:uid="{00000000-0005-0000-0000-0000CB5A0000}"/>
    <cellStyle name="Separador de milhares 3 2 3 4 5 3 2 2" xfId="53147" xr:uid="{00000000-0005-0000-0000-0000CC5A0000}"/>
    <cellStyle name="Separador de milhares 3 2 3 4 5 3 3" xfId="21052" xr:uid="{00000000-0005-0000-0000-0000CD5A0000}"/>
    <cellStyle name="Separador de milhares 3 2 3 4 5 3 3 2" xfId="47239" xr:uid="{00000000-0005-0000-0000-0000CE5A0000}"/>
    <cellStyle name="Separador de milhares 3 2 3 4 5 3 4" xfId="15138" xr:uid="{00000000-0005-0000-0000-0000CF5A0000}"/>
    <cellStyle name="Separador de milhares 3 2 3 4 5 3 4 2" xfId="41331" xr:uid="{00000000-0005-0000-0000-0000D05A0000}"/>
    <cellStyle name="Separador de milhares 3 2 3 4 5 3 5" xfId="34945" xr:uid="{00000000-0005-0000-0000-0000D15A0000}"/>
    <cellStyle name="Separador de milhares 3 2 3 4 5 4" xfId="5377" xr:uid="{00000000-0005-0000-0000-0000D25A0000}"/>
    <cellStyle name="Separador de milhares 3 2 3 4 5 4 2" xfId="24009" xr:uid="{00000000-0005-0000-0000-0000D35A0000}"/>
    <cellStyle name="Separador de milhares 3 2 3 4 5 4 2 2" xfId="50193" xr:uid="{00000000-0005-0000-0000-0000D45A0000}"/>
    <cellStyle name="Separador de milhares 3 2 3 4 5 4 3" xfId="31573" xr:uid="{00000000-0005-0000-0000-0000D55A0000}"/>
    <cellStyle name="Separador de milhares 3 2 3 4 5 5" xfId="18095" xr:uid="{00000000-0005-0000-0000-0000D65A0000}"/>
    <cellStyle name="Separador de milhares 3 2 3 4 5 5 2" xfId="44285" xr:uid="{00000000-0005-0000-0000-0000D75A0000}"/>
    <cellStyle name="Separador de milhares 3 2 3 4 5 6" xfId="11764" xr:uid="{00000000-0005-0000-0000-0000D85A0000}"/>
    <cellStyle name="Separador de milhares 3 2 3 4 5 6 2" xfId="37957" xr:uid="{00000000-0005-0000-0000-0000D95A0000}"/>
    <cellStyle name="Separador de milhares 3 2 3 4 5 7" xfId="29875" xr:uid="{00000000-0005-0000-0000-0000DA5A0000}"/>
    <cellStyle name="Separador de milhares 3 2 3 4 6" xfId="2845" xr:uid="{00000000-0005-0000-0000-0000DB5A0000}"/>
    <cellStyle name="Separador de milhares 3 2 3 4 6 2" xfId="7223" xr:uid="{00000000-0005-0000-0000-0000DC5A0000}"/>
    <cellStyle name="Separador de milhares 3 2 3 4 6 2 2" xfId="10367" xr:uid="{00000000-0005-0000-0000-0000DD5A0000}"/>
    <cellStyle name="Separador de milhares 3 2 3 4 6 2 2 2" xfId="28581" xr:uid="{00000000-0005-0000-0000-0000DE5A0000}"/>
    <cellStyle name="Separador de milhares 3 2 3 4 6 2 2 2 2" xfId="54762" xr:uid="{00000000-0005-0000-0000-0000DF5A0000}"/>
    <cellStyle name="Separador de milhares 3 2 3 4 6 2 2 3" xfId="22667" xr:uid="{00000000-0005-0000-0000-0000E05A0000}"/>
    <cellStyle name="Separador de milhares 3 2 3 4 6 2 2 3 2" xfId="48854" xr:uid="{00000000-0005-0000-0000-0000E15A0000}"/>
    <cellStyle name="Separador de milhares 3 2 3 4 6 2 2 4" xfId="16753" xr:uid="{00000000-0005-0000-0000-0000E25A0000}"/>
    <cellStyle name="Separador de milhares 3 2 3 4 6 2 2 4 2" xfId="42946" xr:uid="{00000000-0005-0000-0000-0000E35A0000}"/>
    <cellStyle name="Separador de milhares 3 2 3 4 6 2 2 5" xfId="36560" xr:uid="{00000000-0005-0000-0000-0000E45A0000}"/>
    <cellStyle name="Separador de milhares 3 2 3 4 6 2 3" xfId="25624" xr:uid="{00000000-0005-0000-0000-0000E55A0000}"/>
    <cellStyle name="Separador de milhares 3 2 3 4 6 2 3 2" xfId="51808" xr:uid="{00000000-0005-0000-0000-0000E65A0000}"/>
    <cellStyle name="Separador de milhares 3 2 3 4 6 2 4" xfId="19710" xr:uid="{00000000-0005-0000-0000-0000E75A0000}"/>
    <cellStyle name="Separador de milhares 3 2 3 4 6 2 4 2" xfId="45900" xr:uid="{00000000-0005-0000-0000-0000E85A0000}"/>
    <cellStyle name="Separador de milhares 3 2 3 4 6 2 5" xfId="13612" xr:uid="{00000000-0005-0000-0000-0000E95A0000}"/>
    <cellStyle name="Separador de milhares 3 2 3 4 6 2 5 2" xfId="39805" xr:uid="{00000000-0005-0000-0000-0000EA5A0000}"/>
    <cellStyle name="Separador de milhares 3 2 3 4 6 2 6" xfId="33419" xr:uid="{00000000-0005-0000-0000-0000EB5A0000}"/>
    <cellStyle name="Separador de milhares 3 2 3 4 6 3" xfId="8899" xr:uid="{00000000-0005-0000-0000-0000EC5A0000}"/>
    <cellStyle name="Separador de milhares 3 2 3 4 6 3 2" xfId="27113" xr:uid="{00000000-0005-0000-0000-0000ED5A0000}"/>
    <cellStyle name="Separador de milhares 3 2 3 4 6 3 2 2" xfId="53294" xr:uid="{00000000-0005-0000-0000-0000EE5A0000}"/>
    <cellStyle name="Separador de milhares 3 2 3 4 6 3 3" xfId="21199" xr:uid="{00000000-0005-0000-0000-0000EF5A0000}"/>
    <cellStyle name="Separador de milhares 3 2 3 4 6 3 3 2" xfId="47386" xr:uid="{00000000-0005-0000-0000-0000F05A0000}"/>
    <cellStyle name="Separador de milhares 3 2 3 4 6 3 4" xfId="15285" xr:uid="{00000000-0005-0000-0000-0000F15A0000}"/>
    <cellStyle name="Separador de milhares 3 2 3 4 6 3 4 2" xfId="41478" xr:uid="{00000000-0005-0000-0000-0000F25A0000}"/>
    <cellStyle name="Separador de milhares 3 2 3 4 6 3 5" xfId="35092" xr:uid="{00000000-0005-0000-0000-0000F35A0000}"/>
    <cellStyle name="Separador de milhares 3 2 3 4 6 4" xfId="5524" xr:uid="{00000000-0005-0000-0000-0000F45A0000}"/>
    <cellStyle name="Separador de milhares 3 2 3 4 6 4 2" xfId="24156" xr:uid="{00000000-0005-0000-0000-0000F55A0000}"/>
    <cellStyle name="Separador de milhares 3 2 3 4 6 4 2 2" xfId="50340" xr:uid="{00000000-0005-0000-0000-0000F65A0000}"/>
    <cellStyle name="Separador de milhares 3 2 3 4 6 4 3" xfId="31720" xr:uid="{00000000-0005-0000-0000-0000F75A0000}"/>
    <cellStyle name="Separador de milhares 3 2 3 4 6 5" xfId="18242" xr:uid="{00000000-0005-0000-0000-0000F85A0000}"/>
    <cellStyle name="Separador de milhares 3 2 3 4 6 5 2" xfId="44432" xr:uid="{00000000-0005-0000-0000-0000F95A0000}"/>
    <cellStyle name="Separador de milhares 3 2 3 4 6 6" xfId="11911" xr:uid="{00000000-0005-0000-0000-0000FA5A0000}"/>
    <cellStyle name="Separador de milhares 3 2 3 4 6 6 2" xfId="38104" xr:uid="{00000000-0005-0000-0000-0000FB5A0000}"/>
    <cellStyle name="Separador de milhares 3 2 3 4 6 7" xfId="30022" xr:uid="{00000000-0005-0000-0000-0000FC5A0000}"/>
    <cellStyle name="Separador de milhares 3 2 3 4 7" xfId="3372" xr:uid="{00000000-0005-0000-0000-0000FD5A0000}"/>
    <cellStyle name="Separador de milhares 3 2 3 4 7 2" xfId="7370" xr:uid="{00000000-0005-0000-0000-0000FE5A0000}"/>
    <cellStyle name="Separador de milhares 3 2 3 4 7 2 2" xfId="10514" xr:uid="{00000000-0005-0000-0000-0000FF5A0000}"/>
    <cellStyle name="Separador de milhares 3 2 3 4 7 2 2 2" xfId="28728" xr:uid="{00000000-0005-0000-0000-0000005B0000}"/>
    <cellStyle name="Separador de milhares 3 2 3 4 7 2 2 2 2" xfId="54909" xr:uid="{00000000-0005-0000-0000-0000015B0000}"/>
    <cellStyle name="Separador de milhares 3 2 3 4 7 2 2 3" xfId="22814" xr:uid="{00000000-0005-0000-0000-0000025B0000}"/>
    <cellStyle name="Separador de milhares 3 2 3 4 7 2 2 3 2" xfId="49001" xr:uid="{00000000-0005-0000-0000-0000035B0000}"/>
    <cellStyle name="Separador de milhares 3 2 3 4 7 2 2 4" xfId="16900" xr:uid="{00000000-0005-0000-0000-0000045B0000}"/>
    <cellStyle name="Separador de milhares 3 2 3 4 7 2 2 4 2" xfId="43093" xr:uid="{00000000-0005-0000-0000-0000055B0000}"/>
    <cellStyle name="Separador de milhares 3 2 3 4 7 2 2 5" xfId="36707" xr:uid="{00000000-0005-0000-0000-0000065B0000}"/>
    <cellStyle name="Separador de milhares 3 2 3 4 7 2 3" xfId="25771" xr:uid="{00000000-0005-0000-0000-0000075B0000}"/>
    <cellStyle name="Separador de milhares 3 2 3 4 7 2 3 2" xfId="51955" xr:uid="{00000000-0005-0000-0000-0000085B0000}"/>
    <cellStyle name="Separador de milhares 3 2 3 4 7 2 4" xfId="19857" xr:uid="{00000000-0005-0000-0000-0000095B0000}"/>
    <cellStyle name="Separador de milhares 3 2 3 4 7 2 4 2" xfId="46047" xr:uid="{00000000-0005-0000-0000-00000A5B0000}"/>
    <cellStyle name="Separador de milhares 3 2 3 4 7 2 5" xfId="13759" xr:uid="{00000000-0005-0000-0000-00000B5B0000}"/>
    <cellStyle name="Separador de milhares 3 2 3 4 7 2 5 2" xfId="39952" xr:uid="{00000000-0005-0000-0000-00000C5B0000}"/>
    <cellStyle name="Separador de milhares 3 2 3 4 7 2 6" xfId="33566" xr:uid="{00000000-0005-0000-0000-00000D5B0000}"/>
    <cellStyle name="Separador de milhares 3 2 3 4 7 3" xfId="9046" xr:uid="{00000000-0005-0000-0000-00000E5B0000}"/>
    <cellStyle name="Separador de milhares 3 2 3 4 7 3 2" xfId="27260" xr:uid="{00000000-0005-0000-0000-00000F5B0000}"/>
    <cellStyle name="Separador de milhares 3 2 3 4 7 3 2 2" xfId="53441" xr:uid="{00000000-0005-0000-0000-0000105B0000}"/>
    <cellStyle name="Separador de milhares 3 2 3 4 7 3 3" xfId="21346" xr:uid="{00000000-0005-0000-0000-0000115B0000}"/>
    <cellStyle name="Separador de milhares 3 2 3 4 7 3 3 2" xfId="47533" xr:uid="{00000000-0005-0000-0000-0000125B0000}"/>
    <cellStyle name="Separador de milhares 3 2 3 4 7 3 4" xfId="15432" xr:uid="{00000000-0005-0000-0000-0000135B0000}"/>
    <cellStyle name="Separador de milhares 3 2 3 4 7 3 4 2" xfId="41625" xr:uid="{00000000-0005-0000-0000-0000145B0000}"/>
    <cellStyle name="Separador de milhares 3 2 3 4 7 3 5" xfId="35239" xr:uid="{00000000-0005-0000-0000-0000155B0000}"/>
    <cellStyle name="Separador de milhares 3 2 3 4 7 4" xfId="5671" xr:uid="{00000000-0005-0000-0000-0000165B0000}"/>
    <cellStyle name="Separador de milhares 3 2 3 4 7 4 2" xfId="24303" xr:uid="{00000000-0005-0000-0000-0000175B0000}"/>
    <cellStyle name="Separador de milhares 3 2 3 4 7 4 2 2" xfId="50487" xr:uid="{00000000-0005-0000-0000-0000185B0000}"/>
    <cellStyle name="Separador de milhares 3 2 3 4 7 4 3" xfId="31867" xr:uid="{00000000-0005-0000-0000-0000195B0000}"/>
    <cellStyle name="Separador de milhares 3 2 3 4 7 5" xfId="18389" xr:uid="{00000000-0005-0000-0000-00001A5B0000}"/>
    <cellStyle name="Separador de milhares 3 2 3 4 7 5 2" xfId="44579" xr:uid="{00000000-0005-0000-0000-00001B5B0000}"/>
    <cellStyle name="Separador de milhares 3 2 3 4 7 6" xfId="12058" xr:uid="{00000000-0005-0000-0000-00001C5B0000}"/>
    <cellStyle name="Separador de milhares 3 2 3 4 7 6 2" xfId="38251" xr:uid="{00000000-0005-0000-0000-00001D5B0000}"/>
    <cellStyle name="Separador de milhares 3 2 3 4 7 7" xfId="30169" xr:uid="{00000000-0005-0000-0000-00001E5B0000}"/>
    <cellStyle name="Separador de milhares 3 2 3 4 8" xfId="3899" xr:uid="{00000000-0005-0000-0000-00001F5B0000}"/>
    <cellStyle name="Separador de milhares 3 2 3 4 8 2" xfId="7517" xr:uid="{00000000-0005-0000-0000-0000205B0000}"/>
    <cellStyle name="Separador de milhares 3 2 3 4 8 2 2" xfId="10661" xr:uid="{00000000-0005-0000-0000-0000215B0000}"/>
    <cellStyle name="Separador de milhares 3 2 3 4 8 2 2 2" xfId="28875" xr:uid="{00000000-0005-0000-0000-0000225B0000}"/>
    <cellStyle name="Separador de milhares 3 2 3 4 8 2 2 2 2" xfId="55056" xr:uid="{00000000-0005-0000-0000-0000235B0000}"/>
    <cellStyle name="Separador de milhares 3 2 3 4 8 2 2 3" xfId="22961" xr:uid="{00000000-0005-0000-0000-0000245B0000}"/>
    <cellStyle name="Separador de milhares 3 2 3 4 8 2 2 3 2" xfId="49148" xr:uid="{00000000-0005-0000-0000-0000255B0000}"/>
    <cellStyle name="Separador de milhares 3 2 3 4 8 2 2 4" xfId="17047" xr:uid="{00000000-0005-0000-0000-0000265B0000}"/>
    <cellStyle name="Separador de milhares 3 2 3 4 8 2 2 4 2" xfId="43240" xr:uid="{00000000-0005-0000-0000-0000275B0000}"/>
    <cellStyle name="Separador de milhares 3 2 3 4 8 2 2 5" xfId="36854" xr:uid="{00000000-0005-0000-0000-0000285B0000}"/>
    <cellStyle name="Separador de milhares 3 2 3 4 8 2 3" xfId="25918" xr:uid="{00000000-0005-0000-0000-0000295B0000}"/>
    <cellStyle name="Separador de milhares 3 2 3 4 8 2 3 2" xfId="52102" xr:uid="{00000000-0005-0000-0000-00002A5B0000}"/>
    <cellStyle name="Separador de milhares 3 2 3 4 8 2 4" xfId="20004" xr:uid="{00000000-0005-0000-0000-00002B5B0000}"/>
    <cellStyle name="Separador de milhares 3 2 3 4 8 2 4 2" xfId="46194" xr:uid="{00000000-0005-0000-0000-00002C5B0000}"/>
    <cellStyle name="Separador de milhares 3 2 3 4 8 2 5" xfId="13906" xr:uid="{00000000-0005-0000-0000-00002D5B0000}"/>
    <cellStyle name="Separador de milhares 3 2 3 4 8 2 5 2" xfId="40099" xr:uid="{00000000-0005-0000-0000-00002E5B0000}"/>
    <cellStyle name="Separador de milhares 3 2 3 4 8 2 6" xfId="33713" xr:uid="{00000000-0005-0000-0000-00002F5B0000}"/>
    <cellStyle name="Separador de milhares 3 2 3 4 8 3" xfId="9193" xr:uid="{00000000-0005-0000-0000-0000305B0000}"/>
    <cellStyle name="Separador de milhares 3 2 3 4 8 3 2" xfId="27407" xr:uid="{00000000-0005-0000-0000-0000315B0000}"/>
    <cellStyle name="Separador de milhares 3 2 3 4 8 3 2 2" xfId="53588" xr:uid="{00000000-0005-0000-0000-0000325B0000}"/>
    <cellStyle name="Separador de milhares 3 2 3 4 8 3 3" xfId="21493" xr:uid="{00000000-0005-0000-0000-0000335B0000}"/>
    <cellStyle name="Separador de milhares 3 2 3 4 8 3 3 2" xfId="47680" xr:uid="{00000000-0005-0000-0000-0000345B0000}"/>
    <cellStyle name="Separador de milhares 3 2 3 4 8 3 4" xfId="15579" xr:uid="{00000000-0005-0000-0000-0000355B0000}"/>
    <cellStyle name="Separador de milhares 3 2 3 4 8 3 4 2" xfId="41772" xr:uid="{00000000-0005-0000-0000-0000365B0000}"/>
    <cellStyle name="Separador de milhares 3 2 3 4 8 3 5" xfId="35386" xr:uid="{00000000-0005-0000-0000-0000375B0000}"/>
    <cellStyle name="Separador de milhares 3 2 3 4 8 4" xfId="5818" xr:uid="{00000000-0005-0000-0000-0000385B0000}"/>
    <cellStyle name="Separador de milhares 3 2 3 4 8 4 2" xfId="24450" xr:uid="{00000000-0005-0000-0000-0000395B0000}"/>
    <cellStyle name="Separador de milhares 3 2 3 4 8 4 2 2" xfId="50634" xr:uid="{00000000-0005-0000-0000-00003A5B0000}"/>
    <cellStyle name="Separador de milhares 3 2 3 4 8 4 3" xfId="32014" xr:uid="{00000000-0005-0000-0000-00003B5B0000}"/>
    <cellStyle name="Separador de milhares 3 2 3 4 8 5" xfId="18536" xr:uid="{00000000-0005-0000-0000-00003C5B0000}"/>
    <cellStyle name="Separador de milhares 3 2 3 4 8 5 2" xfId="44726" xr:uid="{00000000-0005-0000-0000-00003D5B0000}"/>
    <cellStyle name="Separador de milhares 3 2 3 4 8 6" xfId="12205" xr:uid="{00000000-0005-0000-0000-00003E5B0000}"/>
    <cellStyle name="Separador de milhares 3 2 3 4 8 6 2" xfId="38398" xr:uid="{00000000-0005-0000-0000-00003F5B0000}"/>
    <cellStyle name="Separador de milhares 3 2 3 4 8 7" xfId="30316" xr:uid="{00000000-0005-0000-0000-0000405B0000}"/>
    <cellStyle name="Separador de milhares 3 2 3 4 9" xfId="676" xr:uid="{00000000-0005-0000-0000-0000415B0000}"/>
    <cellStyle name="Separador de milhares 3 2 3 4 9 2" xfId="6611" xr:uid="{00000000-0005-0000-0000-0000425B0000}"/>
    <cellStyle name="Separador de milhares 3 2 3 4 9 2 2" xfId="9758" xr:uid="{00000000-0005-0000-0000-0000435B0000}"/>
    <cellStyle name="Separador de milhares 3 2 3 4 9 2 2 2" xfId="27972" xr:uid="{00000000-0005-0000-0000-0000445B0000}"/>
    <cellStyle name="Separador de milhares 3 2 3 4 9 2 2 2 2" xfId="54153" xr:uid="{00000000-0005-0000-0000-0000455B0000}"/>
    <cellStyle name="Separador de milhares 3 2 3 4 9 2 2 3" xfId="22058" xr:uid="{00000000-0005-0000-0000-0000465B0000}"/>
    <cellStyle name="Separador de milhares 3 2 3 4 9 2 2 3 2" xfId="48245" xr:uid="{00000000-0005-0000-0000-0000475B0000}"/>
    <cellStyle name="Separador de milhares 3 2 3 4 9 2 2 4" xfId="16144" xr:uid="{00000000-0005-0000-0000-0000485B0000}"/>
    <cellStyle name="Separador de milhares 3 2 3 4 9 2 2 4 2" xfId="42337" xr:uid="{00000000-0005-0000-0000-0000495B0000}"/>
    <cellStyle name="Separador de milhares 3 2 3 4 9 2 2 5" xfId="35951" xr:uid="{00000000-0005-0000-0000-00004A5B0000}"/>
    <cellStyle name="Separador de milhares 3 2 3 4 9 2 3" xfId="25015" xr:uid="{00000000-0005-0000-0000-00004B5B0000}"/>
    <cellStyle name="Separador de milhares 3 2 3 4 9 2 3 2" xfId="51199" xr:uid="{00000000-0005-0000-0000-00004C5B0000}"/>
    <cellStyle name="Separador de milhares 3 2 3 4 9 2 4" xfId="19101" xr:uid="{00000000-0005-0000-0000-00004D5B0000}"/>
    <cellStyle name="Separador de milhares 3 2 3 4 9 2 4 2" xfId="45291" xr:uid="{00000000-0005-0000-0000-00004E5B0000}"/>
    <cellStyle name="Separador de milhares 3 2 3 4 9 2 5" xfId="13000" xr:uid="{00000000-0005-0000-0000-00004F5B0000}"/>
    <cellStyle name="Separador de milhares 3 2 3 4 9 2 5 2" xfId="39193" xr:uid="{00000000-0005-0000-0000-0000505B0000}"/>
    <cellStyle name="Separador de milhares 3 2 3 4 9 2 6" xfId="32807" xr:uid="{00000000-0005-0000-0000-0000515B0000}"/>
    <cellStyle name="Separador de milhares 3 2 3 4 9 3" xfId="8290" xr:uid="{00000000-0005-0000-0000-0000525B0000}"/>
    <cellStyle name="Separador de milhares 3 2 3 4 9 3 2" xfId="26504" xr:uid="{00000000-0005-0000-0000-0000535B0000}"/>
    <cellStyle name="Separador de milhares 3 2 3 4 9 3 2 2" xfId="52685" xr:uid="{00000000-0005-0000-0000-0000545B0000}"/>
    <cellStyle name="Separador de milhares 3 2 3 4 9 3 3" xfId="20590" xr:uid="{00000000-0005-0000-0000-0000555B0000}"/>
    <cellStyle name="Separador de milhares 3 2 3 4 9 3 3 2" xfId="46777" xr:uid="{00000000-0005-0000-0000-0000565B0000}"/>
    <cellStyle name="Separador de milhares 3 2 3 4 9 3 4" xfId="14676" xr:uid="{00000000-0005-0000-0000-0000575B0000}"/>
    <cellStyle name="Separador de milhares 3 2 3 4 9 3 4 2" xfId="40869" xr:uid="{00000000-0005-0000-0000-0000585B0000}"/>
    <cellStyle name="Separador de milhares 3 2 3 4 9 3 5" xfId="34483" xr:uid="{00000000-0005-0000-0000-0000595B0000}"/>
    <cellStyle name="Separador de milhares 3 2 3 4 9 4" xfId="4912" xr:uid="{00000000-0005-0000-0000-00005A5B0000}"/>
    <cellStyle name="Separador de milhares 3 2 3 4 9 4 2" xfId="23547" xr:uid="{00000000-0005-0000-0000-00005B5B0000}"/>
    <cellStyle name="Separador de milhares 3 2 3 4 9 4 2 2" xfId="49731" xr:uid="{00000000-0005-0000-0000-00005C5B0000}"/>
    <cellStyle name="Separador de milhares 3 2 3 4 9 4 3" xfId="31108" xr:uid="{00000000-0005-0000-0000-00005D5B0000}"/>
    <cellStyle name="Separador de milhares 3 2 3 4 9 5" xfId="17633" xr:uid="{00000000-0005-0000-0000-00005E5B0000}"/>
    <cellStyle name="Separador de milhares 3 2 3 4 9 5 2" xfId="43823" xr:uid="{00000000-0005-0000-0000-00005F5B0000}"/>
    <cellStyle name="Separador de milhares 3 2 3 4 9 6" xfId="11299" xr:uid="{00000000-0005-0000-0000-0000605B0000}"/>
    <cellStyle name="Separador de milhares 3 2 3 4 9 6 2" xfId="37492" xr:uid="{00000000-0005-0000-0000-0000615B0000}"/>
    <cellStyle name="Separador de milhares 3 2 3 4 9 7" xfId="29410" xr:uid="{00000000-0005-0000-0000-0000625B0000}"/>
    <cellStyle name="Separador de milhares 3 2 3 5" xfId="614" xr:uid="{00000000-0005-0000-0000-0000635B0000}"/>
    <cellStyle name="Separador de milhares 3 2 3 5 10" xfId="4876" xr:uid="{00000000-0005-0000-0000-0000645B0000}"/>
    <cellStyle name="Separador de milhares 3 2 3 5 10 2" xfId="23510" xr:uid="{00000000-0005-0000-0000-0000655B0000}"/>
    <cellStyle name="Separador de milhares 3 2 3 5 10 2 2" xfId="49697" xr:uid="{00000000-0005-0000-0000-0000665B0000}"/>
    <cellStyle name="Separador de milhares 3 2 3 5 10 3" xfId="31074" xr:uid="{00000000-0005-0000-0000-0000675B0000}"/>
    <cellStyle name="Separador de milhares 3 2 3 5 11" xfId="17596" xr:uid="{00000000-0005-0000-0000-0000685B0000}"/>
    <cellStyle name="Separador de milhares 3 2 3 5 11 2" xfId="43789" xr:uid="{00000000-0005-0000-0000-0000695B0000}"/>
    <cellStyle name="Separador de milhares 3 2 3 5 12" xfId="11265" xr:uid="{00000000-0005-0000-0000-00006A5B0000}"/>
    <cellStyle name="Separador de milhares 3 2 3 5 12 2" xfId="37458" xr:uid="{00000000-0005-0000-0000-00006B5B0000}"/>
    <cellStyle name="Separador de milhares 3 2 3 5 13" xfId="29376" xr:uid="{00000000-0005-0000-0000-00006C5B0000}"/>
    <cellStyle name="Separador de milhares 3 2 3 5 2" xfId="1437" xr:uid="{00000000-0005-0000-0000-00006D5B0000}"/>
    <cellStyle name="Separador de milhares 3 2 3 5 2 2" xfId="6828" xr:uid="{00000000-0005-0000-0000-00006E5B0000}"/>
    <cellStyle name="Separador de milhares 3 2 3 5 2 2 2" xfId="9975" xr:uid="{00000000-0005-0000-0000-00006F5B0000}"/>
    <cellStyle name="Separador de milhares 3 2 3 5 2 2 2 2" xfId="28189" xr:uid="{00000000-0005-0000-0000-0000705B0000}"/>
    <cellStyle name="Separador de milhares 3 2 3 5 2 2 2 2 2" xfId="54370" xr:uid="{00000000-0005-0000-0000-0000715B0000}"/>
    <cellStyle name="Separador de milhares 3 2 3 5 2 2 2 3" xfId="22275" xr:uid="{00000000-0005-0000-0000-0000725B0000}"/>
    <cellStyle name="Separador de milhares 3 2 3 5 2 2 2 3 2" xfId="48462" xr:uid="{00000000-0005-0000-0000-0000735B0000}"/>
    <cellStyle name="Separador de milhares 3 2 3 5 2 2 2 4" xfId="16361" xr:uid="{00000000-0005-0000-0000-0000745B0000}"/>
    <cellStyle name="Separador de milhares 3 2 3 5 2 2 2 4 2" xfId="42554" xr:uid="{00000000-0005-0000-0000-0000755B0000}"/>
    <cellStyle name="Separador de milhares 3 2 3 5 2 2 2 5" xfId="36168" xr:uid="{00000000-0005-0000-0000-0000765B0000}"/>
    <cellStyle name="Separador de milhares 3 2 3 5 2 2 3" xfId="25232" xr:uid="{00000000-0005-0000-0000-0000775B0000}"/>
    <cellStyle name="Separador de milhares 3 2 3 5 2 2 3 2" xfId="51416" xr:uid="{00000000-0005-0000-0000-0000785B0000}"/>
    <cellStyle name="Separador de milhares 3 2 3 5 2 2 4" xfId="19318" xr:uid="{00000000-0005-0000-0000-0000795B0000}"/>
    <cellStyle name="Separador de milhares 3 2 3 5 2 2 4 2" xfId="45508" xr:uid="{00000000-0005-0000-0000-00007A5B0000}"/>
    <cellStyle name="Separador de milhares 3 2 3 5 2 2 5" xfId="13217" xr:uid="{00000000-0005-0000-0000-00007B5B0000}"/>
    <cellStyle name="Separador de milhares 3 2 3 5 2 2 5 2" xfId="39410" xr:uid="{00000000-0005-0000-0000-00007C5B0000}"/>
    <cellStyle name="Separador de milhares 3 2 3 5 2 2 6" xfId="33024" xr:uid="{00000000-0005-0000-0000-00007D5B0000}"/>
    <cellStyle name="Separador de milhares 3 2 3 5 2 3" xfId="8507" xr:uid="{00000000-0005-0000-0000-00007E5B0000}"/>
    <cellStyle name="Separador de milhares 3 2 3 5 2 3 2" xfId="26721" xr:uid="{00000000-0005-0000-0000-00007F5B0000}"/>
    <cellStyle name="Separador de milhares 3 2 3 5 2 3 2 2" xfId="52902" xr:uid="{00000000-0005-0000-0000-0000805B0000}"/>
    <cellStyle name="Separador de milhares 3 2 3 5 2 3 3" xfId="20807" xr:uid="{00000000-0005-0000-0000-0000815B0000}"/>
    <cellStyle name="Separador de milhares 3 2 3 5 2 3 3 2" xfId="46994" xr:uid="{00000000-0005-0000-0000-0000825B0000}"/>
    <cellStyle name="Separador de milhares 3 2 3 5 2 3 4" xfId="14893" xr:uid="{00000000-0005-0000-0000-0000835B0000}"/>
    <cellStyle name="Separador de milhares 3 2 3 5 2 3 4 2" xfId="41086" xr:uid="{00000000-0005-0000-0000-0000845B0000}"/>
    <cellStyle name="Separador de milhares 3 2 3 5 2 3 5" xfId="34700" xr:uid="{00000000-0005-0000-0000-0000855B0000}"/>
    <cellStyle name="Separador de milhares 3 2 3 5 2 4" xfId="5129" xr:uid="{00000000-0005-0000-0000-0000865B0000}"/>
    <cellStyle name="Separador de milhares 3 2 3 5 2 4 2" xfId="23764" xr:uid="{00000000-0005-0000-0000-0000875B0000}"/>
    <cellStyle name="Separador de milhares 3 2 3 5 2 4 2 2" xfId="49948" xr:uid="{00000000-0005-0000-0000-0000885B0000}"/>
    <cellStyle name="Separador de milhares 3 2 3 5 2 4 3" xfId="31325" xr:uid="{00000000-0005-0000-0000-0000895B0000}"/>
    <cellStyle name="Separador de milhares 3 2 3 5 2 5" xfId="17850" xr:uid="{00000000-0005-0000-0000-00008A5B0000}"/>
    <cellStyle name="Separador de milhares 3 2 3 5 2 5 2" xfId="44040" xr:uid="{00000000-0005-0000-0000-00008B5B0000}"/>
    <cellStyle name="Separador de milhares 3 2 3 5 2 6" xfId="11516" xr:uid="{00000000-0005-0000-0000-00008C5B0000}"/>
    <cellStyle name="Separador de milhares 3 2 3 5 2 6 2" xfId="37709" xr:uid="{00000000-0005-0000-0000-00008D5B0000}"/>
    <cellStyle name="Separador de milhares 3 2 3 5 2 7" xfId="29627" xr:uid="{00000000-0005-0000-0000-00008E5B0000}"/>
    <cellStyle name="Separador de milhares 3 2 3 5 3" xfId="1872" xr:uid="{00000000-0005-0000-0000-00008F5B0000}"/>
    <cellStyle name="Separador de milhares 3 2 3 5 3 2" xfId="6947" xr:uid="{00000000-0005-0000-0000-0000905B0000}"/>
    <cellStyle name="Separador de milhares 3 2 3 5 3 2 2" xfId="10094" xr:uid="{00000000-0005-0000-0000-0000915B0000}"/>
    <cellStyle name="Separador de milhares 3 2 3 5 3 2 2 2" xfId="28308" xr:uid="{00000000-0005-0000-0000-0000925B0000}"/>
    <cellStyle name="Separador de milhares 3 2 3 5 3 2 2 2 2" xfId="54489" xr:uid="{00000000-0005-0000-0000-0000935B0000}"/>
    <cellStyle name="Separador de milhares 3 2 3 5 3 2 2 3" xfId="22394" xr:uid="{00000000-0005-0000-0000-0000945B0000}"/>
    <cellStyle name="Separador de milhares 3 2 3 5 3 2 2 3 2" xfId="48581" xr:uid="{00000000-0005-0000-0000-0000955B0000}"/>
    <cellStyle name="Separador de milhares 3 2 3 5 3 2 2 4" xfId="16480" xr:uid="{00000000-0005-0000-0000-0000965B0000}"/>
    <cellStyle name="Separador de milhares 3 2 3 5 3 2 2 4 2" xfId="42673" xr:uid="{00000000-0005-0000-0000-0000975B0000}"/>
    <cellStyle name="Separador de milhares 3 2 3 5 3 2 2 5" xfId="36287" xr:uid="{00000000-0005-0000-0000-0000985B0000}"/>
    <cellStyle name="Separador de milhares 3 2 3 5 3 2 3" xfId="25351" xr:uid="{00000000-0005-0000-0000-0000995B0000}"/>
    <cellStyle name="Separador de milhares 3 2 3 5 3 2 3 2" xfId="51535" xr:uid="{00000000-0005-0000-0000-00009A5B0000}"/>
    <cellStyle name="Separador de milhares 3 2 3 5 3 2 4" xfId="19437" xr:uid="{00000000-0005-0000-0000-00009B5B0000}"/>
    <cellStyle name="Separador de milhares 3 2 3 5 3 2 4 2" xfId="45627" xr:uid="{00000000-0005-0000-0000-00009C5B0000}"/>
    <cellStyle name="Separador de milhares 3 2 3 5 3 2 5" xfId="13336" xr:uid="{00000000-0005-0000-0000-00009D5B0000}"/>
    <cellStyle name="Separador de milhares 3 2 3 5 3 2 5 2" xfId="39529" xr:uid="{00000000-0005-0000-0000-00009E5B0000}"/>
    <cellStyle name="Separador de milhares 3 2 3 5 3 2 6" xfId="33143" xr:uid="{00000000-0005-0000-0000-00009F5B0000}"/>
    <cellStyle name="Separador de milhares 3 2 3 5 3 3" xfId="8626" xr:uid="{00000000-0005-0000-0000-0000A05B0000}"/>
    <cellStyle name="Separador de milhares 3 2 3 5 3 3 2" xfId="26840" xr:uid="{00000000-0005-0000-0000-0000A15B0000}"/>
    <cellStyle name="Separador de milhares 3 2 3 5 3 3 2 2" xfId="53021" xr:uid="{00000000-0005-0000-0000-0000A25B0000}"/>
    <cellStyle name="Separador de milhares 3 2 3 5 3 3 3" xfId="20926" xr:uid="{00000000-0005-0000-0000-0000A35B0000}"/>
    <cellStyle name="Separador de milhares 3 2 3 5 3 3 3 2" xfId="47113" xr:uid="{00000000-0005-0000-0000-0000A45B0000}"/>
    <cellStyle name="Separador de milhares 3 2 3 5 3 3 4" xfId="15012" xr:uid="{00000000-0005-0000-0000-0000A55B0000}"/>
    <cellStyle name="Separador de milhares 3 2 3 5 3 3 4 2" xfId="41205" xr:uid="{00000000-0005-0000-0000-0000A65B0000}"/>
    <cellStyle name="Separador de milhares 3 2 3 5 3 3 5" xfId="34819" xr:uid="{00000000-0005-0000-0000-0000A75B0000}"/>
    <cellStyle name="Separador de milhares 3 2 3 5 3 4" xfId="5248" xr:uid="{00000000-0005-0000-0000-0000A85B0000}"/>
    <cellStyle name="Separador de milhares 3 2 3 5 3 4 2" xfId="23883" xr:uid="{00000000-0005-0000-0000-0000A95B0000}"/>
    <cellStyle name="Separador de milhares 3 2 3 5 3 4 2 2" xfId="50067" xr:uid="{00000000-0005-0000-0000-0000AA5B0000}"/>
    <cellStyle name="Separador de milhares 3 2 3 5 3 4 3" xfId="31444" xr:uid="{00000000-0005-0000-0000-0000AB5B0000}"/>
    <cellStyle name="Separador de milhares 3 2 3 5 3 5" xfId="17969" xr:uid="{00000000-0005-0000-0000-0000AC5B0000}"/>
    <cellStyle name="Separador de milhares 3 2 3 5 3 5 2" xfId="44159" xr:uid="{00000000-0005-0000-0000-0000AD5B0000}"/>
    <cellStyle name="Separador de milhares 3 2 3 5 3 6" xfId="11635" xr:uid="{00000000-0005-0000-0000-0000AE5B0000}"/>
    <cellStyle name="Separador de milhares 3 2 3 5 3 6 2" xfId="37828" xr:uid="{00000000-0005-0000-0000-0000AF5B0000}"/>
    <cellStyle name="Separador de milhares 3 2 3 5 3 7" xfId="29746" xr:uid="{00000000-0005-0000-0000-0000B05B0000}"/>
    <cellStyle name="Separador de milhares 3 2 3 5 4" xfId="2402" xr:uid="{00000000-0005-0000-0000-0000B15B0000}"/>
    <cellStyle name="Separador de milhares 3 2 3 5 4 2" xfId="7097" xr:uid="{00000000-0005-0000-0000-0000B25B0000}"/>
    <cellStyle name="Separador de milhares 3 2 3 5 4 2 2" xfId="10241" xr:uid="{00000000-0005-0000-0000-0000B35B0000}"/>
    <cellStyle name="Separador de milhares 3 2 3 5 4 2 2 2" xfId="28455" xr:uid="{00000000-0005-0000-0000-0000B45B0000}"/>
    <cellStyle name="Separador de milhares 3 2 3 5 4 2 2 2 2" xfId="54636" xr:uid="{00000000-0005-0000-0000-0000B55B0000}"/>
    <cellStyle name="Separador de milhares 3 2 3 5 4 2 2 3" xfId="22541" xr:uid="{00000000-0005-0000-0000-0000B65B0000}"/>
    <cellStyle name="Separador de milhares 3 2 3 5 4 2 2 3 2" xfId="48728" xr:uid="{00000000-0005-0000-0000-0000B75B0000}"/>
    <cellStyle name="Separador de milhares 3 2 3 5 4 2 2 4" xfId="16627" xr:uid="{00000000-0005-0000-0000-0000B85B0000}"/>
    <cellStyle name="Separador de milhares 3 2 3 5 4 2 2 4 2" xfId="42820" xr:uid="{00000000-0005-0000-0000-0000B95B0000}"/>
    <cellStyle name="Separador de milhares 3 2 3 5 4 2 2 5" xfId="36434" xr:uid="{00000000-0005-0000-0000-0000BA5B0000}"/>
    <cellStyle name="Separador de milhares 3 2 3 5 4 2 3" xfId="25498" xr:uid="{00000000-0005-0000-0000-0000BB5B0000}"/>
    <cellStyle name="Separador de milhares 3 2 3 5 4 2 3 2" xfId="51682" xr:uid="{00000000-0005-0000-0000-0000BC5B0000}"/>
    <cellStyle name="Separador de milhares 3 2 3 5 4 2 4" xfId="19584" xr:uid="{00000000-0005-0000-0000-0000BD5B0000}"/>
    <cellStyle name="Separador de milhares 3 2 3 5 4 2 4 2" xfId="45774" xr:uid="{00000000-0005-0000-0000-0000BE5B0000}"/>
    <cellStyle name="Separador de milhares 3 2 3 5 4 2 5" xfId="13486" xr:uid="{00000000-0005-0000-0000-0000BF5B0000}"/>
    <cellStyle name="Separador de milhares 3 2 3 5 4 2 5 2" xfId="39679" xr:uid="{00000000-0005-0000-0000-0000C05B0000}"/>
    <cellStyle name="Separador de milhares 3 2 3 5 4 2 6" xfId="33293" xr:uid="{00000000-0005-0000-0000-0000C15B0000}"/>
    <cellStyle name="Separador de milhares 3 2 3 5 4 3" xfId="8773" xr:uid="{00000000-0005-0000-0000-0000C25B0000}"/>
    <cellStyle name="Separador de milhares 3 2 3 5 4 3 2" xfId="26987" xr:uid="{00000000-0005-0000-0000-0000C35B0000}"/>
    <cellStyle name="Separador de milhares 3 2 3 5 4 3 2 2" xfId="53168" xr:uid="{00000000-0005-0000-0000-0000C45B0000}"/>
    <cellStyle name="Separador de milhares 3 2 3 5 4 3 3" xfId="21073" xr:uid="{00000000-0005-0000-0000-0000C55B0000}"/>
    <cellStyle name="Separador de milhares 3 2 3 5 4 3 3 2" xfId="47260" xr:uid="{00000000-0005-0000-0000-0000C65B0000}"/>
    <cellStyle name="Separador de milhares 3 2 3 5 4 3 4" xfId="15159" xr:uid="{00000000-0005-0000-0000-0000C75B0000}"/>
    <cellStyle name="Separador de milhares 3 2 3 5 4 3 4 2" xfId="41352" xr:uid="{00000000-0005-0000-0000-0000C85B0000}"/>
    <cellStyle name="Separador de milhares 3 2 3 5 4 3 5" xfId="34966" xr:uid="{00000000-0005-0000-0000-0000C95B0000}"/>
    <cellStyle name="Separador de milhares 3 2 3 5 4 4" xfId="5398" xr:uid="{00000000-0005-0000-0000-0000CA5B0000}"/>
    <cellStyle name="Separador de milhares 3 2 3 5 4 4 2" xfId="24030" xr:uid="{00000000-0005-0000-0000-0000CB5B0000}"/>
    <cellStyle name="Separador de milhares 3 2 3 5 4 4 2 2" xfId="50214" xr:uid="{00000000-0005-0000-0000-0000CC5B0000}"/>
    <cellStyle name="Separador de milhares 3 2 3 5 4 4 3" xfId="31594" xr:uid="{00000000-0005-0000-0000-0000CD5B0000}"/>
    <cellStyle name="Separador de milhares 3 2 3 5 4 5" xfId="18116" xr:uid="{00000000-0005-0000-0000-0000CE5B0000}"/>
    <cellStyle name="Separador de milhares 3 2 3 5 4 5 2" xfId="44306" xr:uid="{00000000-0005-0000-0000-0000CF5B0000}"/>
    <cellStyle name="Separador de milhares 3 2 3 5 4 6" xfId="11785" xr:uid="{00000000-0005-0000-0000-0000D05B0000}"/>
    <cellStyle name="Separador de milhares 3 2 3 5 4 6 2" xfId="37978" xr:uid="{00000000-0005-0000-0000-0000D15B0000}"/>
    <cellStyle name="Separador de milhares 3 2 3 5 4 7" xfId="29896" xr:uid="{00000000-0005-0000-0000-0000D25B0000}"/>
    <cellStyle name="Separador de milhares 3 2 3 5 5" xfId="2929" xr:uid="{00000000-0005-0000-0000-0000D35B0000}"/>
    <cellStyle name="Separador de milhares 3 2 3 5 5 2" xfId="7244" xr:uid="{00000000-0005-0000-0000-0000D45B0000}"/>
    <cellStyle name="Separador de milhares 3 2 3 5 5 2 2" xfId="10388" xr:uid="{00000000-0005-0000-0000-0000D55B0000}"/>
    <cellStyle name="Separador de milhares 3 2 3 5 5 2 2 2" xfId="28602" xr:uid="{00000000-0005-0000-0000-0000D65B0000}"/>
    <cellStyle name="Separador de milhares 3 2 3 5 5 2 2 2 2" xfId="54783" xr:uid="{00000000-0005-0000-0000-0000D75B0000}"/>
    <cellStyle name="Separador de milhares 3 2 3 5 5 2 2 3" xfId="22688" xr:uid="{00000000-0005-0000-0000-0000D85B0000}"/>
    <cellStyle name="Separador de milhares 3 2 3 5 5 2 2 3 2" xfId="48875" xr:uid="{00000000-0005-0000-0000-0000D95B0000}"/>
    <cellStyle name="Separador de milhares 3 2 3 5 5 2 2 4" xfId="16774" xr:uid="{00000000-0005-0000-0000-0000DA5B0000}"/>
    <cellStyle name="Separador de milhares 3 2 3 5 5 2 2 4 2" xfId="42967" xr:uid="{00000000-0005-0000-0000-0000DB5B0000}"/>
    <cellStyle name="Separador de milhares 3 2 3 5 5 2 2 5" xfId="36581" xr:uid="{00000000-0005-0000-0000-0000DC5B0000}"/>
    <cellStyle name="Separador de milhares 3 2 3 5 5 2 3" xfId="25645" xr:uid="{00000000-0005-0000-0000-0000DD5B0000}"/>
    <cellStyle name="Separador de milhares 3 2 3 5 5 2 3 2" xfId="51829" xr:uid="{00000000-0005-0000-0000-0000DE5B0000}"/>
    <cellStyle name="Separador de milhares 3 2 3 5 5 2 4" xfId="19731" xr:uid="{00000000-0005-0000-0000-0000DF5B0000}"/>
    <cellStyle name="Separador de milhares 3 2 3 5 5 2 4 2" xfId="45921" xr:uid="{00000000-0005-0000-0000-0000E05B0000}"/>
    <cellStyle name="Separador de milhares 3 2 3 5 5 2 5" xfId="13633" xr:uid="{00000000-0005-0000-0000-0000E15B0000}"/>
    <cellStyle name="Separador de milhares 3 2 3 5 5 2 5 2" xfId="39826" xr:uid="{00000000-0005-0000-0000-0000E25B0000}"/>
    <cellStyle name="Separador de milhares 3 2 3 5 5 2 6" xfId="33440" xr:uid="{00000000-0005-0000-0000-0000E35B0000}"/>
    <cellStyle name="Separador de milhares 3 2 3 5 5 3" xfId="8920" xr:uid="{00000000-0005-0000-0000-0000E45B0000}"/>
    <cellStyle name="Separador de milhares 3 2 3 5 5 3 2" xfId="27134" xr:uid="{00000000-0005-0000-0000-0000E55B0000}"/>
    <cellStyle name="Separador de milhares 3 2 3 5 5 3 2 2" xfId="53315" xr:uid="{00000000-0005-0000-0000-0000E65B0000}"/>
    <cellStyle name="Separador de milhares 3 2 3 5 5 3 3" xfId="21220" xr:uid="{00000000-0005-0000-0000-0000E75B0000}"/>
    <cellStyle name="Separador de milhares 3 2 3 5 5 3 3 2" xfId="47407" xr:uid="{00000000-0005-0000-0000-0000E85B0000}"/>
    <cellStyle name="Separador de milhares 3 2 3 5 5 3 4" xfId="15306" xr:uid="{00000000-0005-0000-0000-0000E95B0000}"/>
    <cellStyle name="Separador de milhares 3 2 3 5 5 3 4 2" xfId="41499" xr:uid="{00000000-0005-0000-0000-0000EA5B0000}"/>
    <cellStyle name="Separador de milhares 3 2 3 5 5 3 5" xfId="35113" xr:uid="{00000000-0005-0000-0000-0000EB5B0000}"/>
    <cellStyle name="Separador de milhares 3 2 3 5 5 4" xfId="5545" xr:uid="{00000000-0005-0000-0000-0000EC5B0000}"/>
    <cellStyle name="Separador de milhares 3 2 3 5 5 4 2" xfId="24177" xr:uid="{00000000-0005-0000-0000-0000ED5B0000}"/>
    <cellStyle name="Separador de milhares 3 2 3 5 5 4 2 2" xfId="50361" xr:uid="{00000000-0005-0000-0000-0000EE5B0000}"/>
    <cellStyle name="Separador de milhares 3 2 3 5 5 4 3" xfId="31741" xr:uid="{00000000-0005-0000-0000-0000EF5B0000}"/>
    <cellStyle name="Separador de milhares 3 2 3 5 5 5" xfId="18263" xr:uid="{00000000-0005-0000-0000-0000F05B0000}"/>
    <cellStyle name="Separador de milhares 3 2 3 5 5 5 2" xfId="44453" xr:uid="{00000000-0005-0000-0000-0000F15B0000}"/>
    <cellStyle name="Separador de milhares 3 2 3 5 5 6" xfId="11932" xr:uid="{00000000-0005-0000-0000-0000F25B0000}"/>
    <cellStyle name="Separador de milhares 3 2 3 5 5 6 2" xfId="38125" xr:uid="{00000000-0005-0000-0000-0000F35B0000}"/>
    <cellStyle name="Separador de milhares 3 2 3 5 5 7" xfId="30043" xr:uid="{00000000-0005-0000-0000-0000F45B0000}"/>
    <cellStyle name="Separador de milhares 3 2 3 5 6" xfId="3456" xr:uid="{00000000-0005-0000-0000-0000F55B0000}"/>
    <cellStyle name="Separador de milhares 3 2 3 5 6 2" xfId="7391" xr:uid="{00000000-0005-0000-0000-0000F65B0000}"/>
    <cellStyle name="Separador de milhares 3 2 3 5 6 2 2" xfId="10535" xr:uid="{00000000-0005-0000-0000-0000F75B0000}"/>
    <cellStyle name="Separador de milhares 3 2 3 5 6 2 2 2" xfId="28749" xr:uid="{00000000-0005-0000-0000-0000F85B0000}"/>
    <cellStyle name="Separador de milhares 3 2 3 5 6 2 2 2 2" xfId="54930" xr:uid="{00000000-0005-0000-0000-0000F95B0000}"/>
    <cellStyle name="Separador de milhares 3 2 3 5 6 2 2 3" xfId="22835" xr:uid="{00000000-0005-0000-0000-0000FA5B0000}"/>
    <cellStyle name="Separador de milhares 3 2 3 5 6 2 2 3 2" xfId="49022" xr:uid="{00000000-0005-0000-0000-0000FB5B0000}"/>
    <cellStyle name="Separador de milhares 3 2 3 5 6 2 2 4" xfId="16921" xr:uid="{00000000-0005-0000-0000-0000FC5B0000}"/>
    <cellStyle name="Separador de milhares 3 2 3 5 6 2 2 4 2" xfId="43114" xr:uid="{00000000-0005-0000-0000-0000FD5B0000}"/>
    <cellStyle name="Separador de milhares 3 2 3 5 6 2 2 5" xfId="36728" xr:uid="{00000000-0005-0000-0000-0000FE5B0000}"/>
    <cellStyle name="Separador de milhares 3 2 3 5 6 2 3" xfId="25792" xr:uid="{00000000-0005-0000-0000-0000FF5B0000}"/>
    <cellStyle name="Separador de milhares 3 2 3 5 6 2 3 2" xfId="51976" xr:uid="{00000000-0005-0000-0000-0000005C0000}"/>
    <cellStyle name="Separador de milhares 3 2 3 5 6 2 4" xfId="19878" xr:uid="{00000000-0005-0000-0000-0000015C0000}"/>
    <cellStyle name="Separador de milhares 3 2 3 5 6 2 4 2" xfId="46068" xr:uid="{00000000-0005-0000-0000-0000025C0000}"/>
    <cellStyle name="Separador de milhares 3 2 3 5 6 2 5" xfId="13780" xr:uid="{00000000-0005-0000-0000-0000035C0000}"/>
    <cellStyle name="Separador de milhares 3 2 3 5 6 2 5 2" xfId="39973" xr:uid="{00000000-0005-0000-0000-0000045C0000}"/>
    <cellStyle name="Separador de milhares 3 2 3 5 6 2 6" xfId="33587" xr:uid="{00000000-0005-0000-0000-0000055C0000}"/>
    <cellStyle name="Separador de milhares 3 2 3 5 6 3" xfId="9067" xr:uid="{00000000-0005-0000-0000-0000065C0000}"/>
    <cellStyle name="Separador de milhares 3 2 3 5 6 3 2" xfId="27281" xr:uid="{00000000-0005-0000-0000-0000075C0000}"/>
    <cellStyle name="Separador de milhares 3 2 3 5 6 3 2 2" xfId="53462" xr:uid="{00000000-0005-0000-0000-0000085C0000}"/>
    <cellStyle name="Separador de milhares 3 2 3 5 6 3 3" xfId="21367" xr:uid="{00000000-0005-0000-0000-0000095C0000}"/>
    <cellStyle name="Separador de milhares 3 2 3 5 6 3 3 2" xfId="47554" xr:uid="{00000000-0005-0000-0000-00000A5C0000}"/>
    <cellStyle name="Separador de milhares 3 2 3 5 6 3 4" xfId="15453" xr:uid="{00000000-0005-0000-0000-00000B5C0000}"/>
    <cellStyle name="Separador de milhares 3 2 3 5 6 3 4 2" xfId="41646" xr:uid="{00000000-0005-0000-0000-00000C5C0000}"/>
    <cellStyle name="Separador de milhares 3 2 3 5 6 3 5" xfId="35260" xr:uid="{00000000-0005-0000-0000-00000D5C0000}"/>
    <cellStyle name="Separador de milhares 3 2 3 5 6 4" xfId="5692" xr:uid="{00000000-0005-0000-0000-00000E5C0000}"/>
    <cellStyle name="Separador de milhares 3 2 3 5 6 4 2" xfId="24324" xr:uid="{00000000-0005-0000-0000-00000F5C0000}"/>
    <cellStyle name="Separador de milhares 3 2 3 5 6 4 2 2" xfId="50508" xr:uid="{00000000-0005-0000-0000-0000105C0000}"/>
    <cellStyle name="Separador de milhares 3 2 3 5 6 4 3" xfId="31888" xr:uid="{00000000-0005-0000-0000-0000115C0000}"/>
    <cellStyle name="Separador de milhares 3 2 3 5 6 5" xfId="18410" xr:uid="{00000000-0005-0000-0000-0000125C0000}"/>
    <cellStyle name="Separador de milhares 3 2 3 5 6 5 2" xfId="44600" xr:uid="{00000000-0005-0000-0000-0000135C0000}"/>
    <cellStyle name="Separador de milhares 3 2 3 5 6 6" xfId="12079" xr:uid="{00000000-0005-0000-0000-0000145C0000}"/>
    <cellStyle name="Separador de milhares 3 2 3 5 6 6 2" xfId="38272" xr:uid="{00000000-0005-0000-0000-0000155C0000}"/>
    <cellStyle name="Separador de milhares 3 2 3 5 6 7" xfId="30190" xr:uid="{00000000-0005-0000-0000-0000165C0000}"/>
    <cellStyle name="Separador de milhares 3 2 3 5 7" xfId="3983" xr:uid="{00000000-0005-0000-0000-0000175C0000}"/>
    <cellStyle name="Separador de milhares 3 2 3 5 7 2" xfId="7538" xr:uid="{00000000-0005-0000-0000-0000185C0000}"/>
    <cellStyle name="Separador de milhares 3 2 3 5 7 2 2" xfId="10682" xr:uid="{00000000-0005-0000-0000-0000195C0000}"/>
    <cellStyle name="Separador de milhares 3 2 3 5 7 2 2 2" xfId="28896" xr:uid="{00000000-0005-0000-0000-00001A5C0000}"/>
    <cellStyle name="Separador de milhares 3 2 3 5 7 2 2 2 2" xfId="55077" xr:uid="{00000000-0005-0000-0000-00001B5C0000}"/>
    <cellStyle name="Separador de milhares 3 2 3 5 7 2 2 3" xfId="22982" xr:uid="{00000000-0005-0000-0000-00001C5C0000}"/>
    <cellStyle name="Separador de milhares 3 2 3 5 7 2 2 3 2" xfId="49169" xr:uid="{00000000-0005-0000-0000-00001D5C0000}"/>
    <cellStyle name="Separador de milhares 3 2 3 5 7 2 2 4" xfId="17068" xr:uid="{00000000-0005-0000-0000-00001E5C0000}"/>
    <cellStyle name="Separador de milhares 3 2 3 5 7 2 2 4 2" xfId="43261" xr:uid="{00000000-0005-0000-0000-00001F5C0000}"/>
    <cellStyle name="Separador de milhares 3 2 3 5 7 2 2 5" xfId="36875" xr:uid="{00000000-0005-0000-0000-0000205C0000}"/>
    <cellStyle name="Separador de milhares 3 2 3 5 7 2 3" xfId="25939" xr:uid="{00000000-0005-0000-0000-0000215C0000}"/>
    <cellStyle name="Separador de milhares 3 2 3 5 7 2 3 2" xfId="52123" xr:uid="{00000000-0005-0000-0000-0000225C0000}"/>
    <cellStyle name="Separador de milhares 3 2 3 5 7 2 4" xfId="20025" xr:uid="{00000000-0005-0000-0000-0000235C0000}"/>
    <cellStyle name="Separador de milhares 3 2 3 5 7 2 4 2" xfId="46215" xr:uid="{00000000-0005-0000-0000-0000245C0000}"/>
    <cellStyle name="Separador de milhares 3 2 3 5 7 2 5" xfId="13927" xr:uid="{00000000-0005-0000-0000-0000255C0000}"/>
    <cellStyle name="Separador de milhares 3 2 3 5 7 2 5 2" xfId="40120" xr:uid="{00000000-0005-0000-0000-0000265C0000}"/>
    <cellStyle name="Separador de milhares 3 2 3 5 7 2 6" xfId="33734" xr:uid="{00000000-0005-0000-0000-0000275C0000}"/>
    <cellStyle name="Separador de milhares 3 2 3 5 7 3" xfId="9214" xr:uid="{00000000-0005-0000-0000-0000285C0000}"/>
    <cellStyle name="Separador de milhares 3 2 3 5 7 3 2" xfId="27428" xr:uid="{00000000-0005-0000-0000-0000295C0000}"/>
    <cellStyle name="Separador de milhares 3 2 3 5 7 3 2 2" xfId="53609" xr:uid="{00000000-0005-0000-0000-00002A5C0000}"/>
    <cellStyle name="Separador de milhares 3 2 3 5 7 3 3" xfId="21514" xr:uid="{00000000-0005-0000-0000-00002B5C0000}"/>
    <cellStyle name="Separador de milhares 3 2 3 5 7 3 3 2" xfId="47701" xr:uid="{00000000-0005-0000-0000-00002C5C0000}"/>
    <cellStyle name="Separador de milhares 3 2 3 5 7 3 4" xfId="15600" xr:uid="{00000000-0005-0000-0000-00002D5C0000}"/>
    <cellStyle name="Separador de milhares 3 2 3 5 7 3 4 2" xfId="41793" xr:uid="{00000000-0005-0000-0000-00002E5C0000}"/>
    <cellStyle name="Separador de milhares 3 2 3 5 7 3 5" xfId="35407" xr:uid="{00000000-0005-0000-0000-00002F5C0000}"/>
    <cellStyle name="Separador de milhares 3 2 3 5 7 4" xfId="5839" xr:uid="{00000000-0005-0000-0000-0000305C0000}"/>
    <cellStyle name="Separador de milhares 3 2 3 5 7 4 2" xfId="24471" xr:uid="{00000000-0005-0000-0000-0000315C0000}"/>
    <cellStyle name="Separador de milhares 3 2 3 5 7 4 2 2" xfId="50655" xr:uid="{00000000-0005-0000-0000-0000325C0000}"/>
    <cellStyle name="Separador de milhares 3 2 3 5 7 4 3" xfId="32035" xr:uid="{00000000-0005-0000-0000-0000335C0000}"/>
    <cellStyle name="Separador de milhares 3 2 3 5 7 5" xfId="18557" xr:uid="{00000000-0005-0000-0000-0000345C0000}"/>
    <cellStyle name="Separador de milhares 3 2 3 5 7 5 2" xfId="44747" xr:uid="{00000000-0005-0000-0000-0000355C0000}"/>
    <cellStyle name="Separador de milhares 3 2 3 5 7 6" xfId="12226" xr:uid="{00000000-0005-0000-0000-0000365C0000}"/>
    <cellStyle name="Separador de milhares 3 2 3 5 7 6 2" xfId="38419" xr:uid="{00000000-0005-0000-0000-0000375C0000}"/>
    <cellStyle name="Separador de milhares 3 2 3 5 7 7" xfId="30337" xr:uid="{00000000-0005-0000-0000-0000385C0000}"/>
    <cellStyle name="Separador de milhares 3 2 3 5 8" xfId="6577" xr:uid="{00000000-0005-0000-0000-0000395C0000}"/>
    <cellStyle name="Separador de milhares 3 2 3 5 8 2" xfId="9724" xr:uid="{00000000-0005-0000-0000-00003A5C0000}"/>
    <cellStyle name="Separador de milhares 3 2 3 5 8 2 2" xfId="27938" xr:uid="{00000000-0005-0000-0000-00003B5C0000}"/>
    <cellStyle name="Separador de milhares 3 2 3 5 8 2 2 2" xfId="54119" xr:uid="{00000000-0005-0000-0000-00003C5C0000}"/>
    <cellStyle name="Separador de milhares 3 2 3 5 8 2 3" xfId="22024" xr:uid="{00000000-0005-0000-0000-00003D5C0000}"/>
    <cellStyle name="Separador de milhares 3 2 3 5 8 2 3 2" xfId="48211" xr:uid="{00000000-0005-0000-0000-00003E5C0000}"/>
    <cellStyle name="Separador de milhares 3 2 3 5 8 2 4" xfId="16110" xr:uid="{00000000-0005-0000-0000-00003F5C0000}"/>
    <cellStyle name="Separador de milhares 3 2 3 5 8 2 4 2" xfId="42303" xr:uid="{00000000-0005-0000-0000-0000405C0000}"/>
    <cellStyle name="Separador de milhares 3 2 3 5 8 2 5" xfId="35917" xr:uid="{00000000-0005-0000-0000-0000415C0000}"/>
    <cellStyle name="Separador de milhares 3 2 3 5 8 3" xfId="24981" xr:uid="{00000000-0005-0000-0000-0000425C0000}"/>
    <cellStyle name="Separador de milhares 3 2 3 5 8 3 2" xfId="51165" xr:uid="{00000000-0005-0000-0000-0000435C0000}"/>
    <cellStyle name="Separador de milhares 3 2 3 5 8 4" xfId="19067" xr:uid="{00000000-0005-0000-0000-0000445C0000}"/>
    <cellStyle name="Separador de milhares 3 2 3 5 8 4 2" xfId="45257" xr:uid="{00000000-0005-0000-0000-0000455C0000}"/>
    <cellStyle name="Separador de milhares 3 2 3 5 8 5" xfId="12966" xr:uid="{00000000-0005-0000-0000-0000465C0000}"/>
    <cellStyle name="Separador de milhares 3 2 3 5 8 5 2" xfId="39159" xr:uid="{00000000-0005-0000-0000-0000475C0000}"/>
    <cellStyle name="Separador de milhares 3 2 3 5 8 6" xfId="32773" xr:uid="{00000000-0005-0000-0000-0000485C0000}"/>
    <cellStyle name="Separador de milhares 3 2 3 5 9" xfId="8253" xr:uid="{00000000-0005-0000-0000-0000495C0000}"/>
    <cellStyle name="Separador de milhares 3 2 3 5 9 2" xfId="26467" xr:uid="{00000000-0005-0000-0000-00004A5C0000}"/>
    <cellStyle name="Separador de milhares 3 2 3 5 9 2 2" xfId="52651" xr:uid="{00000000-0005-0000-0000-00004B5C0000}"/>
    <cellStyle name="Separador de milhares 3 2 3 5 9 3" xfId="20553" xr:uid="{00000000-0005-0000-0000-00004C5C0000}"/>
    <cellStyle name="Separador de milhares 3 2 3 5 9 3 2" xfId="46743" xr:uid="{00000000-0005-0000-0000-00004D5C0000}"/>
    <cellStyle name="Separador de milhares 3 2 3 5 9 4" xfId="14642" xr:uid="{00000000-0005-0000-0000-00004E5C0000}"/>
    <cellStyle name="Separador de milhares 3 2 3 5 9 4 2" xfId="40835" xr:uid="{00000000-0005-0000-0000-00004F5C0000}"/>
    <cellStyle name="Separador de milhares 3 2 3 5 9 5" xfId="34449" xr:uid="{00000000-0005-0000-0000-0000505C0000}"/>
    <cellStyle name="Separador de milhares 3 2 3 6" xfId="735" xr:uid="{00000000-0005-0000-0000-0000515C0000}"/>
    <cellStyle name="Separador de milhares 3 2 3 6 2" xfId="4159" xr:uid="{00000000-0005-0000-0000-0000525C0000}"/>
    <cellStyle name="Separador de milhares 3 2 3 6 2 2" xfId="7587" xr:uid="{00000000-0005-0000-0000-0000535C0000}"/>
    <cellStyle name="Separador de milhares 3 2 3 6 2 2 2" xfId="10731" xr:uid="{00000000-0005-0000-0000-0000545C0000}"/>
    <cellStyle name="Separador de milhares 3 2 3 6 2 2 2 2" xfId="28945" xr:uid="{00000000-0005-0000-0000-0000555C0000}"/>
    <cellStyle name="Separador de milhares 3 2 3 6 2 2 2 2 2" xfId="55126" xr:uid="{00000000-0005-0000-0000-0000565C0000}"/>
    <cellStyle name="Separador de milhares 3 2 3 6 2 2 2 3" xfId="23031" xr:uid="{00000000-0005-0000-0000-0000575C0000}"/>
    <cellStyle name="Separador de milhares 3 2 3 6 2 2 2 3 2" xfId="49218" xr:uid="{00000000-0005-0000-0000-0000585C0000}"/>
    <cellStyle name="Separador de milhares 3 2 3 6 2 2 2 4" xfId="17117" xr:uid="{00000000-0005-0000-0000-0000595C0000}"/>
    <cellStyle name="Separador de milhares 3 2 3 6 2 2 2 4 2" xfId="43310" xr:uid="{00000000-0005-0000-0000-00005A5C0000}"/>
    <cellStyle name="Separador de milhares 3 2 3 6 2 2 2 5" xfId="36924" xr:uid="{00000000-0005-0000-0000-00005B5C0000}"/>
    <cellStyle name="Separador de milhares 3 2 3 6 2 2 3" xfId="25988" xr:uid="{00000000-0005-0000-0000-00005C5C0000}"/>
    <cellStyle name="Separador de milhares 3 2 3 6 2 2 3 2" xfId="52172" xr:uid="{00000000-0005-0000-0000-00005D5C0000}"/>
    <cellStyle name="Separador de milhares 3 2 3 6 2 2 4" xfId="20074" xr:uid="{00000000-0005-0000-0000-00005E5C0000}"/>
    <cellStyle name="Separador de milhares 3 2 3 6 2 2 4 2" xfId="46264" xr:uid="{00000000-0005-0000-0000-00005F5C0000}"/>
    <cellStyle name="Separador de milhares 3 2 3 6 2 2 5" xfId="13976" xr:uid="{00000000-0005-0000-0000-0000605C0000}"/>
    <cellStyle name="Separador de milhares 3 2 3 6 2 2 5 2" xfId="40169" xr:uid="{00000000-0005-0000-0000-0000615C0000}"/>
    <cellStyle name="Separador de milhares 3 2 3 6 2 2 6" xfId="33783" xr:uid="{00000000-0005-0000-0000-0000625C0000}"/>
    <cellStyle name="Separador de milhares 3 2 3 6 2 3" xfId="9263" xr:uid="{00000000-0005-0000-0000-0000635C0000}"/>
    <cellStyle name="Separador de milhares 3 2 3 6 2 3 2" xfId="27477" xr:uid="{00000000-0005-0000-0000-0000645C0000}"/>
    <cellStyle name="Separador de milhares 3 2 3 6 2 3 2 2" xfId="53658" xr:uid="{00000000-0005-0000-0000-0000655C0000}"/>
    <cellStyle name="Separador de milhares 3 2 3 6 2 3 3" xfId="21563" xr:uid="{00000000-0005-0000-0000-0000665C0000}"/>
    <cellStyle name="Separador de milhares 3 2 3 6 2 3 3 2" xfId="47750" xr:uid="{00000000-0005-0000-0000-0000675C0000}"/>
    <cellStyle name="Separador de milhares 3 2 3 6 2 3 4" xfId="15649" xr:uid="{00000000-0005-0000-0000-0000685C0000}"/>
    <cellStyle name="Separador de milhares 3 2 3 6 2 3 4 2" xfId="41842" xr:uid="{00000000-0005-0000-0000-0000695C0000}"/>
    <cellStyle name="Separador de milhares 3 2 3 6 2 3 5" xfId="35456" xr:uid="{00000000-0005-0000-0000-00006A5C0000}"/>
    <cellStyle name="Separador de milhares 3 2 3 6 2 4" xfId="5888" xr:uid="{00000000-0005-0000-0000-00006B5C0000}"/>
    <cellStyle name="Separador de milhares 3 2 3 6 2 4 2" xfId="24520" xr:uid="{00000000-0005-0000-0000-00006C5C0000}"/>
    <cellStyle name="Separador de milhares 3 2 3 6 2 4 2 2" xfId="50704" xr:uid="{00000000-0005-0000-0000-00006D5C0000}"/>
    <cellStyle name="Separador de milhares 3 2 3 6 2 4 3" xfId="32084" xr:uid="{00000000-0005-0000-0000-00006E5C0000}"/>
    <cellStyle name="Separador de milhares 3 2 3 6 2 5" xfId="18606" xr:uid="{00000000-0005-0000-0000-00006F5C0000}"/>
    <cellStyle name="Separador de milhares 3 2 3 6 2 5 2" xfId="44796" xr:uid="{00000000-0005-0000-0000-0000705C0000}"/>
    <cellStyle name="Separador de milhares 3 2 3 6 2 6" xfId="12275" xr:uid="{00000000-0005-0000-0000-0000715C0000}"/>
    <cellStyle name="Separador de milhares 3 2 3 6 2 6 2" xfId="38468" xr:uid="{00000000-0005-0000-0000-0000725C0000}"/>
    <cellStyle name="Separador de milhares 3 2 3 6 2 7" xfId="30386" xr:uid="{00000000-0005-0000-0000-0000735C0000}"/>
    <cellStyle name="Separador de milhares 3 2 3 6 3" xfId="6632" xr:uid="{00000000-0005-0000-0000-0000745C0000}"/>
    <cellStyle name="Separador de milhares 3 2 3 6 3 2" xfId="9779" xr:uid="{00000000-0005-0000-0000-0000755C0000}"/>
    <cellStyle name="Separador de milhares 3 2 3 6 3 2 2" xfId="27993" xr:uid="{00000000-0005-0000-0000-0000765C0000}"/>
    <cellStyle name="Separador de milhares 3 2 3 6 3 2 2 2" xfId="54174" xr:uid="{00000000-0005-0000-0000-0000775C0000}"/>
    <cellStyle name="Separador de milhares 3 2 3 6 3 2 3" xfId="22079" xr:uid="{00000000-0005-0000-0000-0000785C0000}"/>
    <cellStyle name="Separador de milhares 3 2 3 6 3 2 3 2" xfId="48266" xr:uid="{00000000-0005-0000-0000-0000795C0000}"/>
    <cellStyle name="Separador de milhares 3 2 3 6 3 2 4" xfId="16165" xr:uid="{00000000-0005-0000-0000-00007A5C0000}"/>
    <cellStyle name="Separador de milhares 3 2 3 6 3 2 4 2" xfId="42358" xr:uid="{00000000-0005-0000-0000-00007B5C0000}"/>
    <cellStyle name="Separador de milhares 3 2 3 6 3 2 5" xfId="35972" xr:uid="{00000000-0005-0000-0000-00007C5C0000}"/>
    <cellStyle name="Separador de milhares 3 2 3 6 3 3" xfId="25036" xr:uid="{00000000-0005-0000-0000-00007D5C0000}"/>
    <cellStyle name="Separador de milhares 3 2 3 6 3 3 2" xfId="51220" xr:uid="{00000000-0005-0000-0000-00007E5C0000}"/>
    <cellStyle name="Separador de milhares 3 2 3 6 3 4" xfId="19122" xr:uid="{00000000-0005-0000-0000-00007F5C0000}"/>
    <cellStyle name="Separador de milhares 3 2 3 6 3 4 2" xfId="45312" xr:uid="{00000000-0005-0000-0000-0000805C0000}"/>
    <cellStyle name="Separador de milhares 3 2 3 6 3 5" xfId="13021" xr:uid="{00000000-0005-0000-0000-0000815C0000}"/>
    <cellStyle name="Separador de milhares 3 2 3 6 3 5 2" xfId="39214" xr:uid="{00000000-0005-0000-0000-0000825C0000}"/>
    <cellStyle name="Separador de milhares 3 2 3 6 3 6" xfId="32828" xr:uid="{00000000-0005-0000-0000-0000835C0000}"/>
    <cellStyle name="Separador de milhares 3 2 3 6 4" xfId="8311" xr:uid="{00000000-0005-0000-0000-0000845C0000}"/>
    <cellStyle name="Separador de milhares 3 2 3 6 4 2" xfId="26525" xr:uid="{00000000-0005-0000-0000-0000855C0000}"/>
    <cellStyle name="Separador de milhares 3 2 3 6 4 2 2" xfId="52706" xr:uid="{00000000-0005-0000-0000-0000865C0000}"/>
    <cellStyle name="Separador de milhares 3 2 3 6 4 3" xfId="20611" xr:uid="{00000000-0005-0000-0000-0000875C0000}"/>
    <cellStyle name="Separador de milhares 3 2 3 6 4 3 2" xfId="46798" xr:uid="{00000000-0005-0000-0000-0000885C0000}"/>
    <cellStyle name="Separador de milhares 3 2 3 6 4 4" xfId="14697" xr:uid="{00000000-0005-0000-0000-0000895C0000}"/>
    <cellStyle name="Separador de milhares 3 2 3 6 4 4 2" xfId="40890" xr:uid="{00000000-0005-0000-0000-00008A5C0000}"/>
    <cellStyle name="Separador de milhares 3 2 3 6 4 5" xfId="34504" xr:uid="{00000000-0005-0000-0000-00008B5C0000}"/>
    <cellStyle name="Separador de milhares 3 2 3 6 5" xfId="4933" xr:uid="{00000000-0005-0000-0000-00008C5C0000}"/>
    <cellStyle name="Separador de milhares 3 2 3 6 5 2" xfId="23568" xr:uid="{00000000-0005-0000-0000-00008D5C0000}"/>
    <cellStyle name="Separador de milhares 3 2 3 6 5 2 2" xfId="49752" xr:uid="{00000000-0005-0000-0000-00008E5C0000}"/>
    <cellStyle name="Separador de milhares 3 2 3 6 5 3" xfId="31129" xr:uid="{00000000-0005-0000-0000-00008F5C0000}"/>
    <cellStyle name="Separador de milhares 3 2 3 6 6" xfId="17654" xr:uid="{00000000-0005-0000-0000-0000905C0000}"/>
    <cellStyle name="Separador de milhares 3 2 3 6 6 2" xfId="43844" xr:uid="{00000000-0005-0000-0000-0000915C0000}"/>
    <cellStyle name="Separador de milhares 3 2 3 6 7" xfId="11320" xr:uid="{00000000-0005-0000-0000-0000925C0000}"/>
    <cellStyle name="Separador de milhares 3 2 3 6 7 2" xfId="37513" xr:uid="{00000000-0005-0000-0000-0000935C0000}"/>
    <cellStyle name="Separador de milhares 3 2 3 6 8" xfId="29431" xr:uid="{00000000-0005-0000-0000-0000945C0000}"/>
    <cellStyle name="Separador de milhares 3 2 3 7" xfId="1086" xr:uid="{00000000-0005-0000-0000-0000955C0000}"/>
    <cellStyle name="Separador de milhares 3 2 3 7 2" xfId="6730" xr:uid="{00000000-0005-0000-0000-0000965C0000}"/>
    <cellStyle name="Separador de milhares 3 2 3 7 2 2" xfId="9877" xr:uid="{00000000-0005-0000-0000-0000975C0000}"/>
    <cellStyle name="Separador de milhares 3 2 3 7 2 2 2" xfId="28091" xr:uid="{00000000-0005-0000-0000-0000985C0000}"/>
    <cellStyle name="Separador de milhares 3 2 3 7 2 2 2 2" xfId="54272" xr:uid="{00000000-0005-0000-0000-0000995C0000}"/>
    <cellStyle name="Separador de milhares 3 2 3 7 2 2 3" xfId="22177" xr:uid="{00000000-0005-0000-0000-00009A5C0000}"/>
    <cellStyle name="Separador de milhares 3 2 3 7 2 2 3 2" xfId="48364" xr:uid="{00000000-0005-0000-0000-00009B5C0000}"/>
    <cellStyle name="Separador de milhares 3 2 3 7 2 2 4" xfId="16263" xr:uid="{00000000-0005-0000-0000-00009C5C0000}"/>
    <cellStyle name="Separador de milhares 3 2 3 7 2 2 4 2" xfId="42456" xr:uid="{00000000-0005-0000-0000-00009D5C0000}"/>
    <cellStyle name="Separador de milhares 3 2 3 7 2 2 5" xfId="36070" xr:uid="{00000000-0005-0000-0000-00009E5C0000}"/>
    <cellStyle name="Separador de milhares 3 2 3 7 2 3" xfId="25134" xr:uid="{00000000-0005-0000-0000-00009F5C0000}"/>
    <cellStyle name="Separador de milhares 3 2 3 7 2 3 2" xfId="51318" xr:uid="{00000000-0005-0000-0000-0000A05C0000}"/>
    <cellStyle name="Separador de milhares 3 2 3 7 2 4" xfId="19220" xr:uid="{00000000-0005-0000-0000-0000A15C0000}"/>
    <cellStyle name="Separador de milhares 3 2 3 7 2 4 2" xfId="45410" xr:uid="{00000000-0005-0000-0000-0000A25C0000}"/>
    <cellStyle name="Separador de milhares 3 2 3 7 2 5" xfId="13119" xr:uid="{00000000-0005-0000-0000-0000A35C0000}"/>
    <cellStyle name="Separador de milhares 3 2 3 7 2 5 2" xfId="39312" xr:uid="{00000000-0005-0000-0000-0000A45C0000}"/>
    <cellStyle name="Separador de milhares 3 2 3 7 2 6" xfId="32926" xr:uid="{00000000-0005-0000-0000-0000A55C0000}"/>
    <cellStyle name="Separador de milhares 3 2 3 7 3" xfId="8409" xr:uid="{00000000-0005-0000-0000-0000A65C0000}"/>
    <cellStyle name="Separador de milhares 3 2 3 7 3 2" xfId="26623" xr:uid="{00000000-0005-0000-0000-0000A75C0000}"/>
    <cellStyle name="Separador de milhares 3 2 3 7 3 2 2" xfId="52804" xr:uid="{00000000-0005-0000-0000-0000A85C0000}"/>
    <cellStyle name="Separador de milhares 3 2 3 7 3 3" xfId="20709" xr:uid="{00000000-0005-0000-0000-0000A95C0000}"/>
    <cellStyle name="Separador de milhares 3 2 3 7 3 3 2" xfId="46896" xr:uid="{00000000-0005-0000-0000-0000AA5C0000}"/>
    <cellStyle name="Separador de milhares 3 2 3 7 3 4" xfId="14795" xr:uid="{00000000-0005-0000-0000-0000AB5C0000}"/>
    <cellStyle name="Separador de milhares 3 2 3 7 3 4 2" xfId="40988" xr:uid="{00000000-0005-0000-0000-0000AC5C0000}"/>
    <cellStyle name="Separador de milhares 3 2 3 7 3 5" xfId="34602" xr:uid="{00000000-0005-0000-0000-0000AD5C0000}"/>
    <cellStyle name="Separador de milhares 3 2 3 7 4" xfId="5031" xr:uid="{00000000-0005-0000-0000-0000AE5C0000}"/>
    <cellStyle name="Separador de milhares 3 2 3 7 4 2" xfId="23666" xr:uid="{00000000-0005-0000-0000-0000AF5C0000}"/>
    <cellStyle name="Separador de milhares 3 2 3 7 4 2 2" xfId="49850" xr:uid="{00000000-0005-0000-0000-0000B05C0000}"/>
    <cellStyle name="Separador de milhares 3 2 3 7 4 3" xfId="31227" xr:uid="{00000000-0005-0000-0000-0000B15C0000}"/>
    <cellStyle name="Separador de milhares 3 2 3 7 5" xfId="17752" xr:uid="{00000000-0005-0000-0000-0000B25C0000}"/>
    <cellStyle name="Separador de milhares 3 2 3 7 5 2" xfId="43942" xr:uid="{00000000-0005-0000-0000-0000B35C0000}"/>
    <cellStyle name="Separador de milhares 3 2 3 7 6" xfId="11418" xr:uid="{00000000-0005-0000-0000-0000B45C0000}"/>
    <cellStyle name="Separador de milhares 3 2 3 7 6 2" xfId="37611" xr:uid="{00000000-0005-0000-0000-0000B55C0000}"/>
    <cellStyle name="Separador de milhares 3 2 3 7 7" xfId="29529" xr:uid="{00000000-0005-0000-0000-0000B65C0000}"/>
    <cellStyle name="Separador de milhares 3 2 3 8" xfId="1521" xr:uid="{00000000-0005-0000-0000-0000B75C0000}"/>
    <cellStyle name="Separador de milhares 3 2 3 8 2" xfId="6849" xr:uid="{00000000-0005-0000-0000-0000B85C0000}"/>
    <cellStyle name="Separador de milhares 3 2 3 8 2 2" xfId="9996" xr:uid="{00000000-0005-0000-0000-0000B95C0000}"/>
    <cellStyle name="Separador de milhares 3 2 3 8 2 2 2" xfId="28210" xr:uid="{00000000-0005-0000-0000-0000BA5C0000}"/>
    <cellStyle name="Separador de milhares 3 2 3 8 2 2 2 2" xfId="54391" xr:uid="{00000000-0005-0000-0000-0000BB5C0000}"/>
    <cellStyle name="Separador de milhares 3 2 3 8 2 2 3" xfId="22296" xr:uid="{00000000-0005-0000-0000-0000BC5C0000}"/>
    <cellStyle name="Separador de milhares 3 2 3 8 2 2 3 2" xfId="48483" xr:uid="{00000000-0005-0000-0000-0000BD5C0000}"/>
    <cellStyle name="Separador de milhares 3 2 3 8 2 2 4" xfId="16382" xr:uid="{00000000-0005-0000-0000-0000BE5C0000}"/>
    <cellStyle name="Separador de milhares 3 2 3 8 2 2 4 2" xfId="42575" xr:uid="{00000000-0005-0000-0000-0000BF5C0000}"/>
    <cellStyle name="Separador de milhares 3 2 3 8 2 2 5" xfId="36189" xr:uid="{00000000-0005-0000-0000-0000C05C0000}"/>
    <cellStyle name="Separador de milhares 3 2 3 8 2 3" xfId="25253" xr:uid="{00000000-0005-0000-0000-0000C15C0000}"/>
    <cellStyle name="Separador de milhares 3 2 3 8 2 3 2" xfId="51437" xr:uid="{00000000-0005-0000-0000-0000C25C0000}"/>
    <cellStyle name="Separador de milhares 3 2 3 8 2 4" xfId="19339" xr:uid="{00000000-0005-0000-0000-0000C35C0000}"/>
    <cellStyle name="Separador de milhares 3 2 3 8 2 4 2" xfId="45529" xr:uid="{00000000-0005-0000-0000-0000C45C0000}"/>
    <cellStyle name="Separador de milhares 3 2 3 8 2 5" xfId="13238" xr:uid="{00000000-0005-0000-0000-0000C55C0000}"/>
    <cellStyle name="Separador de milhares 3 2 3 8 2 5 2" xfId="39431" xr:uid="{00000000-0005-0000-0000-0000C65C0000}"/>
    <cellStyle name="Separador de milhares 3 2 3 8 2 6" xfId="33045" xr:uid="{00000000-0005-0000-0000-0000C75C0000}"/>
    <cellStyle name="Separador de milhares 3 2 3 8 3" xfId="8528" xr:uid="{00000000-0005-0000-0000-0000C85C0000}"/>
    <cellStyle name="Separador de milhares 3 2 3 8 3 2" xfId="26742" xr:uid="{00000000-0005-0000-0000-0000C95C0000}"/>
    <cellStyle name="Separador de milhares 3 2 3 8 3 2 2" xfId="52923" xr:uid="{00000000-0005-0000-0000-0000CA5C0000}"/>
    <cellStyle name="Separador de milhares 3 2 3 8 3 3" xfId="20828" xr:uid="{00000000-0005-0000-0000-0000CB5C0000}"/>
    <cellStyle name="Separador de milhares 3 2 3 8 3 3 2" xfId="47015" xr:uid="{00000000-0005-0000-0000-0000CC5C0000}"/>
    <cellStyle name="Separador de milhares 3 2 3 8 3 4" xfId="14914" xr:uid="{00000000-0005-0000-0000-0000CD5C0000}"/>
    <cellStyle name="Separador de milhares 3 2 3 8 3 4 2" xfId="41107" xr:uid="{00000000-0005-0000-0000-0000CE5C0000}"/>
    <cellStyle name="Separador de milhares 3 2 3 8 3 5" xfId="34721" xr:uid="{00000000-0005-0000-0000-0000CF5C0000}"/>
    <cellStyle name="Separador de milhares 3 2 3 8 4" xfId="5150" xr:uid="{00000000-0005-0000-0000-0000D05C0000}"/>
    <cellStyle name="Separador de milhares 3 2 3 8 4 2" xfId="23785" xr:uid="{00000000-0005-0000-0000-0000D15C0000}"/>
    <cellStyle name="Separador de milhares 3 2 3 8 4 2 2" xfId="49969" xr:uid="{00000000-0005-0000-0000-0000D25C0000}"/>
    <cellStyle name="Separador de milhares 3 2 3 8 4 3" xfId="31346" xr:uid="{00000000-0005-0000-0000-0000D35C0000}"/>
    <cellStyle name="Separador de milhares 3 2 3 8 5" xfId="17871" xr:uid="{00000000-0005-0000-0000-0000D45C0000}"/>
    <cellStyle name="Separador de milhares 3 2 3 8 5 2" xfId="44061" xr:uid="{00000000-0005-0000-0000-0000D55C0000}"/>
    <cellStyle name="Separador de milhares 3 2 3 8 6" xfId="11537" xr:uid="{00000000-0005-0000-0000-0000D65C0000}"/>
    <cellStyle name="Separador de milhares 3 2 3 8 6 2" xfId="37730" xr:uid="{00000000-0005-0000-0000-0000D75C0000}"/>
    <cellStyle name="Separador de milhares 3 2 3 8 7" xfId="29648" xr:uid="{00000000-0005-0000-0000-0000D85C0000}"/>
    <cellStyle name="Separador de milhares 3 2 3 9" xfId="2051" xr:uid="{00000000-0005-0000-0000-0000D95C0000}"/>
    <cellStyle name="Separador de milhares 3 2 3 9 2" xfId="6999" xr:uid="{00000000-0005-0000-0000-0000DA5C0000}"/>
    <cellStyle name="Separador de milhares 3 2 3 9 2 2" xfId="10143" xr:uid="{00000000-0005-0000-0000-0000DB5C0000}"/>
    <cellStyle name="Separador de milhares 3 2 3 9 2 2 2" xfId="28357" xr:uid="{00000000-0005-0000-0000-0000DC5C0000}"/>
    <cellStyle name="Separador de milhares 3 2 3 9 2 2 2 2" xfId="54538" xr:uid="{00000000-0005-0000-0000-0000DD5C0000}"/>
    <cellStyle name="Separador de milhares 3 2 3 9 2 2 3" xfId="22443" xr:uid="{00000000-0005-0000-0000-0000DE5C0000}"/>
    <cellStyle name="Separador de milhares 3 2 3 9 2 2 3 2" xfId="48630" xr:uid="{00000000-0005-0000-0000-0000DF5C0000}"/>
    <cellStyle name="Separador de milhares 3 2 3 9 2 2 4" xfId="16529" xr:uid="{00000000-0005-0000-0000-0000E05C0000}"/>
    <cellStyle name="Separador de milhares 3 2 3 9 2 2 4 2" xfId="42722" xr:uid="{00000000-0005-0000-0000-0000E15C0000}"/>
    <cellStyle name="Separador de milhares 3 2 3 9 2 2 5" xfId="36336" xr:uid="{00000000-0005-0000-0000-0000E25C0000}"/>
    <cellStyle name="Separador de milhares 3 2 3 9 2 3" xfId="25400" xr:uid="{00000000-0005-0000-0000-0000E35C0000}"/>
    <cellStyle name="Separador de milhares 3 2 3 9 2 3 2" xfId="51584" xr:uid="{00000000-0005-0000-0000-0000E45C0000}"/>
    <cellStyle name="Separador de milhares 3 2 3 9 2 4" xfId="19486" xr:uid="{00000000-0005-0000-0000-0000E55C0000}"/>
    <cellStyle name="Separador de milhares 3 2 3 9 2 4 2" xfId="45676" xr:uid="{00000000-0005-0000-0000-0000E65C0000}"/>
    <cellStyle name="Separador de milhares 3 2 3 9 2 5" xfId="13388" xr:uid="{00000000-0005-0000-0000-0000E75C0000}"/>
    <cellStyle name="Separador de milhares 3 2 3 9 2 5 2" xfId="39581" xr:uid="{00000000-0005-0000-0000-0000E85C0000}"/>
    <cellStyle name="Separador de milhares 3 2 3 9 2 6" xfId="33195" xr:uid="{00000000-0005-0000-0000-0000E95C0000}"/>
    <cellStyle name="Separador de milhares 3 2 3 9 3" xfId="8675" xr:uid="{00000000-0005-0000-0000-0000EA5C0000}"/>
    <cellStyle name="Separador de milhares 3 2 3 9 3 2" xfId="26889" xr:uid="{00000000-0005-0000-0000-0000EB5C0000}"/>
    <cellStyle name="Separador de milhares 3 2 3 9 3 2 2" xfId="53070" xr:uid="{00000000-0005-0000-0000-0000EC5C0000}"/>
    <cellStyle name="Separador de milhares 3 2 3 9 3 3" xfId="20975" xr:uid="{00000000-0005-0000-0000-0000ED5C0000}"/>
    <cellStyle name="Separador de milhares 3 2 3 9 3 3 2" xfId="47162" xr:uid="{00000000-0005-0000-0000-0000EE5C0000}"/>
    <cellStyle name="Separador de milhares 3 2 3 9 3 4" xfId="15061" xr:uid="{00000000-0005-0000-0000-0000EF5C0000}"/>
    <cellStyle name="Separador de milhares 3 2 3 9 3 4 2" xfId="41254" xr:uid="{00000000-0005-0000-0000-0000F05C0000}"/>
    <cellStyle name="Separador de milhares 3 2 3 9 3 5" xfId="34868" xr:uid="{00000000-0005-0000-0000-0000F15C0000}"/>
    <cellStyle name="Separador de milhares 3 2 3 9 4" xfId="5300" xr:uid="{00000000-0005-0000-0000-0000F25C0000}"/>
    <cellStyle name="Separador de milhares 3 2 3 9 4 2" xfId="23932" xr:uid="{00000000-0005-0000-0000-0000F35C0000}"/>
    <cellStyle name="Separador de milhares 3 2 3 9 4 2 2" xfId="50116" xr:uid="{00000000-0005-0000-0000-0000F45C0000}"/>
    <cellStyle name="Separador de milhares 3 2 3 9 4 3" xfId="31496" xr:uid="{00000000-0005-0000-0000-0000F55C0000}"/>
    <cellStyle name="Separador de milhares 3 2 3 9 5" xfId="18018" xr:uid="{00000000-0005-0000-0000-0000F65C0000}"/>
    <cellStyle name="Separador de milhares 3 2 3 9 5 2" xfId="44208" xr:uid="{00000000-0005-0000-0000-0000F75C0000}"/>
    <cellStyle name="Separador de milhares 3 2 3 9 6" xfId="11687" xr:uid="{00000000-0005-0000-0000-0000F85C0000}"/>
    <cellStyle name="Separador de milhares 3 2 3 9 6 2" xfId="37880" xr:uid="{00000000-0005-0000-0000-0000F95C0000}"/>
    <cellStyle name="Separador de milhares 3 2 3 9 7" xfId="29798" xr:uid="{00000000-0005-0000-0000-0000FA5C0000}"/>
    <cellStyle name="Separador de milhares 3 2 4" xfId="83" xr:uid="{00000000-0005-0000-0000-0000FB5C0000}"/>
    <cellStyle name="Separador de milhares 3 2 4 10" xfId="2586" xr:uid="{00000000-0005-0000-0000-0000FC5C0000}"/>
    <cellStyle name="Separador de milhares 3 2 4 10 2" xfId="7148" xr:uid="{00000000-0005-0000-0000-0000FD5C0000}"/>
    <cellStyle name="Separador de milhares 3 2 4 10 2 2" xfId="10292" xr:uid="{00000000-0005-0000-0000-0000FE5C0000}"/>
    <cellStyle name="Separador de milhares 3 2 4 10 2 2 2" xfId="28506" xr:uid="{00000000-0005-0000-0000-0000FF5C0000}"/>
    <cellStyle name="Separador de milhares 3 2 4 10 2 2 2 2" xfId="54687" xr:uid="{00000000-0005-0000-0000-0000005D0000}"/>
    <cellStyle name="Separador de milhares 3 2 4 10 2 2 3" xfId="22592" xr:uid="{00000000-0005-0000-0000-0000015D0000}"/>
    <cellStyle name="Separador de milhares 3 2 4 10 2 2 3 2" xfId="48779" xr:uid="{00000000-0005-0000-0000-0000025D0000}"/>
    <cellStyle name="Separador de milhares 3 2 4 10 2 2 4" xfId="16678" xr:uid="{00000000-0005-0000-0000-0000035D0000}"/>
    <cellStyle name="Separador de milhares 3 2 4 10 2 2 4 2" xfId="42871" xr:uid="{00000000-0005-0000-0000-0000045D0000}"/>
    <cellStyle name="Separador de milhares 3 2 4 10 2 2 5" xfId="36485" xr:uid="{00000000-0005-0000-0000-0000055D0000}"/>
    <cellStyle name="Separador de milhares 3 2 4 10 2 3" xfId="25549" xr:uid="{00000000-0005-0000-0000-0000065D0000}"/>
    <cellStyle name="Separador de milhares 3 2 4 10 2 3 2" xfId="51733" xr:uid="{00000000-0005-0000-0000-0000075D0000}"/>
    <cellStyle name="Separador de milhares 3 2 4 10 2 4" xfId="19635" xr:uid="{00000000-0005-0000-0000-0000085D0000}"/>
    <cellStyle name="Separador de milhares 3 2 4 10 2 4 2" xfId="45825" xr:uid="{00000000-0005-0000-0000-0000095D0000}"/>
    <cellStyle name="Separador de milhares 3 2 4 10 2 5" xfId="13537" xr:uid="{00000000-0005-0000-0000-00000A5D0000}"/>
    <cellStyle name="Separador de milhares 3 2 4 10 2 5 2" xfId="39730" xr:uid="{00000000-0005-0000-0000-00000B5D0000}"/>
    <cellStyle name="Separador de milhares 3 2 4 10 2 6" xfId="33344" xr:uid="{00000000-0005-0000-0000-00000C5D0000}"/>
    <cellStyle name="Separador de milhares 3 2 4 10 3" xfId="8824" xr:uid="{00000000-0005-0000-0000-00000D5D0000}"/>
    <cellStyle name="Separador de milhares 3 2 4 10 3 2" xfId="27038" xr:uid="{00000000-0005-0000-0000-00000E5D0000}"/>
    <cellStyle name="Separador de milhares 3 2 4 10 3 2 2" xfId="53219" xr:uid="{00000000-0005-0000-0000-00000F5D0000}"/>
    <cellStyle name="Separador de milhares 3 2 4 10 3 3" xfId="21124" xr:uid="{00000000-0005-0000-0000-0000105D0000}"/>
    <cellStyle name="Separador de milhares 3 2 4 10 3 3 2" xfId="47311" xr:uid="{00000000-0005-0000-0000-0000115D0000}"/>
    <cellStyle name="Separador de milhares 3 2 4 10 3 4" xfId="15210" xr:uid="{00000000-0005-0000-0000-0000125D0000}"/>
    <cellStyle name="Separador de milhares 3 2 4 10 3 4 2" xfId="41403" xr:uid="{00000000-0005-0000-0000-0000135D0000}"/>
    <cellStyle name="Separador de milhares 3 2 4 10 3 5" xfId="35017" xr:uid="{00000000-0005-0000-0000-0000145D0000}"/>
    <cellStyle name="Separador de milhares 3 2 4 10 4" xfId="5449" xr:uid="{00000000-0005-0000-0000-0000155D0000}"/>
    <cellStyle name="Separador de milhares 3 2 4 10 4 2" xfId="24081" xr:uid="{00000000-0005-0000-0000-0000165D0000}"/>
    <cellStyle name="Separador de milhares 3 2 4 10 4 2 2" xfId="50265" xr:uid="{00000000-0005-0000-0000-0000175D0000}"/>
    <cellStyle name="Separador de milhares 3 2 4 10 4 3" xfId="31645" xr:uid="{00000000-0005-0000-0000-0000185D0000}"/>
    <cellStyle name="Separador de milhares 3 2 4 10 5" xfId="18167" xr:uid="{00000000-0005-0000-0000-0000195D0000}"/>
    <cellStyle name="Separador de milhares 3 2 4 10 5 2" xfId="44357" xr:uid="{00000000-0005-0000-0000-00001A5D0000}"/>
    <cellStyle name="Separador de milhares 3 2 4 10 6" xfId="11836" xr:uid="{00000000-0005-0000-0000-00001B5D0000}"/>
    <cellStyle name="Separador de milhares 3 2 4 10 6 2" xfId="38029" xr:uid="{00000000-0005-0000-0000-00001C5D0000}"/>
    <cellStyle name="Separador de milhares 3 2 4 10 7" xfId="29947" xr:uid="{00000000-0005-0000-0000-00001D5D0000}"/>
    <cellStyle name="Separador de milhares 3 2 4 11" xfId="3113" xr:uid="{00000000-0005-0000-0000-00001E5D0000}"/>
    <cellStyle name="Separador de milhares 3 2 4 11 2" xfId="7295" xr:uid="{00000000-0005-0000-0000-00001F5D0000}"/>
    <cellStyle name="Separador de milhares 3 2 4 11 2 2" xfId="10439" xr:uid="{00000000-0005-0000-0000-0000205D0000}"/>
    <cellStyle name="Separador de milhares 3 2 4 11 2 2 2" xfId="28653" xr:uid="{00000000-0005-0000-0000-0000215D0000}"/>
    <cellStyle name="Separador de milhares 3 2 4 11 2 2 2 2" xfId="54834" xr:uid="{00000000-0005-0000-0000-0000225D0000}"/>
    <cellStyle name="Separador de milhares 3 2 4 11 2 2 3" xfId="22739" xr:uid="{00000000-0005-0000-0000-0000235D0000}"/>
    <cellStyle name="Separador de milhares 3 2 4 11 2 2 3 2" xfId="48926" xr:uid="{00000000-0005-0000-0000-0000245D0000}"/>
    <cellStyle name="Separador de milhares 3 2 4 11 2 2 4" xfId="16825" xr:uid="{00000000-0005-0000-0000-0000255D0000}"/>
    <cellStyle name="Separador de milhares 3 2 4 11 2 2 4 2" xfId="43018" xr:uid="{00000000-0005-0000-0000-0000265D0000}"/>
    <cellStyle name="Separador de milhares 3 2 4 11 2 2 5" xfId="36632" xr:uid="{00000000-0005-0000-0000-0000275D0000}"/>
    <cellStyle name="Separador de milhares 3 2 4 11 2 3" xfId="25696" xr:uid="{00000000-0005-0000-0000-0000285D0000}"/>
    <cellStyle name="Separador de milhares 3 2 4 11 2 3 2" xfId="51880" xr:uid="{00000000-0005-0000-0000-0000295D0000}"/>
    <cellStyle name="Separador de milhares 3 2 4 11 2 4" xfId="19782" xr:uid="{00000000-0005-0000-0000-00002A5D0000}"/>
    <cellStyle name="Separador de milhares 3 2 4 11 2 4 2" xfId="45972" xr:uid="{00000000-0005-0000-0000-00002B5D0000}"/>
    <cellStyle name="Separador de milhares 3 2 4 11 2 5" xfId="13684" xr:uid="{00000000-0005-0000-0000-00002C5D0000}"/>
    <cellStyle name="Separador de milhares 3 2 4 11 2 5 2" xfId="39877" xr:uid="{00000000-0005-0000-0000-00002D5D0000}"/>
    <cellStyle name="Separador de milhares 3 2 4 11 2 6" xfId="33491" xr:uid="{00000000-0005-0000-0000-00002E5D0000}"/>
    <cellStyle name="Separador de milhares 3 2 4 11 3" xfId="8971" xr:uid="{00000000-0005-0000-0000-00002F5D0000}"/>
    <cellStyle name="Separador de milhares 3 2 4 11 3 2" xfId="27185" xr:uid="{00000000-0005-0000-0000-0000305D0000}"/>
    <cellStyle name="Separador de milhares 3 2 4 11 3 2 2" xfId="53366" xr:uid="{00000000-0005-0000-0000-0000315D0000}"/>
    <cellStyle name="Separador de milhares 3 2 4 11 3 3" xfId="21271" xr:uid="{00000000-0005-0000-0000-0000325D0000}"/>
    <cellStyle name="Separador de milhares 3 2 4 11 3 3 2" xfId="47458" xr:uid="{00000000-0005-0000-0000-0000335D0000}"/>
    <cellStyle name="Separador de milhares 3 2 4 11 3 4" xfId="15357" xr:uid="{00000000-0005-0000-0000-0000345D0000}"/>
    <cellStyle name="Separador de milhares 3 2 4 11 3 4 2" xfId="41550" xr:uid="{00000000-0005-0000-0000-0000355D0000}"/>
    <cellStyle name="Separador de milhares 3 2 4 11 3 5" xfId="35164" xr:uid="{00000000-0005-0000-0000-0000365D0000}"/>
    <cellStyle name="Separador de milhares 3 2 4 11 4" xfId="5596" xr:uid="{00000000-0005-0000-0000-0000375D0000}"/>
    <cellStyle name="Separador de milhares 3 2 4 11 4 2" xfId="24228" xr:uid="{00000000-0005-0000-0000-0000385D0000}"/>
    <cellStyle name="Separador de milhares 3 2 4 11 4 2 2" xfId="50412" xr:uid="{00000000-0005-0000-0000-0000395D0000}"/>
    <cellStyle name="Separador de milhares 3 2 4 11 4 3" xfId="31792" xr:uid="{00000000-0005-0000-0000-00003A5D0000}"/>
    <cellStyle name="Separador de milhares 3 2 4 11 5" xfId="18314" xr:uid="{00000000-0005-0000-0000-00003B5D0000}"/>
    <cellStyle name="Separador de milhares 3 2 4 11 5 2" xfId="44504" xr:uid="{00000000-0005-0000-0000-00003C5D0000}"/>
    <cellStyle name="Separador de milhares 3 2 4 11 6" xfId="11983" xr:uid="{00000000-0005-0000-0000-00003D5D0000}"/>
    <cellStyle name="Separador de milhares 3 2 4 11 6 2" xfId="38176" xr:uid="{00000000-0005-0000-0000-00003E5D0000}"/>
    <cellStyle name="Separador de milhares 3 2 4 11 7" xfId="30094" xr:uid="{00000000-0005-0000-0000-00003F5D0000}"/>
    <cellStyle name="Separador de milhares 3 2 4 12" xfId="3640" xr:uid="{00000000-0005-0000-0000-0000405D0000}"/>
    <cellStyle name="Separador de milhares 3 2 4 12 2" xfId="7442" xr:uid="{00000000-0005-0000-0000-0000415D0000}"/>
    <cellStyle name="Separador de milhares 3 2 4 12 2 2" xfId="10586" xr:uid="{00000000-0005-0000-0000-0000425D0000}"/>
    <cellStyle name="Separador de milhares 3 2 4 12 2 2 2" xfId="28800" xr:uid="{00000000-0005-0000-0000-0000435D0000}"/>
    <cellStyle name="Separador de milhares 3 2 4 12 2 2 2 2" xfId="54981" xr:uid="{00000000-0005-0000-0000-0000445D0000}"/>
    <cellStyle name="Separador de milhares 3 2 4 12 2 2 3" xfId="22886" xr:uid="{00000000-0005-0000-0000-0000455D0000}"/>
    <cellStyle name="Separador de milhares 3 2 4 12 2 2 3 2" xfId="49073" xr:uid="{00000000-0005-0000-0000-0000465D0000}"/>
    <cellStyle name="Separador de milhares 3 2 4 12 2 2 4" xfId="16972" xr:uid="{00000000-0005-0000-0000-0000475D0000}"/>
    <cellStyle name="Separador de milhares 3 2 4 12 2 2 4 2" xfId="43165" xr:uid="{00000000-0005-0000-0000-0000485D0000}"/>
    <cellStyle name="Separador de milhares 3 2 4 12 2 2 5" xfId="36779" xr:uid="{00000000-0005-0000-0000-0000495D0000}"/>
    <cellStyle name="Separador de milhares 3 2 4 12 2 3" xfId="25843" xr:uid="{00000000-0005-0000-0000-00004A5D0000}"/>
    <cellStyle name="Separador de milhares 3 2 4 12 2 3 2" xfId="52027" xr:uid="{00000000-0005-0000-0000-00004B5D0000}"/>
    <cellStyle name="Separador de milhares 3 2 4 12 2 4" xfId="19929" xr:uid="{00000000-0005-0000-0000-00004C5D0000}"/>
    <cellStyle name="Separador de milhares 3 2 4 12 2 4 2" xfId="46119" xr:uid="{00000000-0005-0000-0000-00004D5D0000}"/>
    <cellStyle name="Separador de milhares 3 2 4 12 2 5" xfId="13831" xr:uid="{00000000-0005-0000-0000-00004E5D0000}"/>
    <cellStyle name="Separador de milhares 3 2 4 12 2 5 2" xfId="40024" xr:uid="{00000000-0005-0000-0000-00004F5D0000}"/>
    <cellStyle name="Separador de milhares 3 2 4 12 2 6" xfId="33638" xr:uid="{00000000-0005-0000-0000-0000505D0000}"/>
    <cellStyle name="Separador de milhares 3 2 4 12 3" xfId="9118" xr:uid="{00000000-0005-0000-0000-0000515D0000}"/>
    <cellStyle name="Separador de milhares 3 2 4 12 3 2" xfId="27332" xr:uid="{00000000-0005-0000-0000-0000525D0000}"/>
    <cellStyle name="Separador de milhares 3 2 4 12 3 2 2" xfId="53513" xr:uid="{00000000-0005-0000-0000-0000535D0000}"/>
    <cellStyle name="Separador de milhares 3 2 4 12 3 3" xfId="21418" xr:uid="{00000000-0005-0000-0000-0000545D0000}"/>
    <cellStyle name="Separador de milhares 3 2 4 12 3 3 2" xfId="47605" xr:uid="{00000000-0005-0000-0000-0000555D0000}"/>
    <cellStyle name="Separador de milhares 3 2 4 12 3 4" xfId="15504" xr:uid="{00000000-0005-0000-0000-0000565D0000}"/>
    <cellStyle name="Separador de milhares 3 2 4 12 3 4 2" xfId="41697" xr:uid="{00000000-0005-0000-0000-0000575D0000}"/>
    <cellStyle name="Separador de milhares 3 2 4 12 3 5" xfId="35311" xr:uid="{00000000-0005-0000-0000-0000585D0000}"/>
    <cellStyle name="Separador de milhares 3 2 4 12 4" xfId="5743" xr:uid="{00000000-0005-0000-0000-0000595D0000}"/>
    <cellStyle name="Separador de milhares 3 2 4 12 4 2" xfId="24375" xr:uid="{00000000-0005-0000-0000-00005A5D0000}"/>
    <cellStyle name="Separador de milhares 3 2 4 12 4 2 2" xfId="50559" xr:uid="{00000000-0005-0000-0000-00005B5D0000}"/>
    <cellStyle name="Separador de milhares 3 2 4 12 4 3" xfId="31939" xr:uid="{00000000-0005-0000-0000-00005C5D0000}"/>
    <cellStyle name="Separador de milhares 3 2 4 12 5" xfId="18461" xr:uid="{00000000-0005-0000-0000-00005D5D0000}"/>
    <cellStyle name="Separador de milhares 3 2 4 12 5 2" xfId="44651" xr:uid="{00000000-0005-0000-0000-00005E5D0000}"/>
    <cellStyle name="Separador de milhares 3 2 4 12 6" xfId="12130" xr:uid="{00000000-0005-0000-0000-00005F5D0000}"/>
    <cellStyle name="Separador de milhares 3 2 4 12 6 2" xfId="38323" xr:uid="{00000000-0005-0000-0000-0000605D0000}"/>
    <cellStyle name="Separador de milhares 3 2 4 12 7" xfId="30241" xr:uid="{00000000-0005-0000-0000-0000615D0000}"/>
    <cellStyle name="Separador de milhares 3 2 4 13" xfId="6426" xr:uid="{00000000-0005-0000-0000-0000625D0000}"/>
    <cellStyle name="Separador de milhares 3 2 4 13 2" xfId="9582" xr:uid="{00000000-0005-0000-0000-0000635D0000}"/>
    <cellStyle name="Separador de milhares 3 2 4 13 2 2" xfId="27796" xr:uid="{00000000-0005-0000-0000-0000645D0000}"/>
    <cellStyle name="Separador de milhares 3 2 4 13 2 2 2" xfId="53977" xr:uid="{00000000-0005-0000-0000-0000655D0000}"/>
    <cellStyle name="Separador de milhares 3 2 4 13 2 3" xfId="21882" xr:uid="{00000000-0005-0000-0000-0000665D0000}"/>
    <cellStyle name="Separador de milhares 3 2 4 13 2 3 2" xfId="48069" xr:uid="{00000000-0005-0000-0000-0000675D0000}"/>
    <cellStyle name="Separador de milhares 3 2 4 13 2 4" xfId="15968" xr:uid="{00000000-0005-0000-0000-0000685D0000}"/>
    <cellStyle name="Separador de milhares 3 2 4 13 2 4 2" xfId="42161" xr:uid="{00000000-0005-0000-0000-0000695D0000}"/>
    <cellStyle name="Separador de milhares 3 2 4 13 2 5" xfId="35775" xr:uid="{00000000-0005-0000-0000-00006A5D0000}"/>
    <cellStyle name="Separador de milhares 3 2 4 13 3" xfId="24839" xr:uid="{00000000-0005-0000-0000-00006B5D0000}"/>
    <cellStyle name="Separador de milhares 3 2 4 13 3 2" xfId="51023" xr:uid="{00000000-0005-0000-0000-00006C5D0000}"/>
    <cellStyle name="Separador de milhares 3 2 4 13 4" xfId="18925" xr:uid="{00000000-0005-0000-0000-00006D5D0000}"/>
    <cellStyle name="Separador de milhares 3 2 4 13 4 2" xfId="45115" xr:uid="{00000000-0005-0000-0000-00006E5D0000}"/>
    <cellStyle name="Separador de milhares 3 2 4 13 5" xfId="12815" xr:uid="{00000000-0005-0000-0000-00006F5D0000}"/>
    <cellStyle name="Separador de milhares 3 2 4 13 5 2" xfId="39008" xr:uid="{00000000-0005-0000-0000-0000705D0000}"/>
    <cellStyle name="Separador de milhares 3 2 4 13 6" xfId="32622" xr:uid="{00000000-0005-0000-0000-0000715D0000}"/>
    <cellStyle name="Separador de milhares 3 2 4 14" xfId="8111" xr:uid="{00000000-0005-0000-0000-0000725D0000}"/>
    <cellStyle name="Separador de milhares 3 2 4 14 2" xfId="26325" xr:uid="{00000000-0005-0000-0000-0000735D0000}"/>
    <cellStyle name="Separador de milhares 3 2 4 14 2 2" xfId="52509" xr:uid="{00000000-0005-0000-0000-0000745D0000}"/>
    <cellStyle name="Separador de milhares 3 2 4 14 3" xfId="20411" xr:uid="{00000000-0005-0000-0000-0000755D0000}"/>
    <cellStyle name="Separador de milhares 3 2 4 14 3 2" xfId="46601" xr:uid="{00000000-0005-0000-0000-0000765D0000}"/>
    <cellStyle name="Separador de milhares 3 2 4 14 4" xfId="14500" xr:uid="{00000000-0005-0000-0000-0000775D0000}"/>
    <cellStyle name="Separador de milhares 3 2 4 14 4 2" xfId="40693" xr:uid="{00000000-0005-0000-0000-0000785D0000}"/>
    <cellStyle name="Separador de milhares 3 2 4 14 5" xfId="34307" xr:uid="{00000000-0005-0000-0000-0000795D0000}"/>
    <cellStyle name="Separador de milhares 3 2 4 15" xfId="4724" xr:uid="{00000000-0005-0000-0000-00007A5D0000}"/>
    <cellStyle name="Separador de milhares 3 2 4 15 2" xfId="23368" xr:uid="{00000000-0005-0000-0000-00007B5D0000}"/>
    <cellStyle name="Separador de milhares 3 2 4 15 2 2" xfId="49555" xr:uid="{00000000-0005-0000-0000-00007C5D0000}"/>
    <cellStyle name="Separador de milhares 3 2 4 15 3" xfId="30923" xr:uid="{00000000-0005-0000-0000-00007D5D0000}"/>
    <cellStyle name="Separador de milhares 3 2 4 16" xfId="17454" xr:uid="{00000000-0005-0000-0000-00007E5D0000}"/>
    <cellStyle name="Separador de milhares 3 2 4 16 2" xfId="43647" xr:uid="{00000000-0005-0000-0000-00007F5D0000}"/>
    <cellStyle name="Separador de milhares 3 2 4 17" xfId="11114" xr:uid="{00000000-0005-0000-0000-0000805D0000}"/>
    <cellStyle name="Separador de milhares 3 2 4 17 2" xfId="37307" xr:uid="{00000000-0005-0000-0000-0000815D0000}"/>
    <cellStyle name="Separador de milhares 3 2 4 18" xfId="29225" xr:uid="{00000000-0005-0000-0000-0000825D0000}"/>
    <cellStyle name="Separador de milhares 3 2 4 2" xfId="177" xr:uid="{00000000-0005-0000-0000-0000835D0000}"/>
    <cellStyle name="Separador de milhares 3 2 4 2 10" xfId="6455" xr:uid="{00000000-0005-0000-0000-0000845D0000}"/>
    <cellStyle name="Separador de milhares 3 2 4 2 10 2" xfId="9609" xr:uid="{00000000-0005-0000-0000-0000855D0000}"/>
    <cellStyle name="Separador de milhares 3 2 4 2 10 2 2" xfId="27823" xr:uid="{00000000-0005-0000-0000-0000865D0000}"/>
    <cellStyle name="Separador de milhares 3 2 4 2 10 2 2 2" xfId="54004" xr:uid="{00000000-0005-0000-0000-0000875D0000}"/>
    <cellStyle name="Separador de milhares 3 2 4 2 10 2 3" xfId="21909" xr:uid="{00000000-0005-0000-0000-0000885D0000}"/>
    <cellStyle name="Separador de milhares 3 2 4 2 10 2 3 2" xfId="48096" xr:uid="{00000000-0005-0000-0000-0000895D0000}"/>
    <cellStyle name="Separador de milhares 3 2 4 2 10 2 4" xfId="15995" xr:uid="{00000000-0005-0000-0000-00008A5D0000}"/>
    <cellStyle name="Separador de milhares 3 2 4 2 10 2 4 2" xfId="42188" xr:uid="{00000000-0005-0000-0000-00008B5D0000}"/>
    <cellStyle name="Separador de milhares 3 2 4 2 10 2 5" xfId="35802" xr:uid="{00000000-0005-0000-0000-00008C5D0000}"/>
    <cellStyle name="Separador de milhares 3 2 4 2 10 3" xfId="24866" xr:uid="{00000000-0005-0000-0000-00008D5D0000}"/>
    <cellStyle name="Separador de milhares 3 2 4 2 10 3 2" xfId="51050" xr:uid="{00000000-0005-0000-0000-00008E5D0000}"/>
    <cellStyle name="Separador de milhares 3 2 4 2 10 4" xfId="18952" xr:uid="{00000000-0005-0000-0000-00008F5D0000}"/>
    <cellStyle name="Separador de milhares 3 2 4 2 10 4 2" xfId="45142" xr:uid="{00000000-0005-0000-0000-0000905D0000}"/>
    <cellStyle name="Separador de milhares 3 2 4 2 10 5" xfId="12844" xr:uid="{00000000-0005-0000-0000-0000915D0000}"/>
    <cellStyle name="Separador de milhares 3 2 4 2 10 5 2" xfId="39037" xr:uid="{00000000-0005-0000-0000-0000925D0000}"/>
    <cellStyle name="Separador de milhares 3 2 4 2 10 6" xfId="32651" xr:uid="{00000000-0005-0000-0000-0000935D0000}"/>
    <cellStyle name="Separador de milhares 3 2 4 2 11" xfId="8138" xr:uid="{00000000-0005-0000-0000-0000945D0000}"/>
    <cellStyle name="Separador de milhares 3 2 4 2 11 2" xfId="26352" xr:uid="{00000000-0005-0000-0000-0000955D0000}"/>
    <cellStyle name="Separador de milhares 3 2 4 2 11 2 2" xfId="52536" xr:uid="{00000000-0005-0000-0000-0000965D0000}"/>
    <cellStyle name="Separador de milhares 3 2 4 2 11 3" xfId="20438" xr:uid="{00000000-0005-0000-0000-0000975D0000}"/>
    <cellStyle name="Separador de milhares 3 2 4 2 11 3 2" xfId="46628" xr:uid="{00000000-0005-0000-0000-0000985D0000}"/>
    <cellStyle name="Separador de milhares 3 2 4 2 11 4" xfId="14527" xr:uid="{00000000-0005-0000-0000-0000995D0000}"/>
    <cellStyle name="Separador de milhares 3 2 4 2 11 4 2" xfId="40720" xr:uid="{00000000-0005-0000-0000-00009A5D0000}"/>
    <cellStyle name="Separador de milhares 3 2 4 2 11 5" xfId="34334" xr:uid="{00000000-0005-0000-0000-00009B5D0000}"/>
    <cellStyle name="Separador de milhares 3 2 4 2 12" xfId="4754" xr:uid="{00000000-0005-0000-0000-00009C5D0000}"/>
    <cellStyle name="Separador de milhares 3 2 4 2 12 2" xfId="23395" xr:uid="{00000000-0005-0000-0000-00009D5D0000}"/>
    <cellStyle name="Separador de milhares 3 2 4 2 12 2 2" xfId="49582" xr:uid="{00000000-0005-0000-0000-00009E5D0000}"/>
    <cellStyle name="Separador de milhares 3 2 4 2 12 3" xfId="30952" xr:uid="{00000000-0005-0000-0000-00009F5D0000}"/>
    <cellStyle name="Separador de milhares 3 2 4 2 13" xfId="17481" xr:uid="{00000000-0005-0000-0000-0000A05D0000}"/>
    <cellStyle name="Separador de milhares 3 2 4 2 13 2" xfId="43674" xr:uid="{00000000-0005-0000-0000-0000A15D0000}"/>
    <cellStyle name="Separador de milhares 3 2 4 2 14" xfId="11143" xr:uid="{00000000-0005-0000-0000-0000A25D0000}"/>
    <cellStyle name="Separador de milhares 3 2 4 2 14 2" xfId="37336" xr:uid="{00000000-0005-0000-0000-0000A35D0000}"/>
    <cellStyle name="Separador de milhares 3 2 4 2 15" xfId="29255" xr:uid="{00000000-0005-0000-0000-0000A45D0000}"/>
    <cellStyle name="Separador de milhares 3 2 4 2 2" xfId="450" xr:uid="{00000000-0005-0000-0000-0000A55D0000}"/>
    <cellStyle name="Separador de milhares 3 2 4 2 2 10" xfId="17555" xr:uid="{00000000-0005-0000-0000-0000A65D0000}"/>
    <cellStyle name="Separador de milhares 3 2 4 2 2 10 2" xfId="43748" xr:uid="{00000000-0005-0000-0000-0000A75D0000}"/>
    <cellStyle name="Separador de milhares 3 2 4 2 2 11" xfId="11224" xr:uid="{00000000-0005-0000-0000-0000A85D0000}"/>
    <cellStyle name="Separador de milhares 3 2 4 2 2 11 2" xfId="37417" xr:uid="{00000000-0005-0000-0000-0000A95D0000}"/>
    <cellStyle name="Separador de milhares 3 2 4 2 2 12" xfId="29335" xr:uid="{00000000-0005-0000-0000-0000AA5D0000}"/>
    <cellStyle name="Separador de milhares 3 2 4 2 2 2" xfId="1969" xr:uid="{00000000-0005-0000-0000-0000AB5D0000}"/>
    <cellStyle name="Separador de milhares 3 2 4 2 2 2 2" xfId="6974" xr:uid="{00000000-0005-0000-0000-0000AC5D0000}"/>
    <cellStyle name="Separador de milhares 3 2 4 2 2 2 2 2" xfId="10121" xr:uid="{00000000-0005-0000-0000-0000AD5D0000}"/>
    <cellStyle name="Separador de milhares 3 2 4 2 2 2 2 2 2" xfId="28335" xr:uid="{00000000-0005-0000-0000-0000AE5D0000}"/>
    <cellStyle name="Separador de milhares 3 2 4 2 2 2 2 2 2 2" xfId="54516" xr:uid="{00000000-0005-0000-0000-0000AF5D0000}"/>
    <cellStyle name="Separador de milhares 3 2 4 2 2 2 2 2 3" xfId="22421" xr:uid="{00000000-0005-0000-0000-0000B05D0000}"/>
    <cellStyle name="Separador de milhares 3 2 4 2 2 2 2 2 3 2" xfId="48608" xr:uid="{00000000-0005-0000-0000-0000B15D0000}"/>
    <cellStyle name="Separador de milhares 3 2 4 2 2 2 2 2 4" xfId="16507" xr:uid="{00000000-0005-0000-0000-0000B25D0000}"/>
    <cellStyle name="Separador de milhares 3 2 4 2 2 2 2 2 4 2" xfId="42700" xr:uid="{00000000-0005-0000-0000-0000B35D0000}"/>
    <cellStyle name="Separador de milhares 3 2 4 2 2 2 2 2 5" xfId="36314" xr:uid="{00000000-0005-0000-0000-0000B45D0000}"/>
    <cellStyle name="Separador de milhares 3 2 4 2 2 2 2 3" xfId="25378" xr:uid="{00000000-0005-0000-0000-0000B55D0000}"/>
    <cellStyle name="Separador de milhares 3 2 4 2 2 2 2 3 2" xfId="51562" xr:uid="{00000000-0005-0000-0000-0000B65D0000}"/>
    <cellStyle name="Separador de milhares 3 2 4 2 2 2 2 4" xfId="19464" xr:uid="{00000000-0005-0000-0000-0000B75D0000}"/>
    <cellStyle name="Separador de milhares 3 2 4 2 2 2 2 4 2" xfId="45654" xr:uid="{00000000-0005-0000-0000-0000B85D0000}"/>
    <cellStyle name="Separador de milhares 3 2 4 2 2 2 2 5" xfId="13363" xr:uid="{00000000-0005-0000-0000-0000B95D0000}"/>
    <cellStyle name="Separador de milhares 3 2 4 2 2 2 2 5 2" xfId="39556" xr:uid="{00000000-0005-0000-0000-0000BA5D0000}"/>
    <cellStyle name="Separador de milhares 3 2 4 2 2 2 2 6" xfId="33170" xr:uid="{00000000-0005-0000-0000-0000BB5D0000}"/>
    <cellStyle name="Separador de milhares 3 2 4 2 2 2 3" xfId="8653" xr:uid="{00000000-0005-0000-0000-0000BC5D0000}"/>
    <cellStyle name="Separador de milhares 3 2 4 2 2 2 3 2" xfId="26867" xr:uid="{00000000-0005-0000-0000-0000BD5D0000}"/>
    <cellStyle name="Separador de milhares 3 2 4 2 2 2 3 2 2" xfId="53048" xr:uid="{00000000-0005-0000-0000-0000BE5D0000}"/>
    <cellStyle name="Separador de milhares 3 2 4 2 2 2 3 3" xfId="20953" xr:uid="{00000000-0005-0000-0000-0000BF5D0000}"/>
    <cellStyle name="Separador de milhares 3 2 4 2 2 2 3 3 2" xfId="47140" xr:uid="{00000000-0005-0000-0000-0000C05D0000}"/>
    <cellStyle name="Separador de milhares 3 2 4 2 2 2 3 4" xfId="15039" xr:uid="{00000000-0005-0000-0000-0000C15D0000}"/>
    <cellStyle name="Separador de milhares 3 2 4 2 2 2 3 4 2" xfId="41232" xr:uid="{00000000-0005-0000-0000-0000C25D0000}"/>
    <cellStyle name="Separador de milhares 3 2 4 2 2 2 3 5" xfId="34846" xr:uid="{00000000-0005-0000-0000-0000C35D0000}"/>
    <cellStyle name="Separador de milhares 3 2 4 2 2 2 4" xfId="5275" xr:uid="{00000000-0005-0000-0000-0000C45D0000}"/>
    <cellStyle name="Separador de milhares 3 2 4 2 2 2 4 2" xfId="23910" xr:uid="{00000000-0005-0000-0000-0000C55D0000}"/>
    <cellStyle name="Separador de milhares 3 2 4 2 2 2 4 2 2" xfId="50094" xr:uid="{00000000-0005-0000-0000-0000C65D0000}"/>
    <cellStyle name="Separador de milhares 3 2 4 2 2 2 4 3" xfId="31471" xr:uid="{00000000-0005-0000-0000-0000C75D0000}"/>
    <cellStyle name="Separador de milhares 3 2 4 2 2 2 5" xfId="17996" xr:uid="{00000000-0005-0000-0000-0000C85D0000}"/>
    <cellStyle name="Separador de milhares 3 2 4 2 2 2 5 2" xfId="44186" xr:uid="{00000000-0005-0000-0000-0000C95D0000}"/>
    <cellStyle name="Separador de milhares 3 2 4 2 2 2 6" xfId="11662" xr:uid="{00000000-0005-0000-0000-0000CA5D0000}"/>
    <cellStyle name="Separador de milhares 3 2 4 2 2 2 6 2" xfId="37855" xr:uid="{00000000-0005-0000-0000-0000CB5D0000}"/>
    <cellStyle name="Separador de milhares 3 2 4 2 2 2 7" xfId="29773" xr:uid="{00000000-0005-0000-0000-0000CC5D0000}"/>
    <cellStyle name="Separador de milhares 3 2 4 2 2 3" xfId="2499" xr:uid="{00000000-0005-0000-0000-0000CD5D0000}"/>
    <cellStyle name="Separador de milhares 3 2 4 2 2 3 2" xfId="7124" xr:uid="{00000000-0005-0000-0000-0000CE5D0000}"/>
    <cellStyle name="Separador de milhares 3 2 4 2 2 3 2 2" xfId="10268" xr:uid="{00000000-0005-0000-0000-0000CF5D0000}"/>
    <cellStyle name="Separador de milhares 3 2 4 2 2 3 2 2 2" xfId="28482" xr:uid="{00000000-0005-0000-0000-0000D05D0000}"/>
    <cellStyle name="Separador de milhares 3 2 4 2 2 3 2 2 2 2" xfId="54663" xr:uid="{00000000-0005-0000-0000-0000D15D0000}"/>
    <cellStyle name="Separador de milhares 3 2 4 2 2 3 2 2 3" xfId="22568" xr:uid="{00000000-0005-0000-0000-0000D25D0000}"/>
    <cellStyle name="Separador de milhares 3 2 4 2 2 3 2 2 3 2" xfId="48755" xr:uid="{00000000-0005-0000-0000-0000D35D0000}"/>
    <cellStyle name="Separador de milhares 3 2 4 2 2 3 2 2 4" xfId="16654" xr:uid="{00000000-0005-0000-0000-0000D45D0000}"/>
    <cellStyle name="Separador de milhares 3 2 4 2 2 3 2 2 4 2" xfId="42847" xr:uid="{00000000-0005-0000-0000-0000D55D0000}"/>
    <cellStyle name="Separador de milhares 3 2 4 2 2 3 2 2 5" xfId="36461" xr:uid="{00000000-0005-0000-0000-0000D65D0000}"/>
    <cellStyle name="Separador de milhares 3 2 4 2 2 3 2 3" xfId="25525" xr:uid="{00000000-0005-0000-0000-0000D75D0000}"/>
    <cellStyle name="Separador de milhares 3 2 4 2 2 3 2 3 2" xfId="51709" xr:uid="{00000000-0005-0000-0000-0000D85D0000}"/>
    <cellStyle name="Separador de milhares 3 2 4 2 2 3 2 4" xfId="19611" xr:uid="{00000000-0005-0000-0000-0000D95D0000}"/>
    <cellStyle name="Separador de milhares 3 2 4 2 2 3 2 4 2" xfId="45801" xr:uid="{00000000-0005-0000-0000-0000DA5D0000}"/>
    <cellStyle name="Separador de milhares 3 2 4 2 2 3 2 5" xfId="13513" xr:uid="{00000000-0005-0000-0000-0000DB5D0000}"/>
    <cellStyle name="Separador de milhares 3 2 4 2 2 3 2 5 2" xfId="39706" xr:uid="{00000000-0005-0000-0000-0000DC5D0000}"/>
    <cellStyle name="Separador de milhares 3 2 4 2 2 3 2 6" xfId="33320" xr:uid="{00000000-0005-0000-0000-0000DD5D0000}"/>
    <cellStyle name="Separador de milhares 3 2 4 2 2 3 3" xfId="8800" xr:uid="{00000000-0005-0000-0000-0000DE5D0000}"/>
    <cellStyle name="Separador de milhares 3 2 4 2 2 3 3 2" xfId="27014" xr:uid="{00000000-0005-0000-0000-0000DF5D0000}"/>
    <cellStyle name="Separador de milhares 3 2 4 2 2 3 3 2 2" xfId="53195" xr:uid="{00000000-0005-0000-0000-0000E05D0000}"/>
    <cellStyle name="Separador de milhares 3 2 4 2 2 3 3 3" xfId="21100" xr:uid="{00000000-0005-0000-0000-0000E15D0000}"/>
    <cellStyle name="Separador de milhares 3 2 4 2 2 3 3 3 2" xfId="47287" xr:uid="{00000000-0005-0000-0000-0000E25D0000}"/>
    <cellStyle name="Separador de milhares 3 2 4 2 2 3 3 4" xfId="15186" xr:uid="{00000000-0005-0000-0000-0000E35D0000}"/>
    <cellStyle name="Separador de milhares 3 2 4 2 2 3 3 4 2" xfId="41379" xr:uid="{00000000-0005-0000-0000-0000E45D0000}"/>
    <cellStyle name="Separador de milhares 3 2 4 2 2 3 3 5" xfId="34993" xr:uid="{00000000-0005-0000-0000-0000E55D0000}"/>
    <cellStyle name="Separador de milhares 3 2 4 2 2 3 4" xfId="5425" xr:uid="{00000000-0005-0000-0000-0000E65D0000}"/>
    <cellStyle name="Separador de milhares 3 2 4 2 2 3 4 2" xfId="24057" xr:uid="{00000000-0005-0000-0000-0000E75D0000}"/>
    <cellStyle name="Separador de milhares 3 2 4 2 2 3 4 2 2" xfId="50241" xr:uid="{00000000-0005-0000-0000-0000E85D0000}"/>
    <cellStyle name="Separador de milhares 3 2 4 2 2 3 4 3" xfId="31621" xr:uid="{00000000-0005-0000-0000-0000E95D0000}"/>
    <cellStyle name="Separador de milhares 3 2 4 2 2 3 5" xfId="18143" xr:uid="{00000000-0005-0000-0000-0000EA5D0000}"/>
    <cellStyle name="Separador de milhares 3 2 4 2 2 3 5 2" xfId="44333" xr:uid="{00000000-0005-0000-0000-0000EB5D0000}"/>
    <cellStyle name="Separador de milhares 3 2 4 2 2 3 6" xfId="11812" xr:uid="{00000000-0005-0000-0000-0000EC5D0000}"/>
    <cellStyle name="Separador de milhares 3 2 4 2 2 3 6 2" xfId="38005" xr:uid="{00000000-0005-0000-0000-0000ED5D0000}"/>
    <cellStyle name="Separador de milhares 3 2 4 2 2 3 7" xfId="29923" xr:uid="{00000000-0005-0000-0000-0000EE5D0000}"/>
    <cellStyle name="Separador de milhares 3 2 4 2 2 4" xfId="3026" xr:uid="{00000000-0005-0000-0000-0000EF5D0000}"/>
    <cellStyle name="Separador de milhares 3 2 4 2 2 4 2" xfId="7271" xr:uid="{00000000-0005-0000-0000-0000F05D0000}"/>
    <cellStyle name="Separador de milhares 3 2 4 2 2 4 2 2" xfId="10415" xr:uid="{00000000-0005-0000-0000-0000F15D0000}"/>
    <cellStyle name="Separador de milhares 3 2 4 2 2 4 2 2 2" xfId="28629" xr:uid="{00000000-0005-0000-0000-0000F25D0000}"/>
    <cellStyle name="Separador de milhares 3 2 4 2 2 4 2 2 2 2" xfId="54810" xr:uid="{00000000-0005-0000-0000-0000F35D0000}"/>
    <cellStyle name="Separador de milhares 3 2 4 2 2 4 2 2 3" xfId="22715" xr:uid="{00000000-0005-0000-0000-0000F45D0000}"/>
    <cellStyle name="Separador de milhares 3 2 4 2 2 4 2 2 3 2" xfId="48902" xr:uid="{00000000-0005-0000-0000-0000F55D0000}"/>
    <cellStyle name="Separador de milhares 3 2 4 2 2 4 2 2 4" xfId="16801" xr:uid="{00000000-0005-0000-0000-0000F65D0000}"/>
    <cellStyle name="Separador de milhares 3 2 4 2 2 4 2 2 4 2" xfId="42994" xr:uid="{00000000-0005-0000-0000-0000F75D0000}"/>
    <cellStyle name="Separador de milhares 3 2 4 2 2 4 2 2 5" xfId="36608" xr:uid="{00000000-0005-0000-0000-0000F85D0000}"/>
    <cellStyle name="Separador de milhares 3 2 4 2 2 4 2 3" xfId="25672" xr:uid="{00000000-0005-0000-0000-0000F95D0000}"/>
    <cellStyle name="Separador de milhares 3 2 4 2 2 4 2 3 2" xfId="51856" xr:uid="{00000000-0005-0000-0000-0000FA5D0000}"/>
    <cellStyle name="Separador de milhares 3 2 4 2 2 4 2 4" xfId="19758" xr:uid="{00000000-0005-0000-0000-0000FB5D0000}"/>
    <cellStyle name="Separador de milhares 3 2 4 2 2 4 2 4 2" xfId="45948" xr:uid="{00000000-0005-0000-0000-0000FC5D0000}"/>
    <cellStyle name="Separador de milhares 3 2 4 2 2 4 2 5" xfId="13660" xr:uid="{00000000-0005-0000-0000-0000FD5D0000}"/>
    <cellStyle name="Separador de milhares 3 2 4 2 2 4 2 5 2" xfId="39853" xr:uid="{00000000-0005-0000-0000-0000FE5D0000}"/>
    <cellStyle name="Separador de milhares 3 2 4 2 2 4 2 6" xfId="33467" xr:uid="{00000000-0005-0000-0000-0000FF5D0000}"/>
    <cellStyle name="Separador de milhares 3 2 4 2 2 4 3" xfId="8947" xr:uid="{00000000-0005-0000-0000-0000005E0000}"/>
    <cellStyle name="Separador de milhares 3 2 4 2 2 4 3 2" xfId="27161" xr:uid="{00000000-0005-0000-0000-0000015E0000}"/>
    <cellStyle name="Separador de milhares 3 2 4 2 2 4 3 2 2" xfId="53342" xr:uid="{00000000-0005-0000-0000-0000025E0000}"/>
    <cellStyle name="Separador de milhares 3 2 4 2 2 4 3 3" xfId="21247" xr:uid="{00000000-0005-0000-0000-0000035E0000}"/>
    <cellStyle name="Separador de milhares 3 2 4 2 2 4 3 3 2" xfId="47434" xr:uid="{00000000-0005-0000-0000-0000045E0000}"/>
    <cellStyle name="Separador de milhares 3 2 4 2 2 4 3 4" xfId="15333" xr:uid="{00000000-0005-0000-0000-0000055E0000}"/>
    <cellStyle name="Separador de milhares 3 2 4 2 2 4 3 4 2" xfId="41526" xr:uid="{00000000-0005-0000-0000-0000065E0000}"/>
    <cellStyle name="Separador de milhares 3 2 4 2 2 4 3 5" xfId="35140" xr:uid="{00000000-0005-0000-0000-0000075E0000}"/>
    <cellStyle name="Separador de milhares 3 2 4 2 2 4 4" xfId="5572" xr:uid="{00000000-0005-0000-0000-0000085E0000}"/>
    <cellStyle name="Separador de milhares 3 2 4 2 2 4 4 2" xfId="24204" xr:uid="{00000000-0005-0000-0000-0000095E0000}"/>
    <cellStyle name="Separador de milhares 3 2 4 2 2 4 4 2 2" xfId="50388" xr:uid="{00000000-0005-0000-0000-00000A5E0000}"/>
    <cellStyle name="Separador de milhares 3 2 4 2 2 4 4 3" xfId="31768" xr:uid="{00000000-0005-0000-0000-00000B5E0000}"/>
    <cellStyle name="Separador de milhares 3 2 4 2 2 4 5" xfId="18290" xr:uid="{00000000-0005-0000-0000-00000C5E0000}"/>
    <cellStyle name="Separador de milhares 3 2 4 2 2 4 5 2" xfId="44480" xr:uid="{00000000-0005-0000-0000-00000D5E0000}"/>
    <cellStyle name="Separador de milhares 3 2 4 2 2 4 6" xfId="11959" xr:uid="{00000000-0005-0000-0000-00000E5E0000}"/>
    <cellStyle name="Separador de milhares 3 2 4 2 2 4 6 2" xfId="38152" xr:uid="{00000000-0005-0000-0000-00000F5E0000}"/>
    <cellStyle name="Separador de milhares 3 2 4 2 2 4 7" xfId="30070" xr:uid="{00000000-0005-0000-0000-0000105E0000}"/>
    <cellStyle name="Separador de milhares 3 2 4 2 2 5" xfId="3553" xr:uid="{00000000-0005-0000-0000-0000115E0000}"/>
    <cellStyle name="Separador de milhares 3 2 4 2 2 5 2" xfId="7418" xr:uid="{00000000-0005-0000-0000-0000125E0000}"/>
    <cellStyle name="Separador de milhares 3 2 4 2 2 5 2 2" xfId="10562" xr:uid="{00000000-0005-0000-0000-0000135E0000}"/>
    <cellStyle name="Separador de milhares 3 2 4 2 2 5 2 2 2" xfId="28776" xr:uid="{00000000-0005-0000-0000-0000145E0000}"/>
    <cellStyle name="Separador de milhares 3 2 4 2 2 5 2 2 2 2" xfId="54957" xr:uid="{00000000-0005-0000-0000-0000155E0000}"/>
    <cellStyle name="Separador de milhares 3 2 4 2 2 5 2 2 3" xfId="22862" xr:uid="{00000000-0005-0000-0000-0000165E0000}"/>
    <cellStyle name="Separador de milhares 3 2 4 2 2 5 2 2 3 2" xfId="49049" xr:uid="{00000000-0005-0000-0000-0000175E0000}"/>
    <cellStyle name="Separador de milhares 3 2 4 2 2 5 2 2 4" xfId="16948" xr:uid="{00000000-0005-0000-0000-0000185E0000}"/>
    <cellStyle name="Separador de milhares 3 2 4 2 2 5 2 2 4 2" xfId="43141" xr:uid="{00000000-0005-0000-0000-0000195E0000}"/>
    <cellStyle name="Separador de milhares 3 2 4 2 2 5 2 2 5" xfId="36755" xr:uid="{00000000-0005-0000-0000-00001A5E0000}"/>
    <cellStyle name="Separador de milhares 3 2 4 2 2 5 2 3" xfId="25819" xr:uid="{00000000-0005-0000-0000-00001B5E0000}"/>
    <cellStyle name="Separador de milhares 3 2 4 2 2 5 2 3 2" xfId="52003" xr:uid="{00000000-0005-0000-0000-00001C5E0000}"/>
    <cellStyle name="Separador de milhares 3 2 4 2 2 5 2 4" xfId="19905" xr:uid="{00000000-0005-0000-0000-00001D5E0000}"/>
    <cellStyle name="Separador de milhares 3 2 4 2 2 5 2 4 2" xfId="46095" xr:uid="{00000000-0005-0000-0000-00001E5E0000}"/>
    <cellStyle name="Separador de milhares 3 2 4 2 2 5 2 5" xfId="13807" xr:uid="{00000000-0005-0000-0000-00001F5E0000}"/>
    <cellStyle name="Separador de milhares 3 2 4 2 2 5 2 5 2" xfId="40000" xr:uid="{00000000-0005-0000-0000-0000205E0000}"/>
    <cellStyle name="Separador de milhares 3 2 4 2 2 5 2 6" xfId="33614" xr:uid="{00000000-0005-0000-0000-0000215E0000}"/>
    <cellStyle name="Separador de milhares 3 2 4 2 2 5 3" xfId="9094" xr:uid="{00000000-0005-0000-0000-0000225E0000}"/>
    <cellStyle name="Separador de milhares 3 2 4 2 2 5 3 2" xfId="27308" xr:uid="{00000000-0005-0000-0000-0000235E0000}"/>
    <cellStyle name="Separador de milhares 3 2 4 2 2 5 3 2 2" xfId="53489" xr:uid="{00000000-0005-0000-0000-0000245E0000}"/>
    <cellStyle name="Separador de milhares 3 2 4 2 2 5 3 3" xfId="21394" xr:uid="{00000000-0005-0000-0000-0000255E0000}"/>
    <cellStyle name="Separador de milhares 3 2 4 2 2 5 3 3 2" xfId="47581" xr:uid="{00000000-0005-0000-0000-0000265E0000}"/>
    <cellStyle name="Separador de milhares 3 2 4 2 2 5 3 4" xfId="15480" xr:uid="{00000000-0005-0000-0000-0000275E0000}"/>
    <cellStyle name="Separador de milhares 3 2 4 2 2 5 3 4 2" xfId="41673" xr:uid="{00000000-0005-0000-0000-0000285E0000}"/>
    <cellStyle name="Separador de milhares 3 2 4 2 2 5 3 5" xfId="35287" xr:uid="{00000000-0005-0000-0000-0000295E0000}"/>
    <cellStyle name="Separador de milhares 3 2 4 2 2 5 4" xfId="5719" xr:uid="{00000000-0005-0000-0000-00002A5E0000}"/>
    <cellStyle name="Separador de milhares 3 2 4 2 2 5 4 2" xfId="24351" xr:uid="{00000000-0005-0000-0000-00002B5E0000}"/>
    <cellStyle name="Separador de milhares 3 2 4 2 2 5 4 2 2" xfId="50535" xr:uid="{00000000-0005-0000-0000-00002C5E0000}"/>
    <cellStyle name="Separador de milhares 3 2 4 2 2 5 4 3" xfId="31915" xr:uid="{00000000-0005-0000-0000-00002D5E0000}"/>
    <cellStyle name="Separador de milhares 3 2 4 2 2 5 5" xfId="18437" xr:uid="{00000000-0005-0000-0000-00002E5E0000}"/>
    <cellStyle name="Separador de milhares 3 2 4 2 2 5 5 2" xfId="44627" xr:uid="{00000000-0005-0000-0000-00002F5E0000}"/>
    <cellStyle name="Separador de milhares 3 2 4 2 2 5 6" xfId="12106" xr:uid="{00000000-0005-0000-0000-0000305E0000}"/>
    <cellStyle name="Separador de milhares 3 2 4 2 2 5 6 2" xfId="38299" xr:uid="{00000000-0005-0000-0000-0000315E0000}"/>
    <cellStyle name="Separador de milhares 3 2 4 2 2 5 7" xfId="30217" xr:uid="{00000000-0005-0000-0000-0000325E0000}"/>
    <cellStyle name="Separador de milhares 3 2 4 2 2 6" xfId="4080" xr:uid="{00000000-0005-0000-0000-0000335E0000}"/>
    <cellStyle name="Separador de milhares 3 2 4 2 2 6 2" xfId="7565" xr:uid="{00000000-0005-0000-0000-0000345E0000}"/>
    <cellStyle name="Separador de milhares 3 2 4 2 2 6 2 2" xfId="10709" xr:uid="{00000000-0005-0000-0000-0000355E0000}"/>
    <cellStyle name="Separador de milhares 3 2 4 2 2 6 2 2 2" xfId="28923" xr:uid="{00000000-0005-0000-0000-0000365E0000}"/>
    <cellStyle name="Separador de milhares 3 2 4 2 2 6 2 2 2 2" xfId="55104" xr:uid="{00000000-0005-0000-0000-0000375E0000}"/>
    <cellStyle name="Separador de milhares 3 2 4 2 2 6 2 2 3" xfId="23009" xr:uid="{00000000-0005-0000-0000-0000385E0000}"/>
    <cellStyle name="Separador de milhares 3 2 4 2 2 6 2 2 3 2" xfId="49196" xr:uid="{00000000-0005-0000-0000-0000395E0000}"/>
    <cellStyle name="Separador de milhares 3 2 4 2 2 6 2 2 4" xfId="17095" xr:uid="{00000000-0005-0000-0000-00003A5E0000}"/>
    <cellStyle name="Separador de milhares 3 2 4 2 2 6 2 2 4 2" xfId="43288" xr:uid="{00000000-0005-0000-0000-00003B5E0000}"/>
    <cellStyle name="Separador de milhares 3 2 4 2 2 6 2 2 5" xfId="36902" xr:uid="{00000000-0005-0000-0000-00003C5E0000}"/>
    <cellStyle name="Separador de milhares 3 2 4 2 2 6 2 3" xfId="25966" xr:uid="{00000000-0005-0000-0000-00003D5E0000}"/>
    <cellStyle name="Separador de milhares 3 2 4 2 2 6 2 3 2" xfId="52150" xr:uid="{00000000-0005-0000-0000-00003E5E0000}"/>
    <cellStyle name="Separador de milhares 3 2 4 2 2 6 2 4" xfId="20052" xr:uid="{00000000-0005-0000-0000-00003F5E0000}"/>
    <cellStyle name="Separador de milhares 3 2 4 2 2 6 2 4 2" xfId="46242" xr:uid="{00000000-0005-0000-0000-0000405E0000}"/>
    <cellStyle name="Separador de milhares 3 2 4 2 2 6 2 5" xfId="13954" xr:uid="{00000000-0005-0000-0000-0000415E0000}"/>
    <cellStyle name="Separador de milhares 3 2 4 2 2 6 2 5 2" xfId="40147" xr:uid="{00000000-0005-0000-0000-0000425E0000}"/>
    <cellStyle name="Separador de milhares 3 2 4 2 2 6 2 6" xfId="33761" xr:uid="{00000000-0005-0000-0000-0000435E0000}"/>
    <cellStyle name="Separador de milhares 3 2 4 2 2 6 3" xfId="9241" xr:uid="{00000000-0005-0000-0000-0000445E0000}"/>
    <cellStyle name="Separador de milhares 3 2 4 2 2 6 3 2" xfId="27455" xr:uid="{00000000-0005-0000-0000-0000455E0000}"/>
    <cellStyle name="Separador de milhares 3 2 4 2 2 6 3 2 2" xfId="53636" xr:uid="{00000000-0005-0000-0000-0000465E0000}"/>
    <cellStyle name="Separador de milhares 3 2 4 2 2 6 3 3" xfId="21541" xr:uid="{00000000-0005-0000-0000-0000475E0000}"/>
    <cellStyle name="Separador de milhares 3 2 4 2 2 6 3 3 2" xfId="47728" xr:uid="{00000000-0005-0000-0000-0000485E0000}"/>
    <cellStyle name="Separador de milhares 3 2 4 2 2 6 3 4" xfId="15627" xr:uid="{00000000-0005-0000-0000-0000495E0000}"/>
    <cellStyle name="Separador de milhares 3 2 4 2 2 6 3 4 2" xfId="41820" xr:uid="{00000000-0005-0000-0000-00004A5E0000}"/>
    <cellStyle name="Separador de milhares 3 2 4 2 2 6 3 5" xfId="35434" xr:uid="{00000000-0005-0000-0000-00004B5E0000}"/>
    <cellStyle name="Separador de milhares 3 2 4 2 2 6 4" xfId="5866" xr:uid="{00000000-0005-0000-0000-00004C5E0000}"/>
    <cellStyle name="Separador de milhares 3 2 4 2 2 6 4 2" xfId="24498" xr:uid="{00000000-0005-0000-0000-00004D5E0000}"/>
    <cellStyle name="Separador de milhares 3 2 4 2 2 6 4 2 2" xfId="50682" xr:uid="{00000000-0005-0000-0000-00004E5E0000}"/>
    <cellStyle name="Separador de milhares 3 2 4 2 2 6 4 3" xfId="32062" xr:uid="{00000000-0005-0000-0000-00004F5E0000}"/>
    <cellStyle name="Separador de milhares 3 2 4 2 2 6 5" xfId="18584" xr:uid="{00000000-0005-0000-0000-0000505E0000}"/>
    <cellStyle name="Separador de milhares 3 2 4 2 2 6 5 2" xfId="44774" xr:uid="{00000000-0005-0000-0000-0000515E0000}"/>
    <cellStyle name="Separador de milhares 3 2 4 2 2 6 6" xfId="12253" xr:uid="{00000000-0005-0000-0000-0000525E0000}"/>
    <cellStyle name="Separador de milhares 3 2 4 2 2 6 6 2" xfId="38446" xr:uid="{00000000-0005-0000-0000-0000535E0000}"/>
    <cellStyle name="Separador de milhares 3 2 4 2 2 6 7" xfId="30364" xr:uid="{00000000-0005-0000-0000-0000545E0000}"/>
    <cellStyle name="Separador de milhares 3 2 4 2 2 7" xfId="6536" xr:uid="{00000000-0005-0000-0000-0000555E0000}"/>
    <cellStyle name="Separador de milhares 3 2 4 2 2 7 2" xfId="9683" xr:uid="{00000000-0005-0000-0000-0000565E0000}"/>
    <cellStyle name="Separador de milhares 3 2 4 2 2 7 2 2" xfId="27897" xr:uid="{00000000-0005-0000-0000-0000575E0000}"/>
    <cellStyle name="Separador de milhares 3 2 4 2 2 7 2 2 2" xfId="54078" xr:uid="{00000000-0005-0000-0000-0000585E0000}"/>
    <cellStyle name="Separador de milhares 3 2 4 2 2 7 2 3" xfId="21983" xr:uid="{00000000-0005-0000-0000-0000595E0000}"/>
    <cellStyle name="Separador de milhares 3 2 4 2 2 7 2 3 2" xfId="48170" xr:uid="{00000000-0005-0000-0000-00005A5E0000}"/>
    <cellStyle name="Separador de milhares 3 2 4 2 2 7 2 4" xfId="16069" xr:uid="{00000000-0005-0000-0000-00005B5E0000}"/>
    <cellStyle name="Separador de milhares 3 2 4 2 2 7 2 4 2" xfId="42262" xr:uid="{00000000-0005-0000-0000-00005C5E0000}"/>
    <cellStyle name="Separador de milhares 3 2 4 2 2 7 2 5" xfId="35876" xr:uid="{00000000-0005-0000-0000-00005D5E0000}"/>
    <cellStyle name="Separador de milhares 3 2 4 2 2 7 3" xfId="24940" xr:uid="{00000000-0005-0000-0000-00005E5E0000}"/>
    <cellStyle name="Separador de milhares 3 2 4 2 2 7 3 2" xfId="51124" xr:uid="{00000000-0005-0000-0000-00005F5E0000}"/>
    <cellStyle name="Separador de milhares 3 2 4 2 2 7 4" xfId="19026" xr:uid="{00000000-0005-0000-0000-0000605E0000}"/>
    <cellStyle name="Separador de milhares 3 2 4 2 2 7 4 2" xfId="45216" xr:uid="{00000000-0005-0000-0000-0000615E0000}"/>
    <cellStyle name="Separador de milhares 3 2 4 2 2 7 5" xfId="12925" xr:uid="{00000000-0005-0000-0000-0000625E0000}"/>
    <cellStyle name="Separador de milhares 3 2 4 2 2 7 5 2" xfId="39118" xr:uid="{00000000-0005-0000-0000-0000635E0000}"/>
    <cellStyle name="Separador de milhares 3 2 4 2 2 7 6" xfId="32732" xr:uid="{00000000-0005-0000-0000-0000645E0000}"/>
    <cellStyle name="Separador de milhares 3 2 4 2 2 8" xfId="8212" xr:uid="{00000000-0005-0000-0000-0000655E0000}"/>
    <cellStyle name="Separador de milhares 3 2 4 2 2 8 2" xfId="26426" xr:uid="{00000000-0005-0000-0000-0000665E0000}"/>
    <cellStyle name="Separador de milhares 3 2 4 2 2 8 2 2" xfId="52610" xr:uid="{00000000-0005-0000-0000-0000675E0000}"/>
    <cellStyle name="Separador de milhares 3 2 4 2 2 8 3" xfId="20512" xr:uid="{00000000-0005-0000-0000-0000685E0000}"/>
    <cellStyle name="Separador de milhares 3 2 4 2 2 8 3 2" xfId="46702" xr:uid="{00000000-0005-0000-0000-0000695E0000}"/>
    <cellStyle name="Separador de milhares 3 2 4 2 2 8 4" xfId="14601" xr:uid="{00000000-0005-0000-0000-00006A5E0000}"/>
    <cellStyle name="Separador de milhares 3 2 4 2 2 8 4 2" xfId="40794" xr:uid="{00000000-0005-0000-0000-00006B5E0000}"/>
    <cellStyle name="Separador de milhares 3 2 4 2 2 8 5" xfId="34408" xr:uid="{00000000-0005-0000-0000-00006C5E0000}"/>
    <cellStyle name="Separador de milhares 3 2 4 2 2 9" xfId="4835" xr:uid="{00000000-0005-0000-0000-00006D5E0000}"/>
    <cellStyle name="Separador de milhares 3 2 4 2 2 9 2" xfId="23469" xr:uid="{00000000-0005-0000-0000-00006E5E0000}"/>
    <cellStyle name="Separador de milhares 3 2 4 2 2 9 2 2" xfId="49656" xr:uid="{00000000-0005-0000-0000-00006F5E0000}"/>
    <cellStyle name="Separador de milhares 3 2 4 2 2 9 3" xfId="31033" xr:uid="{00000000-0005-0000-0000-0000705E0000}"/>
    <cellStyle name="Separador de milhares 3 2 4 2 3" xfId="923" xr:uid="{00000000-0005-0000-0000-0000715E0000}"/>
    <cellStyle name="Separador de milhares 3 2 4 2 3 2" xfId="6687" xr:uid="{00000000-0005-0000-0000-0000725E0000}"/>
    <cellStyle name="Separador de milhares 3 2 4 2 3 2 2" xfId="9834" xr:uid="{00000000-0005-0000-0000-0000735E0000}"/>
    <cellStyle name="Separador de milhares 3 2 4 2 3 2 2 2" xfId="28048" xr:uid="{00000000-0005-0000-0000-0000745E0000}"/>
    <cellStyle name="Separador de milhares 3 2 4 2 3 2 2 2 2" xfId="54229" xr:uid="{00000000-0005-0000-0000-0000755E0000}"/>
    <cellStyle name="Separador de milhares 3 2 4 2 3 2 2 3" xfId="22134" xr:uid="{00000000-0005-0000-0000-0000765E0000}"/>
    <cellStyle name="Separador de milhares 3 2 4 2 3 2 2 3 2" xfId="48321" xr:uid="{00000000-0005-0000-0000-0000775E0000}"/>
    <cellStyle name="Separador de milhares 3 2 4 2 3 2 2 4" xfId="16220" xr:uid="{00000000-0005-0000-0000-0000785E0000}"/>
    <cellStyle name="Separador de milhares 3 2 4 2 3 2 2 4 2" xfId="42413" xr:uid="{00000000-0005-0000-0000-0000795E0000}"/>
    <cellStyle name="Separador de milhares 3 2 4 2 3 2 2 5" xfId="36027" xr:uid="{00000000-0005-0000-0000-00007A5E0000}"/>
    <cellStyle name="Separador de milhares 3 2 4 2 3 2 3" xfId="25091" xr:uid="{00000000-0005-0000-0000-00007B5E0000}"/>
    <cellStyle name="Separador de milhares 3 2 4 2 3 2 3 2" xfId="51275" xr:uid="{00000000-0005-0000-0000-00007C5E0000}"/>
    <cellStyle name="Separador de milhares 3 2 4 2 3 2 4" xfId="19177" xr:uid="{00000000-0005-0000-0000-00007D5E0000}"/>
    <cellStyle name="Separador de milhares 3 2 4 2 3 2 4 2" xfId="45367" xr:uid="{00000000-0005-0000-0000-00007E5E0000}"/>
    <cellStyle name="Separador de milhares 3 2 4 2 3 2 5" xfId="13076" xr:uid="{00000000-0005-0000-0000-00007F5E0000}"/>
    <cellStyle name="Separador de milhares 3 2 4 2 3 2 5 2" xfId="39269" xr:uid="{00000000-0005-0000-0000-0000805E0000}"/>
    <cellStyle name="Separador de milhares 3 2 4 2 3 2 6" xfId="32883" xr:uid="{00000000-0005-0000-0000-0000815E0000}"/>
    <cellStyle name="Separador de milhares 3 2 4 2 3 3" xfId="8366" xr:uid="{00000000-0005-0000-0000-0000825E0000}"/>
    <cellStyle name="Separador de milhares 3 2 4 2 3 3 2" xfId="26580" xr:uid="{00000000-0005-0000-0000-0000835E0000}"/>
    <cellStyle name="Separador de milhares 3 2 4 2 3 3 2 2" xfId="52761" xr:uid="{00000000-0005-0000-0000-0000845E0000}"/>
    <cellStyle name="Separador de milhares 3 2 4 2 3 3 3" xfId="20666" xr:uid="{00000000-0005-0000-0000-0000855E0000}"/>
    <cellStyle name="Separador de milhares 3 2 4 2 3 3 3 2" xfId="46853" xr:uid="{00000000-0005-0000-0000-0000865E0000}"/>
    <cellStyle name="Separador de milhares 3 2 4 2 3 3 4" xfId="14752" xr:uid="{00000000-0005-0000-0000-0000875E0000}"/>
    <cellStyle name="Separador de milhares 3 2 4 2 3 3 4 2" xfId="40945" xr:uid="{00000000-0005-0000-0000-0000885E0000}"/>
    <cellStyle name="Separador de milhares 3 2 4 2 3 3 5" xfId="34559" xr:uid="{00000000-0005-0000-0000-0000895E0000}"/>
    <cellStyle name="Separador de milhares 3 2 4 2 3 4" xfId="4988" xr:uid="{00000000-0005-0000-0000-00008A5E0000}"/>
    <cellStyle name="Separador de milhares 3 2 4 2 3 4 2" xfId="23623" xr:uid="{00000000-0005-0000-0000-00008B5E0000}"/>
    <cellStyle name="Separador de milhares 3 2 4 2 3 4 2 2" xfId="49807" xr:uid="{00000000-0005-0000-0000-00008C5E0000}"/>
    <cellStyle name="Separador de milhares 3 2 4 2 3 4 3" xfId="31184" xr:uid="{00000000-0005-0000-0000-00008D5E0000}"/>
    <cellStyle name="Separador de milhares 3 2 4 2 3 5" xfId="17709" xr:uid="{00000000-0005-0000-0000-00008E5E0000}"/>
    <cellStyle name="Separador de milhares 3 2 4 2 3 5 2" xfId="43899" xr:uid="{00000000-0005-0000-0000-00008F5E0000}"/>
    <cellStyle name="Separador de milhares 3 2 4 2 3 6" xfId="11375" xr:uid="{00000000-0005-0000-0000-0000905E0000}"/>
    <cellStyle name="Separador de milhares 3 2 4 2 3 6 2" xfId="37568" xr:uid="{00000000-0005-0000-0000-0000915E0000}"/>
    <cellStyle name="Separador de milhares 3 2 4 2 3 7" xfId="29486" xr:uid="{00000000-0005-0000-0000-0000925E0000}"/>
    <cellStyle name="Separador de milhares 3 2 4 2 4" xfId="1274" xr:uid="{00000000-0005-0000-0000-0000935E0000}"/>
    <cellStyle name="Separador de milhares 3 2 4 2 4 2" xfId="6785" xr:uid="{00000000-0005-0000-0000-0000945E0000}"/>
    <cellStyle name="Separador de milhares 3 2 4 2 4 2 2" xfId="9932" xr:uid="{00000000-0005-0000-0000-0000955E0000}"/>
    <cellStyle name="Separador de milhares 3 2 4 2 4 2 2 2" xfId="28146" xr:uid="{00000000-0005-0000-0000-0000965E0000}"/>
    <cellStyle name="Separador de milhares 3 2 4 2 4 2 2 2 2" xfId="54327" xr:uid="{00000000-0005-0000-0000-0000975E0000}"/>
    <cellStyle name="Separador de milhares 3 2 4 2 4 2 2 3" xfId="22232" xr:uid="{00000000-0005-0000-0000-0000985E0000}"/>
    <cellStyle name="Separador de milhares 3 2 4 2 4 2 2 3 2" xfId="48419" xr:uid="{00000000-0005-0000-0000-0000995E0000}"/>
    <cellStyle name="Separador de milhares 3 2 4 2 4 2 2 4" xfId="16318" xr:uid="{00000000-0005-0000-0000-00009A5E0000}"/>
    <cellStyle name="Separador de milhares 3 2 4 2 4 2 2 4 2" xfId="42511" xr:uid="{00000000-0005-0000-0000-00009B5E0000}"/>
    <cellStyle name="Separador de milhares 3 2 4 2 4 2 2 5" xfId="36125" xr:uid="{00000000-0005-0000-0000-00009C5E0000}"/>
    <cellStyle name="Separador de milhares 3 2 4 2 4 2 3" xfId="25189" xr:uid="{00000000-0005-0000-0000-00009D5E0000}"/>
    <cellStyle name="Separador de milhares 3 2 4 2 4 2 3 2" xfId="51373" xr:uid="{00000000-0005-0000-0000-00009E5E0000}"/>
    <cellStyle name="Separador de milhares 3 2 4 2 4 2 4" xfId="19275" xr:uid="{00000000-0005-0000-0000-00009F5E0000}"/>
    <cellStyle name="Separador de milhares 3 2 4 2 4 2 4 2" xfId="45465" xr:uid="{00000000-0005-0000-0000-0000A05E0000}"/>
    <cellStyle name="Separador de milhares 3 2 4 2 4 2 5" xfId="13174" xr:uid="{00000000-0005-0000-0000-0000A15E0000}"/>
    <cellStyle name="Separador de milhares 3 2 4 2 4 2 5 2" xfId="39367" xr:uid="{00000000-0005-0000-0000-0000A25E0000}"/>
    <cellStyle name="Separador de milhares 3 2 4 2 4 2 6" xfId="32981" xr:uid="{00000000-0005-0000-0000-0000A35E0000}"/>
    <cellStyle name="Separador de milhares 3 2 4 2 4 3" xfId="8464" xr:uid="{00000000-0005-0000-0000-0000A45E0000}"/>
    <cellStyle name="Separador de milhares 3 2 4 2 4 3 2" xfId="26678" xr:uid="{00000000-0005-0000-0000-0000A55E0000}"/>
    <cellStyle name="Separador de milhares 3 2 4 2 4 3 2 2" xfId="52859" xr:uid="{00000000-0005-0000-0000-0000A65E0000}"/>
    <cellStyle name="Separador de milhares 3 2 4 2 4 3 3" xfId="20764" xr:uid="{00000000-0005-0000-0000-0000A75E0000}"/>
    <cellStyle name="Separador de milhares 3 2 4 2 4 3 3 2" xfId="46951" xr:uid="{00000000-0005-0000-0000-0000A85E0000}"/>
    <cellStyle name="Separador de milhares 3 2 4 2 4 3 4" xfId="14850" xr:uid="{00000000-0005-0000-0000-0000A95E0000}"/>
    <cellStyle name="Separador de milhares 3 2 4 2 4 3 4 2" xfId="41043" xr:uid="{00000000-0005-0000-0000-0000AA5E0000}"/>
    <cellStyle name="Separador de milhares 3 2 4 2 4 3 5" xfId="34657" xr:uid="{00000000-0005-0000-0000-0000AB5E0000}"/>
    <cellStyle name="Separador de milhares 3 2 4 2 4 4" xfId="5086" xr:uid="{00000000-0005-0000-0000-0000AC5E0000}"/>
    <cellStyle name="Separador de milhares 3 2 4 2 4 4 2" xfId="23721" xr:uid="{00000000-0005-0000-0000-0000AD5E0000}"/>
    <cellStyle name="Separador de milhares 3 2 4 2 4 4 2 2" xfId="49905" xr:uid="{00000000-0005-0000-0000-0000AE5E0000}"/>
    <cellStyle name="Separador de milhares 3 2 4 2 4 4 3" xfId="31282" xr:uid="{00000000-0005-0000-0000-0000AF5E0000}"/>
    <cellStyle name="Separador de milhares 3 2 4 2 4 5" xfId="17807" xr:uid="{00000000-0005-0000-0000-0000B05E0000}"/>
    <cellStyle name="Separador de milhares 3 2 4 2 4 5 2" xfId="43997" xr:uid="{00000000-0005-0000-0000-0000B15E0000}"/>
    <cellStyle name="Separador de milhares 3 2 4 2 4 6" xfId="11473" xr:uid="{00000000-0005-0000-0000-0000B25E0000}"/>
    <cellStyle name="Separador de milhares 3 2 4 2 4 6 2" xfId="37666" xr:uid="{00000000-0005-0000-0000-0000B35E0000}"/>
    <cellStyle name="Separador de milhares 3 2 4 2 4 7" xfId="29584" xr:uid="{00000000-0005-0000-0000-0000B45E0000}"/>
    <cellStyle name="Separador de milhares 3 2 4 2 5" xfId="1709" xr:uid="{00000000-0005-0000-0000-0000B55E0000}"/>
    <cellStyle name="Separador de milhares 3 2 4 2 5 2" xfId="6904" xr:uid="{00000000-0005-0000-0000-0000B65E0000}"/>
    <cellStyle name="Separador de milhares 3 2 4 2 5 2 2" xfId="10051" xr:uid="{00000000-0005-0000-0000-0000B75E0000}"/>
    <cellStyle name="Separador de milhares 3 2 4 2 5 2 2 2" xfId="28265" xr:uid="{00000000-0005-0000-0000-0000B85E0000}"/>
    <cellStyle name="Separador de milhares 3 2 4 2 5 2 2 2 2" xfId="54446" xr:uid="{00000000-0005-0000-0000-0000B95E0000}"/>
    <cellStyle name="Separador de milhares 3 2 4 2 5 2 2 3" xfId="22351" xr:uid="{00000000-0005-0000-0000-0000BA5E0000}"/>
    <cellStyle name="Separador de milhares 3 2 4 2 5 2 2 3 2" xfId="48538" xr:uid="{00000000-0005-0000-0000-0000BB5E0000}"/>
    <cellStyle name="Separador de milhares 3 2 4 2 5 2 2 4" xfId="16437" xr:uid="{00000000-0005-0000-0000-0000BC5E0000}"/>
    <cellStyle name="Separador de milhares 3 2 4 2 5 2 2 4 2" xfId="42630" xr:uid="{00000000-0005-0000-0000-0000BD5E0000}"/>
    <cellStyle name="Separador de milhares 3 2 4 2 5 2 2 5" xfId="36244" xr:uid="{00000000-0005-0000-0000-0000BE5E0000}"/>
    <cellStyle name="Separador de milhares 3 2 4 2 5 2 3" xfId="25308" xr:uid="{00000000-0005-0000-0000-0000BF5E0000}"/>
    <cellStyle name="Separador de milhares 3 2 4 2 5 2 3 2" xfId="51492" xr:uid="{00000000-0005-0000-0000-0000C05E0000}"/>
    <cellStyle name="Separador de milhares 3 2 4 2 5 2 4" xfId="19394" xr:uid="{00000000-0005-0000-0000-0000C15E0000}"/>
    <cellStyle name="Separador de milhares 3 2 4 2 5 2 4 2" xfId="45584" xr:uid="{00000000-0005-0000-0000-0000C25E0000}"/>
    <cellStyle name="Separador de milhares 3 2 4 2 5 2 5" xfId="13293" xr:uid="{00000000-0005-0000-0000-0000C35E0000}"/>
    <cellStyle name="Separador de milhares 3 2 4 2 5 2 5 2" xfId="39486" xr:uid="{00000000-0005-0000-0000-0000C45E0000}"/>
    <cellStyle name="Separador de milhares 3 2 4 2 5 2 6" xfId="33100" xr:uid="{00000000-0005-0000-0000-0000C55E0000}"/>
    <cellStyle name="Separador de milhares 3 2 4 2 5 3" xfId="8583" xr:uid="{00000000-0005-0000-0000-0000C65E0000}"/>
    <cellStyle name="Separador de milhares 3 2 4 2 5 3 2" xfId="26797" xr:uid="{00000000-0005-0000-0000-0000C75E0000}"/>
    <cellStyle name="Separador de milhares 3 2 4 2 5 3 2 2" xfId="52978" xr:uid="{00000000-0005-0000-0000-0000C85E0000}"/>
    <cellStyle name="Separador de milhares 3 2 4 2 5 3 3" xfId="20883" xr:uid="{00000000-0005-0000-0000-0000C95E0000}"/>
    <cellStyle name="Separador de milhares 3 2 4 2 5 3 3 2" xfId="47070" xr:uid="{00000000-0005-0000-0000-0000CA5E0000}"/>
    <cellStyle name="Separador de milhares 3 2 4 2 5 3 4" xfId="14969" xr:uid="{00000000-0005-0000-0000-0000CB5E0000}"/>
    <cellStyle name="Separador de milhares 3 2 4 2 5 3 4 2" xfId="41162" xr:uid="{00000000-0005-0000-0000-0000CC5E0000}"/>
    <cellStyle name="Separador de milhares 3 2 4 2 5 3 5" xfId="34776" xr:uid="{00000000-0005-0000-0000-0000CD5E0000}"/>
    <cellStyle name="Separador de milhares 3 2 4 2 5 4" xfId="5205" xr:uid="{00000000-0005-0000-0000-0000CE5E0000}"/>
    <cellStyle name="Separador de milhares 3 2 4 2 5 4 2" xfId="23840" xr:uid="{00000000-0005-0000-0000-0000CF5E0000}"/>
    <cellStyle name="Separador de milhares 3 2 4 2 5 4 2 2" xfId="50024" xr:uid="{00000000-0005-0000-0000-0000D05E0000}"/>
    <cellStyle name="Separador de milhares 3 2 4 2 5 4 3" xfId="31401" xr:uid="{00000000-0005-0000-0000-0000D15E0000}"/>
    <cellStyle name="Separador de milhares 3 2 4 2 5 5" xfId="17926" xr:uid="{00000000-0005-0000-0000-0000D25E0000}"/>
    <cellStyle name="Separador de milhares 3 2 4 2 5 5 2" xfId="44116" xr:uid="{00000000-0005-0000-0000-0000D35E0000}"/>
    <cellStyle name="Separador de milhares 3 2 4 2 5 6" xfId="11592" xr:uid="{00000000-0005-0000-0000-0000D45E0000}"/>
    <cellStyle name="Separador de milhares 3 2 4 2 5 6 2" xfId="37785" xr:uid="{00000000-0005-0000-0000-0000D55E0000}"/>
    <cellStyle name="Separador de milhares 3 2 4 2 5 7" xfId="29703" xr:uid="{00000000-0005-0000-0000-0000D65E0000}"/>
    <cellStyle name="Separador de milhares 3 2 4 2 6" xfId="2239" xr:uid="{00000000-0005-0000-0000-0000D75E0000}"/>
    <cellStyle name="Separador de milhares 3 2 4 2 6 2" xfId="7054" xr:uid="{00000000-0005-0000-0000-0000D85E0000}"/>
    <cellStyle name="Separador de milhares 3 2 4 2 6 2 2" xfId="10198" xr:uid="{00000000-0005-0000-0000-0000D95E0000}"/>
    <cellStyle name="Separador de milhares 3 2 4 2 6 2 2 2" xfId="28412" xr:uid="{00000000-0005-0000-0000-0000DA5E0000}"/>
    <cellStyle name="Separador de milhares 3 2 4 2 6 2 2 2 2" xfId="54593" xr:uid="{00000000-0005-0000-0000-0000DB5E0000}"/>
    <cellStyle name="Separador de milhares 3 2 4 2 6 2 2 3" xfId="22498" xr:uid="{00000000-0005-0000-0000-0000DC5E0000}"/>
    <cellStyle name="Separador de milhares 3 2 4 2 6 2 2 3 2" xfId="48685" xr:uid="{00000000-0005-0000-0000-0000DD5E0000}"/>
    <cellStyle name="Separador de milhares 3 2 4 2 6 2 2 4" xfId="16584" xr:uid="{00000000-0005-0000-0000-0000DE5E0000}"/>
    <cellStyle name="Separador de milhares 3 2 4 2 6 2 2 4 2" xfId="42777" xr:uid="{00000000-0005-0000-0000-0000DF5E0000}"/>
    <cellStyle name="Separador de milhares 3 2 4 2 6 2 2 5" xfId="36391" xr:uid="{00000000-0005-0000-0000-0000E05E0000}"/>
    <cellStyle name="Separador de milhares 3 2 4 2 6 2 3" xfId="25455" xr:uid="{00000000-0005-0000-0000-0000E15E0000}"/>
    <cellStyle name="Separador de milhares 3 2 4 2 6 2 3 2" xfId="51639" xr:uid="{00000000-0005-0000-0000-0000E25E0000}"/>
    <cellStyle name="Separador de milhares 3 2 4 2 6 2 4" xfId="19541" xr:uid="{00000000-0005-0000-0000-0000E35E0000}"/>
    <cellStyle name="Separador de milhares 3 2 4 2 6 2 4 2" xfId="45731" xr:uid="{00000000-0005-0000-0000-0000E45E0000}"/>
    <cellStyle name="Separador de milhares 3 2 4 2 6 2 5" xfId="13443" xr:uid="{00000000-0005-0000-0000-0000E55E0000}"/>
    <cellStyle name="Separador de milhares 3 2 4 2 6 2 5 2" xfId="39636" xr:uid="{00000000-0005-0000-0000-0000E65E0000}"/>
    <cellStyle name="Separador de milhares 3 2 4 2 6 2 6" xfId="33250" xr:uid="{00000000-0005-0000-0000-0000E75E0000}"/>
    <cellStyle name="Separador de milhares 3 2 4 2 6 3" xfId="8730" xr:uid="{00000000-0005-0000-0000-0000E85E0000}"/>
    <cellStyle name="Separador de milhares 3 2 4 2 6 3 2" xfId="26944" xr:uid="{00000000-0005-0000-0000-0000E95E0000}"/>
    <cellStyle name="Separador de milhares 3 2 4 2 6 3 2 2" xfId="53125" xr:uid="{00000000-0005-0000-0000-0000EA5E0000}"/>
    <cellStyle name="Separador de milhares 3 2 4 2 6 3 3" xfId="21030" xr:uid="{00000000-0005-0000-0000-0000EB5E0000}"/>
    <cellStyle name="Separador de milhares 3 2 4 2 6 3 3 2" xfId="47217" xr:uid="{00000000-0005-0000-0000-0000EC5E0000}"/>
    <cellStyle name="Separador de milhares 3 2 4 2 6 3 4" xfId="15116" xr:uid="{00000000-0005-0000-0000-0000ED5E0000}"/>
    <cellStyle name="Separador de milhares 3 2 4 2 6 3 4 2" xfId="41309" xr:uid="{00000000-0005-0000-0000-0000EE5E0000}"/>
    <cellStyle name="Separador de milhares 3 2 4 2 6 3 5" xfId="34923" xr:uid="{00000000-0005-0000-0000-0000EF5E0000}"/>
    <cellStyle name="Separador de milhares 3 2 4 2 6 4" xfId="5355" xr:uid="{00000000-0005-0000-0000-0000F05E0000}"/>
    <cellStyle name="Separador de milhares 3 2 4 2 6 4 2" xfId="23987" xr:uid="{00000000-0005-0000-0000-0000F15E0000}"/>
    <cellStyle name="Separador de milhares 3 2 4 2 6 4 2 2" xfId="50171" xr:uid="{00000000-0005-0000-0000-0000F25E0000}"/>
    <cellStyle name="Separador de milhares 3 2 4 2 6 4 3" xfId="31551" xr:uid="{00000000-0005-0000-0000-0000F35E0000}"/>
    <cellStyle name="Separador de milhares 3 2 4 2 6 5" xfId="18073" xr:uid="{00000000-0005-0000-0000-0000F45E0000}"/>
    <cellStyle name="Separador de milhares 3 2 4 2 6 5 2" xfId="44263" xr:uid="{00000000-0005-0000-0000-0000F55E0000}"/>
    <cellStyle name="Separador de milhares 3 2 4 2 6 6" xfId="11742" xr:uid="{00000000-0005-0000-0000-0000F65E0000}"/>
    <cellStyle name="Separador de milhares 3 2 4 2 6 6 2" xfId="37935" xr:uid="{00000000-0005-0000-0000-0000F75E0000}"/>
    <cellStyle name="Separador de milhares 3 2 4 2 6 7" xfId="29853" xr:uid="{00000000-0005-0000-0000-0000F85E0000}"/>
    <cellStyle name="Separador de milhares 3 2 4 2 7" xfId="2766" xr:uid="{00000000-0005-0000-0000-0000F95E0000}"/>
    <cellStyle name="Separador de milhares 3 2 4 2 7 2" xfId="7201" xr:uid="{00000000-0005-0000-0000-0000FA5E0000}"/>
    <cellStyle name="Separador de milhares 3 2 4 2 7 2 2" xfId="10345" xr:uid="{00000000-0005-0000-0000-0000FB5E0000}"/>
    <cellStyle name="Separador de milhares 3 2 4 2 7 2 2 2" xfId="28559" xr:uid="{00000000-0005-0000-0000-0000FC5E0000}"/>
    <cellStyle name="Separador de milhares 3 2 4 2 7 2 2 2 2" xfId="54740" xr:uid="{00000000-0005-0000-0000-0000FD5E0000}"/>
    <cellStyle name="Separador de milhares 3 2 4 2 7 2 2 3" xfId="22645" xr:uid="{00000000-0005-0000-0000-0000FE5E0000}"/>
    <cellStyle name="Separador de milhares 3 2 4 2 7 2 2 3 2" xfId="48832" xr:uid="{00000000-0005-0000-0000-0000FF5E0000}"/>
    <cellStyle name="Separador de milhares 3 2 4 2 7 2 2 4" xfId="16731" xr:uid="{00000000-0005-0000-0000-0000005F0000}"/>
    <cellStyle name="Separador de milhares 3 2 4 2 7 2 2 4 2" xfId="42924" xr:uid="{00000000-0005-0000-0000-0000015F0000}"/>
    <cellStyle name="Separador de milhares 3 2 4 2 7 2 2 5" xfId="36538" xr:uid="{00000000-0005-0000-0000-0000025F0000}"/>
    <cellStyle name="Separador de milhares 3 2 4 2 7 2 3" xfId="25602" xr:uid="{00000000-0005-0000-0000-0000035F0000}"/>
    <cellStyle name="Separador de milhares 3 2 4 2 7 2 3 2" xfId="51786" xr:uid="{00000000-0005-0000-0000-0000045F0000}"/>
    <cellStyle name="Separador de milhares 3 2 4 2 7 2 4" xfId="19688" xr:uid="{00000000-0005-0000-0000-0000055F0000}"/>
    <cellStyle name="Separador de milhares 3 2 4 2 7 2 4 2" xfId="45878" xr:uid="{00000000-0005-0000-0000-0000065F0000}"/>
    <cellStyle name="Separador de milhares 3 2 4 2 7 2 5" xfId="13590" xr:uid="{00000000-0005-0000-0000-0000075F0000}"/>
    <cellStyle name="Separador de milhares 3 2 4 2 7 2 5 2" xfId="39783" xr:uid="{00000000-0005-0000-0000-0000085F0000}"/>
    <cellStyle name="Separador de milhares 3 2 4 2 7 2 6" xfId="33397" xr:uid="{00000000-0005-0000-0000-0000095F0000}"/>
    <cellStyle name="Separador de milhares 3 2 4 2 7 3" xfId="8877" xr:uid="{00000000-0005-0000-0000-00000A5F0000}"/>
    <cellStyle name="Separador de milhares 3 2 4 2 7 3 2" xfId="27091" xr:uid="{00000000-0005-0000-0000-00000B5F0000}"/>
    <cellStyle name="Separador de milhares 3 2 4 2 7 3 2 2" xfId="53272" xr:uid="{00000000-0005-0000-0000-00000C5F0000}"/>
    <cellStyle name="Separador de milhares 3 2 4 2 7 3 3" xfId="21177" xr:uid="{00000000-0005-0000-0000-00000D5F0000}"/>
    <cellStyle name="Separador de milhares 3 2 4 2 7 3 3 2" xfId="47364" xr:uid="{00000000-0005-0000-0000-00000E5F0000}"/>
    <cellStyle name="Separador de milhares 3 2 4 2 7 3 4" xfId="15263" xr:uid="{00000000-0005-0000-0000-00000F5F0000}"/>
    <cellStyle name="Separador de milhares 3 2 4 2 7 3 4 2" xfId="41456" xr:uid="{00000000-0005-0000-0000-0000105F0000}"/>
    <cellStyle name="Separador de milhares 3 2 4 2 7 3 5" xfId="35070" xr:uid="{00000000-0005-0000-0000-0000115F0000}"/>
    <cellStyle name="Separador de milhares 3 2 4 2 7 4" xfId="5502" xr:uid="{00000000-0005-0000-0000-0000125F0000}"/>
    <cellStyle name="Separador de milhares 3 2 4 2 7 4 2" xfId="24134" xr:uid="{00000000-0005-0000-0000-0000135F0000}"/>
    <cellStyle name="Separador de milhares 3 2 4 2 7 4 2 2" xfId="50318" xr:uid="{00000000-0005-0000-0000-0000145F0000}"/>
    <cellStyle name="Separador de milhares 3 2 4 2 7 4 3" xfId="31698" xr:uid="{00000000-0005-0000-0000-0000155F0000}"/>
    <cellStyle name="Separador de milhares 3 2 4 2 7 5" xfId="18220" xr:uid="{00000000-0005-0000-0000-0000165F0000}"/>
    <cellStyle name="Separador de milhares 3 2 4 2 7 5 2" xfId="44410" xr:uid="{00000000-0005-0000-0000-0000175F0000}"/>
    <cellStyle name="Separador de milhares 3 2 4 2 7 6" xfId="11889" xr:uid="{00000000-0005-0000-0000-0000185F0000}"/>
    <cellStyle name="Separador de milhares 3 2 4 2 7 6 2" xfId="38082" xr:uid="{00000000-0005-0000-0000-0000195F0000}"/>
    <cellStyle name="Separador de milhares 3 2 4 2 7 7" xfId="30000" xr:uid="{00000000-0005-0000-0000-00001A5F0000}"/>
    <cellStyle name="Separador de milhares 3 2 4 2 8" xfId="3293" xr:uid="{00000000-0005-0000-0000-00001B5F0000}"/>
    <cellStyle name="Separador de milhares 3 2 4 2 8 2" xfId="7348" xr:uid="{00000000-0005-0000-0000-00001C5F0000}"/>
    <cellStyle name="Separador de milhares 3 2 4 2 8 2 2" xfId="10492" xr:uid="{00000000-0005-0000-0000-00001D5F0000}"/>
    <cellStyle name="Separador de milhares 3 2 4 2 8 2 2 2" xfId="28706" xr:uid="{00000000-0005-0000-0000-00001E5F0000}"/>
    <cellStyle name="Separador de milhares 3 2 4 2 8 2 2 2 2" xfId="54887" xr:uid="{00000000-0005-0000-0000-00001F5F0000}"/>
    <cellStyle name="Separador de milhares 3 2 4 2 8 2 2 3" xfId="22792" xr:uid="{00000000-0005-0000-0000-0000205F0000}"/>
    <cellStyle name="Separador de milhares 3 2 4 2 8 2 2 3 2" xfId="48979" xr:uid="{00000000-0005-0000-0000-0000215F0000}"/>
    <cellStyle name="Separador de milhares 3 2 4 2 8 2 2 4" xfId="16878" xr:uid="{00000000-0005-0000-0000-0000225F0000}"/>
    <cellStyle name="Separador de milhares 3 2 4 2 8 2 2 4 2" xfId="43071" xr:uid="{00000000-0005-0000-0000-0000235F0000}"/>
    <cellStyle name="Separador de milhares 3 2 4 2 8 2 2 5" xfId="36685" xr:uid="{00000000-0005-0000-0000-0000245F0000}"/>
    <cellStyle name="Separador de milhares 3 2 4 2 8 2 3" xfId="25749" xr:uid="{00000000-0005-0000-0000-0000255F0000}"/>
    <cellStyle name="Separador de milhares 3 2 4 2 8 2 3 2" xfId="51933" xr:uid="{00000000-0005-0000-0000-0000265F0000}"/>
    <cellStyle name="Separador de milhares 3 2 4 2 8 2 4" xfId="19835" xr:uid="{00000000-0005-0000-0000-0000275F0000}"/>
    <cellStyle name="Separador de milhares 3 2 4 2 8 2 4 2" xfId="46025" xr:uid="{00000000-0005-0000-0000-0000285F0000}"/>
    <cellStyle name="Separador de milhares 3 2 4 2 8 2 5" xfId="13737" xr:uid="{00000000-0005-0000-0000-0000295F0000}"/>
    <cellStyle name="Separador de milhares 3 2 4 2 8 2 5 2" xfId="39930" xr:uid="{00000000-0005-0000-0000-00002A5F0000}"/>
    <cellStyle name="Separador de milhares 3 2 4 2 8 2 6" xfId="33544" xr:uid="{00000000-0005-0000-0000-00002B5F0000}"/>
    <cellStyle name="Separador de milhares 3 2 4 2 8 3" xfId="9024" xr:uid="{00000000-0005-0000-0000-00002C5F0000}"/>
    <cellStyle name="Separador de milhares 3 2 4 2 8 3 2" xfId="27238" xr:uid="{00000000-0005-0000-0000-00002D5F0000}"/>
    <cellStyle name="Separador de milhares 3 2 4 2 8 3 2 2" xfId="53419" xr:uid="{00000000-0005-0000-0000-00002E5F0000}"/>
    <cellStyle name="Separador de milhares 3 2 4 2 8 3 3" xfId="21324" xr:uid="{00000000-0005-0000-0000-00002F5F0000}"/>
    <cellStyle name="Separador de milhares 3 2 4 2 8 3 3 2" xfId="47511" xr:uid="{00000000-0005-0000-0000-0000305F0000}"/>
    <cellStyle name="Separador de milhares 3 2 4 2 8 3 4" xfId="15410" xr:uid="{00000000-0005-0000-0000-0000315F0000}"/>
    <cellStyle name="Separador de milhares 3 2 4 2 8 3 4 2" xfId="41603" xr:uid="{00000000-0005-0000-0000-0000325F0000}"/>
    <cellStyle name="Separador de milhares 3 2 4 2 8 3 5" xfId="35217" xr:uid="{00000000-0005-0000-0000-0000335F0000}"/>
    <cellStyle name="Separador de milhares 3 2 4 2 8 4" xfId="5649" xr:uid="{00000000-0005-0000-0000-0000345F0000}"/>
    <cellStyle name="Separador de milhares 3 2 4 2 8 4 2" xfId="24281" xr:uid="{00000000-0005-0000-0000-0000355F0000}"/>
    <cellStyle name="Separador de milhares 3 2 4 2 8 4 2 2" xfId="50465" xr:uid="{00000000-0005-0000-0000-0000365F0000}"/>
    <cellStyle name="Separador de milhares 3 2 4 2 8 4 3" xfId="31845" xr:uid="{00000000-0005-0000-0000-0000375F0000}"/>
    <cellStyle name="Separador de milhares 3 2 4 2 8 5" xfId="18367" xr:uid="{00000000-0005-0000-0000-0000385F0000}"/>
    <cellStyle name="Separador de milhares 3 2 4 2 8 5 2" xfId="44557" xr:uid="{00000000-0005-0000-0000-0000395F0000}"/>
    <cellStyle name="Separador de milhares 3 2 4 2 8 6" xfId="12036" xr:uid="{00000000-0005-0000-0000-00003A5F0000}"/>
    <cellStyle name="Separador de milhares 3 2 4 2 8 6 2" xfId="38229" xr:uid="{00000000-0005-0000-0000-00003B5F0000}"/>
    <cellStyle name="Separador de milhares 3 2 4 2 8 7" xfId="30147" xr:uid="{00000000-0005-0000-0000-00003C5F0000}"/>
    <cellStyle name="Separador de milhares 3 2 4 2 9" xfId="3820" xr:uid="{00000000-0005-0000-0000-00003D5F0000}"/>
    <cellStyle name="Separador de milhares 3 2 4 2 9 2" xfId="7495" xr:uid="{00000000-0005-0000-0000-00003E5F0000}"/>
    <cellStyle name="Separador de milhares 3 2 4 2 9 2 2" xfId="10639" xr:uid="{00000000-0005-0000-0000-00003F5F0000}"/>
    <cellStyle name="Separador de milhares 3 2 4 2 9 2 2 2" xfId="28853" xr:uid="{00000000-0005-0000-0000-0000405F0000}"/>
    <cellStyle name="Separador de milhares 3 2 4 2 9 2 2 2 2" xfId="55034" xr:uid="{00000000-0005-0000-0000-0000415F0000}"/>
    <cellStyle name="Separador de milhares 3 2 4 2 9 2 2 3" xfId="22939" xr:uid="{00000000-0005-0000-0000-0000425F0000}"/>
    <cellStyle name="Separador de milhares 3 2 4 2 9 2 2 3 2" xfId="49126" xr:uid="{00000000-0005-0000-0000-0000435F0000}"/>
    <cellStyle name="Separador de milhares 3 2 4 2 9 2 2 4" xfId="17025" xr:uid="{00000000-0005-0000-0000-0000445F0000}"/>
    <cellStyle name="Separador de milhares 3 2 4 2 9 2 2 4 2" xfId="43218" xr:uid="{00000000-0005-0000-0000-0000455F0000}"/>
    <cellStyle name="Separador de milhares 3 2 4 2 9 2 2 5" xfId="36832" xr:uid="{00000000-0005-0000-0000-0000465F0000}"/>
    <cellStyle name="Separador de milhares 3 2 4 2 9 2 3" xfId="25896" xr:uid="{00000000-0005-0000-0000-0000475F0000}"/>
    <cellStyle name="Separador de milhares 3 2 4 2 9 2 3 2" xfId="52080" xr:uid="{00000000-0005-0000-0000-0000485F0000}"/>
    <cellStyle name="Separador de milhares 3 2 4 2 9 2 4" xfId="19982" xr:uid="{00000000-0005-0000-0000-0000495F0000}"/>
    <cellStyle name="Separador de milhares 3 2 4 2 9 2 4 2" xfId="46172" xr:uid="{00000000-0005-0000-0000-00004A5F0000}"/>
    <cellStyle name="Separador de milhares 3 2 4 2 9 2 5" xfId="13884" xr:uid="{00000000-0005-0000-0000-00004B5F0000}"/>
    <cellStyle name="Separador de milhares 3 2 4 2 9 2 5 2" xfId="40077" xr:uid="{00000000-0005-0000-0000-00004C5F0000}"/>
    <cellStyle name="Separador de milhares 3 2 4 2 9 2 6" xfId="33691" xr:uid="{00000000-0005-0000-0000-00004D5F0000}"/>
    <cellStyle name="Separador de milhares 3 2 4 2 9 3" xfId="9171" xr:uid="{00000000-0005-0000-0000-00004E5F0000}"/>
    <cellStyle name="Separador de milhares 3 2 4 2 9 3 2" xfId="27385" xr:uid="{00000000-0005-0000-0000-00004F5F0000}"/>
    <cellStyle name="Separador de milhares 3 2 4 2 9 3 2 2" xfId="53566" xr:uid="{00000000-0005-0000-0000-0000505F0000}"/>
    <cellStyle name="Separador de milhares 3 2 4 2 9 3 3" xfId="21471" xr:uid="{00000000-0005-0000-0000-0000515F0000}"/>
    <cellStyle name="Separador de milhares 3 2 4 2 9 3 3 2" xfId="47658" xr:uid="{00000000-0005-0000-0000-0000525F0000}"/>
    <cellStyle name="Separador de milhares 3 2 4 2 9 3 4" xfId="15557" xr:uid="{00000000-0005-0000-0000-0000535F0000}"/>
    <cellStyle name="Separador de milhares 3 2 4 2 9 3 4 2" xfId="41750" xr:uid="{00000000-0005-0000-0000-0000545F0000}"/>
    <cellStyle name="Separador de milhares 3 2 4 2 9 3 5" xfId="35364" xr:uid="{00000000-0005-0000-0000-0000555F0000}"/>
    <cellStyle name="Separador de milhares 3 2 4 2 9 4" xfId="5796" xr:uid="{00000000-0005-0000-0000-0000565F0000}"/>
    <cellStyle name="Separador de milhares 3 2 4 2 9 4 2" xfId="24428" xr:uid="{00000000-0005-0000-0000-0000575F0000}"/>
    <cellStyle name="Separador de milhares 3 2 4 2 9 4 2 2" xfId="50612" xr:uid="{00000000-0005-0000-0000-0000585F0000}"/>
    <cellStyle name="Separador de milhares 3 2 4 2 9 4 3" xfId="31992" xr:uid="{00000000-0005-0000-0000-0000595F0000}"/>
    <cellStyle name="Separador de milhares 3 2 4 2 9 5" xfId="18514" xr:uid="{00000000-0005-0000-0000-00005A5F0000}"/>
    <cellStyle name="Separador de milhares 3 2 4 2 9 5 2" xfId="44704" xr:uid="{00000000-0005-0000-0000-00005B5F0000}"/>
    <cellStyle name="Separador de milhares 3 2 4 2 9 6" xfId="12183" xr:uid="{00000000-0005-0000-0000-00005C5F0000}"/>
    <cellStyle name="Separador de milhares 3 2 4 2 9 6 2" xfId="38376" xr:uid="{00000000-0005-0000-0000-00005D5F0000}"/>
    <cellStyle name="Separador de milhares 3 2 4 2 9 7" xfId="30294" xr:uid="{00000000-0005-0000-0000-00005E5F0000}"/>
    <cellStyle name="Separador de milhares 3 2 4 3" xfId="272" xr:uid="{00000000-0005-0000-0000-00005F5F0000}"/>
    <cellStyle name="Separador de milhares 3 2 4 3 10" xfId="6486" xr:uid="{00000000-0005-0000-0000-0000605F0000}"/>
    <cellStyle name="Separador de milhares 3 2 4 3 10 2" xfId="9637" xr:uid="{00000000-0005-0000-0000-0000615F0000}"/>
    <cellStyle name="Separador de milhares 3 2 4 3 10 2 2" xfId="27851" xr:uid="{00000000-0005-0000-0000-0000625F0000}"/>
    <cellStyle name="Separador de milhares 3 2 4 3 10 2 2 2" xfId="54032" xr:uid="{00000000-0005-0000-0000-0000635F0000}"/>
    <cellStyle name="Separador de milhares 3 2 4 3 10 2 3" xfId="21937" xr:uid="{00000000-0005-0000-0000-0000645F0000}"/>
    <cellStyle name="Separador de milhares 3 2 4 3 10 2 3 2" xfId="48124" xr:uid="{00000000-0005-0000-0000-0000655F0000}"/>
    <cellStyle name="Separador de milhares 3 2 4 3 10 2 4" xfId="16023" xr:uid="{00000000-0005-0000-0000-0000665F0000}"/>
    <cellStyle name="Separador de milhares 3 2 4 3 10 2 4 2" xfId="42216" xr:uid="{00000000-0005-0000-0000-0000675F0000}"/>
    <cellStyle name="Separador de milhares 3 2 4 3 10 2 5" xfId="35830" xr:uid="{00000000-0005-0000-0000-0000685F0000}"/>
    <cellStyle name="Separador de milhares 3 2 4 3 10 3" xfId="24894" xr:uid="{00000000-0005-0000-0000-0000695F0000}"/>
    <cellStyle name="Separador de milhares 3 2 4 3 10 3 2" xfId="51078" xr:uid="{00000000-0005-0000-0000-00006A5F0000}"/>
    <cellStyle name="Separador de milhares 3 2 4 3 10 4" xfId="18980" xr:uid="{00000000-0005-0000-0000-00006B5F0000}"/>
    <cellStyle name="Separador de milhares 3 2 4 3 10 4 2" xfId="45170" xr:uid="{00000000-0005-0000-0000-00006C5F0000}"/>
    <cellStyle name="Separador de milhares 3 2 4 3 10 5" xfId="12875" xr:uid="{00000000-0005-0000-0000-00006D5F0000}"/>
    <cellStyle name="Separador de milhares 3 2 4 3 10 5 2" xfId="39068" xr:uid="{00000000-0005-0000-0000-00006E5F0000}"/>
    <cellStyle name="Separador de milhares 3 2 4 3 10 6" xfId="32682" xr:uid="{00000000-0005-0000-0000-00006F5F0000}"/>
    <cellStyle name="Separador de milhares 3 2 4 3 11" xfId="8166" xr:uid="{00000000-0005-0000-0000-0000705F0000}"/>
    <cellStyle name="Separador de milhares 3 2 4 3 11 2" xfId="26380" xr:uid="{00000000-0005-0000-0000-0000715F0000}"/>
    <cellStyle name="Separador de milhares 3 2 4 3 11 2 2" xfId="52564" xr:uid="{00000000-0005-0000-0000-0000725F0000}"/>
    <cellStyle name="Separador de milhares 3 2 4 3 11 3" xfId="20466" xr:uid="{00000000-0005-0000-0000-0000735F0000}"/>
    <cellStyle name="Separador de milhares 3 2 4 3 11 3 2" xfId="46656" xr:uid="{00000000-0005-0000-0000-0000745F0000}"/>
    <cellStyle name="Separador de milhares 3 2 4 3 11 4" xfId="14555" xr:uid="{00000000-0005-0000-0000-0000755F0000}"/>
    <cellStyle name="Separador de milhares 3 2 4 3 11 4 2" xfId="40748" xr:uid="{00000000-0005-0000-0000-0000765F0000}"/>
    <cellStyle name="Separador de milhares 3 2 4 3 11 5" xfId="34362" xr:uid="{00000000-0005-0000-0000-0000775F0000}"/>
    <cellStyle name="Separador de milhares 3 2 4 3 12" xfId="4785" xr:uid="{00000000-0005-0000-0000-0000785F0000}"/>
    <cellStyle name="Separador de milhares 3 2 4 3 12 2" xfId="23423" xr:uid="{00000000-0005-0000-0000-0000795F0000}"/>
    <cellStyle name="Separador de milhares 3 2 4 3 12 2 2" xfId="49610" xr:uid="{00000000-0005-0000-0000-00007A5F0000}"/>
    <cellStyle name="Separador de milhares 3 2 4 3 12 3" xfId="30983" xr:uid="{00000000-0005-0000-0000-00007B5F0000}"/>
    <cellStyle name="Separador de milhares 3 2 4 3 13" xfId="17509" xr:uid="{00000000-0005-0000-0000-00007C5F0000}"/>
    <cellStyle name="Separador de milhares 3 2 4 3 13 2" xfId="43702" xr:uid="{00000000-0005-0000-0000-00007D5F0000}"/>
    <cellStyle name="Separador de milhares 3 2 4 3 14" xfId="11174" xr:uid="{00000000-0005-0000-0000-00007E5F0000}"/>
    <cellStyle name="Separador de milhares 3 2 4 3 14 2" xfId="37367" xr:uid="{00000000-0005-0000-0000-00007F5F0000}"/>
    <cellStyle name="Separador de milhares 3 2 4 3 15" xfId="29285" xr:uid="{00000000-0005-0000-0000-0000805F0000}"/>
    <cellStyle name="Separador de milhares 3 2 4 3 2" xfId="535" xr:uid="{00000000-0005-0000-0000-0000815F0000}"/>
    <cellStyle name="Separador de milhares 3 2 4 3 2 2" xfId="6557" xr:uid="{00000000-0005-0000-0000-0000825F0000}"/>
    <cellStyle name="Separador de milhares 3 2 4 3 2 2 2" xfId="9704" xr:uid="{00000000-0005-0000-0000-0000835F0000}"/>
    <cellStyle name="Separador de milhares 3 2 4 3 2 2 2 2" xfId="27918" xr:uid="{00000000-0005-0000-0000-0000845F0000}"/>
    <cellStyle name="Separador de milhares 3 2 4 3 2 2 2 2 2" xfId="54099" xr:uid="{00000000-0005-0000-0000-0000855F0000}"/>
    <cellStyle name="Separador de milhares 3 2 4 3 2 2 2 3" xfId="22004" xr:uid="{00000000-0005-0000-0000-0000865F0000}"/>
    <cellStyle name="Separador de milhares 3 2 4 3 2 2 2 3 2" xfId="48191" xr:uid="{00000000-0005-0000-0000-0000875F0000}"/>
    <cellStyle name="Separador de milhares 3 2 4 3 2 2 2 4" xfId="16090" xr:uid="{00000000-0005-0000-0000-0000885F0000}"/>
    <cellStyle name="Separador de milhares 3 2 4 3 2 2 2 4 2" xfId="42283" xr:uid="{00000000-0005-0000-0000-0000895F0000}"/>
    <cellStyle name="Separador de milhares 3 2 4 3 2 2 2 5" xfId="35897" xr:uid="{00000000-0005-0000-0000-00008A5F0000}"/>
    <cellStyle name="Separador de milhares 3 2 4 3 2 2 3" xfId="24961" xr:uid="{00000000-0005-0000-0000-00008B5F0000}"/>
    <cellStyle name="Separador de milhares 3 2 4 3 2 2 3 2" xfId="51145" xr:uid="{00000000-0005-0000-0000-00008C5F0000}"/>
    <cellStyle name="Separador de milhares 3 2 4 3 2 2 4" xfId="19047" xr:uid="{00000000-0005-0000-0000-00008D5F0000}"/>
    <cellStyle name="Separador de milhares 3 2 4 3 2 2 4 2" xfId="45237" xr:uid="{00000000-0005-0000-0000-00008E5F0000}"/>
    <cellStyle name="Separador de milhares 3 2 4 3 2 2 5" xfId="12946" xr:uid="{00000000-0005-0000-0000-00008F5F0000}"/>
    <cellStyle name="Separador de milhares 3 2 4 3 2 2 5 2" xfId="39139" xr:uid="{00000000-0005-0000-0000-0000905F0000}"/>
    <cellStyle name="Separador de milhares 3 2 4 3 2 2 6" xfId="32753" xr:uid="{00000000-0005-0000-0000-0000915F0000}"/>
    <cellStyle name="Separador de milhares 3 2 4 3 2 3" xfId="8233" xr:uid="{00000000-0005-0000-0000-0000925F0000}"/>
    <cellStyle name="Separador de milhares 3 2 4 3 2 3 2" xfId="26447" xr:uid="{00000000-0005-0000-0000-0000935F0000}"/>
    <cellStyle name="Separador de milhares 3 2 4 3 2 3 2 2" xfId="52631" xr:uid="{00000000-0005-0000-0000-0000945F0000}"/>
    <cellStyle name="Separador de milhares 3 2 4 3 2 3 3" xfId="20533" xr:uid="{00000000-0005-0000-0000-0000955F0000}"/>
    <cellStyle name="Separador de milhares 3 2 4 3 2 3 3 2" xfId="46723" xr:uid="{00000000-0005-0000-0000-0000965F0000}"/>
    <cellStyle name="Separador de milhares 3 2 4 3 2 3 4" xfId="14622" xr:uid="{00000000-0005-0000-0000-0000975F0000}"/>
    <cellStyle name="Separador de milhares 3 2 4 3 2 3 4 2" xfId="40815" xr:uid="{00000000-0005-0000-0000-0000985F0000}"/>
    <cellStyle name="Separador de milhares 3 2 4 3 2 3 5" xfId="34429" xr:uid="{00000000-0005-0000-0000-0000995F0000}"/>
    <cellStyle name="Separador de milhares 3 2 4 3 2 4" xfId="4856" xr:uid="{00000000-0005-0000-0000-00009A5F0000}"/>
    <cellStyle name="Separador de milhares 3 2 4 3 2 4 2" xfId="23490" xr:uid="{00000000-0005-0000-0000-00009B5F0000}"/>
    <cellStyle name="Separador de milhares 3 2 4 3 2 4 2 2" xfId="49677" xr:uid="{00000000-0005-0000-0000-00009C5F0000}"/>
    <cellStyle name="Separador de milhares 3 2 4 3 2 4 3" xfId="31054" xr:uid="{00000000-0005-0000-0000-00009D5F0000}"/>
    <cellStyle name="Separador de milhares 3 2 4 3 2 5" xfId="17576" xr:uid="{00000000-0005-0000-0000-00009E5F0000}"/>
    <cellStyle name="Separador de milhares 3 2 4 3 2 5 2" xfId="43769" xr:uid="{00000000-0005-0000-0000-00009F5F0000}"/>
    <cellStyle name="Separador de milhares 3 2 4 3 2 6" xfId="11245" xr:uid="{00000000-0005-0000-0000-0000A05F0000}"/>
    <cellStyle name="Separador de milhares 3 2 4 3 2 6 2" xfId="37438" xr:uid="{00000000-0005-0000-0000-0000A15F0000}"/>
    <cellStyle name="Separador de milhares 3 2 4 3 2 7" xfId="29356" xr:uid="{00000000-0005-0000-0000-0000A25F0000}"/>
    <cellStyle name="Separador de milhares 3 2 4 3 3" xfId="832" xr:uid="{00000000-0005-0000-0000-0000A35F0000}"/>
    <cellStyle name="Separador de milhares 3 2 4 3 3 2" xfId="6659" xr:uid="{00000000-0005-0000-0000-0000A45F0000}"/>
    <cellStyle name="Separador de milhares 3 2 4 3 3 2 2" xfId="9806" xr:uid="{00000000-0005-0000-0000-0000A55F0000}"/>
    <cellStyle name="Separador de milhares 3 2 4 3 3 2 2 2" xfId="28020" xr:uid="{00000000-0005-0000-0000-0000A65F0000}"/>
    <cellStyle name="Separador de milhares 3 2 4 3 3 2 2 2 2" xfId="54201" xr:uid="{00000000-0005-0000-0000-0000A75F0000}"/>
    <cellStyle name="Separador de milhares 3 2 4 3 3 2 2 3" xfId="22106" xr:uid="{00000000-0005-0000-0000-0000A85F0000}"/>
    <cellStyle name="Separador de milhares 3 2 4 3 3 2 2 3 2" xfId="48293" xr:uid="{00000000-0005-0000-0000-0000A95F0000}"/>
    <cellStyle name="Separador de milhares 3 2 4 3 3 2 2 4" xfId="16192" xr:uid="{00000000-0005-0000-0000-0000AA5F0000}"/>
    <cellStyle name="Separador de milhares 3 2 4 3 3 2 2 4 2" xfId="42385" xr:uid="{00000000-0005-0000-0000-0000AB5F0000}"/>
    <cellStyle name="Separador de milhares 3 2 4 3 3 2 2 5" xfId="35999" xr:uid="{00000000-0005-0000-0000-0000AC5F0000}"/>
    <cellStyle name="Separador de milhares 3 2 4 3 3 2 3" xfId="25063" xr:uid="{00000000-0005-0000-0000-0000AD5F0000}"/>
    <cellStyle name="Separador de milhares 3 2 4 3 3 2 3 2" xfId="51247" xr:uid="{00000000-0005-0000-0000-0000AE5F0000}"/>
    <cellStyle name="Separador de milhares 3 2 4 3 3 2 4" xfId="19149" xr:uid="{00000000-0005-0000-0000-0000AF5F0000}"/>
    <cellStyle name="Separador de milhares 3 2 4 3 3 2 4 2" xfId="45339" xr:uid="{00000000-0005-0000-0000-0000B05F0000}"/>
    <cellStyle name="Separador de milhares 3 2 4 3 3 2 5" xfId="13048" xr:uid="{00000000-0005-0000-0000-0000B15F0000}"/>
    <cellStyle name="Separador de milhares 3 2 4 3 3 2 5 2" xfId="39241" xr:uid="{00000000-0005-0000-0000-0000B25F0000}"/>
    <cellStyle name="Separador de milhares 3 2 4 3 3 2 6" xfId="32855" xr:uid="{00000000-0005-0000-0000-0000B35F0000}"/>
    <cellStyle name="Separador de milhares 3 2 4 3 3 3" xfId="8338" xr:uid="{00000000-0005-0000-0000-0000B45F0000}"/>
    <cellStyle name="Separador de milhares 3 2 4 3 3 3 2" xfId="26552" xr:uid="{00000000-0005-0000-0000-0000B55F0000}"/>
    <cellStyle name="Separador de milhares 3 2 4 3 3 3 2 2" xfId="52733" xr:uid="{00000000-0005-0000-0000-0000B65F0000}"/>
    <cellStyle name="Separador de milhares 3 2 4 3 3 3 3" xfId="20638" xr:uid="{00000000-0005-0000-0000-0000B75F0000}"/>
    <cellStyle name="Separador de milhares 3 2 4 3 3 3 3 2" xfId="46825" xr:uid="{00000000-0005-0000-0000-0000B85F0000}"/>
    <cellStyle name="Separador de milhares 3 2 4 3 3 3 4" xfId="14724" xr:uid="{00000000-0005-0000-0000-0000B95F0000}"/>
    <cellStyle name="Separador de milhares 3 2 4 3 3 3 4 2" xfId="40917" xr:uid="{00000000-0005-0000-0000-0000BA5F0000}"/>
    <cellStyle name="Separador de milhares 3 2 4 3 3 3 5" xfId="34531" xr:uid="{00000000-0005-0000-0000-0000BB5F0000}"/>
    <cellStyle name="Separador de milhares 3 2 4 3 3 4" xfId="4960" xr:uid="{00000000-0005-0000-0000-0000BC5F0000}"/>
    <cellStyle name="Separador de milhares 3 2 4 3 3 4 2" xfId="23595" xr:uid="{00000000-0005-0000-0000-0000BD5F0000}"/>
    <cellStyle name="Separador de milhares 3 2 4 3 3 4 2 2" xfId="49779" xr:uid="{00000000-0005-0000-0000-0000BE5F0000}"/>
    <cellStyle name="Separador de milhares 3 2 4 3 3 4 3" xfId="31156" xr:uid="{00000000-0005-0000-0000-0000BF5F0000}"/>
    <cellStyle name="Separador de milhares 3 2 4 3 3 5" xfId="17681" xr:uid="{00000000-0005-0000-0000-0000C05F0000}"/>
    <cellStyle name="Separador de milhares 3 2 4 3 3 5 2" xfId="43871" xr:uid="{00000000-0005-0000-0000-0000C15F0000}"/>
    <cellStyle name="Separador de milhares 3 2 4 3 3 6" xfId="11347" xr:uid="{00000000-0005-0000-0000-0000C25F0000}"/>
    <cellStyle name="Separador de milhares 3 2 4 3 3 6 2" xfId="37540" xr:uid="{00000000-0005-0000-0000-0000C35F0000}"/>
    <cellStyle name="Separador de milhares 3 2 4 3 3 7" xfId="29458" xr:uid="{00000000-0005-0000-0000-0000C45F0000}"/>
    <cellStyle name="Separador de milhares 3 2 4 3 4" xfId="1183" xr:uid="{00000000-0005-0000-0000-0000C55F0000}"/>
    <cellStyle name="Separador de milhares 3 2 4 3 4 2" xfId="6757" xr:uid="{00000000-0005-0000-0000-0000C65F0000}"/>
    <cellStyle name="Separador de milhares 3 2 4 3 4 2 2" xfId="9904" xr:uid="{00000000-0005-0000-0000-0000C75F0000}"/>
    <cellStyle name="Separador de milhares 3 2 4 3 4 2 2 2" xfId="28118" xr:uid="{00000000-0005-0000-0000-0000C85F0000}"/>
    <cellStyle name="Separador de milhares 3 2 4 3 4 2 2 2 2" xfId="54299" xr:uid="{00000000-0005-0000-0000-0000C95F0000}"/>
    <cellStyle name="Separador de milhares 3 2 4 3 4 2 2 3" xfId="22204" xr:uid="{00000000-0005-0000-0000-0000CA5F0000}"/>
    <cellStyle name="Separador de milhares 3 2 4 3 4 2 2 3 2" xfId="48391" xr:uid="{00000000-0005-0000-0000-0000CB5F0000}"/>
    <cellStyle name="Separador de milhares 3 2 4 3 4 2 2 4" xfId="16290" xr:uid="{00000000-0005-0000-0000-0000CC5F0000}"/>
    <cellStyle name="Separador de milhares 3 2 4 3 4 2 2 4 2" xfId="42483" xr:uid="{00000000-0005-0000-0000-0000CD5F0000}"/>
    <cellStyle name="Separador de milhares 3 2 4 3 4 2 2 5" xfId="36097" xr:uid="{00000000-0005-0000-0000-0000CE5F0000}"/>
    <cellStyle name="Separador de milhares 3 2 4 3 4 2 3" xfId="25161" xr:uid="{00000000-0005-0000-0000-0000CF5F0000}"/>
    <cellStyle name="Separador de milhares 3 2 4 3 4 2 3 2" xfId="51345" xr:uid="{00000000-0005-0000-0000-0000D05F0000}"/>
    <cellStyle name="Separador de milhares 3 2 4 3 4 2 4" xfId="19247" xr:uid="{00000000-0005-0000-0000-0000D15F0000}"/>
    <cellStyle name="Separador de milhares 3 2 4 3 4 2 4 2" xfId="45437" xr:uid="{00000000-0005-0000-0000-0000D25F0000}"/>
    <cellStyle name="Separador de milhares 3 2 4 3 4 2 5" xfId="13146" xr:uid="{00000000-0005-0000-0000-0000D35F0000}"/>
    <cellStyle name="Separador de milhares 3 2 4 3 4 2 5 2" xfId="39339" xr:uid="{00000000-0005-0000-0000-0000D45F0000}"/>
    <cellStyle name="Separador de milhares 3 2 4 3 4 2 6" xfId="32953" xr:uid="{00000000-0005-0000-0000-0000D55F0000}"/>
    <cellStyle name="Separador de milhares 3 2 4 3 4 3" xfId="8436" xr:uid="{00000000-0005-0000-0000-0000D65F0000}"/>
    <cellStyle name="Separador de milhares 3 2 4 3 4 3 2" xfId="26650" xr:uid="{00000000-0005-0000-0000-0000D75F0000}"/>
    <cellStyle name="Separador de milhares 3 2 4 3 4 3 2 2" xfId="52831" xr:uid="{00000000-0005-0000-0000-0000D85F0000}"/>
    <cellStyle name="Separador de milhares 3 2 4 3 4 3 3" xfId="20736" xr:uid="{00000000-0005-0000-0000-0000D95F0000}"/>
    <cellStyle name="Separador de milhares 3 2 4 3 4 3 3 2" xfId="46923" xr:uid="{00000000-0005-0000-0000-0000DA5F0000}"/>
    <cellStyle name="Separador de milhares 3 2 4 3 4 3 4" xfId="14822" xr:uid="{00000000-0005-0000-0000-0000DB5F0000}"/>
    <cellStyle name="Separador de milhares 3 2 4 3 4 3 4 2" xfId="41015" xr:uid="{00000000-0005-0000-0000-0000DC5F0000}"/>
    <cellStyle name="Separador de milhares 3 2 4 3 4 3 5" xfId="34629" xr:uid="{00000000-0005-0000-0000-0000DD5F0000}"/>
    <cellStyle name="Separador de milhares 3 2 4 3 4 4" xfId="5058" xr:uid="{00000000-0005-0000-0000-0000DE5F0000}"/>
    <cellStyle name="Separador de milhares 3 2 4 3 4 4 2" xfId="23693" xr:uid="{00000000-0005-0000-0000-0000DF5F0000}"/>
    <cellStyle name="Separador de milhares 3 2 4 3 4 4 2 2" xfId="49877" xr:uid="{00000000-0005-0000-0000-0000E05F0000}"/>
    <cellStyle name="Separador de milhares 3 2 4 3 4 4 3" xfId="31254" xr:uid="{00000000-0005-0000-0000-0000E15F0000}"/>
    <cellStyle name="Separador de milhares 3 2 4 3 4 5" xfId="17779" xr:uid="{00000000-0005-0000-0000-0000E25F0000}"/>
    <cellStyle name="Separador de milhares 3 2 4 3 4 5 2" xfId="43969" xr:uid="{00000000-0005-0000-0000-0000E35F0000}"/>
    <cellStyle name="Separador de milhares 3 2 4 3 4 6" xfId="11445" xr:uid="{00000000-0005-0000-0000-0000E45F0000}"/>
    <cellStyle name="Separador de milhares 3 2 4 3 4 6 2" xfId="37638" xr:uid="{00000000-0005-0000-0000-0000E55F0000}"/>
    <cellStyle name="Separador de milhares 3 2 4 3 4 7" xfId="29556" xr:uid="{00000000-0005-0000-0000-0000E65F0000}"/>
    <cellStyle name="Separador de milhares 3 2 4 3 5" xfId="1618" xr:uid="{00000000-0005-0000-0000-0000E75F0000}"/>
    <cellStyle name="Separador de milhares 3 2 4 3 5 2" xfId="6876" xr:uid="{00000000-0005-0000-0000-0000E85F0000}"/>
    <cellStyle name="Separador de milhares 3 2 4 3 5 2 2" xfId="10023" xr:uid="{00000000-0005-0000-0000-0000E95F0000}"/>
    <cellStyle name="Separador de milhares 3 2 4 3 5 2 2 2" xfId="28237" xr:uid="{00000000-0005-0000-0000-0000EA5F0000}"/>
    <cellStyle name="Separador de milhares 3 2 4 3 5 2 2 2 2" xfId="54418" xr:uid="{00000000-0005-0000-0000-0000EB5F0000}"/>
    <cellStyle name="Separador de milhares 3 2 4 3 5 2 2 3" xfId="22323" xr:uid="{00000000-0005-0000-0000-0000EC5F0000}"/>
    <cellStyle name="Separador de milhares 3 2 4 3 5 2 2 3 2" xfId="48510" xr:uid="{00000000-0005-0000-0000-0000ED5F0000}"/>
    <cellStyle name="Separador de milhares 3 2 4 3 5 2 2 4" xfId="16409" xr:uid="{00000000-0005-0000-0000-0000EE5F0000}"/>
    <cellStyle name="Separador de milhares 3 2 4 3 5 2 2 4 2" xfId="42602" xr:uid="{00000000-0005-0000-0000-0000EF5F0000}"/>
    <cellStyle name="Separador de milhares 3 2 4 3 5 2 2 5" xfId="36216" xr:uid="{00000000-0005-0000-0000-0000F05F0000}"/>
    <cellStyle name="Separador de milhares 3 2 4 3 5 2 3" xfId="25280" xr:uid="{00000000-0005-0000-0000-0000F15F0000}"/>
    <cellStyle name="Separador de milhares 3 2 4 3 5 2 3 2" xfId="51464" xr:uid="{00000000-0005-0000-0000-0000F25F0000}"/>
    <cellStyle name="Separador de milhares 3 2 4 3 5 2 4" xfId="19366" xr:uid="{00000000-0005-0000-0000-0000F35F0000}"/>
    <cellStyle name="Separador de milhares 3 2 4 3 5 2 4 2" xfId="45556" xr:uid="{00000000-0005-0000-0000-0000F45F0000}"/>
    <cellStyle name="Separador de milhares 3 2 4 3 5 2 5" xfId="13265" xr:uid="{00000000-0005-0000-0000-0000F55F0000}"/>
    <cellStyle name="Separador de milhares 3 2 4 3 5 2 5 2" xfId="39458" xr:uid="{00000000-0005-0000-0000-0000F65F0000}"/>
    <cellStyle name="Separador de milhares 3 2 4 3 5 2 6" xfId="33072" xr:uid="{00000000-0005-0000-0000-0000F75F0000}"/>
    <cellStyle name="Separador de milhares 3 2 4 3 5 3" xfId="8555" xr:uid="{00000000-0005-0000-0000-0000F85F0000}"/>
    <cellStyle name="Separador de milhares 3 2 4 3 5 3 2" xfId="26769" xr:uid="{00000000-0005-0000-0000-0000F95F0000}"/>
    <cellStyle name="Separador de milhares 3 2 4 3 5 3 2 2" xfId="52950" xr:uid="{00000000-0005-0000-0000-0000FA5F0000}"/>
    <cellStyle name="Separador de milhares 3 2 4 3 5 3 3" xfId="20855" xr:uid="{00000000-0005-0000-0000-0000FB5F0000}"/>
    <cellStyle name="Separador de milhares 3 2 4 3 5 3 3 2" xfId="47042" xr:uid="{00000000-0005-0000-0000-0000FC5F0000}"/>
    <cellStyle name="Separador de milhares 3 2 4 3 5 3 4" xfId="14941" xr:uid="{00000000-0005-0000-0000-0000FD5F0000}"/>
    <cellStyle name="Separador de milhares 3 2 4 3 5 3 4 2" xfId="41134" xr:uid="{00000000-0005-0000-0000-0000FE5F0000}"/>
    <cellStyle name="Separador de milhares 3 2 4 3 5 3 5" xfId="34748" xr:uid="{00000000-0005-0000-0000-0000FF5F0000}"/>
    <cellStyle name="Separador de milhares 3 2 4 3 5 4" xfId="5177" xr:uid="{00000000-0005-0000-0000-000000600000}"/>
    <cellStyle name="Separador de milhares 3 2 4 3 5 4 2" xfId="23812" xr:uid="{00000000-0005-0000-0000-000001600000}"/>
    <cellStyle name="Separador de milhares 3 2 4 3 5 4 2 2" xfId="49996" xr:uid="{00000000-0005-0000-0000-000002600000}"/>
    <cellStyle name="Separador de milhares 3 2 4 3 5 4 3" xfId="31373" xr:uid="{00000000-0005-0000-0000-000003600000}"/>
    <cellStyle name="Separador de milhares 3 2 4 3 5 5" xfId="17898" xr:uid="{00000000-0005-0000-0000-000004600000}"/>
    <cellStyle name="Separador de milhares 3 2 4 3 5 5 2" xfId="44088" xr:uid="{00000000-0005-0000-0000-000005600000}"/>
    <cellStyle name="Separador de milhares 3 2 4 3 5 6" xfId="11564" xr:uid="{00000000-0005-0000-0000-000006600000}"/>
    <cellStyle name="Separador de milhares 3 2 4 3 5 6 2" xfId="37757" xr:uid="{00000000-0005-0000-0000-000007600000}"/>
    <cellStyle name="Separador de milhares 3 2 4 3 5 7" xfId="29675" xr:uid="{00000000-0005-0000-0000-000008600000}"/>
    <cellStyle name="Separador de milhares 3 2 4 3 6" xfId="2148" xr:uid="{00000000-0005-0000-0000-000009600000}"/>
    <cellStyle name="Separador de milhares 3 2 4 3 6 2" xfId="7026" xr:uid="{00000000-0005-0000-0000-00000A600000}"/>
    <cellStyle name="Separador de milhares 3 2 4 3 6 2 2" xfId="10170" xr:uid="{00000000-0005-0000-0000-00000B600000}"/>
    <cellStyle name="Separador de milhares 3 2 4 3 6 2 2 2" xfId="28384" xr:uid="{00000000-0005-0000-0000-00000C600000}"/>
    <cellStyle name="Separador de milhares 3 2 4 3 6 2 2 2 2" xfId="54565" xr:uid="{00000000-0005-0000-0000-00000D600000}"/>
    <cellStyle name="Separador de milhares 3 2 4 3 6 2 2 3" xfId="22470" xr:uid="{00000000-0005-0000-0000-00000E600000}"/>
    <cellStyle name="Separador de milhares 3 2 4 3 6 2 2 3 2" xfId="48657" xr:uid="{00000000-0005-0000-0000-00000F600000}"/>
    <cellStyle name="Separador de milhares 3 2 4 3 6 2 2 4" xfId="16556" xr:uid="{00000000-0005-0000-0000-000010600000}"/>
    <cellStyle name="Separador de milhares 3 2 4 3 6 2 2 4 2" xfId="42749" xr:uid="{00000000-0005-0000-0000-000011600000}"/>
    <cellStyle name="Separador de milhares 3 2 4 3 6 2 2 5" xfId="36363" xr:uid="{00000000-0005-0000-0000-000012600000}"/>
    <cellStyle name="Separador de milhares 3 2 4 3 6 2 3" xfId="25427" xr:uid="{00000000-0005-0000-0000-000013600000}"/>
    <cellStyle name="Separador de milhares 3 2 4 3 6 2 3 2" xfId="51611" xr:uid="{00000000-0005-0000-0000-000014600000}"/>
    <cellStyle name="Separador de milhares 3 2 4 3 6 2 4" xfId="19513" xr:uid="{00000000-0005-0000-0000-000015600000}"/>
    <cellStyle name="Separador de milhares 3 2 4 3 6 2 4 2" xfId="45703" xr:uid="{00000000-0005-0000-0000-000016600000}"/>
    <cellStyle name="Separador de milhares 3 2 4 3 6 2 5" xfId="13415" xr:uid="{00000000-0005-0000-0000-000017600000}"/>
    <cellStyle name="Separador de milhares 3 2 4 3 6 2 5 2" xfId="39608" xr:uid="{00000000-0005-0000-0000-000018600000}"/>
    <cellStyle name="Separador de milhares 3 2 4 3 6 2 6" xfId="33222" xr:uid="{00000000-0005-0000-0000-000019600000}"/>
    <cellStyle name="Separador de milhares 3 2 4 3 6 3" xfId="8702" xr:uid="{00000000-0005-0000-0000-00001A600000}"/>
    <cellStyle name="Separador de milhares 3 2 4 3 6 3 2" xfId="26916" xr:uid="{00000000-0005-0000-0000-00001B600000}"/>
    <cellStyle name="Separador de milhares 3 2 4 3 6 3 2 2" xfId="53097" xr:uid="{00000000-0005-0000-0000-00001C600000}"/>
    <cellStyle name="Separador de milhares 3 2 4 3 6 3 3" xfId="21002" xr:uid="{00000000-0005-0000-0000-00001D600000}"/>
    <cellStyle name="Separador de milhares 3 2 4 3 6 3 3 2" xfId="47189" xr:uid="{00000000-0005-0000-0000-00001E600000}"/>
    <cellStyle name="Separador de milhares 3 2 4 3 6 3 4" xfId="15088" xr:uid="{00000000-0005-0000-0000-00001F600000}"/>
    <cellStyle name="Separador de milhares 3 2 4 3 6 3 4 2" xfId="41281" xr:uid="{00000000-0005-0000-0000-000020600000}"/>
    <cellStyle name="Separador de milhares 3 2 4 3 6 3 5" xfId="34895" xr:uid="{00000000-0005-0000-0000-000021600000}"/>
    <cellStyle name="Separador de milhares 3 2 4 3 6 4" xfId="5327" xr:uid="{00000000-0005-0000-0000-000022600000}"/>
    <cellStyle name="Separador de milhares 3 2 4 3 6 4 2" xfId="23959" xr:uid="{00000000-0005-0000-0000-000023600000}"/>
    <cellStyle name="Separador de milhares 3 2 4 3 6 4 2 2" xfId="50143" xr:uid="{00000000-0005-0000-0000-000024600000}"/>
    <cellStyle name="Separador de milhares 3 2 4 3 6 4 3" xfId="31523" xr:uid="{00000000-0005-0000-0000-000025600000}"/>
    <cellStyle name="Separador de milhares 3 2 4 3 6 5" xfId="18045" xr:uid="{00000000-0005-0000-0000-000026600000}"/>
    <cellStyle name="Separador de milhares 3 2 4 3 6 5 2" xfId="44235" xr:uid="{00000000-0005-0000-0000-000027600000}"/>
    <cellStyle name="Separador de milhares 3 2 4 3 6 6" xfId="11714" xr:uid="{00000000-0005-0000-0000-000028600000}"/>
    <cellStyle name="Separador de milhares 3 2 4 3 6 6 2" xfId="37907" xr:uid="{00000000-0005-0000-0000-000029600000}"/>
    <cellStyle name="Separador de milhares 3 2 4 3 6 7" xfId="29825" xr:uid="{00000000-0005-0000-0000-00002A600000}"/>
    <cellStyle name="Separador de milhares 3 2 4 3 7" xfId="2675" xr:uid="{00000000-0005-0000-0000-00002B600000}"/>
    <cellStyle name="Separador de milhares 3 2 4 3 7 2" xfId="7173" xr:uid="{00000000-0005-0000-0000-00002C600000}"/>
    <cellStyle name="Separador de milhares 3 2 4 3 7 2 2" xfId="10317" xr:uid="{00000000-0005-0000-0000-00002D600000}"/>
    <cellStyle name="Separador de milhares 3 2 4 3 7 2 2 2" xfId="28531" xr:uid="{00000000-0005-0000-0000-00002E600000}"/>
    <cellStyle name="Separador de milhares 3 2 4 3 7 2 2 2 2" xfId="54712" xr:uid="{00000000-0005-0000-0000-00002F600000}"/>
    <cellStyle name="Separador de milhares 3 2 4 3 7 2 2 3" xfId="22617" xr:uid="{00000000-0005-0000-0000-000030600000}"/>
    <cellStyle name="Separador de milhares 3 2 4 3 7 2 2 3 2" xfId="48804" xr:uid="{00000000-0005-0000-0000-000031600000}"/>
    <cellStyle name="Separador de milhares 3 2 4 3 7 2 2 4" xfId="16703" xr:uid="{00000000-0005-0000-0000-000032600000}"/>
    <cellStyle name="Separador de milhares 3 2 4 3 7 2 2 4 2" xfId="42896" xr:uid="{00000000-0005-0000-0000-000033600000}"/>
    <cellStyle name="Separador de milhares 3 2 4 3 7 2 2 5" xfId="36510" xr:uid="{00000000-0005-0000-0000-000034600000}"/>
    <cellStyle name="Separador de milhares 3 2 4 3 7 2 3" xfId="25574" xr:uid="{00000000-0005-0000-0000-000035600000}"/>
    <cellStyle name="Separador de milhares 3 2 4 3 7 2 3 2" xfId="51758" xr:uid="{00000000-0005-0000-0000-000036600000}"/>
    <cellStyle name="Separador de milhares 3 2 4 3 7 2 4" xfId="19660" xr:uid="{00000000-0005-0000-0000-000037600000}"/>
    <cellStyle name="Separador de milhares 3 2 4 3 7 2 4 2" xfId="45850" xr:uid="{00000000-0005-0000-0000-000038600000}"/>
    <cellStyle name="Separador de milhares 3 2 4 3 7 2 5" xfId="13562" xr:uid="{00000000-0005-0000-0000-000039600000}"/>
    <cellStyle name="Separador de milhares 3 2 4 3 7 2 5 2" xfId="39755" xr:uid="{00000000-0005-0000-0000-00003A600000}"/>
    <cellStyle name="Separador de milhares 3 2 4 3 7 2 6" xfId="33369" xr:uid="{00000000-0005-0000-0000-00003B600000}"/>
    <cellStyle name="Separador de milhares 3 2 4 3 7 3" xfId="8849" xr:uid="{00000000-0005-0000-0000-00003C600000}"/>
    <cellStyle name="Separador de milhares 3 2 4 3 7 3 2" xfId="27063" xr:uid="{00000000-0005-0000-0000-00003D600000}"/>
    <cellStyle name="Separador de milhares 3 2 4 3 7 3 2 2" xfId="53244" xr:uid="{00000000-0005-0000-0000-00003E600000}"/>
    <cellStyle name="Separador de milhares 3 2 4 3 7 3 3" xfId="21149" xr:uid="{00000000-0005-0000-0000-00003F600000}"/>
    <cellStyle name="Separador de milhares 3 2 4 3 7 3 3 2" xfId="47336" xr:uid="{00000000-0005-0000-0000-000040600000}"/>
    <cellStyle name="Separador de milhares 3 2 4 3 7 3 4" xfId="15235" xr:uid="{00000000-0005-0000-0000-000041600000}"/>
    <cellStyle name="Separador de milhares 3 2 4 3 7 3 4 2" xfId="41428" xr:uid="{00000000-0005-0000-0000-000042600000}"/>
    <cellStyle name="Separador de milhares 3 2 4 3 7 3 5" xfId="35042" xr:uid="{00000000-0005-0000-0000-000043600000}"/>
    <cellStyle name="Separador de milhares 3 2 4 3 7 4" xfId="5474" xr:uid="{00000000-0005-0000-0000-000044600000}"/>
    <cellStyle name="Separador de milhares 3 2 4 3 7 4 2" xfId="24106" xr:uid="{00000000-0005-0000-0000-000045600000}"/>
    <cellStyle name="Separador de milhares 3 2 4 3 7 4 2 2" xfId="50290" xr:uid="{00000000-0005-0000-0000-000046600000}"/>
    <cellStyle name="Separador de milhares 3 2 4 3 7 4 3" xfId="31670" xr:uid="{00000000-0005-0000-0000-000047600000}"/>
    <cellStyle name="Separador de milhares 3 2 4 3 7 5" xfId="18192" xr:uid="{00000000-0005-0000-0000-000048600000}"/>
    <cellStyle name="Separador de milhares 3 2 4 3 7 5 2" xfId="44382" xr:uid="{00000000-0005-0000-0000-000049600000}"/>
    <cellStyle name="Separador de milhares 3 2 4 3 7 6" xfId="11861" xr:uid="{00000000-0005-0000-0000-00004A600000}"/>
    <cellStyle name="Separador de milhares 3 2 4 3 7 6 2" xfId="38054" xr:uid="{00000000-0005-0000-0000-00004B600000}"/>
    <cellStyle name="Separador de milhares 3 2 4 3 7 7" xfId="29972" xr:uid="{00000000-0005-0000-0000-00004C600000}"/>
    <cellStyle name="Separador de milhares 3 2 4 3 8" xfId="3202" xr:uid="{00000000-0005-0000-0000-00004D600000}"/>
    <cellStyle name="Separador de milhares 3 2 4 3 8 2" xfId="7320" xr:uid="{00000000-0005-0000-0000-00004E600000}"/>
    <cellStyle name="Separador de milhares 3 2 4 3 8 2 2" xfId="10464" xr:uid="{00000000-0005-0000-0000-00004F600000}"/>
    <cellStyle name="Separador de milhares 3 2 4 3 8 2 2 2" xfId="28678" xr:uid="{00000000-0005-0000-0000-000050600000}"/>
    <cellStyle name="Separador de milhares 3 2 4 3 8 2 2 2 2" xfId="54859" xr:uid="{00000000-0005-0000-0000-000051600000}"/>
    <cellStyle name="Separador de milhares 3 2 4 3 8 2 2 3" xfId="22764" xr:uid="{00000000-0005-0000-0000-000052600000}"/>
    <cellStyle name="Separador de milhares 3 2 4 3 8 2 2 3 2" xfId="48951" xr:uid="{00000000-0005-0000-0000-000053600000}"/>
    <cellStyle name="Separador de milhares 3 2 4 3 8 2 2 4" xfId="16850" xr:uid="{00000000-0005-0000-0000-000054600000}"/>
    <cellStyle name="Separador de milhares 3 2 4 3 8 2 2 4 2" xfId="43043" xr:uid="{00000000-0005-0000-0000-000055600000}"/>
    <cellStyle name="Separador de milhares 3 2 4 3 8 2 2 5" xfId="36657" xr:uid="{00000000-0005-0000-0000-000056600000}"/>
    <cellStyle name="Separador de milhares 3 2 4 3 8 2 3" xfId="25721" xr:uid="{00000000-0005-0000-0000-000057600000}"/>
    <cellStyle name="Separador de milhares 3 2 4 3 8 2 3 2" xfId="51905" xr:uid="{00000000-0005-0000-0000-000058600000}"/>
    <cellStyle name="Separador de milhares 3 2 4 3 8 2 4" xfId="19807" xr:uid="{00000000-0005-0000-0000-000059600000}"/>
    <cellStyle name="Separador de milhares 3 2 4 3 8 2 4 2" xfId="45997" xr:uid="{00000000-0005-0000-0000-00005A600000}"/>
    <cellStyle name="Separador de milhares 3 2 4 3 8 2 5" xfId="13709" xr:uid="{00000000-0005-0000-0000-00005B600000}"/>
    <cellStyle name="Separador de milhares 3 2 4 3 8 2 5 2" xfId="39902" xr:uid="{00000000-0005-0000-0000-00005C600000}"/>
    <cellStyle name="Separador de milhares 3 2 4 3 8 2 6" xfId="33516" xr:uid="{00000000-0005-0000-0000-00005D600000}"/>
    <cellStyle name="Separador de milhares 3 2 4 3 8 3" xfId="8996" xr:uid="{00000000-0005-0000-0000-00005E600000}"/>
    <cellStyle name="Separador de milhares 3 2 4 3 8 3 2" xfId="27210" xr:uid="{00000000-0005-0000-0000-00005F600000}"/>
    <cellStyle name="Separador de milhares 3 2 4 3 8 3 2 2" xfId="53391" xr:uid="{00000000-0005-0000-0000-000060600000}"/>
    <cellStyle name="Separador de milhares 3 2 4 3 8 3 3" xfId="21296" xr:uid="{00000000-0005-0000-0000-000061600000}"/>
    <cellStyle name="Separador de milhares 3 2 4 3 8 3 3 2" xfId="47483" xr:uid="{00000000-0005-0000-0000-000062600000}"/>
    <cellStyle name="Separador de milhares 3 2 4 3 8 3 4" xfId="15382" xr:uid="{00000000-0005-0000-0000-000063600000}"/>
    <cellStyle name="Separador de milhares 3 2 4 3 8 3 4 2" xfId="41575" xr:uid="{00000000-0005-0000-0000-000064600000}"/>
    <cellStyle name="Separador de milhares 3 2 4 3 8 3 5" xfId="35189" xr:uid="{00000000-0005-0000-0000-000065600000}"/>
    <cellStyle name="Separador de milhares 3 2 4 3 8 4" xfId="5621" xr:uid="{00000000-0005-0000-0000-000066600000}"/>
    <cellStyle name="Separador de milhares 3 2 4 3 8 4 2" xfId="24253" xr:uid="{00000000-0005-0000-0000-000067600000}"/>
    <cellStyle name="Separador de milhares 3 2 4 3 8 4 2 2" xfId="50437" xr:uid="{00000000-0005-0000-0000-000068600000}"/>
    <cellStyle name="Separador de milhares 3 2 4 3 8 4 3" xfId="31817" xr:uid="{00000000-0005-0000-0000-000069600000}"/>
    <cellStyle name="Separador de milhares 3 2 4 3 8 5" xfId="18339" xr:uid="{00000000-0005-0000-0000-00006A600000}"/>
    <cellStyle name="Separador de milhares 3 2 4 3 8 5 2" xfId="44529" xr:uid="{00000000-0005-0000-0000-00006B600000}"/>
    <cellStyle name="Separador de milhares 3 2 4 3 8 6" xfId="12008" xr:uid="{00000000-0005-0000-0000-00006C600000}"/>
    <cellStyle name="Separador de milhares 3 2 4 3 8 6 2" xfId="38201" xr:uid="{00000000-0005-0000-0000-00006D600000}"/>
    <cellStyle name="Separador de milhares 3 2 4 3 8 7" xfId="30119" xr:uid="{00000000-0005-0000-0000-00006E600000}"/>
    <cellStyle name="Separador de milhares 3 2 4 3 9" xfId="3729" xr:uid="{00000000-0005-0000-0000-00006F600000}"/>
    <cellStyle name="Separador de milhares 3 2 4 3 9 2" xfId="7467" xr:uid="{00000000-0005-0000-0000-000070600000}"/>
    <cellStyle name="Separador de milhares 3 2 4 3 9 2 2" xfId="10611" xr:uid="{00000000-0005-0000-0000-000071600000}"/>
    <cellStyle name="Separador de milhares 3 2 4 3 9 2 2 2" xfId="28825" xr:uid="{00000000-0005-0000-0000-000072600000}"/>
    <cellStyle name="Separador de milhares 3 2 4 3 9 2 2 2 2" xfId="55006" xr:uid="{00000000-0005-0000-0000-000073600000}"/>
    <cellStyle name="Separador de milhares 3 2 4 3 9 2 2 3" xfId="22911" xr:uid="{00000000-0005-0000-0000-000074600000}"/>
    <cellStyle name="Separador de milhares 3 2 4 3 9 2 2 3 2" xfId="49098" xr:uid="{00000000-0005-0000-0000-000075600000}"/>
    <cellStyle name="Separador de milhares 3 2 4 3 9 2 2 4" xfId="16997" xr:uid="{00000000-0005-0000-0000-000076600000}"/>
    <cellStyle name="Separador de milhares 3 2 4 3 9 2 2 4 2" xfId="43190" xr:uid="{00000000-0005-0000-0000-000077600000}"/>
    <cellStyle name="Separador de milhares 3 2 4 3 9 2 2 5" xfId="36804" xr:uid="{00000000-0005-0000-0000-000078600000}"/>
    <cellStyle name="Separador de milhares 3 2 4 3 9 2 3" xfId="25868" xr:uid="{00000000-0005-0000-0000-000079600000}"/>
    <cellStyle name="Separador de milhares 3 2 4 3 9 2 3 2" xfId="52052" xr:uid="{00000000-0005-0000-0000-00007A600000}"/>
    <cellStyle name="Separador de milhares 3 2 4 3 9 2 4" xfId="19954" xr:uid="{00000000-0005-0000-0000-00007B600000}"/>
    <cellStyle name="Separador de milhares 3 2 4 3 9 2 4 2" xfId="46144" xr:uid="{00000000-0005-0000-0000-00007C600000}"/>
    <cellStyle name="Separador de milhares 3 2 4 3 9 2 5" xfId="13856" xr:uid="{00000000-0005-0000-0000-00007D600000}"/>
    <cellStyle name="Separador de milhares 3 2 4 3 9 2 5 2" xfId="40049" xr:uid="{00000000-0005-0000-0000-00007E600000}"/>
    <cellStyle name="Separador de milhares 3 2 4 3 9 2 6" xfId="33663" xr:uid="{00000000-0005-0000-0000-00007F600000}"/>
    <cellStyle name="Separador de milhares 3 2 4 3 9 3" xfId="9143" xr:uid="{00000000-0005-0000-0000-000080600000}"/>
    <cellStyle name="Separador de milhares 3 2 4 3 9 3 2" xfId="27357" xr:uid="{00000000-0005-0000-0000-000081600000}"/>
    <cellStyle name="Separador de milhares 3 2 4 3 9 3 2 2" xfId="53538" xr:uid="{00000000-0005-0000-0000-000082600000}"/>
    <cellStyle name="Separador de milhares 3 2 4 3 9 3 3" xfId="21443" xr:uid="{00000000-0005-0000-0000-000083600000}"/>
    <cellStyle name="Separador de milhares 3 2 4 3 9 3 3 2" xfId="47630" xr:uid="{00000000-0005-0000-0000-000084600000}"/>
    <cellStyle name="Separador de milhares 3 2 4 3 9 3 4" xfId="15529" xr:uid="{00000000-0005-0000-0000-000085600000}"/>
    <cellStyle name="Separador de milhares 3 2 4 3 9 3 4 2" xfId="41722" xr:uid="{00000000-0005-0000-0000-000086600000}"/>
    <cellStyle name="Separador de milhares 3 2 4 3 9 3 5" xfId="35336" xr:uid="{00000000-0005-0000-0000-000087600000}"/>
    <cellStyle name="Separador de milhares 3 2 4 3 9 4" xfId="5768" xr:uid="{00000000-0005-0000-0000-000088600000}"/>
    <cellStyle name="Separador de milhares 3 2 4 3 9 4 2" xfId="24400" xr:uid="{00000000-0005-0000-0000-000089600000}"/>
    <cellStyle name="Separador de milhares 3 2 4 3 9 4 2 2" xfId="50584" xr:uid="{00000000-0005-0000-0000-00008A600000}"/>
    <cellStyle name="Separador de milhares 3 2 4 3 9 4 3" xfId="31964" xr:uid="{00000000-0005-0000-0000-00008B600000}"/>
    <cellStyle name="Separador de milhares 3 2 4 3 9 5" xfId="18486" xr:uid="{00000000-0005-0000-0000-00008C600000}"/>
    <cellStyle name="Separador de milhares 3 2 4 3 9 5 2" xfId="44676" xr:uid="{00000000-0005-0000-0000-00008D600000}"/>
    <cellStyle name="Separador de milhares 3 2 4 3 9 6" xfId="12155" xr:uid="{00000000-0005-0000-0000-00008E600000}"/>
    <cellStyle name="Separador de milhares 3 2 4 3 9 6 2" xfId="38348" xr:uid="{00000000-0005-0000-0000-00008F600000}"/>
    <cellStyle name="Separador de milhares 3 2 4 3 9 7" xfId="30266" xr:uid="{00000000-0005-0000-0000-000090600000}"/>
    <cellStyle name="Separador de milhares 3 2 4 4" xfId="365" xr:uid="{00000000-0005-0000-0000-000091600000}"/>
    <cellStyle name="Separador de milhares 3 2 4 4 10" xfId="6514" xr:uid="{00000000-0005-0000-0000-000092600000}"/>
    <cellStyle name="Separador de milhares 3 2 4 4 10 2" xfId="9662" xr:uid="{00000000-0005-0000-0000-000093600000}"/>
    <cellStyle name="Separador de milhares 3 2 4 4 10 2 2" xfId="27876" xr:uid="{00000000-0005-0000-0000-000094600000}"/>
    <cellStyle name="Separador de milhares 3 2 4 4 10 2 2 2" xfId="54057" xr:uid="{00000000-0005-0000-0000-000095600000}"/>
    <cellStyle name="Separador de milhares 3 2 4 4 10 2 3" xfId="21962" xr:uid="{00000000-0005-0000-0000-000096600000}"/>
    <cellStyle name="Separador de milhares 3 2 4 4 10 2 3 2" xfId="48149" xr:uid="{00000000-0005-0000-0000-000097600000}"/>
    <cellStyle name="Separador de milhares 3 2 4 4 10 2 4" xfId="16048" xr:uid="{00000000-0005-0000-0000-000098600000}"/>
    <cellStyle name="Separador de milhares 3 2 4 4 10 2 4 2" xfId="42241" xr:uid="{00000000-0005-0000-0000-000099600000}"/>
    <cellStyle name="Separador de milhares 3 2 4 4 10 2 5" xfId="35855" xr:uid="{00000000-0005-0000-0000-00009A600000}"/>
    <cellStyle name="Separador de milhares 3 2 4 4 10 3" xfId="24919" xr:uid="{00000000-0005-0000-0000-00009B600000}"/>
    <cellStyle name="Separador de milhares 3 2 4 4 10 3 2" xfId="51103" xr:uid="{00000000-0005-0000-0000-00009C600000}"/>
    <cellStyle name="Separador de milhares 3 2 4 4 10 4" xfId="19005" xr:uid="{00000000-0005-0000-0000-00009D600000}"/>
    <cellStyle name="Separador de milhares 3 2 4 4 10 4 2" xfId="45195" xr:uid="{00000000-0005-0000-0000-00009E600000}"/>
    <cellStyle name="Separador de milhares 3 2 4 4 10 5" xfId="12903" xr:uid="{00000000-0005-0000-0000-00009F600000}"/>
    <cellStyle name="Separador de milhares 3 2 4 4 10 5 2" xfId="39096" xr:uid="{00000000-0005-0000-0000-0000A0600000}"/>
    <cellStyle name="Separador de milhares 3 2 4 4 10 6" xfId="32710" xr:uid="{00000000-0005-0000-0000-0000A1600000}"/>
    <cellStyle name="Separador de milhares 3 2 4 4 11" xfId="8191" xr:uid="{00000000-0005-0000-0000-0000A2600000}"/>
    <cellStyle name="Separador de milhares 3 2 4 4 11 2" xfId="26405" xr:uid="{00000000-0005-0000-0000-0000A3600000}"/>
    <cellStyle name="Separador de milhares 3 2 4 4 11 2 2" xfId="52589" xr:uid="{00000000-0005-0000-0000-0000A4600000}"/>
    <cellStyle name="Separador de milhares 3 2 4 4 11 3" xfId="20491" xr:uid="{00000000-0005-0000-0000-0000A5600000}"/>
    <cellStyle name="Separador de milhares 3 2 4 4 11 3 2" xfId="46681" xr:uid="{00000000-0005-0000-0000-0000A6600000}"/>
    <cellStyle name="Separador de milhares 3 2 4 4 11 4" xfId="14580" xr:uid="{00000000-0005-0000-0000-0000A7600000}"/>
    <cellStyle name="Separador de milhares 3 2 4 4 11 4 2" xfId="40773" xr:uid="{00000000-0005-0000-0000-0000A8600000}"/>
    <cellStyle name="Separador de milhares 3 2 4 4 11 5" xfId="34387" xr:uid="{00000000-0005-0000-0000-0000A9600000}"/>
    <cellStyle name="Separador de milhares 3 2 4 4 12" xfId="4813" xr:uid="{00000000-0005-0000-0000-0000AA600000}"/>
    <cellStyle name="Separador de milhares 3 2 4 4 12 2" xfId="23448" xr:uid="{00000000-0005-0000-0000-0000AB600000}"/>
    <cellStyle name="Separador de milhares 3 2 4 4 12 2 2" xfId="49635" xr:uid="{00000000-0005-0000-0000-0000AC600000}"/>
    <cellStyle name="Separador de milhares 3 2 4 4 12 3" xfId="31011" xr:uid="{00000000-0005-0000-0000-0000AD600000}"/>
    <cellStyle name="Separador de milhares 3 2 4 4 13" xfId="17534" xr:uid="{00000000-0005-0000-0000-0000AE600000}"/>
    <cellStyle name="Separador de milhares 3 2 4 4 13 2" xfId="43727" xr:uid="{00000000-0005-0000-0000-0000AF600000}"/>
    <cellStyle name="Separador de milhares 3 2 4 4 14" xfId="11202" xr:uid="{00000000-0005-0000-0000-0000B0600000}"/>
    <cellStyle name="Separador de milhares 3 2 4 4 14 2" xfId="37395" xr:uid="{00000000-0005-0000-0000-0000B1600000}"/>
    <cellStyle name="Separador de milhares 3 2 4 4 15" xfId="29313" xr:uid="{00000000-0005-0000-0000-0000B2600000}"/>
    <cellStyle name="Separador de milhares 3 2 4 4 2" xfId="1010" xr:uid="{00000000-0005-0000-0000-0000B3600000}"/>
    <cellStyle name="Separador de milhares 3 2 4 4 2 2" xfId="6711" xr:uid="{00000000-0005-0000-0000-0000B4600000}"/>
    <cellStyle name="Separador de milhares 3 2 4 4 2 2 2" xfId="9858" xr:uid="{00000000-0005-0000-0000-0000B5600000}"/>
    <cellStyle name="Separador de milhares 3 2 4 4 2 2 2 2" xfId="28072" xr:uid="{00000000-0005-0000-0000-0000B6600000}"/>
    <cellStyle name="Separador de milhares 3 2 4 4 2 2 2 2 2" xfId="54253" xr:uid="{00000000-0005-0000-0000-0000B7600000}"/>
    <cellStyle name="Separador de milhares 3 2 4 4 2 2 2 3" xfId="22158" xr:uid="{00000000-0005-0000-0000-0000B8600000}"/>
    <cellStyle name="Separador de milhares 3 2 4 4 2 2 2 3 2" xfId="48345" xr:uid="{00000000-0005-0000-0000-0000B9600000}"/>
    <cellStyle name="Separador de milhares 3 2 4 4 2 2 2 4" xfId="16244" xr:uid="{00000000-0005-0000-0000-0000BA600000}"/>
    <cellStyle name="Separador de milhares 3 2 4 4 2 2 2 4 2" xfId="42437" xr:uid="{00000000-0005-0000-0000-0000BB600000}"/>
    <cellStyle name="Separador de milhares 3 2 4 4 2 2 2 5" xfId="36051" xr:uid="{00000000-0005-0000-0000-0000BC600000}"/>
    <cellStyle name="Separador de milhares 3 2 4 4 2 2 3" xfId="25115" xr:uid="{00000000-0005-0000-0000-0000BD600000}"/>
    <cellStyle name="Separador de milhares 3 2 4 4 2 2 3 2" xfId="51299" xr:uid="{00000000-0005-0000-0000-0000BE600000}"/>
    <cellStyle name="Separador de milhares 3 2 4 4 2 2 4" xfId="19201" xr:uid="{00000000-0005-0000-0000-0000BF600000}"/>
    <cellStyle name="Separador de milhares 3 2 4 4 2 2 4 2" xfId="45391" xr:uid="{00000000-0005-0000-0000-0000C0600000}"/>
    <cellStyle name="Separador de milhares 3 2 4 4 2 2 5" xfId="13100" xr:uid="{00000000-0005-0000-0000-0000C1600000}"/>
    <cellStyle name="Separador de milhares 3 2 4 4 2 2 5 2" xfId="39293" xr:uid="{00000000-0005-0000-0000-0000C2600000}"/>
    <cellStyle name="Separador de milhares 3 2 4 4 2 2 6" xfId="32907" xr:uid="{00000000-0005-0000-0000-0000C3600000}"/>
    <cellStyle name="Separador de milhares 3 2 4 4 2 3" xfId="8390" xr:uid="{00000000-0005-0000-0000-0000C4600000}"/>
    <cellStyle name="Separador de milhares 3 2 4 4 2 3 2" xfId="26604" xr:uid="{00000000-0005-0000-0000-0000C5600000}"/>
    <cellStyle name="Separador de milhares 3 2 4 4 2 3 2 2" xfId="52785" xr:uid="{00000000-0005-0000-0000-0000C6600000}"/>
    <cellStyle name="Separador de milhares 3 2 4 4 2 3 3" xfId="20690" xr:uid="{00000000-0005-0000-0000-0000C7600000}"/>
    <cellStyle name="Separador de milhares 3 2 4 4 2 3 3 2" xfId="46877" xr:uid="{00000000-0005-0000-0000-0000C8600000}"/>
    <cellStyle name="Separador de milhares 3 2 4 4 2 3 4" xfId="14776" xr:uid="{00000000-0005-0000-0000-0000C9600000}"/>
    <cellStyle name="Separador de milhares 3 2 4 4 2 3 4 2" xfId="40969" xr:uid="{00000000-0005-0000-0000-0000CA600000}"/>
    <cellStyle name="Separador de milhares 3 2 4 4 2 3 5" xfId="34583" xr:uid="{00000000-0005-0000-0000-0000CB600000}"/>
    <cellStyle name="Separador de milhares 3 2 4 4 2 4" xfId="5012" xr:uid="{00000000-0005-0000-0000-0000CC600000}"/>
    <cellStyle name="Separador de milhares 3 2 4 4 2 4 2" xfId="23647" xr:uid="{00000000-0005-0000-0000-0000CD600000}"/>
    <cellStyle name="Separador de milhares 3 2 4 4 2 4 2 2" xfId="49831" xr:uid="{00000000-0005-0000-0000-0000CE600000}"/>
    <cellStyle name="Separador de milhares 3 2 4 4 2 4 3" xfId="31208" xr:uid="{00000000-0005-0000-0000-0000CF600000}"/>
    <cellStyle name="Separador de milhares 3 2 4 4 2 5" xfId="17733" xr:uid="{00000000-0005-0000-0000-0000D0600000}"/>
    <cellStyle name="Separador de milhares 3 2 4 4 2 5 2" xfId="43923" xr:uid="{00000000-0005-0000-0000-0000D1600000}"/>
    <cellStyle name="Separador de milhares 3 2 4 4 2 6" xfId="11399" xr:uid="{00000000-0005-0000-0000-0000D2600000}"/>
    <cellStyle name="Separador de milhares 3 2 4 4 2 6 2" xfId="37592" xr:uid="{00000000-0005-0000-0000-0000D3600000}"/>
    <cellStyle name="Separador de milhares 3 2 4 4 2 7" xfId="29510" xr:uid="{00000000-0005-0000-0000-0000D4600000}"/>
    <cellStyle name="Separador de milhares 3 2 4 4 3" xfId="1361" xr:uid="{00000000-0005-0000-0000-0000D5600000}"/>
    <cellStyle name="Separador de milhares 3 2 4 4 3 2" xfId="6809" xr:uid="{00000000-0005-0000-0000-0000D6600000}"/>
    <cellStyle name="Separador de milhares 3 2 4 4 3 2 2" xfId="9956" xr:uid="{00000000-0005-0000-0000-0000D7600000}"/>
    <cellStyle name="Separador de milhares 3 2 4 4 3 2 2 2" xfId="28170" xr:uid="{00000000-0005-0000-0000-0000D8600000}"/>
    <cellStyle name="Separador de milhares 3 2 4 4 3 2 2 2 2" xfId="54351" xr:uid="{00000000-0005-0000-0000-0000D9600000}"/>
    <cellStyle name="Separador de milhares 3 2 4 4 3 2 2 3" xfId="22256" xr:uid="{00000000-0005-0000-0000-0000DA600000}"/>
    <cellStyle name="Separador de milhares 3 2 4 4 3 2 2 3 2" xfId="48443" xr:uid="{00000000-0005-0000-0000-0000DB600000}"/>
    <cellStyle name="Separador de milhares 3 2 4 4 3 2 2 4" xfId="16342" xr:uid="{00000000-0005-0000-0000-0000DC600000}"/>
    <cellStyle name="Separador de milhares 3 2 4 4 3 2 2 4 2" xfId="42535" xr:uid="{00000000-0005-0000-0000-0000DD600000}"/>
    <cellStyle name="Separador de milhares 3 2 4 4 3 2 2 5" xfId="36149" xr:uid="{00000000-0005-0000-0000-0000DE600000}"/>
    <cellStyle name="Separador de milhares 3 2 4 4 3 2 3" xfId="25213" xr:uid="{00000000-0005-0000-0000-0000DF600000}"/>
    <cellStyle name="Separador de milhares 3 2 4 4 3 2 3 2" xfId="51397" xr:uid="{00000000-0005-0000-0000-0000E0600000}"/>
    <cellStyle name="Separador de milhares 3 2 4 4 3 2 4" xfId="19299" xr:uid="{00000000-0005-0000-0000-0000E1600000}"/>
    <cellStyle name="Separador de milhares 3 2 4 4 3 2 4 2" xfId="45489" xr:uid="{00000000-0005-0000-0000-0000E2600000}"/>
    <cellStyle name="Separador de milhares 3 2 4 4 3 2 5" xfId="13198" xr:uid="{00000000-0005-0000-0000-0000E3600000}"/>
    <cellStyle name="Separador de milhares 3 2 4 4 3 2 5 2" xfId="39391" xr:uid="{00000000-0005-0000-0000-0000E4600000}"/>
    <cellStyle name="Separador de milhares 3 2 4 4 3 2 6" xfId="33005" xr:uid="{00000000-0005-0000-0000-0000E5600000}"/>
    <cellStyle name="Separador de milhares 3 2 4 4 3 3" xfId="8488" xr:uid="{00000000-0005-0000-0000-0000E6600000}"/>
    <cellStyle name="Separador de milhares 3 2 4 4 3 3 2" xfId="26702" xr:uid="{00000000-0005-0000-0000-0000E7600000}"/>
    <cellStyle name="Separador de milhares 3 2 4 4 3 3 2 2" xfId="52883" xr:uid="{00000000-0005-0000-0000-0000E8600000}"/>
    <cellStyle name="Separador de milhares 3 2 4 4 3 3 3" xfId="20788" xr:uid="{00000000-0005-0000-0000-0000E9600000}"/>
    <cellStyle name="Separador de milhares 3 2 4 4 3 3 3 2" xfId="46975" xr:uid="{00000000-0005-0000-0000-0000EA600000}"/>
    <cellStyle name="Separador de milhares 3 2 4 4 3 3 4" xfId="14874" xr:uid="{00000000-0005-0000-0000-0000EB600000}"/>
    <cellStyle name="Separador de milhares 3 2 4 4 3 3 4 2" xfId="41067" xr:uid="{00000000-0005-0000-0000-0000EC600000}"/>
    <cellStyle name="Separador de milhares 3 2 4 4 3 3 5" xfId="34681" xr:uid="{00000000-0005-0000-0000-0000ED600000}"/>
    <cellStyle name="Separador de milhares 3 2 4 4 3 4" xfId="5110" xr:uid="{00000000-0005-0000-0000-0000EE600000}"/>
    <cellStyle name="Separador de milhares 3 2 4 4 3 4 2" xfId="23745" xr:uid="{00000000-0005-0000-0000-0000EF600000}"/>
    <cellStyle name="Separador de milhares 3 2 4 4 3 4 2 2" xfId="49929" xr:uid="{00000000-0005-0000-0000-0000F0600000}"/>
    <cellStyle name="Separador de milhares 3 2 4 4 3 4 3" xfId="31306" xr:uid="{00000000-0005-0000-0000-0000F1600000}"/>
    <cellStyle name="Separador de milhares 3 2 4 4 3 5" xfId="17831" xr:uid="{00000000-0005-0000-0000-0000F2600000}"/>
    <cellStyle name="Separador de milhares 3 2 4 4 3 5 2" xfId="44021" xr:uid="{00000000-0005-0000-0000-0000F3600000}"/>
    <cellStyle name="Separador de milhares 3 2 4 4 3 6" xfId="11497" xr:uid="{00000000-0005-0000-0000-0000F4600000}"/>
    <cellStyle name="Separador de milhares 3 2 4 4 3 6 2" xfId="37690" xr:uid="{00000000-0005-0000-0000-0000F5600000}"/>
    <cellStyle name="Separador de milhares 3 2 4 4 3 7" xfId="29608" xr:uid="{00000000-0005-0000-0000-0000F6600000}"/>
    <cellStyle name="Separador de milhares 3 2 4 4 4" xfId="1796" xr:uid="{00000000-0005-0000-0000-0000F7600000}"/>
    <cellStyle name="Separador de milhares 3 2 4 4 4 2" xfId="6928" xr:uid="{00000000-0005-0000-0000-0000F8600000}"/>
    <cellStyle name="Separador de milhares 3 2 4 4 4 2 2" xfId="10075" xr:uid="{00000000-0005-0000-0000-0000F9600000}"/>
    <cellStyle name="Separador de milhares 3 2 4 4 4 2 2 2" xfId="28289" xr:uid="{00000000-0005-0000-0000-0000FA600000}"/>
    <cellStyle name="Separador de milhares 3 2 4 4 4 2 2 2 2" xfId="54470" xr:uid="{00000000-0005-0000-0000-0000FB600000}"/>
    <cellStyle name="Separador de milhares 3 2 4 4 4 2 2 3" xfId="22375" xr:uid="{00000000-0005-0000-0000-0000FC600000}"/>
    <cellStyle name="Separador de milhares 3 2 4 4 4 2 2 3 2" xfId="48562" xr:uid="{00000000-0005-0000-0000-0000FD600000}"/>
    <cellStyle name="Separador de milhares 3 2 4 4 4 2 2 4" xfId="16461" xr:uid="{00000000-0005-0000-0000-0000FE600000}"/>
    <cellStyle name="Separador de milhares 3 2 4 4 4 2 2 4 2" xfId="42654" xr:uid="{00000000-0005-0000-0000-0000FF600000}"/>
    <cellStyle name="Separador de milhares 3 2 4 4 4 2 2 5" xfId="36268" xr:uid="{00000000-0005-0000-0000-000000610000}"/>
    <cellStyle name="Separador de milhares 3 2 4 4 4 2 3" xfId="25332" xr:uid="{00000000-0005-0000-0000-000001610000}"/>
    <cellStyle name="Separador de milhares 3 2 4 4 4 2 3 2" xfId="51516" xr:uid="{00000000-0005-0000-0000-000002610000}"/>
    <cellStyle name="Separador de milhares 3 2 4 4 4 2 4" xfId="19418" xr:uid="{00000000-0005-0000-0000-000003610000}"/>
    <cellStyle name="Separador de milhares 3 2 4 4 4 2 4 2" xfId="45608" xr:uid="{00000000-0005-0000-0000-000004610000}"/>
    <cellStyle name="Separador de milhares 3 2 4 4 4 2 5" xfId="13317" xr:uid="{00000000-0005-0000-0000-000005610000}"/>
    <cellStyle name="Separador de milhares 3 2 4 4 4 2 5 2" xfId="39510" xr:uid="{00000000-0005-0000-0000-000006610000}"/>
    <cellStyle name="Separador de milhares 3 2 4 4 4 2 6" xfId="33124" xr:uid="{00000000-0005-0000-0000-000007610000}"/>
    <cellStyle name="Separador de milhares 3 2 4 4 4 3" xfId="8607" xr:uid="{00000000-0005-0000-0000-000008610000}"/>
    <cellStyle name="Separador de milhares 3 2 4 4 4 3 2" xfId="26821" xr:uid="{00000000-0005-0000-0000-000009610000}"/>
    <cellStyle name="Separador de milhares 3 2 4 4 4 3 2 2" xfId="53002" xr:uid="{00000000-0005-0000-0000-00000A610000}"/>
    <cellStyle name="Separador de milhares 3 2 4 4 4 3 3" xfId="20907" xr:uid="{00000000-0005-0000-0000-00000B610000}"/>
    <cellStyle name="Separador de milhares 3 2 4 4 4 3 3 2" xfId="47094" xr:uid="{00000000-0005-0000-0000-00000C610000}"/>
    <cellStyle name="Separador de milhares 3 2 4 4 4 3 4" xfId="14993" xr:uid="{00000000-0005-0000-0000-00000D610000}"/>
    <cellStyle name="Separador de milhares 3 2 4 4 4 3 4 2" xfId="41186" xr:uid="{00000000-0005-0000-0000-00000E610000}"/>
    <cellStyle name="Separador de milhares 3 2 4 4 4 3 5" xfId="34800" xr:uid="{00000000-0005-0000-0000-00000F610000}"/>
    <cellStyle name="Separador de milhares 3 2 4 4 4 4" xfId="5229" xr:uid="{00000000-0005-0000-0000-000010610000}"/>
    <cellStyle name="Separador de milhares 3 2 4 4 4 4 2" xfId="23864" xr:uid="{00000000-0005-0000-0000-000011610000}"/>
    <cellStyle name="Separador de milhares 3 2 4 4 4 4 2 2" xfId="50048" xr:uid="{00000000-0005-0000-0000-000012610000}"/>
    <cellStyle name="Separador de milhares 3 2 4 4 4 4 3" xfId="31425" xr:uid="{00000000-0005-0000-0000-000013610000}"/>
    <cellStyle name="Separador de milhares 3 2 4 4 4 5" xfId="17950" xr:uid="{00000000-0005-0000-0000-000014610000}"/>
    <cellStyle name="Separador de milhares 3 2 4 4 4 5 2" xfId="44140" xr:uid="{00000000-0005-0000-0000-000015610000}"/>
    <cellStyle name="Separador de milhares 3 2 4 4 4 6" xfId="11616" xr:uid="{00000000-0005-0000-0000-000016610000}"/>
    <cellStyle name="Separador de milhares 3 2 4 4 4 6 2" xfId="37809" xr:uid="{00000000-0005-0000-0000-000017610000}"/>
    <cellStyle name="Separador de milhares 3 2 4 4 4 7" xfId="29727" xr:uid="{00000000-0005-0000-0000-000018610000}"/>
    <cellStyle name="Separador de milhares 3 2 4 4 5" xfId="2326" xr:uid="{00000000-0005-0000-0000-000019610000}"/>
    <cellStyle name="Separador de milhares 3 2 4 4 5 2" xfId="7078" xr:uid="{00000000-0005-0000-0000-00001A610000}"/>
    <cellStyle name="Separador de milhares 3 2 4 4 5 2 2" xfId="10222" xr:uid="{00000000-0005-0000-0000-00001B610000}"/>
    <cellStyle name="Separador de milhares 3 2 4 4 5 2 2 2" xfId="28436" xr:uid="{00000000-0005-0000-0000-00001C610000}"/>
    <cellStyle name="Separador de milhares 3 2 4 4 5 2 2 2 2" xfId="54617" xr:uid="{00000000-0005-0000-0000-00001D610000}"/>
    <cellStyle name="Separador de milhares 3 2 4 4 5 2 2 3" xfId="22522" xr:uid="{00000000-0005-0000-0000-00001E610000}"/>
    <cellStyle name="Separador de milhares 3 2 4 4 5 2 2 3 2" xfId="48709" xr:uid="{00000000-0005-0000-0000-00001F610000}"/>
    <cellStyle name="Separador de milhares 3 2 4 4 5 2 2 4" xfId="16608" xr:uid="{00000000-0005-0000-0000-000020610000}"/>
    <cellStyle name="Separador de milhares 3 2 4 4 5 2 2 4 2" xfId="42801" xr:uid="{00000000-0005-0000-0000-000021610000}"/>
    <cellStyle name="Separador de milhares 3 2 4 4 5 2 2 5" xfId="36415" xr:uid="{00000000-0005-0000-0000-000022610000}"/>
    <cellStyle name="Separador de milhares 3 2 4 4 5 2 3" xfId="25479" xr:uid="{00000000-0005-0000-0000-000023610000}"/>
    <cellStyle name="Separador de milhares 3 2 4 4 5 2 3 2" xfId="51663" xr:uid="{00000000-0005-0000-0000-000024610000}"/>
    <cellStyle name="Separador de milhares 3 2 4 4 5 2 4" xfId="19565" xr:uid="{00000000-0005-0000-0000-000025610000}"/>
    <cellStyle name="Separador de milhares 3 2 4 4 5 2 4 2" xfId="45755" xr:uid="{00000000-0005-0000-0000-000026610000}"/>
    <cellStyle name="Separador de milhares 3 2 4 4 5 2 5" xfId="13467" xr:uid="{00000000-0005-0000-0000-000027610000}"/>
    <cellStyle name="Separador de milhares 3 2 4 4 5 2 5 2" xfId="39660" xr:uid="{00000000-0005-0000-0000-000028610000}"/>
    <cellStyle name="Separador de milhares 3 2 4 4 5 2 6" xfId="33274" xr:uid="{00000000-0005-0000-0000-000029610000}"/>
    <cellStyle name="Separador de milhares 3 2 4 4 5 3" xfId="8754" xr:uid="{00000000-0005-0000-0000-00002A610000}"/>
    <cellStyle name="Separador de milhares 3 2 4 4 5 3 2" xfId="26968" xr:uid="{00000000-0005-0000-0000-00002B610000}"/>
    <cellStyle name="Separador de milhares 3 2 4 4 5 3 2 2" xfId="53149" xr:uid="{00000000-0005-0000-0000-00002C610000}"/>
    <cellStyle name="Separador de milhares 3 2 4 4 5 3 3" xfId="21054" xr:uid="{00000000-0005-0000-0000-00002D610000}"/>
    <cellStyle name="Separador de milhares 3 2 4 4 5 3 3 2" xfId="47241" xr:uid="{00000000-0005-0000-0000-00002E610000}"/>
    <cellStyle name="Separador de milhares 3 2 4 4 5 3 4" xfId="15140" xr:uid="{00000000-0005-0000-0000-00002F610000}"/>
    <cellStyle name="Separador de milhares 3 2 4 4 5 3 4 2" xfId="41333" xr:uid="{00000000-0005-0000-0000-000030610000}"/>
    <cellStyle name="Separador de milhares 3 2 4 4 5 3 5" xfId="34947" xr:uid="{00000000-0005-0000-0000-000031610000}"/>
    <cellStyle name="Separador de milhares 3 2 4 4 5 4" xfId="5379" xr:uid="{00000000-0005-0000-0000-000032610000}"/>
    <cellStyle name="Separador de milhares 3 2 4 4 5 4 2" xfId="24011" xr:uid="{00000000-0005-0000-0000-000033610000}"/>
    <cellStyle name="Separador de milhares 3 2 4 4 5 4 2 2" xfId="50195" xr:uid="{00000000-0005-0000-0000-000034610000}"/>
    <cellStyle name="Separador de milhares 3 2 4 4 5 4 3" xfId="31575" xr:uid="{00000000-0005-0000-0000-000035610000}"/>
    <cellStyle name="Separador de milhares 3 2 4 4 5 5" xfId="18097" xr:uid="{00000000-0005-0000-0000-000036610000}"/>
    <cellStyle name="Separador de milhares 3 2 4 4 5 5 2" xfId="44287" xr:uid="{00000000-0005-0000-0000-000037610000}"/>
    <cellStyle name="Separador de milhares 3 2 4 4 5 6" xfId="11766" xr:uid="{00000000-0005-0000-0000-000038610000}"/>
    <cellStyle name="Separador de milhares 3 2 4 4 5 6 2" xfId="37959" xr:uid="{00000000-0005-0000-0000-000039610000}"/>
    <cellStyle name="Separador de milhares 3 2 4 4 5 7" xfId="29877" xr:uid="{00000000-0005-0000-0000-00003A610000}"/>
    <cellStyle name="Separador de milhares 3 2 4 4 6" xfId="2853" xr:uid="{00000000-0005-0000-0000-00003B610000}"/>
    <cellStyle name="Separador de milhares 3 2 4 4 6 2" xfId="7225" xr:uid="{00000000-0005-0000-0000-00003C610000}"/>
    <cellStyle name="Separador de milhares 3 2 4 4 6 2 2" xfId="10369" xr:uid="{00000000-0005-0000-0000-00003D610000}"/>
    <cellStyle name="Separador de milhares 3 2 4 4 6 2 2 2" xfId="28583" xr:uid="{00000000-0005-0000-0000-00003E610000}"/>
    <cellStyle name="Separador de milhares 3 2 4 4 6 2 2 2 2" xfId="54764" xr:uid="{00000000-0005-0000-0000-00003F610000}"/>
    <cellStyle name="Separador de milhares 3 2 4 4 6 2 2 3" xfId="22669" xr:uid="{00000000-0005-0000-0000-000040610000}"/>
    <cellStyle name="Separador de milhares 3 2 4 4 6 2 2 3 2" xfId="48856" xr:uid="{00000000-0005-0000-0000-000041610000}"/>
    <cellStyle name="Separador de milhares 3 2 4 4 6 2 2 4" xfId="16755" xr:uid="{00000000-0005-0000-0000-000042610000}"/>
    <cellStyle name="Separador de milhares 3 2 4 4 6 2 2 4 2" xfId="42948" xr:uid="{00000000-0005-0000-0000-000043610000}"/>
    <cellStyle name="Separador de milhares 3 2 4 4 6 2 2 5" xfId="36562" xr:uid="{00000000-0005-0000-0000-000044610000}"/>
    <cellStyle name="Separador de milhares 3 2 4 4 6 2 3" xfId="25626" xr:uid="{00000000-0005-0000-0000-000045610000}"/>
    <cellStyle name="Separador de milhares 3 2 4 4 6 2 3 2" xfId="51810" xr:uid="{00000000-0005-0000-0000-000046610000}"/>
    <cellStyle name="Separador de milhares 3 2 4 4 6 2 4" xfId="19712" xr:uid="{00000000-0005-0000-0000-000047610000}"/>
    <cellStyle name="Separador de milhares 3 2 4 4 6 2 4 2" xfId="45902" xr:uid="{00000000-0005-0000-0000-000048610000}"/>
    <cellStyle name="Separador de milhares 3 2 4 4 6 2 5" xfId="13614" xr:uid="{00000000-0005-0000-0000-000049610000}"/>
    <cellStyle name="Separador de milhares 3 2 4 4 6 2 5 2" xfId="39807" xr:uid="{00000000-0005-0000-0000-00004A610000}"/>
    <cellStyle name="Separador de milhares 3 2 4 4 6 2 6" xfId="33421" xr:uid="{00000000-0005-0000-0000-00004B610000}"/>
    <cellStyle name="Separador de milhares 3 2 4 4 6 3" xfId="8901" xr:uid="{00000000-0005-0000-0000-00004C610000}"/>
    <cellStyle name="Separador de milhares 3 2 4 4 6 3 2" xfId="27115" xr:uid="{00000000-0005-0000-0000-00004D610000}"/>
    <cellStyle name="Separador de milhares 3 2 4 4 6 3 2 2" xfId="53296" xr:uid="{00000000-0005-0000-0000-00004E610000}"/>
    <cellStyle name="Separador de milhares 3 2 4 4 6 3 3" xfId="21201" xr:uid="{00000000-0005-0000-0000-00004F610000}"/>
    <cellStyle name="Separador de milhares 3 2 4 4 6 3 3 2" xfId="47388" xr:uid="{00000000-0005-0000-0000-000050610000}"/>
    <cellStyle name="Separador de milhares 3 2 4 4 6 3 4" xfId="15287" xr:uid="{00000000-0005-0000-0000-000051610000}"/>
    <cellStyle name="Separador de milhares 3 2 4 4 6 3 4 2" xfId="41480" xr:uid="{00000000-0005-0000-0000-000052610000}"/>
    <cellStyle name="Separador de milhares 3 2 4 4 6 3 5" xfId="35094" xr:uid="{00000000-0005-0000-0000-000053610000}"/>
    <cellStyle name="Separador de milhares 3 2 4 4 6 4" xfId="5526" xr:uid="{00000000-0005-0000-0000-000054610000}"/>
    <cellStyle name="Separador de milhares 3 2 4 4 6 4 2" xfId="24158" xr:uid="{00000000-0005-0000-0000-000055610000}"/>
    <cellStyle name="Separador de milhares 3 2 4 4 6 4 2 2" xfId="50342" xr:uid="{00000000-0005-0000-0000-000056610000}"/>
    <cellStyle name="Separador de milhares 3 2 4 4 6 4 3" xfId="31722" xr:uid="{00000000-0005-0000-0000-000057610000}"/>
    <cellStyle name="Separador de milhares 3 2 4 4 6 5" xfId="18244" xr:uid="{00000000-0005-0000-0000-000058610000}"/>
    <cellStyle name="Separador de milhares 3 2 4 4 6 5 2" xfId="44434" xr:uid="{00000000-0005-0000-0000-000059610000}"/>
    <cellStyle name="Separador de milhares 3 2 4 4 6 6" xfId="11913" xr:uid="{00000000-0005-0000-0000-00005A610000}"/>
    <cellStyle name="Separador de milhares 3 2 4 4 6 6 2" xfId="38106" xr:uid="{00000000-0005-0000-0000-00005B610000}"/>
    <cellStyle name="Separador de milhares 3 2 4 4 6 7" xfId="30024" xr:uid="{00000000-0005-0000-0000-00005C610000}"/>
    <cellStyle name="Separador de milhares 3 2 4 4 7" xfId="3380" xr:uid="{00000000-0005-0000-0000-00005D610000}"/>
    <cellStyle name="Separador de milhares 3 2 4 4 7 2" xfId="7372" xr:uid="{00000000-0005-0000-0000-00005E610000}"/>
    <cellStyle name="Separador de milhares 3 2 4 4 7 2 2" xfId="10516" xr:uid="{00000000-0005-0000-0000-00005F610000}"/>
    <cellStyle name="Separador de milhares 3 2 4 4 7 2 2 2" xfId="28730" xr:uid="{00000000-0005-0000-0000-000060610000}"/>
    <cellStyle name="Separador de milhares 3 2 4 4 7 2 2 2 2" xfId="54911" xr:uid="{00000000-0005-0000-0000-000061610000}"/>
    <cellStyle name="Separador de milhares 3 2 4 4 7 2 2 3" xfId="22816" xr:uid="{00000000-0005-0000-0000-000062610000}"/>
    <cellStyle name="Separador de milhares 3 2 4 4 7 2 2 3 2" xfId="49003" xr:uid="{00000000-0005-0000-0000-000063610000}"/>
    <cellStyle name="Separador de milhares 3 2 4 4 7 2 2 4" xfId="16902" xr:uid="{00000000-0005-0000-0000-000064610000}"/>
    <cellStyle name="Separador de milhares 3 2 4 4 7 2 2 4 2" xfId="43095" xr:uid="{00000000-0005-0000-0000-000065610000}"/>
    <cellStyle name="Separador de milhares 3 2 4 4 7 2 2 5" xfId="36709" xr:uid="{00000000-0005-0000-0000-000066610000}"/>
    <cellStyle name="Separador de milhares 3 2 4 4 7 2 3" xfId="25773" xr:uid="{00000000-0005-0000-0000-000067610000}"/>
    <cellStyle name="Separador de milhares 3 2 4 4 7 2 3 2" xfId="51957" xr:uid="{00000000-0005-0000-0000-000068610000}"/>
    <cellStyle name="Separador de milhares 3 2 4 4 7 2 4" xfId="19859" xr:uid="{00000000-0005-0000-0000-000069610000}"/>
    <cellStyle name="Separador de milhares 3 2 4 4 7 2 4 2" xfId="46049" xr:uid="{00000000-0005-0000-0000-00006A610000}"/>
    <cellStyle name="Separador de milhares 3 2 4 4 7 2 5" xfId="13761" xr:uid="{00000000-0005-0000-0000-00006B610000}"/>
    <cellStyle name="Separador de milhares 3 2 4 4 7 2 5 2" xfId="39954" xr:uid="{00000000-0005-0000-0000-00006C610000}"/>
    <cellStyle name="Separador de milhares 3 2 4 4 7 2 6" xfId="33568" xr:uid="{00000000-0005-0000-0000-00006D610000}"/>
    <cellStyle name="Separador de milhares 3 2 4 4 7 3" xfId="9048" xr:uid="{00000000-0005-0000-0000-00006E610000}"/>
    <cellStyle name="Separador de milhares 3 2 4 4 7 3 2" xfId="27262" xr:uid="{00000000-0005-0000-0000-00006F610000}"/>
    <cellStyle name="Separador de milhares 3 2 4 4 7 3 2 2" xfId="53443" xr:uid="{00000000-0005-0000-0000-000070610000}"/>
    <cellStyle name="Separador de milhares 3 2 4 4 7 3 3" xfId="21348" xr:uid="{00000000-0005-0000-0000-000071610000}"/>
    <cellStyle name="Separador de milhares 3 2 4 4 7 3 3 2" xfId="47535" xr:uid="{00000000-0005-0000-0000-000072610000}"/>
    <cellStyle name="Separador de milhares 3 2 4 4 7 3 4" xfId="15434" xr:uid="{00000000-0005-0000-0000-000073610000}"/>
    <cellStyle name="Separador de milhares 3 2 4 4 7 3 4 2" xfId="41627" xr:uid="{00000000-0005-0000-0000-000074610000}"/>
    <cellStyle name="Separador de milhares 3 2 4 4 7 3 5" xfId="35241" xr:uid="{00000000-0005-0000-0000-000075610000}"/>
    <cellStyle name="Separador de milhares 3 2 4 4 7 4" xfId="5673" xr:uid="{00000000-0005-0000-0000-000076610000}"/>
    <cellStyle name="Separador de milhares 3 2 4 4 7 4 2" xfId="24305" xr:uid="{00000000-0005-0000-0000-000077610000}"/>
    <cellStyle name="Separador de milhares 3 2 4 4 7 4 2 2" xfId="50489" xr:uid="{00000000-0005-0000-0000-000078610000}"/>
    <cellStyle name="Separador de milhares 3 2 4 4 7 4 3" xfId="31869" xr:uid="{00000000-0005-0000-0000-000079610000}"/>
    <cellStyle name="Separador de milhares 3 2 4 4 7 5" xfId="18391" xr:uid="{00000000-0005-0000-0000-00007A610000}"/>
    <cellStyle name="Separador de milhares 3 2 4 4 7 5 2" xfId="44581" xr:uid="{00000000-0005-0000-0000-00007B610000}"/>
    <cellStyle name="Separador de milhares 3 2 4 4 7 6" xfId="12060" xr:uid="{00000000-0005-0000-0000-00007C610000}"/>
    <cellStyle name="Separador de milhares 3 2 4 4 7 6 2" xfId="38253" xr:uid="{00000000-0005-0000-0000-00007D610000}"/>
    <cellStyle name="Separador de milhares 3 2 4 4 7 7" xfId="30171" xr:uid="{00000000-0005-0000-0000-00007E610000}"/>
    <cellStyle name="Separador de milhares 3 2 4 4 8" xfId="3907" xr:uid="{00000000-0005-0000-0000-00007F610000}"/>
    <cellStyle name="Separador de milhares 3 2 4 4 8 2" xfId="7519" xr:uid="{00000000-0005-0000-0000-000080610000}"/>
    <cellStyle name="Separador de milhares 3 2 4 4 8 2 2" xfId="10663" xr:uid="{00000000-0005-0000-0000-000081610000}"/>
    <cellStyle name="Separador de milhares 3 2 4 4 8 2 2 2" xfId="28877" xr:uid="{00000000-0005-0000-0000-000082610000}"/>
    <cellStyle name="Separador de milhares 3 2 4 4 8 2 2 2 2" xfId="55058" xr:uid="{00000000-0005-0000-0000-000083610000}"/>
    <cellStyle name="Separador de milhares 3 2 4 4 8 2 2 3" xfId="22963" xr:uid="{00000000-0005-0000-0000-000084610000}"/>
    <cellStyle name="Separador de milhares 3 2 4 4 8 2 2 3 2" xfId="49150" xr:uid="{00000000-0005-0000-0000-000085610000}"/>
    <cellStyle name="Separador de milhares 3 2 4 4 8 2 2 4" xfId="17049" xr:uid="{00000000-0005-0000-0000-000086610000}"/>
    <cellStyle name="Separador de milhares 3 2 4 4 8 2 2 4 2" xfId="43242" xr:uid="{00000000-0005-0000-0000-000087610000}"/>
    <cellStyle name="Separador de milhares 3 2 4 4 8 2 2 5" xfId="36856" xr:uid="{00000000-0005-0000-0000-000088610000}"/>
    <cellStyle name="Separador de milhares 3 2 4 4 8 2 3" xfId="25920" xr:uid="{00000000-0005-0000-0000-000089610000}"/>
    <cellStyle name="Separador de milhares 3 2 4 4 8 2 3 2" xfId="52104" xr:uid="{00000000-0005-0000-0000-00008A610000}"/>
    <cellStyle name="Separador de milhares 3 2 4 4 8 2 4" xfId="20006" xr:uid="{00000000-0005-0000-0000-00008B610000}"/>
    <cellStyle name="Separador de milhares 3 2 4 4 8 2 4 2" xfId="46196" xr:uid="{00000000-0005-0000-0000-00008C610000}"/>
    <cellStyle name="Separador de milhares 3 2 4 4 8 2 5" xfId="13908" xr:uid="{00000000-0005-0000-0000-00008D610000}"/>
    <cellStyle name="Separador de milhares 3 2 4 4 8 2 5 2" xfId="40101" xr:uid="{00000000-0005-0000-0000-00008E610000}"/>
    <cellStyle name="Separador de milhares 3 2 4 4 8 2 6" xfId="33715" xr:uid="{00000000-0005-0000-0000-00008F610000}"/>
    <cellStyle name="Separador de milhares 3 2 4 4 8 3" xfId="9195" xr:uid="{00000000-0005-0000-0000-000090610000}"/>
    <cellStyle name="Separador de milhares 3 2 4 4 8 3 2" xfId="27409" xr:uid="{00000000-0005-0000-0000-000091610000}"/>
    <cellStyle name="Separador de milhares 3 2 4 4 8 3 2 2" xfId="53590" xr:uid="{00000000-0005-0000-0000-000092610000}"/>
    <cellStyle name="Separador de milhares 3 2 4 4 8 3 3" xfId="21495" xr:uid="{00000000-0005-0000-0000-000093610000}"/>
    <cellStyle name="Separador de milhares 3 2 4 4 8 3 3 2" xfId="47682" xr:uid="{00000000-0005-0000-0000-000094610000}"/>
    <cellStyle name="Separador de milhares 3 2 4 4 8 3 4" xfId="15581" xr:uid="{00000000-0005-0000-0000-000095610000}"/>
    <cellStyle name="Separador de milhares 3 2 4 4 8 3 4 2" xfId="41774" xr:uid="{00000000-0005-0000-0000-000096610000}"/>
    <cellStyle name="Separador de milhares 3 2 4 4 8 3 5" xfId="35388" xr:uid="{00000000-0005-0000-0000-000097610000}"/>
    <cellStyle name="Separador de milhares 3 2 4 4 8 4" xfId="5820" xr:uid="{00000000-0005-0000-0000-000098610000}"/>
    <cellStyle name="Separador de milhares 3 2 4 4 8 4 2" xfId="24452" xr:uid="{00000000-0005-0000-0000-000099610000}"/>
    <cellStyle name="Separador de milhares 3 2 4 4 8 4 2 2" xfId="50636" xr:uid="{00000000-0005-0000-0000-00009A610000}"/>
    <cellStyle name="Separador de milhares 3 2 4 4 8 4 3" xfId="32016" xr:uid="{00000000-0005-0000-0000-00009B610000}"/>
    <cellStyle name="Separador de milhares 3 2 4 4 8 5" xfId="18538" xr:uid="{00000000-0005-0000-0000-00009C610000}"/>
    <cellStyle name="Separador de milhares 3 2 4 4 8 5 2" xfId="44728" xr:uid="{00000000-0005-0000-0000-00009D610000}"/>
    <cellStyle name="Separador de milhares 3 2 4 4 8 6" xfId="12207" xr:uid="{00000000-0005-0000-0000-00009E610000}"/>
    <cellStyle name="Separador de milhares 3 2 4 4 8 6 2" xfId="38400" xr:uid="{00000000-0005-0000-0000-00009F610000}"/>
    <cellStyle name="Separador de milhares 3 2 4 4 8 7" xfId="30318" xr:uid="{00000000-0005-0000-0000-0000A0610000}"/>
    <cellStyle name="Separador de milhares 3 2 4 4 9" xfId="678" xr:uid="{00000000-0005-0000-0000-0000A1610000}"/>
    <cellStyle name="Separador de milhares 3 2 4 4 9 2" xfId="6613" xr:uid="{00000000-0005-0000-0000-0000A2610000}"/>
    <cellStyle name="Separador de milhares 3 2 4 4 9 2 2" xfId="9760" xr:uid="{00000000-0005-0000-0000-0000A3610000}"/>
    <cellStyle name="Separador de milhares 3 2 4 4 9 2 2 2" xfId="27974" xr:uid="{00000000-0005-0000-0000-0000A4610000}"/>
    <cellStyle name="Separador de milhares 3 2 4 4 9 2 2 2 2" xfId="54155" xr:uid="{00000000-0005-0000-0000-0000A5610000}"/>
    <cellStyle name="Separador de milhares 3 2 4 4 9 2 2 3" xfId="22060" xr:uid="{00000000-0005-0000-0000-0000A6610000}"/>
    <cellStyle name="Separador de milhares 3 2 4 4 9 2 2 3 2" xfId="48247" xr:uid="{00000000-0005-0000-0000-0000A7610000}"/>
    <cellStyle name="Separador de milhares 3 2 4 4 9 2 2 4" xfId="16146" xr:uid="{00000000-0005-0000-0000-0000A8610000}"/>
    <cellStyle name="Separador de milhares 3 2 4 4 9 2 2 4 2" xfId="42339" xr:uid="{00000000-0005-0000-0000-0000A9610000}"/>
    <cellStyle name="Separador de milhares 3 2 4 4 9 2 2 5" xfId="35953" xr:uid="{00000000-0005-0000-0000-0000AA610000}"/>
    <cellStyle name="Separador de milhares 3 2 4 4 9 2 3" xfId="25017" xr:uid="{00000000-0005-0000-0000-0000AB610000}"/>
    <cellStyle name="Separador de milhares 3 2 4 4 9 2 3 2" xfId="51201" xr:uid="{00000000-0005-0000-0000-0000AC610000}"/>
    <cellStyle name="Separador de milhares 3 2 4 4 9 2 4" xfId="19103" xr:uid="{00000000-0005-0000-0000-0000AD610000}"/>
    <cellStyle name="Separador de milhares 3 2 4 4 9 2 4 2" xfId="45293" xr:uid="{00000000-0005-0000-0000-0000AE610000}"/>
    <cellStyle name="Separador de milhares 3 2 4 4 9 2 5" xfId="13002" xr:uid="{00000000-0005-0000-0000-0000AF610000}"/>
    <cellStyle name="Separador de milhares 3 2 4 4 9 2 5 2" xfId="39195" xr:uid="{00000000-0005-0000-0000-0000B0610000}"/>
    <cellStyle name="Separador de milhares 3 2 4 4 9 2 6" xfId="32809" xr:uid="{00000000-0005-0000-0000-0000B1610000}"/>
    <cellStyle name="Separador de milhares 3 2 4 4 9 3" xfId="8292" xr:uid="{00000000-0005-0000-0000-0000B2610000}"/>
    <cellStyle name="Separador de milhares 3 2 4 4 9 3 2" xfId="26506" xr:uid="{00000000-0005-0000-0000-0000B3610000}"/>
    <cellStyle name="Separador de milhares 3 2 4 4 9 3 2 2" xfId="52687" xr:uid="{00000000-0005-0000-0000-0000B4610000}"/>
    <cellStyle name="Separador de milhares 3 2 4 4 9 3 3" xfId="20592" xr:uid="{00000000-0005-0000-0000-0000B5610000}"/>
    <cellStyle name="Separador de milhares 3 2 4 4 9 3 3 2" xfId="46779" xr:uid="{00000000-0005-0000-0000-0000B6610000}"/>
    <cellStyle name="Separador de milhares 3 2 4 4 9 3 4" xfId="14678" xr:uid="{00000000-0005-0000-0000-0000B7610000}"/>
    <cellStyle name="Separador de milhares 3 2 4 4 9 3 4 2" xfId="40871" xr:uid="{00000000-0005-0000-0000-0000B8610000}"/>
    <cellStyle name="Separador de milhares 3 2 4 4 9 3 5" xfId="34485" xr:uid="{00000000-0005-0000-0000-0000B9610000}"/>
    <cellStyle name="Separador de milhares 3 2 4 4 9 4" xfId="4914" xr:uid="{00000000-0005-0000-0000-0000BA610000}"/>
    <cellStyle name="Separador de milhares 3 2 4 4 9 4 2" xfId="23549" xr:uid="{00000000-0005-0000-0000-0000BB610000}"/>
    <cellStyle name="Separador de milhares 3 2 4 4 9 4 2 2" xfId="49733" xr:uid="{00000000-0005-0000-0000-0000BC610000}"/>
    <cellStyle name="Separador de milhares 3 2 4 4 9 4 3" xfId="31110" xr:uid="{00000000-0005-0000-0000-0000BD610000}"/>
    <cellStyle name="Separador de milhares 3 2 4 4 9 5" xfId="17635" xr:uid="{00000000-0005-0000-0000-0000BE610000}"/>
    <cellStyle name="Separador de milhares 3 2 4 4 9 5 2" xfId="43825" xr:uid="{00000000-0005-0000-0000-0000BF610000}"/>
    <cellStyle name="Separador de milhares 3 2 4 4 9 6" xfId="11301" xr:uid="{00000000-0005-0000-0000-0000C0610000}"/>
    <cellStyle name="Separador de milhares 3 2 4 4 9 6 2" xfId="37494" xr:uid="{00000000-0005-0000-0000-0000C1610000}"/>
    <cellStyle name="Separador de milhares 3 2 4 4 9 7" xfId="29412" xr:uid="{00000000-0005-0000-0000-0000C2610000}"/>
    <cellStyle name="Separador de milhares 3 2 4 5" xfId="622" xr:uid="{00000000-0005-0000-0000-0000C3610000}"/>
    <cellStyle name="Separador de milhares 3 2 4 5 10" xfId="4878" xr:uid="{00000000-0005-0000-0000-0000C4610000}"/>
    <cellStyle name="Separador de milhares 3 2 4 5 10 2" xfId="23512" xr:uid="{00000000-0005-0000-0000-0000C5610000}"/>
    <cellStyle name="Separador de milhares 3 2 4 5 10 2 2" xfId="49699" xr:uid="{00000000-0005-0000-0000-0000C6610000}"/>
    <cellStyle name="Separador de milhares 3 2 4 5 10 3" xfId="31076" xr:uid="{00000000-0005-0000-0000-0000C7610000}"/>
    <cellStyle name="Separador de milhares 3 2 4 5 11" xfId="17598" xr:uid="{00000000-0005-0000-0000-0000C8610000}"/>
    <cellStyle name="Separador de milhares 3 2 4 5 11 2" xfId="43791" xr:uid="{00000000-0005-0000-0000-0000C9610000}"/>
    <cellStyle name="Separador de milhares 3 2 4 5 12" xfId="11267" xr:uid="{00000000-0005-0000-0000-0000CA610000}"/>
    <cellStyle name="Separador de milhares 3 2 4 5 12 2" xfId="37460" xr:uid="{00000000-0005-0000-0000-0000CB610000}"/>
    <cellStyle name="Separador de milhares 3 2 4 5 13" xfId="29378" xr:uid="{00000000-0005-0000-0000-0000CC610000}"/>
    <cellStyle name="Separador de milhares 3 2 4 5 2" xfId="1445" xr:uid="{00000000-0005-0000-0000-0000CD610000}"/>
    <cellStyle name="Separador de milhares 3 2 4 5 2 2" xfId="6830" xr:uid="{00000000-0005-0000-0000-0000CE610000}"/>
    <cellStyle name="Separador de milhares 3 2 4 5 2 2 2" xfId="9977" xr:uid="{00000000-0005-0000-0000-0000CF610000}"/>
    <cellStyle name="Separador de milhares 3 2 4 5 2 2 2 2" xfId="28191" xr:uid="{00000000-0005-0000-0000-0000D0610000}"/>
    <cellStyle name="Separador de milhares 3 2 4 5 2 2 2 2 2" xfId="54372" xr:uid="{00000000-0005-0000-0000-0000D1610000}"/>
    <cellStyle name="Separador de milhares 3 2 4 5 2 2 2 3" xfId="22277" xr:uid="{00000000-0005-0000-0000-0000D2610000}"/>
    <cellStyle name="Separador de milhares 3 2 4 5 2 2 2 3 2" xfId="48464" xr:uid="{00000000-0005-0000-0000-0000D3610000}"/>
    <cellStyle name="Separador de milhares 3 2 4 5 2 2 2 4" xfId="16363" xr:uid="{00000000-0005-0000-0000-0000D4610000}"/>
    <cellStyle name="Separador de milhares 3 2 4 5 2 2 2 4 2" xfId="42556" xr:uid="{00000000-0005-0000-0000-0000D5610000}"/>
    <cellStyle name="Separador de milhares 3 2 4 5 2 2 2 5" xfId="36170" xr:uid="{00000000-0005-0000-0000-0000D6610000}"/>
    <cellStyle name="Separador de milhares 3 2 4 5 2 2 3" xfId="25234" xr:uid="{00000000-0005-0000-0000-0000D7610000}"/>
    <cellStyle name="Separador de milhares 3 2 4 5 2 2 3 2" xfId="51418" xr:uid="{00000000-0005-0000-0000-0000D8610000}"/>
    <cellStyle name="Separador de milhares 3 2 4 5 2 2 4" xfId="19320" xr:uid="{00000000-0005-0000-0000-0000D9610000}"/>
    <cellStyle name="Separador de milhares 3 2 4 5 2 2 4 2" xfId="45510" xr:uid="{00000000-0005-0000-0000-0000DA610000}"/>
    <cellStyle name="Separador de milhares 3 2 4 5 2 2 5" xfId="13219" xr:uid="{00000000-0005-0000-0000-0000DB610000}"/>
    <cellStyle name="Separador de milhares 3 2 4 5 2 2 5 2" xfId="39412" xr:uid="{00000000-0005-0000-0000-0000DC610000}"/>
    <cellStyle name="Separador de milhares 3 2 4 5 2 2 6" xfId="33026" xr:uid="{00000000-0005-0000-0000-0000DD610000}"/>
    <cellStyle name="Separador de milhares 3 2 4 5 2 3" xfId="8509" xr:uid="{00000000-0005-0000-0000-0000DE610000}"/>
    <cellStyle name="Separador de milhares 3 2 4 5 2 3 2" xfId="26723" xr:uid="{00000000-0005-0000-0000-0000DF610000}"/>
    <cellStyle name="Separador de milhares 3 2 4 5 2 3 2 2" xfId="52904" xr:uid="{00000000-0005-0000-0000-0000E0610000}"/>
    <cellStyle name="Separador de milhares 3 2 4 5 2 3 3" xfId="20809" xr:uid="{00000000-0005-0000-0000-0000E1610000}"/>
    <cellStyle name="Separador de milhares 3 2 4 5 2 3 3 2" xfId="46996" xr:uid="{00000000-0005-0000-0000-0000E2610000}"/>
    <cellStyle name="Separador de milhares 3 2 4 5 2 3 4" xfId="14895" xr:uid="{00000000-0005-0000-0000-0000E3610000}"/>
    <cellStyle name="Separador de milhares 3 2 4 5 2 3 4 2" xfId="41088" xr:uid="{00000000-0005-0000-0000-0000E4610000}"/>
    <cellStyle name="Separador de milhares 3 2 4 5 2 3 5" xfId="34702" xr:uid="{00000000-0005-0000-0000-0000E5610000}"/>
    <cellStyle name="Separador de milhares 3 2 4 5 2 4" xfId="5131" xr:uid="{00000000-0005-0000-0000-0000E6610000}"/>
    <cellStyle name="Separador de milhares 3 2 4 5 2 4 2" xfId="23766" xr:uid="{00000000-0005-0000-0000-0000E7610000}"/>
    <cellStyle name="Separador de milhares 3 2 4 5 2 4 2 2" xfId="49950" xr:uid="{00000000-0005-0000-0000-0000E8610000}"/>
    <cellStyle name="Separador de milhares 3 2 4 5 2 4 3" xfId="31327" xr:uid="{00000000-0005-0000-0000-0000E9610000}"/>
    <cellStyle name="Separador de milhares 3 2 4 5 2 5" xfId="17852" xr:uid="{00000000-0005-0000-0000-0000EA610000}"/>
    <cellStyle name="Separador de milhares 3 2 4 5 2 5 2" xfId="44042" xr:uid="{00000000-0005-0000-0000-0000EB610000}"/>
    <cellStyle name="Separador de milhares 3 2 4 5 2 6" xfId="11518" xr:uid="{00000000-0005-0000-0000-0000EC610000}"/>
    <cellStyle name="Separador de milhares 3 2 4 5 2 6 2" xfId="37711" xr:uid="{00000000-0005-0000-0000-0000ED610000}"/>
    <cellStyle name="Separador de milhares 3 2 4 5 2 7" xfId="29629" xr:uid="{00000000-0005-0000-0000-0000EE610000}"/>
    <cellStyle name="Separador de milhares 3 2 4 5 3" xfId="1880" xr:uid="{00000000-0005-0000-0000-0000EF610000}"/>
    <cellStyle name="Separador de milhares 3 2 4 5 3 2" xfId="6949" xr:uid="{00000000-0005-0000-0000-0000F0610000}"/>
    <cellStyle name="Separador de milhares 3 2 4 5 3 2 2" xfId="10096" xr:uid="{00000000-0005-0000-0000-0000F1610000}"/>
    <cellStyle name="Separador de milhares 3 2 4 5 3 2 2 2" xfId="28310" xr:uid="{00000000-0005-0000-0000-0000F2610000}"/>
    <cellStyle name="Separador de milhares 3 2 4 5 3 2 2 2 2" xfId="54491" xr:uid="{00000000-0005-0000-0000-0000F3610000}"/>
    <cellStyle name="Separador de milhares 3 2 4 5 3 2 2 3" xfId="22396" xr:uid="{00000000-0005-0000-0000-0000F4610000}"/>
    <cellStyle name="Separador de milhares 3 2 4 5 3 2 2 3 2" xfId="48583" xr:uid="{00000000-0005-0000-0000-0000F5610000}"/>
    <cellStyle name="Separador de milhares 3 2 4 5 3 2 2 4" xfId="16482" xr:uid="{00000000-0005-0000-0000-0000F6610000}"/>
    <cellStyle name="Separador de milhares 3 2 4 5 3 2 2 4 2" xfId="42675" xr:uid="{00000000-0005-0000-0000-0000F7610000}"/>
    <cellStyle name="Separador de milhares 3 2 4 5 3 2 2 5" xfId="36289" xr:uid="{00000000-0005-0000-0000-0000F8610000}"/>
    <cellStyle name="Separador de milhares 3 2 4 5 3 2 3" xfId="25353" xr:uid="{00000000-0005-0000-0000-0000F9610000}"/>
    <cellStyle name="Separador de milhares 3 2 4 5 3 2 3 2" xfId="51537" xr:uid="{00000000-0005-0000-0000-0000FA610000}"/>
    <cellStyle name="Separador de milhares 3 2 4 5 3 2 4" xfId="19439" xr:uid="{00000000-0005-0000-0000-0000FB610000}"/>
    <cellStyle name="Separador de milhares 3 2 4 5 3 2 4 2" xfId="45629" xr:uid="{00000000-0005-0000-0000-0000FC610000}"/>
    <cellStyle name="Separador de milhares 3 2 4 5 3 2 5" xfId="13338" xr:uid="{00000000-0005-0000-0000-0000FD610000}"/>
    <cellStyle name="Separador de milhares 3 2 4 5 3 2 5 2" xfId="39531" xr:uid="{00000000-0005-0000-0000-0000FE610000}"/>
    <cellStyle name="Separador de milhares 3 2 4 5 3 2 6" xfId="33145" xr:uid="{00000000-0005-0000-0000-0000FF610000}"/>
    <cellStyle name="Separador de milhares 3 2 4 5 3 3" xfId="8628" xr:uid="{00000000-0005-0000-0000-000000620000}"/>
    <cellStyle name="Separador de milhares 3 2 4 5 3 3 2" xfId="26842" xr:uid="{00000000-0005-0000-0000-000001620000}"/>
    <cellStyle name="Separador de milhares 3 2 4 5 3 3 2 2" xfId="53023" xr:uid="{00000000-0005-0000-0000-000002620000}"/>
    <cellStyle name="Separador de milhares 3 2 4 5 3 3 3" xfId="20928" xr:uid="{00000000-0005-0000-0000-000003620000}"/>
    <cellStyle name="Separador de milhares 3 2 4 5 3 3 3 2" xfId="47115" xr:uid="{00000000-0005-0000-0000-000004620000}"/>
    <cellStyle name="Separador de milhares 3 2 4 5 3 3 4" xfId="15014" xr:uid="{00000000-0005-0000-0000-000005620000}"/>
    <cellStyle name="Separador de milhares 3 2 4 5 3 3 4 2" xfId="41207" xr:uid="{00000000-0005-0000-0000-000006620000}"/>
    <cellStyle name="Separador de milhares 3 2 4 5 3 3 5" xfId="34821" xr:uid="{00000000-0005-0000-0000-000007620000}"/>
    <cellStyle name="Separador de milhares 3 2 4 5 3 4" xfId="5250" xr:uid="{00000000-0005-0000-0000-000008620000}"/>
    <cellStyle name="Separador de milhares 3 2 4 5 3 4 2" xfId="23885" xr:uid="{00000000-0005-0000-0000-000009620000}"/>
    <cellStyle name="Separador de milhares 3 2 4 5 3 4 2 2" xfId="50069" xr:uid="{00000000-0005-0000-0000-00000A620000}"/>
    <cellStyle name="Separador de milhares 3 2 4 5 3 4 3" xfId="31446" xr:uid="{00000000-0005-0000-0000-00000B620000}"/>
    <cellStyle name="Separador de milhares 3 2 4 5 3 5" xfId="17971" xr:uid="{00000000-0005-0000-0000-00000C620000}"/>
    <cellStyle name="Separador de milhares 3 2 4 5 3 5 2" xfId="44161" xr:uid="{00000000-0005-0000-0000-00000D620000}"/>
    <cellStyle name="Separador de milhares 3 2 4 5 3 6" xfId="11637" xr:uid="{00000000-0005-0000-0000-00000E620000}"/>
    <cellStyle name="Separador de milhares 3 2 4 5 3 6 2" xfId="37830" xr:uid="{00000000-0005-0000-0000-00000F620000}"/>
    <cellStyle name="Separador de milhares 3 2 4 5 3 7" xfId="29748" xr:uid="{00000000-0005-0000-0000-000010620000}"/>
    <cellStyle name="Separador de milhares 3 2 4 5 4" xfId="2410" xr:uid="{00000000-0005-0000-0000-000011620000}"/>
    <cellStyle name="Separador de milhares 3 2 4 5 4 2" xfId="7099" xr:uid="{00000000-0005-0000-0000-000012620000}"/>
    <cellStyle name="Separador de milhares 3 2 4 5 4 2 2" xfId="10243" xr:uid="{00000000-0005-0000-0000-000013620000}"/>
    <cellStyle name="Separador de milhares 3 2 4 5 4 2 2 2" xfId="28457" xr:uid="{00000000-0005-0000-0000-000014620000}"/>
    <cellStyle name="Separador de milhares 3 2 4 5 4 2 2 2 2" xfId="54638" xr:uid="{00000000-0005-0000-0000-000015620000}"/>
    <cellStyle name="Separador de milhares 3 2 4 5 4 2 2 3" xfId="22543" xr:uid="{00000000-0005-0000-0000-000016620000}"/>
    <cellStyle name="Separador de milhares 3 2 4 5 4 2 2 3 2" xfId="48730" xr:uid="{00000000-0005-0000-0000-000017620000}"/>
    <cellStyle name="Separador de milhares 3 2 4 5 4 2 2 4" xfId="16629" xr:uid="{00000000-0005-0000-0000-000018620000}"/>
    <cellStyle name="Separador de milhares 3 2 4 5 4 2 2 4 2" xfId="42822" xr:uid="{00000000-0005-0000-0000-000019620000}"/>
    <cellStyle name="Separador de milhares 3 2 4 5 4 2 2 5" xfId="36436" xr:uid="{00000000-0005-0000-0000-00001A620000}"/>
    <cellStyle name="Separador de milhares 3 2 4 5 4 2 3" xfId="25500" xr:uid="{00000000-0005-0000-0000-00001B620000}"/>
    <cellStyle name="Separador de milhares 3 2 4 5 4 2 3 2" xfId="51684" xr:uid="{00000000-0005-0000-0000-00001C620000}"/>
    <cellStyle name="Separador de milhares 3 2 4 5 4 2 4" xfId="19586" xr:uid="{00000000-0005-0000-0000-00001D620000}"/>
    <cellStyle name="Separador de milhares 3 2 4 5 4 2 4 2" xfId="45776" xr:uid="{00000000-0005-0000-0000-00001E620000}"/>
    <cellStyle name="Separador de milhares 3 2 4 5 4 2 5" xfId="13488" xr:uid="{00000000-0005-0000-0000-00001F620000}"/>
    <cellStyle name="Separador de milhares 3 2 4 5 4 2 5 2" xfId="39681" xr:uid="{00000000-0005-0000-0000-000020620000}"/>
    <cellStyle name="Separador de milhares 3 2 4 5 4 2 6" xfId="33295" xr:uid="{00000000-0005-0000-0000-000021620000}"/>
    <cellStyle name="Separador de milhares 3 2 4 5 4 3" xfId="8775" xr:uid="{00000000-0005-0000-0000-000022620000}"/>
    <cellStyle name="Separador de milhares 3 2 4 5 4 3 2" xfId="26989" xr:uid="{00000000-0005-0000-0000-000023620000}"/>
    <cellStyle name="Separador de milhares 3 2 4 5 4 3 2 2" xfId="53170" xr:uid="{00000000-0005-0000-0000-000024620000}"/>
    <cellStyle name="Separador de milhares 3 2 4 5 4 3 3" xfId="21075" xr:uid="{00000000-0005-0000-0000-000025620000}"/>
    <cellStyle name="Separador de milhares 3 2 4 5 4 3 3 2" xfId="47262" xr:uid="{00000000-0005-0000-0000-000026620000}"/>
    <cellStyle name="Separador de milhares 3 2 4 5 4 3 4" xfId="15161" xr:uid="{00000000-0005-0000-0000-000027620000}"/>
    <cellStyle name="Separador de milhares 3 2 4 5 4 3 4 2" xfId="41354" xr:uid="{00000000-0005-0000-0000-000028620000}"/>
    <cellStyle name="Separador de milhares 3 2 4 5 4 3 5" xfId="34968" xr:uid="{00000000-0005-0000-0000-000029620000}"/>
    <cellStyle name="Separador de milhares 3 2 4 5 4 4" xfId="5400" xr:uid="{00000000-0005-0000-0000-00002A620000}"/>
    <cellStyle name="Separador de milhares 3 2 4 5 4 4 2" xfId="24032" xr:uid="{00000000-0005-0000-0000-00002B620000}"/>
    <cellStyle name="Separador de milhares 3 2 4 5 4 4 2 2" xfId="50216" xr:uid="{00000000-0005-0000-0000-00002C620000}"/>
    <cellStyle name="Separador de milhares 3 2 4 5 4 4 3" xfId="31596" xr:uid="{00000000-0005-0000-0000-00002D620000}"/>
    <cellStyle name="Separador de milhares 3 2 4 5 4 5" xfId="18118" xr:uid="{00000000-0005-0000-0000-00002E620000}"/>
    <cellStyle name="Separador de milhares 3 2 4 5 4 5 2" xfId="44308" xr:uid="{00000000-0005-0000-0000-00002F620000}"/>
    <cellStyle name="Separador de milhares 3 2 4 5 4 6" xfId="11787" xr:uid="{00000000-0005-0000-0000-000030620000}"/>
    <cellStyle name="Separador de milhares 3 2 4 5 4 6 2" xfId="37980" xr:uid="{00000000-0005-0000-0000-000031620000}"/>
    <cellStyle name="Separador de milhares 3 2 4 5 4 7" xfId="29898" xr:uid="{00000000-0005-0000-0000-000032620000}"/>
    <cellStyle name="Separador de milhares 3 2 4 5 5" xfId="2937" xr:uid="{00000000-0005-0000-0000-000033620000}"/>
    <cellStyle name="Separador de milhares 3 2 4 5 5 2" xfId="7246" xr:uid="{00000000-0005-0000-0000-000034620000}"/>
    <cellStyle name="Separador de milhares 3 2 4 5 5 2 2" xfId="10390" xr:uid="{00000000-0005-0000-0000-000035620000}"/>
    <cellStyle name="Separador de milhares 3 2 4 5 5 2 2 2" xfId="28604" xr:uid="{00000000-0005-0000-0000-000036620000}"/>
    <cellStyle name="Separador de milhares 3 2 4 5 5 2 2 2 2" xfId="54785" xr:uid="{00000000-0005-0000-0000-000037620000}"/>
    <cellStyle name="Separador de milhares 3 2 4 5 5 2 2 3" xfId="22690" xr:uid="{00000000-0005-0000-0000-000038620000}"/>
    <cellStyle name="Separador de milhares 3 2 4 5 5 2 2 3 2" xfId="48877" xr:uid="{00000000-0005-0000-0000-000039620000}"/>
    <cellStyle name="Separador de milhares 3 2 4 5 5 2 2 4" xfId="16776" xr:uid="{00000000-0005-0000-0000-00003A620000}"/>
    <cellStyle name="Separador de milhares 3 2 4 5 5 2 2 4 2" xfId="42969" xr:uid="{00000000-0005-0000-0000-00003B620000}"/>
    <cellStyle name="Separador de milhares 3 2 4 5 5 2 2 5" xfId="36583" xr:uid="{00000000-0005-0000-0000-00003C620000}"/>
    <cellStyle name="Separador de milhares 3 2 4 5 5 2 3" xfId="25647" xr:uid="{00000000-0005-0000-0000-00003D620000}"/>
    <cellStyle name="Separador de milhares 3 2 4 5 5 2 3 2" xfId="51831" xr:uid="{00000000-0005-0000-0000-00003E620000}"/>
    <cellStyle name="Separador de milhares 3 2 4 5 5 2 4" xfId="19733" xr:uid="{00000000-0005-0000-0000-00003F620000}"/>
    <cellStyle name="Separador de milhares 3 2 4 5 5 2 4 2" xfId="45923" xr:uid="{00000000-0005-0000-0000-000040620000}"/>
    <cellStyle name="Separador de milhares 3 2 4 5 5 2 5" xfId="13635" xr:uid="{00000000-0005-0000-0000-000041620000}"/>
    <cellStyle name="Separador de milhares 3 2 4 5 5 2 5 2" xfId="39828" xr:uid="{00000000-0005-0000-0000-000042620000}"/>
    <cellStyle name="Separador de milhares 3 2 4 5 5 2 6" xfId="33442" xr:uid="{00000000-0005-0000-0000-000043620000}"/>
    <cellStyle name="Separador de milhares 3 2 4 5 5 3" xfId="8922" xr:uid="{00000000-0005-0000-0000-000044620000}"/>
    <cellStyle name="Separador de milhares 3 2 4 5 5 3 2" xfId="27136" xr:uid="{00000000-0005-0000-0000-000045620000}"/>
    <cellStyle name="Separador de milhares 3 2 4 5 5 3 2 2" xfId="53317" xr:uid="{00000000-0005-0000-0000-000046620000}"/>
    <cellStyle name="Separador de milhares 3 2 4 5 5 3 3" xfId="21222" xr:uid="{00000000-0005-0000-0000-000047620000}"/>
    <cellStyle name="Separador de milhares 3 2 4 5 5 3 3 2" xfId="47409" xr:uid="{00000000-0005-0000-0000-000048620000}"/>
    <cellStyle name="Separador de milhares 3 2 4 5 5 3 4" xfId="15308" xr:uid="{00000000-0005-0000-0000-000049620000}"/>
    <cellStyle name="Separador de milhares 3 2 4 5 5 3 4 2" xfId="41501" xr:uid="{00000000-0005-0000-0000-00004A620000}"/>
    <cellStyle name="Separador de milhares 3 2 4 5 5 3 5" xfId="35115" xr:uid="{00000000-0005-0000-0000-00004B620000}"/>
    <cellStyle name="Separador de milhares 3 2 4 5 5 4" xfId="5547" xr:uid="{00000000-0005-0000-0000-00004C620000}"/>
    <cellStyle name="Separador de milhares 3 2 4 5 5 4 2" xfId="24179" xr:uid="{00000000-0005-0000-0000-00004D620000}"/>
    <cellStyle name="Separador de milhares 3 2 4 5 5 4 2 2" xfId="50363" xr:uid="{00000000-0005-0000-0000-00004E620000}"/>
    <cellStyle name="Separador de milhares 3 2 4 5 5 4 3" xfId="31743" xr:uid="{00000000-0005-0000-0000-00004F620000}"/>
    <cellStyle name="Separador de milhares 3 2 4 5 5 5" xfId="18265" xr:uid="{00000000-0005-0000-0000-000050620000}"/>
    <cellStyle name="Separador de milhares 3 2 4 5 5 5 2" xfId="44455" xr:uid="{00000000-0005-0000-0000-000051620000}"/>
    <cellStyle name="Separador de milhares 3 2 4 5 5 6" xfId="11934" xr:uid="{00000000-0005-0000-0000-000052620000}"/>
    <cellStyle name="Separador de milhares 3 2 4 5 5 6 2" xfId="38127" xr:uid="{00000000-0005-0000-0000-000053620000}"/>
    <cellStyle name="Separador de milhares 3 2 4 5 5 7" xfId="30045" xr:uid="{00000000-0005-0000-0000-000054620000}"/>
    <cellStyle name="Separador de milhares 3 2 4 5 6" xfId="3464" xr:uid="{00000000-0005-0000-0000-000055620000}"/>
    <cellStyle name="Separador de milhares 3 2 4 5 6 2" xfId="7393" xr:uid="{00000000-0005-0000-0000-000056620000}"/>
    <cellStyle name="Separador de milhares 3 2 4 5 6 2 2" xfId="10537" xr:uid="{00000000-0005-0000-0000-000057620000}"/>
    <cellStyle name="Separador de milhares 3 2 4 5 6 2 2 2" xfId="28751" xr:uid="{00000000-0005-0000-0000-000058620000}"/>
    <cellStyle name="Separador de milhares 3 2 4 5 6 2 2 2 2" xfId="54932" xr:uid="{00000000-0005-0000-0000-000059620000}"/>
    <cellStyle name="Separador de milhares 3 2 4 5 6 2 2 3" xfId="22837" xr:uid="{00000000-0005-0000-0000-00005A620000}"/>
    <cellStyle name="Separador de milhares 3 2 4 5 6 2 2 3 2" xfId="49024" xr:uid="{00000000-0005-0000-0000-00005B620000}"/>
    <cellStyle name="Separador de milhares 3 2 4 5 6 2 2 4" xfId="16923" xr:uid="{00000000-0005-0000-0000-00005C620000}"/>
    <cellStyle name="Separador de milhares 3 2 4 5 6 2 2 4 2" xfId="43116" xr:uid="{00000000-0005-0000-0000-00005D620000}"/>
    <cellStyle name="Separador de milhares 3 2 4 5 6 2 2 5" xfId="36730" xr:uid="{00000000-0005-0000-0000-00005E620000}"/>
    <cellStyle name="Separador de milhares 3 2 4 5 6 2 3" xfId="25794" xr:uid="{00000000-0005-0000-0000-00005F620000}"/>
    <cellStyle name="Separador de milhares 3 2 4 5 6 2 3 2" xfId="51978" xr:uid="{00000000-0005-0000-0000-000060620000}"/>
    <cellStyle name="Separador de milhares 3 2 4 5 6 2 4" xfId="19880" xr:uid="{00000000-0005-0000-0000-000061620000}"/>
    <cellStyle name="Separador de milhares 3 2 4 5 6 2 4 2" xfId="46070" xr:uid="{00000000-0005-0000-0000-000062620000}"/>
    <cellStyle name="Separador de milhares 3 2 4 5 6 2 5" xfId="13782" xr:uid="{00000000-0005-0000-0000-000063620000}"/>
    <cellStyle name="Separador de milhares 3 2 4 5 6 2 5 2" xfId="39975" xr:uid="{00000000-0005-0000-0000-000064620000}"/>
    <cellStyle name="Separador de milhares 3 2 4 5 6 2 6" xfId="33589" xr:uid="{00000000-0005-0000-0000-000065620000}"/>
    <cellStyle name="Separador de milhares 3 2 4 5 6 3" xfId="9069" xr:uid="{00000000-0005-0000-0000-000066620000}"/>
    <cellStyle name="Separador de milhares 3 2 4 5 6 3 2" xfId="27283" xr:uid="{00000000-0005-0000-0000-000067620000}"/>
    <cellStyle name="Separador de milhares 3 2 4 5 6 3 2 2" xfId="53464" xr:uid="{00000000-0005-0000-0000-000068620000}"/>
    <cellStyle name="Separador de milhares 3 2 4 5 6 3 3" xfId="21369" xr:uid="{00000000-0005-0000-0000-000069620000}"/>
    <cellStyle name="Separador de milhares 3 2 4 5 6 3 3 2" xfId="47556" xr:uid="{00000000-0005-0000-0000-00006A620000}"/>
    <cellStyle name="Separador de milhares 3 2 4 5 6 3 4" xfId="15455" xr:uid="{00000000-0005-0000-0000-00006B620000}"/>
    <cellStyle name="Separador de milhares 3 2 4 5 6 3 4 2" xfId="41648" xr:uid="{00000000-0005-0000-0000-00006C620000}"/>
    <cellStyle name="Separador de milhares 3 2 4 5 6 3 5" xfId="35262" xr:uid="{00000000-0005-0000-0000-00006D620000}"/>
    <cellStyle name="Separador de milhares 3 2 4 5 6 4" xfId="5694" xr:uid="{00000000-0005-0000-0000-00006E620000}"/>
    <cellStyle name="Separador de milhares 3 2 4 5 6 4 2" xfId="24326" xr:uid="{00000000-0005-0000-0000-00006F620000}"/>
    <cellStyle name="Separador de milhares 3 2 4 5 6 4 2 2" xfId="50510" xr:uid="{00000000-0005-0000-0000-000070620000}"/>
    <cellStyle name="Separador de milhares 3 2 4 5 6 4 3" xfId="31890" xr:uid="{00000000-0005-0000-0000-000071620000}"/>
    <cellStyle name="Separador de milhares 3 2 4 5 6 5" xfId="18412" xr:uid="{00000000-0005-0000-0000-000072620000}"/>
    <cellStyle name="Separador de milhares 3 2 4 5 6 5 2" xfId="44602" xr:uid="{00000000-0005-0000-0000-000073620000}"/>
    <cellStyle name="Separador de milhares 3 2 4 5 6 6" xfId="12081" xr:uid="{00000000-0005-0000-0000-000074620000}"/>
    <cellStyle name="Separador de milhares 3 2 4 5 6 6 2" xfId="38274" xr:uid="{00000000-0005-0000-0000-000075620000}"/>
    <cellStyle name="Separador de milhares 3 2 4 5 6 7" xfId="30192" xr:uid="{00000000-0005-0000-0000-000076620000}"/>
    <cellStyle name="Separador de milhares 3 2 4 5 7" xfId="3991" xr:uid="{00000000-0005-0000-0000-000077620000}"/>
    <cellStyle name="Separador de milhares 3 2 4 5 7 2" xfId="7540" xr:uid="{00000000-0005-0000-0000-000078620000}"/>
    <cellStyle name="Separador de milhares 3 2 4 5 7 2 2" xfId="10684" xr:uid="{00000000-0005-0000-0000-000079620000}"/>
    <cellStyle name="Separador de milhares 3 2 4 5 7 2 2 2" xfId="28898" xr:uid="{00000000-0005-0000-0000-00007A620000}"/>
    <cellStyle name="Separador de milhares 3 2 4 5 7 2 2 2 2" xfId="55079" xr:uid="{00000000-0005-0000-0000-00007B620000}"/>
    <cellStyle name="Separador de milhares 3 2 4 5 7 2 2 3" xfId="22984" xr:uid="{00000000-0005-0000-0000-00007C620000}"/>
    <cellStyle name="Separador de milhares 3 2 4 5 7 2 2 3 2" xfId="49171" xr:uid="{00000000-0005-0000-0000-00007D620000}"/>
    <cellStyle name="Separador de milhares 3 2 4 5 7 2 2 4" xfId="17070" xr:uid="{00000000-0005-0000-0000-00007E620000}"/>
    <cellStyle name="Separador de milhares 3 2 4 5 7 2 2 4 2" xfId="43263" xr:uid="{00000000-0005-0000-0000-00007F620000}"/>
    <cellStyle name="Separador de milhares 3 2 4 5 7 2 2 5" xfId="36877" xr:uid="{00000000-0005-0000-0000-000080620000}"/>
    <cellStyle name="Separador de milhares 3 2 4 5 7 2 3" xfId="25941" xr:uid="{00000000-0005-0000-0000-000081620000}"/>
    <cellStyle name="Separador de milhares 3 2 4 5 7 2 3 2" xfId="52125" xr:uid="{00000000-0005-0000-0000-000082620000}"/>
    <cellStyle name="Separador de milhares 3 2 4 5 7 2 4" xfId="20027" xr:uid="{00000000-0005-0000-0000-000083620000}"/>
    <cellStyle name="Separador de milhares 3 2 4 5 7 2 4 2" xfId="46217" xr:uid="{00000000-0005-0000-0000-000084620000}"/>
    <cellStyle name="Separador de milhares 3 2 4 5 7 2 5" xfId="13929" xr:uid="{00000000-0005-0000-0000-000085620000}"/>
    <cellStyle name="Separador de milhares 3 2 4 5 7 2 5 2" xfId="40122" xr:uid="{00000000-0005-0000-0000-000086620000}"/>
    <cellStyle name="Separador de milhares 3 2 4 5 7 2 6" xfId="33736" xr:uid="{00000000-0005-0000-0000-000087620000}"/>
    <cellStyle name="Separador de milhares 3 2 4 5 7 3" xfId="9216" xr:uid="{00000000-0005-0000-0000-000088620000}"/>
    <cellStyle name="Separador de milhares 3 2 4 5 7 3 2" xfId="27430" xr:uid="{00000000-0005-0000-0000-000089620000}"/>
    <cellStyle name="Separador de milhares 3 2 4 5 7 3 2 2" xfId="53611" xr:uid="{00000000-0005-0000-0000-00008A620000}"/>
    <cellStyle name="Separador de milhares 3 2 4 5 7 3 3" xfId="21516" xr:uid="{00000000-0005-0000-0000-00008B620000}"/>
    <cellStyle name="Separador de milhares 3 2 4 5 7 3 3 2" xfId="47703" xr:uid="{00000000-0005-0000-0000-00008C620000}"/>
    <cellStyle name="Separador de milhares 3 2 4 5 7 3 4" xfId="15602" xr:uid="{00000000-0005-0000-0000-00008D620000}"/>
    <cellStyle name="Separador de milhares 3 2 4 5 7 3 4 2" xfId="41795" xr:uid="{00000000-0005-0000-0000-00008E620000}"/>
    <cellStyle name="Separador de milhares 3 2 4 5 7 3 5" xfId="35409" xr:uid="{00000000-0005-0000-0000-00008F620000}"/>
    <cellStyle name="Separador de milhares 3 2 4 5 7 4" xfId="5841" xr:uid="{00000000-0005-0000-0000-000090620000}"/>
    <cellStyle name="Separador de milhares 3 2 4 5 7 4 2" xfId="24473" xr:uid="{00000000-0005-0000-0000-000091620000}"/>
    <cellStyle name="Separador de milhares 3 2 4 5 7 4 2 2" xfId="50657" xr:uid="{00000000-0005-0000-0000-000092620000}"/>
    <cellStyle name="Separador de milhares 3 2 4 5 7 4 3" xfId="32037" xr:uid="{00000000-0005-0000-0000-000093620000}"/>
    <cellStyle name="Separador de milhares 3 2 4 5 7 5" xfId="18559" xr:uid="{00000000-0005-0000-0000-000094620000}"/>
    <cellStyle name="Separador de milhares 3 2 4 5 7 5 2" xfId="44749" xr:uid="{00000000-0005-0000-0000-000095620000}"/>
    <cellStyle name="Separador de milhares 3 2 4 5 7 6" xfId="12228" xr:uid="{00000000-0005-0000-0000-000096620000}"/>
    <cellStyle name="Separador de milhares 3 2 4 5 7 6 2" xfId="38421" xr:uid="{00000000-0005-0000-0000-000097620000}"/>
    <cellStyle name="Separador de milhares 3 2 4 5 7 7" xfId="30339" xr:uid="{00000000-0005-0000-0000-000098620000}"/>
    <cellStyle name="Separador de milhares 3 2 4 5 8" xfId="6579" xr:uid="{00000000-0005-0000-0000-000099620000}"/>
    <cellStyle name="Separador de milhares 3 2 4 5 8 2" xfId="9726" xr:uid="{00000000-0005-0000-0000-00009A620000}"/>
    <cellStyle name="Separador de milhares 3 2 4 5 8 2 2" xfId="27940" xr:uid="{00000000-0005-0000-0000-00009B620000}"/>
    <cellStyle name="Separador de milhares 3 2 4 5 8 2 2 2" xfId="54121" xr:uid="{00000000-0005-0000-0000-00009C620000}"/>
    <cellStyle name="Separador de milhares 3 2 4 5 8 2 3" xfId="22026" xr:uid="{00000000-0005-0000-0000-00009D620000}"/>
    <cellStyle name="Separador de milhares 3 2 4 5 8 2 3 2" xfId="48213" xr:uid="{00000000-0005-0000-0000-00009E620000}"/>
    <cellStyle name="Separador de milhares 3 2 4 5 8 2 4" xfId="16112" xr:uid="{00000000-0005-0000-0000-00009F620000}"/>
    <cellStyle name="Separador de milhares 3 2 4 5 8 2 4 2" xfId="42305" xr:uid="{00000000-0005-0000-0000-0000A0620000}"/>
    <cellStyle name="Separador de milhares 3 2 4 5 8 2 5" xfId="35919" xr:uid="{00000000-0005-0000-0000-0000A1620000}"/>
    <cellStyle name="Separador de milhares 3 2 4 5 8 3" xfId="24983" xr:uid="{00000000-0005-0000-0000-0000A2620000}"/>
    <cellStyle name="Separador de milhares 3 2 4 5 8 3 2" xfId="51167" xr:uid="{00000000-0005-0000-0000-0000A3620000}"/>
    <cellStyle name="Separador de milhares 3 2 4 5 8 4" xfId="19069" xr:uid="{00000000-0005-0000-0000-0000A4620000}"/>
    <cellStyle name="Separador de milhares 3 2 4 5 8 4 2" xfId="45259" xr:uid="{00000000-0005-0000-0000-0000A5620000}"/>
    <cellStyle name="Separador de milhares 3 2 4 5 8 5" xfId="12968" xr:uid="{00000000-0005-0000-0000-0000A6620000}"/>
    <cellStyle name="Separador de milhares 3 2 4 5 8 5 2" xfId="39161" xr:uid="{00000000-0005-0000-0000-0000A7620000}"/>
    <cellStyle name="Separador de milhares 3 2 4 5 8 6" xfId="32775" xr:uid="{00000000-0005-0000-0000-0000A8620000}"/>
    <cellStyle name="Separador de milhares 3 2 4 5 9" xfId="8255" xr:uid="{00000000-0005-0000-0000-0000A9620000}"/>
    <cellStyle name="Separador de milhares 3 2 4 5 9 2" xfId="26469" xr:uid="{00000000-0005-0000-0000-0000AA620000}"/>
    <cellStyle name="Separador de milhares 3 2 4 5 9 2 2" xfId="52653" xr:uid="{00000000-0005-0000-0000-0000AB620000}"/>
    <cellStyle name="Separador de milhares 3 2 4 5 9 3" xfId="20555" xr:uid="{00000000-0005-0000-0000-0000AC620000}"/>
    <cellStyle name="Separador de milhares 3 2 4 5 9 3 2" xfId="46745" xr:uid="{00000000-0005-0000-0000-0000AD620000}"/>
    <cellStyle name="Separador de milhares 3 2 4 5 9 4" xfId="14644" xr:uid="{00000000-0005-0000-0000-0000AE620000}"/>
    <cellStyle name="Separador de milhares 3 2 4 5 9 4 2" xfId="40837" xr:uid="{00000000-0005-0000-0000-0000AF620000}"/>
    <cellStyle name="Separador de milhares 3 2 4 5 9 5" xfId="34451" xr:uid="{00000000-0005-0000-0000-0000B0620000}"/>
    <cellStyle name="Separador de milhares 3 2 4 6" xfId="743" xr:uid="{00000000-0005-0000-0000-0000B1620000}"/>
    <cellStyle name="Separador de milhares 3 2 4 6 2" xfId="4167" xr:uid="{00000000-0005-0000-0000-0000B2620000}"/>
    <cellStyle name="Separador de milhares 3 2 4 6 2 2" xfId="7589" xr:uid="{00000000-0005-0000-0000-0000B3620000}"/>
    <cellStyle name="Separador de milhares 3 2 4 6 2 2 2" xfId="10733" xr:uid="{00000000-0005-0000-0000-0000B4620000}"/>
    <cellStyle name="Separador de milhares 3 2 4 6 2 2 2 2" xfId="28947" xr:uid="{00000000-0005-0000-0000-0000B5620000}"/>
    <cellStyle name="Separador de milhares 3 2 4 6 2 2 2 2 2" xfId="55128" xr:uid="{00000000-0005-0000-0000-0000B6620000}"/>
    <cellStyle name="Separador de milhares 3 2 4 6 2 2 2 3" xfId="23033" xr:uid="{00000000-0005-0000-0000-0000B7620000}"/>
    <cellStyle name="Separador de milhares 3 2 4 6 2 2 2 3 2" xfId="49220" xr:uid="{00000000-0005-0000-0000-0000B8620000}"/>
    <cellStyle name="Separador de milhares 3 2 4 6 2 2 2 4" xfId="17119" xr:uid="{00000000-0005-0000-0000-0000B9620000}"/>
    <cellStyle name="Separador de milhares 3 2 4 6 2 2 2 4 2" xfId="43312" xr:uid="{00000000-0005-0000-0000-0000BA620000}"/>
    <cellStyle name="Separador de milhares 3 2 4 6 2 2 2 5" xfId="36926" xr:uid="{00000000-0005-0000-0000-0000BB620000}"/>
    <cellStyle name="Separador de milhares 3 2 4 6 2 2 3" xfId="25990" xr:uid="{00000000-0005-0000-0000-0000BC620000}"/>
    <cellStyle name="Separador de milhares 3 2 4 6 2 2 3 2" xfId="52174" xr:uid="{00000000-0005-0000-0000-0000BD620000}"/>
    <cellStyle name="Separador de milhares 3 2 4 6 2 2 4" xfId="20076" xr:uid="{00000000-0005-0000-0000-0000BE620000}"/>
    <cellStyle name="Separador de milhares 3 2 4 6 2 2 4 2" xfId="46266" xr:uid="{00000000-0005-0000-0000-0000BF620000}"/>
    <cellStyle name="Separador de milhares 3 2 4 6 2 2 5" xfId="13978" xr:uid="{00000000-0005-0000-0000-0000C0620000}"/>
    <cellStyle name="Separador de milhares 3 2 4 6 2 2 5 2" xfId="40171" xr:uid="{00000000-0005-0000-0000-0000C1620000}"/>
    <cellStyle name="Separador de milhares 3 2 4 6 2 2 6" xfId="33785" xr:uid="{00000000-0005-0000-0000-0000C2620000}"/>
    <cellStyle name="Separador de milhares 3 2 4 6 2 3" xfId="9265" xr:uid="{00000000-0005-0000-0000-0000C3620000}"/>
    <cellStyle name="Separador de milhares 3 2 4 6 2 3 2" xfId="27479" xr:uid="{00000000-0005-0000-0000-0000C4620000}"/>
    <cellStyle name="Separador de milhares 3 2 4 6 2 3 2 2" xfId="53660" xr:uid="{00000000-0005-0000-0000-0000C5620000}"/>
    <cellStyle name="Separador de milhares 3 2 4 6 2 3 3" xfId="21565" xr:uid="{00000000-0005-0000-0000-0000C6620000}"/>
    <cellStyle name="Separador de milhares 3 2 4 6 2 3 3 2" xfId="47752" xr:uid="{00000000-0005-0000-0000-0000C7620000}"/>
    <cellStyle name="Separador de milhares 3 2 4 6 2 3 4" xfId="15651" xr:uid="{00000000-0005-0000-0000-0000C8620000}"/>
    <cellStyle name="Separador de milhares 3 2 4 6 2 3 4 2" xfId="41844" xr:uid="{00000000-0005-0000-0000-0000C9620000}"/>
    <cellStyle name="Separador de milhares 3 2 4 6 2 3 5" xfId="35458" xr:uid="{00000000-0005-0000-0000-0000CA620000}"/>
    <cellStyle name="Separador de milhares 3 2 4 6 2 4" xfId="5890" xr:uid="{00000000-0005-0000-0000-0000CB620000}"/>
    <cellStyle name="Separador de milhares 3 2 4 6 2 4 2" xfId="24522" xr:uid="{00000000-0005-0000-0000-0000CC620000}"/>
    <cellStyle name="Separador de milhares 3 2 4 6 2 4 2 2" xfId="50706" xr:uid="{00000000-0005-0000-0000-0000CD620000}"/>
    <cellStyle name="Separador de milhares 3 2 4 6 2 4 3" xfId="32086" xr:uid="{00000000-0005-0000-0000-0000CE620000}"/>
    <cellStyle name="Separador de milhares 3 2 4 6 2 5" xfId="18608" xr:uid="{00000000-0005-0000-0000-0000CF620000}"/>
    <cellStyle name="Separador de milhares 3 2 4 6 2 5 2" xfId="44798" xr:uid="{00000000-0005-0000-0000-0000D0620000}"/>
    <cellStyle name="Separador de milhares 3 2 4 6 2 6" xfId="12277" xr:uid="{00000000-0005-0000-0000-0000D1620000}"/>
    <cellStyle name="Separador de milhares 3 2 4 6 2 6 2" xfId="38470" xr:uid="{00000000-0005-0000-0000-0000D2620000}"/>
    <cellStyle name="Separador de milhares 3 2 4 6 2 7" xfId="30388" xr:uid="{00000000-0005-0000-0000-0000D3620000}"/>
    <cellStyle name="Separador de milhares 3 2 4 6 3" xfId="6634" xr:uid="{00000000-0005-0000-0000-0000D4620000}"/>
    <cellStyle name="Separador de milhares 3 2 4 6 3 2" xfId="9781" xr:uid="{00000000-0005-0000-0000-0000D5620000}"/>
    <cellStyle name="Separador de milhares 3 2 4 6 3 2 2" xfId="27995" xr:uid="{00000000-0005-0000-0000-0000D6620000}"/>
    <cellStyle name="Separador de milhares 3 2 4 6 3 2 2 2" xfId="54176" xr:uid="{00000000-0005-0000-0000-0000D7620000}"/>
    <cellStyle name="Separador de milhares 3 2 4 6 3 2 3" xfId="22081" xr:uid="{00000000-0005-0000-0000-0000D8620000}"/>
    <cellStyle name="Separador de milhares 3 2 4 6 3 2 3 2" xfId="48268" xr:uid="{00000000-0005-0000-0000-0000D9620000}"/>
    <cellStyle name="Separador de milhares 3 2 4 6 3 2 4" xfId="16167" xr:uid="{00000000-0005-0000-0000-0000DA620000}"/>
    <cellStyle name="Separador de milhares 3 2 4 6 3 2 4 2" xfId="42360" xr:uid="{00000000-0005-0000-0000-0000DB620000}"/>
    <cellStyle name="Separador de milhares 3 2 4 6 3 2 5" xfId="35974" xr:uid="{00000000-0005-0000-0000-0000DC620000}"/>
    <cellStyle name="Separador de milhares 3 2 4 6 3 3" xfId="25038" xr:uid="{00000000-0005-0000-0000-0000DD620000}"/>
    <cellStyle name="Separador de milhares 3 2 4 6 3 3 2" xfId="51222" xr:uid="{00000000-0005-0000-0000-0000DE620000}"/>
    <cellStyle name="Separador de milhares 3 2 4 6 3 4" xfId="19124" xr:uid="{00000000-0005-0000-0000-0000DF620000}"/>
    <cellStyle name="Separador de milhares 3 2 4 6 3 4 2" xfId="45314" xr:uid="{00000000-0005-0000-0000-0000E0620000}"/>
    <cellStyle name="Separador de milhares 3 2 4 6 3 5" xfId="13023" xr:uid="{00000000-0005-0000-0000-0000E1620000}"/>
    <cellStyle name="Separador de milhares 3 2 4 6 3 5 2" xfId="39216" xr:uid="{00000000-0005-0000-0000-0000E2620000}"/>
    <cellStyle name="Separador de milhares 3 2 4 6 3 6" xfId="32830" xr:uid="{00000000-0005-0000-0000-0000E3620000}"/>
    <cellStyle name="Separador de milhares 3 2 4 6 4" xfId="8313" xr:uid="{00000000-0005-0000-0000-0000E4620000}"/>
    <cellStyle name="Separador de milhares 3 2 4 6 4 2" xfId="26527" xr:uid="{00000000-0005-0000-0000-0000E5620000}"/>
    <cellStyle name="Separador de milhares 3 2 4 6 4 2 2" xfId="52708" xr:uid="{00000000-0005-0000-0000-0000E6620000}"/>
    <cellStyle name="Separador de milhares 3 2 4 6 4 3" xfId="20613" xr:uid="{00000000-0005-0000-0000-0000E7620000}"/>
    <cellStyle name="Separador de milhares 3 2 4 6 4 3 2" xfId="46800" xr:uid="{00000000-0005-0000-0000-0000E8620000}"/>
    <cellStyle name="Separador de milhares 3 2 4 6 4 4" xfId="14699" xr:uid="{00000000-0005-0000-0000-0000E9620000}"/>
    <cellStyle name="Separador de milhares 3 2 4 6 4 4 2" xfId="40892" xr:uid="{00000000-0005-0000-0000-0000EA620000}"/>
    <cellStyle name="Separador de milhares 3 2 4 6 4 5" xfId="34506" xr:uid="{00000000-0005-0000-0000-0000EB620000}"/>
    <cellStyle name="Separador de milhares 3 2 4 6 5" xfId="4935" xr:uid="{00000000-0005-0000-0000-0000EC620000}"/>
    <cellStyle name="Separador de milhares 3 2 4 6 5 2" xfId="23570" xr:uid="{00000000-0005-0000-0000-0000ED620000}"/>
    <cellStyle name="Separador de milhares 3 2 4 6 5 2 2" xfId="49754" xr:uid="{00000000-0005-0000-0000-0000EE620000}"/>
    <cellStyle name="Separador de milhares 3 2 4 6 5 3" xfId="31131" xr:uid="{00000000-0005-0000-0000-0000EF620000}"/>
    <cellStyle name="Separador de milhares 3 2 4 6 6" xfId="17656" xr:uid="{00000000-0005-0000-0000-0000F0620000}"/>
    <cellStyle name="Separador de milhares 3 2 4 6 6 2" xfId="43846" xr:uid="{00000000-0005-0000-0000-0000F1620000}"/>
    <cellStyle name="Separador de milhares 3 2 4 6 7" xfId="11322" xr:uid="{00000000-0005-0000-0000-0000F2620000}"/>
    <cellStyle name="Separador de milhares 3 2 4 6 7 2" xfId="37515" xr:uid="{00000000-0005-0000-0000-0000F3620000}"/>
    <cellStyle name="Separador de milhares 3 2 4 6 8" xfId="29433" xr:uid="{00000000-0005-0000-0000-0000F4620000}"/>
    <cellStyle name="Separador de milhares 3 2 4 7" xfId="1094" xr:uid="{00000000-0005-0000-0000-0000F5620000}"/>
    <cellStyle name="Separador de milhares 3 2 4 7 2" xfId="6732" xr:uid="{00000000-0005-0000-0000-0000F6620000}"/>
    <cellStyle name="Separador de milhares 3 2 4 7 2 2" xfId="9879" xr:uid="{00000000-0005-0000-0000-0000F7620000}"/>
    <cellStyle name="Separador de milhares 3 2 4 7 2 2 2" xfId="28093" xr:uid="{00000000-0005-0000-0000-0000F8620000}"/>
    <cellStyle name="Separador de milhares 3 2 4 7 2 2 2 2" xfId="54274" xr:uid="{00000000-0005-0000-0000-0000F9620000}"/>
    <cellStyle name="Separador de milhares 3 2 4 7 2 2 3" xfId="22179" xr:uid="{00000000-0005-0000-0000-0000FA620000}"/>
    <cellStyle name="Separador de milhares 3 2 4 7 2 2 3 2" xfId="48366" xr:uid="{00000000-0005-0000-0000-0000FB620000}"/>
    <cellStyle name="Separador de milhares 3 2 4 7 2 2 4" xfId="16265" xr:uid="{00000000-0005-0000-0000-0000FC620000}"/>
    <cellStyle name="Separador de milhares 3 2 4 7 2 2 4 2" xfId="42458" xr:uid="{00000000-0005-0000-0000-0000FD620000}"/>
    <cellStyle name="Separador de milhares 3 2 4 7 2 2 5" xfId="36072" xr:uid="{00000000-0005-0000-0000-0000FE620000}"/>
    <cellStyle name="Separador de milhares 3 2 4 7 2 3" xfId="25136" xr:uid="{00000000-0005-0000-0000-0000FF620000}"/>
    <cellStyle name="Separador de milhares 3 2 4 7 2 3 2" xfId="51320" xr:uid="{00000000-0005-0000-0000-000000630000}"/>
    <cellStyle name="Separador de milhares 3 2 4 7 2 4" xfId="19222" xr:uid="{00000000-0005-0000-0000-000001630000}"/>
    <cellStyle name="Separador de milhares 3 2 4 7 2 4 2" xfId="45412" xr:uid="{00000000-0005-0000-0000-000002630000}"/>
    <cellStyle name="Separador de milhares 3 2 4 7 2 5" xfId="13121" xr:uid="{00000000-0005-0000-0000-000003630000}"/>
    <cellStyle name="Separador de milhares 3 2 4 7 2 5 2" xfId="39314" xr:uid="{00000000-0005-0000-0000-000004630000}"/>
    <cellStyle name="Separador de milhares 3 2 4 7 2 6" xfId="32928" xr:uid="{00000000-0005-0000-0000-000005630000}"/>
    <cellStyle name="Separador de milhares 3 2 4 7 3" xfId="8411" xr:uid="{00000000-0005-0000-0000-000006630000}"/>
    <cellStyle name="Separador de milhares 3 2 4 7 3 2" xfId="26625" xr:uid="{00000000-0005-0000-0000-000007630000}"/>
    <cellStyle name="Separador de milhares 3 2 4 7 3 2 2" xfId="52806" xr:uid="{00000000-0005-0000-0000-000008630000}"/>
    <cellStyle name="Separador de milhares 3 2 4 7 3 3" xfId="20711" xr:uid="{00000000-0005-0000-0000-000009630000}"/>
    <cellStyle name="Separador de milhares 3 2 4 7 3 3 2" xfId="46898" xr:uid="{00000000-0005-0000-0000-00000A630000}"/>
    <cellStyle name="Separador de milhares 3 2 4 7 3 4" xfId="14797" xr:uid="{00000000-0005-0000-0000-00000B630000}"/>
    <cellStyle name="Separador de milhares 3 2 4 7 3 4 2" xfId="40990" xr:uid="{00000000-0005-0000-0000-00000C630000}"/>
    <cellStyle name="Separador de milhares 3 2 4 7 3 5" xfId="34604" xr:uid="{00000000-0005-0000-0000-00000D630000}"/>
    <cellStyle name="Separador de milhares 3 2 4 7 4" xfId="5033" xr:uid="{00000000-0005-0000-0000-00000E630000}"/>
    <cellStyle name="Separador de milhares 3 2 4 7 4 2" xfId="23668" xr:uid="{00000000-0005-0000-0000-00000F630000}"/>
    <cellStyle name="Separador de milhares 3 2 4 7 4 2 2" xfId="49852" xr:uid="{00000000-0005-0000-0000-000010630000}"/>
    <cellStyle name="Separador de milhares 3 2 4 7 4 3" xfId="31229" xr:uid="{00000000-0005-0000-0000-000011630000}"/>
    <cellStyle name="Separador de milhares 3 2 4 7 5" xfId="17754" xr:uid="{00000000-0005-0000-0000-000012630000}"/>
    <cellStyle name="Separador de milhares 3 2 4 7 5 2" xfId="43944" xr:uid="{00000000-0005-0000-0000-000013630000}"/>
    <cellStyle name="Separador de milhares 3 2 4 7 6" xfId="11420" xr:uid="{00000000-0005-0000-0000-000014630000}"/>
    <cellStyle name="Separador de milhares 3 2 4 7 6 2" xfId="37613" xr:uid="{00000000-0005-0000-0000-000015630000}"/>
    <cellStyle name="Separador de milhares 3 2 4 7 7" xfId="29531" xr:uid="{00000000-0005-0000-0000-000016630000}"/>
    <cellStyle name="Separador de milhares 3 2 4 8" xfId="1529" xr:uid="{00000000-0005-0000-0000-000017630000}"/>
    <cellStyle name="Separador de milhares 3 2 4 8 2" xfId="6851" xr:uid="{00000000-0005-0000-0000-000018630000}"/>
    <cellStyle name="Separador de milhares 3 2 4 8 2 2" xfId="9998" xr:uid="{00000000-0005-0000-0000-000019630000}"/>
    <cellStyle name="Separador de milhares 3 2 4 8 2 2 2" xfId="28212" xr:uid="{00000000-0005-0000-0000-00001A630000}"/>
    <cellStyle name="Separador de milhares 3 2 4 8 2 2 2 2" xfId="54393" xr:uid="{00000000-0005-0000-0000-00001B630000}"/>
    <cellStyle name="Separador de milhares 3 2 4 8 2 2 3" xfId="22298" xr:uid="{00000000-0005-0000-0000-00001C630000}"/>
    <cellStyle name="Separador de milhares 3 2 4 8 2 2 3 2" xfId="48485" xr:uid="{00000000-0005-0000-0000-00001D630000}"/>
    <cellStyle name="Separador de milhares 3 2 4 8 2 2 4" xfId="16384" xr:uid="{00000000-0005-0000-0000-00001E630000}"/>
    <cellStyle name="Separador de milhares 3 2 4 8 2 2 4 2" xfId="42577" xr:uid="{00000000-0005-0000-0000-00001F630000}"/>
    <cellStyle name="Separador de milhares 3 2 4 8 2 2 5" xfId="36191" xr:uid="{00000000-0005-0000-0000-000020630000}"/>
    <cellStyle name="Separador de milhares 3 2 4 8 2 3" xfId="25255" xr:uid="{00000000-0005-0000-0000-000021630000}"/>
    <cellStyle name="Separador de milhares 3 2 4 8 2 3 2" xfId="51439" xr:uid="{00000000-0005-0000-0000-000022630000}"/>
    <cellStyle name="Separador de milhares 3 2 4 8 2 4" xfId="19341" xr:uid="{00000000-0005-0000-0000-000023630000}"/>
    <cellStyle name="Separador de milhares 3 2 4 8 2 4 2" xfId="45531" xr:uid="{00000000-0005-0000-0000-000024630000}"/>
    <cellStyle name="Separador de milhares 3 2 4 8 2 5" xfId="13240" xr:uid="{00000000-0005-0000-0000-000025630000}"/>
    <cellStyle name="Separador de milhares 3 2 4 8 2 5 2" xfId="39433" xr:uid="{00000000-0005-0000-0000-000026630000}"/>
    <cellStyle name="Separador de milhares 3 2 4 8 2 6" xfId="33047" xr:uid="{00000000-0005-0000-0000-000027630000}"/>
    <cellStyle name="Separador de milhares 3 2 4 8 3" xfId="8530" xr:uid="{00000000-0005-0000-0000-000028630000}"/>
    <cellStyle name="Separador de milhares 3 2 4 8 3 2" xfId="26744" xr:uid="{00000000-0005-0000-0000-000029630000}"/>
    <cellStyle name="Separador de milhares 3 2 4 8 3 2 2" xfId="52925" xr:uid="{00000000-0005-0000-0000-00002A630000}"/>
    <cellStyle name="Separador de milhares 3 2 4 8 3 3" xfId="20830" xr:uid="{00000000-0005-0000-0000-00002B630000}"/>
    <cellStyle name="Separador de milhares 3 2 4 8 3 3 2" xfId="47017" xr:uid="{00000000-0005-0000-0000-00002C630000}"/>
    <cellStyle name="Separador de milhares 3 2 4 8 3 4" xfId="14916" xr:uid="{00000000-0005-0000-0000-00002D630000}"/>
    <cellStyle name="Separador de milhares 3 2 4 8 3 4 2" xfId="41109" xr:uid="{00000000-0005-0000-0000-00002E630000}"/>
    <cellStyle name="Separador de milhares 3 2 4 8 3 5" xfId="34723" xr:uid="{00000000-0005-0000-0000-00002F630000}"/>
    <cellStyle name="Separador de milhares 3 2 4 8 4" xfId="5152" xr:uid="{00000000-0005-0000-0000-000030630000}"/>
    <cellStyle name="Separador de milhares 3 2 4 8 4 2" xfId="23787" xr:uid="{00000000-0005-0000-0000-000031630000}"/>
    <cellStyle name="Separador de milhares 3 2 4 8 4 2 2" xfId="49971" xr:uid="{00000000-0005-0000-0000-000032630000}"/>
    <cellStyle name="Separador de milhares 3 2 4 8 4 3" xfId="31348" xr:uid="{00000000-0005-0000-0000-000033630000}"/>
    <cellStyle name="Separador de milhares 3 2 4 8 5" xfId="17873" xr:uid="{00000000-0005-0000-0000-000034630000}"/>
    <cellStyle name="Separador de milhares 3 2 4 8 5 2" xfId="44063" xr:uid="{00000000-0005-0000-0000-000035630000}"/>
    <cellStyle name="Separador de milhares 3 2 4 8 6" xfId="11539" xr:uid="{00000000-0005-0000-0000-000036630000}"/>
    <cellStyle name="Separador de milhares 3 2 4 8 6 2" xfId="37732" xr:uid="{00000000-0005-0000-0000-000037630000}"/>
    <cellStyle name="Separador de milhares 3 2 4 8 7" xfId="29650" xr:uid="{00000000-0005-0000-0000-000038630000}"/>
    <cellStyle name="Separador de milhares 3 2 4 9" xfId="2059" xr:uid="{00000000-0005-0000-0000-000039630000}"/>
    <cellStyle name="Separador de milhares 3 2 4 9 2" xfId="7001" xr:uid="{00000000-0005-0000-0000-00003A630000}"/>
    <cellStyle name="Separador de milhares 3 2 4 9 2 2" xfId="10145" xr:uid="{00000000-0005-0000-0000-00003B630000}"/>
    <cellStyle name="Separador de milhares 3 2 4 9 2 2 2" xfId="28359" xr:uid="{00000000-0005-0000-0000-00003C630000}"/>
    <cellStyle name="Separador de milhares 3 2 4 9 2 2 2 2" xfId="54540" xr:uid="{00000000-0005-0000-0000-00003D630000}"/>
    <cellStyle name="Separador de milhares 3 2 4 9 2 2 3" xfId="22445" xr:uid="{00000000-0005-0000-0000-00003E630000}"/>
    <cellStyle name="Separador de milhares 3 2 4 9 2 2 3 2" xfId="48632" xr:uid="{00000000-0005-0000-0000-00003F630000}"/>
    <cellStyle name="Separador de milhares 3 2 4 9 2 2 4" xfId="16531" xr:uid="{00000000-0005-0000-0000-000040630000}"/>
    <cellStyle name="Separador de milhares 3 2 4 9 2 2 4 2" xfId="42724" xr:uid="{00000000-0005-0000-0000-000041630000}"/>
    <cellStyle name="Separador de milhares 3 2 4 9 2 2 5" xfId="36338" xr:uid="{00000000-0005-0000-0000-000042630000}"/>
    <cellStyle name="Separador de milhares 3 2 4 9 2 3" xfId="25402" xr:uid="{00000000-0005-0000-0000-000043630000}"/>
    <cellStyle name="Separador de milhares 3 2 4 9 2 3 2" xfId="51586" xr:uid="{00000000-0005-0000-0000-000044630000}"/>
    <cellStyle name="Separador de milhares 3 2 4 9 2 4" xfId="19488" xr:uid="{00000000-0005-0000-0000-000045630000}"/>
    <cellStyle name="Separador de milhares 3 2 4 9 2 4 2" xfId="45678" xr:uid="{00000000-0005-0000-0000-000046630000}"/>
    <cellStyle name="Separador de milhares 3 2 4 9 2 5" xfId="13390" xr:uid="{00000000-0005-0000-0000-000047630000}"/>
    <cellStyle name="Separador de milhares 3 2 4 9 2 5 2" xfId="39583" xr:uid="{00000000-0005-0000-0000-000048630000}"/>
    <cellStyle name="Separador de milhares 3 2 4 9 2 6" xfId="33197" xr:uid="{00000000-0005-0000-0000-000049630000}"/>
    <cellStyle name="Separador de milhares 3 2 4 9 3" xfId="8677" xr:uid="{00000000-0005-0000-0000-00004A630000}"/>
    <cellStyle name="Separador de milhares 3 2 4 9 3 2" xfId="26891" xr:uid="{00000000-0005-0000-0000-00004B630000}"/>
    <cellStyle name="Separador de milhares 3 2 4 9 3 2 2" xfId="53072" xr:uid="{00000000-0005-0000-0000-00004C630000}"/>
    <cellStyle name="Separador de milhares 3 2 4 9 3 3" xfId="20977" xr:uid="{00000000-0005-0000-0000-00004D630000}"/>
    <cellStyle name="Separador de milhares 3 2 4 9 3 3 2" xfId="47164" xr:uid="{00000000-0005-0000-0000-00004E630000}"/>
    <cellStyle name="Separador de milhares 3 2 4 9 3 4" xfId="15063" xr:uid="{00000000-0005-0000-0000-00004F630000}"/>
    <cellStyle name="Separador de milhares 3 2 4 9 3 4 2" xfId="41256" xr:uid="{00000000-0005-0000-0000-000050630000}"/>
    <cellStyle name="Separador de milhares 3 2 4 9 3 5" xfId="34870" xr:uid="{00000000-0005-0000-0000-000051630000}"/>
    <cellStyle name="Separador de milhares 3 2 4 9 4" xfId="5302" xr:uid="{00000000-0005-0000-0000-000052630000}"/>
    <cellStyle name="Separador de milhares 3 2 4 9 4 2" xfId="23934" xr:uid="{00000000-0005-0000-0000-000053630000}"/>
    <cellStyle name="Separador de milhares 3 2 4 9 4 2 2" xfId="50118" xr:uid="{00000000-0005-0000-0000-000054630000}"/>
    <cellStyle name="Separador de milhares 3 2 4 9 4 3" xfId="31498" xr:uid="{00000000-0005-0000-0000-000055630000}"/>
    <cellStyle name="Separador de milhares 3 2 4 9 5" xfId="18020" xr:uid="{00000000-0005-0000-0000-000056630000}"/>
    <cellStyle name="Separador de milhares 3 2 4 9 5 2" xfId="44210" xr:uid="{00000000-0005-0000-0000-000057630000}"/>
    <cellStyle name="Separador de milhares 3 2 4 9 6" xfId="11689" xr:uid="{00000000-0005-0000-0000-000058630000}"/>
    <cellStyle name="Separador de milhares 3 2 4 9 6 2" xfId="37882" xr:uid="{00000000-0005-0000-0000-000059630000}"/>
    <cellStyle name="Separador de milhares 3 2 4 9 7" xfId="29800" xr:uid="{00000000-0005-0000-0000-00005A630000}"/>
    <cellStyle name="Separador de milhares 3 2 5" xfId="91" xr:uid="{00000000-0005-0000-0000-00005B630000}"/>
    <cellStyle name="Separador de milhares 3 2 5 10" xfId="2594" xr:uid="{00000000-0005-0000-0000-00005C630000}"/>
    <cellStyle name="Separador de milhares 3 2 5 10 2" xfId="7150" xr:uid="{00000000-0005-0000-0000-00005D630000}"/>
    <cellStyle name="Separador de milhares 3 2 5 10 2 2" xfId="10294" xr:uid="{00000000-0005-0000-0000-00005E630000}"/>
    <cellStyle name="Separador de milhares 3 2 5 10 2 2 2" xfId="28508" xr:uid="{00000000-0005-0000-0000-00005F630000}"/>
    <cellStyle name="Separador de milhares 3 2 5 10 2 2 2 2" xfId="54689" xr:uid="{00000000-0005-0000-0000-000060630000}"/>
    <cellStyle name="Separador de milhares 3 2 5 10 2 2 3" xfId="22594" xr:uid="{00000000-0005-0000-0000-000061630000}"/>
    <cellStyle name="Separador de milhares 3 2 5 10 2 2 3 2" xfId="48781" xr:uid="{00000000-0005-0000-0000-000062630000}"/>
    <cellStyle name="Separador de milhares 3 2 5 10 2 2 4" xfId="16680" xr:uid="{00000000-0005-0000-0000-000063630000}"/>
    <cellStyle name="Separador de milhares 3 2 5 10 2 2 4 2" xfId="42873" xr:uid="{00000000-0005-0000-0000-000064630000}"/>
    <cellStyle name="Separador de milhares 3 2 5 10 2 2 5" xfId="36487" xr:uid="{00000000-0005-0000-0000-000065630000}"/>
    <cellStyle name="Separador de milhares 3 2 5 10 2 3" xfId="25551" xr:uid="{00000000-0005-0000-0000-000066630000}"/>
    <cellStyle name="Separador de milhares 3 2 5 10 2 3 2" xfId="51735" xr:uid="{00000000-0005-0000-0000-000067630000}"/>
    <cellStyle name="Separador de milhares 3 2 5 10 2 4" xfId="19637" xr:uid="{00000000-0005-0000-0000-000068630000}"/>
    <cellStyle name="Separador de milhares 3 2 5 10 2 4 2" xfId="45827" xr:uid="{00000000-0005-0000-0000-000069630000}"/>
    <cellStyle name="Separador de milhares 3 2 5 10 2 5" xfId="13539" xr:uid="{00000000-0005-0000-0000-00006A630000}"/>
    <cellStyle name="Separador de milhares 3 2 5 10 2 5 2" xfId="39732" xr:uid="{00000000-0005-0000-0000-00006B630000}"/>
    <cellStyle name="Separador de milhares 3 2 5 10 2 6" xfId="33346" xr:uid="{00000000-0005-0000-0000-00006C630000}"/>
    <cellStyle name="Separador de milhares 3 2 5 10 3" xfId="8826" xr:uid="{00000000-0005-0000-0000-00006D630000}"/>
    <cellStyle name="Separador de milhares 3 2 5 10 3 2" xfId="27040" xr:uid="{00000000-0005-0000-0000-00006E630000}"/>
    <cellStyle name="Separador de milhares 3 2 5 10 3 2 2" xfId="53221" xr:uid="{00000000-0005-0000-0000-00006F630000}"/>
    <cellStyle name="Separador de milhares 3 2 5 10 3 3" xfId="21126" xr:uid="{00000000-0005-0000-0000-000070630000}"/>
    <cellStyle name="Separador de milhares 3 2 5 10 3 3 2" xfId="47313" xr:uid="{00000000-0005-0000-0000-000071630000}"/>
    <cellStyle name="Separador de milhares 3 2 5 10 3 4" xfId="15212" xr:uid="{00000000-0005-0000-0000-000072630000}"/>
    <cellStyle name="Separador de milhares 3 2 5 10 3 4 2" xfId="41405" xr:uid="{00000000-0005-0000-0000-000073630000}"/>
    <cellStyle name="Separador de milhares 3 2 5 10 3 5" xfId="35019" xr:uid="{00000000-0005-0000-0000-000074630000}"/>
    <cellStyle name="Separador de milhares 3 2 5 10 4" xfId="5451" xr:uid="{00000000-0005-0000-0000-000075630000}"/>
    <cellStyle name="Separador de milhares 3 2 5 10 4 2" xfId="24083" xr:uid="{00000000-0005-0000-0000-000076630000}"/>
    <cellStyle name="Separador de milhares 3 2 5 10 4 2 2" xfId="50267" xr:uid="{00000000-0005-0000-0000-000077630000}"/>
    <cellStyle name="Separador de milhares 3 2 5 10 4 3" xfId="31647" xr:uid="{00000000-0005-0000-0000-000078630000}"/>
    <cellStyle name="Separador de milhares 3 2 5 10 5" xfId="18169" xr:uid="{00000000-0005-0000-0000-000079630000}"/>
    <cellStyle name="Separador de milhares 3 2 5 10 5 2" xfId="44359" xr:uid="{00000000-0005-0000-0000-00007A630000}"/>
    <cellStyle name="Separador de milhares 3 2 5 10 6" xfId="11838" xr:uid="{00000000-0005-0000-0000-00007B630000}"/>
    <cellStyle name="Separador de milhares 3 2 5 10 6 2" xfId="38031" xr:uid="{00000000-0005-0000-0000-00007C630000}"/>
    <cellStyle name="Separador de milhares 3 2 5 10 7" xfId="29949" xr:uid="{00000000-0005-0000-0000-00007D630000}"/>
    <cellStyle name="Separador de milhares 3 2 5 11" xfId="3121" xr:uid="{00000000-0005-0000-0000-00007E630000}"/>
    <cellStyle name="Separador de milhares 3 2 5 11 2" xfId="7297" xr:uid="{00000000-0005-0000-0000-00007F630000}"/>
    <cellStyle name="Separador de milhares 3 2 5 11 2 2" xfId="10441" xr:uid="{00000000-0005-0000-0000-000080630000}"/>
    <cellStyle name="Separador de milhares 3 2 5 11 2 2 2" xfId="28655" xr:uid="{00000000-0005-0000-0000-000081630000}"/>
    <cellStyle name="Separador de milhares 3 2 5 11 2 2 2 2" xfId="54836" xr:uid="{00000000-0005-0000-0000-000082630000}"/>
    <cellStyle name="Separador de milhares 3 2 5 11 2 2 3" xfId="22741" xr:uid="{00000000-0005-0000-0000-000083630000}"/>
    <cellStyle name="Separador de milhares 3 2 5 11 2 2 3 2" xfId="48928" xr:uid="{00000000-0005-0000-0000-000084630000}"/>
    <cellStyle name="Separador de milhares 3 2 5 11 2 2 4" xfId="16827" xr:uid="{00000000-0005-0000-0000-000085630000}"/>
    <cellStyle name="Separador de milhares 3 2 5 11 2 2 4 2" xfId="43020" xr:uid="{00000000-0005-0000-0000-000086630000}"/>
    <cellStyle name="Separador de milhares 3 2 5 11 2 2 5" xfId="36634" xr:uid="{00000000-0005-0000-0000-000087630000}"/>
    <cellStyle name="Separador de milhares 3 2 5 11 2 3" xfId="25698" xr:uid="{00000000-0005-0000-0000-000088630000}"/>
    <cellStyle name="Separador de milhares 3 2 5 11 2 3 2" xfId="51882" xr:uid="{00000000-0005-0000-0000-000089630000}"/>
    <cellStyle name="Separador de milhares 3 2 5 11 2 4" xfId="19784" xr:uid="{00000000-0005-0000-0000-00008A630000}"/>
    <cellStyle name="Separador de milhares 3 2 5 11 2 4 2" xfId="45974" xr:uid="{00000000-0005-0000-0000-00008B630000}"/>
    <cellStyle name="Separador de milhares 3 2 5 11 2 5" xfId="13686" xr:uid="{00000000-0005-0000-0000-00008C630000}"/>
    <cellStyle name="Separador de milhares 3 2 5 11 2 5 2" xfId="39879" xr:uid="{00000000-0005-0000-0000-00008D630000}"/>
    <cellStyle name="Separador de milhares 3 2 5 11 2 6" xfId="33493" xr:uid="{00000000-0005-0000-0000-00008E630000}"/>
    <cellStyle name="Separador de milhares 3 2 5 11 3" xfId="8973" xr:uid="{00000000-0005-0000-0000-00008F630000}"/>
    <cellStyle name="Separador de milhares 3 2 5 11 3 2" xfId="27187" xr:uid="{00000000-0005-0000-0000-000090630000}"/>
    <cellStyle name="Separador de milhares 3 2 5 11 3 2 2" xfId="53368" xr:uid="{00000000-0005-0000-0000-000091630000}"/>
    <cellStyle name="Separador de milhares 3 2 5 11 3 3" xfId="21273" xr:uid="{00000000-0005-0000-0000-000092630000}"/>
    <cellStyle name="Separador de milhares 3 2 5 11 3 3 2" xfId="47460" xr:uid="{00000000-0005-0000-0000-000093630000}"/>
    <cellStyle name="Separador de milhares 3 2 5 11 3 4" xfId="15359" xr:uid="{00000000-0005-0000-0000-000094630000}"/>
    <cellStyle name="Separador de milhares 3 2 5 11 3 4 2" xfId="41552" xr:uid="{00000000-0005-0000-0000-000095630000}"/>
    <cellStyle name="Separador de milhares 3 2 5 11 3 5" xfId="35166" xr:uid="{00000000-0005-0000-0000-000096630000}"/>
    <cellStyle name="Separador de milhares 3 2 5 11 4" xfId="5598" xr:uid="{00000000-0005-0000-0000-000097630000}"/>
    <cellStyle name="Separador de milhares 3 2 5 11 4 2" xfId="24230" xr:uid="{00000000-0005-0000-0000-000098630000}"/>
    <cellStyle name="Separador de milhares 3 2 5 11 4 2 2" xfId="50414" xr:uid="{00000000-0005-0000-0000-000099630000}"/>
    <cellStyle name="Separador de milhares 3 2 5 11 4 3" xfId="31794" xr:uid="{00000000-0005-0000-0000-00009A630000}"/>
    <cellStyle name="Separador de milhares 3 2 5 11 5" xfId="18316" xr:uid="{00000000-0005-0000-0000-00009B630000}"/>
    <cellStyle name="Separador de milhares 3 2 5 11 5 2" xfId="44506" xr:uid="{00000000-0005-0000-0000-00009C630000}"/>
    <cellStyle name="Separador de milhares 3 2 5 11 6" xfId="11985" xr:uid="{00000000-0005-0000-0000-00009D630000}"/>
    <cellStyle name="Separador de milhares 3 2 5 11 6 2" xfId="38178" xr:uid="{00000000-0005-0000-0000-00009E630000}"/>
    <cellStyle name="Separador de milhares 3 2 5 11 7" xfId="30096" xr:uid="{00000000-0005-0000-0000-00009F630000}"/>
    <cellStyle name="Separador de milhares 3 2 5 12" xfId="3648" xr:uid="{00000000-0005-0000-0000-0000A0630000}"/>
    <cellStyle name="Separador de milhares 3 2 5 12 2" xfId="7444" xr:uid="{00000000-0005-0000-0000-0000A1630000}"/>
    <cellStyle name="Separador de milhares 3 2 5 12 2 2" xfId="10588" xr:uid="{00000000-0005-0000-0000-0000A2630000}"/>
    <cellStyle name="Separador de milhares 3 2 5 12 2 2 2" xfId="28802" xr:uid="{00000000-0005-0000-0000-0000A3630000}"/>
    <cellStyle name="Separador de milhares 3 2 5 12 2 2 2 2" xfId="54983" xr:uid="{00000000-0005-0000-0000-0000A4630000}"/>
    <cellStyle name="Separador de milhares 3 2 5 12 2 2 3" xfId="22888" xr:uid="{00000000-0005-0000-0000-0000A5630000}"/>
    <cellStyle name="Separador de milhares 3 2 5 12 2 2 3 2" xfId="49075" xr:uid="{00000000-0005-0000-0000-0000A6630000}"/>
    <cellStyle name="Separador de milhares 3 2 5 12 2 2 4" xfId="16974" xr:uid="{00000000-0005-0000-0000-0000A7630000}"/>
    <cellStyle name="Separador de milhares 3 2 5 12 2 2 4 2" xfId="43167" xr:uid="{00000000-0005-0000-0000-0000A8630000}"/>
    <cellStyle name="Separador de milhares 3 2 5 12 2 2 5" xfId="36781" xr:uid="{00000000-0005-0000-0000-0000A9630000}"/>
    <cellStyle name="Separador de milhares 3 2 5 12 2 3" xfId="25845" xr:uid="{00000000-0005-0000-0000-0000AA630000}"/>
    <cellStyle name="Separador de milhares 3 2 5 12 2 3 2" xfId="52029" xr:uid="{00000000-0005-0000-0000-0000AB630000}"/>
    <cellStyle name="Separador de milhares 3 2 5 12 2 4" xfId="19931" xr:uid="{00000000-0005-0000-0000-0000AC630000}"/>
    <cellStyle name="Separador de milhares 3 2 5 12 2 4 2" xfId="46121" xr:uid="{00000000-0005-0000-0000-0000AD630000}"/>
    <cellStyle name="Separador de milhares 3 2 5 12 2 5" xfId="13833" xr:uid="{00000000-0005-0000-0000-0000AE630000}"/>
    <cellStyle name="Separador de milhares 3 2 5 12 2 5 2" xfId="40026" xr:uid="{00000000-0005-0000-0000-0000AF630000}"/>
    <cellStyle name="Separador de milhares 3 2 5 12 2 6" xfId="33640" xr:uid="{00000000-0005-0000-0000-0000B0630000}"/>
    <cellStyle name="Separador de milhares 3 2 5 12 3" xfId="9120" xr:uid="{00000000-0005-0000-0000-0000B1630000}"/>
    <cellStyle name="Separador de milhares 3 2 5 12 3 2" xfId="27334" xr:uid="{00000000-0005-0000-0000-0000B2630000}"/>
    <cellStyle name="Separador de milhares 3 2 5 12 3 2 2" xfId="53515" xr:uid="{00000000-0005-0000-0000-0000B3630000}"/>
    <cellStyle name="Separador de milhares 3 2 5 12 3 3" xfId="21420" xr:uid="{00000000-0005-0000-0000-0000B4630000}"/>
    <cellStyle name="Separador de milhares 3 2 5 12 3 3 2" xfId="47607" xr:uid="{00000000-0005-0000-0000-0000B5630000}"/>
    <cellStyle name="Separador de milhares 3 2 5 12 3 4" xfId="15506" xr:uid="{00000000-0005-0000-0000-0000B6630000}"/>
    <cellStyle name="Separador de milhares 3 2 5 12 3 4 2" xfId="41699" xr:uid="{00000000-0005-0000-0000-0000B7630000}"/>
    <cellStyle name="Separador de milhares 3 2 5 12 3 5" xfId="35313" xr:uid="{00000000-0005-0000-0000-0000B8630000}"/>
    <cellStyle name="Separador de milhares 3 2 5 12 4" xfId="5745" xr:uid="{00000000-0005-0000-0000-0000B9630000}"/>
    <cellStyle name="Separador de milhares 3 2 5 12 4 2" xfId="24377" xr:uid="{00000000-0005-0000-0000-0000BA630000}"/>
    <cellStyle name="Separador de milhares 3 2 5 12 4 2 2" xfId="50561" xr:uid="{00000000-0005-0000-0000-0000BB630000}"/>
    <cellStyle name="Separador de milhares 3 2 5 12 4 3" xfId="31941" xr:uid="{00000000-0005-0000-0000-0000BC630000}"/>
    <cellStyle name="Separador de milhares 3 2 5 12 5" xfId="18463" xr:uid="{00000000-0005-0000-0000-0000BD630000}"/>
    <cellStyle name="Separador de milhares 3 2 5 12 5 2" xfId="44653" xr:uid="{00000000-0005-0000-0000-0000BE630000}"/>
    <cellStyle name="Separador de milhares 3 2 5 12 6" xfId="12132" xr:uid="{00000000-0005-0000-0000-0000BF630000}"/>
    <cellStyle name="Separador de milhares 3 2 5 12 6 2" xfId="38325" xr:uid="{00000000-0005-0000-0000-0000C0630000}"/>
    <cellStyle name="Separador de milhares 3 2 5 12 7" xfId="30243" xr:uid="{00000000-0005-0000-0000-0000C1630000}"/>
    <cellStyle name="Separador de milhares 3 2 5 13" xfId="6428" xr:uid="{00000000-0005-0000-0000-0000C2630000}"/>
    <cellStyle name="Separador de milhares 3 2 5 13 2" xfId="9584" xr:uid="{00000000-0005-0000-0000-0000C3630000}"/>
    <cellStyle name="Separador de milhares 3 2 5 13 2 2" xfId="27798" xr:uid="{00000000-0005-0000-0000-0000C4630000}"/>
    <cellStyle name="Separador de milhares 3 2 5 13 2 2 2" xfId="53979" xr:uid="{00000000-0005-0000-0000-0000C5630000}"/>
    <cellStyle name="Separador de milhares 3 2 5 13 2 3" xfId="21884" xr:uid="{00000000-0005-0000-0000-0000C6630000}"/>
    <cellStyle name="Separador de milhares 3 2 5 13 2 3 2" xfId="48071" xr:uid="{00000000-0005-0000-0000-0000C7630000}"/>
    <cellStyle name="Separador de milhares 3 2 5 13 2 4" xfId="15970" xr:uid="{00000000-0005-0000-0000-0000C8630000}"/>
    <cellStyle name="Separador de milhares 3 2 5 13 2 4 2" xfId="42163" xr:uid="{00000000-0005-0000-0000-0000C9630000}"/>
    <cellStyle name="Separador de milhares 3 2 5 13 2 5" xfId="35777" xr:uid="{00000000-0005-0000-0000-0000CA630000}"/>
    <cellStyle name="Separador de milhares 3 2 5 13 3" xfId="24841" xr:uid="{00000000-0005-0000-0000-0000CB630000}"/>
    <cellStyle name="Separador de milhares 3 2 5 13 3 2" xfId="51025" xr:uid="{00000000-0005-0000-0000-0000CC630000}"/>
    <cellStyle name="Separador de milhares 3 2 5 13 4" xfId="18927" xr:uid="{00000000-0005-0000-0000-0000CD630000}"/>
    <cellStyle name="Separador de milhares 3 2 5 13 4 2" xfId="45117" xr:uid="{00000000-0005-0000-0000-0000CE630000}"/>
    <cellStyle name="Separador de milhares 3 2 5 13 5" xfId="12817" xr:uid="{00000000-0005-0000-0000-0000CF630000}"/>
    <cellStyle name="Separador de milhares 3 2 5 13 5 2" xfId="39010" xr:uid="{00000000-0005-0000-0000-0000D0630000}"/>
    <cellStyle name="Separador de milhares 3 2 5 13 6" xfId="32624" xr:uid="{00000000-0005-0000-0000-0000D1630000}"/>
    <cellStyle name="Separador de milhares 3 2 5 14" xfId="8113" xr:uid="{00000000-0005-0000-0000-0000D2630000}"/>
    <cellStyle name="Separador de milhares 3 2 5 14 2" xfId="26327" xr:uid="{00000000-0005-0000-0000-0000D3630000}"/>
    <cellStyle name="Separador de milhares 3 2 5 14 2 2" xfId="52511" xr:uid="{00000000-0005-0000-0000-0000D4630000}"/>
    <cellStyle name="Separador de milhares 3 2 5 14 3" xfId="20413" xr:uid="{00000000-0005-0000-0000-0000D5630000}"/>
    <cellStyle name="Separador de milhares 3 2 5 14 3 2" xfId="46603" xr:uid="{00000000-0005-0000-0000-0000D6630000}"/>
    <cellStyle name="Separador de milhares 3 2 5 14 4" xfId="14502" xr:uid="{00000000-0005-0000-0000-0000D7630000}"/>
    <cellStyle name="Separador de milhares 3 2 5 14 4 2" xfId="40695" xr:uid="{00000000-0005-0000-0000-0000D8630000}"/>
    <cellStyle name="Separador de milhares 3 2 5 14 5" xfId="34309" xr:uid="{00000000-0005-0000-0000-0000D9630000}"/>
    <cellStyle name="Separador de milhares 3 2 5 15" xfId="4726" xr:uid="{00000000-0005-0000-0000-0000DA630000}"/>
    <cellStyle name="Separador de milhares 3 2 5 15 2" xfId="23370" xr:uid="{00000000-0005-0000-0000-0000DB630000}"/>
    <cellStyle name="Separador de milhares 3 2 5 15 2 2" xfId="49557" xr:uid="{00000000-0005-0000-0000-0000DC630000}"/>
    <cellStyle name="Separador de milhares 3 2 5 15 3" xfId="30925" xr:uid="{00000000-0005-0000-0000-0000DD630000}"/>
    <cellStyle name="Separador de milhares 3 2 5 16" xfId="17456" xr:uid="{00000000-0005-0000-0000-0000DE630000}"/>
    <cellStyle name="Separador de milhares 3 2 5 16 2" xfId="43649" xr:uid="{00000000-0005-0000-0000-0000DF630000}"/>
    <cellStyle name="Separador de milhares 3 2 5 17" xfId="11116" xr:uid="{00000000-0005-0000-0000-0000E0630000}"/>
    <cellStyle name="Separador de milhares 3 2 5 17 2" xfId="37309" xr:uid="{00000000-0005-0000-0000-0000E1630000}"/>
    <cellStyle name="Separador de milhares 3 2 5 18" xfId="29227" xr:uid="{00000000-0005-0000-0000-0000E2630000}"/>
    <cellStyle name="Separador de milhares 3 2 5 2" xfId="185" xr:uid="{00000000-0005-0000-0000-0000E3630000}"/>
    <cellStyle name="Separador de milhares 3 2 5 2 10" xfId="6457" xr:uid="{00000000-0005-0000-0000-0000E4630000}"/>
    <cellStyle name="Separador de milhares 3 2 5 2 10 2" xfId="9611" xr:uid="{00000000-0005-0000-0000-0000E5630000}"/>
    <cellStyle name="Separador de milhares 3 2 5 2 10 2 2" xfId="27825" xr:uid="{00000000-0005-0000-0000-0000E6630000}"/>
    <cellStyle name="Separador de milhares 3 2 5 2 10 2 2 2" xfId="54006" xr:uid="{00000000-0005-0000-0000-0000E7630000}"/>
    <cellStyle name="Separador de milhares 3 2 5 2 10 2 3" xfId="21911" xr:uid="{00000000-0005-0000-0000-0000E8630000}"/>
    <cellStyle name="Separador de milhares 3 2 5 2 10 2 3 2" xfId="48098" xr:uid="{00000000-0005-0000-0000-0000E9630000}"/>
    <cellStyle name="Separador de milhares 3 2 5 2 10 2 4" xfId="15997" xr:uid="{00000000-0005-0000-0000-0000EA630000}"/>
    <cellStyle name="Separador de milhares 3 2 5 2 10 2 4 2" xfId="42190" xr:uid="{00000000-0005-0000-0000-0000EB630000}"/>
    <cellStyle name="Separador de milhares 3 2 5 2 10 2 5" xfId="35804" xr:uid="{00000000-0005-0000-0000-0000EC630000}"/>
    <cellStyle name="Separador de milhares 3 2 5 2 10 3" xfId="24868" xr:uid="{00000000-0005-0000-0000-0000ED630000}"/>
    <cellStyle name="Separador de milhares 3 2 5 2 10 3 2" xfId="51052" xr:uid="{00000000-0005-0000-0000-0000EE630000}"/>
    <cellStyle name="Separador de milhares 3 2 5 2 10 4" xfId="18954" xr:uid="{00000000-0005-0000-0000-0000EF630000}"/>
    <cellStyle name="Separador de milhares 3 2 5 2 10 4 2" xfId="45144" xr:uid="{00000000-0005-0000-0000-0000F0630000}"/>
    <cellStyle name="Separador de milhares 3 2 5 2 10 5" xfId="12846" xr:uid="{00000000-0005-0000-0000-0000F1630000}"/>
    <cellStyle name="Separador de milhares 3 2 5 2 10 5 2" xfId="39039" xr:uid="{00000000-0005-0000-0000-0000F2630000}"/>
    <cellStyle name="Separador de milhares 3 2 5 2 10 6" xfId="32653" xr:uid="{00000000-0005-0000-0000-0000F3630000}"/>
    <cellStyle name="Separador de milhares 3 2 5 2 11" xfId="8140" xr:uid="{00000000-0005-0000-0000-0000F4630000}"/>
    <cellStyle name="Separador de milhares 3 2 5 2 11 2" xfId="26354" xr:uid="{00000000-0005-0000-0000-0000F5630000}"/>
    <cellStyle name="Separador de milhares 3 2 5 2 11 2 2" xfId="52538" xr:uid="{00000000-0005-0000-0000-0000F6630000}"/>
    <cellStyle name="Separador de milhares 3 2 5 2 11 3" xfId="20440" xr:uid="{00000000-0005-0000-0000-0000F7630000}"/>
    <cellStyle name="Separador de milhares 3 2 5 2 11 3 2" xfId="46630" xr:uid="{00000000-0005-0000-0000-0000F8630000}"/>
    <cellStyle name="Separador de milhares 3 2 5 2 11 4" xfId="14529" xr:uid="{00000000-0005-0000-0000-0000F9630000}"/>
    <cellStyle name="Separador de milhares 3 2 5 2 11 4 2" xfId="40722" xr:uid="{00000000-0005-0000-0000-0000FA630000}"/>
    <cellStyle name="Separador de milhares 3 2 5 2 11 5" xfId="34336" xr:uid="{00000000-0005-0000-0000-0000FB630000}"/>
    <cellStyle name="Separador de milhares 3 2 5 2 12" xfId="4756" xr:uid="{00000000-0005-0000-0000-0000FC630000}"/>
    <cellStyle name="Separador de milhares 3 2 5 2 12 2" xfId="23397" xr:uid="{00000000-0005-0000-0000-0000FD630000}"/>
    <cellStyle name="Separador de milhares 3 2 5 2 12 2 2" xfId="49584" xr:uid="{00000000-0005-0000-0000-0000FE630000}"/>
    <cellStyle name="Separador de milhares 3 2 5 2 12 3" xfId="30954" xr:uid="{00000000-0005-0000-0000-0000FF630000}"/>
    <cellStyle name="Separador de milhares 3 2 5 2 13" xfId="17483" xr:uid="{00000000-0005-0000-0000-000000640000}"/>
    <cellStyle name="Separador de milhares 3 2 5 2 13 2" xfId="43676" xr:uid="{00000000-0005-0000-0000-000001640000}"/>
    <cellStyle name="Separador de milhares 3 2 5 2 14" xfId="11145" xr:uid="{00000000-0005-0000-0000-000002640000}"/>
    <cellStyle name="Separador de milhares 3 2 5 2 14 2" xfId="37338" xr:uid="{00000000-0005-0000-0000-000003640000}"/>
    <cellStyle name="Separador de milhares 3 2 5 2 15" xfId="29257" xr:uid="{00000000-0005-0000-0000-000004640000}"/>
    <cellStyle name="Separador de milhares 3 2 5 2 2" xfId="458" xr:uid="{00000000-0005-0000-0000-000005640000}"/>
    <cellStyle name="Separador de milhares 3 2 5 2 2 10" xfId="17557" xr:uid="{00000000-0005-0000-0000-000006640000}"/>
    <cellStyle name="Separador de milhares 3 2 5 2 2 10 2" xfId="43750" xr:uid="{00000000-0005-0000-0000-000007640000}"/>
    <cellStyle name="Separador de milhares 3 2 5 2 2 11" xfId="11226" xr:uid="{00000000-0005-0000-0000-000008640000}"/>
    <cellStyle name="Separador de milhares 3 2 5 2 2 11 2" xfId="37419" xr:uid="{00000000-0005-0000-0000-000009640000}"/>
    <cellStyle name="Separador de milhares 3 2 5 2 2 12" xfId="29337" xr:uid="{00000000-0005-0000-0000-00000A640000}"/>
    <cellStyle name="Separador de milhares 3 2 5 2 2 2" xfId="1977" xr:uid="{00000000-0005-0000-0000-00000B640000}"/>
    <cellStyle name="Separador de milhares 3 2 5 2 2 2 2" xfId="6976" xr:uid="{00000000-0005-0000-0000-00000C640000}"/>
    <cellStyle name="Separador de milhares 3 2 5 2 2 2 2 2" xfId="10123" xr:uid="{00000000-0005-0000-0000-00000D640000}"/>
    <cellStyle name="Separador de milhares 3 2 5 2 2 2 2 2 2" xfId="28337" xr:uid="{00000000-0005-0000-0000-00000E640000}"/>
    <cellStyle name="Separador de milhares 3 2 5 2 2 2 2 2 2 2" xfId="54518" xr:uid="{00000000-0005-0000-0000-00000F640000}"/>
    <cellStyle name="Separador de milhares 3 2 5 2 2 2 2 2 3" xfId="22423" xr:uid="{00000000-0005-0000-0000-000010640000}"/>
    <cellStyle name="Separador de milhares 3 2 5 2 2 2 2 2 3 2" xfId="48610" xr:uid="{00000000-0005-0000-0000-000011640000}"/>
    <cellStyle name="Separador de milhares 3 2 5 2 2 2 2 2 4" xfId="16509" xr:uid="{00000000-0005-0000-0000-000012640000}"/>
    <cellStyle name="Separador de milhares 3 2 5 2 2 2 2 2 4 2" xfId="42702" xr:uid="{00000000-0005-0000-0000-000013640000}"/>
    <cellStyle name="Separador de milhares 3 2 5 2 2 2 2 2 5" xfId="36316" xr:uid="{00000000-0005-0000-0000-000014640000}"/>
    <cellStyle name="Separador de milhares 3 2 5 2 2 2 2 3" xfId="25380" xr:uid="{00000000-0005-0000-0000-000015640000}"/>
    <cellStyle name="Separador de milhares 3 2 5 2 2 2 2 3 2" xfId="51564" xr:uid="{00000000-0005-0000-0000-000016640000}"/>
    <cellStyle name="Separador de milhares 3 2 5 2 2 2 2 4" xfId="19466" xr:uid="{00000000-0005-0000-0000-000017640000}"/>
    <cellStyle name="Separador de milhares 3 2 5 2 2 2 2 4 2" xfId="45656" xr:uid="{00000000-0005-0000-0000-000018640000}"/>
    <cellStyle name="Separador de milhares 3 2 5 2 2 2 2 5" xfId="13365" xr:uid="{00000000-0005-0000-0000-000019640000}"/>
    <cellStyle name="Separador de milhares 3 2 5 2 2 2 2 5 2" xfId="39558" xr:uid="{00000000-0005-0000-0000-00001A640000}"/>
    <cellStyle name="Separador de milhares 3 2 5 2 2 2 2 6" xfId="33172" xr:uid="{00000000-0005-0000-0000-00001B640000}"/>
    <cellStyle name="Separador de milhares 3 2 5 2 2 2 3" xfId="8655" xr:uid="{00000000-0005-0000-0000-00001C640000}"/>
    <cellStyle name="Separador de milhares 3 2 5 2 2 2 3 2" xfId="26869" xr:uid="{00000000-0005-0000-0000-00001D640000}"/>
    <cellStyle name="Separador de milhares 3 2 5 2 2 2 3 2 2" xfId="53050" xr:uid="{00000000-0005-0000-0000-00001E640000}"/>
    <cellStyle name="Separador de milhares 3 2 5 2 2 2 3 3" xfId="20955" xr:uid="{00000000-0005-0000-0000-00001F640000}"/>
    <cellStyle name="Separador de milhares 3 2 5 2 2 2 3 3 2" xfId="47142" xr:uid="{00000000-0005-0000-0000-000020640000}"/>
    <cellStyle name="Separador de milhares 3 2 5 2 2 2 3 4" xfId="15041" xr:uid="{00000000-0005-0000-0000-000021640000}"/>
    <cellStyle name="Separador de milhares 3 2 5 2 2 2 3 4 2" xfId="41234" xr:uid="{00000000-0005-0000-0000-000022640000}"/>
    <cellStyle name="Separador de milhares 3 2 5 2 2 2 3 5" xfId="34848" xr:uid="{00000000-0005-0000-0000-000023640000}"/>
    <cellStyle name="Separador de milhares 3 2 5 2 2 2 4" xfId="5277" xr:uid="{00000000-0005-0000-0000-000024640000}"/>
    <cellStyle name="Separador de milhares 3 2 5 2 2 2 4 2" xfId="23912" xr:uid="{00000000-0005-0000-0000-000025640000}"/>
    <cellStyle name="Separador de milhares 3 2 5 2 2 2 4 2 2" xfId="50096" xr:uid="{00000000-0005-0000-0000-000026640000}"/>
    <cellStyle name="Separador de milhares 3 2 5 2 2 2 4 3" xfId="31473" xr:uid="{00000000-0005-0000-0000-000027640000}"/>
    <cellStyle name="Separador de milhares 3 2 5 2 2 2 5" xfId="17998" xr:uid="{00000000-0005-0000-0000-000028640000}"/>
    <cellStyle name="Separador de milhares 3 2 5 2 2 2 5 2" xfId="44188" xr:uid="{00000000-0005-0000-0000-000029640000}"/>
    <cellStyle name="Separador de milhares 3 2 5 2 2 2 6" xfId="11664" xr:uid="{00000000-0005-0000-0000-00002A640000}"/>
    <cellStyle name="Separador de milhares 3 2 5 2 2 2 6 2" xfId="37857" xr:uid="{00000000-0005-0000-0000-00002B640000}"/>
    <cellStyle name="Separador de milhares 3 2 5 2 2 2 7" xfId="29775" xr:uid="{00000000-0005-0000-0000-00002C640000}"/>
    <cellStyle name="Separador de milhares 3 2 5 2 2 3" xfId="2507" xr:uid="{00000000-0005-0000-0000-00002D640000}"/>
    <cellStyle name="Separador de milhares 3 2 5 2 2 3 2" xfId="7126" xr:uid="{00000000-0005-0000-0000-00002E640000}"/>
    <cellStyle name="Separador de milhares 3 2 5 2 2 3 2 2" xfId="10270" xr:uid="{00000000-0005-0000-0000-00002F640000}"/>
    <cellStyle name="Separador de milhares 3 2 5 2 2 3 2 2 2" xfId="28484" xr:uid="{00000000-0005-0000-0000-000030640000}"/>
    <cellStyle name="Separador de milhares 3 2 5 2 2 3 2 2 2 2" xfId="54665" xr:uid="{00000000-0005-0000-0000-000031640000}"/>
    <cellStyle name="Separador de milhares 3 2 5 2 2 3 2 2 3" xfId="22570" xr:uid="{00000000-0005-0000-0000-000032640000}"/>
    <cellStyle name="Separador de milhares 3 2 5 2 2 3 2 2 3 2" xfId="48757" xr:uid="{00000000-0005-0000-0000-000033640000}"/>
    <cellStyle name="Separador de milhares 3 2 5 2 2 3 2 2 4" xfId="16656" xr:uid="{00000000-0005-0000-0000-000034640000}"/>
    <cellStyle name="Separador de milhares 3 2 5 2 2 3 2 2 4 2" xfId="42849" xr:uid="{00000000-0005-0000-0000-000035640000}"/>
    <cellStyle name="Separador de milhares 3 2 5 2 2 3 2 2 5" xfId="36463" xr:uid="{00000000-0005-0000-0000-000036640000}"/>
    <cellStyle name="Separador de milhares 3 2 5 2 2 3 2 3" xfId="25527" xr:uid="{00000000-0005-0000-0000-000037640000}"/>
    <cellStyle name="Separador de milhares 3 2 5 2 2 3 2 3 2" xfId="51711" xr:uid="{00000000-0005-0000-0000-000038640000}"/>
    <cellStyle name="Separador de milhares 3 2 5 2 2 3 2 4" xfId="19613" xr:uid="{00000000-0005-0000-0000-000039640000}"/>
    <cellStyle name="Separador de milhares 3 2 5 2 2 3 2 4 2" xfId="45803" xr:uid="{00000000-0005-0000-0000-00003A640000}"/>
    <cellStyle name="Separador de milhares 3 2 5 2 2 3 2 5" xfId="13515" xr:uid="{00000000-0005-0000-0000-00003B640000}"/>
    <cellStyle name="Separador de milhares 3 2 5 2 2 3 2 5 2" xfId="39708" xr:uid="{00000000-0005-0000-0000-00003C640000}"/>
    <cellStyle name="Separador de milhares 3 2 5 2 2 3 2 6" xfId="33322" xr:uid="{00000000-0005-0000-0000-00003D640000}"/>
    <cellStyle name="Separador de milhares 3 2 5 2 2 3 3" xfId="8802" xr:uid="{00000000-0005-0000-0000-00003E640000}"/>
    <cellStyle name="Separador de milhares 3 2 5 2 2 3 3 2" xfId="27016" xr:uid="{00000000-0005-0000-0000-00003F640000}"/>
    <cellStyle name="Separador de milhares 3 2 5 2 2 3 3 2 2" xfId="53197" xr:uid="{00000000-0005-0000-0000-000040640000}"/>
    <cellStyle name="Separador de milhares 3 2 5 2 2 3 3 3" xfId="21102" xr:uid="{00000000-0005-0000-0000-000041640000}"/>
    <cellStyle name="Separador de milhares 3 2 5 2 2 3 3 3 2" xfId="47289" xr:uid="{00000000-0005-0000-0000-000042640000}"/>
    <cellStyle name="Separador de milhares 3 2 5 2 2 3 3 4" xfId="15188" xr:uid="{00000000-0005-0000-0000-000043640000}"/>
    <cellStyle name="Separador de milhares 3 2 5 2 2 3 3 4 2" xfId="41381" xr:uid="{00000000-0005-0000-0000-000044640000}"/>
    <cellStyle name="Separador de milhares 3 2 5 2 2 3 3 5" xfId="34995" xr:uid="{00000000-0005-0000-0000-000045640000}"/>
    <cellStyle name="Separador de milhares 3 2 5 2 2 3 4" xfId="5427" xr:uid="{00000000-0005-0000-0000-000046640000}"/>
    <cellStyle name="Separador de milhares 3 2 5 2 2 3 4 2" xfId="24059" xr:uid="{00000000-0005-0000-0000-000047640000}"/>
    <cellStyle name="Separador de milhares 3 2 5 2 2 3 4 2 2" xfId="50243" xr:uid="{00000000-0005-0000-0000-000048640000}"/>
    <cellStyle name="Separador de milhares 3 2 5 2 2 3 4 3" xfId="31623" xr:uid="{00000000-0005-0000-0000-000049640000}"/>
    <cellStyle name="Separador de milhares 3 2 5 2 2 3 5" xfId="18145" xr:uid="{00000000-0005-0000-0000-00004A640000}"/>
    <cellStyle name="Separador de milhares 3 2 5 2 2 3 5 2" xfId="44335" xr:uid="{00000000-0005-0000-0000-00004B640000}"/>
    <cellStyle name="Separador de milhares 3 2 5 2 2 3 6" xfId="11814" xr:uid="{00000000-0005-0000-0000-00004C640000}"/>
    <cellStyle name="Separador de milhares 3 2 5 2 2 3 6 2" xfId="38007" xr:uid="{00000000-0005-0000-0000-00004D640000}"/>
    <cellStyle name="Separador de milhares 3 2 5 2 2 3 7" xfId="29925" xr:uid="{00000000-0005-0000-0000-00004E640000}"/>
    <cellStyle name="Separador de milhares 3 2 5 2 2 4" xfId="3034" xr:uid="{00000000-0005-0000-0000-00004F640000}"/>
    <cellStyle name="Separador de milhares 3 2 5 2 2 4 2" xfId="7273" xr:uid="{00000000-0005-0000-0000-000050640000}"/>
    <cellStyle name="Separador de milhares 3 2 5 2 2 4 2 2" xfId="10417" xr:uid="{00000000-0005-0000-0000-000051640000}"/>
    <cellStyle name="Separador de milhares 3 2 5 2 2 4 2 2 2" xfId="28631" xr:uid="{00000000-0005-0000-0000-000052640000}"/>
    <cellStyle name="Separador de milhares 3 2 5 2 2 4 2 2 2 2" xfId="54812" xr:uid="{00000000-0005-0000-0000-000053640000}"/>
    <cellStyle name="Separador de milhares 3 2 5 2 2 4 2 2 3" xfId="22717" xr:uid="{00000000-0005-0000-0000-000054640000}"/>
    <cellStyle name="Separador de milhares 3 2 5 2 2 4 2 2 3 2" xfId="48904" xr:uid="{00000000-0005-0000-0000-000055640000}"/>
    <cellStyle name="Separador de milhares 3 2 5 2 2 4 2 2 4" xfId="16803" xr:uid="{00000000-0005-0000-0000-000056640000}"/>
    <cellStyle name="Separador de milhares 3 2 5 2 2 4 2 2 4 2" xfId="42996" xr:uid="{00000000-0005-0000-0000-000057640000}"/>
    <cellStyle name="Separador de milhares 3 2 5 2 2 4 2 2 5" xfId="36610" xr:uid="{00000000-0005-0000-0000-000058640000}"/>
    <cellStyle name="Separador de milhares 3 2 5 2 2 4 2 3" xfId="25674" xr:uid="{00000000-0005-0000-0000-000059640000}"/>
    <cellStyle name="Separador de milhares 3 2 5 2 2 4 2 3 2" xfId="51858" xr:uid="{00000000-0005-0000-0000-00005A640000}"/>
    <cellStyle name="Separador de milhares 3 2 5 2 2 4 2 4" xfId="19760" xr:uid="{00000000-0005-0000-0000-00005B640000}"/>
    <cellStyle name="Separador de milhares 3 2 5 2 2 4 2 4 2" xfId="45950" xr:uid="{00000000-0005-0000-0000-00005C640000}"/>
    <cellStyle name="Separador de milhares 3 2 5 2 2 4 2 5" xfId="13662" xr:uid="{00000000-0005-0000-0000-00005D640000}"/>
    <cellStyle name="Separador de milhares 3 2 5 2 2 4 2 5 2" xfId="39855" xr:uid="{00000000-0005-0000-0000-00005E640000}"/>
    <cellStyle name="Separador de milhares 3 2 5 2 2 4 2 6" xfId="33469" xr:uid="{00000000-0005-0000-0000-00005F640000}"/>
    <cellStyle name="Separador de milhares 3 2 5 2 2 4 3" xfId="8949" xr:uid="{00000000-0005-0000-0000-000060640000}"/>
    <cellStyle name="Separador de milhares 3 2 5 2 2 4 3 2" xfId="27163" xr:uid="{00000000-0005-0000-0000-000061640000}"/>
    <cellStyle name="Separador de milhares 3 2 5 2 2 4 3 2 2" xfId="53344" xr:uid="{00000000-0005-0000-0000-000062640000}"/>
    <cellStyle name="Separador de milhares 3 2 5 2 2 4 3 3" xfId="21249" xr:uid="{00000000-0005-0000-0000-000063640000}"/>
    <cellStyle name="Separador de milhares 3 2 5 2 2 4 3 3 2" xfId="47436" xr:uid="{00000000-0005-0000-0000-000064640000}"/>
    <cellStyle name="Separador de milhares 3 2 5 2 2 4 3 4" xfId="15335" xr:uid="{00000000-0005-0000-0000-000065640000}"/>
    <cellStyle name="Separador de milhares 3 2 5 2 2 4 3 4 2" xfId="41528" xr:uid="{00000000-0005-0000-0000-000066640000}"/>
    <cellStyle name="Separador de milhares 3 2 5 2 2 4 3 5" xfId="35142" xr:uid="{00000000-0005-0000-0000-000067640000}"/>
    <cellStyle name="Separador de milhares 3 2 5 2 2 4 4" xfId="5574" xr:uid="{00000000-0005-0000-0000-000068640000}"/>
    <cellStyle name="Separador de milhares 3 2 5 2 2 4 4 2" xfId="24206" xr:uid="{00000000-0005-0000-0000-000069640000}"/>
    <cellStyle name="Separador de milhares 3 2 5 2 2 4 4 2 2" xfId="50390" xr:uid="{00000000-0005-0000-0000-00006A640000}"/>
    <cellStyle name="Separador de milhares 3 2 5 2 2 4 4 3" xfId="31770" xr:uid="{00000000-0005-0000-0000-00006B640000}"/>
    <cellStyle name="Separador de milhares 3 2 5 2 2 4 5" xfId="18292" xr:uid="{00000000-0005-0000-0000-00006C640000}"/>
    <cellStyle name="Separador de milhares 3 2 5 2 2 4 5 2" xfId="44482" xr:uid="{00000000-0005-0000-0000-00006D640000}"/>
    <cellStyle name="Separador de milhares 3 2 5 2 2 4 6" xfId="11961" xr:uid="{00000000-0005-0000-0000-00006E640000}"/>
    <cellStyle name="Separador de milhares 3 2 5 2 2 4 6 2" xfId="38154" xr:uid="{00000000-0005-0000-0000-00006F640000}"/>
    <cellStyle name="Separador de milhares 3 2 5 2 2 4 7" xfId="30072" xr:uid="{00000000-0005-0000-0000-000070640000}"/>
    <cellStyle name="Separador de milhares 3 2 5 2 2 5" xfId="3561" xr:uid="{00000000-0005-0000-0000-000071640000}"/>
    <cellStyle name="Separador de milhares 3 2 5 2 2 5 2" xfId="7420" xr:uid="{00000000-0005-0000-0000-000072640000}"/>
    <cellStyle name="Separador de milhares 3 2 5 2 2 5 2 2" xfId="10564" xr:uid="{00000000-0005-0000-0000-000073640000}"/>
    <cellStyle name="Separador de milhares 3 2 5 2 2 5 2 2 2" xfId="28778" xr:uid="{00000000-0005-0000-0000-000074640000}"/>
    <cellStyle name="Separador de milhares 3 2 5 2 2 5 2 2 2 2" xfId="54959" xr:uid="{00000000-0005-0000-0000-000075640000}"/>
    <cellStyle name="Separador de milhares 3 2 5 2 2 5 2 2 3" xfId="22864" xr:uid="{00000000-0005-0000-0000-000076640000}"/>
    <cellStyle name="Separador de milhares 3 2 5 2 2 5 2 2 3 2" xfId="49051" xr:uid="{00000000-0005-0000-0000-000077640000}"/>
    <cellStyle name="Separador de milhares 3 2 5 2 2 5 2 2 4" xfId="16950" xr:uid="{00000000-0005-0000-0000-000078640000}"/>
    <cellStyle name="Separador de milhares 3 2 5 2 2 5 2 2 4 2" xfId="43143" xr:uid="{00000000-0005-0000-0000-000079640000}"/>
    <cellStyle name="Separador de milhares 3 2 5 2 2 5 2 2 5" xfId="36757" xr:uid="{00000000-0005-0000-0000-00007A640000}"/>
    <cellStyle name="Separador de milhares 3 2 5 2 2 5 2 3" xfId="25821" xr:uid="{00000000-0005-0000-0000-00007B640000}"/>
    <cellStyle name="Separador de milhares 3 2 5 2 2 5 2 3 2" xfId="52005" xr:uid="{00000000-0005-0000-0000-00007C640000}"/>
    <cellStyle name="Separador de milhares 3 2 5 2 2 5 2 4" xfId="19907" xr:uid="{00000000-0005-0000-0000-00007D640000}"/>
    <cellStyle name="Separador de milhares 3 2 5 2 2 5 2 4 2" xfId="46097" xr:uid="{00000000-0005-0000-0000-00007E640000}"/>
    <cellStyle name="Separador de milhares 3 2 5 2 2 5 2 5" xfId="13809" xr:uid="{00000000-0005-0000-0000-00007F640000}"/>
    <cellStyle name="Separador de milhares 3 2 5 2 2 5 2 5 2" xfId="40002" xr:uid="{00000000-0005-0000-0000-000080640000}"/>
    <cellStyle name="Separador de milhares 3 2 5 2 2 5 2 6" xfId="33616" xr:uid="{00000000-0005-0000-0000-000081640000}"/>
    <cellStyle name="Separador de milhares 3 2 5 2 2 5 3" xfId="9096" xr:uid="{00000000-0005-0000-0000-000082640000}"/>
    <cellStyle name="Separador de milhares 3 2 5 2 2 5 3 2" xfId="27310" xr:uid="{00000000-0005-0000-0000-000083640000}"/>
    <cellStyle name="Separador de milhares 3 2 5 2 2 5 3 2 2" xfId="53491" xr:uid="{00000000-0005-0000-0000-000084640000}"/>
    <cellStyle name="Separador de milhares 3 2 5 2 2 5 3 3" xfId="21396" xr:uid="{00000000-0005-0000-0000-000085640000}"/>
    <cellStyle name="Separador de milhares 3 2 5 2 2 5 3 3 2" xfId="47583" xr:uid="{00000000-0005-0000-0000-000086640000}"/>
    <cellStyle name="Separador de milhares 3 2 5 2 2 5 3 4" xfId="15482" xr:uid="{00000000-0005-0000-0000-000087640000}"/>
    <cellStyle name="Separador de milhares 3 2 5 2 2 5 3 4 2" xfId="41675" xr:uid="{00000000-0005-0000-0000-000088640000}"/>
    <cellStyle name="Separador de milhares 3 2 5 2 2 5 3 5" xfId="35289" xr:uid="{00000000-0005-0000-0000-000089640000}"/>
    <cellStyle name="Separador de milhares 3 2 5 2 2 5 4" xfId="5721" xr:uid="{00000000-0005-0000-0000-00008A640000}"/>
    <cellStyle name="Separador de milhares 3 2 5 2 2 5 4 2" xfId="24353" xr:uid="{00000000-0005-0000-0000-00008B640000}"/>
    <cellStyle name="Separador de milhares 3 2 5 2 2 5 4 2 2" xfId="50537" xr:uid="{00000000-0005-0000-0000-00008C640000}"/>
    <cellStyle name="Separador de milhares 3 2 5 2 2 5 4 3" xfId="31917" xr:uid="{00000000-0005-0000-0000-00008D640000}"/>
    <cellStyle name="Separador de milhares 3 2 5 2 2 5 5" xfId="18439" xr:uid="{00000000-0005-0000-0000-00008E640000}"/>
    <cellStyle name="Separador de milhares 3 2 5 2 2 5 5 2" xfId="44629" xr:uid="{00000000-0005-0000-0000-00008F640000}"/>
    <cellStyle name="Separador de milhares 3 2 5 2 2 5 6" xfId="12108" xr:uid="{00000000-0005-0000-0000-000090640000}"/>
    <cellStyle name="Separador de milhares 3 2 5 2 2 5 6 2" xfId="38301" xr:uid="{00000000-0005-0000-0000-000091640000}"/>
    <cellStyle name="Separador de milhares 3 2 5 2 2 5 7" xfId="30219" xr:uid="{00000000-0005-0000-0000-000092640000}"/>
    <cellStyle name="Separador de milhares 3 2 5 2 2 6" xfId="4088" xr:uid="{00000000-0005-0000-0000-000093640000}"/>
    <cellStyle name="Separador de milhares 3 2 5 2 2 6 2" xfId="7567" xr:uid="{00000000-0005-0000-0000-000094640000}"/>
    <cellStyle name="Separador de milhares 3 2 5 2 2 6 2 2" xfId="10711" xr:uid="{00000000-0005-0000-0000-000095640000}"/>
    <cellStyle name="Separador de milhares 3 2 5 2 2 6 2 2 2" xfId="28925" xr:uid="{00000000-0005-0000-0000-000096640000}"/>
    <cellStyle name="Separador de milhares 3 2 5 2 2 6 2 2 2 2" xfId="55106" xr:uid="{00000000-0005-0000-0000-000097640000}"/>
    <cellStyle name="Separador de milhares 3 2 5 2 2 6 2 2 3" xfId="23011" xr:uid="{00000000-0005-0000-0000-000098640000}"/>
    <cellStyle name="Separador de milhares 3 2 5 2 2 6 2 2 3 2" xfId="49198" xr:uid="{00000000-0005-0000-0000-000099640000}"/>
    <cellStyle name="Separador de milhares 3 2 5 2 2 6 2 2 4" xfId="17097" xr:uid="{00000000-0005-0000-0000-00009A640000}"/>
    <cellStyle name="Separador de milhares 3 2 5 2 2 6 2 2 4 2" xfId="43290" xr:uid="{00000000-0005-0000-0000-00009B640000}"/>
    <cellStyle name="Separador de milhares 3 2 5 2 2 6 2 2 5" xfId="36904" xr:uid="{00000000-0005-0000-0000-00009C640000}"/>
    <cellStyle name="Separador de milhares 3 2 5 2 2 6 2 3" xfId="25968" xr:uid="{00000000-0005-0000-0000-00009D640000}"/>
    <cellStyle name="Separador de milhares 3 2 5 2 2 6 2 3 2" xfId="52152" xr:uid="{00000000-0005-0000-0000-00009E640000}"/>
    <cellStyle name="Separador de milhares 3 2 5 2 2 6 2 4" xfId="20054" xr:uid="{00000000-0005-0000-0000-00009F640000}"/>
    <cellStyle name="Separador de milhares 3 2 5 2 2 6 2 4 2" xfId="46244" xr:uid="{00000000-0005-0000-0000-0000A0640000}"/>
    <cellStyle name="Separador de milhares 3 2 5 2 2 6 2 5" xfId="13956" xr:uid="{00000000-0005-0000-0000-0000A1640000}"/>
    <cellStyle name="Separador de milhares 3 2 5 2 2 6 2 5 2" xfId="40149" xr:uid="{00000000-0005-0000-0000-0000A2640000}"/>
    <cellStyle name="Separador de milhares 3 2 5 2 2 6 2 6" xfId="33763" xr:uid="{00000000-0005-0000-0000-0000A3640000}"/>
    <cellStyle name="Separador de milhares 3 2 5 2 2 6 3" xfId="9243" xr:uid="{00000000-0005-0000-0000-0000A4640000}"/>
    <cellStyle name="Separador de milhares 3 2 5 2 2 6 3 2" xfId="27457" xr:uid="{00000000-0005-0000-0000-0000A5640000}"/>
    <cellStyle name="Separador de milhares 3 2 5 2 2 6 3 2 2" xfId="53638" xr:uid="{00000000-0005-0000-0000-0000A6640000}"/>
    <cellStyle name="Separador de milhares 3 2 5 2 2 6 3 3" xfId="21543" xr:uid="{00000000-0005-0000-0000-0000A7640000}"/>
    <cellStyle name="Separador de milhares 3 2 5 2 2 6 3 3 2" xfId="47730" xr:uid="{00000000-0005-0000-0000-0000A8640000}"/>
    <cellStyle name="Separador de milhares 3 2 5 2 2 6 3 4" xfId="15629" xr:uid="{00000000-0005-0000-0000-0000A9640000}"/>
    <cellStyle name="Separador de milhares 3 2 5 2 2 6 3 4 2" xfId="41822" xr:uid="{00000000-0005-0000-0000-0000AA640000}"/>
    <cellStyle name="Separador de milhares 3 2 5 2 2 6 3 5" xfId="35436" xr:uid="{00000000-0005-0000-0000-0000AB640000}"/>
    <cellStyle name="Separador de milhares 3 2 5 2 2 6 4" xfId="5868" xr:uid="{00000000-0005-0000-0000-0000AC640000}"/>
    <cellStyle name="Separador de milhares 3 2 5 2 2 6 4 2" xfId="24500" xr:uid="{00000000-0005-0000-0000-0000AD640000}"/>
    <cellStyle name="Separador de milhares 3 2 5 2 2 6 4 2 2" xfId="50684" xr:uid="{00000000-0005-0000-0000-0000AE640000}"/>
    <cellStyle name="Separador de milhares 3 2 5 2 2 6 4 3" xfId="32064" xr:uid="{00000000-0005-0000-0000-0000AF640000}"/>
    <cellStyle name="Separador de milhares 3 2 5 2 2 6 5" xfId="18586" xr:uid="{00000000-0005-0000-0000-0000B0640000}"/>
    <cellStyle name="Separador de milhares 3 2 5 2 2 6 5 2" xfId="44776" xr:uid="{00000000-0005-0000-0000-0000B1640000}"/>
    <cellStyle name="Separador de milhares 3 2 5 2 2 6 6" xfId="12255" xr:uid="{00000000-0005-0000-0000-0000B2640000}"/>
    <cellStyle name="Separador de milhares 3 2 5 2 2 6 6 2" xfId="38448" xr:uid="{00000000-0005-0000-0000-0000B3640000}"/>
    <cellStyle name="Separador de milhares 3 2 5 2 2 6 7" xfId="30366" xr:uid="{00000000-0005-0000-0000-0000B4640000}"/>
    <cellStyle name="Separador de milhares 3 2 5 2 2 7" xfId="6538" xr:uid="{00000000-0005-0000-0000-0000B5640000}"/>
    <cellStyle name="Separador de milhares 3 2 5 2 2 7 2" xfId="9685" xr:uid="{00000000-0005-0000-0000-0000B6640000}"/>
    <cellStyle name="Separador de milhares 3 2 5 2 2 7 2 2" xfId="27899" xr:uid="{00000000-0005-0000-0000-0000B7640000}"/>
    <cellStyle name="Separador de milhares 3 2 5 2 2 7 2 2 2" xfId="54080" xr:uid="{00000000-0005-0000-0000-0000B8640000}"/>
    <cellStyle name="Separador de milhares 3 2 5 2 2 7 2 3" xfId="21985" xr:uid="{00000000-0005-0000-0000-0000B9640000}"/>
    <cellStyle name="Separador de milhares 3 2 5 2 2 7 2 3 2" xfId="48172" xr:uid="{00000000-0005-0000-0000-0000BA640000}"/>
    <cellStyle name="Separador de milhares 3 2 5 2 2 7 2 4" xfId="16071" xr:uid="{00000000-0005-0000-0000-0000BB640000}"/>
    <cellStyle name="Separador de milhares 3 2 5 2 2 7 2 4 2" xfId="42264" xr:uid="{00000000-0005-0000-0000-0000BC640000}"/>
    <cellStyle name="Separador de milhares 3 2 5 2 2 7 2 5" xfId="35878" xr:uid="{00000000-0005-0000-0000-0000BD640000}"/>
    <cellStyle name="Separador de milhares 3 2 5 2 2 7 3" xfId="24942" xr:uid="{00000000-0005-0000-0000-0000BE640000}"/>
    <cellStyle name="Separador de milhares 3 2 5 2 2 7 3 2" xfId="51126" xr:uid="{00000000-0005-0000-0000-0000BF640000}"/>
    <cellStyle name="Separador de milhares 3 2 5 2 2 7 4" xfId="19028" xr:uid="{00000000-0005-0000-0000-0000C0640000}"/>
    <cellStyle name="Separador de milhares 3 2 5 2 2 7 4 2" xfId="45218" xr:uid="{00000000-0005-0000-0000-0000C1640000}"/>
    <cellStyle name="Separador de milhares 3 2 5 2 2 7 5" xfId="12927" xr:uid="{00000000-0005-0000-0000-0000C2640000}"/>
    <cellStyle name="Separador de milhares 3 2 5 2 2 7 5 2" xfId="39120" xr:uid="{00000000-0005-0000-0000-0000C3640000}"/>
    <cellStyle name="Separador de milhares 3 2 5 2 2 7 6" xfId="32734" xr:uid="{00000000-0005-0000-0000-0000C4640000}"/>
    <cellStyle name="Separador de milhares 3 2 5 2 2 8" xfId="8214" xr:uid="{00000000-0005-0000-0000-0000C5640000}"/>
    <cellStyle name="Separador de milhares 3 2 5 2 2 8 2" xfId="26428" xr:uid="{00000000-0005-0000-0000-0000C6640000}"/>
    <cellStyle name="Separador de milhares 3 2 5 2 2 8 2 2" xfId="52612" xr:uid="{00000000-0005-0000-0000-0000C7640000}"/>
    <cellStyle name="Separador de milhares 3 2 5 2 2 8 3" xfId="20514" xr:uid="{00000000-0005-0000-0000-0000C8640000}"/>
    <cellStyle name="Separador de milhares 3 2 5 2 2 8 3 2" xfId="46704" xr:uid="{00000000-0005-0000-0000-0000C9640000}"/>
    <cellStyle name="Separador de milhares 3 2 5 2 2 8 4" xfId="14603" xr:uid="{00000000-0005-0000-0000-0000CA640000}"/>
    <cellStyle name="Separador de milhares 3 2 5 2 2 8 4 2" xfId="40796" xr:uid="{00000000-0005-0000-0000-0000CB640000}"/>
    <cellStyle name="Separador de milhares 3 2 5 2 2 8 5" xfId="34410" xr:uid="{00000000-0005-0000-0000-0000CC640000}"/>
    <cellStyle name="Separador de milhares 3 2 5 2 2 9" xfId="4837" xr:uid="{00000000-0005-0000-0000-0000CD640000}"/>
    <cellStyle name="Separador de milhares 3 2 5 2 2 9 2" xfId="23471" xr:uid="{00000000-0005-0000-0000-0000CE640000}"/>
    <cellStyle name="Separador de milhares 3 2 5 2 2 9 2 2" xfId="49658" xr:uid="{00000000-0005-0000-0000-0000CF640000}"/>
    <cellStyle name="Separador de milhares 3 2 5 2 2 9 3" xfId="31035" xr:uid="{00000000-0005-0000-0000-0000D0640000}"/>
    <cellStyle name="Separador de milhares 3 2 5 2 3" xfId="931" xr:uid="{00000000-0005-0000-0000-0000D1640000}"/>
    <cellStyle name="Separador de milhares 3 2 5 2 3 2" xfId="6689" xr:uid="{00000000-0005-0000-0000-0000D2640000}"/>
    <cellStyle name="Separador de milhares 3 2 5 2 3 2 2" xfId="9836" xr:uid="{00000000-0005-0000-0000-0000D3640000}"/>
    <cellStyle name="Separador de milhares 3 2 5 2 3 2 2 2" xfId="28050" xr:uid="{00000000-0005-0000-0000-0000D4640000}"/>
    <cellStyle name="Separador de milhares 3 2 5 2 3 2 2 2 2" xfId="54231" xr:uid="{00000000-0005-0000-0000-0000D5640000}"/>
    <cellStyle name="Separador de milhares 3 2 5 2 3 2 2 3" xfId="22136" xr:uid="{00000000-0005-0000-0000-0000D6640000}"/>
    <cellStyle name="Separador de milhares 3 2 5 2 3 2 2 3 2" xfId="48323" xr:uid="{00000000-0005-0000-0000-0000D7640000}"/>
    <cellStyle name="Separador de milhares 3 2 5 2 3 2 2 4" xfId="16222" xr:uid="{00000000-0005-0000-0000-0000D8640000}"/>
    <cellStyle name="Separador de milhares 3 2 5 2 3 2 2 4 2" xfId="42415" xr:uid="{00000000-0005-0000-0000-0000D9640000}"/>
    <cellStyle name="Separador de milhares 3 2 5 2 3 2 2 5" xfId="36029" xr:uid="{00000000-0005-0000-0000-0000DA640000}"/>
    <cellStyle name="Separador de milhares 3 2 5 2 3 2 3" xfId="25093" xr:uid="{00000000-0005-0000-0000-0000DB640000}"/>
    <cellStyle name="Separador de milhares 3 2 5 2 3 2 3 2" xfId="51277" xr:uid="{00000000-0005-0000-0000-0000DC640000}"/>
    <cellStyle name="Separador de milhares 3 2 5 2 3 2 4" xfId="19179" xr:uid="{00000000-0005-0000-0000-0000DD640000}"/>
    <cellStyle name="Separador de milhares 3 2 5 2 3 2 4 2" xfId="45369" xr:uid="{00000000-0005-0000-0000-0000DE640000}"/>
    <cellStyle name="Separador de milhares 3 2 5 2 3 2 5" xfId="13078" xr:uid="{00000000-0005-0000-0000-0000DF640000}"/>
    <cellStyle name="Separador de milhares 3 2 5 2 3 2 5 2" xfId="39271" xr:uid="{00000000-0005-0000-0000-0000E0640000}"/>
    <cellStyle name="Separador de milhares 3 2 5 2 3 2 6" xfId="32885" xr:uid="{00000000-0005-0000-0000-0000E1640000}"/>
    <cellStyle name="Separador de milhares 3 2 5 2 3 3" xfId="8368" xr:uid="{00000000-0005-0000-0000-0000E2640000}"/>
    <cellStyle name="Separador de milhares 3 2 5 2 3 3 2" xfId="26582" xr:uid="{00000000-0005-0000-0000-0000E3640000}"/>
    <cellStyle name="Separador de milhares 3 2 5 2 3 3 2 2" xfId="52763" xr:uid="{00000000-0005-0000-0000-0000E4640000}"/>
    <cellStyle name="Separador de milhares 3 2 5 2 3 3 3" xfId="20668" xr:uid="{00000000-0005-0000-0000-0000E5640000}"/>
    <cellStyle name="Separador de milhares 3 2 5 2 3 3 3 2" xfId="46855" xr:uid="{00000000-0005-0000-0000-0000E6640000}"/>
    <cellStyle name="Separador de milhares 3 2 5 2 3 3 4" xfId="14754" xr:uid="{00000000-0005-0000-0000-0000E7640000}"/>
    <cellStyle name="Separador de milhares 3 2 5 2 3 3 4 2" xfId="40947" xr:uid="{00000000-0005-0000-0000-0000E8640000}"/>
    <cellStyle name="Separador de milhares 3 2 5 2 3 3 5" xfId="34561" xr:uid="{00000000-0005-0000-0000-0000E9640000}"/>
    <cellStyle name="Separador de milhares 3 2 5 2 3 4" xfId="4990" xr:uid="{00000000-0005-0000-0000-0000EA640000}"/>
    <cellStyle name="Separador de milhares 3 2 5 2 3 4 2" xfId="23625" xr:uid="{00000000-0005-0000-0000-0000EB640000}"/>
    <cellStyle name="Separador de milhares 3 2 5 2 3 4 2 2" xfId="49809" xr:uid="{00000000-0005-0000-0000-0000EC640000}"/>
    <cellStyle name="Separador de milhares 3 2 5 2 3 4 3" xfId="31186" xr:uid="{00000000-0005-0000-0000-0000ED640000}"/>
    <cellStyle name="Separador de milhares 3 2 5 2 3 5" xfId="17711" xr:uid="{00000000-0005-0000-0000-0000EE640000}"/>
    <cellStyle name="Separador de milhares 3 2 5 2 3 5 2" xfId="43901" xr:uid="{00000000-0005-0000-0000-0000EF640000}"/>
    <cellStyle name="Separador de milhares 3 2 5 2 3 6" xfId="11377" xr:uid="{00000000-0005-0000-0000-0000F0640000}"/>
    <cellStyle name="Separador de milhares 3 2 5 2 3 6 2" xfId="37570" xr:uid="{00000000-0005-0000-0000-0000F1640000}"/>
    <cellStyle name="Separador de milhares 3 2 5 2 3 7" xfId="29488" xr:uid="{00000000-0005-0000-0000-0000F2640000}"/>
    <cellStyle name="Separador de milhares 3 2 5 2 4" xfId="1282" xr:uid="{00000000-0005-0000-0000-0000F3640000}"/>
    <cellStyle name="Separador de milhares 3 2 5 2 4 2" xfId="6787" xr:uid="{00000000-0005-0000-0000-0000F4640000}"/>
    <cellStyle name="Separador de milhares 3 2 5 2 4 2 2" xfId="9934" xr:uid="{00000000-0005-0000-0000-0000F5640000}"/>
    <cellStyle name="Separador de milhares 3 2 5 2 4 2 2 2" xfId="28148" xr:uid="{00000000-0005-0000-0000-0000F6640000}"/>
    <cellStyle name="Separador de milhares 3 2 5 2 4 2 2 2 2" xfId="54329" xr:uid="{00000000-0005-0000-0000-0000F7640000}"/>
    <cellStyle name="Separador de milhares 3 2 5 2 4 2 2 3" xfId="22234" xr:uid="{00000000-0005-0000-0000-0000F8640000}"/>
    <cellStyle name="Separador de milhares 3 2 5 2 4 2 2 3 2" xfId="48421" xr:uid="{00000000-0005-0000-0000-0000F9640000}"/>
    <cellStyle name="Separador de milhares 3 2 5 2 4 2 2 4" xfId="16320" xr:uid="{00000000-0005-0000-0000-0000FA640000}"/>
    <cellStyle name="Separador de milhares 3 2 5 2 4 2 2 4 2" xfId="42513" xr:uid="{00000000-0005-0000-0000-0000FB640000}"/>
    <cellStyle name="Separador de milhares 3 2 5 2 4 2 2 5" xfId="36127" xr:uid="{00000000-0005-0000-0000-0000FC640000}"/>
    <cellStyle name="Separador de milhares 3 2 5 2 4 2 3" xfId="25191" xr:uid="{00000000-0005-0000-0000-0000FD640000}"/>
    <cellStyle name="Separador de milhares 3 2 5 2 4 2 3 2" xfId="51375" xr:uid="{00000000-0005-0000-0000-0000FE640000}"/>
    <cellStyle name="Separador de milhares 3 2 5 2 4 2 4" xfId="19277" xr:uid="{00000000-0005-0000-0000-0000FF640000}"/>
    <cellStyle name="Separador de milhares 3 2 5 2 4 2 4 2" xfId="45467" xr:uid="{00000000-0005-0000-0000-000000650000}"/>
    <cellStyle name="Separador de milhares 3 2 5 2 4 2 5" xfId="13176" xr:uid="{00000000-0005-0000-0000-000001650000}"/>
    <cellStyle name="Separador de milhares 3 2 5 2 4 2 5 2" xfId="39369" xr:uid="{00000000-0005-0000-0000-000002650000}"/>
    <cellStyle name="Separador de milhares 3 2 5 2 4 2 6" xfId="32983" xr:uid="{00000000-0005-0000-0000-000003650000}"/>
    <cellStyle name="Separador de milhares 3 2 5 2 4 3" xfId="8466" xr:uid="{00000000-0005-0000-0000-000004650000}"/>
    <cellStyle name="Separador de milhares 3 2 5 2 4 3 2" xfId="26680" xr:uid="{00000000-0005-0000-0000-000005650000}"/>
    <cellStyle name="Separador de milhares 3 2 5 2 4 3 2 2" xfId="52861" xr:uid="{00000000-0005-0000-0000-000006650000}"/>
    <cellStyle name="Separador de milhares 3 2 5 2 4 3 3" xfId="20766" xr:uid="{00000000-0005-0000-0000-000007650000}"/>
    <cellStyle name="Separador de milhares 3 2 5 2 4 3 3 2" xfId="46953" xr:uid="{00000000-0005-0000-0000-000008650000}"/>
    <cellStyle name="Separador de milhares 3 2 5 2 4 3 4" xfId="14852" xr:uid="{00000000-0005-0000-0000-000009650000}"/>
    <cellStyle name="Separador de milhares 3 2 5 2 4 3 4 2" xfId="41045" xr:uid="{00000000-0005-0000-0000-00000A650000}"/>
    <cellStyle name="Separador de milhares 3 2 5 2 4 3 5" xfId="34659" xr:uid="{00000000-0005-0000-0000-00000B650000}"/>
    <cellStyle name="Separador de milhares 3 2 5 2 4 4" xfId="5088" xr:uid="{00000000-0005-0000-0000-00000C650000}"/>
    <cellStyle name="Separador de milhares 3 2 5 2 4 4 2" xfId="23723" xr:uid="{00000000-0005-0000-0000-00000D650000}"/>
    <cellStyle name="Separador de milhares 3 2 5 2 4 4 2 2" xfId="49907" xr:uid="{00000000-0005-0000-0000-00000E650000}"/>
    <cellStyle name="Separador de milhares 3 2 5 2 4 4 3" xfId="31284" xr:uid="{00000000-0005-0000-0000-00000F650000}"/>
    <cellStyle name="Separador de milhares 3 2 5 2 4 5" xfId="17809" xr:uid="{00000000-0005-0000-0000-000010650000}"/>
    <cellStyle name="Separador de milhares 3 2 5 2 4 5 2" xfId="43999" xr:uid="{00000000-0005-0000-0000-000011650000}"/>
    <cellStyle name="Separador de milhares 3 2 5 2 4 6" xfId="11475" xr:uid="{00000000-0005-0000-0000-000012650000}"/>
    <cellStyle name="Separador de milhares 3 2 5 2 4 6 2" xfId="37668" xr:uid="{00000000-0005-0000-0000-000013650000}"/>
    <cellStyle name="Separador de milhares 3 2 5 2 4 7" xfId="29586" xr:uid="{00000000-0005-0000-0000-000014650000}"/>
    <cellStyle name="Separador de milhares 3 2 5 2 5" xfId="1717" xr:uid="{00000000-0005-0000-0000-000015650000}"/>
    <cellStyle name="Separador de milhares 3 2 5 2 5 2" xfId="6906" xr:uid="{00000000-0005-0000-0000-000016650000}"/>
    <cellStyle name="Separador de milhares 3 2 5 2 5 2 2" xfId="10053" xr:uid="{00000000-0005-0000-0000-000017650000}"/>
    <cellStyle name="Separador de milhares 3 2 5 2 5 2 2 2" xfId="28267" xr:uid="{00000000-0005-0000-0000-000018650000}"/>
    <cellStyle name="Separador de milhares 3 2 5 2 5 2 2 2 2" xfId="54448" xr:uid="{00000000-0005-0000-0000-000019650000}"/>
    <cellStyle name="Separador de milhares 3 2 5 2 5 2 2 3" xfId="22353" xr:uid="{00000000-0005-0000-0000-00001A650000}"/>
    <cellStyle name="Separador de milhares 3 2 5 2 5 2 2 3 2" xfId="48540" xr:uid="{00000000-0005-0000-0000-00001B650000}"/>
    <cellStyle name="Separador de milhares 3 2 5 2 5 2 2 4" xfId="16439" xr:uid="{00000000-0005-0000-0000-00001C650000}"/>
    <cellStyle name="Separador de milhares 3 2 5 2 5 2 2 4 2" xfId="42632" xr:uid="{00000000-0005-0000-0000-00001D650000}"/>
    <cellStyle name="Separador de milhares 3 2 5 2 5 2 2 5" xfId="36246" xr:uid="{00000000-0005-0000-0000-00001E650000}"/>
    <cellStyle name="Separador de milhares 3 2 5 2 5 2 3" xfId="25310" xr:uid="{00000000-0005-0000-0000-00001F650000}"/>
    <cellStyle name="Separador de milhares 3 2 5 2 5 2 3 2" xfId="51494" xr:uid="{00000000-0005-0000-0000-000020650000}"/>
    <cellStyle name="Separador de milhares 3 2 5 2 5 2 4" xfId="19396" xr:uid="{00000000-0005-0000-0000-000021650000}"/>
    <cellStyle name="Separador de milhares 3 2 5 2 5 2 4 2" xfId="45586" xr:uid="{00000000-0005-0000-0000-000022650000}"/>
    <cellStyle name="Separador de milhares 3 2 5 2 5 2 5" xfId="13295" xr:uid="{00000000-0005-0000-0000-000023650000}"/>
    <cellStyle name="Separador de milhares 3 2 5 2 5 2 5 2" xfId="39488" xr:uid="{00000000-0005-0000-0000-000024650000}"/>
    <cellStyle name="Separador de milhares 3 2 5 2 5 2 6" xfId="33102" xr:uid="{00000000-0005-0000-0000-000025650000}"/>
    <cellStyle name="Separador de milhares 3 2 5 2 5 3" xfId="8585" xr:uid="{00000000-0005-0000-0000-000026650000}"/>
    <cellStyle name="Separador de milhares 3 2 5 2 5 3 2" xfId="26799" xr:uid="{00000000-0005-0000-0000-000027650000}"/>
    <cellStyle name="Separador de milhares 3 2 5 2 5 3 2 2" xfId="52980" xr:uid="{00000000-0005-0000-0000-000028650000}"/>
    <cellStyle name="Separador de milhares 3 2 5 2 5 3 3" xfId="20885" xr:uid="{00000000-0005-0000-0000-000029650000}"/>
    <cellStyle name="Separador de milhares 3 2 5 2 5 3 3 2" xfId="47072" xr:uid="{00000000-0005-0000-0000-00002A650000}"/>
    <cellStyle name="Separador de milhares 3 2 5 2 5 3 4" xfId="14971" xr:uid="{00000000-0005-0000-0000-00002B650000}"/>
    <cellStyle name="Separador de milhares 3 2 5 2 5 3 4 2" xfId="41164" xr:uid="{00000000-0005-0000-0000-00002C650000}"/>
    <cellStyle name="Separador de milhares 3 2 5 2 5 3 5" xfId="34778" xr:uid="{00000000-0005-0000-0000-00002D650000}"/>
    <cellStyle name="Separador de milhares 3 2 5 2 5 4" xfId="5207" xr:uid="{00000000-0005-0000-0000-00002E650000}"/>
    <cellStyle name="Separador de milhares 3 2 5 2 5 4 2" xfId="23842" xr:uid="{00000000-0005-0000-0000-00002F650000}"/>
    <cellStyle name="Separador de milhares 3 2 5 2 5 4 2 2" xfId="50026" xr:uid="{00000000-0005-0000-0000-000030650000}"/>
    <cellStyle name="Separador de milhares 3 2 5 2 5 4 3" xfId="31403" xr:uid="{00000000-0005-0000-0000-000031650000}"/>
    <cellStyle name="Separador de milhares 3 2 5 2 5 5" xfId="17928" xr:uid="{00000000-0005-0000-0000-000032650000}"/>
    <cellStyle name="Separador de milhares 3 2 5 2 5 5 2" xfId="44118" xr:uid="{00000000-0005-0000-0000-000033650000}"/>
    <cellStyle name="Separador de milhares 3 2 5 2 5 6" xfId="11594" xr:uid="{00000000-0005-0000-0000-000034650000}"/>
    <cellStyle name="Separador de milhares 3 2 5 2 5 6 2" xfId="37787" xr:uid="{00000000-0005-0000-0000-000035650000}"/>
    <cellStyle name="Separador de milhares 3 2 5 2 5 7" xfId="29705" xr:uid="{00000000-0005-0000-0000-000036650000}"/>
    <cellStyle name="Separador de milhares 3 2 5 2 6" xfId="2247" xr:uid="{00000000-0005-0000-0000-000037650000}"/>
    <cellStyle name="Separador de milhares 3 2 5 2 6 2" xfId="7056" xr:uid="{00000000-0005-0000-0000-000038650000}"/>
    <cellStyle name="Separador de milhares 3 2 5 2 6 2 2" xfId="10200" xr:uid="{00000000-0005-0000-0000-000039650000}"/>
    <cellStyle name="Separador de milhares 3 2 5 2 6 2 2 2" xfId="28414" xr:uid="{00000000-0005-0000-0000-00003A650000}"/>
    <cellStyle name="Separador de milhares 3 2 5 2 6 2 2 2 2" xfId="54595" xr:uid="{00000000-0005-0000-0000-00003B650000}"/>
    <cellStyle name="Separador de milhares 3 2 5 2 6 2 2 3" xfId="22500" xr:uid="{00000000-0005-0000-0000-00003C650000}"/>
    <cellStyle name="Separador de milhares 3 2 5 2 6 2 2 3 2" xfId="48687" xr:uid="{00000000-0005-0000-0000-00003D650000}"/>
    <cellStyle name="Separador de milhares 3 2 5 2 6 2 2 4" xfId="16586" xr:uid="{00000000-0005-0000-0000-00003E650000}"/>
    <cellStyle name="Separador de milhares 3 2 5 2 6 2 2 4 2" xfId="42779" xr:uid="{00000000-0005-0000-0000-00003F650000}"/>
    <cellStyle name="Separador de milhares 3 2 5 2 6 2 2 5" xfId="36393" xr:uid="{00000000-0005-0000-0000-000040650000}"/>
    <cellStyle name="Separador de milhares 3 2 5 2 6 2 3" xfId="25457" xr:uid="{00000000-0005-0000-0000-000041650000}"/>
    <cellStyle name="Separador de milhares 3 2 5 2 6 2 3 2" xfId="51641" xr:uid="{00000000-0005-0000-0000-000042650000}"/>
    <cellStyle name="Separador de milhares 3 2 5 2 6 2 4" xfId="19543" xr:uid="{00000000-0005-0000-0000-000043650000}"/>
    <cellStyle name="Separador de milhares 3 2 5 2 6 2 4 2" xfId="45733" xr:uid="{00000000-0005-0000-0000-000044650000}"/>
    <cellStyle name="Separador de milhares 3 2 5 2 6 2 5" xfId="13445" xr:uid="{00000000-0005-0000-0000-000045650000}"/>
    <cellStyle name="Separador de milhares 3 2 5 2 6 2 5 2" xfId="39638" xr:uid="{00000000-0005-0000-0000-000046650000}"/>
    <cellStyle name="Separador de milhares 3 2 5 2 6 2 6" xfId="33252" xr:uid="{00000000-0005-0000-0000-000047650000}"/>
    <cellStyle name="Separador de milhares 3 2 5 2 6 3" xfId="8732" xr:uid="{00000000-0005-0000-0000-000048650000}"/>
    <cellStyle name="Separador de milhares 3 2 5 2 6 3 2" xfId="26946" xr:uid="{00000000-0005-0000-0000-000049650000}"/>
    <cellStyle name="Separador de milhares 3 2 5 2 6 3 2 2" xfId="53127" xr:uid="{00000000-0005-0000-0000-00004A650000}"/>
    <cellStyle name="Separador de milhares 3 2 5 2 6 3 3" xfId="21032" xr:uid="{00000000-0005-0000-0000-00004B650000}"/>
    <cellStyle name="Separador de milhares 3 2 5 2 6 3 3 2" xfId="47219" xr:uid="{00000000-0005-0000-0000-00004C650000}"/>
    <cellStyle name="Separador de milhares 3 2 5 2 6 3 4" xfId="15118" xr:uid="{00000000-0005-0000-0000-00004D650000}"/>
    <cellStyle name="Separador de milhares 3 2 5 2 6 3 4 2" xfId="41311" xr:uid="{00000000-0005-0000-0000-00004E650000}"/>
    <cellStyle name="Separador de milhares 3 2 5 2 6 3 5" xfId="34925" xr:uid="{00000000-0005-0000-0000-00004F650000}"/>
    <cellStyle name="Separador de milhares 3 2 5 2 6 4" xfId="5357" xr:uid="{00000000-0005-0000-0000-000050650000}"/>
    <cellStyle name="Separador de milhares 3 2 5 2 6 4 2" xfId="23989" xr:uid="{00000000-0005-0000-0000-000051650000}"/>
    <cellStyle name="Separador de milhares 3 2 5 2 6 4 2 2" xfId="50173" xr:uid="{00000000-0005-0000-0000-000052650000}"/>
    <cellStyle name="Separador de milhares 3 2 5 2 6 4 3" xfId="31553" xr:uid="{00000000-0005-0000-0000-000053650000}"/>
    <cellStyle name="Separador de milhares 3 2 5 2 6 5" xfId="18075" xr:uid="{00000000-0005-0000-0000-000054650000}"/>
    <cellStyle name="Separador de milhares 3 2 5 2 6 5 2" xfId="44265" xr:uid="{00000000-0005-0000-0000-000055650000}"/>
    <cellStyle name="Separador de milhares 3 2 5 2 6 6" xfId="11744" xr:uid="{00000000-0005-0000-0000-000056650000}"/>
    <cellStyle name="Separador de milhares 3 2 5 2 6 6 2" xfId="37937" xr:uid="{00000000-0005-0000-0000-000057650000}"/>
    <cellStyle name="Separador de milhares 3 2 5 2 6 7" xfId="29855" xr:uid="{00000000-0005-0000-0000-000058650000}"/>
    <cellStyle name="Separador de milhares 3 2 5 2 7" xfId="2774" xr:uid="{00000000-0005-0000-0000-000059650000}"/>
    <cellStyle name="Separador de milhares 3 2 5 2 7 2" xfId="7203" xr:uid="{00000000-0005-0000-0000-00005A650000}"/>
    <cellStyle name="Separador de milhares 3 2 5 2 7 2 2" xfId="10347" xr:uid="{00000000-0005-0000-0000-00005B650000}"/>
    <cellStyle name="Separador de milhares 3 2 5 2 7 2 2 2" xfId="28561" xr:uid="{00000000-0005-0000-0000-00005C650000}"/>
    <cellStyle name="Separador de milhares 3 2 5 2 7 2 2 2 2" xfId="54742" xr:uid="{00000000-0005-0000-0000-00005D650000}"/>
    <cellStyle name="Separador de milhares 3 2 5 2 7 2 2 3" xfId="22647" xr:uid="{00000000-0005-0000-0000-00005E650000}"/>
    <cellStyle name="Separador de milhares 3 2 5 2 7 2 2 3 2" xfId="48834" xr:uid="{00000000-0005-0000-0000-00005F650000}"/>
    <cellStyle name="Separador de milhares 3 2 5 2 7 2 2 4" xfId="16733" xr:uid="{00000000-0005-0000-0000-000060650000}"/>
    <cellStyle name="Separador de milhares 3 2 5 2 7 2 2 4 2" xfId="42926" xr:uid="{00000000-0005-0000-0000-000061650000}"/>
    <cellStyle name="Separador de milhares 3 2 5 2 7 2 2 5" xfId="36540" xr:uid="{00000000-0005-0000-0000-000062650000}"/>
    <cellStyle name="Separador de milhares 3 2 5 2 7 2 3" xfId="25604" xr:uid="{00000000-0005-0000-0000-000063650000}"/>
    <cellStyle name="Separador de milhares 3 2 5 2 7 2 3 2" xfId="51788" xr:uid="{00000000-0005-0000-0000-000064650000}"/>
    <cellStyle name="Separador de milhares 3 2 5 2 7 2 4" xfId="19690" xr:uid="{00000000-0005-0000-0000-000065650000}"/>
    <cellStyle name="Separador de milhares 3 2 5 2 7 2 4 2" xfId="45880" xr:uid="{00000000-0005-0000-0000-000066650000}"/>
    <cellStyle name="Separador de milhares 3 2 5 2 7 2 5" xfId="13592" xr:uid="{00000000-0005-0000-0000-000067650000}"/>
    <cellStyle name="Separador de milhares 3 2 5 2 7 2 5 2" xfId="39785" xr:uid="{00000000-0005-0000-0000-000068650000}"/>
    <cellStyle name="Separador de milhares 3 2 5 2 7 2 6" xfId="33399" xr:uid="{00000000-0005-0000-0000-000069650000}"/>
    <cellStyle name="Separador de milhares 3 2 5 2 7 3" xfId="8879" xr:uid="{00000000-0005-0000-0000-00006A650000}"/>
    <cellStyle name="Separador de milhares 3 2 5 2 7 3 2" xfId="27093" xr:uid="{00000000-0005-0000-0000-00006B650000}"/>
    <cellStyle name="Separador de milhares 3 2 5 2 7 3 2 2" xfId="53274" xr:uid="{00000000-0005-0000-0000-00006C650000}"/>
    <cellStyle name="Separador de milhares 3 2 5 2 7 3 3" xfId="21179" xr:uid="{00000000-0005-0000-0000-00006D650000}"/>
    <cellStyle name="Separador de milhares 3 2 5 2 7 3 3 2" xfId="47366" xr:uid="{00000000-0005-0000-0000-00006E650000}"/>
    <cellStyle name="Separador de milhares 3 2 5 2 7 3 4" xfId="15265" xr:uid="{00000000-0005-0000-0000-00006F650000}"/>
    <cellStyle name="Separador de milhares 3 2 5 2 7 3 4 2" xfId="41458" xr:uid="{00000000-0005-0000-0000-000070650000}"/>
    <cellStyle name="Separador de milhares 3 2 5 2 7 3 5" xfId="35072" xr:uid="{00000000-0005-0000-0000-000071650000}"/>
    <cellStyle name="Separador de milhares 3 2 5 2 7 4" xfId="5504" xr:uid="{00000000-0005-0000-0000-000072650000}"/>
    <cellStyle name="Separador de milhares 3 2 5 2 7 4 2" xfId="24136" xr:uid="{00000000-0005-0000-0000-000073650000}"/>
    <cellStyle name="Separador de milhares 3 2 5 2 7 4 2 2" xfId="50320" xr:uid="{00000000-0005-0000-0000-000074650000}"/>
    <cellStyle name="Separador de milhares 3 2 5 2 7 4 3" xfId="31700" xr:uid="{00000000-0005-0000-0000-000075650000}"/>
    <cellStyle name="Separador de milhares 3 2 5 2 7 5" xfId="18222" xr:uid="{00000000-0005-0000-0000-000076650000}"/>
    <cellStyle name="Separador de milhares 3 2 5 2 7 5 2" xfId="44412" xr:uid="{00000000-0005-0000-0000-000077650000}"/>
    <cellStyle name="Separador de milhares 3 2 5 2 7 6" xfId="11891" xr:uid="{00000000-0005-0000-0000-000078650000}"/>
    <cellStyle name="Separador de milhares 3 2 5 2 7 6 2" xfId="38084" xr:uid="{00000000-0005-0000-0000-000079650000}"/>
    <cellStyle name="Separador de milhares 3 2 5 2 7 7" xfId="30002" xr:uid="{00000000-0005-0000-0000-00007A650000}"/>
    <cellStyle name="Separador de milhares 3 2 5 2 8" xfId="3301" xr:uid="{00000000-0005-0000-0000-00007B650000}"/>
    <cellStyle name="Separador de milhares 3 2 5 2 8 2" xfId="7350" xr:uid="{00000000-0005-0000-0000-00007C650000}"/>
    <cellStyle name="Separador de milhares 3 2 5 2 8 2 2" xfId="10494" xr:uid="{00000000-0005-0000-0000-00007D650000}"/>
    <cellStyle name="Separador de milhares 3 2 5 2 8 2 2 2" xfId="28708" xr:uid="{00000000-0005-0000-0000-00007E650000}"/>
    <cellStyle name="Separador de milhares 3 2 5 2 8 2 2 2 2" xfId="54889" xr:uid="{00000000-0005-0000-0000-00007F650000}"/>
    <cellStyle name="Separador de milhares 3 2 5 2 8 2 2 3" xfId="22794" xr:uid="{00000000-0005-0000-0000-000080650000}"/>
    <cellStyle name="Separador de milhares 3 2 5 2 8 2 2 3 2" xfId="48981" xr:uid="{00000000-0005-0000-0000-000081650000}"/>
    <cellStyle name="Separador de milhares 3 2 5 2 8 2 2 4" xfId="16880" xr:uid="{00000000-0005-0000-0000-000082650000}"/>
    <cellStyle name="Separador de milhares 3 2 5 2 8 2 2 4 2" xfId="43073" xr:uid="{00000000-0005-0000-0000-000083650000}"/>
    <cellStyle name="Separador de milhares 3 2 5 2 8 2 2 5" xfId="36687" xr:uid="{00000000-0005-0000-0000-000084650000}"/>
    <cellStyle name="Separador de milhares 3 2 5 2 8 2 3" xfId="25751" xr:uid="{00000000-0005-0000-0000-000085650000}"/>
    <cellStyle name="Separador de milhares 3 2 5 2 8 2 3 2" xfId="51935" xr:uid="{00000000-0005-0000-0000-000086650000}"/>
    <cellStyle name="Separador de milhares 3 2 5 2 8 2 4" xfId="19837" xr:uid="{00000000-0005-0000-0000-000087650000}"/>
    <cellStyle name="Separador de milhares 3 2 5 2 8 2 4 2" xfId="46027" xr:uid="{00000000-0005-0000-0000-000088650000}"/>
    <cellStyle name="Separador de milhares 3 2 5 2 8 2 5" xfId="13739" xr:uid="{00000000-0005-0000-0000-000089650000}"/>
    <cellStyle name="Separador de milhares 3 2 5 2 8 2 5 2" xfId="39932" xr:uid="{00000000-0005-0000-0000-00008A650000}"/>
    <cellStyle name="Separador de milhares 3 2 5 2 8 2 6" xfId="33546" xr:uid="{00000000-0005-0000-0000-00008B650000}"/>
    <cellStyle name="Separador de milhares 3 2 5 2 8 3" xfId="9026" xr:uid="{00000000-0005-0000-0000-00008C650000}"/>
    <cellStyle name="Separador de milhares 3 2 5 2 8 3 2" xfId="27240" xr:uid="{00000000-0005-0000-0000-00008D650000}"/>
    <cellStyle name="Separador de milhares 3 2 5 2 8 3 2 2" xfId="53421" xr:uid="{00000000-0005-0000-0000-00008E650000}"/>
    <cellStyle name="Separador de milhares 3 2 5 2 8 3 3" xfId="21326" xr:uid="{00000000-0005-0000-0000-00008F650000}"/>
    <cellStyle name="Separador de milhares 3 2 5 2 8 3 3 2" xfId="47513" xr:uid="{00000000-0005-0000-0000-000090650000}"/>
    <cellStyle name="Separador de milhares 3 2 5 2 8 3 4" xfId="15412" xr:uid="{00000000-0005-0000-0000-000091650000}"/>
    <cellStyle name="Separador de milhares 3 2 5 2 8 3 4 2" xfId="41605" xr:uid="{00000000-0005-0000-0000-000092650000}"/>
    <cellStyle name="Separador de milhares 3 2 5 2 8 3 5" xfId="35219" xr:uid="{00000000-0005-0000-0000-000093650000}"/>
    <cellStyle name="Separador de milhares 3 2 5 2 8 4" xfId="5651" xr:uid="{00000000-0005-0000-0000-000094650000}"/>
    <cellStyle name="Separador de milhares 3 2 5 2 8 4 2" xfId="24283" xr:uid="{00000000-0005-0000-0000-000095650000}"/>
    <cellStyle name="Separador de milhares 3 2 5 2 8 4 2 2" xfId="50467" xr:uid="{00000000-0005-0000-0000-000096650000}"/>
    <cellStyle name="Separador de milhares 3 2 5 2 8 4 3" xfId="31847" xr:uid="{00000000-0005-0000-0000-000097650000}"/>
    <cellStyle name="Separador de milhares 3 2 5 2 8 5" xfId="18369" xr:uid="{00000000-0005-0000-0000-000098650000}"/>
    <cellStyle name="Separador de milhares 3 2 5 2 8 5 2" xfId="44559" xr:uid="{00000000-0005-0000-0000-000099650000}"/>
    <cellStyle name="Separador de milhares 3 2 5 2 8 6" xfId="12038" xr:uid="{00000000-0005-0000-0000-00009A650000}"/>
    <cellStyle name="Separador de milhares 3 2 5 2 8 6 2" xfId="38231" xr:uid="{00000000-0005-0000-0000-00009B650000}"/>
    <cellStyle name="Separador de milhares 3 2 5 2 8 7" xfId="30149" xr:uid="{00000000-0005-0000-0000-00009C650000}"/>
    <cellStyle name="Separador de milhares 3 2 5 2 9" xfId="3828" xr:uid="{00000000-0005-0000-0000-00009D650000}"/>
    <cellStyle name="Separador de milhares 3 2 5 2 9 2" xfId="7497" xr:uid="{00000000-0005-0000-0000-00009E650000}"/>
    <cellStyle name="Separador de milhares 3 2 5 2 9 2 2" xfId="10641" xr:uid="{00000000-0005-0000-0000-00009F650000}"/>
    <cellStyle name="Separador de milhares 3 2 5 2 9 2 2 2" xfId="28855" xr:uid="{00000000-0005-0000-0000-0000A0650000}"/>
    <cellStyle name="Separador de milhares 3 2 5 2 9 2 2 2 2" xfId="55036" xr:uid="{00000000-0005-0000-0000-0000A1650000}"/>
    <cellStyle name="Separador de milhares 3 2 5 2 9 2 2 3" xfId="22941" xr:uid="{00000000-0005-0000-0000-0000A2650000}"/>
    <cellStyle name="Separador de milhares 3 2 5 2 9 2 2 3 2" xfId="49128" xr:uid="{00000000-0005-0000-0000-0000A3650000}"/>
    <cellStyle name="Separador de milhares 3 2 5 2 9 2 2 4" xfId="17027" xr:uid="{00000000-0005-0000-0000-0000A4650000}"/>
    <cellStyle name="Separador de milhares 3 2 5 2 9 2 2 4 2" xfId="43220" xr:uid="{00000000-0005-0000-0000-0000A5650000}"/>
    <cellStyle name="Separador de milhares 3 2 5 2 9 2 2 5" xfId="36834" xr:uid="{00000000-0005-0000-0000-0000A6650000}"/>
    <cellStyle name="Separador de milhares 3 2 5 2 9 2 3" xfId="25898" xr:uid="{00000000-0005-0000-0000-0000A7650000}"/>
    <cellStyle name="Separador de milhares 3 2 5 2 9 2 3 2" xfId="52082" xr:uid="{00000000-0005-0000-0000-0000A8650000}"/>
    <cellStyle name="Separador de milhares 3 2 5 2 9 2 4" xfId="19984" xr:uid="{00000000-0005-0000-0000-0000A9650000}"/>
    <cellStyle name="Separador de milhares 3 2 5 2 9 2 4 2" xfId="46174" xr:uid="{00000000-0005-0000-0000-0000AA650000}"/>
    <cellStyle name="Separador de milhares 3 2 5 2 9 2 5" xfId="13886" xr:uid="{00000000-0005-0000-0000-0000AB650000}"/>
    <cellStyle name="Separador de milhares 3 2 5 2 9 2 5 2" xfId="40079" xr:uid="{00000000-0005-0000-0000-0000AC650000}"/>
    <cellStyle name="Separador de milhares 3 2 5 2 9 2 6" xfId="33693" xr:uid="{00000000-0005-0000-0000-0000AD650000}"/>
    <cellStyle name="Separador de milhares 3 2 5 2 9 3" xfId="9173" xr:uid="{00000000-0005-0000-0000-0000AE650000}"/>
    <cellStyle name="Separador de milhares 3 2 5 2 9 3 2" xfId="27387" xr:uid="{00000000-0005-0000-0000-0000AF650000}"/>
    <cellStyle name="Separador de milhares 3 2 5 2 9 3 2 2" xfId="53568" xr:uid="{00000000-0005-0000-0000-0000B0650000}"/>
    <cellStyle name="Separador de milhares 3 2 5 2 9 3 3" xfId="21473" xr:uid="{00000000-0005-0000-0000-0000B1650000}"/>
    <cellStyle name="Separador de milhares 3 2 5 2 9 3 3 2" xfId="47660" xr:uid="{00000000-0005-0000-0000-0000B2650000}"/>
    <cellStyle name="Separador de milhares 3 2 5 2 9 3 4" xfId="15559" xr:uid="{00000000-0005-0000-0000-0000B3650000}"/>
    <cellStyle name="Separador de milhares 3 2 5 2 9 3 4 2" xfId="41752" xr:uid="{00000000-0005-0000-0000-0000B4650000}"/>
    <cellStyle name="Separador de milhares 3 2 5 2 9 3 5" xfId="35366" xr:uid="{00000000-0005-0000-0000-0000B5650000}"/>
    <cellStyle name="Separador de milhares 3 2 5 2 9 4" xfId="5798" xr:uid="{00000000-0005-0000-0000-0000B6650000}"/>
    <cellStyle name="Separador de milhares 3 2 5 2 9 4 2" xfId="24430" xr:uid="{00000000-0005-0000-0000-0000B7650000}"/>
    <cellStyle name="Separador de milhares 3 2 5 2 9 4 2 2" xfId="50614" xr:uid="{00000000-0005-0000-0000-0000B8650000}"/>
    <cellStyle name="Separador de milhares 3 2 5 2 9 4 3" xfId="31994" xr:uid="{00000000-0005-0000-0000-0000B9650000}"/>
    <cellStyle name="Separador de milhares 3 2 5 2 9 5" xfId="18516" xr:uid="{00000000-0005-0000-0000-0000BA650000}"/>
    <cellStyle name="Separador de milhares 3 2 5 2 9 5 2" xfId="44706" xr:uid="{00000000-0005-0000-0000-0000BB650000}"/>
    <cellStyle name="Separador de milhares 3 2 5 2 9 6" xfId="12185" xr:uid="{00000000-0005-0000-0000-0000BC650000}"/>
    <cellStyle name="Separador de milhares 3 2 5 2 9 6 2" xfId="38378" xr:uid="{00000000-0005-0000-0000-0000BD650000}"/>
    <cellStyle name="Separador de milhares 3 2 5 2 9 7" xfId="30296" xr:uid="{00000000-0005-0000-0000-0000BE650000}"/>
    <cellStyle name="Separador de milhares 3 2 5 3" xfId="280" xr:uid="{00000000-0005-0000-0000-0000BF650000}"/>
    <cellStyle name="Separador de milhares 3 2 5 3 10" xfId="6488" xr:uid="{00000000-0005-0000-0000-0000C0650000}"/>
    <cellStyle name="Separador de milhares 3 2 5 3 10 2" xfId="9639" xr:uid="{00000000-0005-0000-0000-0000C1650000}"/>
    <cellStyle name="Separador de milhares 3 2 5 3 10 2 2" xfId="27853" xr:uid="{00000000-0005-0000-0000-0000C2650000}"/>
    <cellStyle name="Separador de milhares 3 2 5 3 10 2 2 2" xfId="54034" xr:uid="{00000000-0005-0000-0000-0000C3650000}"/>
    <cellStyle name="Separador de milhares 3 2 5 3 10 2 3" xfId="21939" xr:uid="{00000000-0005-0000-0000-0000C4650000}"/>
    <cellStyle name="Separador de milhares 3 2 5 3 10 2 3 2" xfId="48126" xr:uid="{00000000-0005-0000-0000-0000C5650000}"/>
    <cellStyle name="Separador de milhares 3 2 5 3 10 2 4" xfId="16025" xr:uid="{00000000-0005-0000-0000-0000C6650000}"/>
    <cellStyle name="Separador de milhares 3 2 5 3 10 2 4 2" xfId="42218" xr:uid="{00000000-0005-0000-0000-0000C7650000}"/>
    <cellStyle name="Separador de milhares 3 2 5 3 10 2 5" xfId="35832" xr:uid="{00000000-0005-0000-0000-0000C8650000}"/>
    <cellStyle name="Separador de milhares 3 2 5 3 10 3" xfId="24896" xr:uid="{00000000-0005-0000-0000-0000C9650000}"/>
    <cellStyle name="Separador de milhares 3 2 5 3 10 3 2" xfId="51080" xr:uid="{00000000-0005-0000-0000-0000CA650000}"/>
    <cellStyle name="Separador de milhares 3 2 5 3 10 4" xfId="18982" xr:uid="{00000000-0005-0000-0000-0000CB650000}"/>
    <cellStyle name="Separador de milhares 3 2 5 3 10 4 2" xfId="45172" xr:uid="{00000000-0005-0000-0000-0000CC650000}"/>
    <cellStyle name="Separador de milhares 3 2 5 3 10 5" xfId="12877" xr:uid="{00000000-0005-0000-0000-0000CD650000}"/>
    <cellStyle name="Separador de milhares 3 2 5 3 10 5 2" xfId="39070" xr:uid="{00000000-0005-0000-0000-0000CE650000}"/>
    <cellStyle name="Separador de milhares 3 2 5 3 10 6" xfId="32684" xr:uid="{00000000-0005-0000-0000-0000CF650000}"/>
    <cellStyle name="Separador de milhares 3 2 5 3 11" xfId="8168" xr:uid="{00000000-0005-0000-0000-0000D0650000}"/>
    <cellStyle name="Separador de milhares 3 2 5 3 11 2" xfId="26382" xr:uid="{00000000-0005-0000-0000-0000D1650000}"/>
    <cellStyle name="Separador de milhares 3 2 5 3 11 2 2" xfId="52566" xr:uid="{00000000-0005-0000-0000-0000D2650000}"/>
    <cellStyle name="Separador de milhares 3 2 5 3 11 3" xfId="20468" xr:uid="{00000000-0005-0000-0000-0000D3650000}"/>
    <cellStyle name="Separador de milhares 3 2 5 3 11 3 2" xfId="46658" xr:uid="{00000000-0005-0000-0000-0000D4650000}"/>
    <cellStyle name="Separador de milhares 3 2 5 3 11 4" xfId="14557" xr:uid="{00000000-0005-0000-0000-0000D5650000}"/>
    <cellStyle name="Separador de milhares 3 2 5 3 11 4 2" xfId="40750" xr:uid="{00000000-0005-0000-0000-0000D6650000}"/>
    <cellStyle name="Separador de milhares 3 2 5 3 11 5" xfId="34364" xr:uid="{00000000-0005-0000-0000-0000D7650000}"/>
    <cellStyle name="Separador de milhares 3 2 5 3 12" xfId="4787" xr:uid="{00000000-0005-0000-0000-0000D8650000}"/>
    <cellStyle name="Separador de milhares 3 2 5 3 12 2" xfId="23425" xr:uid="{00000000-0005-0000-0000-0000D9650000}"/>
    <cellStyle name="Separador de milhares 3 2 5 3 12 2 2" xfId="49612" xr:uid="{00000000-0005-0000-0000-0000DA650000}"/>
    <cellStyle name="Separador de milhares 3 2 5 3 12 3" xfId="30985" xr:uid="{00000000-0005-0000-0000-0000DB650000}"/>
    <cellStyle name="Separador de milhares 3 2 5 3 13" xfId="17511" xr:uid="{00000000-0005-0000-0000-0000DC650000}"/>
    <cellStyle name="Separador de milhares 3 2 5 3 13 2" xfId="43704" xr:uid="{00000000-0005-0000-0000-0000DD650000}"/>
    <cellStyle name="Separador de milhares 3 2 5 3 14" xfId="11176" xr:uid="{00000000-0005-0000-0000-0000DE650000}"/>
    <cellStyle name="Separador de milhares 3 2 5 3 14 2" xfId="37369" xr:uid="{00000000-0005-0000-0000-0000DF650000}"/>
    <cellStyle name="Separador de milhares 3 2 5 3 15" xfId="29287" xr:uid="{00000000-0005-0000-0000-0000E0650000}"/>
    <cellStyle name="Separador de milhares 3 2 5 3 2" xfId="543" xr:uid="{00000000-0005-0000-0000-0000E1650000}"/>
    <cellStyle name="Separador de milhares 3 2 5 3 2 2" xfId="6559" xr:uid="{00000000-0005-0000-0000-0000E2650000}"/>
    <cellStyle name="Separador de milhares 3 2 5 3 2 2 2" xfId="9706" xr:uid="{00000000-0005-0000-0000-0000E3650000}"/>
    <cellStyle name="Separador de milhares 3 2 5 3 2 2 2 2" xfId="27920" xr:uid="{00000000-0005-0000-0000-0000E4650000}"/>
    <cellStyle name="Separador de milhares 3 2 5 3 2 2 2 2 2" xfId="54101" xr:uid="{00000000-0005-0000-0000-0000E5650000}"/>
    <cellStyle name="Separador de milhares 3 2 5 3 2 2 2 3" xfId="22006" xr:uid="{00000000-0005-0000-0000-0000E6650000}"/>
    <cellStyle name="Separador de milhares 3 2 5 3 2 2 2 3 2" xfId="48193" xr:uid="{00000000-0005-0000-0000-0000E7650000}"/>
    <cellStyle name="Separador de milhares 3 2 5 3 2 2 2 4" xfId="16092" xr:uid="{00000000-0005-0000-0000-0000E8650000}"/>
    <cellStyle name="Separador de milhares 3 2 5 3 2 2 2 4 2" xfId="42285" xr:uid="{00000000-0005-0000-0000-0000E9650000}"/>
    <cellStyle name="Separador de milhares 3 2 5 3 2 2 2 5" xfId="35899" xr:uid="{00000000-0005-0000-0000-0000EA650000}"/>
    <cellStyle name="Separador de milhares 3 2 5 3 2 2 3" xfId="24963" xr:uid="{00000000-0005-0000-0000-0000EB650000}"/>
    <cellStyle name="Separador de milhares 3 2 5 3 2 2 3 2" xfId="51147" xr:uid="{00000000-0005-0000-0000-0000EC650000}"/>
    <cellStyle name="Separador de milhares 3 2 5 3 2 2 4" xfId="19049" xr:uid="{00000000-0005-0000-0000-0000ED650000}"/>
    <cellStyle name="Separador de milhares 3 2 5 3 2 2 4 2" xfId="45239" xr:uid="{00000000-0005-0000-0000-0000EE650000}"/>
    <cellStyle name="Separador de milhares 3 2 5 3 2 2 5" xfId="12948" xr:uid="{00000000-0005-0000-0000-0000EF650000}"/>
    <cellStyle name="Separador de milhares 3 2 5 3 2 2 5 2" xfId="39141" xr:uid="{00000000-0005-0000-0000-0000F0650000}"/>
    <cellStyle name="Separador de milhares 3 2 5 3 2 2 6" xfId="32755" xr:uid="{00000000-0005-0000-0000-0000F1650000}"/>
    <cellStyle name="Separador de milhares 3 2 5 3 2 3" xfId="8235" xr:uid="{00000000-0005-0000-0000-0000F2650000}"/>
    <cellStyle name="Separador de milhares 3 2 5 3 2 3 2" xfId="26449" xr:uid="{00000000-0005-0000-0000-0000F3650000}"/>
    <cellStyle name="Separador de milhares 3 2 5 3 2 3 2 2" xfId="52633" xr:uid="{00000000-0005-0000-0000-0000F4650000}"/>
    <cellStyle name="Separador de milhares 3 2 5 3 2 3 3" xfId="20535" xr:uid="{00000000-0005-0000-0000-0000F5650000}"/>
    <cellStyle name="Separador de milhares 3 2 5 3 2 3 3 2" xfId="46725" xr:uid="{00000000-0005-0000-0000-0000F6650000}"/>
    <cellStyle name="Separador de milhares 3 2 5 3 2 3 4" xfId="14624" xr:uid="{00000000-0005-0000-0000-0000F7650000}"/>
    <cellStyle name="Separador de milhares 3 2 5 3 2 3 4 2" xfId="40817" xr:uid="{00000000-0005-0000-0000-0000F8650000}"/>
    <cellStyle name="Separador de milhares 3 2 5 3 2 3 5" xfId="34431" xr:uid="{00000000-0005-0000-0000-0000F9650000}"/>
    <cellStyle name="Separador de milhares 3 2 5 3 2 4" xfId="4858" xr:uid="{00000000-0005-0000-0000-0000FA650000}"/>
    <cellStyle name="Separador de milhares 3 2 5 3 2 4 2" xfId="23492" xr:uid="{00000000-0005-0000-0000-0000FB650000}"/>
    <cellStyle name="Separador de milhares 3 2 5 3 2 4 2 2" xfId="49679" xr:uid="{00000000-0005-0000-0000-0000FC650000}"/>
    <cellStyle name="Separador de milhares 3 2 5 3 2 4 3" xfId="31056" xr:uid="{00000000-0005-0000-0000-0000FD650000}"/>
    <cellStyle name="Separador de milhares 3 2 5 3 2 5" xfId="17578" xr:uid="{00000000-0005-0000-0000-0000FE650000}"/>
    <cellStyle name="Separador de milhares 3 2 5 3 2 5 2" xfId="43771" xr:uid="{00000000-0005-0000-0000-0000FF650000}"/>
    <cellStyle name="Separador de milhares 3 2 5 3 2 6" xfId="11247" xr:uid="{00000000-0005-0000-0000-000000660000}"/>
    <cellStyle name="Separador de milhares 3 2 5 3 2 6 2" xfId="37440" xr:uid="{00000000-0005-0000-0000-000001660000}"/>
    <cellStyle name="Separador de milhares 3 2 5 3 2 7" xfId="29358" xr:uid="{00000000-0005-0000-0000-000002660000}"/>
    <cellStyle name="Separador de milhares 3 2 5 3 3" xfId="840" xr:uid="{00000000-0005-0000-0000-000003660000}"/>
    <cellStyle name="Separador de milhares 3 2 5 3 3 2" xfId="6661" xr:uid="{00000000-0005-0000-0000-000004660000}"/>
    <cellStyle name="Separador de milhares 3 2 5 3 3 2 2" xfId="9808" xr:uid="{00000000-0005-0000-0000-000005660000}"/>
    <cellStyle name="Separador de milhares 3 2 5 3 3 2 2 2" xfId="28022" xr:uid="{00000000-0005-0000-0000-000006660000}"/>
    <cellStyle name="Separador de milhares 3 2 5 3 3 2 2 2 2" xfId="54203" xr:uid="{00000000-0005-0000-0000-000007660000}"/>
    <cellStyle name="Separador de milhares 3 2 5 3 3 2 2 3" xfId="22108" xr:uid="{00000000-0005-0000-0000-000008660000}"/>
    <cellStyle name="Separador de milhares 3 2 5 3 3 2 2 3 2" xfId="48295" xr:uid="{00000000-0005-0000-0000-000009660000}"/>
    <cellStyle name="Separador de milhares 3 2 5 3 3 2 2 4" xfId="16194" xr:uid="{00000000-0005-0000-0000-00000A660000}"/>
    <cellStyle name="Separador de milhares 3 2 5 3 3 2 2 4 2" xfId="42387" xr:uid="{00000000-0005-0000-0000-00000B660000}"/>
    <cellStyle name="Separador de milhares 3 2 5 3 3 2 2 5" xfId="36001" xr:uid="{00000000-0005-0000-0000-00000C660000}"/>
    <cellStyle name="Separador de milhares 3 2 5 3 3 2 3" xfId="25065" xr:uid="{00000000-0005-0000-0000-00000D660000}"/>
    <cellStyle name="Separador de milhares 3 2 5 3 3 2 3 2" xfId="51249" xr:uid="{00000000-0005-0000-0000-00000E660000}"/>
    <cellStyle name="Separador de milhares 3 2 5 3 3 2 4" xfId="19151" xr:uid="{00000000-0005-0000-0000-00000F660000}"/>
    <cellStyle name="Separador de milhares 3 2 5 3 3 2 4 2" xfId="45341" xr:uid="{00000000-0005-0000-0000-000010660000}"/>
    <cellStyle name="Separador de milhares 3 2 5 3 3 2 5" xfId="13050" xr:uid="{00000000-0005-0000-0000-000011660000}"/>
    <cellStyle name="Separador de milhares 3 2 5 3 3 2 5 2" xfId="39243" xr:uid="{00000000-0005-0000-0000-000012660000}"/>
    <cellStyle name="Separador de milhares 3 2 5 3 3 2 6" xfId="32857" xr:uid="{00000000-0005-0000-0000-000013660000}"/>
    <cellStyle name="Separador de milhares 3 2 5 3 3 3" xfId="8340" xr:uid="{00000000-0005-0000-0000-000014660000}"/>
    <cellStyle name="Separador de milhares 3 2 5 3 3 3 2" xfId="26554" xr:uid="{00000000-0005-0000-0000-000015660000}"/>
    <cellStyle name="Separador de milhares 3 2 5 3 3 3 2 2" xfId="52735" xr:uid="{00000000-0005-0000-0000-000016660000}"/>
    <cellStyle name="Separador de milhares 3 2 5 3 3 3 3" xfId="20640" xr:uid="{00000000-0005-0000-0000-000017660000}"/>
    <cellStyle name="Separador de milhares 3 2 5 3 3 3 3 2" xfId="46827" xr:uid="{00000000-0005-0000-0000-000018660000}"/>
    <cellStyle name="Separador de milhares 3 2 5 3 3 3 4" xfId="14726" xr:uid="{00000000-0005-0000-0000-000019660000}"/>
    <cellStyle name="Separador de milhares 3 2 5 3 3 3 4 2" xfId="40919" xr:uid="{00000000-0005-0000-0000-00001A660000}"/>
    <cellStyle name="Separador de milhares 3 2 5 3 3 3 5" xfId="34533" xr:uid="{00000000-0005-0000-0000-00001B660000}"/>
    <cellStyle name="Separador de milhares 3 2 5 3 3 4" xfId="4962" xr:uid="{00000000-0005-0000-0000-00001C660000}"/>
    <cellStyle name="Separador de milhares 3 2 5 3 3 4 2" xfId="23597" xr:uid="{00000000-0005-0000-0000-00001D660000}"/>
    <cellStyle name="Separador de milhares 3 2 5 3 3 4 2 2" xfId="49781" xr:uid="{00000000-0005-0000-0000-00001E660000}"/>
    <cellStyle name="Separador de milhares 3 2 5 3 3 4 3" xfId="31158" xr:uid="{00000000-0005-0000-0000-00001F660000}"/>
    <cellStyle name="Separador de milhares 3 2 5 3 3 5" xfId="17683" xr:uid="{00000000-0005-0000-0000-000020660000}"/>
    <cellStyle name="Separador de milhares 3 2 5 3 3 5 2" xfId="43873" xr:uid="{00000000-0005-0000-0000-000021660000}"/>
    <cellStyle name="Separador de milhares 3 2 5 3 3 6" xfId="11349" xr:uid="{00000000-0005-0000-0000-000022660000}"/>
    <cellStyle name="Separador de milhares 3 2 5 3 3 6 2" xfId="37542" xr:uid="{00000000-0005-0000-0000-000023660000}"/>
    <cellStyle name="Separador de milhares 3 2 5 3 3 7" xfId="29460" xr:uid="{00000000-0005-0000-0000-000024660000}"/>
    <cellStyle name="Separador de milhares 3 2 5 3 4" xfId="1191" xr:uid="{00000000-0005-0000-0000-000025660000}"/>
    <cellStyle name="Separador de milhares 3 2 5 3 4 2" xfId="6759" xr:uid="{00000000-0005-0000-0000-000026660000}"/>
    <cellStyle name="Separador de milhares 3 2 5 3 4 2 2" xfId="9906" xr:uid="{00000000-0005-0000-0000-000027660000}"/>
    <cellStyle name="Separador de milhares 3 2 5 3 4 2 2 2" xfId="28120" xr:uid="{00000000-0005-0000-0000-000028660000}"/>
    <cellStyle name="Separador de milhares 3 2 5 3 4 2 2 2 2" xfId="54301" xr:uid="{00000000-0005-0000-0000-000029660000}"/>
    <cellStyle name="Separador de milhares 3 2 5 3 4 2 2 3" xfId="22206" xr:uid="{00000000-0005-0000-0000-00002A660000}"/>
    <cellStyle name="Separador de milhares 3 2 5 3 4 2 2 3 2" xfId="48393" xr:uid="{00000000-0005-0000-0000-00002B660000}"/>
    <cellStyle name="Separador de milhares 3 2 5 3 4 2 2 4" xfId="16292" xr:uid="{00000000-0005-0000-0000-00002C660000}"/>
    <cellStyle name="Separador de milhares 3 2 5 3 4 2 2 4 2" xfId="42485" xr:uid="{00000000-0005-0000-0000-00002D660000}"/>
    <cellStyle name="Separador de milhares 3 2 5 3 4 2 2 5" xfId="36099" xr:uid="{00000000-0005-0000-0000-00002E660000}"/>
    <cellStyle name="Separador de milhares 3 2 5 3 4 2 3" xfId="25163" xr:uid="{00000000-0005-0000-0000-00002F660000}"/>
    <cellStyle name="Separador de milhares 3 2 5 3 4 2 3 2" xfId="51347" xr:uid="{00000000-0005-0000-0000-000030660000}"/>
    <cellStyle name="Separador de milhares 3 2 5 3 4 2 4" xfId="19249" xr:uid="{00000000-0005-0000-0000-000031660000}"/>
    <cellStyle name="Separador de milhares 3 2 5 3 4 2 4 2" xfId="45439" xr:uid="{00000000-0005-0000-0000-000032660000}"/>
    <cellStyle name="Separador de milhares 3 2 5 3 4 2 5" xfId="13148" xr:uid="{00000000-0005-0000-0000-000033660000}"/>
    <cellStyle name="Separador de milhares 3 2 5 3 4 2 5 2" xfId="39341" xr:uid="{00000000-0005-0000-0000-000034660000}"/>
    <cellStyle name="Separador de milhares 3 2 5 3 4 2 6" xfId="32955" xr:uid="{00000000-0005-0000-0000-000035660000}"/>
    <cellStyle name="Separador de milhares 3 2 5 3 4 3" xfId="8438" xr:uid="{00000000-0005-0000-0000-000036660000}"/>
    <cellStyle name="Separador de milhares 3 2 5 3 4 3 2" xfId="26652" xr:uid="{00000000-0005-0000-0000-000037660000}"/>
    <cellStyle name="Separador de milhares 3 2 5 3 4 3 2 2" xfId="52833" xr:uid="{00000000-0005-0000-0000-000038660000}"/>
    <cellStyle name="Separador de milhares 3 2 5 3 4 3 3" xfId="20738" xr:uid="{00000000-0005-0000-0000-000039660000}"/>
    <cellStyle name="Separador de milhares 3 2 5 3 4 3 3 2" xfId="46925" xr:uid="{00000000-0005-0000-0000-00003A660000}"/>
    <cellStyle name="Separador de milhares 3 2 5 3 4 3 4" xfId="14824" xr:uid="{00000000-0005-0000-0000-00003B660000}"/>
    <cellStyle name="Separador de milhares 3 2 5 3 4 3 4 2" xfId="41017" xr:uid="{00000000-0005-0000-0000-00003C660000}"/>
    <cellStyle name="Separador de milhares 3 2 5 3 4 3 5" xfId="34631" xr:uid="{00000000-0005-0000-0000-00003D660000}"/>
    <cellStyle name="Separador de milhares 3 2 5 3 4 4" xfId="5060" xr:uid="{00000000-0005-0000-0000-00003E660000}"/>
    <cellStyle name="Separador de milhares 3 2 5 3 4 4 2" xfId="23695" xr:uid="{00000000-0005-0000-0000-00003F660000}"/>
    <cellStyle name="Separador de milhares 3 2 5 3 4 4 2 2" xfId="49879" xr:uid="{00000000-0005-0000-0000-000040660000}"/>
    <cellStyle name="Separador de milhares 3 2 5 3 4 4 3" xfId="31256" xr:uid="{00000000-0005-0000-0000-000041660000}"/>
    <cellStyle name="Separador de milhares 3 2 5 3 4 5" xfId="17781" xr:uid="{00000000-0005-0000-0000-000042660000}"/>
    <cellStyle name="Separador de milhares 3 2 5 3 4 5 2" xfId="43971" xr:uid="{00000000-0005-0000-0000-000043660000}"/>
    <cellStyle name="Separador de milhares 3 2 5 3 4 6" xfId="11447" xr:uid="{00000000-0005-0000-0000-000044660000}"/>
    <cellStyle name="Separador de milhares 3 2 5 3 4 6 2" xfId="37640" xr:uid="{00000000-0005-0000-0000-000045660000}"/>
    <cellStyle name="Separador de milhares 3 2 5 3 4 7" xfId="29558" xr:uid="{00000000-0005-0000-0000-000046660000}"/>
    <cellStyle name="Separador de milhares 3 2 5 3 5" xfId="1626" xr:uid="{00000000-0005-0000-0000-000047660000}"/>
    <cellStyle name="Separador de milhares 3 2 5 3 5 2" xfId="6878" xr:uid="{00000000-0005-0000-0000-000048660000}"/>
    <cellStyle name="Separador de milhares 3 2 5 3 5 2 2" xfId="10025" xr:uid="{00000000-0005-0000-0000-000049660000}"/>
    <cellStyle name="Separador de milhares 3 2 5 3 5 2 2 2" xfId="28239" xr:uid="{00000000-0005-0000-0000-00004A660000}"/>
    <cellStyle name="Separador de milhares 3 2 5 3 5 2 2 2 2" xfId="54420" xr:uid="{00000000-0005-0000-0000-00004B660000}"/>
    <cellStyle name="Separador de milhares 3 2 5 3 5 2 2 3" xfId="22325" xr:uid="{00000000-0005-0000-0000-00004C660000}"/>
    <cellStyle name="Separador de milhares 3 2 5 3 5 2 2 3 2" xfId="48512" xr:uid="{00000000-0005-0000-0000-00004D660000}"/>
    <cellStyle name="Separador de milhares 3 2 5 3 5 2 2 4" xfId="16411" xr:uid="{00000000-0005-0000-0000-00004E660000}"/>
    <cellStyle name="Separador de milhares 3 2 5 3 5 2 2 4 2" xfId="42604" xr:uid="{00000000-0005-0000-0000-00004F660000}"/>
    <cellStyle name="Separador de milhares 3 2 5 3 5 2 2 5" xfId="36218" xr:uid="{00000000-0005-0000-0000-000050660000}"/>
    <cellStyle name="Separador de milhares 3 2 5 3 5 2 3" xfId="25282" xr:uid="{00000000-0005-0000-0000-000051660000}"/>
    <cellStyle name="Separador de milhares 3 2 5 3 5 2 3 2" xfId="51466" xr:uid="{00000000-0005-0000-0000-000052660000}"/>
    <cellStyle name="Separador de milhares 3 2 5 3 5 2 4" xfId="19368" xr:uid="{00000000-0005-0000-0000-000053660000}"/>
    <cellStyle name="Separador de milhares 3 2 5 3 5 2 4 2" xfId="45558" xr:uid="{00000000-0005-0000-0000-000054660000}"/>
    <cellStyle name="Separador de milhares 3 2 5 3 5 2 5" xfId="13267" xr:uid="{00000000-0005-0000-0000-000055660000}"/>
    <cellStyle name="Separador de milhares 3 2 5 3 5 2 5 2" xfId="39460" xr:uid="{00000000-0005-0000-0000-000056660000}"/>
    <cellStyle name="Separador de milhares 3 2 5 3 5 2 6" xfId="33074" xr:uid="{00000000-0005-0000-0000-000057660000}"/>
    <cellStyle name="Separador de milhares 3 2 5 3 5 3" xfId="8557" xr:uid="{00000000-0005-0000-0000-000058660000}"/>
    <cellStyle name="Separador de milhares 3 2 5 3 5 3 2" xfId="26771" xr:uid="{00000000-0005-0000-0000-000059660000}"/>
    <cellStyle name="Separador de milhares 3 2 5 3 5 3 2 2" xfId="52952" xr:uid="{00000000-0005-0000-0000-00005A660000}"/>
    <cellStyle name="Separador de milhares 3 2 5 3 5 3 3" xfId="20857" xr:uid="{00000000-0005-0000-0000-00005B660000}"/>
    <cellStyle name="Separador de milhares 3 2 5 3 5 3 3 2" xfId="47044" xr:uid="{00000000-0005-0000-0000-00005C660000}"/>
    <cellStyle name="Separador de milhares 3 2 5 3 5 3 4" xfId="14943" xr:uid="{00000000-0005-0000-0000-00005D660000}"/>
    <cellStyle name="Separador de milhares 3 2 5 3 5 3 4 2" xfId="41136" xr:uid="{00000000-0005-0000-0000-00005E660000}"/>
    <cellStyle name="Separador de milhares 3 2 5 3 5 3 5" xfId="34750" xr:uid="{00000000-0005-0000-0000-00005F660000}"/>
    <cellStyle name="Separador de milhares 3 2 5 3 5 4" xfId="5179" xr:uid="{00000000-0005-0000-0000-000060660000}"/>
    <cellStyle name="Separador de milhares 3 2 5 3 5 4 2" xfId="23814" xr:uid="{00000000-0005-0000-0000-000061660000}"/>
    <cellStyle name="Separador de milhares 3 2 5 3 5 4 2 2" xfId="49998" xr:uid="{00000000-0005-0000-0000-000062660000}"/>
    <cellStyle name="Separador de milhares 3 2 5 3 5 4 3" xfId="31375" xr:uid="{00000000-0005-0000-0000-000063660000}"/>
    <cellStyle name="Separador de milhares 3 2 5 3 5 5" xfId="17900" xr:uid="{00000000-0005-0000-0000-000064660000}"/>
    <cellStyle name="Separador de milhares 3 2 5 3 5 5 2" xfId="44090" xr:uid="{00000000-0005-0000-0000-000065660000}"/>
    <cellStyle name="Separador de milhares 3 2 5 3 5 6" xfId="11566" xr:uid="{00000000-0005-0000-0000-000066660000}"/>
    <cellStyle name="Separador de milhares 3 2 5 3 5 6 2" xfId="37759" xr:uid="{00000000-0005-0000-0000-000067660000}"/>
    <cellStyle name="Separador de milhares 3 2 5 3 5 7" xfId="29677" xr:uid="{00000000-0005-0000-0000-000068660000}"/>
    <cellStyle name="Separador de milhares 3 2 5 3 6" xfId="2156" xr:uid="{00000000-0005-0000-0000-000069660000}"/>
    <cellStyle name="Separador de milhares 3 2 5 3 6 2" xfId="7028" xr:uid="{00000000-0005-0000-0000-00006A660000}"/>
    <cellStyle name="Separador de milhares 3 2 5 3 6 2 2" xfId="10172" xr:uid="{00000000-0005-0000-0000-00006B660000}"/>
    <cellStyle name="Separador de milhares 3 2 5 3 6 2 2 2" xfId="28386" xr:uid="{00000000-0005-0000-0000-00006C660000}"/>
    <cellStyle name="Separador de milhares 3 2 5 3 6 2 2 2 2" xfId="54567" xr:uid="{00000000-0005-0000-0000-00006D660000}"/>
    <cellStyle name="Separador de milhares 3 2 5 3 6 2 2 3" xfId="22472" xr:uid="{00000000-0005-0000-0000-00006E660000}"/>
    <cellStyle name="Separador de milhares 3 2 5 3 6 2 2 3 2" xfId="48659" xr:uid="{00000000-0005-0000-0000-00006F660000}"/>
    <cellStyle name="Separador de milhares 3 2 5 3 6 2 2 4" xfId="16558" xr:uid="{00000000-0005-0000-0000-000070660000}"/>
    <cellStyle name="Separador de milhares 3 2 5 3 6 2 2 4 2" xfId="42751" xr:uid="{00000000-0005-0000-0000-000071660000}"/>
    <cellStyle name="Separador de milhares 3 2 5 3 6 2 2 5" xfId="36365" xr:uid="{00000000-0005-0000-0000-000072660000}"/>
    <cellStyle name="Separador de milhares 3 2 5 3 6 2 3" xfId="25429" xr:uid="{00000000-0005-0000-0000-000073660000}"/>
    <cellStyle name="Separador de milhares 3 2 5 3 6 2 3 2" xfId="51613" xr:uid="{00000000-0005-0000-0000-000074660000}"/>
    <cellStyle name="Separador de milhares 3 2 5 3 6 2 4" xfId="19515" xr:uid="{00000000-0005-0000-0000-000075660000}"/>
    <cellStyle name="Separador de milhares 3 2 5 3 6 2 4 2" xfId="45705" xr:uid="{00000000-0005-0000-0000-000076660000}"/>
    <cellStyle name="Separador de milhares 3 2 5 3 6 2 5" xfId="13417" xr:uid="{00000000-0005-0000-0000-000077660000}"/>
    <cellStyle name="Separador de milhares 3 2 5 3 6 2 5 2" xfId="39610" xr:uid="{00000000-0005-0000-0000-000078660000}"/>
    <cellStyle name="Separador de milhares 3 2 5 3 6 2 6" xfId="33224" xr:uid="{00000000-0005-0000-0000-000079660000}"/>
    <cellStyle name="Separador de milhares 3 2 5 3 6 3" xfId="8704" xr:uid="{00000000-0005-0000-0000-00007A660000}"/>
    <cellStyle name="Separador de milhares 3 2 5 3 6 3 2" xfId="26918" xr:uid="{00000000-0005-0000-0000-00007B660000}"/>
    <cellStyle name="Separador de milhares 3 2 5 3 6 3 2 2" xfId="53099" xr:uid="{00000000-0005-0000-0000-00007C660000}"/>
    <cellStyle name="Separador de milhares 3 2 5 3 6 3 3" xfId="21004" xr:uid="{00000000-0005-0000-0000-00007D660000}"/>
    <cellStyle name="Separador de milhares 3 2 5 3 6 3 3 2" xfId="47191" xr:uid="{00000000-0005-0000-0000-00007E660000}"/>
    <cellStyle name="Separador de milhares 3 2 5 3 6 3 4" xfId="15090" xr:uid="{00000000-0005-0000-0000-00007F660000}"/>
    <cellStyle name="Separador de milhares 3 2 5 3 6 3 4 2" xfId="41283" xr:uid="{00000000-0005-0000-0000-000080660000}"/>
    <cellStyle name="Separador de milhares 3 2 5 3 6 3 5" xfId="34897" xr:uid="{00000000-0005-0000-0000-000081660000}"/>
    <cellStyle name="Separador de milhares 3 2 5 3 6 4" xfId="5329" xr:uid="{00000000-0005-0000-0000-000082660000}"/>
    <cellStyle name="Separador de milhares 3 2 5 3 6 4 2" xfId="23961" xr:uid="{00000000-0005-0000-0000-000083660000}"/>
    <cellStyle name="Separador de milhares 3 2 5 3 6 4 2 2" xfId="50145" xr:uid="{00000000-0005-0000-0000-000084660000}"/>
    <cellStyle name="Separador de milhares 3 2 5 3 6 4 3" xfId="31525" xr:uid="{00000000-0005-0000-0000-000085660000}"/>
    <cellStyle name="Separador de milhares 3 2 5 3 6 5" xfId="18047" xr:uid="{00000000-0005-0000-0000-000086660000}"/>
    <cellStyle name="Separador de milhares 3 2 5 3 6 5 2" xfId="44237" xr:uid="{00000000-0005-0000-0000-000087660000}"/>
    <cellStyle name="Separador de milhares 3 2 5 3 6 6" xfId="11716" xr:uid="{00000000-0005-0000-0000-000088660000}"/>
    <cellStyle name="Separador de milhares 3 2 5 3 6 6 2" xfId="37909" xr:uid="{00000000-0005-0000-0000-000089660000}"/>
    <cellStyle name="Separador de milhares 3 2 5 3 6 7" xfId="29827" xr:uid="{00000000-0005-0000-0000-00008A660000}"/>
    <cellStyle name="Separador de milhares 3 2 5 3 7" xfId="2683" xr:uid="{00000000-0005-0000-0000-00008B660000}"/>
    <cellStyle name="Separador de milhares 3 2 5 3 7 2" xfId="7175" xr:uid="{00000000-0005-0000-0000-00008C660000}"/>
    <cellStyle name="Separador de milhares 3 2 5 3 7 2 2" xfId="10319" xr:uid="{00000000-0005-0000-0000-00008D660000}"/>
    <cellStyle name="Separador de milhares 3 2 5 3 7 2 2 2" xfId="28533" xr:uid="{00000000-0005-0000-0000-00008E660000}"/>
    <cellStyle name="Separador de milhares 3 2 5 3 7 2 2 2 2" xfId="54714" xr:uid="{00000000-0005-0000-0000-00008F660000}"/>
    <cellStyle name="Separador de milhares 3 2 5 3 7 2 2 3" xfId="22619" xr:uid="{00000000-0005-0000-0000-000090660000}"/>
    <cellStyle name="Separador de milhares 3 2 5 3 7 2 2 3 2" xfId="48806" xr:uid="{00000000-0005-0000-0000-000091660000}"/>
    <cellStyle name="Separador de milhares 3 2 5 3 7 2 2 4" xfId="16705" xr:uid="{00000000-0005-0000-0000-000092660000}"/>
    <cellStyle name="Separador de milhares 3 2 5 3 7 2 2 4 2" xfId="42898" xr:uid="{00000000-0005-0000-0000-000093660000}"/>
    <cellStyle name="Separador de milhares 3 2 5 3 7 2 2 5" xfId="36512" xr:uid="{00000000-0005-0000-0000-000094660000}"/>
    <cellStyle name="Separador de milhares 3 2 5 3 7 2 3" xfId="25576" xr:uid="{00000000-0005-0000-0000-000095660000}"/>
    <cellStyle name="Separador de milhares 3 2 5 3 7 2 3 2" xfId="51760" xr:uid="{00000000-0005-0000-0000-000096660000}"/>
    <cellStyle name="Separador de milhares 3 2 5 3 7 2 4" xfId="19662" xr:uid="{00000000-0005-0000-0000-000097660000}"/>
    <cellStyle name="Separador de milhares 3 2 5 3 7 2 4 2" xfId="45852" xr:uid="{00000000-0005-0000-0000-000098660000}"/>
    <cellStyle name="Separador de milhares 3 2 5 3 7 2 5" xfId="13564" xr:uid="{00000000-0005-0000-0000-000099660000}"/>
    <cellStyle name="Separador de milhares 3 2 5 3 7 2 5 2" xfId="39757" xr:uid="{00000000-0005-0000-0000-00009A660000}"/>
    <cellStyle name="Separador de milhares 3 2 5 3 7 2 6" xfId="33371" xr:uid="{00000000-0005-0000-0000-00009B660000}"/>
    <cellStyle name="Separador de milhares 3 2 5 3 7 3" xfId="8851" xr:uid="{00000000-0005-0000-0000-00009C660000}"/>
    <cellStyle name="Separador de milhares 3 2 5 3 7 3 2" xfId="27065" xr:uid="{00000000-0005-0000-0000-00009D660000}"/>
    <cellStyle name="Separador de milhares 3 2 5 3 7 3 2 2" xfId="53246" xr:uid="{00000000-0005-0000-0000-00009E660000}"/>
    <cellStyle name="Separador de milhares 3 2 5 3 7 3 3" xfId="21151" xr:uid="{00000000-0005-0000-0000-00009F660000}"/>
    <cellStyle name="Separador de milhares 3 2 5 3 7 3 3 2" xfId="47338" xr:uid="{00000000-0005-0000-0000-0000A0660000}"/>
    <cellStyle name="Separador de milhares 3 2 5 3 7 3 4" xfId="15237" xr:uid="{00000000-0005-0000-0000-0000A1660000}"/>
    <cellStyle name="Separador de milhares 3 2 5 3 7 3 4 2" xfId="41430" xr:uid="{00000000-0005-0000-0000-0000A2660000}"/>
    <cellStyle name="Separador de milhares 3 2 5 3 7 3 5" xfId="35044" xr:uid="{00000000-0005-0000-0000-0000A3660000}"/>
    <cellStyle name="Separador de milhares 3 2 5 3 7 4" xfId="5476" xr:uid="{00000000-0005-0000-0000-0000A4660000}"/>
    <cellStyle name="Separador de milhares 3 2 5 3 7 4 2" xfId="24108" xr:uid="{00000000-0005-0000-0000-0000A5660000}"/>
    <cellStyle name="Separador de milhares 3 2 5 3 7 4 2 2" xfId="50292" xr:uid="{00000000-0005-0000-0000-0000A6660000}"/>
    <cellStyle name="Separador de milhares 3 2 5 3 7 4 3" xfId="31672" xr:uid="{00000000-0005-0000-0000-0000A7660000}"/>
    <cellStyle name="Separador de milhares 3 2 5 3 7 5" xfId="18194" xr:uid="{00000000-0005-0000-0000-0000A8660000}"/>
    <cellStyle name="Separador de milhares 3 2 5 3 7 5 2" xfId="44384" xr:uid="{00000000-0005-0000-0000-0000A9660000}"/>
    <cellStyle name="Separador de milhares 3 2 5 3 7 6" xfId="11863" xr:uid="{00000000-0005-0000-0000-0000AA660000}"/>
    <cellStyle name="Separador de milhares 3 2 5 3 7 6 2" xfId="38056" xr:uid="{00000000-0005-0000-0000-0000AB660000}"/>
    <cellStyle name="Separador de milhares 3 2 5 3 7 7" xfId="29974" xr:uid="{00000000-0005-0000-0000-0000AC660000}"/>
    <cellStyle name="Separador de milhares 3 2 5 3 8" xfId="3210" xr:uid="{00000000-0005-0000-0000-0000AD660000}"/>
    <cellStyle name="Separador de milhares 3 2 5 3 8 2" xfId="7322" xr:uid="{00000000-0005-0000-0000-0000AE660000}"/>
    <cellStyle name="Separador de milhares 3 2 5 3 8 2 2" xfId="10466" xr:uid="{00000000-0005-0000-0000-0000AF660000}"/>
    <cellStyle name="Separador de milhares 3 2 5 3 8 2 2 2" xfId="28680" xr:uid="{00000000-0005-0000-0000-0000B0660000}"/>
    <cellStyle name="Separador de milhares 3 2 5 3 8 2 2 2 2" xfId="54861" xr:uid="{00000000-0005-0000-0000-0000B1660000}"/>
    <cellStyle name="Separador de milhares 3 2 5 3 8 2 2 3" xfId="22766" xr:uid="{00000000-0005-0000-0000-0000B2660000}"/>
    <cellStyle name="Separador de milhares 3 2 5 3 8 2 2 3 2" xfId="48953" xr:uid="{00000000-0005-0000-0000-0000B3660000}"/>
    <cellStyle name="Separador de milhares 3 2 5 3 8 2 2 4" xfId="16852" xr:uid="{00000000-0005-0000-0000-0000B4660000}"/>
    <cellStyle name="Separador de milhares 3 2 5 3 8 2 2 4 2" xfId="43045" xr:uid="{00000000-0005-0000-0000-0000B5660000}"/>
    <cellStyle name="Separador de milhares 3 2 5 3 8 2 2 5" xfId="36659" xr:uid="{00000000-0005-0000-0000-0000B6660000}"/>
    <cellStyle name="Separador de milhares 3 2 5 3 8 2 3" xfId="25723" xr:uid="{00000000-0005-0000-0000-0000B7660000}"/>
    <cellStyle name="Separador de milhares 3 2 5 3 8 2 3 2" xfId="51907" xr:uid="{00000000-0005-0000-0000-0000B8660000}"/>
    <cellStyle name="Separador de milhares 3 2 5 3 8 2 4" xfId="19809" xr:uid="{00000000-0005-0000-0000-0000B9660000}"/>
    <cellStyle name="Separador de milhares 3 2 5 3 8 2 4 2" xfId="45999" xr:uid="{00000000-0005-0000-0000-0000BA660000}"/>
    <cellStyle name="Separador de milhares 3 2 5 3 8 2 5" xfId="13711" xr:uid="{00000000-0005-0000-0000-0000BB660000}"/>
    <cellStyle name="Separador de milhares 3 2 5 3 8 2 5 2" xfId="39904" xr:uid="{00000000-0005-0000-0000-0000BC660000}"/>
    <cellStyle name="Separador de milhares 3 2 5 3 8 2 6" xfId="33518" xr:uid="{00000000-0005-0000-0000-0000BD660000}"/>
    <cellStyle name="Separador de milhares 3 2 5 3 8 3" xfId="8998" xr:uid="{00000000-0005-0000-0000-0000BE660000}"/>
    <cellStyle name="Separador de milhares 3 2 5 3 8 3 2" xfId="27212" xr:uid="{00000000-0005-0000-0000-0000BF660000}"/>
    <cellStyle name="Separador de milhares 3 2 5 3 8 3 2 2" xfId="53393" xr:uid="{00000000-0005-0000-0000-0000C0660000}"/>
    <cellStyle name="Separador de milhares 3 2 5 3 8 3 3" xfId="21298" xr:uid="{00000000-0005-0000-0000-0000C1660000}"/>
    <cellStyle name="Separador de milhares 3 2 5 3 8 3 3 2" xfId="47485" xr:uid="{00000000-0005-0000-0000-0000C2660000}"/>
    <cellStyle name="Separador de milhares 3 2 5 3 8 3 4" xfId="15384" xr:uid="{00000000-0005-0000-0000-0000C3660000}"/>
    <cellStyle name="Separador de milhares 3 2 5 3 8 3 4 2" xfId="41577" xr:uid="{00000000-0005-0000-0000-0000C4660000}"/>
    <cellStyle name="Separador de milhares 3 2 5 3 8 3 5" xfId="35191" xr:uid="{00000000-0005-0000-0000-0000C5660000}"/>
    <cellStyle name="Separador de milhares 3 2 5 3 8 4" xfId="5623" xr:uid="{00000000-0005-0000-0000-0000C6660000}"/>
    <cellStyle name="Separador de milhares 3 2 5 3 8 4 2" xfId="24255" xr:uid="{00000000-0005-0000-0000-0000C7660000}"/>
    <cellStyle name="Separador de milhares 3 2 5 3 8 4 2 2" xfId="50439" xr:uid="{00000000-0005-0000-0000-0000C8660000}"/>
    <cellStyle name="Separador de milhares 3 2 5 3 8 4 3" xfId="31819" xr:uid="{00000000-0005-0000-0000-0000C9660000}"/>
    <cellStyle name="Separador de milhares 3 2 5 3 8 5" xfId="18341" xr:uid="{00000000-0005-0000-0000-0000CA660000}"/>
    <cellStyle name="Separador de milhares 3 2 5 3 8 5 2" xfId="44531" xr:uid="{00000000-0005-0000-0000-0000CB660000}"/>
    <cellStyle name="Separador de milhares 3 2 5 3 8 6" xfId="12010" xr:uid="{00000000-0005-0000-0000-0000CC660000}"/>
    <cellStyle name="Separador de milhares 3 2 5 3 8 6 2" xfId="38203" xr:uid="{00000000-0005-0000-0000-0000CD660000}"/>
    <cellStyle name="Separador de milhares 3 2 5 3 8 7" xfId="30121" xr:uid="{00000000-0005-0000-0000-0000CE660000}"/>
    <cellStyle name="Separador de milhares 3 2 5 3 9" xfId="3737" xr:uid="{00000000-0005-0000-0000-0000CF660000}"/>
    <cellStyle name="Separador de milhares 3 2 5 3 9 2" xfId="7469" xr:uid="{00000000-0005-0000-0000-0000D0660000}"/>
    <cellStyle name="Separador de milhares 3 2 5 3 9 2 2" xfId="10613" xr:uid="{00000000-0005-0000-0000-0000D1660000}"/>
    <cellStyle name="Separador de milhares 3 2 5 3 9 2 2 2" xfId="28827" xr:uid="{00000000-0005-0000-0000-0000D2660000}"/>
    <cellStyle name="Separador de milhares 3 2 5 3 9 2 2 2 2" xfId="55008" xr:uid="{00000000-0005-0000-0000-0000D3660000}"/>
    <cellStyle name="Separador de milhares 3 2 5 3 9 2 2 3" xfId="22913" xr:uid="{00000000-0005-0000-0000-0000D4660000}"/>
    <cellStyle name="Separador de milhares 3 2 5 3 9 2 2 3 2" xfId="49100" xr:uid="{00000000-0005-0000-0000-0000D5660000}"/>
    <cellStyle name="Separador de milhares 3 2 5 3 9 2 2 4" xfId="16999" xr:uid="{00000000-0005-0000-0000-0000D6660000}"/>
    <cellStyle name="Separador de milhares 3 2 5 3 9 2 2 4 2" xfId="43192" xr:uid="{00000000-0005-0000-0000-0000D7660000}"/>
    <cellStyle name="Separador de milhares 3 2 5 3 9 2 2 5" xfId="36806" xr:uid="{00000000-0005-0000-0000-0000D8660000}"/>
    <cellStyle name="Separador de milhares 3 2 5 3 9 2 3" xfId="25870" xr:uid="{00000000-0005-0000-0000-0000D9660000}"/>
    <cellStyle name="Separador de milhares 3 2 5 3 9 2 3 2" xfId="52054" xr:uid="{00000000-0005-0000-0000-0000DA660000}"/>
    <cellStyle name="Separador de milhares 3 2 5 3 9 2 4" xfId="19956" xr:uid="{00000000-0005-0000-0000-0000DB660000}"/>
    <cellStyle name="Separador de milhares 3 2 5 3 9 2 4 2" xfId="46146" xr:uid="{00000000-0005-0000-0000-0000DC660000}"/>
    <cellStyle name="Separador de milhares 3 2 5 3 9 2 5" xfId="13858" xr:uid="{00000000-0005-0000-0000-0000DD660000}"/>
    <cellStyle name="Separador de milhares 3 2 5 3 9 2 5 2" xfId="40051" xr:uid="{00000000-0005-0000-0000-0000DE660000}"/>
    <cellStyle name="Separador de milhares 3 2 5 3 9 2 6" xfId="33665" xr:uid="{00000000-0005-0000-0000-0000DF660000}"/>
    <cellStyle name="Separador de milhares 3 2 5 3 9 3" xfId="9145" xr:uid="{00000000-0005-0000-0000-0000E0660000}"/>
    <cellStyle name="Separador de milhares 3 2 5 3 9 3 2" xfId="27359" xr:uid="{00000000-0005-0000-0000-0000E1660000}"/>
    <cellStyle name="Separador de milhares 3 2 5 3 9 3 2 2" xfId="53540" xr:uid="{00000000-0005-0000-0000-0000E2660000}"/>
    <cellStyle name="Separador de milhares 3 2 5 3 9 3 3" xfId="21445" xr:uid="{00000000-0005-0000-0000-0000E3660000}"/>
    <cellStyle name="Separador de milhares 3 2 5 3 9 3 3 2" xfId="47632" xr:uid="{00000000-0005-0000-0000-0000E4660000}"/>
    <cellStyle name="Separador de milhares 3 2 5 3 9 3 4" xfId="15531" xr:uid="{00000000-0005-0000-0000-0000E5660000}"/>
    <cellStyle name="Separador de milhares 3 2 5 3 9 3 4 2" xfId="41724" xr:uid="{00000000-0005-0000-0000-0000E6660000}"/>
    <cellStyle name="Separador de milhares 3 2 5 3 9 3 5" xfId="35338" xr:uid="{00000000-0005-0000-0000-0000E7660000}"/>
    <cellStyle name="Separador de milhares 3 2 5 3 9 4" xfId="5770" xr:uid="{00000000-0005-0000-0000-0000E8660000}"/>
    <cellStyle name="Separador de milhares 3 2 5 3 9 4 2" xfId="24402" xr:uid="{00000000-0005-0000-0000-0000E9660000}"/>
    <cellStyle name="Separador de milhares 3 2 5 3 9 4 2 2" xfId="50586" xr:uid="{00000000-0005-0000-0000-0000EA660000}"/>
    <cellStyle name="Separador de milhares 3 2 5 3 9 4 3" xfId="31966" xr:uid="{00000000-0005-0000-0000-0000EB660000}"/>
    <cellStyle name="Separador de milhares 3 2 5 3 9 5" xfId="18488" xr:uid="{00000000-0005-0000-0000-0000EC660000}"/>
    <cellStyle name="Separador de milhares 3 2 5 3 9 5 2" xfId="44678" xr:uid="{00000000-0005-0000-0000-0000ED660000}"/>
    <cellStyle name="Separador de milhares 3 2 5 3 9 6" xfId="12157" xr:uid="{00000000-0005-0000-0000-0000EE660000}"/>
    <cellStyle name="Separador de milhares 3 2 5 3 9 6 2" xfId="38350" xr:uid="{00000000-0005-0000-0000-0000EF660000}"/>
    <cellStyle name="Separador de milhares 3 2 5 3 9 7" xfId="30268" xr:uid="{00000000-0005-0000-0000-0000F0660000}"/>
    <cellStyle name="Separador de milhares 3 2 5 4" xfId="373" xr:uid="{00000000-0005-0000-0000-0000F1660000}"/>
    <cellStyle name="Separador de milhares 3 2 5 4 10" xfId="6516" xr:uid="{00000000-0005-0000-0000-0000F2660000}"/>
    <cellStyle name="Separador de milhares 3 2 5 4 10 2" xfId="9664" xr:uid="{00000000-0005-0000-0000-0000F3660000}"/>
    <cellStyle name="Separador de milhares 3 2 5 4 10 2 2" xfId="27878" xr:uid="{00000000-0005-0000-0000-0000F4660000}"/>
    <cellStyle name="Separador de milhares 3 2 5 4 10 2 2 2" xfId="54059" xr:uid="{00000000-0005-0000-0000-0000F5660000}"/>
    <cellStyle name="Separador de milhares 3 2 5 4 10 2 3" xfId="21964" xr:uid="{00000000-0005-0000-0000-0000F6660000}"/>
    <cellStyle name="Separador de milhares 3 2 5 4 10 2 3 2" xfId="48151" xr:uid="{00000000-0005-0000-0000-0000F7660000}"/>
    <cellStyle name="Separador de milhares 3 2 5 4 10 2 4" xfId="16050" xr:uid="{00000000-0005-0000-0000-0000F8660000}"/>
    <cellStyle name="Separador de milhares 3 2 5 4 10 2 4 2" xfId="42243" xr:uid="{00000000-0005-0000-0000-0000F9660000}"/>
    <cellStyle name="Separador de milhares 3 2 5 4 10 2 5" xfId="35857" xr:uid="{00000000-0005-0000-0000-0000FA660000}"/>
    <cellStyle name="Separador de milhares 3 2 5 4 10 3" xfId="24921" xr:uid="{00000000-0005-0000-0000-0000FB660000}"/>
    <cellStyle name="Separador de milhares 3 2 5 4 10 3 2" xfId="51105" xr:uid="{00000000-0005-0000-0000-0000FC660000}"/>
    <cellStyle name="Separador de milhares 3 2 5 4 10 4" xfId="19007" xr:uid="{00000000-0005-0000-0000-0000FD660000}"/>
    <cellStyle name="Separador de milhares 3 2 5 4 10 4 2" xfId="45197" xr:uid="{00000000-0005-0000-0000-0000FE660000}"/>
    <cellStyle name="Separador de milhares 3 2 5 4 10 5" xfId="12905" xr:uid="{00000000-0005-0000-0000-0000FF660000}"/>
    <cellStyle name="Separador de milhares 3 2 5 4 10 5 2" xfId="39098" xr:uid="{00000000-0005-0000-0000-000000670000}"/>
    <cellStyle name="Separador de milhares 3 2 5 4 10 6" xfId="32712" xr:uid="{00000000-0005-0000-0000-000001670000}"/>
    <cellStyle name="Separador de milhares 3 2 5 4 11" xfId="8193" xr:uid="{00000000-0005-0000-0000-000002670000}"/>
    <cellStyle name="Separador de milhares 3 2 5 4 11 2" xfId="26407" xr:uid="{00000000-0005-0000-0000-000003670000}"/>
    <cellStyle name="Separador de milhares 3 2 5 4 11 2 2" xfId="52591" xr:uid="{00000000-0005-0000-0000-000004670000}"/>
    <cellStyle name="Separador de milhares 3 2 5 4 11 3" xfId="20493" xr:uid="{00000000-0005-0000-0000-000005670000}"/>
    <cellStyle name="Separador de milhares 3 2 5 4 11 3 2" xfId="46683" xr:uid="{00000000-0005-0000-0000-000006670000}"/>
    <cellStyle name="Separador de milhares 3 2 5 4 11 4" xfId="14582" xr:uid="{00000000-0005-0000-0000-000007670000}"/>
    <cellStyle name="Separador de milhares 3 2 5 4 11 4 2" xfId="40775" xr:uid="{00000000-0005-0000-0000-000008670000}"/>
    <cellStyle name="Separador de milhares 3 2 5 4 11 5" xfId="34389" xr:uid="{00000000-0005-0000-0000-000009670000}"/>
    <cellStyle name="Separador de milhares 3 2 5 4 12" xfId="4815" xr:uid="{00000000-0005-0000-0000-00000A670000}"/>
    <cellStyle name="Separador de milhares 3 2 5 4 12 2" xfId="23450" xr:uid="{00000000-0005-0000-0000-00000B670000}"/>
    <cellStyle name="Separador de milhares 3 2 5 4 12 2 2" xfId="49637" xr:uid="{00000000-0005-0000-0000-00000C670000}"/>
    <cellStyle name="Separador de milhares 3 2 5 4 12 3" xfId="31013" xr:uid="{00000000-0005-0000-0000-00000D670000}"/>
    <cellStyle name="Separador de milhares 3 2 5 4 13" xfId="17536" xr:uid="{00000000-0005-0000-0000-00000E670000}"/>
    <cellStyle name="Separador de milhares 3 2 5 4 13 2" xfId="43729" xr:uid="{00000000-0005-0000-0000-00000F670000}"/>
    <cellStyle name="Separador de milhares 3 2 5 4 14" xfId="11204" xr:uid="{00000000-0005-0000-0000-000010670000}"/>
    <cellStyle name="Separador de milhares 3 2 5 4 14 2" xfId="37397" xr:uid="{00000000-0005-0000-0000-000011670000}"/>
    <cellStyle name="Separador de milhares 3 2 5 4 15" xfId="29315" xr:uid="{00000000-0005-0000-0000-000012670000}"/>
    <cellStyle name="Separador de milhares 3 2 5 4 2" xfId="1018" xr:uid="{00000000-0005-0000-0000-000013670000}"/>
    <cellStyle name="Separador de milhares 3 2 5 4 2 2" xfId="6713" xr:uid="{00000000-0005-0000-0000-000014670000}"/>
    <cellStyle name="Separador de milhares 3 2 5 4 2 2 2" xfId="9860" xr:uid="{00000000-0005-0000-0000-000015670000}"/>
    <cellStyle name="Separador de milhares 3 2 5 4 2 2 2 2" xfId="28074" xr:uid="{00000000-0005-0000-0000-000016670000}"/>
    <cellStyle name="Separador de milhares 3 2 5 4 2 2 2 2 2" xfId="54255" xr:uid="{00000000-0005-0000-0000-000017670000}"/>
    <cellStyle name="Separador de milhares 3 2 5 4 2 2 2 3" xfId="22160" xr:uid="{00000000-0005-0000-0000-000018670000}"/>
    <cellStyle name="Separador de milhares 3 2 5 4 2 2 2 3 2" xfId="48347" xr:uid="{00000000-0005-0000-0000-000019670000}"/>
    <cellStyle name="Separador de milhares 3 2 5 4 2 2 2 4" xfId="16246" xr:uid="{00000000-0005-0000-0000-00001A670000}"/>
    <cellStyle name="Separador de milhares 3 2 5 4 2 2 2 4 2" xfId="42439" xr:uid="{00000000-0005-0000-0000-00001B670000}"/>
    <cellStyle name="Separador de milhares 3 2 5 4 2 2 2 5" xfId="36053" xr:uid="{00000000-0005-0000-0000-00001C670000}"/>
    <cellStyle name="Separador de milhares 3 2 5 4 2 2 3" xfId="25117" xr:uid="{00000000-0005-0000-0000-00001D670000}"/>
    <cellStyle name="Separador de milhares 3 2 5 4 2 2 3 2" xfId="51301" xr:uid="{00000000-0005-0000-0000-00001E670000}"/>
    <cellStyle name="Separador de milhares 3 2 5 4 2 2 4" xfId="19203" xr:uid="{00000000-0005-0000-0000-00001F670000}"/>
    <cellStyle name="Separador de milhares 3 2 5 4 2 2 4 2" xfId="45393" xr:uid="{00000000-0005-0000-0000-000020670000}"/>
    <cellStyle name="Separador de milhares 3 2 5 4 2 2 5" xfId="13102" xr:uid="{00000000-0005-0000-0000-000021670000}"/>
    <cellStyle name="Separador de milhares 3 2 5 4 2 2 5 2" xfId="39295" xr:uid="{00000000-0005-0000-0000-000022670000}"/>
    <cellStyle name="Separador de milhares 3 2 5 4 2 2 6" xfId="32909" xr:uid="{00000000-0005-0000-0000-000023670000}"/>
    <cellStyle name="Separador de milhares 3 2 5 4 2 3" xfId="8392" xr:uid="{00000000-0005-0000-0000-000024670000}"/>
    <cellStyle name="Separador de milhares 3 2 5 4 2 3 2" xfId="26606" xr:uid="{00000000-0005-0000-0000-000025670000}"/>
    <cellStyle name="Separador de milhares 3 2 5 4 2 3 2 2" xfId="52787" xr:uid="{00000000-0005-0000-0000-000026670000}"/>
    <cellStyle name="Separador de milhares 3 2 5 4 2 3 3" xfId="20692" xr:uid="{00000000-0005-0000-0000-000027670000}"/>
    <cellStyle name="Separador de milhares 3 2 5 4 2 3 3 2" xfId="46879" xr:uid="{00000000-0005-0000-0000-000028670000}"/>
    <cellStyle name="Separador de milhares 3 2 5 4 2 3 4" xfId="14778" xr:uid="{00000000-0005-0000-0000-000029670000}"/>
    <cellStyle name="Separador de milhares 3 2 5 4 2 3 4 2" xfId="40971" xr:uid="{00000000-0005-0000-0000-00002A670000}"/>
    <cellStyle name="Separador de milhares 3 2 5 4 2 3 5" xfId="34585" xr:uid="{00000000-0005-0000-0000-00002B670000}"/>
    <cellStyle name="Separador de milhares 3 2 5 4 2 4" xfId="5014" xr:uid="{00000000-0005-0000-0000-00002C670000}"/>
    <cellStyle name="Separador de milhares 3 2 5 4 2 4 2" xfId="23649" xr:uid="{00000000-0005-0000-0000-00002D670000}"/>
    <cellStyle name="Separador de milhares 3 2 5 4 2 4 2 2" xfId="49833" xr:uid="{00000000-0005-0000-0000-00002E670000}"/>
    <cellStyle name="Separador de milhares 3 2 5 4 2 4 3" xfId="31210" xr:uid="{00000000-0005-0000-0000-00002F670000}"/>
    <cellStyle name="Separador de milhares 3 2 5 4 2 5" xfId="17735" xr:uid="{00000000-0005-0000-0000-000030670000}"/>
    <cellStyle name="Separador de milhares 3 2 5 4 2 5 2" xfId="43925" xr:uid="{00000000-0005-0000-0000-000031670000}"/>
    <cellStyle name="Separador de milhares 3 2 5 4 2 6" xfId="11401" xr:uid="{00000000-0005-0000-0000-000032670000}"/>
    <cellStyle name="Separador de milhares 3 2 5 4 2 6 2" xfId="37594" xr:uid="{00000000-0005-0000-0000-000033670000}"/>
    <cellStyle name="Separador de milhares 3 2 5 4 2 7" xfId="29512" xr:uid="{00000000-0005-0000-0000-000034670000}"/>
    <cellStyle name="Separador de milhares 3 2 5 4 3" xfId="1369" xr:uid="{00000000-0005-0000-0000-000035670000}"/>
    <cellStyle name="Separador de milhares 3 2 5 4 3 2" xfId="6811" xr:uid="{00000000-0005-0000-0000-000036670000}"/>
    <cellStyle name="Separador de milhares 3 2 5 4 3 2 2" xfId="9958" xr:uid="{00000000-0005-0000-0000-000037670000}"/>
    <cellStyle name="Separador de milhares 3 2 5 4 3 2 2 2" xfId="28172" xr:uid="{00000000-0005-0000-0000-000038670000}"/>
    <cellStyle name="Separador de milhares 3 2 5 4 3 2 2 2 2" xfId="54353" xr:uid="{00000000-0005-0000-0000-000039670000}"/>
    <cellStyle name="Separador de milhares 3 2 5 4 3 2 2 3" xfId="22258" xr:uid="{00000000-0005-0000-0000-00003A670000}"/>
    <cellStyle name="Separador de milhares 3 2 5 4 3 2 2 3 2" xfId="48445" xr:uid="{00000000-0005-0000-0000-00003B670000}"/>
    <cellStyle name="Separador de milhares 3 2 5 4 3 2 2 4" xfId="16344" xr:uid="{00000000-0005-0000-0000-00003C670000}"/>
    <cellStyle name="Separador de milhares 3 2 5 4 3 2 2 4 2" xfId="42537" xr:uid="{00000000-0005-0000-0000-00003D670000}"/>
    <cellStyle name="Separador de milhares 3 2 5 4 3 2 2 5" xfId="36151" xr:uid="{00000000-0005-0000-0000-00003E670000}"/>
    <cellStyle name="Separador de milhares 3 2 5 4 3 2 3" xfId="25215" xr:uid="{00000000-0005-0000-0000-00003F670000}"/>
    <cellStyle name="Separador de milhares 3 2 5 4 3 2 3 2" xfId="51399" xr:uid="{00000000-0005-0000-0000-000040670000}"/>
    <cellStyle name="Separador de milhares 3 2 5 4 3 2 4" xfId="19301" xr:uid="{00000000-0005-0000-0000-000041670000}"/>
    <cellStyle name="Separador de milhares 3 2 5 4 3 2 4 2" xfId="45491" xr:uid="{00000000-0005-0000-0000-000042670000}"/>
    <cellStyle name="Separador de milhares 3 2 5 4 3 2 5" xfId="13200" xr:uid="{00000000-0005-0000-0000-000043670000}"/>
    <cellStyle name="Separador de milhares 3 2 5 4 3 2 5 2" xfId="39393" xr:uid="{00000000-0005-0000-0000-000044670000}"/>
    <cellStyle name="Separador de milhares 3 2 5 4 3 2 6" xfId="33007" xr:uid="{00000000-0005-0000-0000-000045670000}"/>
    <cellStyle name="Separador de milhares 3 2 5 4 3 3" xfId="8490" xr:uid="{00000000-0005-0000-0000-000046670000}"/>
    <cellStyle name="Separador de milhares 3 2 5 4 3 3 2" xfId="26704" xr:uid="{00000000-0005-0000-0000-000047670000}"/>
    <cellStyle name="Separador de milhares 3 2 5 4 3 3 2 2" xfId="52885" xr:uid="{00000000-0005-0000-0000-000048670000}"/>
    <cellStyle name="Separador de milhares 3 2 5 4 3 3 3" xfId="20790" xr:uid="{00000000-0005-0000-0000-000049670000}"/>
    <cellStyle name="Separador de milhares 3 2 5 4 3 3 3 2" xfId="46977" xr:uid="{00000000-0005-0000-0000-00004A670000}"/>
    <cellStyle name="Separador de milhares 3 2 5 4 3 3 4" xfId="14876" xr:uid="{00000000-0005-0000-0000-00004B670000}"/>
    <cellStyle name="Separador de milhares 3 2 5 4 3 3 4 2" xfId="41069" xr:uid="{00000000-0005-0000-0000-00004C670000}"/>
    <cellStyle name="Separador de milhares 3 2 5 4 3 3 5" xfId="34683" xr:uid="{00000000-0005-0000-0000-00004D670000}"/>
    <cellStyle name="Separador de milhares 3 2 5 4 3 4" xfId="5112" xr:uid="{00000000-0005-0000-0000-00004E670000}"/>
    <cellStyle name="Separador de milhares 3 2 5 4 3 4 2" xfId="23747" xr:uid="{00000000-0005-0000-0000-00004F670000}"/>
    <cellStyle name="Separador de milhares 3 2 5 4 3 4 2 2" xfId="49931" xr:uid="{00000000-0005-0000-0000-000050670000}"/>
    <cellStyle name="Separador de milhares 3 2 5 4 3 4 3" xfId="31308" xr:uid="{00000000-0005-0000-0000-000051670000}"/>
    <cellStyle name="Separador de milhares 3 2 5 4 3 5" xfId="17833" xr:uid="{00000000-0005-0000-0000-000052670000}"/>
    <cellStyle name="Separador de milhares 3 2 5 4 3 5 2" xfId="44023" xr:uid="{00000000-0005-0000-0000-000053670000}"/>
    <cellStyle name="Separador de milhares 3 2 5 4 3 6" xfId="11499" xr:uid="{00000000-0005-0000-0000-000054670000}"/>
    <cellStyle name="Separador de milhares 3 2 5 4 3 6 2" xfId="37692" xr:uid="{00000000-0005-0000-0000-000055670000}"/>
    <cellStyle name="Separador de milhares 3 2 5 4 3 7" xfId="29610" xr:uid="{00000000-0005-0000-0000-000056670000}"/>
    <cellStyle name="Separador de milhares 3 2 5 4 4" xfId="1804" xr:uid="{00000000-0005-0000-0000-000057670000}"/>
    <cellStyle name="Separador de milhares 3 2 5 4 4 2" xfId="6930" xr:uid="{00000000-0005-0000-0000-000058670000}"/>
    <cellStyle name="Separador de milhares 3 2 5 4 4 2 2" xfId="10077" xr:uid="{00000000-0005-0000-0000-000059670000}"/>
    <cellStyle name="Separador de milhares 3 2 5 4 4 2 2 2" xfId="28291" xr:uid="{00000000-0005-0000-0000-00005A670000}"/>
    <cellStyle name="Separador de milhares 3 2 5 4 4 2 2 2 2" xfId="54472" xr:uid="{00000000-0005-0000-0000-00005B670000}"/>
    <cellStyle name="Separador de milhares 3 2 5 4 4 2 2 3" xfId="22377" xr:uid="{00000000-0005-0000-0000-00005C670000}"/>
    <cellStyle name="Separador de milhares 3 2 5 4 4 2 2 3 2" xfId="48564" xr:uid="{00000000-0005-0000-0000-00005D670000}"/>
    <cellStyle name="Separador de milhares 3 2 5 4 4 2 2 4" xfId="16463" xr:uid="{00000000-0005-0000-0000-00005E670000}"/>
    <cellStyle name="Separador de milhares 3 2 5 4 4 2 2 4 2" xfId="42656" xr:uid="{00000000-0005-0000-0000-00005F670000}"/>
    <cellStyle name="Separador de milhares 3 2 5 4 4 2 2 5" xfId="36270" xr:uid="{00000000-0005-0000-0000-000060670000}"/>
    <cellStyle name="Separador de milhares 3 2 5 4 4 2 3" xfId="25334" xr:uid="{00000000-0005-0000-0000-000061670000}"/>
    <cellStyle name="Separador de milhares 3 2 5 4 4 2 3 2" xfId="51518" xr:uid="{00000000-0005-0000-0000-000062670000}"/>
    <cellStyle name="Separador de milhares 3 2 5 4 4 2 4" xfId="19420" xr:uid="{00000000-0005-0000-0000-000063670000}"/>
    <cellStyle name="Separador de milhares 3 2 5 4 4 2 4 2" xfId="45610" xr:uid="{00000000-0005-0000-0000-000064670000}"/>
    <cellStyle name="Separador de milhares 3 2 5 4 4 2 5" xfId="13319" xr:uid="{00000000-0005-0000-0000-000065670000}"/>
    <cellStyle name="Separador de milhares 3 2 5 4 4 2 5 2" xfId="39512" xr:uid="{00000000-0005-0000-0000-000066670000}"/>
    <cellStyle name="Separador de milhares 3 2 5 4 4 2 6" xfId="33126" xr:uid="{00000000-0005-0000-0000-000067670000}"/>
    <cellStyle name="Separador de milhares 3 2 5 4 4 3" xfId="8609" xr:uid="{00000000-0005-0000-0000-000068670000}"/>
    <cellStyle name="Separador de milhares 3 2 5 4 4 3 2" xfId="26823" xr:uid="{00000000-0005-0000-0000-000069670000}"/>
    <cellStyle name="Separador de milhares 3 2 5 4 4 3 2 2" xfId="53004" xr:uid="{00000000-0005-0000-0000-00006A670000}"/>
    <cellStyle name="Separador de milhares 3 2 5 4 4 3 3" xfId="20909" xr:uid="{00000000-0005-0000-0000-00006B670000}"/>
    <cellStyle name="Separador de milhares 3 2 5 4 4 3 3 2" xfId="47096" xr:uid="{00000000-0005-0000-0000-00006C670000}"/>
    <cellStyle name="Separador de milhares 3 2 5 4 4 3 4" xfId="14995" xr:uid="{00000000-0005-0000-0000-00006D670000}"/>
    <cellStyle name="Separador de milhares 3 2 5 4 4 3 4 2" xfId="41188" xr:uid="{00000000-0005-0000-0000-00006E670000}"/>
    <cellStyle name="Separador de milhares 3 2 5 4 4 3 5" xfId="34802" xr:uid="{00000000-0005-0000-0000-00006F670000}"/>
    <cellStyle name="Separador de milhares 3 2 5 4 4 4" xfId="5231" xr:uid="{00000000-0005-0000-0000-000070670000}"/>
    <cellStyle name="Separador de milhares 3 2 5 4 4 4 2" xfId="23866" xr:uid="{00000000-0005-0000-0000-000071670000}"/>
    <cellStyle name="Separador de milhares 3 2 5 4 4 4 2 2" xfId="50050" xr:uid="{00000000-0005-0000-0000-000072670000}"/>
    <cellStyle name="Separador de milhares 3 2 5 4 4 4 3" xfId="31427" xr:uid="{00000000-0005-0000-0000-000073670000}"/>
    <cellStyle name="Separador de milhares 3 2 5 4 4 5" xfId="17952" xr:uid="{00000000-0005-0000-0000-000074670000}"/>
    <cellStyle name="Separador de milhares 3 2 5 4 4 5 2" xfId="44142" xr:uid="{00000000-0005-0000-0000-000075670000}"/>
    <cellStyle name="Separador de milhares 3 2 5 4 4 6" xfId="11618" xr:uid="{00000000-0005-0000-0000-000076670000}"/>
    <cellStyle name="Separador de milhares 3 2 5 4 4 6 2" xfId="37811" xr:uid="{00000000-0005-0000-0000-000077670000}"/>
    <cellStyle name="Separador de milhares 3 2 5 4 4 7" xfId="29729" xr:uid="{00000000-0005-0000-0000-000078670000}"/>
    <cellStyle name="Separador de milhares 3 2 5 4 5" xfId="2334" xr:uid="{00000000-0005-0000-0000-000079670000}"/>
    <cellStyle name="Separador de milhares 3 2 5 4 5 2" xfId="7080" xr:uid="{00000000-0005-0000-0000-00007A670000}"/>
    <cellStyle name="Separador de milhares 3 2 5 4 5 2 2" xfId="10224" xr:uid="{00000000-0005-0000-0000-00007B670000}"/>
    <cellStyle name="Separador de milhares 3 2 5 4 5 2 2 2" xfId="28438" xr:uid="{00000000-0005-0000-0000-00007C670000}"/>
    <cellStyle name="Separador de milhares 3 2 5 4 5 2 2 2 2" xfId="54619" xr:uid="{00000000-0005-0000-0000-00007D670000}"/>
    <cellStyle name="Separador de milhares 3 2 5 4 5 2 2 3" xfId="22524" xr:uid="{00000000-0005-0000-0000-00007E670000}"/>
    <cellStyle name="Separador de milhares 3 2 5 4 5 2 2 3 2" xfId="48711" xr:uid="{00000000-0005-0000-0000-00007F670000}"/>
    <cellStyle name="Separador de milhares 3 2 5 4 5 2 2 4" xfId="16610" xr:uid="{00000000-0005-0000-0000-000080670000}"/>
    <cellStyle name="Separador de milhares 3 2 5 4 5 2 2 4 2" xfId="42803" xr:uid="{00000000-0005-0000-0000-000081670000}"/>
    <cellStyle name="Separador de milhares 3 2 5 4 5 2 2 5" xfId="36417" xr:uid="{00000000-0005-0000-0000-000082670000}"/>
    <cellStyle name="Separador de milhares 3 2 5 4 5 2 3" xfId="25481" xr:uid="{00000000-0005-0000-0000-000083670000}"/>
    <cellStyle name="Separador de milhares 3 2 5 4 5 2 3 2" xfId="51665" xr:uid="{00000000-0005-0000-0000-000084670000}"/>
    <cellStyle name="Separador de milhares 3 2 5 4 5 2 4" xfId="19567" xr:uid="{00000000-0005-0000-0000-000085670000}"/>
    <cellStyle name="Separador de milhares 3 2 5 4 5 2 4 2" xfId="45757" xr:uid="{00000000-0005-0000-0000-000086670000}"/>
    <cellStyle name="Separador de milhares 3 2 5 4 5 2 5" xfId="13469" xr:uid="{00000000-0005-0000-0000-000087670000}"/>
    <cellStyle name="Separador de milhares 3 2 5 4 5 2 5 2" xfId="39662" xr:uid="{00000000-0005-0000-0000-000088670000}"/>
    <cellStyle name="Separador de milhares 3 2 5 4 5 2 6" xfId="33276" xr:uid="{00000000-0005-0000-0000-000089670000}"/>
    <cellStyle name="Separador de milhares 3 2 5 4 5 3" xfId="8756" xr:uid="{00000000-0005-0000-0000-00008A670000}"/>
    <cellStyle name="Separador de milhares 3 2 5 4 5 3 2" xfId="26970" xr:uid="{00000000-0005-0000-0000-00008B670000}"/>
    <cellStyle name="Separador de milhares 3 2 5 4 5 3 2 2" xfId="53151" xr:uid="{00000000-0005-0000-0000-00008C670000}"/>
    <cellStyle name="Separador de milhares 3 2 5 4 5 3 3" xfId="21056" xr:uid="{00000000-0005-0000-0000-00008D670000}"/>
    <cellStyle name="Separador de milhares 3 2 5 4 5 3 3 2" xfId="47243" xr:uid="{00000000-0005-0000-0000-00008E670000}"/>
    <cellStyle name="Separador de milhares 3 2 5 4 5 3 4" xfId="15142" xr:uid="{00000000-0005-0000-0000-00008F670000}"/>
    <cellStyle name="Separador de milhares 3 2 5 4 5 3 4 2" xfId="41335" xr:uid="{00000000-0005-0000-0000-000090670000}"/>
    <cellStyle name="Separador de milhares 3 2 5 4 5 3 5" xfId="34949" xr:uid="{00000000-0005-0000-0000-000091670000}"/>
    <cellStyle name="Separador de milhares 3 2 5 4 5 4" xfId="5381" xr:uid="{00000000-0005-0000-0000-000092670000}"/>
    <cellStyle name="Separador de milhares 3 2 5 4 5 4 2" xfId="24013" xr:uid="{00000000-0005-0000-0000-000093670000}"/>
    <cellStyle name="Separador de milhares 3 2 5 4 5 4 2 2" xfId="50197" xr:uid="{00000000-0005-0000-0000-000094670000}"/>
    <cellStyle name="Separador de milhares 3 2 5 4 5 4 3" xfId="31577" xr:uid="{00000000-0005-0000-0000-000095670000}"/>
    <cellStyle name="Separador de milhares 3 2 5 4 5 5" xfId="18099" xr:uid="{00000000-0005-0000-0000-000096670000}"/>
    <cellStyle name="Separador de milhares 3 2 5 4 5 5 2" xfId="44289" xr:uid="{00000000-0005-0000-0000-000097670000}"/>
    <cellStyle name="Separador de milhares 3 2 5 4 5 6" xfId="11768" xr:uid="{00000000-0005-0000-0000-000098670000}"/>
    <cellStyle name="Separador de milhares 3 2 5 4 5 6 2" xfId="37961" xr:uid="{00000000-0005-0000-0000-000099670000}"/>
    <cellStyle name="Separador de milhares 3 2 5 4 5 7" xfId="29879" xr:uid="{00000000-0005-0000-0000-00009A670000}"/>
    <cellStyle name="Separador de milhares 3 2 5 4 6" xfId="2861" xr:uid="{00000000-0005-0000-0000-00009B670000}"/>
    <cellStyle name="Separador de milhares 3 2 5 4 6 2" xfId="7227" xr:uid="{00000000-0005-0000-0000-00009C670000}"/>
    <cellStyle name="Separador de milhares 3 2 5 4 6 2 2" xfId="10371" xr:uid="{00000000-0005-0000-0000-00009D670000}"/>
    <cellStyle name="Separador de milhares 3 2 5 4 6 2 2 2" xfId="28585" xr:uid="{00000000-0005-0000-0000-00009E670000}"/>
    <cellStyle name="Separador de milhares 3 2 5 4 6 2 2 2 2" xfId="54766" xr:uid="{00000000-0005-0000-0000-00009F670000}"/>
    <cellStyle name="Separador de milhares 3 2 5 4 6 2 2 3" xfId="22671" xr:uid="{00000000-0005-0000-0000-0000A0670000}"/>
    <cellStyle name="Separador de milhares 3 2 5 4 6 2 2 3 2" xfId="48858" xr:uid="{00000000-0005-0000-0000-0000A1670000}"/>
    <cellStyle name="Separador de milhares 3 2 5 4 6 2 2 4" xfId="16757" xr:uid="{00000000-0005-0000-0000-0000A2670000}"/>
    <cellStyle name="Separador de milhares 3 2 5 4 6 2 2 4 2" xfId="42950" xr:uid="{00000000-0005-0000-0000-0000A3670000}"/>
    <cellStyle name="Separador de milhares 3 2 5 4 6 2 2 5" xfId="36564" xr:uid="{00000000-0005-0000-0000-0000A4670000}"/>
    <cellStyle name="Separador de milhares 3 2 5 4 6 2 3" xfId="25628" xr:uid="{00000000-0005-0000-0000-0000A5670000}"/>
    <cellStyle name="Separador de milhares 3 2 5 4 6 2 3 2" xfId="51812" xr:uid="{00000000-0005-0000-0000-0000A6670000}"/>
    <cellStyle name="Separador de milhares 3 2 5 4 6 2 4" xfId="19714" xr:uid="{00000000-0005-0000-0000-0000A7670000}"/>
    <cellStyle name="Separador de milhares 3 2 5 4 6 2 4 2" xfId="45904" xr:uid="{00000000-0005-0000-0000-0000A8670000}"/>
    <cellStyle name="Separador de milhares 3 2 5 4 6 2 5" xfId="13616" xr:uid="{00000000-0005-0000-0000-0000A9670000}"/>
    <cellStyle name="Separador de milhares 3 2 5 4 6 2 5 2" xfId="39809" xr:uid="{00000000-0005-0000-0000-0000AA670000}"/>
    <cellStyle name="Separador de milhares 3 2 5 4 6 2 6" xfId="33423" xr:uid="{00000000-0005-0000-0000-0000AB670000}"/>
    <cellStyle name="Separador de milhares 3 2 5 4 6 3" xfId="8903" xr:uid="{00000000-0005-0000-0000-0000AC670000}"/>
    <cellStyle name="Separador de milhares 3 2 5 4 6 3 2" xfId="27117" xr:uid="{00000000-0005-0000-0000-0000AD670000}"/>
    <cellStyle name="Separador de milhares 3 2 5 4 6 3 2 2" xfId="53298" xr:uid="{00000000-0005-0000-0000-0000AE670000}"/>
    <cellStyle name="Separador de milhares 3 2 5 4 6 3 3" xfId="21203" xr:uid="{00000000-0005-0000-0000-0000AF670000}"/>
    <cellStyle name="Separador de milhares 3 2 5 4 6 3 3 2" xfId="47390" xr:uid="{00000000-0005-0000-0000-0000B0670000}"/>
    <cellStyle name="Separador de milhares 3 2 5 4 6 3 4" xfId="15289" xr:uid="{00000000-0005-0000-0000-0000B1670000}"/>
    <cellStyle name="Separador de milhares 3 2 5 4 6 3 4 2" xfId="41482" xr:uid="{00000000-0005-0000-0000-0000B2670000}"/>
    <cellStyle name="Separador de milhares 3 2 5 4 6 3 5" xfId="35096" xr:uid="{00000000-0005-0000-0000-0000B3670000}"/>
    <cellStyle name="Separador de milhares 3 2 5 4 6 4" xfId="5528" xr:uid="{00000000-0005-0000-0000-0000B4670000}"/>
    <cellStyle name="Separador de milhares 3 2 5 4 6 4 2" xfId="24160" xr:uid="{00000000-0005-0000-0000-0000B5670000}"/>
    <cellStyle name="Separador de milhares 3 2 5 4 6 4 2 2" xfId="50344" xr:uid="{00000000-0005-0000-0000-0000B6670000}"/>
    <cellStyle name="Separador de milhares 3 2 5 4 6 4 3" xfId="31724" xr:uid="{00000000-0005-0000-0000-0000B7670000}"/>
    <cellStyle name="Separador de milhares 3 2 5 4 6 5" xfId="18246" xr:uid="{00000000-0005-0000-0000-0000B8670000}"/>
    <cellStyle name="Separador de milhares 3 2 5 4 6 5 2" xfId="44436" xr:uid="{00000000-0005-0000-0000-0000B9670000}"/>
    <cellStyle name="Separador de milhares 3 2 5 4 6 6" xfId="11915" xr:uid="{00000000-0005-0000-0000-0000BA670000}"/>
    <cellStyle name="Separador de milhares 3 2 5 4 6 6 2" xfId="38108" xr:uid="{00000000-0005-0000-0000-0000BB670000}"/>
    <cellStyle name="Separador de milhares 3 2 5 4 6 7" xfId="30026" xr:uid="{00000000-0005-0000-0000-0000BC670000}"/>
    <cellStyle name="Separador de milhares 3 2 5 4 7" xfId="3388" xr:uid="{00000000-0005-0000-0000-0000BD670000}"/>
    <cellStyle name="Separador de milhares 3 2 5 4 7 2" xfId="7374" xr:uid="{00000000-0005-0000-0000-0000BE670000}"/>
    <cellStyle name="Separador de milhares 3 2 5 4 7 2 2" xfId="10518" xr:uid="{00000000-0005-0000-0000-0000BF670000}"/>
    <cellStyle name="Separador de milhares 3 2 5 4 7 2 2 2" xfId="28732" xr:uid="{00000000-0005-0000-0000-0000C0670000}"/>
    <cellStyle name="Separador de milhares 3 2 5 4 7 2 2 2 2" xfId="54913" xr:uid="{00000000-0005-0000-0000-0000C1670000}"/>
    <cellStyle name="Separador de milhares 3 2 5 4 7 2 2 3" xfId="22818" xr:uid="{00000000-0005-0000-0000-0000C2670000}"/>
    <cellStyle name="Separador de milhares 3 2 5 4 7 2 2 3 2" xfId="49005" xr:uid="{00000000-0005-0000-0000-0000C3670000}"/>
    <cellStyle name="Separador de milhares 3 2 5 4 7 2 2 4" xfId="16904" xr:uid="{00000000-0005-0000-0000-0000C4670000}"/>
    <cellStyle name="Separador de milhares 3 2 5 4 7 2 2 4 2" xfId="43097" xr:uid="{00000000-0005-0000-0000-0000C5670000}"/>
    <cellStyle name="Separador de milhares 3 2 5 4 7 2 2 5" xfId="36711" xr:uid="{00000000-0005-0000-0000-0000C6670000}"/>
    <cellStyle name="Separador de milhares 3 2 5 4 7 2 3" xfId="25775" xr:uid="{00000000-0005-0000-0000-0000C7670000}"/>
    <cellStyle name="Separador de milhares 3 2 5 4 7 2 3 2" xfId="51959" xr:uid="{00000000-0005-0000-0000-0000C8670000}"/>
    <cellStyle name="Separador de milhares 3 2 5 4 7 2 4" xfId="19861" xr:uid="{00000000-0005-0000-0000-0000C9670000}"/>
    <cellStyle name="Separador de milhares 3 2 5 4 7 2 4 2" xfId="46051" xr:uid="{00000000-0005-0000-0000-0000CA670000}"/>
    <cellStyle name="Separador de milhares 3 2 5 4 7 2 5" xfId="13763" xr:uid="{00000000-0005-0000-0000-0000CB670000}"/>
    <cellStyle name="Separador de milhares 3 2 5 4 7 2 5 2" xfId="39956" xr:uid="{00000000-0005-0000-0000-0000CC670000}"/>
    <cellStyle name="Separador de milhares 3 2 5 4 7 2 6" xfId="33570" xr:uid="{00000000-0005-0000-0000-0000CD670000}"/>
    <cellStyle name="Separador de milhares 3 2 5 4 7 3" xfId="9050" xr:uid="{00000000-0005-0000-0000-0000CE670000}"/>
    <cellStyle name="Separador de milhares 3 2 5 4 7 3 2" xfId="27264" xr:uid="{00000000-0005-0000-0000-0000CF670000}"/>
    <cellStyle name="Separador de milhares 3 2 5 4 7 3 2 2" xfId="53445" xr:uid="{00000000-0005-0000-0000-0000D0670000}"/>
    <cellStyle name="Separador de milhares 3 2 5 4 7 3 3" xfId="21350" xr:uid="{00000000-0005-0000-0000-0000D1670000}"/>
    <cellStyle name="Separador de milhares 3 2 5 4 7 3 3 2" xfId="47537" xr:uid="{00000000-0005-0000-0000-0000D2670000}"/>
    <cellStyle name="Separador de milhares 3 2 5 4 7 3 4" xfId="15436" xr:uid="{00000000-0005-0000-0000-0000D3670000}"/>
    <cellStyle name="Separador de milhares 3 2 5 4 7 3 4 2" xfId="41629" xr:uid="{00000000-0005-0000-0000-0000D4670000}"/>
    <cellStyle name="Separador de milhares 3 2 5 4 7 3 5" xfId="35243" xr:uid="{00000000-0005-0000-0000-0000D5670000}"/>
    <cellStyle name="Separador de milhares 3 2 5 4 7 4" xfId="5675" xr:uid="{00000000-0005-0000-0000-0000D6670000}"/>
    <cellStyle name="Separador de milhares 3 2 5 4 7 4 2" xfId="24307" xr:uid="{00000000-0005-0000-0000-0000D7670000}"/>
    <cellStyle name="Separador de milhares 3 2 5 4 7 4 2 2" xfId="50491" xr:uid="{00000000-0005-0000-0000-0000D8670000}"/>
    <cellStyle name="Separador de milhares 3 2 5 4 7 4 3" xfId="31871" xr:uid="{00000000-0005-0000-0000-0000D9670000}"/>
    <cellStyle name="Separador de milhares 3 2 5 4 7 5" xfId="18393" xr:uid="{00000000-0005-0000-0000-0000DA670000}"/>
    <cellStyle name="Separador de milhares 3 2 5 4 7 5 2" xfId="44583" xr:uid="{00000000-0005-0000-0000-0000DB670000}"/>
    <cellStyle name="Separador de milhares 3 2 5 4 7 6" xfId="12062" xr:uid="{00000000-0005-0000-0000-0000DC670000}"/>
    <cellStyle name="Separador de milhares 3 2 5 4 7 6 2" xfId="38255" xr:uid="{00000000-0005-0000-0000-0000DD670000}"/>
    <cellStyle name="Separador de milhares 3 2 5 4 7 7" xfId="30173" xr:uid="{00000000-0005-0000-0000-0000DE670000}"/>
    <cellStyle name="Separador de milhares 3 2 5 4 8" xfId="3915" xr:uid="{00000000-0005-0000-0000-0000DF670000}"/>
    <cellStyle name="Separador de milhares 3 2 5 4 8 2" xfId="7521" xr:uid="{00000000-0005-0000-0000-0000E0670000}"/>
    <cellStyle name="Separador de milhares 3 2 5 4 8 2 2" xfId="10665" xr:uid="{00000000-0005-0000-0000-0000E1670000}"/>
    <cellStyle name="Separador de milhares 3 2 5 4 8 2 2 2" xfId="28879" xr:uid="{00000000-0005-0000-0000-0000E2670000}"/>
    <cellStyle name="Separador de milhares 3 2 5 4 8 2 2 2 2" xfId="55060" xr:uid="{00000000-0005-0000-0000-0000E3670000}"/>
    <cellStyle name="Separador de milhares 3 2 5 4 8 2 2 3" xfId="22965" xr:uid="{00000000-0005-0000-0000-0000E4670000}"/>
    <cellStyle name="Separador de milhares 3 2 5 4 8 2 2 3 2" xfId="49152" xr:uid="{00000000-0005-0000-0000-0000E5670000}"/>
    <cellStyle name="Separador de milhares 3 2 5 4 8 2 2 4" xfId="17051" xr:uid="{00000000-0005-0000-0000-0000E6670000}"/>
    <cellStyle name="Separador de milhares 3 2 5 4 8 2 2 4 2" xfId="43244" xr:uid="{00000000-0005-0000-0000-0000E7670000}"/>
    <cellStyle name="Separador de milhares 3 2 5 4 8 2 2 5" xfId="36858" xr:uid="{00000000-0005-0000-0000-0000E8670000}"/>
    <cellStyle name="Separador de milhares 3 2 5 4 8 2 3" xfId="25922" xr:uid="{00000000-0005-0000-0000-0000E9670000}"/>
    <cellStyle name="Separador de milhares 3 2 5 4 8 2 3 2" xfId="52106" xr:uid="{00000000-0005-0000-0000-0000EA670000}"/>
    <cellStyle name="Separador de milhares 3 2 5 4 8 2 4" xfId="20008" xr:uid="{00000000-0005-0000-0000-0000EB670000}"/>
    <cellStyle name="Separador de milhares 3 2 5 4 8 2 4 2" xfId="46198" xr:uid="{00000000-0005-0000-0000-0000EC670000}"/>
    <cellStyle name="Separador de milhares 3 2 5 4 8 2 5" xfId="13910" xr:uid="{00000000-0005-0000-0000-0000ED670000}"/>
    <cellStyle name="Separador de milhares 3 2 5 4 8 2 5 2" xfId="40103" xr:uid="{00000000-0005-0000-0000-0000EE670000}"/>
    <cellStyle name="Separador de milhares 3 2 5 4 8 2 6" xfId="33717" xr:uid="{00000000-0005-0000-0000-0000EF670000}"/>
    <cellStyle name="Separador de milhares 3 2 5 4 8 3" xfId="9197" xr:uid="{00000000-0005-0000-0000-0000F0670000}"/>
    <cellStyle name="Separador de milhares 3 2 5 4 8 3 2" xfId="27411" xr:uid="{00000000-0005-0000-0000-0000F1670000}"/>
    <cellStyle name="Separador de milhares 3 2 5 4 8 3 2 2" xfId="53592" xr:uid="{00000000-0005-0000-0000-0000F2670000}"/>
    <cellStyle name="Separador de milhares 3 2 5 4 8 3 3" xfId="21497" xr:uid="{00000000-0005-0000-0000-0000F3670000}"/>
    <cellStyle name="Separador de milhares 3 2 5 4 8 3 3 2" xfId="47684" xr:uid="{00000000-0005-0000-0000-0000F4670000}"/>
    <cellStyle name="Separador de milhares 3 2 5 4 8 3 4" xfId="15583" xr:uid="{00000000-0005-0000-0000-0000F5670000}"/>
    <cellStyle name="Separador de milhares 3 2 5 4 8 3 4 2" xfId="41776" xr:uid="{00000000-0005-0000-0000-0000F6670000}"/>
    <cellStyle name="Separador de milhares 3 2 5 4 8 3 5" xfId="35390" xr:uid="{00000000-0005-0000-0000-0000F7670000}"/>
    <cellStyle name="Separador de milhares 3 2 5 4 8 4" xfId="5822" xr:uid="{00000000-0005-0000-0000-0000F8670000}"/>
    <cellStyle name="Separador de milhares 3 2 5 4 8 4 2" xfId="24454" xr:uid="{00000000-0005-0000-0000-0000F9670000}"/>
    <cellStyle name="Separador de milhares 3 2 5 4 8 4 2 2" xfId="50638" xr:uid="{00000000-0005-0000-0000-0000FA670000}"/>
    <cellStyle name="Separador de milhares 3 2 5 4 8 4 3" xfId="32018" xr:uid="{00000000-0005-0000-0000-0000FB670000}"/>
    <cellStyle name="Separador de milhares 3 2 5 4 8 5" xfId="18540" xr:uid="{00000000-0005-0000-0000-0000FC670000}"/>
    <cellStyle name="Separador de milhares 3 2 5 4 8 5 2" xfId="44730" xr:uid="{00000000-0005-0000-0000-0000FD670000}"/>
    <cellStyle name="Separador de milhares 3 2 5 4 8 6" xfId="12209" xr:uid="{00000000-0005-0000-0000-0000FE670000}"/>
    <cellStyle name="Separador de milhares 3 2 5 4 8 6 2" xfId="38402" xr:uid="{00000000-0005-0000-0000-0000FF670000}"/>
    <cellStyle name="Separador de milhares 3 2 5 4 8 7" xfId="30320" xr:uid="{00000000-0005-0000-0000-000000680000}"/>
    <cellStyle name="Separador de milhares 3 2 5 4 9" xfId="680" xr:uid="{00000000-0005-0000-0000-000001680000}"/>
    <cellStyle name="Separador de milhares 3 2 5 4 9 2" xfId="6615" xr:uid="{00000000-0005-0000-0000-000002680000}"/>
    <cellStyle name="Separador de milhares 3 2 5 4 9 2 2" xfId="9762" xr:uid="{00000000-0005-0000-0000-000003680000}"/>
    <cellStyle name="Separador de milhares 3 2 5 4 9 2 2 2" xfId="27976" xr:uid="{00000000-0005-0000-0000-000004680000}"/>
    <cellStyle name="Separador de milhares 3 2 5 4 9 2 2 2 2" xfId="54157" xr:uid="{00000000-0005-0000-0000-000005680000}"/>
    <cellStyle name="Separador de milhares 3 2 5 4 9 2 2 3" xfId="22062" xr:uid="{00000000-0005-0000-0000-000006680000}"/>
    <cellStyle name="Separador de milhares 3 2 5 4 9 2 2 3 2" xfId="48249" xr:uid="{00000000-0005-0000-0000-000007680000}"/>
    <cellStyle name="Separador de milhares 3 2 5 4 9 2 2 4" xfId="16148" xr:uid="{00000000-0005-0000-0000-000008680000}"/>
    <cellStyle name="Separador de milhares 3 2 5 4 9 2 2 4 2" xfId="42341" xr:uid="{00000000-0005-0000-0000-000009680000}"/>
    <cellStyle name="Separador de milhares 3 2 5 4 9 2 2 5" xfId="35955" xr:uid="{00000000-0005-0000-0000-00000A680000}"/>
    <cellStyle name="Separador de milhares 3 2 5 4 9 2 3" xfId="25019" xr:uid="{00000000-0005-0000-0000-00000B680000}"/>
    <cellStyle name="Separador de milhares 3 2 5 4 9 2 3 2" xfId="51203" xr:uid="{00000000-0005-0000-0000-00000C680000}"/>
    <cellStyle name="Separador de milhares 3 2 5 4 9 2 4" xfId="19105" xr:uid="{00000000-0005-0000-0000-00000D680000}"/>
    <cellStyle name="Separador de milhares 3 2 5 4 9 2 4 2" xfId="45295" xr:uid="{00000000-0005-0000-0000-00000E680000}"/>
    <cellStyle name="Separador de milhares 3 2 5 4 9 2 5" xfId="13004" xr:uid="{00000000-0005-0000-0000-00000F680000}"/>
    <cellStyle name="Separador de milhares 3 2 5 4 9 2 5 2" xfId="39197" xr:uid="{00000000-0005-0000-0000-000010680000}"/>
    <cellStyle name="Separador de milhares 3 2 5 4 9 2 6" xfId="32811" xr:uid="{00000000-0005-0000-0000-000011680000}"/>
    <cellStyle name="Separador de milhares 3 2 5 4 9 3" xfId="8294" xr:uid="{00000000-0005-0000-0000-000012680000}"/>
    <cellStyle name="Separador de milhares 3 2 5 4 9 3 2" xfId="26508" xr:uid="{00000000-0005-0000-0000-000013680000}"/>
    <cellStyle name="Separador de milhares 3 2 5 4 9 3 2 2" xfId="52689" xr:uid="{00000000-0005-0000-0000-000014680000}"/>
    <cellStyle name="Separador de milhares 3 2 5 4 9 3 3" xfId="20594" xr:uid="{00000000-0005-0000-0000-000015680000}"/>
    <cellStyle name="Separador de milhares 3 2 5 4 9 3 3 2" xfId="46781" xr:uid="{00000000-0005-0000-0000-000016680000}"/>
    <cellStyle name="Separador de milhares 3 2 5 4 9 3 4" xfId="14680" xr:uid="{00000000-0005-0000-0000-000017680000}"/>
    <cellStyle name="Separador de milhares 3 2 5 4 9 3 4 2" xfId="40873" xr:uid="{00000000-0005-0000-0000-000018680000}"/>
    <cellStyle name="Separador de milhares 3 2 5 4 9 3 5" xfId="34487" xr:uid="{00000000-0005-0000-0000-000019680000}"/>
    <cellStyle name="Separador de milhares 3 2 5 4 9 4" xfId="4916" xr:uid="{00000000-0005-0000-0000-00001A680000}"/>
    <cellStyle name="Separador de milhares 3 2 5 4 9 4 2" xfId="23551" xr:uid="{00000000-0005-0000-0000-00001B680000}"/>
    <cellStyle name="Separador de milhares 3 2 5 4 9 4 2 2" xfId="49735" xr:uid="{00000000-0005-0000-0000-00001C680000}"/>
    <cellStyle name="Separador de milhares 3 2 5 4 9 4 3" xfId="31112" xr:uid="{00000000-0005-0000-0000-00001D680000}"/>
    <cellStyle name="Separador de milhares 3 2 5 4 9 5" xfId="17637" xr:uid="{00000000-0005-0000-0000-00001E680000}"/>
    <cellStyle name="Separador de milhares 3 2 5 4 9 5 2" xfId="43827" xr:uid="{00000000-0005-0000-0000-00001F680000}"/>
    <cellStyle name="Separador de milhares 3 2 5 4 9 6" xfId="11303" xr:uid="{00000000-0005-0000-0000-000020680000}"/>
    <cellStyle name="Separador de milhares 3 2 5 4 9 6 2" xfId="37496" xr:uid="{00000000-0005-0000-0000-000021680000}"/>
    <cellStyle name="Separador de milhares 3 2 5 4 9 7" xfId="29414" xr:uid="{00000000-0005-0000-0000-000022680000}"/>
    <cellStyle name="Separador de milhares 3 2 5 5" xfId="630" xr:uid="{00000000-0005-0000-0000-000023680000}"/>
    <cellStyle name="Separador de milhares 3 2 5 5 10" xfId="4880" xr:uid="{00000000-0005-0000-0000-000024680000}"/>
    <cellStyle name="Separador de milhares 3 2 5 5 10 2" xfId="23514" xr:uid="{00000000-0005-0000-0000-000025680000}"/>
    <cellStyle name="Separador de milhares 3 2 5 5 10 2 2" xfId="49701" xr:uid="{00000000-0005-0000-0000-000026680000}"/>
    <cellStyle name="Separador de milhares 3 2 5 5 10 3" xfId="31078" xr:uid="{00000000-0005-0000-0000-000027680000}"/>
    <cellStyle name="Separador de milhares 3 2 5 5 11" xfId="17600" xr:uid="{00000000-0005-0000-0000-000028680000}"/>
    <cellStyle name="Separador de milhares 3 2 5 5 11 2" xfId="43793" xr:uid="{00000000-0005-0000-0000-000029680000}"/>
    <cellStyle name="Separador de milhares 3 2 5 5 12" xfId="11269" xr:uid="{00000000-0005-0000-0000-00002A680000}"/>
    <cellStyle name="Separador de milhares 3 2 5 5 12 2" xfId="37462" xr:uid="{00000000-0005-0000-0000-00002B680000}"/>
    <cellStyle name="Separador de milhares 3 2 5 5 13" xfId="29380" xr:uid="{00000000-0005-0000-0000-00002C680000}"/>
    <cellStyle name="Separador de milhares 3 2 5 5 2" xfId="1453" xr:uid="{00000000-0005-0000-0000-00002D680000}"/>
    <cellStyle name="Separador de milhares 3 2 5 5 2 2" xfId="6832" xr:uid="{00000000-0005-0000-0000-00002E680000}"/>
    <cellStyle name="Separador de milhares 3 2 5 5 2 2 2" xfId="9979" xr:uid="{00000000-0005-0000-0000-00002F680000}"/>
    <cellStyle name="Separador de milhares 3 2 5 5 2 2 2 2" xfId="28193" xr:uid="{00000000-0005-0000-0000-000030680000}"/>
    <cellStyle name="Separador de milhares 3 2 5 5 2 2 2 2 2" xfId="54374" xr:uid="{00000000-0005-0000-0000-000031680000}"/>
    <cellStyle name="Separador de milhares 3 2 5 5 2 2 2 3" xfId="22279" xr:uid="{00000000-0005-0000-0000-000032680000}"/>
    <cellStyle name="Separador de milhares 3 2 5 5 2 2 2 3 2" xfId="48466" xr:uid="{00000000-0005-0000-0000-000033680000}"/>
    <cellStyle name="Separador de milhares 3 2 5 5 2 2 2 4" xfId="16365" xr:uid="{00000000-0005-0000-0000-000034680000}"/>
    <cellStyle name="Separador de milhares 3 2 5 5 2 2 2 4 2" xfId="42558" xr:uid="{00000000-0005-0000-0000-000035680000}"/>
    <cellStyle name="Separador de milhares 3 2 5 5 2 2 2 5" xfId="36172" xr:uid="{00000000-0005-0000-0000-000036680000}"/>
    <cellStyle name="Separador de milhares 3 2 5 5 2 2 3" xfId="25236" xr:uid="{00000000-0005-0000-0000-000037680000}"/>
    <cellStyle name="Separador de milhares 3 2 5 5 2 2 3 2" xfId="51420" xr:uid="{00000000-0005-0000-0000-000038680000}"/>
    <cellStyle name="Separador de milhares 3 2 5 5 2 2 4" xfId="19322" xr:uid="{00000000-0005-0000-0000-000039680000}"/>
    <cellStyle name="Separador de milhares 3 2 5 5 2 2 4 2" xfId="45512" xr:uid="{00000000-0005-0000-0000-00003A680000}"/>
    <cellStyle name="Separador de milhares 3 2 5 5 2 2 5" xfId="13221" xr:uid="{00000000-0005-0000-0000-00003B680000}"/>
    <cellStyle name="Separador de milhares 3 2 5 5 2 2 5 2" xfId="39414" xr:uid="{00000000-0005-0000-0000-00003C680000}"/>
    <cellStyle name="Separador de milhares 3 2 5 5 2 2 6" xfId="33028" xr:uid="{00000000-0005-0000-0000-00003D680000}"/>
    <cellStyle name="Separador de milhares 3 2 5 5 2 3" xfId="8511" xr:uid="{00000000-0005-0000-0000-00003E680000}"/>
    <cellStyle name="Separador de milhares 3 2 5 5 2 3 2" xfId="26725" xr:uid="{00000000-0005-0000-0000-00003F680000}"/>
    <cellStyle name="Separador de milhares 3 2 5 5 2 3 2 2" xfId="52906" xr:uid="{00000000-0005-0000-0000-000040680000}"/>
    <cellStyle name="Separador de milhares 3 2 5 5 2 3 3" xfId="20811" xr:uid="{00000000-0005-0000-0000-000041680000}"/>
    <cellStyle name="Separador de milhares 3 2 5 5 2 3 3 2" xfId="46998" xr:uid="{00000000-0005-0000-0000-000042680000}"/>
    <cellStyle name="Separador de milhares 3 2 5 5 2 3 4" xfId="14897" xr:uid="{00000000-0005-0000-0000-000043680000}"/>
    <cellStyle name="Separador de milhares 3 2 5 5 2 3 4 2" xfId="41090" xr:uid="{00000000-0005-0000-0000-000044680000}"/>
    <cellStyle name="Separador de milhares 3 2 5 5 2 3 5" xfId="34704" xr:uid="{00000000-0005-0000-0000-000045680000}"/>
    <cellStyle name="Separador de milhares 3 2 5 5 2 4" xfId="5133" xr:uid="{00000000-0005-0000-0000-000046680000}"/>
    <cellStyle name="Separador de milhares 3 2 5 5 2 4 2" xfId="23768" xr:uid="{00000000-0005-0000-0000-000047680000}"/>
    <cellStyle name="Separador de milhares 3 2 5 5 2 4 2 2" xfId="49952" xr:uid="{00000000-0005-0000-0000-000048680000}"/>
    <cellStyle name="Separador de milhares 3 2 5 5 2 4 3" xfId="31329" xr:uid="{00000000-0005-0000-0000-000049680000}"/>
    <cellStyle name="Separador de milhares 3 2 5 5 2 5" xfId="17854" xr:uid="{00000000-0005-0000-0000-00004A680000}"/>
    <cellStyle name="Separador de milhares 3 2 5 5 2 5 2" xfId="44044" xr:uid="{00000000-0005-0000-0000-00004B680000}"/>
    <cellStyle name="Separador de milhares 3 2 5 5 2 6" xfId="11520" xr:uid="{00000000-0005-0000-0000-00004C680000}"/>
    <cellStyle name="Separador de milhares 3 2 5 5 2 6 2" xfId="37713" xr:uid="{00000000-0005-0000-0000-00004D680000}"/>
    <cellStyle name="Separador de milhares 3 2 5 5 2 7" xfId="29631" xr:uid="{00000000-0005-0000-0000-00004E680000}"/>
    <cellStyle name="Separador de milhares 3 2 5 5 3" xfId="1888" xr:uid="{00000000-0005-0000-0000-00004F680000}"/>
    <cellStyle name="Separador de milhares 3 2 5 5 3 2" xfId="6951" xr:uid="{00000000-0005-0000-0000-000050680000}"/>
    <cellStyle name="Separador de milhares 3 2 5 5 3 2 2" xfId="10098" xr:uid="{00000000-0005-0000-0000-000051680000}"/>
    <cellStyle name="Separador de milhares 3 2 5 5 3 2 2 2" xfId="28312" xr:uid="{00000000-0005-0000-0000-000052680000}"/>
    <cellStyle name="Separador de milhares 3 2 5 5 3 2 2 2 2" xfId="54493" xr:uid="{00000000-0005-0000-0000-000053680000}"/>
    <cellStyle name="Separador de milhares 3 2 5 5 3 2 2 3" xfId="22398" xr:uid="{00000000-0005-0000-0000-000054680000}"/>
    <cellStyle name="Separador de milhares 3 2 5 5 3 2 2 3 2" xfId="48585" xr:uid="{00000000-0005-0000-0000-000055680000}"/>
    <cellStyle name="Separador de milhares 3 2 5 5 3 2 2 4" xfId="16484" xr:uid="{00000000-0005-0000-0000-000056680000}"/>
    <cellStyle name="Separador de milhares 3 2 5 5 3 2 2 4 2" xfId="42677" xr:uid="{00000000-0005-0000-0000-000057680000}"/>
    <cellStyle name="Separador de milhares 3 2 5 5 3 2 2 5" xfId="36291" xr:uid="{00000000-0005-0000-0000-000058680000}"/>
    <cellStyle name="Separador de milhares 3 2 5 5 3 2 3" xfId="25355" xr:uid="{00000000-0005-0000-0000-000059680000}"/>
    <cellStyle name="Separador de milhares 3 2 5 5 3 2 3 2" xfId="51539" xr:uid="{00000000-0005-0000-0000-00005A680000}"/>
    <cellStyle name="Separador de milhares 3 2 5 5 3 2 4" xfId="19441" xr:uid="{00000000-0005-0000-0000-00005B680000}"/>
    <cellStyle name="Separador de milhares 3 2 5 5 3 2 4 2" xfId="45631" xr:uid="{00000000-0005-0000-0000-00005C680000}"/>
    <cellStyle name="Separador de milhares 3 2 5 5 3 2 5" xfId="13340" xr:uid="{00000000-0005-0000-0000-00005D680000}"/>
    <cellStyle name="Separador de milhares 3 2 5 5 3 2 5 2" xfId="39533" xr:uid="{00000000-0005-0000-0000-00005E680000}"/>
    <cellStyle name="Separador de milhares 3 2 5 5 3 2 6" xfId="33147" xr:uid="{00000000-0005-0000-0000-00005F680000}"/>
    <cellStyle name="Separador de milhares 3 2 5 5 3 3" xfId="8630" xr:uid="{00000000-0005-0000-0000-000060680000}"/>
    <cellStyle name="Separador de milhares 3 2 5 5 3 3 2" xfId="26844" xr:uid="{00000000-0005-0000-0000-000061680000}"/>
    <cellStyle name="Separador de milhares 3 2 5 5 3 3 2 2" xfId="53025" xr:uid="{00000000-0005-0000-0000-000062680000}"/>
    <cellStyle name="Separador de milhares 3 2 5 5 3 3 3" xfId="20930" xr:uid="{00000000-0005-0000-0000-000063680000}"/>
    <cellStyle name="Separador de milhares 3 2 5 5 3 3 3 2" xfId="47117" xr:uid="{00000000-0005-0000-0000-000064680000}"/>
    <cellStyle name="Separador de milhares 3 2 5 5 3 3 4" xfId="15016" xr:uid="{00000000-0005-0000-0000-000065680000}"/>
    <cellStyle name="Separador de milhares 3 2 5 5 3 3 4 2" xfId="41209" xr:uid="{00000000-0005-0000-0000-000066680000}"/>
    <cellStyle name="Separador de milhares 3 2 5 5 3 3 5" xfId="34823" xr:uid="{00000000-0005-0000-0000-000067680000}"/>
    <cellStyle name="Separador de milhares 3 2 5 5 3 4" xfId="5252" xr:uid="{00000000-0005-0000-0000-000068680000}"/>
    <cellStyle name="Separador de milhares 3 2 5 5 3 4 2" xfId="23887" xr:uid="{00000000-0005-0000-0000-000069680000}"/>
    <cellStyle name="Separador de milhares 3 2 5 5 3 4 2 2" xfId="50071" xr:uid="{00000000-0005-0000-0000-00006A680000}"/>
    <cellStyle name="Separador de milhares 3 2 5 5 3 4 3" xfId="31448" xr:uid="{00000000-0005-0000-0000-00006B680000}"/>
    <cellStyle name="Separador de milhares 3 2 5 5 3 5" xfId="17973" xr:uid="{00000000-0005-0000-0000-00006C680000}"/>
    <cellStyle name="Separador de milhares 3 2 5 5 3 5 2" xfId="44163" xr:uid="{00000000-0005-0000-0000-00006D680000}"/>
    <cellStyle name="Separador de milhares 3 2 5 5 3 6" xfId="11639" xr:uid="{00000000-0005-0000-0000-00006E680000}"/>
    <cellStyle name="Separador de milhares 3 2 5 5 3 6 2" xfId="37832" xr:uid="{00000000-0005-0000-0000-00006F680000}"/>
    <cellStyle name="Separador de milhares 3 2 5 5 3 7" xfId="29750" xr:uid="{00000000-0005-0000-0000-000070680000}"/>
    <cellStyle name="Separador de milhares 3 2 5 5 4" xfId="2418" xr:uid="{00000000-0005-0000-0000-000071680000}"/>
    <cellStyle name="Separador de milhares 3 2 5 5 4 2" xfId="7101" xr:uid="{00000000-0005-0000-0000-000072680000}"/>
    <cellStyle name="Separador de milhares 3 2 5 5 4 2 2" xfId="10245" xr:uid="{00000000-0005-0000-0000-000073680000}"/>
    <cellStyle name="Separador de milhares 3 2 5 5 4 2 2 2" xfId="28459" xr:uid="{00000000-0005-0000-0000-000074680000}"/>
    <cellStyle name="Separador de milhares 3 2 5 5 4 2 2 2 2" xfId="54640" xr:uid="{00000000-0005-0000-0000-000075680000}"/>
    <cellStyle name="Separador de milhares 3 2 5 5 4 2 2 3" xfId="22545" xr:uid="{00000000-0005-0000-0000-000076680000}"/>
    <cellStyle name="Separador de milhares 3 2 5 5 4 2 2 3 2" xfId="48732" xr:uid="{00000000-0005-0000-0000-000077680000}"/>
    <cellStyle name="Separador de milhares 3 2 5 5 4 2 2 4" xfId="16631" xr:uid="{00000000-0005-0000-0000-000078680000}"/>
    <cellStyle name="Separador de milhares 3 2 5 5 4 2 2 4 2" xfId="42824" xr:uid="{00000000-0005-0000-0000-000079680000}"/>
    <cellStyle name="Separador de milhares 3 2 5 5 4 2 2 5" xfId="36438" xr:uid="{00000000-0005-0000-0000-00007A680000}"/>
    <cellStyle name="Separador de milhares 3 2 5 5 4 2 3" xfId="25502" xr:uid="{00000000-0005-0000-0000-00007B680000}"/>
    <cellStyle name="Separador de milhares 3 2 5 5 4 2 3 2" xfId="51686" xr:uid="{00000000-0005-0000-0000-00007C680000}"/>
    <cellStyle name="Separador de milhares 3 2 5 5 4 2 4" xfId="19588" xr:uid="{00000000-0005-0000-0000-00007D680000}"/>
    <cellStyle name="Separador de milhares 3 2 5 5 4 2 4 2" xfId="45778" xr:uid="{00000000-0005-0000-0000-00007E680000}"/>
    <cellStyle name="Separador de milhares 3 2 5 5 4 2 5" xfId="13490" xr:uid="{00000000-0005-0000-0000-00007F680000}"/>
    <cellStyle name="Separador de milhares 3 2 5 5 4 2 5 2" xfId="39683" xr:uid="{00000000-0005-0000-0000-000080680000}"/>
    <cellStyle name="Separador de milhares 3 2 5 5 4 2 6" xfId="33297" xr:uid="{00000000-0005-0000-0000-000081680000}"/>
    <cellStyle name="Separador de milhares 3 2 5 5 4 3" xfId="8777" xr:uid="{00000000-0005-0000-0000-000082680000}"/>
    <cellStyle name="Separador de milhares 3 2 5 5 4 3 2" xfId="26991" xr:uid="{00000000-0005-0000-0000-000083680000}"/>
    <cellStyle name="Separador de milhares 3 2 5 5 4 3 2 2" xfId="53172" xr:uid="{00000000-0005-0000-0000-000084680000}"/>
    <cellStyle name="Separador de milhares 3 2 5 5 4 3 3" xfId="21077" xr:uid="{00000000-0005-0000-0000-000085680000}"/>
    <cellStyle name="Separador de milhares 3 2 5 5 4 3 3 2" xfId="47264" xr:uid="{00000000-0005-0000-0000-000086680000}"/>
    <cellStyle name="Separador de milhares 3 2 5 5 4 3 4" xfId="15163" xr:uid="{00000000-0005-0000-0000-000087680000}"/>
    <cellStyle name="Separador de milhares 3 2 5 5 4 3 4 2" xfId="41356" xr:uid="{00000000-0005-0000-0000-000088680000}"/>
    <cellStyle name="Separador de milhares 3 2 5 5 4 3 5" xfId="34970" xr:uid="{00000000-0005-0000-0000-000089680000}"/>
    <cellStyle name="Separador de milhares 3 2 5 5 4 4" xfId="5402" xr:uid="{00000000-0005-0000-0000-00008A680000}"/>
    <cellStyle name="Separador de milhares 3 2 5 5 4 4 2" xfId="24034" xr:uid="{00000000-0005-0000-0000-00008B680000}"/>
    <cellStyle name="Separador de milhares 3 2 5 5 4 4 2 2" xfId="50218" xr:uid="{00000000-0005-0000-0000-00008C680000}"/>
    <cellStyle name="Separador de milhares 3 2 5 5 4 4 3" xfId="31598" xr:uid="{00000000-0005-0000-0000-00008D680000}"/>
    <cellStyle name="Separador de milhares 3 2 5 5 4 5" xfId="18120" xr:uid="{00000000-0005-0000-0000-00008E680000}"/>
    <cellStyle name="Separador de milhares 3 2 5 5 4 5 2" xfId="44310" xr:uid="{00000000-0005-0000-0000-00008F680000}"/>
    <cellStyle name="Separador de milhares 3 2 5 5 4 6" xfId="11789" xr:uid="{00000000-0005-0000-0000-000090680000}"/>
    <cellStyle name="Separador de milhares 3 2 5 5 4 6 2" xfId="37982" xr:uid="{00000000-0005-0000-0000-000091680000}"/>
    <cellStyle name="Separador de milhares 3 2 5 5 4 7" xfId="29900" xr:uid="{00000000-0005-0000-0000-000092680000}"/>
    <cellStyle name="Separador de milhares 3 2 5 5 5" xfId="2945" xr:uid="{00000000-0005-0000-0000-000093680000}"/>
    <cellStyle name="Separador de milhares 3 2 5 5 5 2" xfId="7248" xr:uid="{00000000-0005-0000-0000-000094680000}"/>
    <cellStyle name="Separador de milhares 3 2 5 5 5 2 2" xfId="10392" xr:uid="{00000000-0005-0000-0000-000095680000}"/>
    <cellStyle name="Separador de milhares 3 2 5 5 5 2 2 2" xfId="28606" xr:uid="{00000000-0005-0000-0000-000096680000}"/>
    <cellStyle name="Separador de milhares 3 2 5 5 5 2 2 2 2" xfId="54787" xr:uid="{00000000-0005-0000-0000-000097680000}"/>
    <cellStyle name="Separador de milhares 3 2 5 5 5 2 2 3" xfId="22692" xr:uid="{00000000-0005-0000-0000-000098680000}"/>
    <cellStyle name="Separador de milhares 3 2 5 5 5 2 2 3 2" xfId="48879" xr:uid="{00000000-0005-0000-0000-000099680000}"/>
    <cellStyle name="Separador de milhares 3 2 5 5 5 2 2 4" xfId="16778" xr:uid="{00000000-0005-0000-0000-00009A680000}"/>
    <cellStyle name="Separador de milhares 3 2 5 5 5 2 2 4 2" xfId="42971" xr:uid="{00000000-0005-0000-0000-00009B680000}"/>
    <cellStyle name="Separador de milhares 3 2 5 5 5 2 2 5" xfId="36585" xr:uid="{00000000-0005-0000-0000-00009C680000}"/>
    <cellStyle name="Separador de milhares 3 2 5 5 5 2 3" xfId="25649" xr:uid="{00000000-0005-0000-0000-00009D680000}"/>
    <cellStyle name="Separador de milhares 3 2 5 5 5 2 3 2" xfId="51833" xr:uid="{00000000-0005-0000-0000-00009E680000}"/>
    <cellStyle name="Separador de milhares 3 2 5 5 5 2 4" xfId="19735" xr:uid="{00000000-0005-0000-0000-00009F680000}"/>
    <cellStyle name="Separador de milhares 3 2 5 5 5 2 4 2" xfId="45925" xr:uid="{00000000-0005-0000-0000-0000A0680000}"/>
    <cellStyle name="Separador de milhares 3 2 5 5 5 2 5" xfId="13637" xr:uid="{00000000-0005-0000-0000-0000A1680000}"/>
    <cellStyle name="Separador de milhares 3 2 5 5 5 2 5 2" xfId="39830" xr:uid="{00000000-0005-0000-0000-0000A2680000}"/>
    <cellStyle name="Separador de milhares 3 2 5 5 5 2 6" xfId="33444" xr:uid="{00000000-0005-0000-0000-0000A3680000}"/>
    <cellStyle name="Separador de milhares 3 2 5 5 5 3" xfId="8924" xr:uid="{00000000-0005-0000-0000-0000A4680000}"/>
    <cellStyle name="Separador de milhares 3 2 5 5 5 3 2" xfId="27138" xr:uid="{00000000-0005-0000-0000-0000A5680000}"/>
    <cellStyle name="Separador de milhares 3 2 5 5 5 3 2 2" xfId="53319" xr:uid="{00000000-0005-0000-0000-0000A6680000}"/>
    <cellStyle name="Separador de milhares 3 2 5 5 5 3 3" xfId="21224" xr:uid="{00000000-0005-0000-0000-0000A7680000}"/>
    <cellStyle name="Separador de milhares 3 2 5 5 5 3 3 2" xfId="47411" xr:uid="{00000000-0005-0000-0000-0000A8680000}"/>
    <cellStyle name="Separador de milhares 3 2 5 5 5 3 4" xfId="15310" xr:uid="{00000000-0005-0000-0000-0000A9680000}"/>
    <cellStyle name="Separador de milhares 3 2 5 5 5 3 4 2" xfId="41503" xr:uid="{00000000-0005-0000-0000-0000AA680000}"/>
    <cellStyle name="Separador de milhares 3 2 5 5 5 3 5" xfId="35117" xr:uid="{00000000-0005-0000-0000-0000AB680000}"/>
    <cellStyle name="Separador de milhares 3 2 5 5 5 4" xfId="5549" xr:uid="{00000000-0005-0000-0000-0000AC680000}"/>
    <cellStyle name="Separador de milhares 3 2 5 5 5 4 2" xfId="24181" xr:uid="{00000000-0005-0000-0000-0000AD680000}"/>
    <cellStyle name="Separador de milhares 3 2 5 5 5 4 2 2" xfId="50365" xr:uid="{00000000-0005-0000-0000-0000AE680000}"/>
    <cellStyle name="Separador de milhares 3 2 5 5 5 4 3" xfId="31745" xr:uid="{00000000-0005-0000-0000-0000AF680000}"/>
    <cellStyle name="Separador de milhares 3 2 5 5 5 5" xfId="18267" xr:uid="{00000000-0005-0000-0000-0000B0680000}"/>
    <cellStyle name="Separador de milhares 3 2 5 5 5 5 2" xfId="44457" xr:uid="{00000000-0005-0000-0000-0000B1680000}"/>
    <cellStyle name="Separador de milhares 3 2 5 5 5 6" xfId="11936" xr:uid="{00000000-0005-0000-0000-0000B2680000}"/>
    <cellStyle name="Separador de milhares 3 2 5 5 5 6 2" xfId="38129" xr:uid="{00000000-0005-0000-0000-0000B3680000}"/>
    <cellStyle name="Separador de milhares 3 2 5 5 5 7" xfId="30047" xr:uid="{00000000-0005-0000-0000-0000B4680000}"/>
    <cellStyle name="Separador de milhares 3 2 5 5 6" xfId="3472" xr:uid="{00000000-0005-0000-0000-0000B5680000}"/>
    <cellStyle name="Separador de milhares 3 2 5 5 6 2" xfId="7395" xr:uid="{00000000-0005-0000-0000-0000B6680000}"/>
    <cellStyle name="Separador de milhares 3 2 5 5 6 2 2" xfId="10539" xr:uid="{00000000-0005-0000-0000-0000B7680000}"/>
    <cellStyle name="Separador de milhares 3 2 5 5 6 2 2 2" xfId="28753" xr:uid="{00000000-0005-0000-0000-0000B8680000}"/>
    <cellStyle name="Separador de milhares 3 2 5 5 6 2 2 2 2" xfId="54934" xr:uid="{00000000-0005-0000-0000-0000B9680000}"/>
    <cellStyle name="Separador de milhares 3 2 5 5 6 2 2 3" xfId="22839" xr:uid="{00000000-0005-0000-0000-0000BA680000}"/>
    <cellStyle name="Separador de milhares 3 2 5 5 6 2 2 3 2" xfId="49026" xr:uid="{00000000-0005-0000-0000-0000BB680000}"/>
    <cellStyle name="Separador de milhares 3 2 5 5 6 2 2 4" xfId="16925" xr:uid="{00000000-0005-0000-0000-0000BC680000}"/>
    <cellStyle name="Separador de milhares 3 2 5 5 6 2 2 4 2" xfId="43118" xr:uid="{00000000-0005-0000-0000-0000BD680000}"/>
    <cellStyle name="Separador de milhares 3 2 5 5 6 2 2 5" xfId="36732" xr:uid="{00000000-0005-0000-0000-0000BE680000}"/>
    <cellStyle name="Separador de milhares 3 2 5 5 6 2 3" xfId="25796" xr:uid="{00000000-0005-0000-0000-0000BF680000}"/>
    <cellStyle name="Separador de milhares 3 2 5 5 6 2 3 2" xfId="51980" xr:uid="{00000000-0005-0000-0000-0000C0680000}"/>
    <cellStyle name="Separador de milhares 3 2 5 5 6 2 4" xfId="19882" xr:uid="{00000000-0005-0000-0000-0000C1680000}"/>
    <cellStyle name="Separador de milhares 3 2 5 5 6 2 4 2" xfId="46072" xr:uid="{00000000-0005-0000-0000-0000C2680000}"/>
    <cellStyle name="Separador de milhares 3 2 5 5 6 2 5" xfId="13784" xr:uid="{00000000-0005-0000-0000-0000C3680000}"/>
    <cellStyle name="Separador de milhares 3 2 5 5 6 2 5 2" xfId="39977" xr:uid="{00000000-0005-0000-0000-0000C4680000}"/>
    <cellStyle name="Separador de milhares 3 2 5 5 6 2 6" xfId="33591" xr:uid="{00000000-0005-0000-0000-0000C5680000}"/>
    <cellStyle name="Separador de milhares 3 2 5 5 6 3" xfId="9071" xr:uid="{00000000-0005-0000-0000-0000C6680000}"/>
    <cellStyle name="Separador de milhares 3 2 5 5 6 3 2" xfId="27285" xr:uid="{00000000-0005-0000-0000-0000C7680000}"/>
    <cellStyle name="Separador de milhares 3 2 5 5 6 3 2 2" xfId="53466" xr:uid="{00000000-0005-0000-0000-0000C8680000}"/>
    <cellStyle name="Separador de milhares 3 2 5 5 6 3 3" xfId="21371" xr:uid="{00000000-0005-0000-0000-0000C9680000}"/>
    <cellStyle name="Separador de milhares 3 2 5 5 6 3 3 2" xfId="47558" xr:uid="{00000000-0005-0000-0000-0000CA680000}"/>
    <cellStyle name="Separador de milhares 3 2 5 5 6 3 4" xfId="15457" xr:uid="{00000000-0005-0000-0000-0000CB680000}"/>
    <cellStyle name="Separador de milhares 3 2 5 5 6 3 4 2" xfId="41650" xr:uid="{00000000-0005-0000-0000-0000CC680000}"/>
    <cellStyle name="Separador de milhares 3 2 5 5 6 3 5" xfId="35264" xr:uid="{00000000-0005-0000-0000-0000CD680000}"/>
    <cellStyle name="Separador de milhares 3 2 5 5 6 4" xfId="5696" xr:uid="{00000000-0005-0000-0000-0000CE680000}"/>
    <cellStyle name="Separador de milhares 3 2 5 5 6 4 2" xfId="24328" xr:uid="{00000000-0005-0000-0000-0000CF680000}"/>
    <cellStyle name="Separador de milhares 3 2 5 5 6 4 2 2" xfId="50512" xr:uid="{00000000-0005-0000-0000-0000D0680000}"/>
    <cellStyle name="Separador de milhares 3 2 5 5 6 4 3" xfId="31892" xr:uid="{00000000-0005-0000-0000-0000D1680000}"/>
    <cellStyle name="Separador de milhares 3 2 5 5 6 5" xfId="18414" xr:uid="{00000000-0005-0000-0000-0000D2680000}"/>
    <cellStyle name="Separador de milhares 3 2 5 5 6 5 2" xfId="44604" xr:uid="{00000000-0005-0000-0000-0000D3680000}"/>
    <cellStyle name="Separador de milhares 3 2 5 5 6 6" xfId="12083" xr:uid="{00000000-0005-0000-0000-0000D4680000}"/>
    <cellStyle name="Separador de milhares 3 2 5 5 6 6 2" xfId="38276" xr:uid="{00000000-0005-0000-0000-0000D5680000}"/>
    <cellStyle name="Separador de milhares 3 2 5 5 6 7" xfId="30194" xr:uid="{00000000-0005-0000-0000-0000D6680000}"/>
    <cellStyle name="Separador de milhares 3 2 5 5 7" xfId="3999" xr:uid="{00000000-0005-0000-0000-0000D7680000}"/>
    <cellStyle name="Separador de milhares 3 2 5 5 7 2" xfId="7542" xr:uid="{00000000-0005-0000-0000-0000D8680000}"/>
    <cellStyle name="Separador de milhares 3 2 5 5 7 2 2" xfId="10686" xr:uid="{00000000-0005-0000-0000-0000D9680000}"/>
    <cellStyle name="Separador de milhares 3 2 5 5 7 2 2 2" xfId="28900" xr:uid="{00000000-0005-0000-0000-0000DA680000}"/>
    <cellStyle name="Separador de milhares 3 2 5 5 7 2 2 2 2" xfId="55081" xr:uid="{00000000-0005-0000-0000-0000DB680000}"/>
    <cellStyle name="Separador de milhares 3 2 5 5 7 2 2 3" xfId="22986" xr:uid="{00000000-0005-0000-0000-0000DC680000}"/>
    <cellStyle name="Separador de milhares 3 2 5 5 7 2 2 3 2" xfId="49173" xr:uid="{00000000-0005-0000-0000-0000DD680000}"/>
    <cellStyle name="Separador de milhares 3 2 5 5 7 2 2 4" xfId="17072" xr:uid="{00000000-0005-0000-0000-0000DE680000}"/>
    <cellStyle name="Separador de milhares 3 2 5 5 7 2 2 4 2" xfId="43265" xr:uid="{00000000-0005-0000-0000-0000DF680000}"/>
    <cellStyle name="Separador de milhares 3 2 5 5 7 2 2 5" xfId="36879" xr:uid="{00000000-0005-0000-0000-0000E0680000}"/>
    <cellStyle name="Separador de milhares 3 2 5 5 7 2 3" xfId="25943" xr:uid="{00000000-0005-0000-0000-0000E1680000}"/>
    <cellStyle name="Separador de milhares 3 2 5 5 7 2 3 2" xfId="52127" xr:uid="{00000000-0005-0000-0000-0000E2680000}"/>
    <cellStyle name="Separador de milhares 3 2 5 5 7 2 4" xfId="20029" xr:uid="{00000000-0005-0000-0000-0000E3680000}"/>
    <cellStyle name="Separador de milhares 3 2 5 5 7 2 4 2" xfId="46219" xr:uid="{00000000-0005-0000-0000-0000E4680000}"/>
    <cellStyle name="Separador de milhares 3 2 5 5 7 2 5" xfId="13931" xr:uid="{00000000-0005-0000-0000-0000E5680000}"/>
    <cellStyle name="Separador de milhares 3 2 5 5 7 2 5 2" xfId="40124" xr:uid="{00000000-0005-0000-0000-0000E6680000}"/>
    <cellStyle name="Separador de milhares 3 2 5 5 7 2 6" xfId="33738" xr:uid="{00000000-0005-0000-0000-0000E7680000}"/>
    <cellStyle name="Separador de milhares 3 2 5 5 7 3" xfId="9218" xr:uid="{00000000-0005-0000-0000-0000E8680000}"/>
    <cellStyle name="Separador de milhares 3 2 5 5 7 3 2" xfId="27432" xr:uid="{00000000-0005-0000-0000-0000E9680000}"/>
    <cellStyle name="Separador de milhares 3 2 5 5 7 3 2 2" xfId="53613" xr:uid="{00000000-0005-0000-0000-0000EA680000}"/>
    <cellStyle name="Separador de milhares 3 2 5 5 7 3 3" xfId="21518" xr:uid="{00000000-0005-0000-0000-0000EB680000}"/>
    <cellStyle name="Separador de milhares 3 2 5 5 7 3 3 2" xfId="47705" xr:uid="{00000000-0005-0000-0000-0000EC680000}"/>
    <cellStyle name="Separador de milhares 3 2 5 5 7 3 4" xfId="15604" xr:uid="{00000000-0005-0000-0000-0000ED680000}"/>
    <cellStyle name="Separador de milhares 3 2 5 5 7 3 4 2" xfId="41797" xr:uid="{00000000-0005-0000-0000-0000EE680000}"/>
    <cellStyle name="Separador de milhares 3 2 5 5 7 3 5" xfId="35411" xr:uid="{00000000-0005-0000-0000-0000EF680000}"/>
    <cellStyle name="Separador de milhares 3 2 5 5 7 4" xfId="5843" xr:uid="{00000000-0005-0000-0000-0000F0680000}"/>
    <cellStyle name="Separador de milhares 3 2 5 5 7 4 2" xfId="24475" xr:uid="{00000000-0005-0000-0000-0000F1680000}"/>
    <cellStyle name="Separador de milhares 3 2 5 5 7 4 2 2" xfId="50659" xr:uid="{00000000-0005-0000-0000-0000F2680000}"/>
    <cellStyle name="Separador de milhares 3 2 5 5 7 4 3" xfId="32039" xr:uid="{00000000-0005-0000-0000-0000F3680000}"/>
    <cellStyle name="Separador de milhares 3 2 5 5 7 5" xfId="18561" xr:uid="{00000000-0005-0000-0000-0000F4680000}"/>
    <cellStyle name="Separador de milhares 3 2 5 5 7 5 2" xfId="44751" xr:uid="{00000000-0005-0000-0000-0000F5680000}"/>
    <cellStyle name="Separador de milhares 3 2 5 5 7 6" xfId="12230" xr:uid="{00000000-0005-0000-0000-0000F6680000}"/>
    <cellStyle name="Separador de milhares 3 2 5 5 7 6 2" xfId="38423" xr:uid="{00000000-0005-0000-0000-0000F7680000}"/>
    <cellStyle name="Separador de milhares 3 2 5 5 7 7" xfId="30341" xr:uid="{00000000-0005-0000-0000-0000F8680000}"/>
    <cellStyle name="Separador de milhares 3 2 5 5 8" xfId="6581" xr:uid="{00000000-0005-0000-0000-0000F9680000}"/>
    <cellStyle name="Separador de milhares 3 2 5 5 8 2" xfId="9728" xr:uid="{00000000-0005-0000-0000-0000FA680000}"/>
    <cellStyle name="Separador de milhares 3 2 5 5 8 2 2" xfId="27942" xr:uid="{00000000-0005-0000-0000-0000FB680000}"/>
    <cellStyle name="Separador de milhares 3 2 5 5 8 2 2 2" xfId="54123" xr:uid="{00000000-0005-0000-0000-0000FC680000}"/>
    <cellStyle name="Separador de milhares 3 2 5 5 8 2 3" xfId="22028" xr:uid="{00000000-0005-0000-0000-0000FD680000}"/>
    <cellStyle name="Separador de milhares 3 2 5 5 8 2 3 2" xfId="48215" xr:uid="{00000000-0005-0000-0000-0000FE680000}"/>
    <cellStyle name="Separador de milhares 3 2 5 5 8 2 4" xfId="16114" xr:uid="{00000000-0005-0000-0000-0000FF680000}"/>
    <cellStyle name="Separador de milhares 3 2 5 5 8 2 4 2" xfId="42307" xr:uid="{00000000-0005-0000-0000-000000690000}"/>
    <cellStyle name="Separador de milhares 3 2 5 5 8 2 5" xfId="35921" xr:uid="{00000000-0005-0000-0000-000001690000}"/>
    <cellStyle name="Separador de milhares 3 2 5 5 8 3" xfId="24985" xr:uid="{00000000-0005-0000-0000-000002690000}"/>
    <cellStyle name="Separador de milhares 3 2 5 5 8 3 2" xfId="51169" xr:uid="{00000000-0005-0000-0000-000003690000}"/>
    <cellStyle name="Separador de milhares 3 2 5 5 8 4" xfId="19071" xr:uid="{00000000-0005-0000-0000-000004690000}"/>
    <cellStyle name="Separador de milhares 3 2 5 5 8 4 2" xfId="45261" xr:uid="{00000000-0005-0000-0000-000005690000}"/>
    <cellStyle name="Separador de milhares 3 2 5 5 8 5" xfId="12970" xr:uid="{00000000-0005-0000-0000-000006690000}"/>
    <cellStyle name="Separador de milhares 3 2 5 5 8 5 2" xfId="39163" xr:uid="{00000000-0005-0000-0000-000007690000}"/>
    <cellStyle name="Separador de milhares 3 2 5 5 8 6" xfId="32777" xr:uid="{00000000-0005-0000-0000-000008690000}"/>
    <cellStyle name="Separador de milhares 3 2 5 5 9" xfId="8257" xr:uid="{00000000-0005-0000-0000-000009690000}"/>
    <cellStyle name="Separador de milhares 3 2 5 5 9 2" xfId="26471" xr:uid="{00000000-0005-0000-0000-00000A690000}"/>
    <cellStyle name="Separador de milhares 3 2 5 5 9 2 2" xfId="52655" xr:uid="{00000000-0005-0000-0000-00000B690000}"/>
    <cellStyle name="Separador de milhares 3 2 5 5 9 3" xfId="20557" xr:uid="{00000000-0005-0000-0000-00000C690000}"/>
    <cellStyle name="Separador de milhares 3 2 5 5 9 3 2" xfId="46747" xr:uid="{00000000-0005-0000-0000-00000D690000}"/>
    <cellStyle name="Separador de milhares 3 2 5 5 9 4" xfId="14646" xr:uid="{00000000-0005-0000-0000-00000E690000}"/>
    <cellStyle name="Separador de milhares 3 2 5 5 9 4 2" xfId="40839" xr:uid="{00000000-0005-0000-0000-00000F690000}"/>
    <cellStyle name="Separador de milhares 3 2 5 5 9 5" xfId="34453" xr:uid="{00000000-0005-0000-0000-000010690000}"/>
    <cellStyle name="Separador de milhares 3 2 5 6" xfId="751" xr:uid="{00000000-0005-0000-0000-000011690000}"/>
    <cellStyle name="Separador de milhares 3 2 5 6 2" xfId="4175" xr:uid="{00000000-0005-0000-0000-000012690000}"/>
    <cellStyle name="Separador de milhares 3 2 5 6 2 2" xfId="7591" xr:uid="{00000000-0005-0000-0000-000013690000}"/>
    <cellStyle name="Separador de milhares 3 2 5 6 2 2 2" xfId="10735" xr:uid="{00000000-0005-0000-0000-000014690000}"/>
    <cellStyle name="Separador de milhares 3 2 5 6 2 2 2 2" xfId="28949" xr:uid="{00000000-0005-0000-0000-000015690000}"/>
    <cellStyle name="Separador de milhares 3 2 5 6 2 2 2 2 2" xfId="55130" xr:uid="{00000000-0005-0000-0000-000016690000}"/>
    <cellStyle name="Separador de milhares 3 2 5 6 2 2 2 3" xfId="23035" xr:uid="{00000000-0005-0000-0000-000017690000}"/>
    <cellStyle name="Separador de milhares 3 2 5 6 2 2 2 3 2" xfId="49222" xr:uid="{00000000-0005-0000-0000-000018690000}"/>
    <cellStyle name="Separador de milhares 3 2 5 6 2 2 2 4" xfId="17121" xr:uid="{00000000-0005-0000-0000-000019690000}"/>
    <cellStyle name="Separador de milhares 3 2 5 6 2 2 2 4 2" xfId="43314" xr:uid="{00000000-0005-0000-0000-00001A690000}"/>
    <cellStyle name="Separador de milhares 3 2 5 6 2 2 2 5" xfId="36928" xr:uid="{00000000-0005-0000-0000-00001B690000}"/>
    <cellStyle name="Separador de milhares 3 2 5 6 2 2 3" xfId="25992" xr:uid="{00000000-0005-0000-0000-00001C690000}"/>
    <cellStyle name="Separador de milhares 3 2 5 6 2 2 3 2" xfId="52176" xr:uid="{00000000-0005-0000-0000-00001D690000}"/>
    <cellStyle name="Separador de milhares 3 2 5 6 2 2 4" xfId="20078" xr:uid="{00000000-0005-0000-0000-00001E690000}"/>
    <cellStyle name="Separador de milhares 3 2 5 6 2 2 4 2" xfId="46268" xr:uid="{00000000-0005-0000-0000-00001F690000}"/>
    <cellStyle name="Separador de milhares 3 2 5 6 2 2 5" xfId="13980" xr:uid="{00000000-0005-0000-0000-000020690000}"/>
    <cellStyle name="Separador de milhares 3 2 5 6 2 2 5 2" xfId="40173" xr:uid="{00000000-0005-0000-0000-000021690000}"/>
    <cellStyle name="Separador de milhares 3 2 5 6 2 2 6" xfId="33787" xr:uid="{00000000-0005-0000-0000-000022690000}"/>
    <cellStyle name="Separador de milhares 3 2 5 6 2 3" xfId="9267" xr:uid="{00000000-0005-0000-0000-000023690000}"/>
    <cellStyle name="Separador de milhares 3 2 5 6 2 3 2" xfId="27481" xr:uid="{00000000-0005-0000-0000-000024690000}"/>
    <cellStyle name="Separador de milhares 3 2 5 6 2 3 2 2" xfId="53662" xr:uid="{00000000-0005-0000-0000-000025690000}"/>
    <cellStyle name="Separador de milhares 3 2 5 6 2 3 3" xfId="21567" xr:uid="{00000000-0005-0000-0000-000026690000}"/>
    <cellStyle name="Separador de milhares 3 2 5 6 2 3 3 2" xfId="47754" xr:uid="{00000000-0005-0000-0000-000027690000}"/>
    <cellStyle name="Separador de milhares 3 2 5 6 2 3 4" xfId="15653" xr:uid="{00000000-0005-0000-0000-000028690000}"/>
    <cellStyle name="Separador de milhares 3 2 5 6 2 3 4 2" xfId="41846" xr:uid="{00000000-0005-0000-0000-000029690000}"/>
    <cellStyle name="Separador de milhares 3 2 5 6 2 3 5" xfId="35460" xr:uid="{00000000-0005-0000-0000-00002A690000}"/>
    <cellStyle name="Separador de milhares 3 2 5 6 2 4" xfId="5892" xr:uid="{00000000-0005-0000-0000-00002B690000}"/>
    <cellStyle name="Separador de milhares 3 2 5 6 2 4 2" xfId="24524" xr:uid="{00000000-0005-0000-0000-00002C690000}"/>
    <cellStyle name="Separador de milhares 3 2 5 6 2 4 2 2" xfId="50708" xr:uid="{00000000-0005-0000-0000-00002D690000}"/>
    <cellStyle name="Separador de milhares 3 2 5 6 2 4 3" xfId="32088" xr:uid="{00000000-0005-0000-0000-00002E690000}"/>
    <cellStyle name="Separador de milhares 3 2 5 6 2 5" xfId="18610" xr:uid="{00000000-0005-0000-0000-00002F690000}"/>
    <cellStyle name="Separador de milhares 3 2 5 6 2 5 2" xfId="44800" xr:uid="{00000000-0005-0000-0000-000030690000}"/>
    <cellStyle name="Separador de milhares 3 2 5 6 2 6" xfId="12279" xr:uid="{00000000-0005-0000-0000-000031690000}"/>
    <cellStyle name="Separador de milhares 3 2 5 6 2 6 2" xfId="38472" xr:uid="{00000000-0005-0000-0000-000032690000}"/>
    <cellStyle name="Separador de milhares 3 2 5 6 2 7" xfId="30390" xr:uid="{00000000-0005-0000-0000-000033690000}"/>
    <cellStyle name="Separador de milhares 3 2 5 6 3" xfId="6636" xr:uid="{00000000-0005-0000-0000-000034690000}"/>
    <cellStyle name="Separador de milhares 3 2 5 6 3 2" xfId="9783" xr:uid="{00000000-0005-0000-0000-000035690000}"/>
    <cellStyle name="Separador de milhares 3 2 5 6 3 2 2" xfId="27997" xr:uid="{00000000-0005-0000-0000-000036690000}"/>
    <cellStyle name="Separador de milhares 3 2 5 6 3 2 2 2" xfId="54178" xr:uid="{00000000-0005-0000-0000-000037690000}"/>
    <cellStyle name="Separador de milhares 3 2 5 6 3 2 3" xfId="22083" xr:uid="{00000000-0005-0000-0000-000038690000}"/>
    <cellStyle name="Separador de milhares 3 2 5 6 3 2 3 2" xfId="48270" xr:uid="{00000000-0005-0000-0000-000039690000}"/>
    <cellStyle name="Separador de milhares 3 2 5 6 3 2 4" xfId="16169" xr:uid="{00000000-0005-0000-0000-00003A690000}"/>
    <cellStyle name="Separador de milhares 3 2 5 6 3 2 4 2" xfId="42362" xr:uid="{00000000-0005-0000-0000-00003B690000}"/>
    <cellStyle name="Separador de milhares 3 2 5 6 3 2 5" xfId="35976" xr:uid="{00000000-0005-0000-0000-00003C690000}"/>
    <cellStyle name="Separador de milhares 3 2 5 6 3 3" xfId="25040" xr:uid="{00000000-0005-0000-0000-00003D690000}"/>
    <cellStyle name="Separador de milhares 3 2 5 6 3 3 2" xfId="51224" xr:uid="{00000000-0005-0000-0000-00003E690000}"/>
    <cellStyle name="Separador de milhares 3 2 5 6 3 4" xfId="19126" xr:uid="{00000000-0005-0000-0000-00003F690000}"/>
    <cellStyle name="Separador de milhares 3 2 5 6 3 4 2" xfId="45316" xr:uid="{00000000-0005-0000-0000-000040690000}"/>
    <cellStyle name="Separador de milhares 3 2 5 6 3 5" xfId="13025" xr:uid="{00000000-0005-0000-0000-000041690000}"/>
    <cellStyle name="Separador de milhares 3 2 5 6 3 5 2" xfId="39218" xr:uid="{00000000-0005-0000-0000-000042690000}"/>
    <cellStyle name="Separador de milhares 3 2 5 6 3 6" xfId="32832" xr:uid="{00000000-0005-0000-0000-000043690000}"/>
    <cellStyle name="Separador de milhares 3 2 5 6 4" xfId="8315" xr:uid="{00000000-0005-0000-0000-000044690000}"/>
    <cellStyle name="Separador de milhares 3 2 5 6 4 2" xfId="26529" xr:uid="{00000000-0005-0000-0000-000045690000}"/>
    <cellStyle name="Separador de milhares 3 2 5 6 4 2 2" xfId="52710" xr:uid="{00000000-0005-0000-0000-000046690000}"/>
    <cellStyle name="Separador de milhares 3 2 5 6 4 3" xfId="20615" xr:uid="{00000000-0005-0000-0000-000047690000}"/>
    <cellStyle name="Separador de milhares 3 2 5 6 4 3 2" xfId="46802" xr:uid="{00000000-0005-0000-0000-000048690000}"/>
    <cellStyle name="Separador de milhares 3 2 5 6 4 4" xfId="14701" xr:uid="{00000000-0005-0000-0000-000049690000}"/>
    <cellStyle name="Separador de milhares 3 2 5 6 4 4 2" xfId="40894" xr:uid="{00000000-0005-0000-0000-00004A690000}"/>
    <cellStyle name="Separador de milhares 3 2 5 6 4 5" xfId="34508" xr:uid="{00000000-0005-0000-0000-00004B690000}"/>
    <cellStyle name="Separador de milhares 3 2 5 6 5" xfId="4937" xr:uid="{00000000-0005-0000-0000-00004C690000}"/>
    <cellStyle name="Separador de milhares 3 2 5 6 5 2" xfId="23572" xr:uid="{00000000-0005-0000-0000-00004D690000}"/>
    <cellStyle name="Separador de milhares 3 2 5 6 5 2 2" xfId="49756" xr:uid="{00000000-0005-0000-0000-00004E690000}"/>
    <cellStyle name="Separador de milhares 3 2 5 6 5 3" xfId="31133" xr:uid="{00000000-0005-0000-0000-00004F690000}"/>
    <cellStyle name="Separador de milhares 3 2 5 6 6" xfId="17658" xr:uid="{00000000-0005-0000-0000-000050690000}"/>
    <cellStyle name="Separador de milhares 3 2 5 6 6 2" xfId="43848" xr:uid="{00000000-0005-0000-0000-000051690000}"/>
    <cellStyle name="Separador de milhares 3 2 5 6 7" xfId="11324" xr:uid="{00000000-0005-0000-0000-000052690000}"/>
    <cellStyle name="Separador de milhares 3 2 5 6 7 2" xfId="37517" xr:uid="{00000000-0005-0000-0000-000053690000}"/>
    <cellStyle name="Separador de milhares 3 2 5 6 8" xfId="29435" xr:uid="{00000000-0005-0000-0000-000054690000}"/>
    <cellStyle name="Separador de milhares 3 2 5 7" xfId="1102" xr:uid="{00000000-0005-0000-0000-000055690000}"/>
    <cellStyle name="Separador de milhares 3 2 5 7 2" xfId="6734" xr:uid="{00000000-0005-0000-0000-000056690000}"/>
    <cellStyle name="Separador de milhares 3 2 5 7 2 2" xfId="9881" xr:uid="{00000000-0005-0000-0000-000057690000}"/>
    <cellStyle name="Separador de milhares 3 2 5 7 2 2 2" xfId="28095" xr:uid="{00000000-0005-0000-0000-000058690000}"/>
    <cellStyle name="Separador de milhares 3 2 5 7 2 2 2 2" xfId="54276" xr:uid="{00000000-0005-0000-0000-000059690000}"/>
    <cellStyle name="Separador de milhares 3 2 5 7 2 2 3" xfId="22181" xr:uid="{00000000-0005-0000-0000-00005A690000}"/>
    <cellStyle name="Separador de milhares 3 2 5 7 2 2 3 2" xfId="48368" xr:uid="{00000000-0005-0000-0000-00005B690000}"/>
    <cellStyle name="Separador de milhares 3 2 5 7 2 2 4" xfId="16267" xr:uid="{00000000-0005-0000-0000-00005C690000}"/>
    <cellStyle name="Separador de milhares 3 2 5 7 2 2 4 2" xfId="42460" xr:uid="{00000000-0005-0000-0000-00005D690000}"/>
    <cellStyle name="Separador de milhares 3 2 5 7 2 2 5" xfId="36074" xr:uid="{00000000-0005-0000-0000-00005E690000}"/>
    <cellStyle name="Separador de milhares 3 2 5 7 2 3" xfId="25138" xr:uid="{00000000-0005-0000-0000-00005F690000}"/>
    <cellStyle name="Separador de milhares 3 2 5 7 2 3 2" xfId="51322" xr:uid="{00000000-0005-0000-0000-000060690000}"/>
    <cellStyle name="Separador de milhares 3 2 5 7 2 4" xfId="19224" xr:uid="{00000000-0005-0000-0000-000061690000}"/>
    <cellStyle name="Separador de milhares 3 2 5 7 2 4 2" xfId="45414" xr:uid="{00000000-0005-0000-0000-000062690000}"/>
    <cellStyle name="Separador de milhares 3 2 5 7 2 5" xfId="13123" xr:uid="{00000000-0005-0000-0000-000063690000}"/>
    <cellStyle name="Separador de milhares 3 2 5 7 2 5 2" xfId="39316" xr:uid="{00000000-0005-0000-0000-000064690000}"/>
    <cellStyle name="Separador de milhares 3 2 5 7 2 6" xfId="32930" xr:uid="{00000000-0005-0000-0000-000065690000}"/>
    <cellStyle name="Separador de milhares 3 2 5 7 3" xfId="8413" xr:uid="{00000000-0005-0000-0000-000066690000}"/>
    <cellStyle name="Separador de milhares 3 2 5 7 3 2" xfId="26627" xr:uid="{00000000-0005-0000-0000-000067690000}"/>
    <cellStyle name="Separador de milhares 3 2 5 7 3 2 2" xfId="52808" xr:uid="{00000000-0005-0000-0000-000068690000}"/>
    <cellStyle name="Separador de milhares 3 2 5 7 3 3" xfId="20713" xr:uid="{00000000-0005-0000-0000-000069690000}"/>
    <cellStyle name="Separador de milhares 3 2 5 7 3 3 2" xfId="46900" xr:uid="{00000000-0005-0000-0000-00006A690000}"/>
    <cellStyle name="Separador de milhares 3 2 5 7 3 4" xfId="14799" xr:uid="{00000000-0005-0000-0000-00006B690000}"/>
    <cellStyle name="Separador de milhares 3 2 5 7 3 4 2" xfId="40992" xr:uid="{00000000-0005-0000-0000-00006C690000}"/>
    <cellStyle name="Separador de milhares 3 2 5 7 3 5" xfId="34606" xr:uid="{00000000-0005-0000-0000-00006D690000}"/>
    <cellStyle name="Separador de milhares 3 2 5 7 4" xfId="5035" xr:uid="{00000000-0005-0000-0000-00006E690000}"/>
    <cellStyle name="Separador de milhares 3 2 5 7 4 2" xfId="23670" xr:uid="{00000000-0005-0000-0000-00006F690000}"/>
    <cellStyle name="Separador de milhares 3 2 5 7 4 2 2" xfId="49854" xr:uid="{00000000-0005-0000-0000-000070690000}"/>
    <cellStyle name="Separador de milhares 3 2 5 7 4 3" xfId="31231" xr:uid="{00000000-0005-0000-0000-000071690000}"/>
    <cellStyle name="Separador de milhares 3 2 5 7 5" xfId="17756" xr:uid="{00000000-0005-0000-0000-000072690000}"/>
    <cellStyle name="Separador de milhares 3 2 5 7 5 2" xfId="43946" xr:uid="{00000000-0005-0000-0000-000073690000}"/>
    <cellStyle name="Separador de milhares 3 2 5 7 6" xfId="11422" xr:uid="{00000000-0005-0000-0000-000074690000}"/>
    <cellStyle name="Separador de milhares 3 2 5 7 6 2" xfId="37615" xr:uid="{00000000-0005-0000-0000-000075690000}"/>
    <cellStyle name="Separador de milhares 3 2 5 7 7" xfId="29533" xr:uid="{00000000-0005-0000-0000-000076690000}"/>
    <cellStyle name="Separador de milhares 3 2 5 8" xfId="1537" xr:uid="{00000000-0005-0000-0000-000077690000}"/>
    <cellStyle name="Separador de milhares 3 2 5 8 2" xfId="6853" xr:uid="{00000000-0005-0000-0000-000078690000}"/>
    <cellStyle name="Separador de milhares 3 2 5 8 2 2" xfId="10000" xr:uid="{00000000-0005-0000-0000-000079690000}"/>
    <cellStyle name="Separador de milhares 3 2 5 8 2 2 2" xfId="28214" xr:uid="{00000000-0005-0000-0000-00007A690000}"/>
    <cellStyle name="Separador de milhares 3 2 5 8 2 2 2 2" xfId="54395" xr:uid="{00000000-0005-0000-0000-00007B690000}"/>
    <cellStyle name="Separador de milhares 3 2 5 8 2 2 3" xfId="22300" xr:uid="{00000000-0005-0000-0000-00007C690000}"/>
    <cellStyle name="Separador de milhares 3 2 5 8 2 2 3 2" xfId="48487" xr:uid="{00000000-0005-0000-0000-00007D690000}"/>
    <cellStyle name="Separador de milhares 3 2 5 8 2 2 4" xfId="16386" xr:uid="{00000000-0005-0000-0000-00007E690000}"/>
    <cellStyle name="Separador de milhares 3 2 5 8 2 2 4 2" xfId="42579" xr:uid="{00000000-0005-0000-0000-00007F690000}"/>
    <cellStyle name="Separador de milhares 3 2 5 8 2 2 5" xfId="36193" xr:uid="{00000000-0005-0000-0000-000080690000}"/>
    <cellStyle name="Separador de milhares 3 2 5 8 2 3" xfId="25257" xr:uid="{00000000-0005-0000-0000-000081690000}"/>
    <cellStyle name="Separador de milhares 3 2 5 8 2 3 2" xfId="51441" xr:uid="{00000000-0005-0000-0000-000082690000}"/>
    <cellStyle name="Separador de milhares 3 2 5 8 2 4" xfId="19343" xr:uid="{00000000-0005-0000-0000-000083690000}"/>
    <cellStyle name="Separador de milhares 3 2 5 8 2 4 2" xfId="45533" xr:uid="{00000000-0005-0000-0000-000084690000}"/>
    <cellStyle name="Separador de milhares 3 2 5 8 2 5" xfId="13242" xr:uid="{00000000-0005-0000-0000-000085690000}"/>
    <cellStyle name="Separador de milhares 3 2 5 8 2 5 2" xfId="39435" xr:uid="{00000000-0005-0000-0000-000086690000}"/>
    <cellStyle name="Separador de milhares 3 2 5 8 2 6" xfId="33049" xr:uid="{00000000-0005-0000-0000-000087690000}"/>
    <cellStyle name="Separador de milhares 3 2 5 8 3" xfId="8532" xr:uid="{00000000-0005-0000-0000-000088690000}"/>
    <cellStyle name="Separador de milhares 3 2 5 8 3 2" xfId="26746" xr:uid="{00000000-0005-0000-0000-000089690000}"/>
    <cellStyle name="Separador de milhares 3 2 5 8 3 2 2" xfId="52927" xr:uid="{00000000-0005-0000-0000-00008A690000}"/>
    <cellStyle name="Separador de milhares 3 2 5 8 3 3" xfId="20832" xr:uid="{00000000-0005-0000-0000-00008B690000}"/>
    <cellStyle name="Separador de milhares 3 2 5 8 3 3 2" xfId="47019" xr:uid="{00000000-0005-0000-0000-00008C690000}"/>
    <cellStyle name="Separador de milhares 3 2 5 8 3 4" xfId="14918" xr:uid="{00000000-0005-0000-0000-00008D690000}"/>
    <cellStyle name="Separador de milhares 3 2 5 8 3 4 2" xfId="41111" xr:uid="{00000000-0005-0000-0000-00008E690000}"/>
    <cellStyle name="Separador de milhares 3 2 5 8 3 5" xfId="34725" xr:uid="{00000000-0005-0000-0000-00008F690000}"/>
    <cellStyle name="Separador de milhares 3 2 5 8 4" xfId="5154" xr:uid="{00000000-0005-0000-0000-000090690000}"/>
    <cellStyle name="Separador de milhares 3 2 5 8 4 2" xfId="23789" xr:uid="{00000000-0005-0000-0000-000091690000}"/>
    <cellStyle name="Separador de milhares 3 2 5 8 4 2 2" xfId="49973" xr:uid="{00000000-0005-0000-0000-000092690000}"/>
    <cellStyle name="Separador de milhares 3 2 5 8 4 3" xfId="31350" xr:uid="{00000000-0005-0000-0000-000093690000}"/>
    <cellStyle name="Separador de milhares 3 2 5 8 5" xfId="17875" xr:uid="{00000000-0005-0000-0000-000094690000}"/>
    <cellStyle name="Separador de milhares 3 2 5 8 5 2" xfId="44065" xr:uid="{00000000-0005-0000-0000-000095690000}"/>
    <cellStyle name="Separador de milhares 3 2 5 8 6" xfId="11541" xr:uid="{00000000-0005-0000-0000-000096690000}"/>
    <cellStyle name="Separador de milhares 3 2 5 8 6 2" xfId="37734" xr:uid="{00000000-0005-0000-0000-000097690000}"/>
    <cellStyle name="Separador de milhares 3 2 5 8 7" xfId="29652" xr:uid="{00000000-0005-0000-0000-000098690000}"/>
    <cellStyle name="Separador de milhares 3 2 5 9" xfId="2067" xr:uid="{00000000-0005-0000-0000-000099690000}"/>
    <cellStyle name="Separador de milhares 3 2 5 9 2" xfId="7003" xr:uid="{00000000-0005-0000-0000-00009A690000}"/>
    <cellStyle name="Separador de milhares 3 2 5 9 2 2" xfId="10147" xr:uid="{00000000-0005-0000-0000-00009B690000}"/>
    <cellStyle name="Separador de milhares 3 2 5 9 2 2 2" xfId="28361" xr:uid="{00000000-0005-0000-0000-00009C690000}"/>
    <cellStyle name="Separador de milhares 3 2 5 9 2 2 2 2" xfId="54542" xr:uid="{00000000-0005-0000-0000-00009D690000}"/>
    <cellStyle name="Separador de milhares 3 2 5 9 2 2 3" xfId="22447" xr:uid="{00000000-0005-0000-0000-00009E690000}"/>
    <cellStyle name="Separador de milhares 3 2 5 9 2 2 3 2" xfId="48634" xr:uid="{00000000-0005-0000-0000-00009F690000}"/>
    <cellStyle name="Separador de milhares 3 2 5 9 2 2 4" xfId="16533" xr:uid="{00000000-0005-0000-0000-0000A0690000}"/>
    <cellStyle name="Separador de milhares 3 2 5 9 2 2 4 2" xfId="42726" xr:uid="{00000000-0005-0000-0000-0000A1690000}"/>
    <cellStyle name="Separador de milhares 3 2 5 9 2 2 5" xfId="36340" xr:uid="{00000000-0005-0000-0000-0000A2690000}"/>
    <cellStyle name="Separador de milhares 3 2 5 9 2 3" xfId="25404" xr:uid="{00000000-0005-0000-0000-0000A3690000}"/>
    <cellStyle name="Separador de milhares 3 2 5 9 2 3 2" xfId="51588" xr:uid="{00000000-0005-0000-0000-0000A4690000}"/>
    <cellStyle name="Separador de milhares 3 2 5 9 2 4" xfId="19490" xr:uid="{00000000-0005-0000-0000-0000A5690000}"/>
    <cellStyle name="Separador de milhares 3 2 5 9 2 4 2" xfId="45680" xr:uid="{00000000-0005-0000-0000-0000A6690000}"/>
    <cellStyle name="Separador de milhares 3 2 5 9 2 5" xfId="13392" xr:uid="{00000000-0005-0000-0000-0000A7690000}"/>
    <cellStyle name="Separador de milhares 3 2 5 9 2 5 2" xfId="39585" xr:uid="{00000000-0005-0000-0000-0000A8690000}"/>
    <cellStyle name="Separador de milhares 3 2 5 9 2 6" xfId="33199" xr:uid="{00000000-0005-0000-0000-0000A9690000}"/>
    <cellStyle name="Separador de milhares 3 2 5 9 3" xfId="8679" xr:uid="{00000000-0005-0000-0000-0000AA690000}"/>
    <cellStyle name="Separador de milhares 3 2 5 9 3 2" xfId="26893" xr:uid="{00000000-0005-0000-0000-0000AB690000}"/>
    <cellStyle name="Separador de milhares 3 2 5 9 3 2 2" xfId="53074" xr:uid="{00000000-0005-0000-0000-0000AC690000}"/>
    <cellStyle name="Separador de milhares 3 2 5 9 3 3" xfId="20979" xr:uid="{00000000-0005-0000-0000-0000AD690000}"/>
    <cellStyle name="Separador de milhares 3 2 5 9 3 3 2" xfId="47166" xr:uid="{00000000-0005-0000-0000-0000AE690000}"/>
    <cellStyle name="Separador de milhares 3 2 5 9 3 4" xfId="15065" xr:uid="{00000000-0005-0000-0000-0000AF690000}"/>
    <cellStyle name="Separador de milhares 3 2 5 9 3 4 2" xfId="41258" xr:uid="{00000000-0005-0000-0000-0000B0690000}"/>
    <cellStyle name="Separador de milhares 3 2 5 9 3 5" xfId="34872" xr:uid="{00000000-0005-0000-0000-0000B1690000}"/>
    <cellStyle name="Separador de milhares 3 2 5 9 4" xfId="5304" xr:uid="{00000000-0005-0000-0000-0000B2690000}"/>
    <cellStyle name="Separador de milhares 3 2 5 9 4 2" xfId="23936" xr:uid="{00000000-0005-0000-0000-0000B3690000}"/>
    <cellStyle name="Separador de milhares 3 2 5 9 4 2 2" xfId="50120" xr:uid="{00000000-0005-0000-0000-0000B4690000}"/>
    <cellStyle name="Separador de milhares 3 2 5 9 4 3" xfId="31500" xr:uid="{00000000-0005-0000-0000-0000B5690000}"/>
    <cellStyle name="Separador de milhares 3 2 5 9 5" xfId="18022" xr:uid="{00000000-0005-0000-0000-0000B6690000}"/>
    <cellStyle name="Separador de milhares 3 2 5 9 5 2" xfId="44212" xr:uid="{00000000-0005-0000-0000-0000B7690000}"/>
    <cellStyle name="Separador de milhares 3 2 5 9 6" xfId="11691" xr:uid="{00000000-0005-0000-0000-0000B8690000}"/>
    <cellStyle name="Separador de milhares 3 2 5 9 6 2" xfId="37884" xr:uid="{00000000-0005-0000-0000-0000B9690000}"/>
    <cellStyle name="Separador de milhares 3 2 5 9 7" xfId="29802" xr:uid="{00000000-0005-0000-0000-0000BA690000}"/>
    <cellStyle name="Separador de milhares 3 2 6" xfId="99" xr:uid="{00000000-0005-0000-0000-0000BB690000}"/>
    <cellStyle name="Separador de milhares 3 2 6 10" xfId="2602" xr:uid="{00000000-0005-0000-0000-0000BC690000}"/>
    <cellStyle name="Separador de milhares 3 2 6 10 2" xfId="7152" xr:uid="{00000000-0005-0000-0000-0000BD690000}"/>
    <cellStyle name="Separador de milhares 3 2 6 10 2 2" xfId="10296" xr:uid="{00000000-0005-0000-0000-0000BE690000}"/>
    <cellStyle name="Separador de milhares 3 2 6 10 2 2 2" xfId="28510" xr:uid="{00000000-0005-0000-0000-0000BF690000}"/>
    <cellStyle name="Separador de milhares 3 2 6 10 2 2 2 2" xfId="54691" xr:uid="{00000000-0005-0000-0000-0000C0690000}"/>
    <cellStyle name="Separador de milhares 3 2 6 10 2 2 3" xfId="22596" xr:uid="{00000000-0005-0000-0000-0000C1690000}"/>
    <cellStyle name="Separador de milhares 3 2 6 10 2 2 3 2" xfId="48783" xr:uid="{00000000-0005-0000-0000-0000C2690000}"/>
    <cellStyle name="Separador de milhares 3 2 6 10 2 2 4" xfId="16682" xr:uid="{00000000-0005-0000-0000-0000C3690000}"/>
    <cellStyle name="Separador de milhares 3 2 6 10 2 2 4 2" xfId="42875" xr:uid="{00000000-0005-0000-0000-0000C4690000}"/>
    <cellStyle name="Separador de milhares 3 2 6 10 2 2 5" xfId="36489" xr:uid="{00000000-0005-0000-0000-0000C5690000}"/>
    <cellStyle name="Separador de milhares 3 2 6 10 2 3" xfId="25553" xr:uid="{00000000-0005-0000-0000-0000C6690000}"/>
    <cellStyle name="Separador de milhares 3 2 6 10 2 3 2" xfId="51737" xr:uid="{00000000-0005-0000-0000-0000C7690000}"/>
    <cellStyle name="Separador de milhares 3 2 6 10 2 4" xfId="19639" xr:uid="{00000000-0005-0000-0000-0000C8690000}"/>
    <cellStyle name="Separador de milhares 3 2 6 10 2 4 2" xfId="45829" xr:uid="{00000000-0005-0000-0000-0000C9690000}"/>
    <cellStyle name="Separador de milhares 3 2 6 10 2 5" xfId="13541" xr:uid="{00000000-0005-0000-0000-0000CA690000}"/>
    <cellStyle name="Separador de milhares 3 2 6 10 2 5 2" xfId="39734" xr:uid="{00000000-0005-0000-0000-0000CB690000}"/>
    <cellStyle name="Separador de milhares 3 2 6 10 2 6" xfId="33348" xr:uid="{00000000-0005-0000-0000-0000CC690000}"/>
    <cellStyle name="Separador de milhares 3 2 6 10 3" xfId="8828" xr:uid="{00000000-0005-0000-0000-0000CD690000}"/>
    <cellStyle name="Separador de milhares 3 2 6 10 3 2" xfId="27042" xr:uid="{00000000-0005-0000-0000-0000CE690000}"/>
    <cellStyle name="Separador de milhares 3 2 6 10 3 2 2" xfId="53223" xr:uid="{00000000-0005-0000-0000-0000CF690000}"/>
    <cellStyle name="Separador de milhares 3 2 6 10 3 3" xfId="21128" xr:uid="{00000000-0005-0000-0000-0000D0690000}"/>
    <cellStyle name="Separador de milhares 3 2 6 10 3 3 2" xfId="47315" xr:uid="{00000000-0005-0000-0000-0000D1690000}"/>
    <cellStyle name="Separador de milhares 3 2 6 10 3 4" xfId="15214" xr:uid="{00000000-0005-0000-0000-0000D2690000}"/>
    <cellStyle name="Separador de milhares 3 2 6 10 3 4 2" xfId="41407" xr:uid="{00000000-0005-0000-0000-0000D3690000}"/>
    <cellStyle name="Separador de milhares 3 2 6 10 3 5" xfId="35021" xr:uid="{00000000-0005-0000-0000-0000D4690000}"/>
    <cellStyle name="Separador de milhares 3 2 6 10 4" xfId="5453" xr:uid="{00000000-0005-0000-0000-0000D5690000}"/>
    <cellStyle name="Separador de milhares 3 2 6 10 4 2" xfId="24085" xr:uid="{00000000-0005-0000-0000-0000D6690000}"/>
    <cellStyle name="Separador de milhares 3 2 6 10 4 2 2" xfId="50269" xr:uid="{00000000-0005-0000-0000-0000D7690000}"/>
    <cellStyle name="Separador de milhares 3 2 6 10 4 3" xfId="31649" xr:uid="{00000000-0005-0000-0000-0000D8690000}"/>
    <cellStyle name="Separador de milhares 3 2 6 10 5" xfId="18171" xr:uid="{00000000-0005-0000-0000-0000D9690000}"/>
    <cellStyle name="Separador de milhares 3 2 6 10 5 2" xfId="44361" xr:uid="{00000000-0005-0000-0000-0000DA690000}"/>
    <cellStyle name="Separador de milhares 3 2 6 10 6" xfId="11840" xr:uid="{00000000-0005-0000-0000-0000DB690000}"/>
    <cellStyle name="Separador de milhares 3 2 6 10 6 2" xfId="38033" xr:uid="{00000000-0005-0000-0000-0000DC690000}"/>
    <cellStyle name="Separador de milhares 3 2 6 10 7" xfId="29951" xr:uid="{00000000-0005-0000-0000-0000DD690000}"/>
    <cellStyle name="Separador de milhares 3 2 6 11" xfId="3129" xr:uid="{00000000-0005-0000-0000-0000DE690000}"/>
    <cellStyle name="Separador de milhares 3 2 6 11 2" xfId="7299" xr:uid="{00000000-0005-0000-0000-0000DF690000}"/>
    <cellStyle name="Separador de milhares 3 2 6 11 2 2" xfId="10443" xr:uid="{00000000-0005-0000-0000-0000E0690000}"/>
    <cellStyle name="Separador de milhares 3 2 6 11 2 2 2" xfId="28657" xr:uid="{00000000-0005-0000-0000-0000E1690000}"/>
    <cellStyle name="Separador de milhares 3 2 6 11 2 2 2 2" xfId="54838" xr:uid="{00000000-0005-0000-0000-0000E2690000}"/>
    <cellStyle name="Separador de milhares 3 2 6 11 2 2 3" xfId="22743" xr:uid="{00000000-0005-0000-0000-0000E3690000}"/>
    <cellStyle name="Separador de milhares 3 2 6 11 2 2 3 2" xfId="48930" xr:uid="{00000000-0005-0000-0000-0000E4690000}"/>
    <cellStyle name="Separador de milhares 3 2 6 11 2 2 4" xfId="16829" xr:uid="{00000000-0005-0000-0000-0000E5690000}"/>
    <cellStyle name="Separador de milhares 3 2 6 11 2 2 4 2" xfId="43022" xr:uid="{00000000-0005-0000-0000-0000E6690000}"/>
    <cellStyle name="Separador de milhares 3 2 6 11 2 2 5" xfId="36636" xr:uid="{00000000-0005-0000-0000-0000E7690000}"/>
    <cellStyle name="Separador de milhares 3 2 6 11 2 3" xfId="25700" xr:uid="{00000000-0005-0000-0000-0000E8690000}"/>
    <cellStyle name="Separador de milhares 3 2 6 11 2 3 2" xfId="51884" xr:uid="{00000000-0005-0000-0000-0000E9690000}"/>
    <cellStyle name="Separador de milhares 3 2 6 11 2 4" xfId="19786" xr:uid="{00000000-0005-0000-0000-0000EA690000}"/>
    <cellStyle name="Separador de milhares 3 2 6 11 2 4 2" xfId="45976" xr:uid="{00000000-0005-0000-0000-0000EB690000}"/>
    <cellStyle name="Separador de milhares 3 2 6 11 2 5" xfId="13688" xr:uid="{00000000-0005-0000-0000-0000EC690000}"/>
    <cellStyle name="Separador de milhares 3 2 6 11 2 5 2" xfId="39881" xr:uid="{00000000-0005-0000-0000-0000ED690000}"/>
    <cellStyle name="Separador de milhares 3 2 6 11 2 6" xfId="33495" xr:uid="{00000000-0005-0000-0000-0000EE690000}"/>
    <cellStyle name="Separador de milhares 3 2 6 11 3" xfId="8975" xr:uid="{00000000-0005-0000-0000-0000EF690000}"/>
    <cellStyle name="Separador de milhares 3 2 6 11 3 2" xfId="27189" xr:uid="{00000000-0005-0000-0000-0000F0690000}"/>
    <cellStyle name="Separador de milhares 3 2 6 11 3 2 2" xfId="53370" xr:uid="{00000000-0005-0000-0000-0000F1690000}"/>
    <cellStyle name="Separador de milhares 3 2 6 11 3 3" xfId="21275" xr:uid="{00000000-0005-0000-0000-0000F2690000}"/>
    <cellStyle name="Separador de milhares 3 2 6 11 3 3 2" xfId="47462" xr:uid="{00000000-0005-0000-0000-0000F3690000}"/>
    <cellStyle name="Separador de milhares 3 2 6 11 3 4" xfId="15361" xr:uid="{00000000-0005-0000-0000-0000F4690000}"/>
    <cellStyle name="Separador de milhares 3 2 6 11 3 4 2" xfId="41554" xr:uid="{00000000-0005-0000-0000-0000F5690000}"/>
    <cellStyle name="Separador de milhares 3 2 6 11 3 5" xfId="35168" xr:uid="{00000000-0005-0000-0000-0000F6690000}"/>
    <cellStyle name="Separador de milhares 3 2 6 11 4" xfId="5600" xr:uid="{00000000-0005-0000-0000-0000F7690000}"/>
    <cellStyle name="Separador de milhares 3 2 6 11 4 2" xfId="24232" xr:uid="{00000000-0005-0000-0000-0000F8690000}"/>
    <cellStyle name="Separador de milhares 3 2 6 11 4 2 2" xfId="50416" xr:uid="{00000000-0005-0000-0000-0000F9690000}"/>
    <cellStyle name="Separador de milhares 3 2 6 11 4 3" xfId="31796" xr:uid="{00000000-0005-0000-0000-0000FA690000}"/>
    <cellStyle name="Separador de milhares 3 2 6 11 5" xfId="18318" xr:uid="{00000000-0005-0000-0000-0000FB690000}"/>
    <cellStyle name="Separador de milhares 3 2 6 11 5 2" xfId="44508" xr:uid="{00000000-0005-0000-0000-0000FC690000}"/>
    <cellStyle name="Separador de milhares 3 2 6 11 6" xfId="11987" xr:uid="{00000000-0005-0000-0000-0000FD690000}"/>
    <cellStyle name="Separador de milhares 3 2 6 11 6 2" xfId="38180" xr:uid="{00000000-0005-0000-0000-0000FE690000}"/>
    <cellStyle name="Separador de milhares 3 2 6 11 7" xfId="30098" xr:uid="{00000000-0005-0000-0000-0000FF690000}"/>
    <cellStyle name="Separador de milhares 3 2 6 12" xfId="3656" xr:uid="{00000000-0005-0000-0000-0000006A0000}"/>
    <cellStyle name="Separador de milhares 3 2 6 12 2" xfId="7446" xr:uid="{00000000-0005-0000-0000-0000016A0000}"/>
    <cellStyle name="Separador de milhares 3 2 6 12 2 2" xfId="10590" xr:uid="{00000000-0005-0000-0000-0000026A0000}"/>
    <cellStyle name="Separador de milhares 3 2 6 12 2 2 2" xfId="28804" xr:uid="{00000000-0005-0000-0000-0000036A0000}"/>
    <cellStyle name="Separador de milhares 3 2 6 12 2 2 2 2" xfId="54985" xr:uid="{00000000-0005-0000-0000-0000046A0000}"/>
    <cellStyle name="Separador de milhares 3 2 6 12 2 2 3" xfId="22890" xr:uid="{00000000-0005-0000-0000-0000056A0000}"/>
    <cellStyle name="Separador de milhares 3 2 6 12 2 2 3 2" xfId="49077" xr:uid="{00000000-0005-0000-0000-0000066A0000}"/>
    <cellStyle name="Separador de milhares 3 2 6 12 2 2 4" xfId="16976" xr:uid="{00000000-0005-0000-0000-0000076A0000}"/>
    <cellStyle name="Separador de milhares 3 2 6 12 2 2 4 2" xfId="43169" xr:uid="{00000000-0005-0000-0000-0000086A0000}"/>
    <cellStyle name="Separador de milhares 3 2 6 12 2 2 5" xfId="36783" xr:uid="{00000000-0005-0000-0000-0000096A0000}"/>
    <cellStyle name="Separador de milhares 3 2 6 12 2 3" xfId="25847" xr:uid="{00000000-0005-0000-0000-00000A6A0000}"/>
    <cellStyle name="Separador de milhares 3 2 6 12 2 3 2" xfId="52031" xr:uid="{00000000-0005-0000-0000-00000B6A0000}"/>
    <cellStyle name="Separador de milhares 3 2 6 12 2 4" xfId="19933" xr:uid="{00000000-0005-0000-0000-00000C6A0000}"/>
    <cellStyle name="Separador de milhares 3 2 6 12 2 4 2" xfId="46123" xr:uid="{00000000-0005-0000-0000-00000D6A0000}"/>
    <cellStyle name="Separador de milhares 3 2 6 12 2 5" xfId="13835" xr:uid="{00000000-0005-0000-0000-00000E6A0000}"/>
    <cellStyle name="Separador de milhares 3 2 6 12 2 5 2" xfId="40028" xr:uid="{00000000-0005-0000-0000-00000F6A0000}"/>
    <cellStyle name="Separador de milhares 3 2 6 12 2 6" xfId="33642" xr:uid="{00000000-0005-0000-0000-0000106A0000}"/>
    <cellStyle name="Separador de milhares 3 2 6 12 3" xfId="9122" xr:uid="{00000000-0005-0000-0000-0000116A0000}"/>
    <cellStyle name="Separador de milhares 3 2 6 12 3 2" xfId="27336" xr:uid="{00000000-0005-0000-0000-0000126A0000}"/>
    <cellStyle name="Separador de milhares 3 2 6 12 3 2 2" xfId="53517" xr:uid="{00000000-0005-0000-0000-0000136A0000}"/>
    <cellStyle name="Separador de milhares 3 2 6 12 3 3" xfId="21422" xr:uid="{00000000-0005-0000-0000-0000146A0000}"/>
    <cellStyle name="Separador de milhares 3 2 6 12 3 3 2" xfId="47609" xr:uid="{00000000-0005-0000-0000-0000156A0000}"/>
    <cellStyle name="Separador de milhares 3 2 6 12 3 4" xfId="15508" xr:uid="{00000000-0005-0000-0000-0000166A0000}"/>
    <cellStyle name="Separador de milhares 3 2 6 12 3 4 2" xfId="41701" xr:uid="{00000000-0005-0000-0000-0000176A0000}"/>
    <cellStyle name="Separador de milhares 3 2 6 12 3 5" xfId="35315" xr:uid="{00000000-0005-0000-0000-0000186A0000}"/>
    <cellStyle name="Separador de milhares 3 2 6 12 4" xfId="5747" xr:uid="{00000000-0005-0000-0000-0000196A0000}"/>
    <cellStyle name="Separador de milhares 3 2 6 12 4 2" xfId="24379" xr:uid="{00000000-0005-0000-0000-00001A6A0000}"/>
    <cellStyle name="Separador de milhares 3 2 6 12 4 2 2" xfId="50563" xr:uid="{00000000-0005-0000-0000-00001B6A0000}"/>
    <cellStyle name="Separador de milhares 3 2 6 12 4 3" xfId="31943" xr:uid="{00000000-0005-0000-0000-00001C6A0000}"/>
    <cellStyle name="Separador de milhares 3 2 6 12 5" xfId="18465" xr:uid="{00000000-0005-0000-0000-00001D6A0000}"/>
    <cellStyle name="Separador de milhares 3 2 6 12 5 2" xfId="44655" xr:uid="{00000000-0005-0000-0000-00001E6A0000}"/>
    <cellStyle name="Separador de milhares 3 2 6 12 6" xfId="12134" xr:uid="{00000000-0005-0000-0000-00001F6A0000}"/>
    <cellStyle name="Separador de milhares 3 2 6 12 6 2" xfId="38327" xr:uid="{00000000-0005-0000-0000-0000206A0000}"/>
    <cellStyle name="Separador de milhares 3 2 6 12 7" xfId="30245" xr:uid="{00000000-0005-0000-0000-0000216A0000}"/>
    <cellStyle name="Separador de milhares 3 2 6 13" xfId="6430" xr:uid="{00000000-0005-0000-0000-0000226A0000}"/>
    <cellStyle name="Separador de milhares 3 2 6 13 2" xfId="9586" xr:uid="{00000000-0005-0000-0000-0000236A0000}"/>
    <cellStyle name="Separador de milhares 3 2 6 13 2 2" xfId="27800" xr:uid="{00000000-0005-0000-0000-0000246A0000}"/>
    <cellStyle name="Separador de milhares 3 2 6 13 2 2 2" xfId="53981" xr:uid="{00000000-0005-0000-0000-0000256A0000}"/>
    <cellStyle name="Separador de milhares 3 2 6 13 2 3" xfId="21886" xr:uid="{00000000-0005-0000-0000-0000266A0000}"/>
    <cellStyle name="Separador de milhares 3 2 6 13 2 3 2" xfId="48073" xr:uid="{00000000-0005-0000-0000-0000276A0000}"/>
    <cellStyle name="Separador de milhares 3 2 6 13 2 4" xfId="15972" xr:uid="{00000000-0005-0000-0000-0000286A0000}"/>
    <cellStyle name="Separador de milhares 3 2 6 13 2 4 2" xfId="42165" xr:uid="{00000000-0005-0000-0000-0000296A0000}"/>
    <cellStyle name="Separador de milhares 3 2 6 13 2 5" xfId="35779" xr:uid="{00000000-0005-0000-0000-00002A6A0000}"/>
    <cellStyle name="Separador de milhares 3 2 6 13 3" xfId="24843" xr:uid="{00000000-0005-0000-0000-00002B6A0000}"/>
    <cellStyle name="Separador de milhares 3 2 6 13 3 2" xfId="51027" xr:uid="{00000000-0005-0000-0000-00002C6A0000}"/>
    <cellStyle name="Separador de milhares 3 2 6 13 4" xfId="18929" xr:uid="{00000000-0005-0000-0000-00002D6A0000}"/>
    <cellStyle name="Separador de milhares 3 2 6 13 4 2" xfId="45119" xr:uid="{00000000-0005-0000-0000-00002E6A0000}"/>
    <cellStyle name="Separador de milhares 3 2 6 13 5" xfId="12819" xr:uid="{00000000-0005-0000-0000-00002F6A0000}"/>
    <cellStyle name="Separador de milhares 3 2 6 13 5 2" xfId="39012" xr:uid="{00000000-0005-0000-0000-0000306A0000}"/>
    <cellStyle name="Separador de milhares 3 2 6 13 6" xfId="32626" xr:uid="{00000000-0005-0000-0000-0000316A0000}"/>
    <cellStyle name="Separador de milhares 3 2 6 14" xfId="8115" xr:uid="{00000000-0005-0000-0000-0000326A0000}"/>
    <cellStyle name="Separador de milhares 3 2 6 14 2" xfId="26329" xr:uid="{00000000-0005-0000-0000-0000336A0000}"/>
    <cellStyle name="Separador de milhares 3 2 6 14 2 2" xfId="52513" xr:uid="{00000000-0005-0000-0000-0000346A0000}"/>
    <cellStyle name="Separador de milhares 3 2 6 14 3" xfId="20415" xr:uid="{00000000-0005-0000-0000-0000356A0000}"/>
    <cellStyle name="Separador de milhares 3 2 6 14 3 2" xfId="46605" xr:uid="{00000000-0005-0000-0000-0000366A0000}"/>
    <cellStyle name="Separador de milhares 3 2 6 14 4" xfId="14504" xr:uid="{00000000-0005-0000-0000-0000376A0000}"/>
    <cellStyle name="Separador de milhares 3 2 6 14 4 2" xfId="40697" xr:uid="{00000000-0005-0000-0000-0000386A0000}"/>
    <cellStyle name="Separador de milhares 3 2 6 14 5" xfId="34311" xr:uid="{00000000-0005-0000-0000-0000396A0000}"/>
    <cellStyle name="Separador de milhares 3 2 6 15" xfId="4728" xr:uid="{00000000-0005-0000-0000-00003A6A0000}"/>
    <cellStyle name="Separador de milhares 3 2 6 15 2" xfId="23372" xr:uid="{00000000-0005-0000-0000-00003B6A0000}"/>
    <cellStyle name="Separador de milhares 3 2 6 15 2 2" xfId="49559" xr:uid="{00000000-0005-0000-0000-00003C6A0000}"/>
    <cellStyle name="Separador de milhares 3 2 6 15 3" xfId="30927" xr:uid="{00000000-0005-0000-0000-00003D6A0000}"/>
    <cellStyle name="Separador de milhares 3 2 6 16" xfId="17458" xr:uid="{00000000-0005-0000-0000-00003E6A0000}"/>
    <cellStyle name="Separador de milhares 3 2 6 16 2" xfId="43651" xr:uid="{00000000-0005-0000-0000-00003F6A0000}"/>
    <cellStyle name="Separador de milhares 3 2 6 17" xfId="11118" xr:uid="{00000000-0005-0000-0000-0000406A0000}"/>
    <cellStyle name="Separador de milhares 3 2 6 17 2" xfId="37311" xr:uid="{00000000-0005-0000-0000-0000416A0000}"/>
    <cellStyle name="Separador de milhares 3 2 6 18" xfId="29229" xr:uid="{00000000-0005-0000-0000-0000426A0000}"/>
    <cellStyle name="Separador de milhares 3 2 6 2" xfId="193" xr:uid="{00000000-0005-0000-0000-0000436A0000}"/>
    <cellStyle name="Separador de milhares 3 2 6 2 10" xfId="6459" xr:uid="{00000000-0005-0000-0000-0000446A0000}"/>
    <cellStyle name="Separador de milhares 3 2 6 2 10 2" xfId="9613" xr:uid="{00000000-0005-0000-0000-0000456A0000}"/>
    <cellStyle name="Separador de milhares 3 2 6 2 10 2 2" xfId="27827" xr:uid="{00000000-0005-0000-0000-0000466A0000}"/>
    <cellStyle name="Separador de milhares 3 2 6 2 10 2 2 2" xfId="54008" xr:uid="{00000000-0005-0000-0000-0000476A0000}"/>
    <cellStyle name="Separador de milhares 3 2 6 2 10 2 3" xfId="21913" xr:uid="{00000000-0005-0000-0000-0000486A0000}"/>
    <cellStyle name="Separador de milhares 3 2 6 2 10 2 3 2" xfId="48100" xr:uid="{00000000-0005-0000-0000-0000496A0000}"/>
    <cellStyle name="Separador de milhares 3 2 6 2 10 2 4" xfId="15999" xr:uid="{00000000-0005-0000-0000-00004A6A0000}"/>
    <cellStyle name="Separador de milhares 3 2 6 2 10 2 4 2" xfId="42192" xr:uid="{00000000-0005-0000-0000-00004B6A0000}"/>
    <cellStyle name="Separador de milhares 3 2 6 2 10 2 5" xfId="35806" xr:uid="{00000000-0005-0000-0000-00004C6A0000}"/>
    <cellStyle name="Separador de milhares 3 2 6 2 10 3" xfId="24870" xr:uid="{00000000-0005-0000-0000-00004D6A0000}"/>
    <cellStyle name="Separador de milhares 3 2 6 2 10 3 2" xfId="51054" xr:uid="{00000000-0005-0000-0000-00004E6A0000}"/>
    <cellStyle name="Separador de milhares 3 2 6 2 10 4" xfId="18956" xr:uid="{00000000-0005-0000-0000-00004F6A0000}"/>
    <cellStyle name="Separador de milhares 3 2 6 2 10 4 2" xfId="45146" xr:uid="{00000000-0005-0000-0000-0000506A0000}"/>
    <cellStyle name="Separador de milhares 3 2 6 2 10 5" xfId="12848" xr:uid="{00000000-0005-0000-0000-0000516A0000}"/>
    <cellStyle name="Separador de milhares 3 2 6 2 10 5 2" xfId="39041" xr:uid="{00000000-0005-0000-0000-0000526A0000}"/>
    <cellStyle name="Separador de milhares 3 2 6 2 10 6" xfId="32655" xr:uid="{00000000-0005-0000-0000-0000536A0000}"/>
    <cellStyle name="Separador de milhares 3 2 6 2 11" xfId="8142" xr:uid="{00000000-0005-0000-0000-0000546A0000}"/>
    <cellStyle name="Separador de milhares 3 2 6 2 11 2" xfId="26356" xr:uid="{00000000-0005-0000-0000-0000556A0000}"/>
    <cellStyle name="Separador de milhares 3 2 6 2 11 2 2" xfId="52540" xr:uid="{00000000-0005-0000-0000-0000566A0000}"/>
    <cellStyle name="Separador de milhares 3 2 6 2 11 3" xfId="20442" xr:uid="{00000000-0005-0000-0000-0000576A0000}"/>
    <cellStyle name="Separador de milhares 3 2 6 2 11 3 2" xfId="46632" xr:uid="{00000000-0005-0000-0000-0000586A0000}"/>
    <cellStyle name="Separador de milhares 3 2 6 2 11 4" xfId="14531" xr:uid="{00000000-0005-0000-0000-0000596A0000}"/>
    <cellStyle name="Separador de milhares 3 2 6 2 11 4 2" xfId="40724" xr:uid="{00000000-0005-0000-0000-00005A6A0000}"/>
    <cellStyle name="Separador de milhares 3 2 6 2 11 5" xfId="34338" xr:uid="{00000000-0005-0000-0000-00005B6A0000}"/>
    <cellStyle name="Separador de milhares 3 2 6 2 12" xfId="4758" xr:uid="{00000000-0005-0000-0000-00005C6A0000}"/>
    <cellStyle name="Separador de milhares 3 2 6 2 12 2" xfId="23399" xr:uid="{00000000-0005-0000-0000-00005D6A0000}"/>
    <cellStyle name="Separador de milhares 3 2 6 2 12 2 2" xfId="49586" xr:uid="{00000000-0005-0000-0000-00005E6A0000}"/>
    <cellStyle name="Separador de milhares 3 2 6 2 12 3" xfId="30956" xr:uid="{00000000-0005-0000-0000-00005F6A0000}"/>
    <cellStyle name="Separador de milhares 3 2 6 2 13" xfId="17485" xr:uid="{00000000-0005-0000-0000-0000606A0000}"/>
    <cellStyle name="Separador de milhares 3 2 6 2 13 2" xfId="43678" xr:uid="{00000000-0005-0000-0000-0000616A0000}"/>
    <cellStyle name="Separador de milhares 3 2 6 2 14" xfId="11147" xr:uid="{00000000-0005-0000-0000-0000626A0000}"/>
    <cellStyle name="Separador de milhares 3 2 6 2 14 2" xfId="37340" xr:uid="{00000000-0005-0000-0000-0000636A0000}"/>
    <cellStyle name="Separador de milhares 3 2 6 2 15" xfId="29259" xr:uid="{00000000-0005-0000-0000-0000646A0000}"/>
    <cellStyle name="Separador de milhares 3 2 6 2 2" xfId="466" xr:uid="{00000000-0005-0000-0000-0000656A0000}"/>
    <cellStyle name="Separador de milhares 3 2 6 2 2 10" xfId="17559" xr:uid="{00000000-0005-0000-0000-0000666A0000}"/>
    <cellStyle name="Separador de milhares 3 2 6 2 2 10 2" xfId="43752" xr:uid="{00000000-0005-0000-0000-0000676A0000}"/>
    <cellStyle name="Separador de milhares 3 2 6 2 2 11" xfId="11228" xr:uid="{00000000-0005-0000-0000-0000686A0000}"/>
    <cellStyle name="Separador de milhares 3 2 6 2 2 11 2" xfId="37421" xr:uid="{00000000-0005-0000-0000-0000696A0000}"/>
    <cellStyle name="Separador de milhares 3 2 6 2 2 12" xfId="29339" xr:uid="{00000000-0005-0000-0000-00006A6A0000}"/>
    <cellStyle name="Separador de milhares 3 2 6 2 2 2" xfId="1985" xr:uid="{00000000-0005-0000-0000-00006B6A0000}"/>
    <cellStyle name="Separador de milhares 3 2 6 2 2 2 2" xfId="6978" xr:uid="{00000000-0005-0000-0000-00006C6A0000}"/>
    <cellStyle name="Separador de milhares 3 2 6 2 2 2 2 2" xfId="10125" xr:uid="{00000000-0005-0000-0000-00006D6A0000}"/>
    <cellStyle name="Separador de milhares 3 2 6 2 2 2 2 2 2" xfId="28339" xr:uid="{00000000-0005-0000-0000-00006E6A0000}"/>
    <cellStyle name="Separador de milhares 3 2 6 2 2 2 2 2 2 2" xfId="54520" xr:uid="{00000000-0005-0000-0000-00006F6A0000}"/>
    <cellStyle name="Separador de milhares 3 2 6 2 2 2 2 2 3" xfId="22425" xr:uid="{00000000-0005-0000-0000-0000706A0000}"/>
    <cellStyle name="Separador de milhares 3 2 6 2 2 2 2 2 3 2" xfId="48612" xr:uid="{00000000-0005-0000-0000-0000716A0000}"/>
    <cellStyle name="Separador de milhares 3 2 6 2 2 2 2 2 4" xfId="16511" xr:uid="{00000000-0005-0000-0000-0000726A0000}"/>
    <cellStyle name="Separador de milhares 3 2 6 2 2 2 2 2 4 2" xfId="42704" xr:uid="{00000000-0005-0000-0000-0000736A0000}"/>
    <cellStyle name="Separador de milhares 3 2 6 2 2 2 2 2 5" xfId="36318" xr:uid="{00000000-0005-0000-0000-0000746A0000}"/>
    <cellStyle name="Separador de milhares 3 2 6 2 2 2 2 3" xfId="25382" xr:uid="{00000000-0005-0000-0000-0000756A0000}"/>
    <cellStyle name="Separador de milhares 3 2 6 2 2 2 2 3 2" xfId="51566" xr:uid="{00000000-0005-0000-0000-0000766A0000}"/>
    <cellStyle name="Separador de milhares 3 2 6 2 2 2 2 4" xfId="19468" xr:uid="{00000000-0005-0000-0000-0000776A0000}"/>
    <cellStyle name="Separador de milhares 3 2 6 2 2 2 2 4 2" xfId="45658" xr:uid="{00000000-0005-0000-0000-0000786A0000}"/>
    <cellStyle name="Separador de milhares 3 2 6 2 2 2 2 5" xfId="13367" xr:uid="{00000000-0005-0000-0000-0000796A0000}"/>
    <cellStyle name="Separador de milhares 3 2 6 2 2 2 2 5 2" xfId="39560" xr:uid="{00000000-0005-0000-0000-00007A6A0000}"/>
    <cellStyle name="Separador de milhares 3 2 6 2 2 2 2 6" xfId="33174" xr:uid="{00000000-0005-0000-0000-00007B6A0000}"/>
    <cellStyle name="Separador de milhares 3 2 6 2 2 2 3" xfId="8657" xr:uid="{00000000-0005-0000-0000-00007C6A0000}"/>
    <cellStyle name="Separador de milhares 3 2 6 2 2 2 3 2" xfId="26871" xr:uid="{00000000-0005-0000-0000-00007D6A0000}"/>
    <cellStyle name="Separador de milhares 3 2 6 2 2 2 3 2 2" xfId="53052" xr:uid="{00000000-0005-0000-0000-00007E6A0000}"/>
    <cellStyle name="Separador de milhares 3 2 6 2 2 2 3 3" xfId="20957" xr:uid="{00000000-0005-0000-0000-00007F6A0000}"/>
    <cellStyle name="Separador de milhares 3 2 6 2 2 2 3 3 2" xfId="47144" xr:uid="{00000000-0005-0000-0000-0000806A0000}"/>
    <cellStyle name="Separador de milhares 3 2 6 2 2 2 3 4" xfId="15043" xr:uid="{00000000-0005-0000-0000-0000816A0000}"/>
    <cellStyle name="Separador de milhares 3 2 6 2 2 2 3 4 2" xfId="41236" xr:uid="{00000000-0005-0000-0000-0000826A0000}"/>
    <cellStyle name="Separador de milhares 3 2 6 2 2 2 3 5" xfId="34850" xr:uid="{00000000-0005-0000-0000-0000836A0000}"/>
    <cellStyle name="Separador de milhares 3 2 6 2 2 2 4" xfId="5279" xr:uid="{00000000-0005-0000-0000-0000846A0000}"/>
    <cellStyle name="Separador de milhares 3 2 6 2 2 2 4 2" xfId="23914" xr:uid="{00000000-0005-0000-0000-0000856A0000}"/>
    <cellStyle name="Separador de milhares 3 2 6 2 2 2 4 2 2" xfId="50098" xr:uid="{00000000-0005-0000-0000-0000866A0000}"/>
    <cellStyle name="Separador de milhares 3 2 6 2 2 2 4 3" xfId="31475" xr:uid="{00000000-0005-0000-0000-0000876A0000}"/>
    <cellStyle name="Separador de milhares 3 2 6 2 2 2 5" xfId="18000" xr:uid="{00000000-0005-0000-0000-0000886A0000}"/>
    <cellStyle name="Separador de milhares 3 2 6 2 2 2 5 2" xfId="44190" xr:uid="{00000000-0005-0000-0000-0000896A0000}"/>
    <cellStyle name="Separador de milhares 3 2 6 2 2 2 6" xfId="11666" xr:uid="{00000000-0005-0000-0000-00008A6A0000}"/>
    <cellStyle name="Separador de milhares 3 2 6 2 2 2 6 2" xfId="37859" xr:uid="{00000000-0005-0000-0000-00008B6A0000}"/>
    <cellStyle name="Separador de milhares 3 2 6 2 2 2 7" xfId="29777" xr:uid="{00000000-0005-0000-0000-00008C6A0000}"/>
    <cellStyle name="Separador de milhares 3 2 6 2 2 3" xfId="2515" xr:uid="{00000000-0005-0000-0000-00008D6A0000}"/>
    <cellStyle name="Separador de milhares 3 2 6 2 2 3 2" xfId="7128" xr:uid="{00000000-0005-0000-0000-00008E6A0000}"/>
    <cellStyle name="Separador de milhares 3 2 6 2 2 3 2 2" xfId="10272" xr:uid="{00000000-0005-0000-0000-00008F6A0000}"/>
    <cellStyle name="Separador de milhares 3 2 6 2 2 3 2 2 2" xfId="28486" xr:uid="{00000000-0005-0000-0000-0000906A0000}"/>
    <cellStyle name="Separador de milhares 3 2 6 2 2 3 2 2 2 2" xfId="54667" xr:uid="{00000000-0005-0000-0000-0000916A0000}"/>
    <cellStyle name="Separador de milhares 3 2 6 2 2 3 2 2 3" xfId="22572" xr:uid="{00000000-0005-0000-0000-0000926A0000}"/>
    <cellStyle name="Separador de milhares 3 2 6 2 2 3 2 2 3 2" xfId="48759" xr:uid="{00000000-0005-0000-0000-0000936A0000}"/>
    <cellStyle name="Separador de milhares 3 2 6 2 2 3 2 2 4" xfId="16658" xr:uid="{00000000-0005-0000-0000-0000946A0000}"/>
    <cellStyle name="Separador de milhares 3 2 6 2 2 3 2 2 4 2" xfId="42851" xr:uid="{00000000-0005-0000-0000-0000956A0000}"/>
    <cellStyle name="Separador de milhares 3 2 6 2 2 3 2 2 5" xfId="36465" xr:uid="{00000000-0005-0000-0000-0000966A0000}"/>
    <cellStyle name="Separador de milhares 3 2 6 2 2 3 2 3" xfId="25529" xr:uid="{00000000-0005-0000-0000-0000976A0000}"/>
    <cellStyle name="Separador de milhares 3 2 6 2 2 3 2 3 2" xfId="51713" xr:uid="{00000000-0005-0000-0000-0000986A0000}"/>
    <cellStyle name="Separador de milhares 3 2 6 2 2 3 2 4" xfId="19615" xr:uid="{00000000-0005-0000-0000-0000996A0000}"/>
    <cellStyle name="Separador de milhares 3 2 6 2 2 3 2 4 2" xfId="45805" xr:uid="{00000000-0005-0000-0000-00009A6A0000}"/>
    <cellStyle name="Separador de milhares 3 2 6 2 2 3 2 5" xfId="13517" xr:uid="{00000000-0005-0000-0000-00009B6A0000}"/>
    <cellStyle name="Separador de milhares 3 2 6 2 2 3 2 5 2" xfId="39710" xr:uid="{00000000-0005-0000-0000-00009C6A0000}"/>
    <cellStyle name="Separador de milhares 3 2 6 2 2 3 2 6" xfId="33324" xr:uid="{00000000-0005-0000-0000-00009D6A0000}"/>
    <cellStyle name="Separador de milhares 3 2 6 2 2 3 3" xfId="8804" xr:uid="{00000000-0005-0000-0000-00009E6A0000}"/>
    <cellStyle name="Separador de milhares 3 2 6 2 2 3 3 2" xfId="27018" xr:uid="{00000000-0005-0000-0000-00009F6A0000}"/>
    <cellStyle name="Separador de milhares 3 2 6 2 2 3 3 2 2" xfId="53199" xr:uid="{00000000-0005-0000-0000-0000A06A0000}"/>
    <cellStyle name="Separador de milhares 3 2 6 2 2 3 3 3" xfId="21104" xr:uid="{00000000-0005-0000-0000-0000A16A0000}"/>
    <cellStyle name="Separador de milhares 3 2 6 2 2 3 3 3 2" xfId="47291" xr:uid="{00000000-0005-0000-0000-0000A26A0000}"/>
    <cellStyle name="Separador de milhares 3 2 6 2 2 3 3 4" xfId="15190" xr:uid="{00000000-0005-0000-0000-0000A36A0000}"/>
    <cellStyle name="Separador de milhares 3 2 6 2 2 3 3 4 2" xfId="41383" xr:uid="{00000000-0005-0000-0000-0000A46A0000}"/>
    <cellStyle name="Separador de milhares 3 2 6 2 2 3 3 5" xfId="34997" xr:uid="{00000000-0005-0000-0000-0000A56A0000}"/>
    <cellStyle name="Separador de milhares 3 2 6 2 2 3 4" xfId="5429" xr:uid="{00000000-0005-0000-0000-0000A66A0000}"/>
    <cellStyle name="Separador de milhares 3 2 6 2 2 3 4 2" xfId="24061" xr:uid="{00000000-0005-0000-0000-0000A76A0000}"/>
    <cellStyle name="Separador de milhares 3 2 6 2 2 3 4 2 2" xfId="50245" xr:uid="{00000000-0005-0000-0000-0000A86A0000}"/>
    <cellStyle name="Separador de milhares 3 2 6 2 2 3 4 3" xfId="31625" xr:uid="{00000000-0005-0000-0000-0000A96A0000}"/>
    <cellStyle name="Separador de milhares 3 2 6 2 2 3 5" xfId="18147" xr:uid="{00000000-0005-0000-0000-0000AA6A0000}"/>
    <cellStyle name="Separador de milhares 3 2 6 2 2 3 5 2" xfId="44337" xr:uid="{00000000-0005-0000-0000-0000AB6A0000}"/>
    <cellStyle name="Separador de milhares 3 2 6 2 2 3 6" xfId="11816" xr:uid="{00000000-0005-0000-0000-0000AC6A0000}"/>
    <cellStyle name="Separador de milhares 3 2 6 2 2 3 6 2" xfId="38009" xr:uid="{00000000-0005-0000-0000-0000AD6A0000}"/>
    <cellStyle name="Separador de milhares 3 2 6 2 2 3 7" xfId="29927" xr:uid="{00000000-0005-0000-0000-0000AE6A0000}"/>
    <cellStyle name="Separador de milhares 3 2 6 2 2 4" xfId="3042" xr:uid="{00000000-0005-0000-0000-0000AF6A0000}"/>
    <cellStyle name="Separador de milhares 3 2 6 2 2 4 2" xfId="7275" xr:uid="{00000000-0005-0000-0000-0000B06A0000}"/>
    <cellStyle name="Separador de milhares 3 2 6 2 2 4 2 2" xfId="10419" xr:uid="{00000000-0005-0000-0000-0000B16A0000}"/>
    <cellStyle name="Separador de milhares 3 2 6 2 2 4 2 2 2" xfId="28633" xr:uid="{00000000-0005-0000-0000-0000B26A0000}"/>
    <cellStyle name="Separador de milhares 3 2 6 2 2 4 2 2 2 2" xfId="54814" xr:uid="{00000000-0005-0000-0000-0000B36A0000}"/>
    <cellStyle name="Separador de milhares 3 2 6 2 2 4 2 2 3" xfId="22719" xr:uid="{00000000-0005-0000-0000-0000B46A0000}"/>
    <cellStyle name="Separador de milhares 3 2 6 2 2 4 2 2 3 2" xfId="48906" xr:uid="{00000000-0005-0000-0000-0000B56A0000}"/>
    <cellStyle name="Separador de milhares 3 2 6 2 2 4 2 2 4" xfId="16805" xr:uid="{00000000-0005-0000-0000-0000B66A0000}"/>
    <cellStyle name="Separador de milhares 3 2 6 2 2 4 2 2 4 2" xfId="42998" xr:uid="{00000000-0005-0000-0000-0000B76A0000}"/>
    <cellStyle name="Separador de milhares 3 2 6 2 2 4 2 2 5" xfId="36612" xr:uid="{00000000-0005-0000-0000-0000B86A0000}"/>
    <cellStyle name="Separador de milhares 3 2 6 2 2 4 2 3" xfId="25676" xr:uid="{00000000-0005-0000-0000-0000B96A0000}"/>
    <cellStyle name="Separador de milhares 3 2 6 2 2 4 2 3 2" xfId="51860" xr:uid="{00000000-0005-0000-0000-0000BA6A0000}"/>
    <cellStyle name="Separador de milhares 3 2 6 2 2 4 2 4" xfId="19762" xr:uid="{00000000-0005-0000-0000-0000BB6A0000}"/>
    <cellStyle name="Separador de milhares 3 2 6 2 2 4 2 4 2" xfId="45952" xr:uid="{00000000-0005-0000-0000-0000BC6A0000}"/>
    <cellStyle name="Separador de milhares 3 2 6 2 2 4 2 5" xfId="13664" xr:uid="{00000000-0005-0000-0000-0000BD6A0000}"/>
    <cellStyle name="Separador de milhares 3 2 6 2 2 4 2 5 2" xfId="39857" xr:uid="{00000000-0005-0000-0000-0000BE6A0000}"/>
    <cellStyle name="Separador de milhares 3 2 6 2 2 4 2 6" xfId="33471" xr:uid="{00000000-0005-0000-0000-0000BF6A0000}"/>
    <cellStyle name="Separador de milhares 3 2 6 2 2 4 3" xfId="8951" xr:uid="{00000000-0005-0000-0000-0000C06A0000}"/>
    <cellStyle name="Separador de milhares 3 2 6 2 2 4 3 2" xfId="27165" xr:uid="{00000000-0005-0000-0000-0000C16A0000}"/>
    <cellStyle name="Separador de milhares 3 2 6 2 2 4 3 2 2" xfId="53346" xr:uid="{00000000-0005-0000-0000-0000C26A0000}"/>
    <cellStyle name="Separador de milhares 3 2 6 2 2 4 3 3" xfId="21251" xr:uid="{00000000-0005-0000-0000-0000C36A0000}"/>
    <cellStyle name="Separador de milhares 3 2 6 2 2 4 3 3 2" xfId="47438" xr:uid="{00000000-0005-0000-0000-0000C46A0000}"/>
    <cellStyle name="Separador de milhares 3 2 6 2 2 4 3 4" xfId="15337" xr:uid="{00000000-0005-0000-0000-0000C56A0000}"/>
    <cellStyle name="Separador de milhares 3 2 6 2 2 4 3 4 2" xfId="41530" xr:uid="{00000000-0005-0000-0000-0000C66A0000}"/>
    <cellStyle name="Separador de milhares 3 2 6 2 2 4 3 5" xfId="35144" xr:uid="{00000000-0005-0000-0000-0000C76A0000}"/>
    <cellStyle name="Separador de milhares 3 2 6 2 2 4 4" xfId="5576" xr:uid="{00000000-0005-0000-0000-0000C86A0000}"/>
    <cellStyle name="Separador de milhares 3 2 6 2 2 4 4 2" xfId="24208" xr:uid="{00000000-0005-0000-0000-0000C96A0000}"/>
    <cellStyle name="Separador de milhares 3 2 6 2 2 4 4 2 2" xfId="50392" xr:uid="{00000000-0005-0000-0000-0000CA6A0000}"/>
    <cellStyle name="Separador de milhares 3 2 6 2 2 4 4 3" xfId="31772" xr:uid="{00000000-0005-0000-0000-0000CB6A0000}"/>
    <cellStyle name="Separador de milhares 3 2 6 2 2 4 5" xfId="18294" xr:uid="{00000000-0005-0000-0000-0000CC6A0000}"/>
    <cellStyle name="Separador de milhares 3 2 6 2 2 4 5 2" xfId="44484" xr:uid="{00000000-0005-0000-0000-0000CD6A0000}"/>
    <cellStyle name="Separador de milhares 3 2 6 2 2 4 6" xfId="11963" xr:uid="{00000000-0005-0000-0000-0000CE6A0000}"/>
    <cellStyle name="Separador de milhares 3 2 6 2 2 4 6 2" xfId="38156" xr:uid="{00000000-0005-0000-0000-0000CF6A0000}"/>
    <cellStyle name="Separador de milhares 3 2 6 2 2 4 7" xfId="30074" xr:uid="{00000000-0005-0000-0000-0000D06A0000}"/>
    <cellStyle name="Separador de milhares 3 2 6 2 2 5" xfId="3569" xr:uid="{00000000-0005-0000-0000-0000D16A0000}"/>
    <cellStyle name="Separador de milhares 3 2 6 2 2 5 2" xfId="7422" xr:uid="{00000000-0005-0000-0000-0000D26A0000}"/>
    <cellStyle name="Separador de milhares 3 2 6 2 2 5 2 2" xfId="10566" xr:uid="{00000000-0005-0000-0000-0000D36A0000}"/>
    <cellStyle name="Separador de milhares 3 2 6 2 2 5 2 2 2" xfId="28780" xr:uid="{00000000-0005-0000-0000-0000D46A0000}"/>
    <cellStyle name="Separador de milhares 3 2 6 2 2 5 2 2 2 2" xfId="54961" xr:uid="{00000000-0005-0000-0000-0000D56A0000}"/>
    <cellStyle name="Separador de milhares 3 2 6 2 2 5 2 2 3" xfId="22866" xr:uid="{00000000-0005-0000-0000-0000D66A0000}"/>
    <cellStyle name="Separador de milhares 3 2 6 2 2 5 2 2 3 2" xfId="49053" xr:uid="{00000000-0005-0000-0000-0000D76A0000}"/>
    <cellStyle name="Separador de milhares 3 2 6 2 2 5 2 2 4" xfId="16952" xr:uid="{00000000-0005-0000-0000-0000D86A0000}"/>
    <cellStyle name="Separador de milhares 3 2 6 2 2 5 2 2 4 2" xfId="43145" xr:uid="{00000000-0005-0000-0000-0000D96A0000}"/>
    <cellStyle name="Separador de milhares 3 2 6 2 2 5 2 2 5" xfId="36759" xr:uid="{00000000-0005-0000-0000-0000DA6A0000}"/>
    <cellStyle name="Separador de milhares 3 2 6 2 2 5 2 3" xfId="25823" xr:uid="{00000000-0005-0000-0000-0000DB6A0000}"/>
    <cellStyle name="Separador de milhares 3 2 6 2 2 5 2 3 2" xfId="52007" xr:uid="{00000000-0005-0000-0000-0000DC6A0000}"/>
    <cellStyle name="Separador de milhares 3 2 6 2 2 5 2 4" xfId="19909" xr:uid="{00000000-0005-0000-0000-0000DD6A0000}"/>
    <cellStyle name="Separador de milhares 3 2 6 2 2 5 2 4 2" xfId="46099" xr:uid="{00000000-0005-0000-0000-0000DE6A0000}"/>
    <cellStyle name="Separador de milhares 3 2 6 2 2 5 2 5" xfId="13811" xr:uid="{00000000-0005-0000-0000-0000DF6A0000}"/>
    <cellStyle name="Separador de milhares 3 2 6 2 2 5 2 5 2" xfId="40004" xr:uid="{00000000-0005-0000-0000-0000E06A0000}"/>
    <cellStyle name="Separador de milhares 3 2 6 2 2 5 2 6" xfId="33618" xr:uid="{00000000-0005-0000-0000-0000E16A0000}"/>
    <cellStyle name="Separador de milhares 3 2 6 2 2 5 3" xfId="9098" xr:uid="{00000000-0005-0000-0000-0000E26A0000}"/>
    <cellStyle name="Separador de milhares 3 2 6 2 2 5 3 2" xfId="27312" xr:uid="{00000000-0005-0000-0000-0000E36A0000}"/>
    <cellStyle name="Separador de milhares 3 2 6 2 2 5 3 2 2" xfId="53493" xr:uid="{00000000-0005-0000-0000-0000E46A0000}"/>
    <cellStyle name="Separador de milhares 3 2 6 2 2 5 3 3" xfId="21398" xr:uid="{00000000-0005-0000-0000-0000E56A0000}"/>
    <cellStyle name="Separador de milhares 3 2 6 2 2 5 3 3 2" xfId="47585" xr:uid="{00000000-0005-0000-0000-0000E66A0000}"/>
    <cellStyle name="Separador de milhares 3 2 6 2 2 5 3 4" xfId="15484" xr:uid="{00000000-0005-0000-0000-0000E76A0000}"/>
    <cellStyle name="Separador de milhares 3 2 6 2 2 5 3 4 2" xfId="41677" xr:uid="{00000000-0005-0000-0000-0000E86A0000}"/>
    <cellStyle name="Separador de milhares 3 2 6 2 2 5 3 5" xfId="35291" xr:uid="{00000000-0005-0000-0000-0000E96A0000}"/>
    <cellStyle name="Separador de milhares 3 2 6 2 2 5 4" xfId="5723" xr:uid="{00000000-0005-0000-0000-0000EA6A0000}"/>
    <cellStyle name="Separador de milhares 3 2 6 2 2 5 4 2" xfId="24355" xr:uid="{00000000-0005-0000-0000-0000EB6A0000}"/>
    <cellStyle name="Separador de milhares 3 2 6 2 2 5 4 2 2" xfId="50539" xr:uid="{00000000-0005-0000-0000-0000EC6A0000}"/>
    <cellStyle name="Separador de milhares 3 2 6 2 2 5 4 3" xfId="31919" xr:uid="{00000000-0005-0000-0000-0000ED6A0000}"/>
    <cellStyle name="Separador de milhares 3 2 6 2 2 5 5" xfId="18441" xr:uid="{00000000-0005-0000-0000-0000EE6A0000}"/>
    <cellStyle name="Separador de milhares 3 2 6 2 2 5 5 2" xfId="44631" xr:uid="{00000000-0005-0000-0000-0000EF6A0000}"/>
    <cellStyle name="Separador de milhares 3 2 6 2 2 5 6" xfId="12110" xr:uid="{00000000-0005-0000-0000-0000F06A0000}"/>
    <cellStyle name="Separador de milhares 3 2 6 2 2 5 6 2" xfId="38303" xr:uid="{00000000-0005-0000-0000-0000F16A0000}"/>
    <cellStyle name="Separador de milhares 3 2 6 2 2 5 7" xfId="30221" xr:uid="{00000000-0005-0000-0000-0000F26A0000}"/>
    <cellStyle name="Separador de milhares 3 2 6 2 2 6" xfId="4096" xr:uid="{00000000-0005-0000-0000-0000F36A0000}"/>
    <cellStyle name="Separador de milhares 3 2 6 2 2 6 2" xfId="7569" xr:uid="{00000000-0005-0000-0000-0000F46A0000}"/>
    <cellStyle name="Separador de milhares 3 2 6 2 2 6 2 2" xfId="10713" xr:uid="{00000000-0005-0000-0000-0000F56A0000}"/>
    <cellStyle name="Separador de milhares 3 2 6 2 2 6 2 2 2" xfId="28927" xr:uid="{00000000-0005-0000-0000-0000F66A0000}"/>
    <cellStyle name="Separador de milhares 3 2 6 2 2 6 2 2 2 2" xfId="55108" xr:uid="{00000000-0005-0000-0000-0000F76A0000}"/>
    <cellStyle name="Separador de milhares 3 2 6 2 2 6 2 2 3" xfId="23013" xr:uid="{00000000-0005-0000-0000-0000F86A0000}"/>
    <cellStyle name="Separador de milhares 3 2 6 2 2 6 2 2 3 2" xfId="49200" xr:uid="{00000000-0005-0000-0000-0000F96A0000}"/>
    <cellStyle name="Separador de milhares 3 2 6 2 2 6 2 2 4" xfId="17099" xr:uid="{00000000-0005-0000-0000-0000FA6A0000}"/>
    <cellStyle name="Separador de milhares 3 2 6 2 2 6 2 2 4 2" xfId="43292" xr:uid="{00000000-0005-0000-0000-0000FB6A0000}"/>
    <cellStyle name="Separador de milhares 3 2 6 2 2 6 2 2 5" xfId="36906" xr:uid="{00000000-0005-0000-0000-0000FC6A0000}"/>
    <cellStyle name="Separador de milhares 3 2 6 2 2 6 2 3" xfId="25970" xr:uid="{00000000-0005-0000-0000-0000FD6A0000}"/>
    <cellStyle name="Separador de milhares 3 2 6 2 2 6 2 3 2" xfId="52154" xr:uid="{00000000-0005-0000-0000-0000FE6A0000}"/>
    <cellStyle name="Separador de milhares 3 2 6 2 2 6 2 4" xfId="20056" xr:uid="{00000000-0005-0000-0000-0000FF6A0000}"/>
    <cellStyle name="Separador de milhares 3 2 6 2 2 6 2 4 2" xfId="46246" xr:uid="{00000000-0005-0000-0000-0000006B0000}"/>
    <cellStyle name="Separador de milhares 3 2 6 2 2 6 2 5" xfId="13958" xr:uid="{00000000-0005-0000-0000-0000016B0000}"/>
    <cellStyle name="Separador de milhares 3 2 6 2 2 6 2 5 2" xfId="40151" xr:uid="{00000000-0005-0000-0000-0000026B0000}"/>
    <cellStyle name="Separador de milhares 3 2 6 2 2 6 2 6" xfId="33765" xr:uid="{00000000-0005-0000-0000-0000036B0000}"/>
    <cellStyle name="Separador de milhares 3 2 6 2 2 6 3" xfId="9245" xr:uid="{00000000-0005-0000-0000-0000046B0000}"/>
    <cellStyle name="Separador de milhares 3 2 6 2 2 6 3 2" xfId="27459" xr:uid="{00000000-0005-0000-0000-0000056B0000}"/>
    <cellStyle name="Separador de milhares 3 2 6 2 2 6 3 2 2" xfId="53640" xr:uid="{00000000-0005-0000-0000-0000066B0000}"/>
    <cellStyle name="Separador de milhares 3 2 6 2 2 6 3 3" xfId="21545" xr:uid="{00000000-0005-0000-0000-0000076B0000}"/>
    <cellStyle name="Separador de milhares 3 2 6 2 2 6 3 3 2" xfId="47732" xr:uid="{00000000-0005-0000-0000-0000086B0000}"/>
    <cellStyle name="Separador de milhares 3 2 6 2 2 6 3 4" xfId="15631" xr:uid="{00000000-0005-0000-0000-0000096B0000}"/>
    <cellStyle name="Separador de milhares 3 2 6 2 2 6 3 4 2" xfId="41824" xr:uid="{00000000-0005-0000-0000-00000A6B0000}"/>
    <cellStyle name="Separador de milhares 3 2 6 2 2 6 3 5" xfId="35438" xr:uid="{00000000-0005-0000-0000-00000B6B0000}"/>
    <cellStyle name="Separador de milhares 3 2 6 2 2 6 4" xfId="5870" xr:uid="{00000000-0005-0000-0000-00000C6B0000}"/>
    <cellStyle name="Separador de milhares 3 2 6 2 2 6 4 2" xfId="24502" xr:uid="{00000000-0005-0000-0000-00000D6B0000}"/>
    <cellStyle name="Separador de milhares 3 2 6 2 2 6 4 2 2" xfId="50686" xr:uid="{00000000-0005-0000-0000-00000E6B0000}"/>
    <cellStyle name="Separador de milhares 3 2 6 2 2 6 4 3" xfId="32066" xr:uid="{00000000-0005-0000-0000-00000F6B0000}"/>
    <cellStyle name="Separador de milhares 3 2 6 2 2 6 5" xfId="18588" xr:uid="{00000000-0005-0000-0000-0000106B0000}"/>
    <cellStyle name="Separador de milhares 3 2 6 2 2 6 5 2" xfId="44778" xr:uid="{00000000-0005-0000-0000-0000116B0000}"/>
    <cellStyle name="Separador de milhares 3 2 6 2 2 6 6" xfId="12257" xr:uid="{00000000-0005-0000-0000-0000126B0000}"/>
    <cellStyle name="Separador de milhares 3 2 6 2 2 6 6 2" xfId="38450" xr:uid="{00000000-0005-0000-0000-0000136B0000}"/>
    <cellStyle name="Separador de milhares 3 2 6 2 2 6 7" xfId="30368" xr:uid="{00000000-0005-0000-0000-0000146B0000}"/>
    <cellStyle name="Separador de milhares 3 2 6 2 2 7" xfId="6540" xr:uid="{00000000-0005-0000-0000-0000156B0000}"/>
    <cellStyle name="Separador de milhares 3 2 6 2 2 7 2" xfId="9687" xr:uid="{00000000-0005-0000-0000-0000166B0000}"/>
    <cellStyle name="Separador de milhares 3 2 6 2 2 7 2 2" xfId="27901" xr:uid="{00000000-0005-0000-0000-0000176B0000}"/>
    <cellStyle name="Separador de milhares 3 2 6 2 2 7 2 2 2" xfId="54082" xr:uid="{00000000-0005-0000-0000-0000186B0000}"/>
    <cellStyle name="Separador de milhares 3 2 6 2 2 7 2 3" xfId="21987" xr:uid="{00000000-0005-0000-0000-0000196B0000}"/>
    <cellStyle name="Separador de milhares 3 2 6 2 2 7 2 3 2" xfId="48174" xr:uid="{00000000-0005-0000-0000-00001A6B0000}"/>
    <cellStyle name="Separador de milhares 3 2 6 2 2 7 2 4" xfId="16073" xr:uid="{00000000-0005-0000-0000-00001B6B0000}"/>
    <cellStyle name="Separador de milhares 3 2 6 2 2 7 2 4 2" xfId="42266" xr:uid="{00000000-0005-0000-0000-00001C6B0000}"/>
    <cellStyle name="Separador de milhares 3 2 6 2 2 7 2 5" xfId="35880" xr:uid="{00000000-0005-0000-0000-00001D6B0000}"/>
    <cellStyle name="Separador de milhares 3 2 6 2 2 7 3" xfId="24944" xr:uid="{00000000-0005-0000-0000-00001E6B0000}"/>
    <cellStyle name="Separador de milhares 3 2 6 2 2 7 3 2" xfId="51128" xr:uid="{00000000-0005-0000-0000-00001F6B0000}"/>
    <cellStyle name="Separador de milhares 3 2 6 2 2 7 4" xfId="19030" xr:uid="{00000000-0005-0000-0000-0000206B0000}"/>
    <cellStyle name="Separador de milhares 3 2 6 2 2 7 4 2" xfId="45220" xr:uid="{00000000-0005-0000-0000-0000216B0000}"/>
    <cellStyle name="Separador de milhares 3 2 6 2 2 7 5" xfId="12929" xr:uid="{00000000-0005-0000-0000-0000226B0000}"/>
    <cellStyle name="Separador de milhares 3 2 6 2 2 7 5 2" xfId="39122" xr:uid="{00000000-0005-0000-0000-0000236B0000}"/>
    <cellStyle name="Separador de milhares 3 2 6 2 2 7 6" xfId="32736" xr:uid="{00000000-0005-0000-0000-0000246B0000}"/>
    <cellStyle name="Separador de milhares 3 2 6 2 2 8" xfId="8216" xr:uid="{00000000-0005-0000-0000-0000256B0000}"/>
    <cellStyle name="Separador de milhares 3 2 6 2 2 8 2" xfId="26430" xr:uid="{00000000-0005-0000-0000-0000266B0000}"/>
    <cellStyle name="Separador de milhares 3 2 6 2 2 8 2 2" xfId="52614" xr:uid="{00000000-0005-0000-0000-0000276B0000}"/>
    <cellStyle name="Separador de milhares 3 2 6 2 2 8 3" xfId="20516" xr:uid="{00000000-0005-0000-0000-0000286B0000}"/>
    <cellStyle name="Separador de milhares 3 2 6 2 2 8 3 2" xfId="46706" xr:uid="{00000000-0005-0000-0000-0000296B0000}"/>
    <cellStyle name="Separador de milhares 3 2 6 2 2 8 4" xfId="14605" xr:uid="{00000000-0005-0000-0000-00002A6B0000}"/>
    <cellStyle name="Separador de milhares 3 2 6 2 2 8 4 2" xfId="40798" xr:uid="{00000000-0005-0000-0000-00002B6B0000}"/>
    <cellStyle name="Separador de milhares 3 2 6 2 2 8 5" xfId="34412" xr:uid="{00000000-0005-0000-0000-00002C6B0000}"/>
    <cellStyle name="Separador de milhares 3 2 6 2 2 9" xfId="4839" xr:uid="{00000000-0005-0000-0000-00002D6B0000}"/>
    <cellStyle name="Separador de milhares 3 2 6 2 2 9 2" xfId="23473" xr:uid="{00000000-0005-0000-0000-00002E6B0000}"/>
    <cellStyle name="Separador de milhares 3 2 6 2 2 9 2 2" xfId="49660" xr:uid="{00000000-0005-0000-0000-00002F6B0000}"/>
    <cellStyle name="Separador de milhares 3 2 6 2 2 9 3" xfId="31037" xr:uid="{00000000-0005-0000-0000-0000306B0000}"/>
    <cellStyle name="Separador de milhares 3 2 6 2 3" xfId="939" xr:uid="{00000000-0005-0000-0000-0000316B0000}"/>
    <cellStyle name="Separador de milhares 3 2 6 2 3 2" xfId="6691" xr:uid="{00000000-0005-0000-0000-0000326B0000}"/>
    <cellStyle name="Separador de milhares 3 2 6 2 3 2 2" xfId="9838" xr:uid="{00000000-0005-0000-0000-0000336B0000}"/>
    <cellStyle name="Separador de milhares 3 2 6 2 3 2 2 2" xfId="28052" xr:uid="{00000000-0005-0000-0000-0000346B0000}"/>
    <cellStyle name="Separador de milhares 3 2 6 2 3 2 2 2 2" xfId="54233" xr:uid="{00000000-0005-0000-0000-0000356B0000}"/>
    <cellStyle name="Separador de milhares 3 2 6 2 3 2 2 3" xfId="22138" xr:uid="{00000000-0005-0000-0000-0000366B0000}"/>
    <cellStyle name="Separador de milhares 3 2 6 2 3 2 2 3 2" xfId="48325" xr:uid="{00000000-0005-0000-0000-0000376B0000}"/>
    <cellStyle name="Separador de milhares 3 2 6 2 3 2 2 4" xfId="16224" xr:uid="{00000000-0005-0000-0000-0000386B0000}"/>
    <cellStyle name="Separador de milhares 3 2 6 2 3 2 2 4 2" xfId="42417" xr:uid="{00000000-0005-0000-0000-0000396B0000}"/>
    <cellStyle name="Separador de milhares 3 2 6 2 3 2 2 5" xfId="36031" xr:uid="{00000000-0005-0000-0000-00003A6B0000}"/>
    <cellStyle name="Separador de milhares 3 2 6 2 3 2 3" xfId="25095" xr:uid="{00000000-0005-0000-0000-00003B6B0000}"/>
    <cellStyle name="Separador de milhares 3 2 6 2 3 2 3 2" xfId="51279" xr:uid="{00000000-0005-0000-0000-00003C6B0000}"/>
    <cellStyle name="Separador de milhares 3 2 6 2 3 2 4" xfId="19181" xr:uid="{00000000-0005-0000-0000-00003D6B0000}"/>
    <cellStyle name="Separador de milhares 3 2 6 2 3 2 4 2" xfId="45371" xr:uid="{00000000-0005-0000-0000-00003E6B0000}"/>
    <cellStyle name="Separador de milhares 3 2 6 2 3 2 5" xfId="13080" xr:uid="{00000000-0005-0000-0000-00003F6B0000}"/>
    <cellStyle name="Separador de milhares 3 2 6 2 3 2 5 2" xfId="39273" xr:uid="{00000000-0005-0000-0000-0000406B0000}"/>
    <cellStyle name="Separador de milhares 3 2 6 2 3 2 6" xfId="32887" xr:uid="{00000000-0005-0000-0000-0000416B0000}"/>
    <cellStyle name="Separador de milhares 3 2 6 2 3 3" xfId="8370" xr:uid="{00000000-0005-0000-0000-0000426B0000}"/>
    <cellStyle name="Separador de milhares 3 2 6 2 3 3 2" xfId="26584" xr:uid="{00000000-0005-0000-0000-0000436B0000}"/>
    <cellStyle name="Separador de milhares 3 2 6 2 3 3 2 2" xfId="52765" xr:uid="{00000000-0005-0000-0000-0000446B0000}"/>
    <cellStyle name="Separador de milhares 3 2 6 2 3 3 3" xfId="20670" xr:uid="{00000000-0005-0000-0000-0000456B0000}"/>
    <cellStyle name="Separador de milhares 3 2 6 2 3 3 3 2" xfId="46857" xr:uid="{00000000-0005-0000-0000-0000466B0000}"/>
    <cellStyle name="Separador de milhares 3 2 6 2 3 3 4" xfId="14756" xr:uid="{00000000-0005-0000-0000-0000476B0000}"/>
    <cellStyle name="Separador de milhares 3 2 6 2 3 3 4 2" xfId="40949" xr:uid="{00000000-0005-0000-0000-0000486B0000}"/>
    <cellStyle name="Separador de milhares 3 2 6 2 3 3 5" xfId="34563" xr:uid="{00000000-0005-0000-0000-0000496B0000}"/>
    <cellStyle name="Separador de milhares 3 2 6 2 3 4" xfId="4992" xr:uid="{00000000-0005-0000-0000-00004A6B0000}"/>
    <cellStyle name="Separador de milhares 3 2 6 2 3 4 2" xfId="23627" xr:uid="{00000000-0005-0000-0000-00004B6B0000}"/>
    <cellStyle name="Separador de milhares 3 2 6 2 3 4 2 2" xfId="49811" xr:uid="{00000000-0005-0000-0000-00004C6B0000}"/>
    <cellStyle name="Separador de milhares 3 2 6 2 3 4 3" xfId="31188" xr:uid="{00000000-0005-0000-0000-00004D6B0000}"/>
    <cellStyle name="Separador de milhares 3 2 6 2 3 5" xfId="17713" xr:uid="{00000000-0005-0000-0000-00004E6B0000}"/>
    <cellStyle name="Separador de milhares 3 2 6 2 3 5 2" xfId="43903" xr:uid="{00000000-0005-0000-0000-00004F6B0000}"/>
    <cellStyle name="Separador de milhares 3 2 6 2 3 6" xfId="11379" xr:uid="{00000000-0005-0000-0000-0000506B0000}"/>
    <cellStyle name="Separador de milhares 3 2 6 2 3 6 2" xfId="37572" xr:uid="{00000000-0005-0000-0000-0000516B0000}"/>
    <cellStyle name="Separador de milhares 3 2 6 2 3 7" xfId="29490" xr:uid="{00000000-0005-0000-0000-0000526B0000}"/>
    <cellStyle name="Separador de milhares 3 2 6 2 4" xfId="1290" xr:uid="{00000000-0005-0000-0000-0000536B0000}"/>
    <cellStyle name="Separador de milhares 3 2 6 2 4 2" xfId="6789" xr:uid="{00000000-0005-0000-0000-0000546B0000}"/>
    <cellStyle name="Separador de milhares 3 2 6 2 4 2 2" xfId="9936" xr:uid="{00000000-0005-0000-0000-0000556B0000}"/>
    <cellStyle name="Separador de milhares 3 2 6 2 4 2 2 2" xfId="28150" xr:uid="{00000000-0005-0000-0000-0000566B0000}"/>
    <cellStyle name="Separador de milhares 3 2 6 2 4 2 2 2 2" xfId="54331" xr:uid="{00000000-0005-0000-0000-0000576B0000}"/>
    <cellStyle name="Separador de milhares 3 2 6 2 4 2 2 3" xfId="22236" xr:uid="{00000000-0005-0000-0000-0000586B0000}"/>
    <cellStyle name="Separador de milhares 3 2 6 2 4 2 2 3 2" xfId="48423" xr:uid="{00000000-0005-0000-0000-0000596B0000}"/>
    <cellStyle name="Separador de milhares 3 2 6 2 4 2 2 4" xfId="16322" xr:uid="{00000000-0005-0000-0000-00005A6B0000}"/>
    <cellStyle name="Separador de milhares 3 2 6 2 4 2 2 4 2" xfId="42515" xr:uid="{00000000-0005-0000-0000-00005B6B0000}"/>
    <cellStyle name="Separador de milhares 3 2 6 2 4 2 2 5" xfId="36129" xr:uid="{00000000-0005-0000-0000-00005C6B0000}"/>
    <cellStyle name="Separador de milhares 3 2 6 2 4 2 3" xfId="25193" xr:uid="{00000000-0005-0000-0000-00005D6B0000}"/>
    <cellStyle name="Separador de milhares 3 2 6 2 4 2 3 2" xfId="51377" xr:uid="{00000000-0005-0000-0000-00005E6B0000}"/>
    <cellStyle name="Separador de milhares 3 2 6 2 4 2 4" xfId="19279" xr:uid="{00000000-0005-0000-0000-00005F6B0000}"/>
    <cellStyle name="Separador de milhares 3 2 6 2 4 2 4 2" xfId="45469" xr:uid="{00000000-0005-0000-0000-0000606B0000}"/>
    <cellStyle name="Separador de milhares 3 2 6 2 4 2 5" xfId="13178" xr:uid="{00000000-0005-0000-0000-0000616B0000}"/>
    <cellStyle name="Separador de milhares 3 2 6 2 4 2 5 2" xfId="39371" xr:uid="{00000000-0005-0000-0000-0000626B0000}"/>
    <cellStyle name="Separador de milhares 3 2 6 2 4 2 6" xfId="32985" xr:uid="{00000000-0005-0000-0000-0000636B0000}"/>
    <cellStyle name="Separador de milhares 3 2 6 2 4 3" xfId="8468" xr:uid="{00000000-0005-0000-0000-0000646B0000}"/>
    <cellStyle name="Separador de milhares 3 2 6 2 4 3 2" xfId="26682" xr:uid="{00000000-0005-0000-0000-0000656B0000}"/>
    <cellStyle name="Separador de milhares 3 2 6 2 4 3 2 2" xfId="52863" xr:uid="{00000000-0005-0000-0000-0000666B0000}"/>
    <cellStyle name="Separador de milhares 3 2 6 2 4 3 3" xfId="20768" xr:uid="{00000000-0005-0000-0000-0000676B0000}"/>
    <cellStyle name="Separador de milhares 3 2 6 2 4 3 3 2" xfId="46955" xr:uid="{00000000-0005-0000-0000-0000686B0000}"/>
    <cellStyle name="Separador de milhares 3 2 6 2 4 3 4" xfId="14854" xr:uid="{00000000-0005-0000-0000-0000696B0000}"/>
    <cellStyle name="Separador de milhares 3 2 6 2 4 3 4 2" xfId="41047" xr:uid="{00000000-0005-0000-0000-00006A6B0000}"/>
    <cellStyle name="Separador de milhares 3 2 6 2 4 3 5" xfId="34661" xr:uid="{00000000-0005-0000-0000-00006B6B0000}"/>
    <cellStyle name="Separador de milhares 3 2 6 2 4 4" xfId="5090" xr:uid="{00000000-0005-0000-0000-00006C6B0000}"/>
    <cellStyle name="Separador de milhares 3 2 6 2 4 4 2" xfId="23725" xr:uid="{00000000-0005-0000-0000-00006D6B0000}"/>
    <cellStyle name="Separador de milhares 3 2 6 2 4 4 2 2" xfId="49909" xr:uid="{00000000-0005-0000-0000-00006E6B0000}"/>
    <cellStyle name="Separador de milhares 3 2 6 2 4 4 3" xfId="31286" xr:uid="{00000000-0005-0000-0000-00006F6B0000}"/>
    <cellStyle name="Separador de milhares 3 2 6 2 4 5" xfId="17811" xr:uid="{00000000-0005-0000-0000-0000706B0000}"/>
    <cellStyle name="Separador de milhares 3 2 6 2 4 5 2" xfId="44001" xr:uid="{00000000-0005-0000-0000-0000716B0000}"/>
    <cellStyle name="Separador de milhares 3 2 6 2 4 6" xfId="11477" xr:uid="{00000000-0005-0000-0000-0000726B0000}"/>
    <cellStyle name="Separador de milhares 3 2 6 2 4 6 2" xfId="37670" xr:uid="{00000000-0005-0000-0000-0000736B0000}"/>
    <cellStyle name="Separador de milhares 3 2 6 2 4 7" xfId="29588" xr:uid="{00000000-0005-0000-0000-0000746B0000}"/>
    <cellStyle name="Separador de milhares 3 2 6 2 5" xfId="1725" xr:uid="{00000000-0005-0000-0000-0000756B0000}"/>
    <cellStyle name="Separador de milhares 3 2 6 2 5 2" xfId="6908" xr:uid="{00000000-0005-0000-0000-0000766B0000}"/>
    <cellStyle name="Separador de milhares 3 2 6 2 5 2 2" xfId="10055" xr:uid="{00000000-0005-0000-0000-0000776B0000}"/>
    <cellStyle name="Separador de milhares 3 2 6 2 5 2 2 2" xfId="28269" xr:uid="{00000000-0005-0000-0000-0000786B0000}"/>
    <cellStyle name="Separador de milhares 3 2 6 2 5 2 2 2 2" xfId="54450" xr:uid="{00000000-0005-0000-0000-0000796B0000}"/>
    <cellStyle name="Separador de milhares 3 2 6 2 5 2 2 3" xfId="22355" xr:uid="{00000000-0005-0000-0000-00007A6B0000}"/>
    <cellStyle name="Separador de milhares 3 2 6 2 5 2 2 3 2" xfId="48542" xr:uid="{00000000-0005-0000-0000-00007B6B0000}"/>
    <cellStyle name="Separador de milhares 3 2 6 2 5 2 2 4" xfId="16441" xr:uid="{00000000-0005-0000-0000-00007C6B0000}"/>
    <cellStyle name="Separador de milhares 3 2 6 2 5 2 2 4 2" xfId="42634" xr:uid="{00000000-0005-0000-0000-00007D6B0000}"/>
    <cellStyle name="Separador de milhares 3 2 6 2 5 2 2 5" xfId="36248" xr:uid="{00000000-0005-0000-0000-00007E6B0000}"/>
    <cellStyle name="Separador de milhares 3 2 6 2 5 2 3" xfId="25312" xr:uid="{00000000-0005-0000-0000-00007F6B0000}"/>
    <cellStyle name="Separador de milhares 3 2 6 2 5 2 3 2" xfId="51496" xr:uid="{00000000-0005-0000-0000-0000806B0000}"/>
    <cellStyle name="Separador de milhares 3 2 6 2 5 2 4" xfId="19398" xr:uid="{00000000-0005-0000-0000-0000816B0000}"/>
    <cellStyle name="Separador de milhares 3 2 6 2 5 2 4 2" xfId="45588" xr:uid="{00000000-0005-0000-0000-0000826B0000}"/>
    <cellStyle name="Separador de milhares 3 2 6 2 5 2 5" xfId="13297" xr:uid="{00000000-0005-0000-0000-0000836B0000}"/>
    <cellStyle name="Separador de milhares 3 2 6 2 5 2 5 2" xfId="39490" xr:uid="{00000000-0005-0000-0000-0000846B0000}"/>
    <cellStyle name="Separador de milhares 3 2 6 2 5 2 6" xfId="33104" xr:uid="{00000000-0005-0000-0000-0000856B0000}"/>
    <cellStyle name="Separador de milhares 3 2 6 2 5 3" xfId="8587" xr:uid="{00000000-0005-0000-0000-0000866B0000}"/>
    <cellStyle name="Separador de milhares 3 2 6 2 5 3 2" xfId="26801" xr:uid="{00000000-0005-0000-0000-0000876B0000}"/>
    <cellStyle name="Separador de milhares 3 2 6 2 5 3 2 2" xfId="52982" xr:uid="{00000000-0005-0000-0000-0000886B0000}"/>
    <cellStyle name="Separador de milhares 3 2 6 2 5 3 3" xfId="20887" xr:uid="{00000000-0005-0000-0000-0000896B0000}"/>
    <cellStyle name="Separador de milhares 3 2 6 2 5 3 3 2" xfId="47074" xr:uid="{00000000-0005-0000-0000-00008A6B0000}"/>
    <cellStyle name="Separador de milhares 3 2 6 2 5 3 4" xfId="14973" xr:uid="{00000000-0005-0000-0000-00008B6B0000}"/>
    <cellStyle name="Separador de milhares 3 2 6 2 5 3 4 2" xfId="41166" xr:uid="{00000000-0005-0000-0000-00008C6B0000}"/>
    <cellStyle name="Separador de milhares 3 2 6 2 5 3 5" xfId="34780" xr:uid="{00000000-0005-0000-0000-00008D6B0000}"/>
    <cellStyle name="Separador de milhares 3 2 6 2 5 4" xfId="5209" xr:uid="{00000000-0005-0000-0000-00008E6B0000}"/>
    <cellStyle name="Separador de milhares 3 2 6 2 5 4 2" xfId="23844" xr:uid="{00000000-0005-0000-0000-00008F6B0000}"/>
    <cellStyle name="Separador de milhares 3 2 6 2 5 4 2 2" xfId="50028" xr:uid="{00000000-0005-0000-0000-0000906B0000}"/>
    <cellStyle name="Separador de milhares 3 2 6 2 5 4 3" xfId="31405" xr:uid="{00000000-0005-0000-0000-0000916B0000}"/>
    <cellStyle name="Separador de milhares 3 2 6 2 5 5" xfId="17930" xr:uid="{00000000-0005-0000-0000-0000926B0000}"/>
    <cellStyle name="Separador de milhares 3 2 6 2 5 5 2" xfId="44120" xr:uid="{00000000-0005-0000-0000-0000936B0000}"/>
    <cellStyle name="Separador de milhares 3 2 6 2 5 6" xfId="11596" xr:uid="{00000000-0005-0000-0000-0000946B0000}"/>
    <cellStyle name="Separador de milhares 3 2 6 2 5 6 2" xfId="37789" xr:uid="{00000000-0005-0000-0000-0000956B0000}"/>
    <cellStyle name="Separador de milhares 3 2 6 2 5 7" xfId="29707" xr:uid="{00000000-0005-0000-0000-0000966B0000}"/>
    <cellStyle name="Separador de milhares 3 2 6 2 6" xfId="2255" xr:uid="{00000000-0005-0000-0000-0000976B0000}"/>
    <cellStyle name="Separador de milhares 3 2 6 2 6 2" xfId="7058" xr:uid="{00000000-0005-0000-0000-0000986B0000}"/>
    <cellStyle name="Separador de milhares 3 2 6 2 6 2 2" xfId="10202" xr:uid="{00000000-0005-0000-0000-0000996B0000}"/>
    <cellStyle name="Separador de milhares 3 2 6 2 6 2 2 2" xfId="28416" xr:uid="{00000000-0005-0000-0000-00009A6B0000}"/>
    <cellStyle name="Separador de milhares 3 2 6 2 6 2 2 2 2" xfId="54597" xr:uid="{00000000-0005-0000-0000-00009B6B0000}"/>
    <cellStyle name="Separador de milhares 3 2 6 2 6 2 2 3" xfId="22502" xr:uid="{00000000-0005-0000-0000-00009C6B0000}"/>
    <cellStyle name="Separador de milhares 3 2 6 2 6 2 2 3 2" xfId="48689" xr:uid="{00000000-0005-0000-0000-00009D6B0000}"/>
    <cellStyle name="Separador de milhares 3 2 6 2 6 2 2 4" xfId="16588" xr:uid="{00000000-0005-0000-0000-00009E6B0000}"/>
    <cellStyle name="Separador de milhares 3 2 6 2 6 2 2 4 2" xfId="42781" xr:uid="{00000000-0005-0000-0000-00009F6B0000}"/>
    <cellStyle name="Separador de milhares 3 2 6 2 6 2 2 5" xfId="36395" xr:uid="{00000000-0005-0000-0000-0000A06B0000}"/>
    <cellStyle name="Separador de milhares 3 2 6 2 6 2 3" xfId="25459" xr:uid="{00000000-0005-0000-0000-0000A16B0000}"/>
    <cellStyle name="Separador de milhares 3 2 6 2 6 2 3 2" xfId="51643" xr:uid="{00000000-0005-0000-0000-0000A26B0000}"/>
    <cellStyle name="Separador de milhares 3 2 6 2 6 2 4" xfId="19545" xr:uid="{00000000-0005-0000-0000-0000A36B0000}"/>
    <cellStyle name="Separador de milhares 3 2 6 2 6 2 4 2" xfId="45735" xr:uid="{00000000-0005-0000-0000-0000A46B0000}"/>
    <cellStyle name="Separador de milhares 3 2 6 2 6 2 5" xfId="13447" xr:uid="{00000000-0005-0000-0000-0000A56B0000}"/>
    <cellStyle name="Separador de milhares 3 2 6 2 6 2 5 2" xfId="39640" xr:uid="{00000000-0005-0000-0000-0000A66B0000}"/>
    <cellStyle name="Separador de milhares 3 2 6 2 6 2 6" xfId="33254" xr:uid="{00000000-0005-0000-0000-0000A76B0000}"/>
    <cellStyle name="Separador de milhares 3 2 6 2 6 3" xfId="8734" xr:uid="{00000000-0005-0000-0000-0000A86B0000}"/>
    <cellStyle name="Separador de milhares 3 2 6 2 6 3 2" xfId="26948" xr:uid="{00000000-0005-0000-0000-0000A96B0000}"/>
    <cellStyle name="Separador de milhares 3 2 6 2 6 3 2 2" xfId="53129" xr:uid="{00000000-0005-0000-0000-0000AA6B0000}"/>
    <cellStyle name="Separador de milhares 3 2 6 2 6 3 3" xfId="21034" xr:uid="{00000000-0005-0000-0000-0000AB6B0000}"/>
    <cellStyle name="Separador de milhares 3 2 6 2 6 3 3 2" xfId="47221" xr:uid="{00000000-0005-0000-0000-0000AC6B0000}"/>
    <cellStyle name="Separador de milhares 3 2 6 2 6 3 4" xfId="15120" xr:uid="{00000000-0005-0000-0000-0000AD6B0000}"/>
    <cellStyle name="Separador de milhares 3 2 6 2 6 3 4 2" xfId="41313" xr:uid="{00000000-0005-0000-0000-0000AE6B0000}"/>
    <cellStyle name="Separador de milhares 3 2 6 2 6 3 5" xfId="34927" xr:uid="{00000000-0005-0000-0000-0000AF6B0000}"/>
    <cellStyle name="Separador de milhares 3 2 6 2 6 4" xfId="5359" xr:uid="{00000000-0005-0000-0000-0000B06B0000}"/>
    <cellStyle name="Separador de milhares 3 2 6 2 6 4 2" xfId="23991" xr:uid="{00000000-0005-0000-0000-0000B16B0000}"/>
    <cellStyle name="Separador de milhares 3 2 6 2 6 4 2 2" xfId="50175" xr:uid="{00000000-0005-0000-0000-0000B26B0000}"/>
    <cellStyle name="Separador de milhares 3 2 6 2 6 4 3" xfId="31555" xr:uid="{00000000-0005-0000-0000-0000B36B0000}"/>
    <cellStyle name="Separador de milhares 3 2 6 2 6 5" xfId="18077" xr:uid="{00000000-0005-0000-0000-0000B46B0000}"/>
    <cellStyle name="Separador de milhares 3 2 6 2 6 5 2" xfId="44267" xr:uid="{00000000-0005-0000-0000-0000B56B0000}"/>
    <cellStyle name="Separador de milhares 3 2 6 2 6 6" xfId="11746" xr:uid="{00000000-0005-0000-0000-0000B66B0000}"/>
    <cellStyle name="Separador de milhares 3 2 6 2 6 6 2" xfId="37939" xr:uid="{00000000-0005-0000-0000-0000B76B0000}"/>
    <cellStyle name="Separador de milhares 3 2 6 2 6 7" xfId="29857" xr:uid="{00000000-0005-0000-0000-0000B86B0000}"/>
    <cellStyle name="Separador de milhares 3 2 6 2 7" xfId="2782" xr:uid="{00000000-0005-0000-0000-0000B96B0000}"/>
    <cellStyle name="Separador de milhares 3 2 6 2 7 2" xfId="7205" xr:uid="{00000000-0005-0000-0000-0000BA6B0000}"/>
    <cellStyle name="Separador de milhares 3 2 6 2 7 2 2" xfId="10349" xr:uid="{00000000-0005-0000-0000-0000BB6B0000}"/>
    <cellStyle name="Separador de milhares 3 2 6 2 7 2 2 2" xfId="28563" xr:uid="{00000000-0005-0000-0000-0000BC6B0000}"/>
    <cellStyle name="Separador de milhares 3 2 6 2 7 2 2 2 2" xfId="54744" xr:uid="{00000000-0005-0000-0000-0000BD6B0000}"/>
    <cellStyle name="Separador de milhares 3 2 6 2 7 2 2 3" xfId="22649" xr:uid="{00000000-0005-0000-0000-0000BE6B0000}"/>
    <cellStyle name="Separador de milhares 3 2 6 2 7 2 2 3 2" xfId="48836" xr:uid="{00000000-0005-0000-0000-0000BF6B0000}"/>
    <cellStyle name="Separador de milhares 3 2 6 2 7 2 2 4" xfId="16735" xr:uid="{00000000-0005-0000-0000-0000C06B0000}"/>
    <cellStyle name="Separador de milhares 3 2 6 2 7 2 2 4 2" xfId="42928" xr:uid="{00000000-0005-0000-0000-0000C16B0000}"/>
    <cellStyle name="Separador de milhares 3 2 6 2 7 2 2 5" xfId="36542" xr:uid="{00000000-0005-0000-0000-0000C26B0000}"/>
    <cellStyle name="Separador de milhares 3 2 6 2 7 2 3" xfId="25606" xr:uid="{00000000-0005-0000-0000-0000C36B0000}"/>
    <cellStyle name="Separador de milhares 3 2 6 2 7 2 3 2" xfId="51790" xr:uid="{00000000-0005-0000-0000-0000C46B0000}"/>
    <cellStyle name="Separador de milhares 3 2 6 2 7 2 4" xfId="19692" xr:uid="{00000000-0005-0000-0000-0000C56B0000}"/>
    <cellStyle name="Separador de milhares 3 2 6 2 7 2 4 2" xfId="45882" xr:uid="{00000000-0005-0000-0000-0000C66B0000}"/>
    <cellStyle name="Separador de milhares 3 2 6 2 7 2 5" xfId="13594" xr:uid="{00000000-0005-0000-0000-0000C76B0000}"/>
    <cellStyle name="Separador de milhares 3 2 6 2 7 2 5 2" xfId="39787" xr:uid="{00000000-0005-0000-0000-0000C86B0000}"/>
    <cellStyle name="Separador de milhares 3 2 6 2 7 2 6" xfId="33401" xr:uid="{00000000-0005-0000-0000-0000C96B0000}"/>
    <cellStyle name="Separador de milhares 3 2 6 2 7 3" xfId="8881" xr:uid="{00000000-0005-0000-0000-0000CA6B0000}"/>
    <cellStyle name="Separador de milhares 3 2 6 2 7 3 2" xfId="27095" xr:uid="{00000000-0005-0000-0000-0000CB6B0000}"/>
    <cellStyle name="Separador de milhares 3 2 6 2 7 3 2 2" xfId="53276" xr:uid="{00000000-0005-0000-0000-0000CC6B0000}"/>
    <cellStyle name="Separador de milhares 3 2 6 2 7 3 3" xfId="21181" xr:uid="{00000000-0005-0000-0000-0000CD6B0000}"/>
    <cellStyle name="Separador de milhares 3 2 6 2 7 3 3 2" xfId="47368" xr:uid="{00000000-0005-0000-0000-0000CE6B0000}"/>
    <cellStyle name="Separador de milhares 3 2 6 2 7 3 4" xfId="15267" xr:uid="{00000000-0005-0000-0000-0000CF6B0000}"/>
    <cellStyle name="Separador de milhares 3 2 6 2 7 3 4 2" xfId="41460" xr:uid="{00000000-0005-0000-0000-0000D06B0000}"/>
    <cellStyle name="Separador de milhares 3 2 6 2 7 3 5" xfId="35074" xr:uid="{00000000-0005-0000-0000-0000D16B0000}"/>
    <cellStyle name="Separador de milhares 3 2 6 2 7 4" xfId="5506" xr:uid="{00000000-0005-0000-0000-0000D26B0000}"/>
    <cellStyle name="Separador de milhares 3 2 6 2 7 4 2" xfId="24138" xr:uid="{00000000-0005-0000-0000-0000D36B0000}"/>
    <cellStyle name="Separador de milhares 3 2 6 2 7 4 2 2" xfId="50322" xr:uid="{00000000-0005-0000-0000-0000D46B0000}"/>
    <cellStyle name="Separador de milhares 3 2 6 2 7 4 3" xfId="31702" xr:uid="{00000000-0005-0000-0000-0000D56B0000}"/>
    <cellStyle name="Separador de milhares 3 2 6 2 7 5" xfId="18224" xr:uid="{00000000-0005-0000-0000-0000D66B0000}"/>
    <cellStyle name="Separador de milhares 3 2 6 2 7 5 2" xfId="44414" xr:uid="{00000000-0005-0000-0000-0000D76B0000}"/>
    <cellStyle name="Separador de milhares 3 2 6 2 7 6" xfId="11893" xr:uid="{00000000-0005-0000-0000-0000D86B0000}"/>
    <cellStyle name="Separador de milhares 3 2 6 2 7 6 2" xfId="38086" xr:uid="{00000000-0005-0000-0000-0000D96B0000}"/>
    <cellStyle name="Separador de milhares 3 2 6 2 7 7" xfId="30004" xr:uid="{00000000-0005-0000-0000-0000DA6B0000}"/>
    <cellStyle name="Separador de milhares 3 2 6 2 8" xfId="3309" xr:uid="{00000000-0005-0000-0000-0000DB6B0000}"/>
    <cellStyle name="Separador de milhares 3 2 6 2 8 2" xfId="7352" xr:uid="{00000000-0005-0000-0000-0000DC6B0000}"/>
    <cellStyle name="Separador de milhares 3 2 6 2 8 2 2" xfId="10496" xr:uid="{00000000-0005-0000-0000-0000DD6B0000}"/>
    <cellStyle name="Separador de milhares 3 2 6 2 8 2 2 2" xfId="28710" xr:uid="{00000000-0005-0000-0000-0000DE6B0000}"/>
    <cellStyle name="Separador de milhares 3 2 6 2 8 2 2 2 2" xfId="54891" xr:uid="{00000000-0005-0000-0000-0000DF6B0000}"/>
    <cellStyle name="Separador de milhares 3 2 6 2 8 2 2 3" xfId="22796" xr:uid="{00000000-0005-0000-0000-0000E06B0000}"/>
    <cellStyle name="Separador de milhares 3 2 6 2 8 2 2 3 2" xfId="48983" xr:uid="{00000000-0005-0000-0000-0000E16B0000}"/>
    <cellStyle name="Separador de milhares 3 2 6 2 8 2 2 4" xfId="16882" xr:uid="{00000000-0005-0000-0000-0000E26B0000}"/>
    <cellStyle name="Separador de milhares 3 2 6 2 8 2 2 4 2" xfId="43075" xr:uid="{00000000-0005-0000-0000-0000E36B0000}"/>
    <cellStyle name="Separador de milhares 3 2 6 2 8 2 2 5" xfId="36689" xr:uid="{00000000-0005-0000-0000-0000E46B0000}"/>
    <cellStyle name="Separador de milhares 3 2 6 2 8 2 3" xfId="25753" xr:uid="{00000000-0005-0000-0000-0000E56B0000}"/>
    <cellStyle name="Separador de milhares 3 2 6 2 8 2 3 2" xfId="51937" xr:uid="{00000000-0005-0000-0000-0000E66B0000}"/>
    <cellStyle name="Separador de milhares 3 2 6 2 8 2 4" xfId="19839" xr:uid="{00000000-0005-0000-0000-0000E76B0000}"/>
    <cellStyle name="Separador de milhares 3 2 6 2 8 2 4 2" xfId="46029" xr:uid="{00000000-0005-0000-0000-0000E86B0000}"/>
    <cellStyle name="Separador de milhares 3 2 6 2 8 2 5" xfId="13741" xr:uid="{00000000-0005-0000-0000-0000E96B0000}"/>
    <cellStyle name="Separador de milhares 3 2 6 2 8 2 5 2" xfId="39934" xr:uid="{00000000-0005-0000-0000-0000EA6B0000}"/>
    <cellStyle name="Separador de milhares 3 2 6 2 8 2 6" xfId="33548" xr:uid="{00000000-0005-0000-0000-0000EB6B0000}"/>
    <cellStyle name="Separador de milhares 3 2 6 2 8 3" xfId="9028" xr:uid="{00000000-0005-0000-0000-0000EC6B0000}"/>
    <cellStyle name="Separador de milhares 3 2 6 2 8 3 2" xfId="27242" xr:uid="{00000000-0005-0000-0000-0000ED6B0000}"/>
    <cellStyle name="Separador de milhares 3 2 6 2 8 3 2 2" xfId="53423" xr:uid="{00000000-0005-0000-0000-0000EE6B0000}"/>
    <cellStyle name="Separador de milhares 3 2 6 2 8 3 3" xfId="21328" xr:uid="{00000000-0005-0000-0000-0000EF6B0000}"/>
    <cellStyle name="Separador de milhares 3 2 6 2 8 3 3 2" xfId="47515" xr:uid="{00000000-0005-0000-0000-0000F06B0000}"/>
    <cellStyle name="Separador de milhares 3 2 6 2 8 3 4" xfId="15414" xr:uid="{00000000-0005-0000-0000-0000F16B0000}"/>
    <cellStyle name="Separador de milhares 3 2 6 2 8 3 4 2" xfId="41607" xr:uid="{00000000-0005-0000-0000-0000F26B0000}"/>
    <cellStyle name="Separador de milhares 3 2 6 2 8 3 5" xfId="35221" xr:uid="{00000000-0005-0000-0000-0000F36B0000}"/>
    <cellStyle name="Separador de milhares 3 2 6 2 8 4" xfId="5653" xr:uid="{00000000-0005-0000-0000-0000F46B0000}"/>
    <cellStyle name="Separador de milhares 3 2 6 2 8 4 2" xfId="24285" xr:uid="{00000000-0005-0000-0000-0000F56B0000}"/>
    <cellStyle name="Separador de milhares 3 2 6 2 8 4 2 2" xfId="50469" xr:uid="{00000000-0005-0000-0000-0000F66B0000}"/>
    <cellStyle name="Separador de milhares 3 2 6 2 8 4 3" xfId="31849" xr:uid="{00000000-0005-0000-0000-0000F76B0000}"/>
    <cellStyle name="Separador de milhares 3 2 6 2 8 5" xfId="18371" xr:uid="{00000000-0005-0000-0000-0000F86B0000}"/>
    <cellStyle name="Separador de milhares 3 2 6 2 8 5 2" xfId="44561" xr:uid="{00000000-0005-0000-0000-0000F96B0000}"/>
    <cellStyle name="Separador de milhares 3 2 6 2 8 6" xfId="12040" xr:uid="{00000000-0005-0000-0000-0000FA6B0000}"/>
    <cellStyle name="Separador de milhares 3 2 6 2 8 6 2" xfId="38233" xr:uid="{00000000-0005-0000-0000-0000FB6B0000}"/>
    <cellStyle name="Separador de milhares 3 2 6 2 8 7" xfId="30151" xr:uid="{00000000-0005-0000-0000-0000FC6B0000}"/>
    <cellStyle name="Separador de milhares 3 2 6 2 9" xfId="3836" xr:uid="{00000000-0005-0000-0000-0000FD6B0000}"/>
    <cellStyle name="Separador de milhares 3 2 6 2 9 2" xfId="7499" xr:uid="{00000000-0005-0000-0000-0000FE6B0000}"/>
    <cellStyle name="Separador de milhares 3 2 6 2 9 2 2" xfId="10643" xr:uid="{00000000-0005-0000-0000-0000FF6B0000}"/>
    <cellStyle name="Separador de milhares 3 2 6 2 9 2 2 2" xfId="28857" xr:uid="{00000000-0005-0000-0000-0000006C0000}"/>
    <cellStyle name="Separador de milhares 3 2 6 2 9 2 2 2 2" xfId="55038" xr:uid="{00000000-0005-0000-0000-0000016C0000}"/>
    <cellStyle name="Separador de milhares 3 2 6 2 9 2 2 3" xfId="22943" xr:uid="{00000000-0005-0000-0000-0000026C0000}"/>
    <cellStyle name="Separador de milhares 3 2 6 2 9 2 2 3 2" xfId="49130" xr:uid="{00000000-0005-0000-0000-0000036C0000}"/>
    <cellStyle name="Separador de milhares 3 2 6 2 9 2 2 4" xfId="17029" xr:uid="{00000000-0005-0000-0000-0000046C0000}"/>
    <cellStyle name="Separador de milhares 3 2 6 2 9 2 2 4 2" xfId="43222" xr:uid="{00000000-0005-0000-0000-0000056C0000}"/>
    <cellStyle name="Separador de milhares 3 2 6 2 9 2 2 5" xfId="36836" xr:uid="{00000000-0005-0000-0000-0000066C0000}"/>
    <cellStyle name="Separador de milhares 3 2 6 2 9 2 3" xfId="25900" xr:uid="{00000000-0005-0000-0000-0000076C0000}"/>
    <cellStyle name="Separador de milhares 3 2 6 2 9 2 3 2" xfId="52084" xr:uid="{00000000-0005-0000-0000-0000086C0000}"/>
    <cellStyle name="Separador de milhares 3 2 6 2 9 2 4" xfId="19986" xr:uid="{00000000-0005-0000-0000-0000096C0000}"/>
    <cellStyle name="Separador de milhares 3 2 6 2 9 2 4 2" xfId="46176" xr:uid="{00000000-0005-0000-0000-00000A6C0000}"/>
    <cellStyle name="Separador de milhares 3 2 6 2 9 2 5" xfId="13888" xr:uid="{00000000-0005-0000-0000-00000B6C0000}"/>
    <cellStyle name="Separador de milhares 3 2 6 2 9 2 5 2" xfId="40081" xr:uid="{00000000-0005-0000-0000-00000C6C0000}"/>
    <cellStyle name="Separador de milhares 3 2 6 2 9 2 6" xfId="33695" xr:uid="{00000000-0005-0000-0000-00000D6C0000}"/>
    <cellStyle name="Separador de milhares 3 2 6 2 9 3" xfId="9175" xr:uid="{00000000-0005-0000-0000-00000E6C0000}"/>
    <cellStyle name="Separador de milhares 3 2 6 2 9 3 2" xfId="27389" xr:uid="{00000000-0005-0000-0000-00000F6C0000}"/>
    <cellStyle name="Separador de milhares 3 2 6 2 9 3 2 2" xfId="53570" xr:uid="{00000000-0005-0000-0000-0000106C0000}"/>
    <cellStyle name="Separador de milhares 3 2 6 2 9 3 3" xfId="21475" xr:uid="{00000000-0005-0000-0000-0000116C0000}"/>
    <cellStyle name="Separador de milhares 3 2 6 2 9 3 3 2" xfId="47662" xr:uid="{00000000-0005-0000-0000-0000126C0000}"/>
    <cellStyle name="Separador de milhares 3 2 6 2 9 3 4" xfId="15561" xr:uid="{00000000-0005-0000-0000-0000136C0000}"/>
    <cellStyle name="Separador de milhares 3 2 6 2 9 3 4 2" xfId="41754" xr:uid="{00000000-0005-0000-0000-0000146C0000}"/>
    <cellStyle name="Separador de milhares 3 2 6 2 9 3 5" xfId="35368" xr:uid="{00000000-0005-0000-0000-0000156C0000}"/>
    <cellStyle name="Separador de milhares 3 2 6 2 9 4" xfId="5800" xr:uid="{00000000-0005-0000-0000-0000166C0000}"/>
    <cellStyle name="Separador de milhares 3 2 6 2 9 4 2" xfId="24432" xr:uid="{00000000-0005-0000-0000-0000176C0000}"/>
    <cellStyle name="Separador de milhares 3 2 6 2 9 4 2 2" xfId="50616" xr:uid="{00000000-0005-0000-0000-0000186C0000}"/>
    <cellStyle name="Separador de milhares 3 2 6 2 9 4 3" xfId="31996" xr:uid="{00000000-0005-0000-0000-0000196C0000}"/>
    <cellStyle name="Separador de milhares 3 2 6 2 9 5" xfId="18518" xr:uid="{00000000-0005-0000-0000-00001A6C0000}"/>
    <cellStyle name="Separador de milhares 3 2 6 2 9 5 2" xfId="44708" xr:uid="{00000000-0005-0000-0000-00001B6C0000}"/>
    <cellStyle name="Separador de milhares 3 2 6 2 9 6" xfId="12187" xr:uid="{00000000-0005-0000-0000-00001C6C0000}"/>
    <cellStyle name="Separador de milhares 3 2 6 2 9 6 2" xfId="38380" xr:uid="{00000000-0005-0000-0000-00001D6C0000}"/>
    <cellStyle name="Separador de milhares 3 2 6 2 9 7" xfId="30298" xr:uid="{00000000-0005-0000-0000-00001E6C0000}"/>
    <cellStyle name="Separador de milhares 3 2 6 3" xfId="288" xr:uid="{00000000-0005-0000-0000-00001F6C0000}"/>
    <cellStyle name="Separador de milhares 3 2 6 3 10" xfId="6490" xr:uid="{00000000-0005-0000-0000-0000206C0000}"/>
    <cellStyle name="Separador de milhares 3 2 6 3 10 2" xfId="9641" xr:uid="{00000000-0005-0000-0000-0000216C0000}"/>
    <cellStyle name="Separador de milhares 3 2 6 3 10 2 2" xfId="27855" xr:uid="{00000000-0005-0000-0000-0000226C0000}"/>
    <cellStyle name="Separador de milhares 3 2 6 3 10 2 2 2" xfId="54036" xr:uid="{00000000-0005-0000-0000-0000236C0000}"/>
    <cellStyle name="Separador de milhares 3 2 6 3 10 2 3" xfId="21941" xr:uid="{00000000-0005-0000-0000-0000246C0000}"/>
    <cellStyle name="Separador de milhares 3 2 6 3 10 2 3 2" xfId="48128" xr:uid="{00000000-0005-0000-0000-0000256C0000}"/>
    <cellStyle name="Separador de milhares 3 2 6 3 10 2 4" xfId="16027" xr:uid="{00000000-0005-0000-0000-0000266C0000}"/>
    <cellStyle name="Separador de milhares 3 2 6 3 10 2 4 2" xfId="42220" xr:uid="{00000000-0005-0000-0000-0000276C0000}"/>
    <cellStyle name="Separador de milhares 3 2 6 3 10 2 5" xfId="35834" xr:uid="{00000000-0005-0000-0000-0000286C0000}"/>
    <cellStyle name="Separador de milhares 3 2 6 3 10 3" xfId="24898" xr:uid="{00000000-0005-0000-0000-0000296C0000}"/>
    <cellStyle name="Separador de milhares 3 2 6 3 10 3 2" xfId="51082" xr:uid="{00000000-0005-0000-0000-00002A6C0000}"/>
    <cellStyle name="Separador de milhares 3 2 6 3 10 4" xfId="18984" xr:uid="{00000000-0005-0000-0000-00002B6C0000}"/>
    <cellStyle name="Separador de milhares 3 2 6 3 10 4 2" xfId="45174" xr:uid="{00000000-0005-0000-0000-00002C6C0000}"/>
    <cellStyle name="Separador de milhares 3 2 6 3 10 5" xfId="12879" xr:uid="{00000000-0005-0000-0000-00002D6C0000}"/>
    <cellStyle name="Separador de milhares 3 2 6 3 10 5 2" xfId="39072" xr:uid="{00000000-0005-0000-0000-00002E6C0000}"/>
    <cellStyle name="Separador de milhares 3 2 6 3 10 6" xfId="32686" xr:uid="{00000000-0005-0000-0000-00002F6C0000}"/>
    <cellStyle name="Separador de milhares 3 2 6 3 11" xfId="8170" xr:uid="{00000000-0005-0000-0000-0000306C0000}"/>
    <cellStyle name="Separador de milhares 3 2 6 3 11 2" xfId="26384" xr:uid="{00000000-0005-0000-0000-0000316C0000}"/>
    <cellStyle name="Separador de milhares 3 2 6 3 11 2 2" xfId="52568" xr:uid="{00000000-0005-0000-0000-0000326C0000}"/>
    <cellStyle name="Separador de milhares 3 2 6 3 11 3" xfId="20470" xr:uid="{00000000-0005-0000-0000-0000336C0000}"/>
    <cellStyle name="Separador de milhares 3 2 6 3 11 3 2" xfId="46660" xr:uid="{00000000-0005-0000-0000-0000346C0000}"/>
    <cellStyle name="Separador de milhares 3 2 6 3 11 4" xfId="14559" xr:uid="{00000000-0005-0000-0000-0000356C0000}"/>
    <cellStyle name="Separador de milhares 3 2 6 3 11 4 2" xfId="40752" xr:uid="{00000000-0005-0000-0000-0000366C0000}"/>
    <cellStyle name="Separador de milhares 3 2 6 3 11 5" xfId="34366" xr:uid="{00000000-0005-0000-0000-0000376C0000}"/>
    <cellStyle name="Separador de milhares 3 2 6 3 12" xfId="4789" xr:uid="{00000000-0005-0000-0000-0000386C0000}"/>
    <cellStyle name="Separador de milhares 3 2 6 3 12 2" xfId="23427" xr:uid="{00000000-0005-0000-0000-0000396C0000}"/>
    <cellStyle name="Separador de milhares 3 2 6 3 12 2 2" xfId="49614" xr:uid="{00000000-0005-0000-0000-00003A6C0000}"/>
    <cellStyle name="Separador de milhares 3 2 6 3 12 3" xfId="30987" xr:uid="{00000000-0005-0000-0000-00003B6C0000}"/>
    <cellStyle name="Separador de milhares 3 2 6 3 13" xfId="17513" xr:uid="{00000000-0005-0000-0000-00003C6C0000}"/>
    <cellStyle name="Separador de milhares 3 2 6 3 13 2" xfId="43706" xr:uid="{00000000-0005-0000-0000-00003D6C0000}"/>
    <cellStyle name="Separador de milhares 3 2 6 3 14" xfId="11178" xr:uid="{00000000-0005-0000-0000-00003E6C0000}"/>
    <cellStyle name="Separador de milhares 3 2 6 3 14 2" xfId="37371" xr:uid="{00000000-0005-0000-0000-00003F6C0000}"/>
    <cellStyle name="Separador de milhares 3 2 6 3 15" xfId="29289" xr:uid="{00000000-0005-0000-0000-0000406C0000}"/>
    <cellStyle name="Separador de milhares 3 2 6 3 2" xfId="551" xr:uid="{00000000-0005-0000-0000-0000416C0000}"/>
    <cellStyle name="Separador de milhares 3 2 6 3 2 2" xfId="6561" xr:uid="{00000000-0005-0000-0000-0000426C0000}"/>
    <cellStyle name="Separador de milhares 3 2 6 3 2 2 2" xfId="9708" xr:uid="{00000000-0005-0000-0000-0000436C0000}"/>
    <cellStyle name="Separador de milhares 3 2 6 3 2 2 2 2" xfId="27922" xr:uid="{00000000-0005-0000-0000-0000446C0000}"/>
    <cellStyle name="Separador de milhares 3 2 6 3 2 2 2 2 2" xfId="54103" xr:uid="{00000000-0005-0000-0000-0000456C0000}"/>
    <cellStyle name="Separador de milhares 3 2 6 3 2 2 2 3" xfId="22008" xr:uid="{00000000-0005-0000-0000-0000466C0000}"/>
    <cellStyle name="Separador de milhares 3 2 6 3 2 2 2 3 2" xfId="48195" xr:uid="{00000000-0005-0000-0000-0000476C0000}"/>
    <cellStyle name="Separador de milhares 3 2 6 3 2 2 2 4" xfId="16094" xr:uid="{00000000-0005-0000-0000-0000486C0000}"/>
    <cellStyle name="Separador de milhares 3 2 6 3 2 2 2 4 2" xfId="42287" xr:uid="{00000000-0005-0000-0000-0000496C0000}"/>
    <cellStyle name="Separador de milhares 3 2 6 3 2 2 2 5" xfId="35901" xr:uid="{00000000-0005-0000-0000-00004A6C0000}"/>
    <cellStyle name="Separador de milhares 3 2 6 3 2 2 3" xfId="24965" xr:uid="{00000000-0005-0000-0000-00004B6C0000}"/>
    <cellStyle name="Separador de milhares 3 2 6 3 2 2 3 2" xfId="51149" xr:uid="{00000000-0005-0000-0000-00004C6C0000}"/>
    <cellStyle name="Separador de milhares 3 2 6 3 2 2 4" xfId="19051" xr:uid="{00000000-0005-0000-0000-00004D6C0000}"/>
    <cellStyle name="Separador de milhares 3 2 6 3 2 2 4 2" xfId="45241" xr:uid="{00000000-0005-0000-0000-00004E6C0000}"/>
    <cellStyle name="Separador de milhares 3 2 6 3 2 2 5" xfId="12950" xr:uid="{00000000-0005-0000-0000-00004F6C0000}"/>
    <cellStyle name="Separador de milhares 3 2 6 3 2 2 5 2" xfId="39143" xr:uid="{00000000-0005-0000-0000-0000506C0000}"/>
    <cellStyle name="Separador de milhares 3 2 6 3 2 2 6" xfId="32757" xr:uid="{00000000-0005-0000-0000-0000516C0000}"/>
    <cellStyle name="Separador de milhares 3 2 6 3 2 3" xfId="8237" xr:uid="{00000000-0005-0000-0000-0000526C0000}"/>
    <cellStyle name="Separador de milhares 3 2 6 3 2 3 2" xfId="26451" xr:uid="{00000000-0005-0000-0000-0000536C0000}"/>
    <cellStyle name="Separador de milhares 3 2 6 3 2 3 2 2" xfId="52635" xr:uid="{00000000-0005-0000-0000-0000546C0000}"/>
    <cellStyle name="Separador de milhares 3 2 6 3 2 3 3" xfId="20537" xr:uid="{00000000-0005-0000-0000-0000556C0000}"/>
    <cellStyle name="Separador de milhares 3 2 6 3 2 3 3 2" xfId="46727" xr:uid="{00000000-0005-0000-0000-0000566C0000}"/>
    <cellStyle name="Separador de milhares 3 2 6 3 2 3 4" xfId="14626" xr:uid="{00000000-0005-0000-0000-0000576C0000}"/>
    <cellStyle name="Separador de milhares 3 2 6 3 2 3 4 2" xfId="40819" xr:uid="{00000000-0005-0000-0000-0000586C0000}"/>
    <cellStyle name="Separador de milhares 3 2 6 3 2 3 5" xfId="34433" xr:uid="{00000000-0005-0000-0000-0000596C0000}"/>
    <cellStyle name="Separador de milhares 3 2 6 3 2 4" xfId="4860" xr:uid="{00000000-0005-0000-0000-00005A6C0000}"/>
    <cellStyle name="Separador de milhares 3 2 6 3 2 4 2" xfId="23494" xr:uid="{00000000-0005-0000-0000-00005B6C0000}"/>
    <cellStyle name="Separador de milhares 3 2 6 3 2 4 2 2" xfId="49681" xr:uid="{00000000-0005-0000-0000-00005C6C0000}"/>
    <cellStyle name="Separador de milhares 3 2 6 3 2 4 3" xfId="31058" xr:uid="{00000000-0005-0000-0000-00005D6C0000}"/>
    <cellStyle name="Separador de milhares 3 2 6 3 2 5" xfId="17580" xr:uid="{00000000-0005-0000-0000-00005E6C0000}"/>
    <cellStyle name="Separador de milhares 3 2 6 3 2 5 2" xfId="43773" xr:uid="{00000000-0005-0000-0000-00005F6C0000}"/>
    <cellStyle name="Separador de milhares 3 2 6 3 2 6" xfId="11249" xr:uid="{00000000-0005-0000-0000-0000606C0000}"/>
    <cellStyle name="Separador de milhares 3 2 6 3 2 6 2" xfId="37442" xr:uid="{00000000-0005-0000-0000-0000616C0000}"/>
    <cellStyle name="Separador de milhares 3 2 6 3 2 7" xfId="29360" xr:uid="{00000000-0005-0000-0000-0000626C0000}"/>
    <cellStyle name="Separador de milhares 3 2 6 3 3" xfId="848" xr:uid="{00000000-0005-0000-0000-0000636C0000}"/>
    <cellStyle name="Separador de milhares 3 2 6 3 3 2" xfId="6663" xr:uid="{00000000-0005-0000-0000-0000646C0000}"/>
    <cellStyle name="Separador de milhares 3 2 6 3 3 2 2" xfId="9810" xr:uid="{00000000-0005-0000-0000-0000656C0000}"/>
    <cellStyle name="Separador de milhares 3 2 6 3 3 2 2 2" xfId="28024" xr:uid="{00000000-0005-0000-0000-0000666C0000}"/>
    <cellStyle name="Separador de milhares 3 2 6 3 3 2 2 2 2" xfId="54205" xr:uid="{00000000-0005-0000-0000-0000676C0000}"/>
    <cellStyle name="Separador de milhares 3 2 6 3 3 2 2 3" xfId="22110" xr:uid="{00000000-0005-0000-0000-0000686C0000}"/>
    <cellStyle name="Separador de milhares 3 2 6 3 3 2 2 3 2" xfId="48297" xr:uid="{00000000-0005-0000-0000-0000696C0000}"/>
    <cellStyle name="Separador de milhares 3 2 6 3 3 2 2 4" xfId="16196" xr:uid="{00000000-0005-0000-0000-00006A6C0000}"/>
    <cellStyle name="Separador de milhares 3 2 6 3 3 2 2 4 2" xfId="42389" xr:uid="{00000000-0005-0000-0000-00006B6C0000}"/>
    <cellStyle name="Separador de milhares 3 2 6 3 3 2 2 5" xfId="36003" xr:uid="{00000000-0005-0000-0000-00006C6C0000}"/>
    <cellStyle name="Separador de milhares 3 2 6 3 3 2 3" xfId="25067" xr:uid="{00000000-0005-0000-0000-00006D6C0000}"/>
    <cellStyle name="Separador de milhares 3 2 6 3 3 2 3 2" xfId="51251" xr:uid="{00000000-0005-0000-0000-00006E6C0000}"/>
    <cellStyle name="Separador de milhares 3 2 6 3 3 2 4" xfId="19153" xr:uid="{00000000-0005-0000-0000-00006F6C0000}"/>
    <cellStyle name="Separador de milhares 3 2 6 3 3 2 4 2" xfId="45343" xr:uid="{00000000-0005-0000-0000-0000706C0000}"/>
    <cellStyle name="Separador de milhares 3 2 6 3 3 2 5" xfId="13052" xr:uid="{00000000-0005-0000-0000-0000716C0000}"/>
    <cellStyle name="Separador de milhares 3 2 6 3 3 2 5 2" xfId="39245" xr:uid="{00000000-0005-0000-0000-0000726C0000}"/>
    <cellStyle name="Separador de milhares 3 2 6 3 3 2 6" xfId="32859" xr:uid="{00000000-0005-0000-0000-0000736C0000}"/>
    <cellStyle name="Separador de milhares 3 2 6 3 3 3" xfId="8342" xr:uid="{00000000-0005-0000-0000-0000746C0000}"/>
    <cellStyle name="Separador de milhares 3 2 6 3 3 3 2" xfId="26556" xr:uid="{00000000-0005-0000-0000-0000756C0000}"/>
    <cellStyle name="Separador de milhares 3 2 6 3 3 3 2 2" xfId="52737" xr:uid="{00000000-0005-0000-0000-0000766C0000}"/>
    <cellStyle name="Separador de milhares 3 2 6 3 3 3 3" xfId="20642" xr:uid="{00000000-0005-0000-0000-0000776C0000}"/>
    <cellStyle name="Separador de milhares 3 2 6 3 3 3 3 2" xfId="46829" xr:uid="{00000000-0005-0000-0000-0000786C0000}"/>
    <cellStyle name="Separador de milhares 3 2 6 3 3 3 4" xfId="14728" xr:uid="{00000000-0005-0000-0000-0000796C0000}"/>
    <cellStyle name="Separador de milhares 3 2 6 3 3 3 4 2" xfId="40921" xr:uid="{00000000-0005-0000-0000-00007A6C0000}"/>
    <cellStyle name="Separador de milhares 3 2 6 3 3 3 5" xfId="34535" xr:uid="{00000000-0005-0000-0000-00007B6C0000}"/>
    <cellStyle name="Separador de milhares 3 2 6 3 3 4" xfId="4964" xr:uid="{00000000-0005-0000-0000-00007C6C0000}"/>
    <cellStyle name="Separador de milhares 3 2 6 3 3 4 2" xfId="23599" xr:uid="{00000000-0005-0000-0000-00007D6C0000}"/>
    <cellStyle name="Separador de milhares 3 2 6 3 3 4 2 2" xfId="49783" xr:uid="{00000000-0005-0000-0000-00007E6C0000}"/>
    <cellStyle name="Separador de milhares 3 2 6 3 3 4 3" xfId="31160" xr:uid="{00000000-0005-0000-0000-00007F6C0000}"/>
    <cellStyle name="Separador de milhares 3 2 6 3 3 5" xfId="17685" xr:uid="{00000000-0005-0000-0000-0000806C0000}"/>
    <cellStyle name="Separador de milhares 3 2 6 3 3 5 2" xfId="43875" xr:uid="{00000000-0005-0000-0000-0000816C0000}"/>
    <cellStyle name="Separador de milhares 3 2 6 3 3 6" xfId="11351" xr:uid="{00000000-0005-0000-0000-0000826C0000}"/>
    <cellStyle name="Separador de milhares 3 2 6 3 3 6 2" xfId="37544" xr:uid="{00000000-0005-0000-0000-0000836C0000}"/>
    <cellStyle name="Separador de milhares 3 2 6 3 3 7" xfId="29462" xr:uid="{00000000-0005-0000-0000-0000846C0000}"/>
    <cellStyle name="Separador de milhares 3 2 6 3 4" xfId="1199" xr:uid="{00000000-0005-0000-0000-0000856C0000}"/>
    <cellStyle name="Separador de milhares 3 2 6 3 4 2" xfId="6761" xr:uid="{00000000-0005-0000-0000-0000866C0000}"/>
    <cellStyle name="Separador de milhares 3 2 6 3 4 2 2" xfId="9908" xr:uid="{00000000-0005-0000-0000-0000876C0000}"/>
    <cellStyle name="Separador de milhares 3 2 6 3 4 2 2 2" xfId="28122" xr:uid="{00000000-0005-0000-0000-0000886C0000}"/>
    <cellStyle name="Separador de milhares 3 2 6 3 4 2 2 2 2" xfId="54303" xr:uid="{00000000-0005-0000-0000-0000896C0000}"/>
    <cellStyle name="Separador de milhares 3 2 6 3 4 2 2 3" xfId="22208" xr:uid="{00000000-0005-0000-0000-00008A6C0000}"/>
    <cellStyle name="Separador de milhares 3 2 6 3 4 2 2 3 2" xfId="48395" xr:uid="{00000000-0005-0000-0000-00008B6C0000}"/>
    <cellStyle name="Separador de milhares 3 2 6 3 4 2 2 4" xfId="16294" xr:uid="{00000000-0005-0000-0000-00008C6C0000}"/>
    <cellStyle name="Separador de milhares 3 2 6 3 4 2 2 4 2" xfId="42487" xr:uid="{00000000-0005-0000-0000-00008D6C0000}"/>
    <cellStyle name="Separador de milhares 3 2 6 3 4 2 2 5" xfId="36101" xr:uid="{00000000-0005-0000-0000-00008E6C0000}"/>
    <cellStyle name="Separador de milhares 3 2 6 3 4 2 3" xfId="25165" xr:uid="{00000000-0005-0000-0000-00008F6C0000}"/>
    <cellStyle name="Separador de milhares 3 2 6 3 4 2 3 2" xfId="51349" xr:uid="{00000000-0005-0000-0000-0000906C0000}"/>
    <cellStyle name="Separador de milhares 3 2 6 3 4 2 4" xfId="19251" xr:uid="{00000000-0005-0000-0000-0000916C0000}"/>
    <cellStyle name="Separador de milhares 3 2 6 3 4 2 4 2" xfId="45441" xr:uid="{00000000-0005-0000-0000-0000926C0000}"/>
    <cellStyle name="Separador de milhares 3 2 6 3 4 2 5" xfId="13150" xr:uid="{00000000-0005-0000-0000-0000936C0000}"/>
    <cellStyle name="Separador de milhares 3 2 6 3 4 2 5 2" xfId="39343" xr:uid="{00000000-0005-0000-0000-0000946C0000}"/>
    <cellStyle name="Separador de milhares 3 2 6 3 4 2 6" xfId="32957" xr:uid="{00000000-0005-0000-0000-0000956C0000}"/>
    <cellStyle name="Separador de milhares 3 2 6 3 4 3" xfId="8440" xr:uid="{00000000-0005-0000-0000-0000966C0000}"/>
    <cellStyle name="Separador de milhares 3 2 6 3 4 3 2" xfId="26654" xr:uid="{00000000-0005-0000-0000-0000976C0000}"/>
    <cellStyle name="Separador de milhares 3 2 6 3 4 3 2 2" xfId="52835" xr:uid="{00000000-0005-0000-0000-0000986C0000}"/>
    <cellStyle name="Separador de milhares 3 2 6 3 4 3 3" xfId="20740" xr:uid="{00000000-0005-0000-0000-0000996C0000}"/>
    <cellStyle name="Separador de milhares 3 2 6 3 4 3 3 2" xfId="46927" xr:uid="{00000000-0005-0000-0000-00009A6C0000}"/>
    <cellStyle name="Separador de milhares 3 2 6 3 4 3 4" xfId="14826" xr:uid="{00000000-0005-0000-0000-00009B6C0000}"/>
    <cellStyle name="Separador de milhares 3 2 6 3 4 3 4 2" xfId="41019" xr:uid="{00000000-0005-0000-0000-00009C6C0000}"/>
    <cellStyle name="Separador de milhares 3 2 6 3 4 3 5" xfId="34633" xr:uid="{00000000-0005-0000-0000-00009D6C0000}"/>
    <cellStyle name="Separador de milhares 3 2 6 3 4 4" xfId="5062" xr:uid="{00000000-0005-0000-0000-00009E6C0000}"/>
    <cellStyle name="Separador de milhares 3 2 6 3 4 4 2" xfId="23697" xr:uid="{00000000-0005-0000-0000-00009F6C0000}"/>
    <cellStyle name="Separador de milhares 3 2 6 3 4 4 2 2" xfId="49881" xr:uid="{00000000-0005-0000-0000-0000A06C0000}"/>
    <cellStyle name="Separador de milhares 3 2 6 3 4 4 3" xfId="31258" xr:uid="{00000000-0005-0000-0000-0000A16C0000}"/>
    <cellStyle name="Separador de milhares 3 2 6 3 4 5" xfId="17783" xr:uid="{00000000-0005-0000-0000-0000A26C0000}"/>
    <cellStyle name="Separador de milhares 3 2 6 3 4 5 2" xfId="43973" xr:uid="{00000000-0005-0000-0000-0000A36C0000}"/>
    <cellStyle name="Separador de milhares 3 2 6 3 4 6" xfId="11449" xr:uid="{00000000-0005-0000-0000-0000A46C0000}"/>
    <cellStyle name="Separador de milhares 3 2 6 3 4 6 2" xfId="37642" xr:uid="{00000000-0005-0000-0000-0000A56C0000}"/>
    <cellStyle name="Separador de milhares 3 2 6 3 4 7" xfId="29560" xr:uid="{00000000-0005-0000-0000-0000A66C0000}"/>
    <cellStyle name="Separador de milhares 3 2 6 3 5" xfId="1634" xr:uid="{00000000-0005-0000-0000-0000A76C0000}"/>
    <cellStyle name="Separador de milhares 3 2 6 3 5 2" xfId="6880" xr:uid="{00000000-0005-0000-0000-0000A86C0000}"/>
    <cellStyle name="Separador de milhares 3 2 6 3 5 2 2" xfId="10027" xr:uid="{00000000-0005-0000-0000-0000A96C0000}"/>
    <cellStyle name="Separador de milhares 3 2 6 3 5 2 2 2" xfId="28241" xr:uid="{00000000-0005-0000-0000-0000AA6C0000}"/>
    <cellStyle name="Separador de milhares 3 2 6 3 5 2 2 2 2" xfId="54422" xr:uid="{00000000-0005-0000-0000-0000AB6C0000}"/>
    <cellStyle name="Separador de milhares 3 2 6 3 5 2 2 3" xfId="22327" xr:uid="{00000000-0005-0000-0000-0000AC6C0000}"/>
    <cellStyle name="Separador de milhares 3 2 6 3 5 2 2 3 2" xfId="48514" xr:uid="{00000000-0005-0000-0000-0000AD6C0000}"/>
    <cellStyle name="Separador de milhares 3 2 6 3 5 2 2 4" xfId="16413" xr:uid="{00000000-0005-0000-0000-0000AE6C0000}"/>
    <cellStyle name="Separador de milhares 3 2 6 3 5 2 2 4 2" xfId="42606" xr:uid="{00000000-0005-0000-0000-0000AF6C0000}"/>
    <cellStyle name="Separador de milhares 3 2 6 3 5 2 2 5" xfId="36220" xr:uid="{00000000-0005-0000-0000-0000B06C0000}"/>
    <cellStyle name="Separador de milhares 3 2 6 3 5 2 3" xfId="25284" xr:uid="{00000000-0005-0000-0000-0000B16C0000}"/>
    <cellStyle name="Separador de milhares 3 2 6 3 5 2 3 2" xfId="51468" xr:uid="{00000000-0005-0000-0000-0000B26C0000}"/>
    <cellStyle name="Separador de milhares 3 2 6 3 5 2 4" xfId="19370" xr:uid="{00000000-0005-0000-0000-0000B36C0000}"/>
    <cellStyle name="Separador de milhares 3 2 6 3 5 2 4 2" xfId="45560" xr:uid="{00000000-0005-0000-0000-0000B46C0000}"/>
    <cellStyle name="Separador de milhares 3 2 6 3 5 2 5" xfId="13269" xr:uid="{00000000-0005-0000-0000-0000B56C0000}"/>
    <cellStyle name="Separador de milhares 3 2 6 3 5 2 5 2" xfId="39462" xr:uid="{00000000-0005-0000-0000-0000B66C0000}"/>
    <cellStyle name="Separador de milhares 3 2 6 3 5 2 6" xfId="33076" xr:uid="{00000000-0005-0000-0000-0000B76C0000}"/>
    <cellStyle name="Separador de milhares 3 2 6 3 5 3" xfId="8559" xr:uid="{00000000-0005-0000-0000-0000B86C0000}"/>
    <cellStyle name="Separador de milhares 3 2 6 3 5 3 2" xfId="26773" xr:uid="{00000000-0005-0000-0000-0000B96C0000}"/>
    <cellStyle name="Separador de milhares 3 2 6 3 5 3 2 2" xfId="52954" xr:uid="{00000000-0005-0000-0000-0000BA6C0000}"/>
    <cellStyle name="Separador de milhares 3 2 6 3 5 3 3" xfId="20859" xr:uid="{00000000-0005-0000-0000-0000BB6C0000}"/>
    <cellStyle name="Separador de milhares 3 2 6 3 5 3 3 2" xfId="47046" xr:uid="{00000000-0005-0000-0000-0000BC6C0000}"/>
    <cellStyle name="Separador de milhares 3 2 6 3 5 3 4" xfId="14945" xr:uid="{00000000-0005-0000-0000-0000BD6C0000}"/>
    <cellStyle name="Separador de milhares 3 2 6 3 5 3 4 2" xfId="41138" xr:uid="{00000000-0005-0000-0000-0000BE6C0000}"/>
    <cellStyle name="Separador de milhares 3 2 6 3 5 3 5" xfId="34752" xr:uid="{00000000-0005-0000-0000-0000BF6C0000}"/>
    <cellStyle name="Separador de milhares 3 2 6 3 5 4" xfId="5181" xr:uid="{00000000-0005-0000-0000-0000C06C0000}"/>
    <cellStyle name="Separador de milhares 3 2 6 3 5 4 2" xfId="23816" xr:uid="{00000000-0005-0000-0000-0000C16C0000}"/>
    <cellStyle name="Separador de milhares 3 2 6 3 5 4 2 2" xfId="50000" xr:uid="{00000000-0005-0000-0000-0000C26C0000}"/>
    <cellStyle name="Separador de milhares 3 2 6 3 5 4 3" xfId="31377" xr:uid="{00000000-0005-0000-0000-0000C36C0000}"/>
    <cellStyle name="Separador de milhares 3 2 6 3 5 5" xfId="17902" xr:uid="{00000000-0005-0000-0000-0000C46C0000}"/>
    <cellStyle name="Separador de milhares 3 2 6 3 5 5 2" xfId="44092" xr:uid="{00000000-0005-0000-0000-0000C56C0000}"/>
    <cellStyle name="Separador de milhares 3 2 6 3 5 6" xfId="11568" xr:uid="{00000000-0005-0000-0000-0000C66C0000}"/>
    <cellStyle name="Separador de milhares 3 2 6 3 5 6 2" xfId="37761" xr:uid="{00000000-0005-0000-0000-0000C76C0000}"/>
    <cellStyle name="Separador de milhares 3 2 6 3 5 7" xfId="29679" xr:uid="{00000000-0005-0000-0000-0000C86C0000}"/>
    <cellStyle name="Separador de milhares 3 2 6 3 6" xfId="2164" xr:uid="{00000000-0005-0000-0000-0000C96C0000}"/>
    <cellStyle name="Separador de milhares 3 2 6 3 6 2" xfId="7030" xr:uid="{00000000-0005-0000-0000-0000CA6C0000}"/>
    <cellStyle name="Separador de milhares 3 2 6 3 6 2 2" xfId="10174" xr:uid="{00000000-0005-0000-0000-0000CB6C0000}"/>
    <cellStyle name="Separador de milhares 3 2 6 3 6 2 2 2" xfId="28388" xr:uid="{00000000-0005-0000-0000-0000CC6C0000}"/>
    <cellStyle name="Separador de milhares 3 2 6 3 6 2 2 2 2" xfId="54569" xr:uid="{00000000-0005-0000-0000-0000CD6C0000}"/>
    <cellStyle name="Separador de milhares 3 2 6 3 6 2 2 3" xfId="22474" xr:uid="{00000000-0005-0000-0000-0000CE6C0000}"/>
    <cellStyle name="Separador de milhares 3 2 6 3 6 2 2 3 2" xfId="48661" xr:uid="{00000000-0005-0000-0000-0000CF6C0000}"/>
    <cellStyle name="Separador de milhares 3 2 6 3 6 2 2 4" xfId="16560" xr:uid="{00000000-0005-0000-0000-0000D06C0000}"/>
    <cellStyle name="Separador de milhares 3 2 6 3 6 2 2 4 2" xfId="42753" xr:uid="{00000000-0005-0000-0000-0000D16C0000}"/>
    <cellStyle name="Separador de milhares 3 2 6 3 6 2 2 5" xfId="36367" xr:uid="{00000000-0005-0000-0000-0000D26C0000}"/>
    <cellStyle name="Separador de milhares 3 2 6 3 6 2 3" xfId="25431" xr:uid="{00000000-0005-0000-0000-0000D36C0000}"/>
    <cellStyle name="Separador de milhares 3 2 6 3 6 2 3 2" xfId="51615" xr:uid="{00000000-0005-0000-0000-0000D46C0000}"/>
    <cellStyle name="Separador de milhares 3 2 6 3 6 2 4" xfId="19517" xr:uid="{00000000-0005-0000-0000-0000D56C0000}"/>
    <cellStyle name="Separador de milhares 3 2 6 3 6 2 4 2" xfId="45707" xr:uid="{00000000-0005-0000-0000-0000D66C0000}"/>
    <cellStyle name="Separador de milhares 3 2 6 3 6 2 5" xfId="13419" xr:uid="{00000000-0005-0000-0000-0000D76C0000}"/>
    <cellStyle name="Separador de milhares 3 2 6 3 6 2 5 2" xfId="39612" xr:uid="{00000000-0005-0000-0000-0000D86C0000}"/>
    <cellStyle name="Separador de milhares 3 2 6 3 6 2 6" xfId="33226" xr:uid="{00000000-0005-0000-0000-0000D96C0000}"/>
    <cellStyle name="Separador de milhares 3 2 6 3 6 3" xfId="8706" xr:uid="{00000000-0005-0000-0000-0000DA6C0000}"/>
    <cellStyle name="Separador de milhares 3 2 6 3 6 3 2" xfId="26920" xr:uid="{00000000-0005-0000-0000-0000DB6C0000}"/>
    <cellStyle name="Separador de milhares 3 2 6 3 6 3 2 2" xfId="53101" xr:uid="{00000000-0005-0000-0000-0000DC6C0000}"/>
    <cellStyle name="Separador de milhares 3 2 6 3 6 3 3" xfId="21006" xr:uid="{00000000-0005-0000-0000-0000DD6C0000}"/>
    <cellStyle name="Separador de milhares 3 2 6 3 6 3 3 2" xfId="47193" xr:uid="{00000000-0005-0000-0000-0000DE6C0000}"/>
    <cellStyle name="Separador de milhares 3 2 6 3 6 3 4" xfId="15092" xr:uid="{00000000-0005-0000-0000-0000DF6C0000}"/>
    <cellStyle name="Separador de milhares 3 2 6 3 6 3 4 2" xfId="41285" xr:uid="{00000000-0005-0000-0000-0000E06C0000}"/>
    <cellStyle name="Separador de milhares 3 2 6 3 6 3 5" xfId="34899" xr:uid="{00000000-0005-0000-0000-0000E16C0000}"/>
    <cellStyle name="Separador de milhares 3 2 6 3 6 4" xfId="5331" xr:uid="{00000000-0005-0000-0000-0000E26C0000}"/>
    <cellStyle name="Separador de milhares 3 2 6 3 6 4 2" xfId="23963" xr:uid="{00000000-0005-0000-0000-0000E36C0000}"/>
    <cellStyle name="Separador de milhares 3 2 6 3 6 4 2 2" xfId="50147" xr:uid="{00000000-0005-0000-0000-0000E46C0000}"/>
    <cellStyle name="Separador de milhares 3 2 6 3 6 4 3" xfId="31527" xr:uid="{00000000-0005-0000-0000-0000E56C0000}"/>
    <cellStyle name="Separador de milhares 3 2 6 3 6 5" xfId="18049" xr:uid="{00000000-0005-0000-0000-0000E66C0000}"/>
    <cellStyle name="Separador de milhares 3 2 6 3 6 5 2" xfId="44239" xr:uid="{00000000-0005-0000-0000-0000E76C0000}"/>
    <cellStyle name="Separador de milhares 3 2 6 3 6 6" xfId="11718" xr:uid="{00000000-0005-0000-0000-0000E86C0000}"/>
    <cellStyle name="Separador de milhares 3 2 6 3 6 6 2" xfId="37911" xr:uid="{00000000-0005-0000-0000-0000E96C0000}"/>
    <cellStyle name="Separador de milhares 3 2 6 3 6 7" xfId="29829" xr:uid="{00000000-0005-0000-0000-0000EA6C0000}"/>
    <cellStyle name="Separador de milhares 3 2 6 3 7" xfId="2691" xr:uid="{00000000-0005-0000-0000-0000EB6C0000}"/>
    <cellStyle name="Separador de milhares 3 2 6 3 7 2" xfId="7177" xr:uid="{00000000-0005-0000-0000-0000EC6C0000}"/>
    <cellStyle name="Separador de milhares 3 2 6 3 7 2 2" xfId="10321" xr:uid="{00000000-0005-0000-0000-0000ED6C0000}"/>
    <cellStyle name="Separador de milhares 3 2 6 3 7 2 2 2" xfId="28535" xr:uid="{00000000-0005-0000-0000-0000EE6C0000}"/>
    <cellStyle name="Separador de milhares 3 2 6 3 7 2 2 2 2" xfId="54716" xr:uid="{00000000-0005-0000-0000-0000EF6C0000}"/>
    <cellStyle name="Separador de milhares 3 2 6 3 7 2 2 3" xfId="22621" xr:uid="{00000000-0005-0000-0000-0000F06C0000}"/>
    <cellStyle name="Separador de milhares 3 2 6 3 7 2 2 3 2" xfId="48808" xr:uid="{00000000-0005-0000-0000-0000F16C0000}"/>
    <cellStyle name="Separador de milhares 3 2 6 3 7 2 2 4" xfId="16707" xr:uid="{00000000-0005-0000-0000-0000F26C0000}"/>
    <cellStyle name="Separador de milhares 3 2 6 3 7 2 2 4 2" xfId="42900" xr:uid="{00000000-0005-0000-0000-0000F36C0000}"/>
    <cellStyle name="Separador de milhares 3 2 6 3 7 2 2 5" xfId="36514" xr:uid="{00000000-0005-0000-0000-0000F46C0000}"/>
    <cellStyle name="Separador de milhares 3 2 6 3 7 2 3" xfId="25578" xr:uid="{00000000-0005-0000-0000-0000F56C0000}"/>
    <cellStyle name="Separador de milhares 3 2 6 3 7 2 3 2" xfId="51762" xr:uid="{00000000-0005-0000-0000-0000F66C0000}"/>
    <cellStyle name="Separador de milhares 3 2 6 3 7 2 4" xfId="19664" xr:uid="{00000000-0005-0000-0000-0000F76C0000}"/>
    <cellStyle name="Separador de milhares 3 2 6 3 7 2 4 2" xfId="45854" xr:uid="{00000000-0005-0000-0000-0000F86C0000}"/>
    <cellStyle name="Separador de milhares 3 2 6 3 7 2 5" xfId="13566" xr:uid="{00000000-0005-0000-0000-0000F96C0000}"/>
    <cellStyle name="Separador de milhares 3 2 6 3 7 2 5 2" xfId="39759" xr:uid="{00000000-0005-0000-0000-0000FA6C0000}"/>
    <cellStyle name="Separador de milhares 3 2 6 3 7 2 6" xfId="33373" xr:uid="{00000000-0005-0000-0000-0000FB6C0000}"/>
    <cellStyle name="Separador de milhares 3 2 6 3 7 3" xfId="8853" xr:uid="{00000000-0005-0000-0000-0000FC6C0000}"/>
    <cellStyle name="Separador de milhares 3 2 6 3 7 3 2" xfId="27067" xr:uid="{00000000-0005-0000-0000-0000FD6C0000}"/>
    <cellStyle name="Separador de milhares 3 2 6 3 7 3 2 2" xfId="53248" xr:uid="{00000000-0005-0000-0000-0000FE6C0000}"/>
    <cellStyle name="Separador de milhares 3 2 6 3 7 3 3" xfId="21153" xr:uid="{00000000-0005-0000-0000-0000FF6C0000}"/>
    <cellStyle name="Separador de milhares 3 2 6 3 7 3 3 2" xfId="47340" xr:uid="{00000000-0005-0000-0000-0000006D0000}"/>
    <cellStyle name="Separador de milhares 3 2 6 3 7 3 4" xfId="15239" xr:uid="{00000000-0005-0000-0000-0000016D0000}"/>
    <cellStyle name="Separador de milhares 3 2 6 3 7 3 4 2" xfId="41432" xr:uid="{00000000-0005-0000-0000-0000026D0000}"/>
    <cellStyle name="Separador de milhares 3 2 6 3 7 3 5" xfId="35046" xr:uid="{00000000-0005-0000-0000-0000036D0000}"/>
    <cellStyle name="Separador de milhares 3 2 6 3 7 4" xfId="5478" xr:uid="{00000000-0005-0000-0000-0000046D0000}"/>
    <cellStyle name="Separador de milhares 3 2 6 3 7 4 2" xfId="24110" xr:uid="{00000000-0005-0000-0000-0000056D0000}"/>
    <cellStyle name="Separador de milhares 3 2 6 3 7 4 2 2" xfId="50294" xr:uid="{00000000-0005-0000-0000-0000066D0000}"/>
    <cellStyle name="Separador de milhares 3 2 6 3 7 4 3" xfId="31674" xr:uid="{00000000-0005-0000-0000-0000076D0000}"/>
    <cellStyle name="Separador de milhares 3 2 6 3 7 5" xfId="18196" xr:uid="{00000000-0005-0000-0000-0000086D0000}"/>
    <cellStyle name="Separador de milhares 3 2 6 3 7 5 2" xfId="44386" xr:uid="{00000000-0005-0000-0000-0000096D0000}"/>
    <cellStyle name="Separador de milhares 3 2 6 3 7 6" xfId="11865" xr:uid="{00000000-0005-0000-0000-00000A6D0000}"/>
    <cellStyle name="Separador de milhares 3 2 6 3 7 6 2" xfId="38058" xr:uid="{00000000-0005-0000-0000-00000B6D0000}"/>
    <cellStyle name="Separador de milhares 3 2 6 3 7 7" xfId="29976" xr:uid="{00000000-0005-0000-0000-00000C6D0000}"/>
    <cellStyle name="Separador de milhares 3 2 6 3 8" xfId="3218" xr:uid="{00000000-0005-0000-0000-00000D6D0000}"/>
    <cellStyle name="Separador de milhares 3 2 6 3 8 2" xfId="7324" xr:uid="{00000000-0005-0000-0000-00000E6D0000}"/>
    <cellStyle name="Separador de milhares 3 2 6 3 8 2 2" xfId="10468" xr:uid="{00000000-0005-0000-0000-00000F6D0000}"/>
    <cellStyle name="Separador de milhares 3 2 6 3 8 2 2 2" xfId="28682" xr:uid="{00000000-0005-0000-0000-0000106D0000}"/>
    <cellStyle name="Separador de milhares 3 2 6 3 8 2 2 2 2" xfId="54863" xr:uid="{00000000-0005-0000-0000-0000116D0000}"/>
    <cellStyle name="Separador de milhares 3 2 6 3 8 2 2 3" xfId="22768" xr:uid="{00000000-0005-0000-0000-0000126D0000}"/>
    <cellStyle name="Separador de milhares 3 2 6 3 8 2 2 3 2" xfId="48955" xr:uid="{00000000-0005-0000-0000-0000136D0000}"/>
    <cellStyle name="Separador de milhares 3 2 6 3 8 2 2 4" xfId="16854" xr:uid="{00000000-0005-0000-0000-0000146D0000}"/>
    <cellStyle name="Separador de milhares 3 2 6 3 8 2 2 4 2" xfId="43047" xr:uid="{00000000-0005-0000-0000-0000156D0000}"/>
    <cellStyle name="Separador de milhares 3 2 6 3 8 2 2 5" xfId="36661" xr:uid="{00000000-0005-0000-0000-0000166D0000}"/>
    <cellStyle name="Separador de milhares 3 2 6 3 8 2 3" xfId="25725" xr:uid="{00000000-0005-0000-0000-0000176D0000}"/>
    <cellStyle name="Separador de milhares 3 2 6 3 8 2 3 2" xfId="51909" xr:uid="{00000000-0005-0000-0000-0000186D0000}"/>
    <cellStyle name="Separador de milhares 3 2 6 3 8 2 4" xfId="19811" xr:uid="{00000000-0005-0000-0000-0000196D0000}"/>
    <cellStyle name="Separador de milhares 3 2 6 3 8 2 4 2" xfId="46001" xr:uid="{00000000-0005-0000-0000-00001A6D0000}"/>
    <cellStyle name="Separador de milhares 3 2 6 3 8 2 5" xfId="13713" xr:uid="{00000000-0005-0000-0000-00001B6D0000}"/>
    <cellStyle name="Separador de milhares 3 2 6 3 8 2 5 2" xfId="39906" xr:uid="{00000000-0005-0000-0000-00001C6D0000}"/>
    <cellStyle name="Separador de milhares 3 2 6 3 8 2 6" xfId="33520" xr:uid="{00000000-0005-0000-0000-00001D6D0000}"/>
    <cellStyle name="Separador de milhares 3 2 6 3 8 3" xfId="9000" xr:uid="{00000000-0005-0000-0000-00001E6D0000}"/>
    <cellStyle name="Separador de milhares 3 2 6 3 8 3 2" xfId="27214" xr:uid="{00000000-0005-0000-0000-00001F6D0000}"/>
    <cellStyle name="Separador de milhares 3 2 6 3 8 3 2 2" xfId="53395" xr:uid="{00000000-0005-0000-0000-0000206D0000}"/>
    <cellStyle name="Separador de milhares 3 2 6 3 8 3 3" xfId="21300" xr:uid="{00000000-0005-0000-0000-0000216D0000}"/>
    <cellStyle name="Separador de milhares 3 2 6 3 8 3 3 2" xfId="47487" xr:uid="{00000000-0005-0000-0000-0000226D0000}"/>
    <cellStyle name="Separador de milhares 3 2 6 3 8 3 4" xfId="15386" xr:uid="{00000000-0005-0000-0000-0000236D0000}"/>
    <cellStyle name="Separador de milhares 3 2 6 3 8 3 4 2" xfId="41579" xr:uid="{00000000-0005-0000-0000-0000246D0000}"/>
    <cellStyle name="Separador de milhares 3 2 6 3 8 3 5" xfId="35193" xr:uid="{00000000-0005-0000-0000-0000256D0000}"/>
    <cellStyle name="Separador de milhares 3 2 6 3 8 4" xfId="5625" xr:uid="{00000000-0005-0000-0000-0000266D0000}"/>
    <cellStyle name="Separador de milhares 3 2 6 3 8 4 2" xfId="24257" xr:uid="{00000000-0005-0000-0000-0000276D0000}"/>
    <cellStyle name="Separador de milhares 3 2 6 3 8 4 2 2" xfId="50441" xr:uid="{00000000-0005-0000-0000-0000286D0000}"/>
    <cellStyle name="Separador de milhares 3 2 6 3 8 4 3" xfId="31821" xr:uid="{00000000-0005-0000-0000-0000296D0000}"/>
    <cellStyle name="Separador de milhares 3 2 6 3 8 5" xfId="18343" xr:uid="{00000000-0005-0000-0000-00002A6D0000}"/>
    <cellStyle name="Separador de milhares 3 2 6 3 8 5 2" xfId="44533" xr:uid="{00000000-0005-0000-0000-00002B6D0000}"/>
    <cellStyle name="Separador de milhares 3 2 6 3 8 6" xfId="12012" xr:uid="{00000000-0005-0000-0000-00002C6D0000}"/>
    <cellStyle name="Separador de milhares 3 2 6 3 8 6 2" xfId="38205" xr:uid="{00000000-0005-0000-0000-00002D6D0000}"/>
    <cellStyle name="Separador de milhares 3 2 6 3 8 7" xfId="30123" xr:uid="{00000000-0005-0000-0000-00002E6D0000}"/>
    <cellStyle name="Separador de milhares 3 2 6 3 9" xfId="3745" xr:uid="{00000000-0005-0000-0000-00002F6D0000}"/>
    <cellStyle name="Separador de milhares 3 2 6 3 9 2" xfId="7471" xr:uid="{00000000-0005-0000-0000-0000306D0000}"/>
    <cellStyle name="Separador de milhares 3 2 6 3 9 2 2" xfId="10615" xr:uid="{00000000-0005-0000-0000-0000316D0000}"/>
    <cellStyle name="Separador de milhares 3 2 6 3 9 2 2 2" xfId="28829" xr:uid="{00000000-0005-0000-0000-0000326D0000}"/>
    <cellStyle name="Separador de milhares 3 2 6 3 9 2 2 2 2" xfId="55010" xr:uid="{00000000-0005-0000-0000-0000336D0000}"/>
    <cellStyle name="Separador de milhares 3 2 6 3 9 2 2 3" xfId="22915" xr:uid="{00000000-0005-0000-0000-0000346D0000}"/>
    <cellStyle name="Separador de milhares 3 2 6 3 9 2 2 3 2" xfId="49102" xr:uid="{00000000-0005-0000-0000-0000356D0000}"/>
    <cellStyle name="Separador de milhares 3 2 6 3 9 2 2 4" xfId="17001" xr:uid="{00000000-0005-0000-0000-0000366D0000}"/>
    <cellStyle name="Separador de milhares 3 2 6 3 9 2 2 4 2" xfId="43194" xr:uid="{00000000-0005-0000-0000-0000376D0000}"/>
    <cellStyle name="Separador de milhares 3 2 6 3 9 2 2 5" xfId="36808" xr:uid="{00000000-0005-0000-0000-0000386D0000}"/>
    <cellStyle name="Separador de milhares 3 2 6 3 9 2 3" xfId="25872" xr:uid="{00000000-0005-0000-0000-0000396D0000}"/>
    <cellStyle name="Separador de milhares 3 2 6 3 9 2 3 2" xfId="52056" xr:uid="{00000000-0005-0000-0000-00003A6D0000}"/>
    <cellStyle name="Separador de milhares 3 2 6 3 9 2 4" xfId="19958" xr:uid="{00000000-0005-0000-0000-00003B6D0000}"/>
    <cellStyle name="Separador de milhares 3 2 6 3 9 2 4 2" xfId="46148" xr:uid="{00000000-0005-0000-0000-00003C6D0000}"/>
    <cellStyle name="Separador de milhares 3 2 6 3 9 2 5" xfId="13860" xr:uid="{00000000-0005-0000-0000-00003D6D0000}"/>
    <cellStyle name="Separador de milhares 3 2 6 3 9 2 5 2" xfId="40053" xr:uid="{00000000-0005-0000-0000-00003E6D0000}"/>
    <cellStyle name="Separador de milhares 3 2 6 3 9 2 6" xfId="33667" xr:uid="{00000000-0005-0000-0000-00003F6D0000}"/>
    <cellStyle name="Separador de milhares 3 2 6 3 9 3" xfId="9147" xr:uid="{00000000-0005-0000-0000-0000406D0000}"/>
    <cellStyle name="Separador de milhares 3 2 6 3 9 3 2" xfId="27361" xr:uid="{00000000-0005-0000-0000-0000416D0000}"/>
    <cellStyle name="Separador de milhares 3 2 6 3 9 3 2 2" xfId="53542" xr:uid="{00000000-0005-0000-0000-0000426D0000}"/>
    <cellStyle name="Separador de milhares 3 2 6 3 9 3 3" xfId="21447" xr:uid="{00000000-0005-0000-0000-0000436D0000}"/>
    <cellStyle name="Separador de milhares 3 2 6 3 9 3 3 2" xfId="47634" xr:uid="{00000000-0005-0000-0000-0000446D0000}"/>
    <cellStyle name="Separador de milhares 3 2 6 3 9 3 4" xfId="15533" xr:uid="{00000000-0005-0000-0000-0000456D0000}"/>
    <cellStyle name="Separador de milhares 3 2 6 3 9 3 4 2" xfId="41726" xr:uid="{00000000-0005-0000-0000-0000466D0000}"/>
    <cellStyle name="Separador de milhares 3 2 6 3 9 3 5" xfId="35340" xr:uid="{00000000-0005-0000-0000-0000476D0000}"/>
    <cellStyle name="Separador de milhares 3 2 6 3 9 4" xfId="5772" xr:uid="{00000000-0005-0000-0000-0000486D0000}"/>
    <cellStyle name="Separador de milhares 3 2 6 3 9 4 2" xfId="24404" xr:uid="{00000000-0005-0000-0000-0000496D0000}"/>
    <cellStyle name="Separador de milhares 3 2 6 3 9 4 2 2" xfId="50588" xr:uid="{00000000-0005-0000-0000-00004A6D0000}"/>
    <cellStyle name="Separador de milhares 3 2 6 3 9 4 3" xfId="31968" xr:uid="{00000000-0005-0000-0000-00004B6D0000}"/>
    <cellStyle name="Separador de milhares 3 2 6 3 9 5" xfId="18490" xr:uid="{00000000-0005-0000-0000-00004C6D0000}"/>
    <cellStyle name="Separador de milhares 3 2 6 3 9 5 2" xfId="44680" xr:uid="{00000000-0005-0000-0000-00004D6D0000}"/>
    <cellStyle name="Separador de milhares 3 2 6 3 9 6" xfId="12159" xr:uid="{00000000-0005-0000-0000-00004E6D0000}"/>
    <cellStyle name="Separador de milhares 3 2 6 3 9 6 2" xfId="38352" xr:uid="{00000000-0005-0000-0000-00004F6D0000}"/>
    <cellStyle name="Separador de milhares 3 2 6 3 9 7" xfId="30270" xr:uid="{00000000-0005-0000-0000-0000506D0000}"/>
    <cellStyle name="Separador de milhares 3 2 6 4" xfId="381" xr:uid="{00000000-0005-0000-0000-0000516D0000}"/>
    <cellStyle name="Separador de milhares 3 2 6 4 10" xfId="6518" xr:uid="{00000000-0005-0000-0000-0000526D0000}"/>
    <cellStyle name="Separador de milhares 3 2 6 4 10 2" xfId="9666" xr:uid="{00000000-0005-0000-0000-0000536D0000}"/>
    <cellStyle name="Separador de milhares 3 2 6 4 10 2 2" xfId="27880" xr:uid="{00000000-0005-0000-0000-0000546D0000}"/>
    <cellStyle name="Separador de milhares 3 2 6 4 10 2 2 2" xfId="54061" xr:uid="{00000000-0005-0000-0000-0000556D0000}"/>
    <cellStyle name="Separador de milhares 3 2 6 4 10 2 3" xfId="21966" xr:uid="{00000000-0005-0000-0000-0000566D0000}"/>
    <cellStyle name="Separador de milhares 3 2 6 4 10 2 3 2" xfId="48153" xr:uid="{00000000-0005-0000-0000-0000576D0000}"/>
    <cellStyle name="Separador de milhares 3 2 6 4 10 2 4" xfId="16052" xr:uid="{00000000-0005-0000-0000-0000586D0000}"/>
    <cellStyle name="Separador de milhares 3 2 6 4 10 2 4 2" xfId="42245" xr:uid="{00000000-0005-0000-0000-0000596D0000}"/>
    <cellStyle name="Separador de milhares 3 2 6 4 10 2 5" xfId="35859" xr:uid="{00000000-0005-0000-0000-00005A6D0000}"/>
    <cellStyle name="Separador de milhares 3 2 6 4 10 3" xfId="24923" xr:uid="{00000000-0005-0000-0000-00005B6D0000}"/>
    <cellStyle name="Separador de milhares 3 2 6 4 10 3 2" xfId="51107" xr:uid="{00000000-0005-0000-0000-00005C6D0000}"/>
    <cellStyle name="Separador de milhares 3 2 6 4 10 4" xfId="19009" xr:uid="{00000000-0005-0000-0000-00005D6D0000}"/>
    <cellStyle name="Separador de milhares 3 2 6 4 10 4 2" xfId="45199" xr:uid="{00000000-0005-0000-0000-00005E6D0000}"/>
    <cellStyle name="Separador de milhares 3 2 6 4 10 5" xfId="12907" xr:uid="{00000000-0005-0000-0000-00005F6D0000}"/>
    <cellStyle name="Separador de milhares 3 2 6 4 10 5 2" xfId="39100" xr:uid="{00000000-0005-0000-0000-0000606D0000}"/>
    <cellStyle name="Separador de milhares 3 2 6 4 10 6" xfId="32714" xr:uid="{00000000-0005-0000-0000-0000616D0000}"/>
    <cellStyle name="Separador de milhares 3 2 6 4 11" xfId="8195" xr:uid="{00000000-0005-0000-0000-0000626D0000}"/>
    <cellStyle name="Separador de milhares 3 2 6 4 11 2" xfId="26409" xr:uid="{00000000-0005-0000-0000-0000636D0000}"/>
    <cellStyle name="Separador de milhares 3 2 6 4 11 2 2" xfId="52593" xr:uid="{00000000-0005-0000-0000-0000646D0000}"/>
    <cellStyle name="Separador de milhares 3 2 6 4 11 3" xfId="20495" xr:uid="{00000000-0005-0000-0000-0000656D0000}"/>
    <cellStyle name="Separador de milhares 3 2 6 4 11 3 2" xfId="46685" xr:uid="{00000000-0005-0000-0000-0000666D0000}"/>
    <cellStyle name="Separador de milhares 3 2 6 4 11 4" xfId="14584" xr:uid="{00000000-0005-0000-0000-0000676D0000}"/>
    <cellStyle name="Separador de milhares 3 2 6 4 11 4 2" xfId="40777" xr:uid="{00000000-0005-0000-0000-0000686D0000}"/>
    <cellStyle name="Separador de milhares 3 2 6 4 11 5" xfId="34391" xr:uid="{00000000-0005-0000-0000-0000696D0000}"/>
    <cellStyle name="Separador de milhares 3 2 6 4 12" xfId="4817" xr:uid="{00000000-0005-0000-0000-00006A6D0000}"/>
    <cellStyle name="Separador de milhares 3 2 6 4 12 2" xfId="23452" xr:uid="{00000000-0005-0000-0000-00006B6D0000}"/>
    <cellStyle name="Separador de milhares 3 2 6 4 12 2 2" xfId="49639" xr:uid="{00000000-0005-0000-0000-00006C6D0000}"/>
    <cellStyle name="Separador de milhares 3 2 6 4 12 3" xfId="31015" xr:uid="{00000000-0005-0000-0000-00006D6D0000}"/>
    <cellStyle name="Separador de milhares 3 2 6 4 13" xfId="17538" xr:uid="{00000000-0005-0000-0000-00006E6D0000}"/>
    <cellStyle name="Separador de milhares 3 2 6 4 13 2" xfId="43731" xr:uid="{00000000-0005-0000-0000-00006F6D0000}"/>
    <cellStyle name="Separador de milhares 3 2 6 4 14" xfId="11206" xr:uid="{00000000-0005-0000-0000-0000706D0000}"/>
    <cellStyle name="Separador de milhares 3 2 6 4 14 2" xfId="37399" xr:uid="{00000000-0005-0000-0000-0000716D0000}"/>
    <cellStyle name="Separador de milhares 3 2 6 4 15" xfId="29317" xr:uid="{00000000-0005-0000-0000-0000726D0000}"/>
    <cellStyle name="Separador de milhares 3 2 6 4 2" xfId="1026" xr:uid="{00000000-0005-0000-0000-0000736D0000}"/>
    <cellStyle name="Separador de milhares 3 2 6 4 2 2" xfId="6715" xr:uid="{00000000-0005-0000-0000-0000746D0000}"/>
    <cellStyle name="Separador de milhares 3 2 6 4 2 2 2" xfId="9862" xr:uid="{00000000-0005-0000-0000-0000756D0000}"/>
    <cellStyle name="Separador de milhares 3 2 6 4 2 2 2 2" xfId="28076" xr:uid="{00000000-0005-0000-0000-0000766D0000}"/>
    <cellStyle name="Separador de milhares 3 2 6 4 2 2 2 2 2" xfId="54257" xr:uid="{00000000-0005-0000-0000-0000776D0000}"/>
    <cellStyle name="Separador de milhares 3 2 6 4 2 2 2 3" xfId="22162" xr:uid="{00000000-0005-0000-0000-0000786D0000}"/>
    <cellStyle name="Separador de milhares 3 2 6 4 2 2 2 3 2" xfId="48349" xr:uid="{00000000-0005-0000-0000-0000796D0000}"/>
    <cellStyle name="Separador de milhares 3 2 6 4 2 2 2 4" xfId="16248" xr:uid="{00000000-0005-0000-0000-00007A6D0000}"/>
    <cellStyle name="Separador de milhares 3 2 6 4 2 2 2 4 2" xfId="42441" xr:uid="{00000000-0005-0000-0000-00007B6D0000}"/>
    <cellStyle name="Separador de milhares 3 2 6 4 2 2 2 5" xfId="36055" xr:uid="{00000000-0005-0000-0000-00007C6D0000}"/>
    <cellStyle name="Separador de milhares 3 2 6 4 2 2 3" xfId="25119" xr:uid="{00000000-0005-0000-0000-00007D6D0000}"/>
    <cellStyle name="Separador de milhares 3 2 6 4 2 2 3 2" xfId="51303" xr:uid="{00000000-0005-0000-0000-00007E6D0000}"/>
    <cellStyle name="Separador de milhares 3 2 6 4 2 2 4" xfId="19205" xr:uid="{00000000-0005-0000-0000-00007F6D0000}"/>
    <cellStyle name="Separador de milhares 3 2 6 4 2 2 4 2" xfId="45395" xr:uid="{00000000-0005-0000-0000-0000806D0000}"/>
    <cellStyle name="Separador de milhares 3 2 6 4 2 2 5" xfId="13104" xr:uid="{00000000-0005-0000-0000-0000816D0000}"/>
    <cellStyle name="Separador de milhares 3 2 6 4 2 2 5 2" xfId="39297" xr:uid="{00000000-0005-0000-0000-0000826D0000}"/>
    <cellStyle name="Separador de milhares 3 2 6 4 2 2 6" xfId="32911" xr:uid="{00000000-0005-0000-0000-0000836D0000}"/>
    <cellStyle name="Separador de milhares 3 2 6 4 2 3" xfId="8394" xr:uid="{00000000-0005-0000-0000-0000846D0000}"/>
    <cellStyle name="Separador de milhares 3 2 6 4 2 3 2" xfId="26608" xr:uid="{00000000-0005-0000-0000-0000856D0000}"/>
    <cellStyle name="Separador de milhares 3 2 6 4 2 3 2 2" xfId="52789" xr:uid="{00000000-0005-0000-0000-0000866D0000}"/>
    <cellStyle name="Separador de milhares 3 2 6 4 2 3 3" xfId="20694" xr:uid="{00000000-0005-0000-0000-0000876D0000}"/>
    <cellStyle name="Separador de milhares 3 2 6 4 2 3 3 2" xfId="46881" xr:uid="{00000000-0005-0000-0000-0000886D0000}"/>
    <cellStyle name="Separador de milhares 3 2 6 4 2 3 4" xfId="14780" xr:uid="{00000000-0005-0000-0000-0000896D0000}"/>
    <cellStyle name="Separador de milhares 3 2 6 4 2 3 4 2" xfId="40973" xr:uid="{00000000-0005-0000-0000-00008A6D0000}"/>
    <cellStyle name="Separador de milhares 3 2 6 4 2 3 5" xfId="34587" xr:uid="{00000000-0005-0000-0000-00008B6D0000}"/>
    <cellStyle name="Separador de milhares 3 2 6 4 2 4" xfId="5016" xr:uid="{00000000-0005-0000-0000-00008C6D0000}"/>
    <cellStyle name="Separador de milhares 3 2 6 4 2 4 2" xfId="23651" xr:uid="{00000000-0005-0000-0000-00008D6D0000}"/>
    <cellStyle name="Separador de milhares 3 2 6 4 2 4 2 2" xfId="49835" xr:uid="{00000000-0005-0000-0000-00008E6D0000}"/>
    <cellStyle name="Separador de milhares 3 2 6 4 2 4 3" xfId="31212" xr:uid="{00000000-0005-0000-0000-00008F6D0000}"/>
    <cellStyle name="Separador de milhares 3 2 6 4 2 5" xfId="17737" xr:uid="{00000000-0005-0000-0000-0000906D0000}"/>
    <cellStyle name="Separador de milhares 3 2 6 4 2 5 2" xfId="43927" xr:uid="{00000000-0005-0000-0000-0000916D0000}"/>
    <cellStyle name="Separador de milhares 3 2 6 4 2 6" xfId="11403" xr:uid="{00000000-0005-0000-0000-0000926D0000}"/>
    <cellStyle name="Separador de milhares 3 2 6 4 2 6 2" xfId="37596" xr:uid="{00000000-0005-0000-0000-0000936D0000}"/>
    <cellStyle name="Separador de milhares 3 2 6 4 2 7" xfId="29514" xr:uid="{00000000-0005-0000-0000-0000946D0000}"/>
    <cellStyle name="Separador de milhares 3 2 6 4 3" xfId="1377" xr:uid="{00000000-0005-0000-0000-0000956D0000}"/>
    <cellStyle name="Separador de milhares 3 2 6 4 3 2" xfId="6813" xr:uid="{00000000-0005-0000-0000-0000966D0000}"/>
    <cellStyle name="Separador de milhares 3 2 6 4 3 2 2" xfId="9960" xr:uid="{00000000-0005-0000-0000-0000976D0000}"/>
    <cellStyle name="Separador de milhares 3 2 6 4 3 2 2 2" xfId="28174" xr:uid="{00000000-0005-0000-0000-0000986D0000}"/>
    <cellStyle name="Separador de milhares 3 2 6 4 3 2 2 2 2" xfId="54355" xr:uid="{00000000-0005-0000-0000-0000996D0000}"/>
    <cellStyle name="Separador de milhares 3 2 6 4 3 2 2 3" xfId="22260" xr:uid="{00000000-0005-0000-0000-00009A6D0000}"/>
    <cellStyle name="Separador de milhares 3 2 6 4 3 2 2 3 2" xfId="48447" xr:uid="{00000000-0005-0000-0000-00009B6D0000}"/>
    <cellStyle name="Separador de milhares 3 2 6 4 3 2 2 4" xfId="16346" xr:uid="{00000000-0005-0000-0000-00009C6D0000}"/>
    <cellStyle name="Separador de milhares 3 2 6 4 3 2 2 4 2" xfId="42539" xr:uid="{00000000-0005-0000-0000-00009D6D0000}"/>
    <cellStyle name="Separador de milhares 3 2 6 4 3 2 2 5" xfId="36153" xr:uid="{00000000-0005-0000-0000-00009E6D0000}"/>
    <cellStyle name="Separador de milhares 3 2 6 4 3 2 3" xfId="25217" xr:uid="{00000000-0005-0000-0000-00009F6D0000}"/>
    <cellStyle name="Separador de milhares 3 2 6 4 3 2 3 2" xfId="51401" xr:uid="{00000000-0005-0000-0000-0000A06D0000}"/>
    <cellStyle name="Separador de milhares 3 2 6 4 3 2 4" xfId="19303" xr:uid="{00000000-0005-0000-0000-0000A16D0000}"/>
    <cellStyle name="Separador de milhares 3 2 6 4 3 2 4 2" xfId="45493" xr:uid="{00000000-0005-0000-0000-0000A26D0000}"/>
    <cellStyle name="Separador de milhares 3 2 6 4 3 2 5" xfId="13202" xr:uid="{00000000-0005-0000-0000-0000A36D0000}"/>
    <cellStyle name="Separador de milhares 3 2 6 4 3 2 5 2" xfId="39395" xr:uid="{00000000-0005-0000-0000-0000A46D0000}"/>
    <cellStyle name="Separador de milhares 3 2 6 4 3 2 6" xfId="33009" xr:uid="{00000000-0005-0000-0000-0000A56D0000}"/>
    <cellStyle name="Separador de milhares 3 2 6 4 3 3" xfId="8492" xr:uid="{00000000-0005-0000-0000-0000A66D0000}"/>
    <cellStyle name="Separador de milhares 3 2 6 4 3 3 2" xfId="26706" xr:uid="{00000000-0005-0000-0000-0000A76D0000}"/>
    <cellStyle name="Separador de milhares 3 2 6 4 3 3 2 2" xfId="52887" xr:uid="{00000000-0005-0000-0000-0000A86D0000}"/>
    <cellStyle name="Separador de milhares 3 2 6 4 3 3 3" xfId="20792" xr:uid="{00000000-0005-0000-0000-0000A96D0000}"/>
    <cellStyle name="Separador de milhares 3 2 6 4 3 3 3 2" xfId="46979" xr:uid="{00000000-0005-0000-0000-0000AA6D0000}"/>
    <cellStyle name="Separador de milhares 3 2 6 4 3 3 4" xfId="14878" xr:uid="{00000000-0005-0000-0000-0000AB6D0000}"/>
    <cellStyle name="Separador de milhares 3 2 6 4 3 3 4 2" xfId="41071" xr:uid="{00000000-0005-0000-0000-0000AC6D0000}"/>
    <cellStyle name="Separador de milhares 3 2 6 4 3 3 5" xfId="34685" xr:uid="{00000000-0005-0000-0000-0000AD6D0000}"/>
    <cellStyle name="Separador de milhares 3 2 6 4 3 4" xfId="5114" xr:uid="{00000000-0005-0000-0000-0000AE6D0000}"/>
    <cellStyle name="Separador de milhares 3 2 6 4 3 4 2" xfId="23749" xr:uid="{00000000-0005-0000-0000-0000AF6D0000}"/>
    <cellStyle name="Separador de milhares 3 2 6 4 3 4 2 2" xfId="49933" xr:uid="{00000000-0005-0000-0000-0000B06D0000}"/>
    <cellStyle name="Separador de milhares 3 2 6 4 3 4 3" xfId="31310" xr:uid="{00000000-0005-0000-0000-0000B16D0000}"/>
    <cellStyle name="Separador de milhares 3 2 6 4 3 5" xfId="17835" xr:uid="{00000000-0005-0000-0000-0000B26D0000}"/>
    <cellStyle name="Separador de milhares 3 2 6 4 3 5 2" xfId="44025" xr:uid="{00000000-0005-0000-0000-0000B36D0000}"/>
    <cellStyle name="Separador de milhares 3 2 6 4 3 6" xfId="11501" xr:uid="{00000000-0005-0000-0000-0000B46D0000}"/>
    <cellStyle name="Separador de milhares 3 2 6 4 3 6 2" xfId="37694" xr:uid="{00000000-0005-0000-0000-0000B56D0000}"/>
    <cellStyle name="Separador de milhares 3 2 6 4 3 7" xfId="29612" xr:uid="{00000000-0005-0000-0000-0000B66D0000}"/>
    <cellStyle name="Separador de milhares 3 2 6 4 4" xfId="1812" xr:uid="{00000000-0005-0000-0000-0000B76D0000}"/>
    <cellStyle name="Separador de milhares 3 2 6 4 4 2" xfId="6932" xr:uid="{00000000-0005-0000-0000-0000B86D0000}"/>
    <cellStyle name="Separador de milhares 3 2 6 4 4 2 2" xfId="10079" xr:uid="{00000000-0005-0000-0000-0000B96D0000}"/>
    <cellStyle name="Separador de milhares 3 2 6 4 4 2 2 2" xfId="28293" xr:uid="{00000000-0005-0000-0000-0000BA6D0000}"/>
    <cellStyle name="Separador de milhares 3 2 6 4 4 2 2 2 2" xfId="54474" xr:uid="{00000000-0005-0000-0000-0000BB6D0000}"/>
    <cellStyle name="Separador de milhares 3 2 6 4 4 2 2 3" xfId="22379" xr:uid="{00000000-0005-0000-0000-0000BC6D0000}"/>
    <cellStyle name="Separador de milhares 3 2 6 4 4 2 2 3 2" xfId="48566" xr:uid="{00000000-0005-0000-0000-0000BD6D0000}"/>
    <cellStyle name="Separador de milhares 3 2 6 4 4 2 2 4" xfId="16465" xr:uid="{00000000-0005-0000-0000-0000BE6D0000}"/>
    <cellStyle name="Separador de milhares 3 2 6 4 4 2 2 4 2" xfId="42658" xr:uid="{00000000-0005-0000-0000-0000BF6D0000}"/>
    <cellStyle name="Separador de milhares 3 2 6 4 4 2 2 5" xfId="36272" xr:uid="{00000000-0005-0000-0000-0000C06D0000}"/>
    <cellStyle name="Separador de milhares 3 2 6 4 4 2 3" xfId="25336" xr:uid="{00000000-0005-0000-0000-0000C16D0000}"/>
    <cellStyle name="Separador de milhares 3 2 6 4 4 2 3 2" xfId="51520" xr:uid="{00000000-0005-0000-0000-0000C26D0000}"/>
    <cellStyle name="Separador de milhares 3 2 6 4 4 2 4" xfId="19422" xr:uid="{00000000-0005-0000-0000-0000C36D0000}"/>
    <cellStyle name="Separador de milhares 3 2 6 4 4 2 4 2" xfId="45612" xr:uid="{00000000-0005-0000-0000-0000C46D0000}"/>
    <cellStyle name="Separador de milhares 3 2 6 4 4 2 5" xfId="13321" xr:uid="{00000000-0005-0000-0000-0000C56D0000}"/>
    <cellStyle name="Separador de milhares 3 2 6 4 4 2 5 2" xfId="39514" xr:uid="{00000000-0005-0000-0000-0000C66D0000}"/>
    <cellStyle name="Separador de milhares 3 2 6 4 4 2 6" xfId="33128" xr:uid="{00000000-0005-0000-0000-0000C76D0000}"/>
    <cellStyle name="Separador de milhares 3 2 6 4 4 3" xfId="8611" xr:uid="{00000000-0005-0000-0000-0000C86D0000}"/>
    <cellStyle name="Separador de milhares 3 2 6 4 4 3 2" xfId="26825" xr:uid="{00000000-0005-0000-0000-0000C96D0000}"/>
    <cellStyle name="Separador de milhares 3 2 6 4 4 3 2 2" xfId="53006" xr:uid="{00000000-0005-0000-0000-0000CA6D0000}"/>
    <cellStyle name="Separador de milhares 3 2 6 4 4 3 3" xfId="20911" xr:uid="{00000000-0005-0000-0000-0000CB6D0000}"/>
    <cellStyle name="Separador de milhares 3 2 6 4 4 3 3 2" xfId="47098" xr:uid="{00000000-0005-0000-0000-0000CC6D0000}"/>
    <cellStyle name="Separador de milhares 3 2 6 4 4 3 4" xfId="14997" xr:uid="{00000000-0005-0000-0000-0000CD6D0000}"/>
    <cellStyle name="Separador de milhares 3 2 6 4 4 3 4 2" xfId="41190" xr:uid="{00000000-0005-0000-0000-0000CE6D0000}"/>
    <cellStyle name="Separador de milhares 3 2 6 4 4 3 5" xfId="34804" xr:uid="{00000000-0005-0000-0000-0000CF6D0000}"/>
    <cellStyle name="Separador de milhares 3 2 6 4 4 4" xfId="5233" xr:uid="{00000000-0005-0000-0000-0000D06D0000}"/>
    <cellStyle name="Separador de milhares 3 2 6 4 4 4 2" xfId="23868" xr:uid="{00000000-0005-0000-0000-0000D16D0000}"/>
    <cellStyle name="Separador de milhares 3 2 6 4 4 4 2 2" xfId="50052" xr:uid="{00000000-0005-0000-0000-0000D26D0000}"/>
    <cellStyle name="Separador de milhares 3 2 6 4 4 4 3" xfId="31429" xr:uid="{00000000-0005-0000-0000-0000D36D0000}"/>
    <cellStyle name="Separador de milhares 3 2 6 4 4 5" xfId="17954" xr:uid="{00000000-0005-0000-0000-0000D46D0000}"/>
    <cellStyle name="Separador de milhares 3 2 6 4 4 5 2" xfId="44144" xr:uid="{00000000-0005-0000-0000-0000D56D0000}"/>
    <cellStyle name="Separador de milhares 3 2 6 4 4 6" xfId="11620" xr:uid="{00000000-0005-0000-0000-0000D66D0000}"/>
    <cellStyle name="Separador de milhares 3 2 6 4 4 6 2" xfId="37813" xr:uid="{00000000-0005-0000-0000-0000D76D0000}"/>
    <cellStyle name="Separador de milhares 3 2 6 4 4 7" xfId="29731" xr:uid="{00000000-0005-0000-0000-0000D86D0000}"/>
    <cellStyle name="Separador de milhares 3 2 6 4 5" xfId="2342" xr:uid="{00000000-0005-0000-0000-0000D96D0000}"/>
    <cellStyle name="Separador de milhares 3 2 6 4 5 2" xfId="7082" xr:uid="{00000000-0005-0000-0000-0000DA6D0000}"/>
    <cellStyle name="Separador de milhares 3 2 6 4 5 2 2" xfId="10226" xr:uid="{00000000-0005-0000-0000-0000DB6D0000}"/>
    <cellStyle name="Separador de milhares 3 2 6 4 5 2 2 2" xfId="28440" xr:uid="{00000000-0005-0000-0000-0000DC6D0000}"/>
    <cellStyle name="Separador de milhares 3 2 6 4 5 2 2 2 2" xfId="54621" xr:uid="{00000000-0005-0000-0000-0000DD6D0000}"/>
    <cellStyle name="Separador de milhares 3 2 6 4 5 2 2 3" xfId="22526" xr:uid="{00000000-0005-0000-0000-0000DE6D0000}"/>
    <cellStyle name="Separador de milhares 3 2 6 4 5 2 2 3 2" xfId="48713" xr:uid="{00000000-0005-0000-0000-0000DF6D0000}"/>
    <cellStyle name="Separador de milhares 3 2 6 4 5 2 2 4" xfId="16612" xr:uid="{00000000-0005-0000-0000-0000E06D0000}"/>
    <cellStyle name="Separador de milhares 3 2 6 4 5 2 2 4 2" xfId="42805" xr:uid="{00000000-0005-0000-0000-0000E16D0000}"/>
    <cellStyle name="Separador de milhares 3 2 6 4 5 2 2 5" xfId="36419" xr:uid="{00000000-0005-0000-0000-0000E26D0000}"/>
    <cellStyle name="Separador de milhares 3 2 6 4 5 2 3" xfId="25483" xr:uid="{00000000-0005-0000-0000-0000E36D0000}"/>
    <cellStyle name="Separador de milhares 3 2 6 4 5 2 3 2" xfId="51667" xr:uid="{00000000-0005-0000-0000-0000E46D0000}"/>
    <cellStyle name="Separador de milhares 3 2 6 4 5 2 4" xfId="19569" xr:uid="{00000000-0005-0000-0000-0000E56D0000}"/>
    <cellStyle name="Separador de milhares 3 2 6 4 5 2 4 2" xfId="45759" xr:uid="{00000000-0005-0000-0000-0000E66D0000}"/>
    <cellStyle name="Separador de milhares 3 2 6 4 5 2 5" xfId="13471" xr:uid="{00000000-0005-0000-0000-0000E76D0000}"/>
    <cellStyle name="Separador de milhares 3 2 6 4 5 2 5 2" xfId="39664" xr:uid="{00000000-0005-0000-0000-0000E86D0000}"/>
    <cellStyle name="Separador de milhares 3 2 6 4 5 2 6" xfId="33278" xr:uid="{00000000-0005-0000-0000-0000E96D0000}"/>
    <cellStyle name="Separador de milhares 3 2 6 4 5 3" xfId="8758" xr:uid="{00000000-0005-0000-0000-0000EA6D0000}"/>
    <cellStyle name="Separador de milhares 3 2 6 4 5 3 2" xfId="26972" xr:uid="{00000000-0005-0000-0000-0000EB6D0000}"/>
    <cellStyle name="Separador de milhares 3 2 6 4 5 3 2 2" xfId="53153" xr:uid="{00000000-0005-0000-0000-0000EC6D0000}"/>
    <cellStyle name="Separador de milhares 3 2 6 4 5 3 3" xfId="21058" xr:uid="{00000000-0005-0000-0000-0000ED6D0000}"/>
    <cellStyle name="Separador de milhares 3 2 6 4 5 3 3 2" xfId="47245" xr:uid="{00000000-0005-0000-0000-0000EE6D0000}"/>
    <cellStyle name="Separador de milhares 3 2 6 4 5 3 4" xfId="15144" xr:uid="{00000000-0005-0000-0000-0000EF6D0000}"/>
    <cellStyle name="Separador de milhares 3 2 6 4 5 3 4 2" xfId="41337" xr:uid="{00000000-0005-0000-0000-0000F06D0000}"/>
    <cellStyle name="Separador de milhares 3 2 6 4 5 3 5" xfId="34951" xr:uid="{00000000-0005-0000-0000-0000F16D0000}"/>
    <cellStyle name="Separador de milhares 3 2 6 4 5 4" xfId="5383" xr:uid="{00000000-0005-0000-0000-0000F26D0000}"/>
    <cellStyle name="Separador de milhares 3 2 6 4 5 4 2" xfId="24015" xr:uid="{00000000-0005-0000-0000-0000F36D0000}"/>
    <cellStyle name="Separador de milhares 3 2 6 4 5 4 2 2" xfId="50199" xr:uid="{00000000-0005-0000-0000-0000F46D0000}"/>
    <cellStyle name="Separador de milhares 3 2 6 4 5 4 3" xfId="31579" xr:uid="{00000000-0005-0000-0000-0000F56D0000}"/>
    <cellStyle name="Separador de milhares 3 2 6 4 5 5" xfId="18101" xr:uid="{00000000-0005-0000-0000-0000F66D0000}"/>
    <cellStyle name="Separador de milhares 3 2 6 4 5 5 2" xfId="44291" xr:uid="{00000000-0005-0000-0000-0000F76D0000}"/>
    <cellStyle name="Separador de milhares 3 2 6 4 5 6" xfId="11770" xr:uid="{00000000-0005-0000-0000-0000F86D0000}"/>
    <cellStyle name="Separador de milhares 3 2 6 4 5 6 2" xfId="37963" xr:uid="{00000000-0005-0000-0000-0000F96D0000}"/>
    <cellStyle name="Separador de milhares 3 2 6 4 5 7" xfId="29881" xr:uid="{00000000-0005-0000-0000-0000FA6D0000}"/>
    <cellStyle name="Separador de milhares 3 2 6 4 6" xfId="2869" xr:uid="{00000000-0005-0000-0000-0000FB6D0000}"/>
    <cellStyle name="Separador de milhares 3 2 6 4 6 2" xfId="7229" xr:uid="{00000000-0005-0000-0000-0000FC6D0000}"/>
    <cellStyle name="Separador de milhares 3 2 6 4 6 2 2" xfId="10373" xr:uid="{00000000-0005-0000-0000-0000FD6D0000}"/>
    <cellStyle name="Separador de milhares 3 2 6 4 6 2 2 2" xfId="28587" xr:uid="{00000000-0005-0000-0000-0000FE6D0000}"/>
    <cellStyle name="Separador de milhares 3 2 6 4 6 2 2 2 2" xfId="54768" xr:uid="{00000000-0005-0000-0000-0000FF6D0000}"/>
    <cellStyle name="Separador de milhares 3 2 6 4 6 2 2 3" xfId="22673" xr:uid="{00000000-0005-0000-0000-0000006E0000}"/>
    <cellStyle name="Separador de milhares 3 2 6 4 6 2 2 3 2" xfId="48860" xr:uid="{00000000-0005-0000-0000-0000016E0000}"/>
    <cellStyle name="Separador de milhares 3 2 6 4 6 2 2 4" xfId="16759" xr:uid="{00000000-0005-0000-0000-0000026E0000}"/>
    <cellStyle name="Separador de milhares 3 2 6 4 6 2 2 4 2" xfId="42952" xr:uid="{00000000-0005-0000-0000-0000036E0000}"/>
    <cellStyle name="Separador de milhares 3 2 6 4 6 2 2 5" xfId="36566" xr:uid="{00000000-0005-0000-0000-0000046E0000}"/>
    <cellStyle name="Separador de milhares 3 2 6 4 6 2 3" xfId="25630" xr:uid="{00000000-0005-0000-0000-0000056E0000}"/>
    <cellStyle name="Separador de milhares 3 2 6 4 6 2 3 2" xfId="51814" xr:uid="{00000000-0005-0000-0000-0000066E0000}"/>
    <cellStyle name="Separador de milhares 3 2 6 4 6 2 4" xfId="19716" xr:uid="{00000000-0005-0000-0000-0000076E0000}"/>
    <cellStyle name="Separador de milhares 3 2 6 4 6 2 4 2" xfId="45906" xr:uid="{00000000-0005-0000-0000-0000086E0000}"/>
    <cellStyle name="Separador de milhares 3 2 6 4 6 2 5" xfId="13618" xr:uid="{00000000-0005-0000-0000-0000096E0000}"/>
    <cellStyle name="Separador de milhares 3 2 6 4 6 2 5 2" xfId="39811" xr:uid="{00000000-0005-0000-0000-00000A6E0000}"/>
    <cellStyle name="Separador de milhares 3 2 6 4 6 2 6" xfId="33425" xr:uid="{00000000-0005-0000-0000-00000B6E0000}"/>
    <cellStyle name="Separador de milhares 3 2 6 4 6 3" xfId="8905" xr:uid="{00000000-0005-0000-0000-00000C6E0000}"/>
    <cellStyle name="Separador de milhares 3 2 6 4 6 3 2" xfId="27119" xr:uid="{00000000-0005-0000-0000-00000D6E0000}"/>
    <cellStyle name="Separador de milhares 3 2 6 4 6 3 2 2" xfId="53300" xr:uid="{00000000-0005-0000-0000-00000E6E0000}"/>
    <cellStyle name="Separador de milhares 3 2 6 4 6 3 3" xfId="21205" xr:uid="{00000000-0005-0000-0000-00000F6E0000}"/>
    <cellStyle name="Separador de milhares 3 2 6 4 6 3 3 2" xfId="47392" xr:uid="{00000000-0005-0000-0000-0000106E0000}"/>
    <cellStyle name="Separador de milhares 3 2 6 4 6 3 4" xfId="15291" xr:uid="{00000000-0005-0000-0000-0000116E0000}"/>
    <cellStyle name="Separador de milhares 3 2 6 4 6 3 4 2" xfId="41484" xr:uid="{00000000-0005-0000-0000-0000126E0000}"/>
    <cellStyle name="Separador de milhares 3 2 6 4 6 3 5" xfId="35098" xr:uid="{00000000-0005-0000-0000-0000136E0000}"/>
    <cellStyle name="Separador de milhares 3 2 6 4 6 4" xfId="5530" xr:uid="{00000000-0005-0000-0000-0000146E0000}"/>
    <cellStyle name="Separador de milhares 3 2 6 4 6 4 2" xfId="24162" xr:uid="{00000000-0005-0000-0000-0000156E0000}"/>
    <cellStyle name="Separador de milhares 3 2 6 4 6 4 2 2" xfId="50346" xr:uid="{00000000-0005-0000-0000-0000166E0000}"/>
    <cellStyle name="Separador de milhares 3 2 6 4 6 4 3" xfId="31726" xr:uid="{00000000-0005-0000-0000-0000176E0000}"/>
    <cellStyle name="Separador de milhares 3 2 6 4 6 5" xfId="18248" xr:uid="{00000000-0005-0000-0000-0000186E0000}"/>
    <cellStyle name="Separador de milhares 3 2 6 4 6 5 2" xfId="44438" xr:uid="{00000000-0005-0000-0000-0000196E0000}"/>
    <cellStyle name="Separador de milhares 3 2 6 4 6 6" xfId="11917" xr:uid="{00000000-0005-0000-0000-00001A6E0000}"/>
    <cellStyle name="Separador de milhares 3 2 6 4 6 6 2" xfId="38110" xr:uid="{00000000-0005-0000-0000-00001B6E0000}"/>
    <cellStyle name="Separador de milhares 3 2 6 4 6 7" xfId="30028" xr:uid="{00000000-0005-0000-0000-00001C6E0000}"/>
    <cellStyle name="Separador de milhares 3 2 6 4 7" xfId="3396" xr:uid="{00000000-0005-0000-0000-00001D6E0000}"/>
    <cellStyle name="Separador de milhares 3 2 6 4 7 2" xfId="7376" xr:uid="{00000000-0005-0000-0000-00001E6E0000}"/>
    <cellStyle name="Separador de milhares 3 2 6 4 7 2 2" xfId="10520" xr:uid="{00000000-0005-0000-0000-00001F6E0000}"/>
    <cellStyle name="Separador de milhares 3 2 6 4 7 2 2 2" xfId="28734" xr:uid="{00000000-0005-0000-0000-0000206E0000}"/>
    <cellStyle name="Separador de milhares 3 2 6 4 7 2 2 2 2" xfId="54915" xr:uid="{00000000-0005-0000-0000-0000216E0000}"/>
    <cellStyle name="Separador de milhares 3 2 6 4 7 2 2 3" xfId="22820" xr:uid="{00000000-0005-0000-0000-0000226E0000}"/>
    <cellStyle name="Separador de milhares 3 2 6 4 7 2 2 3 2" xfId="49007" xr:uid="{00000000-0005-0000-0000-0000236E0000}"/>
    <cellStyle name="Separador de milhares 3 2 6 4 7 2 2 4" xfId="16906" xr:uid="{00000000-0005-0000-0000-0000246E0000}"/>
    <cellStyle name="Separador de milhares 3 2 6 4 7 2 2 4 2" xfId="43099" xr:uid="{00000000-0005-0000-0000-0000256E0000}"/>
    <cellStyle name="Separador de milhares 3 2 6 4 7 2 2 5" xfId="36713" xr:uid="{00000000-0005-0000-0000-0000266E0000}"/>
    <cellStyle name="Separador de milhares 3 2 6 4 7 2 3" xfId="25777" xr:uid="{00000000-0005-0000-0000-0000276E0000}"/>
    <cellStyle name="Separador de milhares 3 2 6 4 7 2 3 2" xfId="51961" xr:uid="{00000000-0005-0000-0000-0000286E0000}"/>
    <cellStyle name="Separador de milhares 3 2 6 4 7 2 4" xfId="19863" xr:uid="{00000000-0005-0000-0000-0000296E0000}"/>
    <cellStyle name="Separador de milhares 3 2 6 4 7 2 4 2" xfId="46053" xr:uid="{00000000-0005-0000-0000-00002A6E0000}"/>
    <cellStyle name="Separador de milhares 3 2 6 4 7 2 5" xfId="13765" xr:uid="{00000000-0005-0000-0000-00002B6E0000}"/>
    <cellStyle name="Separador de milhares 3 2 6 4 7 2 5 2" xfId="39958" xr:uid="{00000000-0005-0000-0000-00002C6E0000}"/>
    <cellStyle name="Separador de milhares 3 2 6 4 7 2 6" xfId="33572" xr:uid="{00000000-0005-0000-0000-00002D6E0000}"/>
    <cellStyle name="Separador de milhares 3 2 6 4 7 3" xfId="9052" xr:uid="{00000000-0005-0000-0000-00002E6E0000}"/>
    <cellStyle name="Separador de milhares 3 2 6 4 7 3 2" xfId="27266" xr:uid="{00000000-0005-0000-0000-00002F6E0000}"/>
    <cellStyle name="Separador de milhares 3 2 6 4 7 3 2 2" xfId="53447" xr:uid="{00000000-0005-0000-0000-0000306E0000}"/>
    <cellStyle name="Separador de milhares 3 2 6 4 7 3 3" xfId="21352" xr:uid="{00000000-0005-0000-0000-0000316E0000}"/>
    <cellStyle name="Separador de milhares 3 2 6 4 7 3 3 2" xfId="47539" xr:uid="{00000000-0005-0000-0000-0000326E0000}"/>
    <cellStyle name="Separador de milhares 3 2 6 4 7 3 4" xfId="15438" xr:uid="{00000000-0005-0000-0000-0000336E0000}"/>
    <cellStyle name="Separador de milhares 3 2 6 4 7 3 4 2" xfId="41631" xr:uid="{00000000-0005-0000-0000-0000346E0000}"/>
    <cellStyle name="Separador de milhares 3 2 6 4 7 3 5" xfId="35245" xr:uid="{00000000-0005-0000-0000-0000356E0000}"/>
    <cellStyle name="Separador de milhares 3 2 6 4 7 4" xfId="5677" xr:uid="{00000000-0005-0000-0000-0000366E0000}"/>
    <cellStyle name="Separador de milhares 3 2 6 4 7 4 2" xfId="24309" xr:uid="{00000000-0005-0000-0000-0000376E0000}"/>
    <cellStyle name="Separador de milhares 3 2 6 4 7 4 2 2" xfId="50493" xr:uid="{00000000-0005-0000-0000-0000386E0000}"/>
    <cellStyle name="Separador de milhares 3 2 6 4 7 4 3" xfId="31873" xr:uid="{00000000-0005-0000-0000-0000396E0000}"/>
    <cellStyle name="Separador de milhares 3 2 6 4 7 5" xfId="18395" xr:uid="{00000000-0005-0000-0000-00003A6E0000}"/>
    <cellStyle name="Separador de milhares 3 2 6 4 7 5 2" xfId="44585" xr:uid="{00000000-0005-0000-0000-00003B6E0000}"/>
    <cellStyle name="Separador de milhares 3 2 6 4 7 6" xfId="12064" xr:uid="{00000000-0005-0000-0000-00003C6E0000}"/>
    <cellStyle name="Separador de milhares 3 2 6 4 7 6 2" xfId="38257" xr:uid="{00000000-0005-0000-0000-00003D6E0000}"/>
    <cellStyle name="Separador de milhares 3 2 6 4 7 7" xfId="30175" xr:uid="{00000000-0005-0000-0000-00003E6E0000}"/>
    <cellStyle name="Separador de milhares 3 2 6 4 8" xfId="3923" xr:uid="{00000000-0005-0000-0000-00003F6E0000}"/>
    <cellStyle name="Separador de milhares 3 2 6 4 8 2" xfId="7523" xr:uid="{00000000-0005-0000-0000-0000406E0000}"/>
    <cellStyle name="Separador de milhares 3 2 6 4 8 2 2" xfId="10667" xr:uid="{00000000-0005-0000-0000-0000416E0000}"/>
    <cellStyle name="Separador de milhares 3 2 6 4 8 2 2 2" xfId="28881" xr:uid="{00000000-0005-0000-0000-0000426E0000}"/>
    <cellStyle name="Separador de milhares 3 2 6 4 8 2 2 2 2" xfId="55062" xr:uid="{00000000-0005-0000-0000-0000436E0000}"/>
    <cellStyle name="Separador de milhares 3 2 6 4 8 2 2 3" xfId="22967" xr:uid="{00000000-0005-0000-0000-0000446E0000}"/>
    <cellStyle name="Separador de milhares 3 2 6 4 8 2 2 3 2" xfId="49154" xr:uid="{00000000-0005-0000-0000-0000456E0000}"/>
    <cellStyle name="Separador de milhares 3 2 6 4 8 2 2 4" xfId="17053" xr:uid="{00000000-0005-0000-0000-0000466E0000}"/>
    <cellStyle name="Separador de milhares 3 2 6 4 8 2 2 4 2" xfId="43246" xr:uid="{00000000-0005-0000-0000-0000476E0000}"/>
    <cellStyle name="Separador de milhares 3 2 6 4 8 2 2 5" xfId="36860" xr:uid="{00000000-0005-0000-0000-0000486E0000}"/>
    <cellStyle name="Separador de milhares 3 2 6 4 8 2 3" xfId="25924" xr:uid="{00000000-0005-0000-0000-0000496E0000}"/>
    <cellStyle name="Separador de milhares 3 2 6 4 8 2 3 2" xfId="52108" xr:uid="{00000000-0005-0000-0000-00004A6E0000}"/>
    <cellStyle name="Separador de milhares 3 2 6 4 8 2 4" xfId="20010" xr:uid="{00000000-0005-0000-0000-00004B6E0000}"/>
    <cellStyle name="Separador de milhares 3 2 6 4 8 2 4 2" xfId="46200" xr:uid="{00000000-0005-0000-0000-00004C6E0000}"/>
    <cellStyle name="Separador de milhares 3 2 6 4 8 2 5" xfId="13912" xr:uid="{00000000-0005-0000-0000-00004D6E0000}"/>
    <cellStyle name="Separador de milhares 3 2 6 4 8 2 5 2" xfId="40105" xr:uid="{00000000-0005-0000-0000-00004E6E0000}"/>
    <cellStyle name="Separador de milhares 3 2 6 4 8 2 6" xfId="33719" xr:uid="{00000000-0005-0000-0000-00004F6E0000}"/>
    <cellStyle name="Separador de milhares 3 2 6 4 8 3" xfId="9199" xr:uid="{00000000-0005-0000-0000-0000506E0000}"/>
    <cellStyle name="Separador de milhares 3 2 6 4 8 3 2" xfId="27413" xr:uid="{00000000-0005-0000-0000-0000516E0000}"/>
    <cellStyle name="Separador de milhares 3 2 6 4 8 3 2 2" xfId="53594" xr:uid="{00000000-0005-0000-0000-0000526E0000}"/>
    <cellStyle name="Separador de milhares 3 2 6 4 8 3 3" xfId="21499" xr:uid="{00000000-0005-0000-0000-0000536E0000}"/>
    <cellStyle name="Separador de milhares 3 2 6 4 8 3 3 2" xfId="47686" xr:uid="{00000000-0005-0000-0000-0000546E0000}"/>
    <cellStyle name="Separador de milhares 3 2 6 4 8 3 4" xfId="15585" xr:uid="{00000000-0005-0000-0000-0000556E0000}"/>
    <cellStyle name="Separador de milhares 3 2 6 4 8 3 4 2" xfId="41778" xr:uid="{00000000-0005-0000-0000-0000566E0000}"/>
    <cellStyle name="Separador de milhares 3 2 6 4 8 3 5" xfId="35392" xr:uid="{00000000-0005-0000-0000-0000576E0000}"/>
    <cellStyle name="Separador de milhares 3 2 6 4 8 4" xfId="5824" xr:uid="{00000000-0005-0000-0000-0000586E0000}"/>
    <cellStyle name="Separador de milhares 3 2 6 4 8 4 2" xfId="24456" xr:uid="{00000000-0005-0000-0000-0000596E0000}"/>
    <cellStyle name="Separador de milhares 3 2 6 4 8 4 2 2" xfId="50640" xr:uid="{00000000-0005-0000-0000-00005A6E0000}"/>
    <cellStyle name="Separador de milhares 3 2 6 4 8 4 3" xfId="32020" xr:uid="{00000000-0005-0000-0000-00005B6E0000}"/>
    <cellStyle name="Separador de milhares 3 2 6 4 8 5" xfId="18542" xr:uid="{00000000-0005-0000-0000-00005C6E0000}"/>
    <cellStyle name="Separador de milhares 3 2 6 4 8 5 2" xfId="44732" xr:uid="{00000000-0005-0000-0000-00005D6E0000}"/>
    <cellStyle name="Separador de milhares 3 2 6 4 8 6" xfId="12211" xr:uid="{00000000-0005-0000-0000-00005E6E0000}"/>
    <cellStyle name="Separador de milhares 3 2 6 4 8 6 2" xfId="38404" xr:uid="{00000000-0005-0000-0000-00005F6E0000}"/>
    <cellStyle name="Separador de milhares 3 2 6 4 8 7" xfId="30322" xr:uid="{00000000-0005-0000-0000-0000606E0000}"/>
    <cellStyle name="Separador de milhares 3 2 6 4 9" xfId="682" xr:uid="{00000000-0005-0000-0000-0000616E0000}"/>
    <cellStyle name="Separador de milhares 3 2 6 4 9 2" xfId="6617" xr:uid="{00000000-0005-0000-0000-0000626E0000}"/>
    <cellStyle name="Separador de milhares 3 2 6 4 9 2 2" xfId="9764" xr:uid="{00000000-0005-0000-0000-0000636E0000}"/>
    <cellStyle name="Separador de milhares 3 2 6 4 9 2 2 2" xfId="27978" xr:uid="{00000000-0005-0000-0000-0000646E0000}"/>
    <cellStyle name="Separador de milhares 3 2 6 4 9 2 2 2 2" xfId="54159" xr:uid="{00000000-0005-0000-0000-0000656E0000}"/>
    <cellStyle name="Separador de milhares 3 2 6 4 9 2 2 3" xfId="22064" xr:uid="{00000000-0005-0000-0000-0000666E0000}"/>
    <cellStyle name="Separador de milhares 3 2 6 4 9 2 2 3 2" xfId="48251" xr:uid="{00000000-0005-0000-0000-0000676E0000}"/>
    <cellStyle name="Separador de milhares 3 2 6 4 9 2 2 4" xfId="16150" xr:uid="{00000000-0005-0000-0000-0000686E0000}"/>
    <cellStyle name="Separador de milhares 3 2 6 4 9 2 2 4 2" xfId="42343" xr:uid="{00000000-0005-0000-0000-0000696E0000}"/>
    <cellStyle name="Separador de milhares 3 2 6 4 9 2 2 5" xfId="35957" xr:uid="{00000000-0005-0000-0000-00006A6E0000}"/>
    <cellStyle name="Separador de milhares 3 2 6 4 9 2 3" xfId="25021" xr:uid="{00000000-0005-0000-0000-00006B6E0000}"/>
    <cellStyle name="Separador de milhares 3 2 6 4 9 2 3 2" xfId="51205" xr:uid="{00000000-0005-0000-0000-00006C6E0000}"/>
    <cellStyle name="Separador de milhares 3 2 6 4 9 2 4" xfId="19107" xr:uid="{00000000-0005-0000-0000-00006D6E0000}"/>
    <cellStyle name="Separador de milhares 3 2 6 4 9 2 4 2" xfId="45297" xr:uid="{00000000-0005-0000-0000-00006E6E0000}"/>
    <cellStyle name="Separador de milhares 3 2 6 4 9 2 5" xfId="13006" xr:uid="{00000000-0005-0000-0000-00006F6E0000}"/>
    <cellStyle name="Separador de milhares 3 2 6 4 9 2 5 2" xfId="39199" xr:uid="{00000000-0005-0000-0000-0000706E0000}"/>
    <cellStyle name="Separador de milhares 3 2 6 4 9 2 6" xfId="32813" xr:uid="{00000000-0005-0000-0000-0000716E0000}"/>
    <cellStyle name="Separador de milhares 3 2 6 4 9 3" xfId="8296" xr:uid="{00000000-0005-0000-0000-0000726E0000}"/>
    <cellStyle name="Separador de milhares 3 2 6 4 9 3 2" xfId="26510" xr:uid="{00000000-0005-0000-0000-0000736E0000}"/>
    <cellStyle name="Separador de milhares 3 2 6 4 9 3 2 2" xfId="52691" xr:uid="{00000000-0005-0000-0000-0000746E0000}"/>
    <cellStyle name="Separador de milhares 3 2 6 4 9 3 3" xfId="20596" xr:uid="{00000000-0005-0000-0000-0000756E0000}"/>
    <cellStyle name="Separador de milhares 3 2 6 4 9 3 3 2" xfId="46783" xr:uid="{00000000-0005-0000-0000-0000766E0000}"/>
    <cellStyle name="Separador de milhares 3 2 6 4 9 3 4" xfId="14682" xr:uid="{00000000-0005-0000-0000-0000776E0000}"/>
    <cellStyle name="Separador de milhares 3 2 6 4 9 3 4 2" xfId="40875" xr:uid="{00000000-0005-0000-0000-0000786E0000}"/>
    <cellStyle name="Separador de milhares 3 2 6 4 9 3 5" xfId="34489" xr:uid="{00000000-0005-0000-0000-0000796E0000}"/>
    <cellStyle name="Separador de milhares 3 2 6 4 9 4" xfId="4918" xr:uid="{00000000-0005-0000-0000-00007A6E0000}"/>
    <cellStyle name="Separador de milhares 3 2 6 4 9 4 2" xfId="23553" xr:uid="{00000000-0005-0000-0000-00007B6E0000}"/>
    <cellStyle name="Separador de milhares 3 2 6 4 9 4 2 2" xfId="49737" xr:uid="{00000000-0005-0000-0000-00007C6E0000}"/>
    <cellStyle name="Separador de milhares 3 2 6 4 9 4 3" xfId="31114" xr:uid="{00000000-0005-0000-0000-00007D6E0000}"/>
    <cellStyle name="Separador de milhares 3 2 6 4 9 5" xfId="17639" xr:uid="{00000000-0005-0000-0000-00007E6E0000}"/>
    <cellStyle name="Separador de milhares 3 2 6 4 9 5 2" xfId="43829" xr:uid="{00000000-0005-0000-0000-00007F6E0000}"/>
    <cellStyle name="Separador de milhares 3 2 6 4 9 6" xfId="11305" xr:uid="{00000000-0005-0000-0000-0000806E0000}"/>
    <cellStyle name="Separador de milhares 3 2 6 4 9 6 2" xfId="37498" xr:uid="{00000000-0005-0000-0000-0000816E0000}"/>
    <cellStyle name="Separador de milhares 3 2 6 4 9 7" xfId="29416" xr:uid="{00000000-0005-0000-0000-0000826E0000}"/>
    <cellStyle name="Separador de milhares 3 2 6 5" xfId="638" xr:uid="{00000000-0005-0000-0000-0000836E0000}"/>
    <cellStyle name="Separador de milhares 3 2 6 5 10" xfId="4882" xr:uid="{00000000-0005-0000-0000-0000846E0000}"/>
    <cellStyle name="Separador de milhares 3 2 6 5 10 2" xfId="23516" xr:uid="{00000000-0005-0000-0000-0000856E0000}"/>
    <cellStyle name="Separador de milhares 3 2 6 5 10 2 2" xfId="49703" xr:uid="{00000000-0005-0000-0000-0000866E0000}"/>
    <cellStyle name="Separador de milhares 3 2 6 5 10 3" xfId="31080" xr:uid="{00000000-0005-0000-0000-0000876E0000}"/>
    <cellStyle name="Separador de milhares 3 2 6 5 11" xfId="17602" xr:uid="{00000000-0005-0000-0000-0000886E0000}"/>
    <cellStyle name="Separador de milhares 3 2 6 5 11 2" xfId="43795" xr:uid="{00000000-0005-0000-0000-0000896E0000}"/>
    <cellStyle name="Separador de milhares 3 2 6 5 12" xfId="11271" xr:uid="{00000000-0005-0000-0000-00008A6E0000}"/>
    <cellStyle name="Separador de milhares 3 2 6 5 12 2" xfId="37464" xr:uid="{00000000-0005-0000-0000-00008B6E0000}"/>
    <cellStyle name="Separador de milhares 3 2 6 5 13" xfId="29382" xr:uid="{00000000-0005-0000-0000-00008C6E0000}"/>
    <cellStyle name="Separador de milhares 3 2 6 5 2" xfId="1461" xr:uid="{00000000-0005-0000-0000-00008D6E0000}"/>
    <cellStyle name="Separador de milhares 3 2 6 5 2 2" xfId="6834" xr:uid="{00000000-0005-0000-0000-00008E6E0000}"/>
    <cellStyle name="Separador de milhares 3 2 6 5 2 2 2" xfId="9981" xr:uid="{00000000-0005-0000-0000-00008F6E0000}"/>
    <cellStyle name="Separador de milhares 3 2 6 5 2 2 2 2" xfId="28195" xr:uid="{00000000-0005-0000-0000-0000906E0000}"/>
    <cellStyle name="Separador de milhares 3 2 6 5 2 2 2 2 2" xfId="54376" xr:uid="{00000000-0005-0000-0000-0000916E0000}"/>
    <cellStyle name="Separador de milhares 3 2 6 5 2 2 2 3" xfId="22281" xr:uid="{00000000-0005-0000-0000-0000926E0000}"/>
    <cellStyle name="Separador de milhares 3 2 6 5 2 2 2 3 2" xfId="48468" xr:uid="{00000000-0005-0000-0000-0000936E0000}"/>
    <cellStyle name="Separador de milhares 3 2 6 5 2 2 2 4" xfId="16367" xr:uid="{00000000-0005-0000-0000-0000946E0000}"/>
    <cellStyle name="Separador de milhares 3 2 6 5 2 2 2 4 2" xfId="42560" xr:uid="{00000000-0005-0000-0000-0000956E0000}"/>
    <cellStyle name="Separador de milhares 3 2 6 5 2 2 2 5" xfId="36174" xr:uid="{00000000-0005-0000-0000-0000966E0000}"/>
    <cellStyle name="Separador de milhares 3 2 6 5 2 2 3" xfId="25238" xr:uid="{00000000-0005-0000-0000-0000976E0000}"/>
    <cellStyle name="Separador de milhares 3 2 6 5 2 2 3 2" xfId="51422" xr:uid="{00000000-0005-0000-0000-0000986E0000}"/>
    <cellStyle name="Separador de milhares 3 2 6 5 2 2 4" xfId="19324" xr:uid="{00000000-0005-0000-0000-0000996E0000}"/>
    <cellStyle name="Separador de milhares 3 2 6 5 2 2 4 2" xfId="45514" xr:uid="{00000000-0005-0000-0000-00009A6E0000}"/>
    <cellStyle name="Separador de milhares 3 2 6 5 2 2 5" xfId="13223" xr:uid="{00000000-0005-0000-0000-00009B6E0000}"/>
    <cellStyle name="Separador de milhares 3 2 6 5 2 2 5 2" xfId="39416" xr:uid="{00000000-0005-0000-0000-00009C6E0000}"/>
    <cellStyle name="Separador de milhares 3 2 6 5 2 2 6" xfId="33030" xr:uid="{00000000-0005-0000-0000-00009D6E0000}"/>
    <cellStyle name="Separador de milhares 3 2 6 5 2 3" xfId="8513" xr:uid="{00000000-0005-0000-0000-00009E6E0000}"/>
    <cellStyle name="Separador de milhares 3 2 6 5 2 3 2" xfId="26727" xr:uid="{00000000-0005-0000-0000-00009F6E0000}"/>
    <cellStyle name="Separador de milhares 3 2 6 5 2 3 2 2" xfId="52908" xr:uid="{00000000-0005-0000-0000-0000A06E0000}"/>
    <cellStyle name="Separador de milhares 3 2 6 5 2 3 3" xfId="20813" xr:uid="{00000000-0005-0000-0000-0000A16E0000}"/>
    <cellStyle name="Separador de milhares 3 2 6 5 2 3 3 2" xfId="47000" xr:uid="{00000000-0005-0000-0000-0000A26E0000}"/>
    <cellStyle name="Separador de milhares 3 2 6 5 2 3 4" xfId="14899" xr:uid="{00000000-0005-0000-0000-0000A36E0000}"/>
    <cellStyle name="Separador de milhares 3 2 6 5 2 3 4 2" xfId="41092" xr:uid="{00000000-0005-0000-0000-0000A46E0000}"/>
    <cellStyle name="Separador de milhares 3 2 6 5 2 3 5" xfId="34706" xr:uid="{00000000-0005-0000-0000-0000A56E0000}"/>
    <cellStyle name="Separador de milhares 3 2 6 5 2 4" xfId="5135" xr:uid="{00000000-0005-0000-0000-0000A66E0000}"/>
    <cellStyle name="Separador de milhares 3 2 6 5 2 4 2" xfId="23770" xr:uid="{00000000-0005-0000-0000-0000A76E0000}"/>
    <cellStyle name="Separador de milhares 3 2 6 5 2 4 2 2" xfId="49954" xr:uid="{00000000-0005-0000-0000-0000A86E0000}"/>
    <cellStyle name="Separador de milhares 3 2 6 5 2 4 3" xfId="31331" xr:uid="{00000000-0005-0000-0000-0000A96E0000}"/>
    <cellStyle name="Separador de milhares 3 2 6 5 2 5" xfId="17856" xr:uid="{00000000-0005-0000-0000-0000AA6E0000}"/>
    <cellStyle name="Separador de milhares 3 2 6 5 2 5 2" xfId="44046" xr:uid="{00000000-0005-0000-0000-0000AB6E0000}"/>
    <cellStyle name="Separador de milhares 3 2 6 5 2 6" xfId="11522" xr:uid="{00000000-0005-0000-0000-0000AC6E0000}"/>
    <cellStyle name="Separador de milhares 3 2 6 5 2 6 2" xfId="37715" xr:uid="{00000000-0005-0000-0000-0000AD6E0000}"/>
    <cellStyle name="Separador de milhares 3 2 6 5 2 7" xfId="29633" xr:uid="{00000000-0005-0000-0000-0000AE6E0000}"/>
    <cellStyle name="Separador de milhares 3 2 6 5 3" xfId="1896" xr:uid="{00000000-0005-0000-0000-0000AF6E0000}"/>
    <cellStyle name="Separador de milhares 3 2 6 5 3 2" xfId="6953" xr:uid="{00000000-0005-0000-0000-0000B06E0000}"/>
    <cellStyle name="Separador de milhares 3 2 6 5 3 2 2" xfId="10100" xr:uid="{00000000-0005-0000-0000-0000B16E0000}"/>
    <cellStyle name="Separador de milhares 3 2 6 5 3 2 2 2" xfId="28314" xr:uid="{00000000-0005-0000-0000-0000B26E0000}"/>
    <cellStyle name="Separador de milhares 3 2 6 5 3 2 2 2 2" xfId="54495" xr:uid="{00000000-0005-0000-0000-0000B36E0000}"/>
    <cellStyle name="Separador de milhares 3 2 6 5 3 2 2 3" xfId="22400" xr:uid="{00000000-0005-0000-0000-0000B46E0000}"/>
    <cellStyle name="Separador de milhares 3 2 6 5 3 2 2 3 2" xfId="48587" xr:uid="{00000000-0005-0000-0000-0000B56E0000}"/>
    <cellStyle name="Separador de milhares 3 2 6 5 3 2 2 4" xfId="16486" xr:uid="{00000000-0005-0000-0000-0000B66E0000}"/>
    <cellStyle name="Separador de milhares 3 2 6 5 3 2 2 4 2" xfId="42679" xr:uid="{00000000-0005-0000-0000-0000B76E0000}"/>
    <cellStyle name="Separador de milhares 3 2 6 5 3 2 2 5" xfId="36293" xr:uid="{00000000-0005-0000-0000-0000B86E0000}"/>
    <cellStyle name="Separador de milhares 3 2 6 5 3 2 3" xfId="25357" xr:uid="{00000000-0005-0000-0000-0000B96E0000}"/>
    <cellStyle name="Separador de milhares 3 2 6 5 3 2 3 2" xfId="51541" xr:uid="{00000000-0005-0000-0000-0000BA6E0000}"/>
    <cellStyle name="Separador de milhares 3 2 6 5 3 2 4" xfId="19443" xr:uid="{00000000-0005-0000-0000-0000BB6E0000}"/>
    <cellStyle name="Separador de milhares 3 2 6 5 3 2 4 2" xfId="45633" xr:uid="{00000000-0005-0000-0000-0000BC6E0000}"/>
    <cellStyle name="Separador de milhares 3 2 6 5 3 2 5" xfId="13342" xr:uid="{00000000-0005-0000-0000-0000BD6E0000}"/>
    <cellStyle name="Separador de milhares 3 2 6 5 3 2 5 2" xfId="39535" xr:uid="{00000000-0005-0000-0000-0000BE6E0000}"/>
    <cellStyle name="Separador de milhares 3 2 6 5 3 2 6" xfId="33149" xr:uid="{00000000-0005-0000-0000-0000BF6E0000}"/>
    <cellStyle name="Separador de milhares 3 2 6 5 3 3" xfId="8632" xr:uid="{00000000-0005-0000-0000-0000C06E0000}"/>
    <cellStyle name="Separador de milhares 3 2 6 5 3 3 2" xfId="26846" xr:uid="{00000000-0005-0000-0000-0000C16E0000}"/>
    <cellStyle name="Separador de milhares 3 2 6 5 3 3 2 2" xfId="53027" xr:uid="{00000000-0005-0000-0000-0000C26E0000}"/>
    <cellStyle name="Separador de milhares 3 2 6 5 3 3 3" xfId="20932" xr:uid="{00000000-0005-0000-0000-0000C36E0000}"/>
    <cellStyle name="Separador de milhares 3 2 6 5 3 3 3 2" xfId="47119" xr:uid="{00000000-0005-0000-0000-0000C46E0000}"/>
    <cellStyle name="Separador de milhares 3 2 6 5 3 3 4" xfId="15018" xr:uid="{00000000-0005-0000-0000-0000C56E0000}"/>
    <cellStyle name="Separador de milhares 3 2 6 5 3 3 4 2" xfId="41211" xr:uid="{00000000-0005-0000-0000-0000C66E0000}"/>
    <cellStyle name="Separador de milhares 3 2 6 5 3 3 5" xfId="34825" xr:uid="{00000000-0005-0000-0000-0000C76E0000}"/>
    <cellStyle name="Separador de milhares 3 2 6 5 3 4" xfId="5254" xr:uid="{00000000-0005-0000-0000-0000C86E0000}"/>
    <cellStyle name="Separador de milhares 3 2 6 5 3 4 2" xfId="23889" xr:uid="{00000000-0005-0000-0000-0000C96E0000}"/>
    <cellStyle name="Separador de milhares 3 2 6 5 3 4 2 2" xfId="50073" xr:uid="{00000000-0005-0000-0000-0000CA6E0000}"/>
    <cellStyle name="Separador de milhares 3 2 6 5 3 4 3" xfId="31450" xr:uid="{00000000-0005-0000-0000-0000CB6E0000}"/>
    <cellStyle name="Separador de milhares 3 2 6 5 3 5" xfId="17975" xr:uid="{00000000-0005-0000-0000-0000CC6E0000}"/>
    <cellStyle name="Separador de milhares 3 2 6 5 3 5 2" xfId="44165" xr:uid="{00000000-0005-0000-0000-0000CD6E0000}"/>
    <cellStyle name="Separador de milhares 3 2 6 5 3 6" xfId="11641" xr:uid="{00000000-0005-0000-0000-0000CE6E0000}"/>
    <cellStyle name="Separador de milhares 3 2 6 5 3 6 2" xfId="37834" xr:uid="{00000000-0005-0000-0000-0000CF6E0000}"/>
    <cellStyle name="Separador de milhares 3 2 6 5 3 7" xfId="29752" xr:uid="{00000000-0005-0000-0000-0000D06E0000}"/>
    <cellStyle name="Separador de milhares 3 2 6 5 4" xfId="2426" xr:uid="{00000000-0005-0000-0000-0000D16E0000}"/>
    <cellStyle name="Separador de milhares 3 2 6 5 4 2" xfId="7103" xr:uid="{00000000-0005-0000-0000-0000D26E0000}"/>
    <cellStyle name="Separador de milhares 3 2 6 5 4 2 2" xfId="10247" xr:uid="{00000000-0005-0000-0000-0000D36E0000}"/>
    <cellStyle name="Separador de milhares 3 2 6 5 4 2 2 2" xfId="28461" xr:uid="{00000000-0005-0000-0000-0000D46E0000}"/>
    <cellStyle name="Separador de milhares 3 2 6 5 4 2 2 2 2" xfId="54642" xr:uid="{00000000-0005-0000-0000-0000D56E0000}"/>
    <cellStyle name="Separador de milhares 3 2 6 5 4 2 2 3" xfId="22547" xr:uid="{00000000-0005-0000-0000-0000D66E0000}"/>
    <cellStyle name="Separador de milhares 3 2 6 5 4 2 2 3 2" xfId="48734" xr:uid="{00000000-0005-0000-0000-0000D76E0000}"/>
    <cellStyle name="Separador de milhares 3 2 6 5 4 2 2 4" xfId="16633" xr:uid="{00000000-0005-0000-0000-0000D86E0000}"/>
    <cellStyle name="Separador de milhares 3 2 6 5 4 2 2 4 2" xfId="42826" xr:uid="{00000000-0005-0000-0000-0000D96E0000}"/>
    <cellStyle name="Separador de milhares 3 2 6 5 4 2 2 5" xfId="36440" xr:uid="{00000000-0005-0000-0000-0000DA6E0000}"/>
    <cellStyle name="Separador de milhares 3 2 6 5 4 2 3" xfId="25504" xr:uid="{00000000-0005-0000-0000-0000DB6E0000}"/>
    <cellStyle name="Separador de milhares 3 2 6 5 4 2 3 2" xfId="51688" xr:uid="{00000000-0005-0000-0000-0000DC6E0000}"/>
    <cellStyle name="Separador de milhares 3 2 6 5 4 2 4" xfId="19590" xr:uid="{00000000-0005-0000-0000-0000DD6E0000}"/>
    <cellStyle name="Separador de milhares 3 2 6 5 4 2 4 2" xfId="45780" xr:uid="{00000000-0005-0000-0000-0000DE6E0000}"/>
    <cellStyle name="Separador de milhares 3 2 6 5 4 2 5" xfId="13492" xr:uid="{00000000-0005-0000-0000-0000DF6E0000}"/>
    <cellStyle name="Separador de milhares 3 2 6 5 4 2 5 2" xfId="39685" xr:uid="{00000000-0005-0000-0000-0000E06E0000}"/>
    <cellStyle name="Separador de milhares 3 2 6 5 4 2 6" xfId="33299" xr:uid="{00000000-0005-0000-0000-0000E16E0000}"/>
    <cellStyle name="Separador de milhares 3 2 6 5 4 3" xfId="8779" xr:uid="{00000000-0005-0000-0000-0000E26E0000}"/>
    <cellStyle name="Separador de milhares 3 2 6 5 4 3 2" xfId="26993" xr:uid="{00000000-0005-0000-0000-0000E36E0000}"/>
    <cellStyle name="Separador de milhares 3 2 6 5 4 3 2 2" xfId="53174" xr:uid="{00000000-0005-0000-0000-0000E46E0000}"/>
    <cellStyle name="Separador de milhares 3 2 6 5 4 3 3" xfId="21079" xr:uid="{00000000-0005-0000-0000-0000E56E0000}"/>
    <cellStyle name="Separador de milhares 3 2 6 5 4 3 3 2" xfId="47266" xr:uid="{00000000-0005-0000-0000-0000E66E0000}"/>
    <cellStyle name="Separador de milhares 3 2 6 5 4 3 4" xfId="15165" xr:uid="{00000000-0005-0000-0000-0000E76E0000}"/>
    <cellStyle name="Separador de milhares 3 2 6 5 4 3 4 2" xfId="41358" xr:uid="{00000000-0005-0000-0000-0000E86E0000}"/>
    <cellStyle name="Separador de milhares 3 2 6 5 4 3 5" xfId="34972" xr:uid="{00000000-0005-0000-0000-0000E96E0000}"/>
    <cellStyle name="Separador de milhares 3 2 6 5 4 4" xfId="5404" xr:uid="{00000000-0005-0000-0000-0000EA6E0000}"/>
    <cellStyle name="Separador de milhares 3 2 6 5 4 4 2" xfId="24036" xr:uid="{00000000-0005-0000-0000-0000EB6E0000}"/>
    <cellStyle name="Separador de milhares 3 2 6 5 4 4 2 2" xfId="50220" xr:uid="{00000000-0005-0000-0000-0000EC6E0000}"/>
    <cellStyle name="Separador de milhares 3 2 6 5 4 4 3" xfId="31600" xr:uid="{00000000-0005-0000-0000-0000ED6E0000}"/>
    <cellStyle name="Separador de milhares 3 2 6 5 4 5" xfId="18122" xr:uid="{00000000-0005-0000-0000-0000EE6E0000}"/>
    <cellStyle name="Separador de milhares 3 2 6 5 4 5 2" xfId="44312" xr:uid="{00000000-0005-0000-0000-0000EF6E0000}"/>
    <cellStyle name="Separador de milhares 3 2 6 5 4 6" xfId="11791" xr:uid="{00000000-0005-0000-0000-0000F06E0000}"/>
    <cellStyle name="Separador de milhares 3 2 6 5 4 6 2" xfId="37984" xr:uid="{00000000-0005-0000-0000-0000F16E0000}"/>
    <cellStyle name="Separador de milhares 3 2 6 5 4 7" xfId="29902" xr:uid="{00000000-0005-0000-0000-0000F26E0000}"/>
    <cellStyle name="Separador de milhares 3 2 6 5 5" xfId="2953" xr:uid="{00000000-0005-0000-0000-0000F36E0000}"/>
    <cellStyle name="Separador de milhares 3 2 6 5 5 2" xfId="7250" xr:uid="{00000000-0005-0000-0000-0000F46E0000}"/>
    <cellStyle name="Separador de milhares 3 2 6 5 5 2 2" xfId="10394" xr:uid="{00000000-0005-0000-0000-0000F56E0000}"/>
    <cellStyle name="Separador de milhares 3 2 6 5 5 2 2 2" xfId="28608" xr:uid="{00000000-0005-0000-0000-0000F66E0000}"/>
    <cellStyle name="Separador de milhares 3 2 6 5 5 2 2 2 2" xfId="54789" xr:uid="{00000000-0005-0000-0000-0000F76E0000}"/>
    <cellStyle name="Separador de milhares 3 2 6 5 5 2 2 3" xfId="22694" xr:uid="{00000000-0005-0000-0000-0000F86E0000}"/>
    <cellStyle name="Separador de milhares 3 2 6 5 5 2 2 3 2" xfId="48881" xr:uid="{00000000-0005-0000-0000-0000F96E0000}"/>
    <cellStyle name="Separador de milhares 3 2 6 5 5 2 2 4" xfId="16780" xr:uid="{00000000-0005-0000-0000-0000FA6E0000}"/>
    <cellStyle name="Separador de milhares 3 2 6 5 5 2 2 4 2" xfId="42973" xr:uid="{00000000-0005-0000-0000-0000FB6E0000}"/>
    <cellStyle name="Separador de milhares 3 2 6 5 5 2 2 5" xfId="36587" xr:uid="{00000000-0005-0000-0000-0000FC6E0000}"/>
    <cellStyle name="Separador de milhares 3 2 6 5 5 2 3" xfId="25651" xr:uid="{00000000-0005-0000-0000-0000FD6E0000}"/>
    <cellStyle name="Separador de milhares 3 2 6 5 5 2 3 2" xfId="51835" xr:uid="{00000000-0005-0000-0000-0000FE6E0000}"/>
    <cellStyle name="Separador de milhares 3 2 6 5 5 2 4" xfId="19737" xr:uid="{00000000-0005-0000-0000-0000FF6E0000}"/>
    <cellStyle name="Separador de milhares 3 2 6 5 5 2 4 2" xfId="45927" xr:uid="{00000000-0005-0000-0000-0000006F0000}"/>
    <cellStyle name="Separador de milhares 3 2 6 5 5 2 5" xfId="13639" xr:uid="{00000000-0005-0000-0000-0000016F0000}"/>
    <cellStyle name="Separador de milhares 3 2 6 5 5 2 5 2" xfId="39832" xr:uid="{00000000-0005-0000-0000-0000026F0000}"/>
    <cellStyle name="Separador de milhares 3 2 6 5 5 2 6" xfId="33446" xr:uid="{00000000-0005-0000-0000-0000036F0000}"/>
    <cellStyle name="Separador de milhares 3 2 6 5 5 3" xfId="8926" xr:uid="{00000000-0005-0000-0000-0000046F0000}"/>
    <cellStyle name="Separador de milhares 3 2 6 5 5 3 2" xfId="27140" xr:uid="{00000000-0005-0000-0000-0000056F0000}"/>
    <cellStyle name="Separador de milhares 3 2 6 5 5 3 2 2" xfId="53321" xr:uid="{00000000-0005-0000-0000-0000066F0000}"/>
    <cellStyle name="Separador de milhares 3 2 6 5 5 3 3" xfId="21226" xr:uid="{00000000-0005-0000-0000-0000076F0000}"/>
    <cellStyle name="Separador de milhares 3 2 6 5 5 3 3 2" xfId="47413" xr:uid="{00000000-0005-0000-0000-0000086F0000}"/>
    <cellStyle name="Separador de milhares 3 2 6 5 5 3 4" xfId="15312" xr:uid="{00000000-0005-0000-0000-0000096F0000}"/>
    <cellStyle name="Separador de milhares 3 2 6 5 5 3 4 2" xfId="41505" xr:uid="{00000000-0005-0000-0000-00000A6F0000}"/>
    <cellStyle name="Separador de milhares 3 2 6 5 5 3 5" xfId="35119" xr:uid="{00000000-0005-0000-0000-00000B6F0000}"/>
    <cellStyle name="Separador de milhares 3 2 6 5 5 4" xfId="5551" xr:uid="{00000000-0005-0000-0000-00000C6F0000}"/>
    <cellStyle name="Separador de milhares 3 2 6 5 5 4 2" xfId="24183" xr:uid="{00000000-0005-0000-0000-00000D6F0000}"/>
    <cellStyle name="Separador de milhares 3 2 6 5 5 4 2 2" xfId="50367" xr:uid="{00000000-0005-0000-0000-00000E6F0000}"/>
    <cellStyle name="Separador de milhares 3 2 6 5 5 4 3" xfId="31747" xr:uid="{00000000-0005-0000-0000-00000F6F0000}"/>
    <cellStyle name="Separador de milhares 3 2 6 5 5 5" xfId="18269" xr:uid="{00000000-0005-0000-0000-0000106F0000}"/>
    <cellStyle name="Separador de milhares 3 2 6 5 5 5 2" xfId="44459" xr:uid="{00000000-0005-0000-0000-0000116F0000}"/>
    <cellStyle name="Separador de milhares 3 2 6 5 5 6" xfId="11938" xr:uid="{00000000-0005-0000-0000-0000126F0000}"/>
    <cellStyle name="Separador de milhares 3 2 6 5 5 6 2" xfId="38131" xr:uid="{00000000-0005-0000-0000-0000136F0000}"/>
    <cellStyle name="Separador de milhares 3 2 6 5 5 7" xfId="30049" xr:uid="{00000000-0005-0000-0000-0000146F0000}"/>
    <cellStyle name="Separador de milhares 3 2 6 5 6" xfId="3480" xr:uid="{00000000-0005-0000-0000-0000156F0000}"/>
    <cellStyle name="Separador de milhares 3 2 6 5 6 2" xfId="7397" xr:uid="{00000000-0005-0000-0000-0000166F0000}"/>
    <cellStyle name="Separador de milhares 3 2 6 5 6 2 2" xfId="10541" xr:uid="{00000000-0005-0000-0000-0000176F0000}"/>
    <cellStyle name="Separador de milhares 3 2 6 5 6 2 2 2" xfId="28755" xr:uid="{00000000-0005-0000-0000-0000186F0000}"/>
    <cellStyle name="Separador de milhares 3 2 6 5 6 2 2 2 2" xfId="54936" xr:uid="{00000000-0005-0000-0000-0000196F0000}"/>
    <cellStyle name="Separador de milhares 3 2 6 5 6 2 2 3" xfId="22841" xr:uid="{00000000-0005-0000-0000-00001A6F0000}"/>
    <cellStyle name="Separador de milhares 3 2 6 5 6 2 2 3 2" xfId="49028" xr:uid="{00000000-0005-0000-0000-00001B6F0000}"/>
    <cellStyle name="Separador de milhares 3 2 6 5 6 2 2 4" xfId="16927" xr:uid="{00000000-0005-0000-0000-00001C6F0000}"/>
    <cellStyle name="Separador de milhares 3 2 6 5 6 2 2 4 2" xfId="43120" xr:uid="{00000000-0005-0000-0000-00001D6F0000}"/>
    <cellStyle name="Separador de milhares 3 2 6 5 6 2 2 5" xfId="36734" xr:uid="{00000000-0005-0000-0000-00001E6F0000}"/>
    <cellStyle name="Separador de milhares 3 2 6 5 6 2 3" xfId="25798" xr:uid="{00000000-0005-0000-0000-00001F6F0000}"/>
    <cellStyle name="Separador de milhares 3 2 6 5 6 2 3 2" xfId="51982" xr:uid="{00000000-0005-0000-0000-0000206F0000}"/>
    <cellStyle name="Separador de milhares 3 2 6 5 6 2 4" xfId="19884" xr:uid="{00000000-0005-0000-0000-0000216F0000}"/>
    <cellStyle name="Separador de milhares 3 2 6 5 6 2 4 2" xfId="46074" xr:uid="{00000000-0005-0000-0000-0000226F0000}"/>
    <cellStyle name="Separador de milhares 3 2 6 5 6 2 5" xfId="13786" xr:uid="{00000000-0005-0000-0000-0000236F0000}"/>
    <cellStyle name="Separador de milhares 3 2 6 5 6 2 5 2" xfId="39979" xr:uid="{00000000-0005-0000-0000-0000246F0000}"/>
    <cellStyle name="Separador de milhares 3 2 6 5 6 2 6" xfId="33593" xr:uid="{00000000-0005-0000-0000-0000256F0000}"/>
    <cellStyle name="Separador de milhares 3 2 6 5 6 3" xfId="9073" xr:uid="{00000000-0005-0000-0000-0000266F0000}"/>
    <cellStyle name="Separador de milhares 3 2 6 5 6 3 2" xfId="27287" xr:uid="{00000000-0005-0000-0000-0000276F0000}"/>
    <cellStyle name="Separador de milhares 3 2 6 5 6 3 2 2" xfId="53468" xr:uid="{00000000-0005-0000-0000-0000286F0000}"/>
    <cellStyle name="Separador de milhares 3 2 6 5 6 3 3" xfId="21373" xr:uid="{00000000-0005-0000-0000-0000296F0000}"/>
    <cellStyle name="Separador de milhares 3 2 6 5 6 3 3 2" xfId="47560" xr:uid="{00000000-0005-0000-0000-00002A6F0000}"/>
    <cellStyle name="Separador de milhares 3 2 6 5 6 3 4" xfId="15459" xr:uid="{00000000-0005-0000-0000-00002B6F0000}"/>
    <cellStyle name="Separador de milhares 3 2 6 5 6 3 4 2" xfId="41652" xr:uid="{00000000-0005-0000-0000-00002C6F0000}"/>
    <cellStyle name="Separador de milhares 3 2 6 5 6 3 5" xfId="35266" xr:uid="{00000000-0005-0000-0000-00002D6F0000}"/>
    <cellStyle name="Separador de milhares 3 2 6 5 6 4" xfId="5698" xr:uid="{00000000-0005-0000-0000-00002E6F0000}"/>
    <cellStyle name="Separador de milhares 3 2 6 5 6 4 2" xfId="24330" xr:uid="{00000000-0005-0000-0000-00002F6F0000}"/>
    <cellStyle name="Separador de milhares 3 2 6 5 6 4 2 2" xfId="50514" xr:uid="{00000000-0005-0000-0000-0000306F0000}"/>
    <cellStyle name="Separador de milhares 3 2 6 5 6 4 3" xfId="31894" xr:uid="{00000000-0005-0000-0000-0000316F0000}"/>
    <cellStyle name="Separador de milhares 3 2 6 5 6 5" xfId="18416" xr:uid="{00000000-0005-0000-0000-0000326F0000}"/>
    <cellStyle name="Separador de milhares 3 2 6 5 6 5 2" xfId="44606" xr:uid="{00000000-0005-0000-0000-0000336F0000}"/>
    <cellStyle name="Separador de milhares 3 2 6 5 6 6" xfId="12085" xr:uid="{00000000-0005-0000-0000-0000346F0000}"/>
    <cellStyle name="Separador de milhares 3 2 6 5 6 6 2" xfId="38278" xr:uid="{00000000-0005-0000-0000-0000356F0000}"/>
    <cellStyle name="Separador de milhares 3 2 6 5 6 7" xfId="30196" xr:uid="{00000000-0005-0000-0000-0000366F0000}"/>
    <cellStyle name="Separador de milhares 3 2 6 5 7" xfId="4007" xr:uid="{00000000-0005-0000-0000-0000376F0000}"/>
    <cellStyle name="Separador de milhares 3 2 6 5 7 2" xfId="7544" xr:uid="{00000000-0005-0000-0000-0000386F0000}"/>
    <cellStyle name="Separador de milhares 3 2 6 5 7 2 2" xfId="10688" xr:uid="{00000000-0005-0000-0000-0000396F0000}"/>
    <cellStyle name="Separador de milhares 3 2 6 5 7 2 2 2" xfId="28902" xr:uid="{00000000-0005-0000-0000-00003A6F0000}"/>
    <cellStyle name="Separador de milhares 3 2 6 5 7 2 2 2 2" xfId="55083" xr:uid="{00000000-0005-0000-0000-00003B6F0000}"/>
    <cellStyle name="Separador de milhares 3 2 6 5 7 2 2 3" xfId="22988" xr:uid="{00000000-0005-0000-0000-00003C6F0000}"/>
    <cellStyle name="Separador de milhares 3 2 6 5 7 2 2 3 2" xfId="49175" xr:uid="{00000000-0005-0000-0000-00003D6F0000}"/>
    <cellStyle name="Separador de milhares 3 2 6 5 7 2 2 4" xfId="17074" xr:uid="{00000000-0005-0000-0000-00003E6F0000}"/>
    <cellStyle name="Separador de milhares 3 2 6 5 7 2 2 4 2" xfId="43267" xr:uid="{00000000-0005-0000-0000-00003F6F0000}"/>
    <cellStyle name="Separador de milhares 3 2 6 5 7 2 2 5" xfId="36881" xr:uid="{00000000-0005-0000-0000-0000406F0000}"/>
    <cellStyle name="Separador de milhares 3 2 6 5 7 2 3" xfId="25945" xr:uid="{00000000-0005-0000-0000-0000416F0000}"/>
    <cellStyle name="Separador de milhares 3 2 6 5 7 2 3 2" xfId="52129" xr:uid="{00000000-0005-0000-0000-0000426F0000}"/>
    <cellStyle name="Separador de milhares 3 2 6 5 7 2 4" xfId="20031" xr:uid="{00000000-0005-0000-0000-0000436F0000}"/>
    <cellStyle name="Separador de milhares 3 2 6 5 7 2 4 2" xfId="46221" xr:uid="{00000000-0005-0000-0000-0000446F0000}"/>
    <cellStyle name="Separador de milhares 3 2 6 5 7 2 5" xfId="13933" xr:uid="{00000000-0005-0000-0000-0000456F0000}"/>
    <cellStyle name="Separador de milhares 3 2 6 5 7 2 5 2" xfId="40126" xr:uid="{00000000-0005-0000-0000-0000466F0000}"/>
    <cellStyle name="Separador de milhares 3 2 6 5 7 2 6" xfId="33740" xr:uid="{00000000-0005-0000-0000-0000476F0000}"/>
    <cellStyle name="Separador de milhares 3 2 6 5 7 3" xfId="9220" xr:uid="{00000000-0005-0000-0000-0000486F0000}"/>
    <cellStyle name="Separador de milhares 3 2 6 5 7 3 2" xfId="27434" xr:uid="{00000000-0005-0000-0000-0000496F0000}"/>
    <cellStyle name="Separador de milhares 3 2 6 5 7 3 2 2" xfId="53615" xr:uid="{00000000-0005-0000-0000-00004A6F0000}"/>
    <cellStyle name="Separador de milhares 3 2 6 5 7 3 3" xfId="21520" xr:uid="{00000000-0005-0000-0000-00004B6F0000}"/>
    <cellStyle name="Separador de milhares 3 2 6 5 7 3 3 2" xfId="47707" xr:uid="{00000000-0005-0000-0000-00004C6F0000}"/>
    <cellStyle name="Separador de milhares 3 2 6 5 7 3 4" xfId="15606" xr:uid="{00000000-0005-0000-0000-00004D6F0000}"/>
    <cellStyle name="Separador de milhares 3 2 6 5 7 3 4 2" xfId="41799" xr:uid="{00000000-0005-0000-0000-00004E6F0000}"/>
    <cellStyle name="Separador de milhares 3 2 6 5 7 3 5" xfId="35413" xr:uid="{00000000-0005-0000-0000-00004F6F0000}"/>
    <cellStyle name="Separador de milhares 3 2 6 5 7 4" xfId="5845" xr:uid="{00000000-0005-0000-0000-0000506F0000}"/>
    <cellStyle name="Separador de milhares 3 2 6 5 7 4 2" xfId="24477" xr:uid="{00000000-0005-0000-0000-0000516F0000}"/>
    <cellStyle name="Separador de milhares 3 2 6 5 7 4 2 2" xfId="50661" xr:uid="{00000000-0005-0000-0000-0000526F0000}"/>
    <cellStyle name="Separador de milhares 3 2 6 5 7 4 3" xfId="32041" xr:uid="{00000000-0005-0000-0000-0000536F0000}"/>
    <cellStyle name="Separador de milhares 3 2 6 5 7 5" xfId="18563" xr:uid="{00000000-0005-0000-0000-0000546F0000}"/>
    <cellStyle name="Separador de milhares 3 2 6 5 7 5 2" xfId="44753" xr:uid="{00000000-0005-0000-0000-0000556F0000}"/>
    <cellStyle name="Separador de milhares 3 2 6 5 7 6" xfId="12232" xr:uid="{00000000-0005-0000-0000-0000566F0000}"/>
    <cellStyle name="Separador de milhares 3 2 6 5 7 6 2" xfId="38425" xr:uid="{00000000-0005-0000-0000-0000576F0000}"/>
    <cellStyle name="Separador de milhares 3 2 6 5 7 7" xfId="30343" xr:uid="{00000000-0005-0000-0000-0000586F0000}"/>
    <cellStyle name="Separador de milhares 3 2 6 5 8" xfId="6583" xr:uid="{00000000-0005-0000-0000-0000596F0000}"/>
    <cellStyle name="Separador de milhares 3 2 6 5 8 2" xfId="9730" xr:uid="{00000000-0005-0000-0000-00005A6F0000}"/>
    <cellStyle name="Separador de milhares 3 2 6 5 8 2 2" xfId="27944" xr:uid="{00000000-0005-0000-0000-00005B6F0000}"/>
    <cellStyle name="Separador de milhares 3 2 6 5 8 2 2 2" xfId="54125" xr:uid="{00000000-0005-0000-0000-00005C6F0000}"/>
    <cellStyle name="Separador de milhares 3 2 6 5 8 2 3" xfId="22030" xr:uid="{00000000-0005-0000-0000-00005D6F0000}"/>
    <cellStyle name="Separador de milhares 3 2 6 5 8 2 3 2" xfId="48217" xr:uid="{00000000-0005-0000-0000-00005E6F0000}"/>
    <cellStyle name="Separador de milhares 3 2 6 5 8 2 4" xfId="16116" xr:uid="{00000000-0005-0000-0000-00005F6F0000}"/>
    <cellStyle name="Separador de milhares 3 2 6 5 8 2 4 2" xfId="42309" xr:uid="{00000000-0005-0000-0000-0000606F0000}"/>
    <cellStyle name="Separador de milhares 3 2 6 5 8 2 5" xfId="35923" xr:uid="{00000000-0005-0000-0000-0000616F0000}"/>
    <cellStyle name="Separador de milhares 3 2 6 5 8 3" xfId="24987" xr:uid="{00000000-0005-0000-0000-0000626F0000}"/>
    <cellStyle name="Separador de milhares 3 2 6 5 8 3 2" xfId="51171" xr:uid="{00000000-0005-0000-0000-0000636F0000}"/>
    <cellStyle name="Separador de milhares 3 2 6 5 8 4" xfId="19073" xr:uid="{00000000-0005-0000-0000-0000646F0000}"/>
    <cellStyle name="Separador de milhares 3 2 6 5 8 4 2" xfId="45263" xr:uid="{00000000-0005-0000-0000-0000656F0000}"/>
    <cellStyle name="Separador de milhares 3 2 6 5 8 5" xfId="12972" xr:uid="{00000000-0005-0000-0000-0000666F0000}"/>
    <cellStyle name="Separador de milhares 3 2 6 5 8 5 2" xfId="39165" xr:uid="{00000000-0005-0000-0000-0000676F0000}"/>
    <cellStyle name="Separador de milhares 3 2 6 5 8 6" xfId="32779" xr:uid="{00000000-0005-0000-0000-0000686F0000}"/>
    <cellStyle name="Separador de milhares 3 2 6 5 9" xfId="8259" xr:uid="{00000000-0005-0000-0000-0000696F0000}"/>
    <cellStyle name="Separador de milhares 3 2 6 5 9 2" xfId="26473" xr:uid="{00000000-0005-0000-0000-00006A6F0000}"/>
    <cellStyle name="Separador de milhares 3 2 6 5 9 2 2" xfId="52657" xr:uid="{00000000-0005-0000-0000-00006B6F0000}"/>
    <cellStyle name="Separador de milhares 3 2 6 5 9 3" xfId="20559" xr:uid="{00000000-0005-0000-0000-00006C6F0000}"/>
    <cellStyle name="Separador de milhares 3 2 6 5 9 3 2" xfId="46749" xr:uid="{00000000-0005-0000-0000-00006D6F0000}"/>
    <cellStyle name="Separador de milhares 3 2 6 5 9 4" xfId="14648" xr:uid="{00000000-0005-0000-0000-00006E6F0000}"/>
    <cellStyle name="Separador de milhares 3 2 6 5 9 4 2" xfId="40841" xr:uid="{00000000-0005-0000-0000-00006F6F0000}"/>
    <cellStyle name="Separador de milhares 3 2 6 5 9 5" xfId="34455" xr:uid="{00000000-0005-0000-0000-0000706F0000}"/>
    <cellStyle name="Separador de milhares 3 2 6 6" xfId="759" xr:uid="{00000000-0005-0000-0000-0000716F0000}"/>
    <cellStyle name="Separador de milhares 3 2 6 6 2" xfId="4183" xr:uid="{00000000-0005-0000-0000-0000726F0000}"/>
    <cellStyle name="Separador de milhares 3 2 6 6 2 2" xfId="7593" xr:uid="{00000000-0005-0000-0000-0000736F0000}"/>
    <cellStyle name="Separador de milhares 3 2 6 6 2 2 2" xfId="10737" xr:uid="{00000000-0005-0000-0000-0000746F0000}"/>
    <cellStyle name="Separador de milhares 3 2 6 6 2 2 2 2" xfId="28951" xr:uid="{00000000-0005-0000-0000-0000756F0000}"/>
    <cellStyle name="Separador de milhares 3 2 6 6 2 2 2 2 2" xfId="55132" xr:uid="{00000000-0005-0000-0000-0000766F0000}"/>
    <cellStyle name="Separador de milhares 3 2 6 6 2 2 2 3" xfId="23037" xr:uid="{00000000-0005-0000-0000-0000776F0000}"/>
    <cellStyle name="Separador de milhares 3 2 6 6 2 2 2 3 2" xfId="49224" xr:uid="{00000000-0005-0000-0000-0000786F0000}"/>
    <cellStyle name="Separador de milhares 3 2 6 6 2 2 2 4" xfId="17123" xr:uid="{00000000-0005-0000-0000-0000796F0000}"/>
    <cellStyle name="Separador de milhares 3 2 6 6 2 2 2 4 2" xfId="43316" xr:uid="{00000000-0005-0000-0000-00007A6F0000}"/>
    <cellStyle name="Separador de milhares 3 2 6 6 2 2 2 5" xfId="36930" xr:uid="{00000000-0005-0000-0000-00007B6F0000}"/>
    <cellStyle name="Separador de milhares 3 2 6 6 2 2 3" xfId="25994" xr:uid="{00000000-0005-0000-0000-00007C6F0000}"/>
    <cellStyle name="Separador de milhares 3 2 6 6 2 2 3 2" xfId="52178" xr:uid="{00000000-0005-0000-0000-00007D6F0000}"/>
    <cellStyle name="Separador de milhares 3 2 6 6 2 2 4" xfId="20080" xr:uid="{00000000-0005-0000-0000-00007E6F0000}"/>
    <cellStyle name="Separador de milhares 3 2 6 6 2 2 4 2" xfId="46270" xr:uid="{00000000-0005-0000-0000-00007F6F0000}"/>
    <cellStyle name="Separador de milhares 3 2 6 6 2 2 5" xfId="13982" xr:uid="{00000000-0005-0000-0000-0000806F0000}"/>
    <cellStyle name="Separador de milhares 3 2 6 6 2 2 5 2" xfId="40175" xr:uid="{00000000-0005-0000-0000-0000816F0000}"/>
    <cellStyle name="Separador de milhares 3 2 6 6 2 2 6" xfId="33789" xr:uid="{00000000-0005-0000-0000-0000826F0000}"/>
    <cellStyle name="Separador de milhares 3 2 6 6 2 3" xfId="9269" xr:uid="{00000000-0005-0000-0000-0000836F0000}"/>
    <cellStyle name="Separador de milhares 3 2 6 6 2 3 2" xfId="27483" xr:uid="{00000000-0005-0000-0000-0000846F0000}"/>
    <cellStyle name="Separador de milhares 3 2 6 6 2 3 2 2" xfId="53664" xr:uid="{00000000-0005-0000-0000-0000856F0000}"/>
    <cellStyle name="Separador de milhares 3 2 6 6 2 3 3" xfId="21569" xr:uid="{00000000-0005-0000-0000-0000866F0000}"/>
    <cellStyle name="Separador de milhares 3 2 6 6 2 3 3 2" xfId="47756" xr:uid="{00000000-0005-0000-0000-0000876F0000}"/>
    <cellStyle name="Separador de milhares 3 2 6 6 2 3 4" xfId="15655" xr:uid="{00000000-0005-0000-0000-0000886F0000}"/>
    <cellStyle name="Separador de milhares 3 2 6 6 2 3 4 2" xfId="41848" xr:uid="{00000000-0005-0000-0000-0000896F0000}"/>
    <cellStyle name="Separador de milhares 3 2 6 6 2 3 5" xfId="35462" xr:uid="{00000000-0005-0000-0000-00008A6F0000}"/>
    <cellStyle name="Separador de milhares 3 2 6 6 2 4" xfId="5894" xr:uid="{00000000-0005-0000-0000-00008B6F0000}"/>
    <cellStyle name="Separador de milhares 3 2 6 6 2 4 2" xfId="24526" xr:uid="{00000000-0005-0000-0000-00008C6F0000}"/>
    <cellStyle name="Separador de milhares 3 2 6 6 2 4 2 2" xfId="50710" xr:uid="{00000000-0005-0000-0000-00008D6F0000}"/>
    <cellStyle name="Separador de milhares 3 2 6 6 2 4 3" xfId="32090" xr:uid="{00000000-0005-0000-0000-00008E6F0000}"/>
    <cellStyle name="Separador de milhares 3 2 6 6 2 5" xfId="18612" xr:uid="{00000000-0005-0000-0000-00008F6F0000}"/>
    <cellStyle name="Separador de milhares 3 2 6 6 2 5 2" xfId="44802" xr:uid="{00000000-0005-0000-0000-0000906F0000}"/>
    <cellStyle name="Separador de milhares 3 2 6 6 2 6" xfId="12281" xr:uid="{00000000-0005-0000-0000-0000916F0000}"/>
    <cellStyle name="Separador de milhares 3 2 6 6 2 6 2" xfId="38474" xr:uid="{00000000-0005-0000-0000-0000926F0000}"/>
    <cellStyle name="Separador de milhares 3 2 6 6 2 7" xfId="30392" xr:uid="{00000000-0005-0000-0000-0000936F0000}"/>
    <cellStyle name="Separador de milhares 3 2 6 6 3" xfId="6638" xr:uid="{00000000-0005-0000-0000-0000946F0000}"/>
    <cellStyle name="Separador de milhares 3 2 6 6 3 2" xfId="9785" xr:uid="{00000000-0005-0000-0000-0000956F0000}"/>
    <cellStyle name="Separador de milhares 3 2 6 6 3 2 2" xfId="27999" xr:uid="{00000000-0005-0000-0000-0000966F0000}"/>
    <cellStyle name="Separador de milhares 3 2 6 6 3 2 2 2" xfId="54180" xr:uid="{00000000-0005-0000-0000-0000976F0000}"/>
    <cellStyle name="Separador de milhares 3 2 6 6 3 2 3" xfId="22085" xr:uid="{00000000-0005-0000-0000-0000986F0000}"/>
    <cellStyle name="Separador de milhares 3 2 6 6 3 2 3 2" xfId="48272" xr:uid="{00000000-0005-0000-0000-0000996F0000}"/>
    <cellStyle name="Separador de milhares 3 2 6 6 3 2 4" xfId="16171" xr:uid="{00000000-0005-0000-0000-00009A6F0000}"/>
    <cellStyle name="Separador de milhares 3 2 6 6 3 2 4 2" xfId="42364" xr:uid="{00000000-0005-0000-0000-00009B6F0000}"/>
    <cellStyle name="Separador de milhares 3 2 6 6 3 2 5" xfId="35978" xr:uid="{00000000-0005-0000-0000-00009C6F0000}"/>
    <cellStyle name="Separador de milhares 3 2 6 6 3 3" xfId="25042" xr:uid="{00000000-0005-0000-0000-00009D6F0000}"/>
    <cellStyle name="Separador de milhares 3 2 6 6 3 3 2" xfId="51226" xr:uid="{00000000-0005-0000-0000-00009E6F0000}"/>
    <cellStyle name="Separador de milhares 3 2 6 6 3 4" xfId="19128" xr:uid="{00000000-0005-0000-0000-00009F6F0000}"/>
    <cellStyle name="Separador de milhares 3 2 6 6 3 4 2" xfId="45318" xr:uid="{00000000-0005-0000-0000-0000A06F0000}"/>
    <cellStyle name="Separador de milhares 3 2 6 6 3 5" xfId="13027" xr:uid="{00000000-0005-0000-0000-0000A16F0000}"/>
    <cellStyle name="Separador de milhares 3 2 6 6 3 5 2" xfId="39220" xr:uid="{00000000-0005-0000-0000-0000A26F0000}"/>
    <cellStyle name="Separador de milhares 3 2 6 6 3 6" xfId="32834" xr:uid="{00000000-0005-0000-0000-0000A36F0000}"/>
    <cellStyle name="Separador de milhares 3 2 6 6 4" xfId="8317" xr:uid="{00000000-0005-0000-0000-0000A46F0000}"/>
    <cellStyle name="Separador de milhares 3 2 6 6 4 2" xfId="26531" xr:uid="{00000000-0005-0000-0000-0000A56F0000}"/>
    <cellStyle name="Separador de milhares 3 2 6 6 4 2 2" xfId="52712" xr:uid="{00000000-0005-0000-0000-0000A66F0000}"/>
    <cellStyle name="Separador de milhares 3 2 6 6 4 3" xfId="20617" xr:uid="{00000000-0005-0000-0000-0000A76F0000}"/>
    <cellStyle name="Separador de milhares 3 2 6 6 4 3 2" xfId="46804" xr:uid="{00000000-0005-0000-0000-0000A86F0000}"/>
    <cellStyle name="Separador de milhares 3 2 6 6 4 4" xfId="14703" xr:uid="{00000000-0005-0000-0000-0000A96F0000}"/>
    <cellStyle name="Separador de milhares 3 2 6 6 4 4 2" xfId="40896" xr:uid="{00000000-0005-0000-0000-0000AA6F0000}"/>
    <cellStyle name="Separador de milhares 3 2 6 6 4 5" xfId="34510" xr:uid="{00000000-0005-0000-0000-0000AB6F0000}"/>
    <cellStyle name="Separador de milhares 3 2 6 6 5" xfId="4939" xr:uid="{00000000-0005-0000-0000-0000AC6F0000}"/>
    <cellStyle name="Separador de milhares 3 2 6 6 5 2" xfId="23574" xr:uid="{00000000-0005-0000-0000-0000AD6F0000}"/>
    <cellStyle name="Separador de milhares 3 2 6 6 5 2 2" xfId="49758" xr:uid="{00000000-0005-0000-0000-0000AE6F0000}"/>
    <cellStyle name="Separador de milhares 3 2 6 6 5 3" xfId="31135" xr:uid="{00000000-0005-0000-0000-0000AF6F0000}"/>
    <cellStyle name="Separador de milhares 3 2 6 6 6" xfId="17660" xr:uid="{00000000-0005-0000-0000-0000B06F0000}"/>
    <cellStyle name="Separador de milhares 3 2 6 6 6 2" xfId="43850" xr:uid="{00000000-0005-0000-0000-0000B16F0000}"/>
    <cellStyle name="Separador de milhares 3 2 6 6 7" xfId="11326" xr:uid="{00000000-0005-0000-0000-0000B26F0000}"/>
    <cellStyle name="Separador de milhares 3 2 6 6 7 2" xfId="37519" xr:uid="{00000000-0005-0000-0000-0000B36F0000}"/>
    <cellStyle name="Separador de milhares 3 2 6 6 8" xfId="29437" xr:uid="{00000000-0005-0000-0000-0000B46F0000}"/>
    <cellStyle name="Separador de milhares 3 2 6 7" xfId="1110" xr:uid="{00000000-0005-0000-0000-0000B56F0000}"/>
    <cellStyle name="Separador de milhares 3 2 6 7 2" xfId="6736" xr:uid="{00000000-0005-0000-0000-0000B66F0000}"/>
    <cellStyle name="Separador de milhares 3 2 6 7 2 2" xfId="9883" xr:uid="{00000000-0005-0000-0000-0000B76F0000}"/>
    <cellStyle name="Separador de milhares 3 2 6 7 2 2 2" xfId="28097" xr:uid="{00000000-0005-0000-0000-0000B86F0000}"/>
    <cellStyle name="Separador de milhares 3 2 6 7 2 2 2 2" xfId="54278" xr:uid="{00000000-0005-0000-0000-0000B96F0000}"/>
    <cellStyle name="Separador de milhares 3 2 6 7 2 2 3" xfId="22183" xr:uid="{00000000-0005-0000-0000-0000BA6F0000}"/>
    <cellStyle name="Separador de milhares 3 2 6 7 2 2 3 2" xfId="48370" xr:uid="{00000000-0005-0000-0000-0000BB6F0000}"/>
    <cellStyle name="Separador de milhares 3 2 6 7 2 2 4" xfId="16269" xr:uid="{00000000-0005-0000-0000-0000BC6F0000}"/>
    <cellStyle name="Separador de milhares 3 2 6 7 2 2 4 2" xfId="42462" xr:uid="{00000000-0005-0000-0000-0000BD6F0000}"/>
    <cellStyle name="Separador de milhares 3 2 6 7 2 2 5" xfId="36076" xr:uid="{00000000-0005-0000-0000-0000BE6F0000}"/>
    <cellStyle name="Separador de milhares 3 2 6 7 2 3" xfId="25140" xr:uid="{00000000-0005-0000-0000-0000BF6F0000}"/>
    <cellStyle name="Separador de milhares 3 2 6 7 2 3 2" xfId="51324" xr:uid="{00000000-0005-0000-0000-0000C06F0000}"/>
    <cellStyle name="Separador de milhares 3 2 6 7 2 4" xfId="19226" xr:uid="{00000000-0005-0000-0000-0000C16F0000}"/>
    <cellStyle name="Separador de milhares 3 2 6 7 2 4 2" xfId="45416" xr:uid="{00000000-0005-0000-0000-0000C26F0000}"/>
    <cellStyle name="Separador de milhares 3 2 6 7 2 5" xfId="13125" xr:uid="{00000000-0005-0000-0000-0000C36F0000}"/>
    <cellStyle name="Separador de milhares 3 2 6 7 2 5 2" xfId="39318" xr:uid="{00000000-0005-0000-0000-0000C46F0000}"/>
    <cellStyle name="Separador de milhares 3 2 6 7 2 6" xfId="32932" xr:uid="{00000000-0005-0000-0000-0000C56F0000}"/>
    <cellStyle name="Separador de milhares 3 2 6 7 3" xfId="8415" xr:uid="{00000000-0005-0000-0000-0000C66F0000}"/>
    <cellStyle name="Separador de milhares 3 2 6 7 3 2" xfId="26629" xr:uid="{00000000-0005-0000-0000-0000C76F0000}"/>
    <cellStyle name="Separador de milhares 3 2 6 7 3 2 2" xfId="52810" xr:uid="{00000000-0005-0000-0000-0000C86F0000}"/>
    <cellStyle name="Separador de milhares 3 2 6 7 3 3" xfId="20715" xr:uid="{00000000-0005-0000-0000-0000C96F0000}"/>
    <cellStyle name="Separador de milhares 3 2 6 7 3 3 2" xfId="46902" xr:uid="{00000000-0005-0000-0000-0000CA6F0000}"/>
    <cellStyle name="Separador de milhares 3 2 6 7 3 4" xfId="14801" xr:uid="{00000000-0005-0000-0000-0000CB6F0000}"/>
    <cellStyle name="Separador de milhares 3 2 6 7 3 4 2" xfId="40994" xr:uid="{00000000-0005-0000-0000-0000CC6F0000}"/>
    <cellStyle name="Separador de milhares 3 2 6 7 3 5" xfId="34608" xr:uid="{00000000-0005-0000-0000-0000CD6F0000}"/>
    <cellStyle name="Separador de milhares 3 2 6 7 4" xfId="5037" xr:uid="{00000000-0005-0000-0000-0000CE6F0000}"/>
    <cellStyle name="Separador de milhares 3 2 6 7 4 2" xfId="23672" xr:uid="{00000000-0005-0000-0000-0000CF6F0000}"/>
    <cellStyle name="Separador de milhares 3 2 6 7 4 2 2" xfId="49856" xr:uid="{00000000-0005-0000-0000-0000D06F0000}"/>
    <cellStyle name="Separador de milhares 3 2 6 7 4 3" xfId="31233" xr:uid="{00000000-0005-0000-0000-0000D16F0000}"/>
    <cellStyle name="Separador de milhares 3 2 6 7 5" xfId="17758" xr:uid="{00000000-0005-0000-0000-0000D26F0000}"/>
    <cellStyle name="Separador de milhares 3 2 6 7 5 2" xfId="43948" xr:uid="{00000000-0005-0000-0000-0000D36F0000}"/>
    <cellStyle name="Separador de milhares 3 2 6 7 6" xfId="11424" xr:uid="{00000000-0005-0000-0000-0000D46F0000}"/>
    <cellStyle name="Separador de milhares 3 2 6 7 6 2" xfId="37617" xr:uid="{00000000-0005-0000-0000-0000D56F0000}"/>
    <cellStyle name="Separador de milhares 3 2 6 7 7" xfId="29535" xr:uid="{00000000-0005-0000-0000-0000D66F0000}"/>
    <cellStyle name="Separador de milhares 3 2 6 8" xfId="1545" xr:uid="{00000000-0005-0000-0000-0000D76F0000}"/>
    <cellStyle name="Separador de milhares 3 2 6 8 2" xfId="6855" xr:uid="{00000000-0005-0000-0000-0000D86F0000}"/>
    <cellStyle name="Separador de milhares 3 2 6 8 2 2" xfId="10002" xr:uid="{00000000-0005-0000-0000-0000D96F0000}"/>
    <cellStyle name="Separador de milhares 3 2 6 8 2 2 2" xfId="28216" xr:uid="{00000000-0005-0000-0000-0000DA6F0000}"/>
    <cellStyle name="Separador de milhares 3 2 6 8 2 2 2 2" xfId="54397" xr:uid="{00000000-0005-0000-0000-0000DB6F0000}"/>
    <cellStyle name="Separador de milhares 3 2 6 8 2 2 3" xfId="22302" xr:uid="{00000000-0005-0000-0000-0000DC6F0000}"/>
    <cellStyle name="Separador de milhares 3 2 6 8 2 2 3 2" xfId="48489" xr:uid="{00000000-0005-0000-0000-0000DD6F0000}"/>
    <cellStyle name="Separador de milhares 3 2 6 8 2 2 4" xfId="16388" xr:uid="{00000000-0005-0000-0000-0000DE6F0000}"/>
    <cellStyle name="Separador de milhares 3 2 6 8 2 2 4 2" xfId="42581" xr:uid="{00000000-0005-0000-0000-0000DF6F0000}"/>
    <cellStyle name="Separador de milhares 3 2 6 8 2 2 5" xfId="36195" xr:uid="{00000000-0005-0000-0000-0000E06F0000}"/>
    <cellStyle name="Separador de milhares 3 2 6 8 2 3" xfId="25259" xr:uid="{00000000-0005-0000-0000-0000E16F0000}"/>
    <cellStyle name="Separador de milhares 3 2 6 8 2 3 2" xfId="51443" xr:uid="{00000000-0005-0000-0000-0000E26F0000}"/>
    <cellStyle name="Separador de milhares 3 2 6 8 2 4" xfId="19345" xr:uid="{00000000-0005-0000-0000-0000E36F0000}"/>
    <cellStyle name="Separador de milhares 3 2 6 8 2 4 2" xfId="45535" xr:uid="{00000000-0005-0000-0000-0000E46F0000}"/>
    <cellStyle name="Separador de milhares 3 2 6 8 2 5" xfId="13244" xr:uid="{00000000-0005-0000-0000-0000E56F0000}"/>
    <cellStyle name="Separador de milhares 3 2 6 8 2 5 2" xfId="39437" xr:uid="{00000000-0005-0000-0000-0000E66F0000}"/>
    <cellStyle name="Separador de milhares 3 2 6 8 2 6" xfId="33051" xr:uid="{00000000-0005-0000-0000-0000E76F0000}"/>
    <cellStyle name="Separador de milhares 3 2 6 8 3" xfId="8534" xr:uid="{00000000-0005-0000-0000-0000E86F0000}"/>
    <cellStyle name="Separador de milhares 3 2 6 8 3 2" xfId="26748" xr:uid="{00000000-0005-0000-0000-0000E96F0000}"/>
    <cellStyle name="Separador de milhares 3 2 6 8 3 2 2" xfId="52929" xr:uid="{00000000-0005-0000-0000-0000EA6F0000}"/>
    <cellStyle name="Separador de milhares 3 2 6 8 3 3" xfId="20834" xr:uid="{00000000-0005-0000-0000-0000EB6F0000}"/>
    <cellStyle name="Separador de milhares 3 2 6 8 3 3 2" xfId="47021" xr:uid="{00000000-0005-0000-0000-0000EC6F0000}"/>
    <cellStyle name="Separador de milhares 3 2 6 8 3 4" xfId="14920" xr:uid="{00000000-0005-0000-0000-0000ED6F0000}"/>
    <cellStyle name="Separador de milhares 3 2 6 8 3 4 2" xfId="41113" xr:uid="{00000000-0005-0000-0000-0000EE6F0000}"/>
    <cellStyle name="Separador de milhares 3 2 6 8 3 5" xfId="34727" xr:uid="{00000000-0005-0000-0000-0000EF6F0000}"/>
    <cellStyle name="Separador de milhares 3 2 6 8 4" xfId="5156" xr:uid="{00000000-0005-0000-0000-0000F06F0000}"/>
    <cellStyle name="Separador de milhares 3 2 6 8 4 2" xfId="23791" xr:uid="{00000000-0005-0000-0000-0000F16F0000}"/>
    <cellStyle name="Separador de milhares 3 2 6 8 4 2 2" xfId="49975" xr:uid="{00000000-0005-0000-0000-0000F26F0000}"/>
    <cellStyle name="Separador de milhares 3 2 6 8 4 3" xfId="31352" xr:uid="{00000000-0005-0000-0000-0000F36F0000}"/>
    <cellStyle name="Separador de milhares 3 2 6 8 5" xfId="17877" xr:uid="{00000000-0005-0000-0000-0000F46F0000}"/>
    <cellStyle name="Separador de milhares 3 2 6 8 5 2" xfId="44067" xr:uid="{00000000-0005-0000-0000-0000F56F0000}"/>
    <cellStyle name="Separador de milhares 3 2 6 8 6" xfId="11543" xr:uid="{00000000-0005-0000-0000-0000F66F0000}"/>
    <cellStyle name="Separador de milhares 3 2 6 8 6 2" xfId="37736" xr:uid="{00000000-0005-0000-0000-0000F76F0000}"/>
    <cellStyle name="Separador de milhares 3 2 6 8 7" xfId="29654" xr:uid="{00000000-0005-0000-0000-0000F86F0000}"/>
    <cellStyle name="Separador de milhares 3 2 6 9" xfId="2075" xr:uid="{00000000-0005-0000-0000-0000F96F0000}"/>
    <cellStyle name="Separador de milhares 3 2 6 9 2" xfId="7005" xr:uid="{00000000-0005-0000-0000-0000FA6F0000}"/>
    <cellStyle name="Separador de milhares 3 2 6 9 2 2" xfId="10149" xr:uid="{00000000-0005-0000-0000-0000FB6F0000}"/>
    <cellStyle name="Separador de milhares 3 2 6 9 2 2 2" xfId="28363" xr:uid="{00000000-0005-0000-0000-0000FC6F0000}"/>
    <cellStyle name="Separador de milhares 3 2 6 9 2 2 2 2" xfId="54544" xr:uid="{00000000-0005-0000-0000-0000FD6F0000}"/>
    <cellStyle name="Separador de milhares 3 2 6 9 2 2 3" xfId="22449" xr:uid="{00000000-0005-0000-0000-0000FE6F0000}"/>
    <cellStyle name="Separador de milhares 3 2 6 9 2 2 3 2" xfId="48636" xr:uid="{00000000-0005-0000-0000-0000FF6F0000}"/>
    <cellStyle name="Separador de milhares 3 2 6 9 2 2 4" xfId="16535" xr:uid="{00000000-0005-0000-0000-000000700000}"/>
    <cellStyle name="Separador de milhares 3 2 6 9 2 2 4 2" xfId="42728" xr:uid="{00000000-0005-0000-0000-000001700000}"/>
    <cellStyle name="Separador de milhares 3 2 6 9 2 2 5" xfId="36342" xr:uid="{00000000-0005-0000-0000-000002700000}"/>
    <cellStyle name="Separador de milhares 3 2 6 9 2 3" xfId="25406" xr:uid="{00000000-0005-0000-0000-000003700000}"/>
    <cellStyle name="Separador de milhares 3 2 6 9 2 3 2" xfId="51590" xr:uid="{00000000-0005-0000-0000-000004700000}"/>
    <cellStyle name="Separador de milhares 3 2 6 9 2 4" xfId="19492" xr:uid="{00000000-0005-0000-0000-000005700000}"/>
    <cellStyle name="Separador de milhares 3 2 6 9 2 4 2" xfId="45682" xr:uid="{00000000-0005-0000-0000-000006700000}"/>
    <cellStyle name="Separador de milhares 3 2 6 9 2 5" xfId="13394" xr:uid="{00000000-0005-0000-0000-000007700000}"/>
    <cellStyle name="Separador de milhares 3 2 6 9 2 5 2" xfId="39587" xr:uid="{00000000-0005-0000-0000-000008700000}"/>
    <cellStyle name="Separador de milhares 3 2 6 9 2 6" xfId="33201" xr:uid="{00000000-0005-0000-0000-000009700000}"/>
    <cellStyle name="Separador de milhares 3 2 6 9 3" xfId="8681" xr:uid="{00000000-0005-0000-0000-00000A700000}"/>
    <cellStyle name="Separador de milhares 3 2 6 9 3 2" xfId="26895" xr:uid="{00000000-0005-0000-0000-00000B700000}"/>
    <cellStyle name="Separador de milhares 3 2 6 9 3 2 2" xfId="53076" xr:uid="{00000000-0005-0000-0000-00000C700000}"/>
    <cellStyle name="Separador de milhares 3 2 6 9 3 3" xfId="20981" xr:uid="{00000000-0005-0000-0000-00000D700000}"/>
    <cellStyle name="Separador de milhares 3 2 6 9 3 3 2" xfId="47168" xr:uid="{00000000-0005-0000-0000-00000E700000}"/>
    <cellStyle name="Separador de milhares 3 2 6 9 3 4" xfId="15067" xr:uid="{00000000-0005-0000-0000-00000F700000}"/>
    <cellStyle name="Separador de milhares 3 2 6 9 3 4 2" xfId="41260" xr:uid="{00000000-0005-0000-0000-000010700000}"/>
    <cellStyle name="Separador de milhares 3 2 6 9 3 5" xfId="34874" xr:uid="{00000000-0005-0000-0000-000011700000}"/>
    <cellStyle name="Separador de milhares 3 2 6 9 4" xfId="5306" xr:uid="{00000000-0005-0000-0000-000012700000}"/>
    <cellStyle name="Separador de milhares 3 2 6 9 4 2" xfId="23938" xr:uid="{00000000-0005-0000-0000-000013700000}"/>
    <cellStyle name="Separador de milhares 3 2 6 9 4 2 2" xfId="50122" xr:uid="{00000000-0005-0000-0000-000014700000}"/>
    <cellStyle name="Separador de milhares 3 2 6 9 4 3" xfId="31502" xr:uid="{00000000-0005-0000-0000-000015700000}"/>
    <cellStyle name="Separador de milhares 3 2 6 9 5" xfId="18024" xr:uid="{00000000-0005-0000-0000-000016700000}"/>
    <cellStyle name="Separador de milhares 3 2 6 9 5 2" xfId="44214" xr:uid="{00000000-0005-0000-0000-000017700000}"/>
    <cellStyle name="Separador de milhares 3 2 6 9 6" xfId="11693" xr:uid="{00000000-0005-0000-0000-000018700000}"/>
    <cellStyle name="Separador de milhares 3 2 6 9 6 2" xfId="37886" xr:uid="{00000000-0005-0000-0000-000019700000}"/>
    <cellStyle name="Separador de milhares 3 2 6 9 7" xfId="29804" xr:uid="{00000000-0005-0000-0000-00001A700000}"/>
    <cellStyle name="Separador de milhares 3 2 7" xfId="39" xr:uid="{00000000-0005-0000-0000-00001B700000}"/>
    <cellStyle name="Separador de milhares 3 2 7 10" xfId="2542" xr:uid="{00000000-0005-0000-0000-00001C700000}"/>
    <cellStyle name="Separador de milhares 3 2 7 10 2" xfId="7137" xr:uid="{00000000-0005-0000-0000-00001D700000}"/>
    <cellStyle name="Separador de milhares 3 2 7 10 2 2" xfId="10281" xr:uid="{00000000-0005-0000-0000-00001E700000}"/>
    <cellStyle name="Separador de milhares 3 2 7 10 2 2 2" xfId="28495" xr:uid="{00000000-0005-0000-0000-00001F700000}"/>
    <cellStyle name="Separador de milhares 3 2 7 10 2 2 2 2" xfId="54676" xr:uid="{00000000-0005-0000-0000-000020700000}"/>
    <cellStyle name="Separador de milhares 3 2 7 10 2 2 3" xfId="22581" xr:uid="{00000000-0005-0000-0000-000021700000}"/>
    <cellStyle name="Separador de milhares 3 2 7 10 2 2 3 2" xfId="48768" xr:uid="{00000000-0005-0000-0000-000022700000}"/>
    <cellStyle name="Separador de milhares 3 2 7 10 2 2 4" xfId="16667" xr:uid="{00000000-0005-0000-0000-000023700000}"/>
    <cellStyle name="Separador de milhares 3 2 7 10 2 2 4 2" xfId="42860" xr:uid="{00000000-0005-0000-0000-000024700000}"/>
    <cellStyle name="Separador de milhares 3 2 7 10 2 2 5" xfId="36474" xr:uid="{00000000-0005-0000-0000-000025700000}"/>
    <cellStyle name="Separador de milhares 3 2 7 10 2 3" xfId="25538" xr:uid="{00000000-0005-0000-0000-000026700000}"/>
    <cellStyle name="Separador de milhares 3 2 7 10 2 3 2" xfId="51722" xr:uid="{00000000-0005-0000-0000-000027700000}"/>
    <cellStyle name="Separador de milhares 3 2 7 10 2 4" xfId="19624" xr:uid="{00000000-0005-0000-0000-000028700000}"/>
    <cellStyle name="Separador de milhares 3 2 7 10 2 4 2" xfId="45814" xr:uid="{00000000-0005-0000-0000-000029700000}"/>
    <cellStyle name="Separador de milhares 3 2 7 10 2 5" xfId="13526" xr:uid="{00000000-0005-0000-0000-00002A700000}"/>
    <cellStyle name="Separador de milhares 3 2 7 10 2 5 2" xfId="39719" xr:uid="{00000000-0005-0000-0000-00002B700000}"/>
    <cellStyle name="Separador de milhares 3 2 7 10 2 6" xfId="33333" xr:uid="{00000000-0005-0000-0000-00002C700000}"/>
    <cellStyle name="Separador de milhares 3 2 7 10 3" xfId="8813" xr:uid="{00000000-0005-0000-0000-00002D700000}"/>
    <cellStyle name="Separador de milhares 3 2 7 10 3 2" xfId="27027" xr:uid="{00000000-0005-0000-0000-00002E700000}"/>
    <cellStyle name="Separador de milhares 3 2 7 10 3 2 2" xfId="53208" xr:uid="{00000000-0005-0000-0000-00002F700000}"/>
    <cellStyle name="Separador de milhares 3 2 7 10 3 3" xfId="21113" xr:uid="{00000000-0005-0000-0000-000030700000}"/>
    <cellStyle name="Separador de milhares 3 2 7 10 3 3 2" xfId="47300" xr:uid="{00000000-0005-0000-0000-000031700000}"/>
    <cellStyle name="Separador de milhares 3 2 7 10 3 4" xfId="15199" xr:uid="{00000000-0005-0000-0000-000032700000}"/>
    <cellStyle name="Separador de milhares 3 2 7 10 3 4 2" xfId="41392" xr:uid="{00000000-0005-0000-0000-000033700000}"/>
    <cellStyle name="Separador de milhares 3 2 7 10 3 5" xfId="35006" xr:uid="{00000000-0005-0000-0000-000034700000}"/>
    <cellStyle name="Separador de milhares 3 2 7 10 4" xfId="5438" xr:uid="{00000000-0005-0000-0000-000035700000}"/>
    <cellStyle name="Separador de milhares 3 2 7 10 4 2" xfId="24070" xr:uid="{00000000-0005-0000-0000-000036700000}"/>
    <cellStyle name="Separador de milhares 3 2 7 10 4 2 2" xfId="50254" xr:uid="{00000000-0005-0000-0000-000037700000}"/>
    <cellStyle name="Separador de milhares 3 2 7 10 4 3" xfId="31634" xr:uid="{00000000-0005-0000-0000-000038700000}"/>
    <cellStyle name="Separador de milhares 3 2 7 10 5" xfId="18156" xr:uid="{00000000-0005-0000-0000-000039700000}"/>
    <cellStyle name="Separador de milhares 3 2 7 10 5 2" xfId="44346" xr:uid="{00000000-0005-0000-0000-00003A700000}"/>
    <cellStyle name="Separador de milhares 3 2 7 10 6" xfId="11825" xr:uid="{00000000-0005-0000-0000-00003B700000}"/>
    <cellStyle name="Separador de milhares 3 2 7 10 6 2" xfId="38018" xr:uid="{00000000-0005-0000-0000-00003C700000}"/>
    <cellStyle name="Separador de milhares 3 2 7 10 7" xfId="29936" xr:uid="{00000000-0005-0000-0000-00003D700000}"/>
    <cellStyle name="Separador de milhares 3 2 7 11" xfId="3069" xr:uid="{00000000-0005-0000-0000-00003E700000}"/>
    <cellStyle name="Separador de milhares 3 2 7 11 2" xfId="7284" xr:uid="{00000000-0005-0000-0000-00003F700000}"/>
    <cellStyle name="Separador de milhares 3 2 7 11 2 2" xfId="10428" xr:uid="{00000000-0005-0000-0000-000040700000}"/>
    <cellStyle name="Separador de milhares 3 2 7 11 2 2 2" xfId="28642" xr:uid="{00000000-0005-0000-0000-000041700000}"/>
    <cellStyle name="Separador de milhares 3 2 7 11 2 2 2 2" xfId="54823" xr:uid="{00000000-0005-0000-0000-000042700000}"/>
    <cellStyle name="Separador de milhares 3 2 7 11 2 2 3" xfId="22728" xr:uid="{00000000-0005-0000-0000-000043700000}"/>
    <cellStyle name="Separador de milhares 3 2 7 11 2 2 3 2" xfId="48915" xr:uid="{00000000-0005-0000-0000-000044700000}"/>
    <cellStyle name="Separador de milhares 3 2 7 11 2 2 4" xfId="16814" xr:uid="{00000000-0005-0000-0000-000045700000}"/>
    <cellStyle name="Separador de milhares 3 2 7 11 2 2 4 2" xfId="43007" xr:uid="{00000000-0005-0000-0000-000046700000}"/>
    <cellStyle name="Separador de milhares 3 2 7 11 2 2 5" xfId="36621" xr:uid="{00000000-0005-0000-0000-000047700000}"/>
    <cellStyle name="Separador de milhares 3 2 7 11 2 3" xfId="25685" xr:uid="{00000000-0005-0000-0000-000048700000}"/>
    <cellStyle name="Separador de milhares 3 2 7 11 2 3 2" xfId="51869" xr:uid="{00000000-0005-0000-0000-000049700000}"/>
    <cellStyle name="Separador de milhares 3 2 7 11 2 4" xfId="19771" xr:uid="{00000000-0005-0000-0000-00004A700000}"/>
    <cellStyle name="Separador de milhares 3 2 7 11 2 4 2" xfId="45961" xr:uid="{00000000-0005-0000-0000-00004B700000}"/>
    <cellStyle name="Separador de milhares 3 2 7 11 2 5" xfId="13673" xr:uid="{00000000-0005-0000-0000-00004C700000}"/>
    <cellStyle name="Separador de milhares 3 2 7 11 2 5 2" xfId="39866" xr:uid="{00000000-0005-0000-0000-00004D700000}"/>
    <cellStyle name="Separador de milhares 3 2 7 11 2 6" xfId="33480" xr:uid="{00000000-0005-0000-0000-00004E700000}"/>
    <cellStyle name="Separador de milhares 3 2 7 11 3" xfId="8960" xr:uid="{00000000-0005-0000-0000-00004F700000}"/>
    <cellStyle name="Separador de milhares 3 2 7 11 3 2" xfId="27174" xr:uid="{00000000-0005-0000-0000-000050700000}"/>
    <cellStyle name="Separador de milhares 3 2 7 11 3 2 2" xfId="53355" xr:uid="{00000000-0005-0000-0000-000051700000}"/>
    <cellStyle name="Separador de milhares 3 2 7 11 3 3" xfId="21260" xr:uid="{00000000-0005-0000-0000-000052700000}"/>
    <cellStyle name="Separador de milhares 3 2 7 11 3 3 2" xfId="47447" xr:uid="{00000000-0005-0000-0000-000053700000}"/>
    <cellStyle name="Separador de milhares 3 2 7 11 3 4" xfId="15346" xr:uid="{00000000-0005-0000-0000-000054700000}"/>
    <cellStyle name="Separador de milhares 3 2 7 11 3 4 2" xfId="41539" xr:uid="{00000000-0005-0000-0000-000055700000}"/>
    <cellStyle name="Separador de milhares 3 2 7 11 3 5" xfId="35153" xr:uid="{00000000-0005-0000-0000-000056700000}"/>
    <cellStyle name="Separador de milhares 3 2 7 11 4" xfId="5585" xr:uid="{00000000-0005-0000-0000-000057700000}"/>
    <cellStyle name="Separador de milhares 3 2 7 11 4 2" xfId="24217" xr:uid="{00000000-0005-0000-0000-000058700000}"/>
    <cellStyle name="Separador de milhares 3 2 7 11 4 2 2" xfId="50401" xr:uid="{00000000-0005-0000-0000-000059700000}"/>
    <cellStyle name="Separador de milhares 3 2 7 11 4 3" xfId="31781" xr:uid="{00000000-0005-0000-0000-00005A700000}"/>
    <cellStyle name="Separador de milhares 3 2 7 11 5" xfId="18303" xr:uid="{00000000-0005-0000-0000-00005B700000}"/>
    <cellStyle name="Separador de milhares 3 2 7 11 5 2" xfId="44493" xr:uid="{00000000-0005-0000-0000-00005C700000}"/>
    <cellStyle name="Separador de milhares 3 2 7 11 6" xfId="11972" xr:uid="{00000000-0005-0000-0000-00005D700000}"/>
    <cellStyle name="Separador de milhares 3 2 7 11 6 2" xfId="38165" xr:uid="{00000000-0005-0000-0000-00005E700000}"/>
    <cellStyle name="Separador de milhares 3 2 7 11 7" xfId="30083" xr:uid="{00000000-0005-0000-0000-00005F700000}"/>
    <cellStyle name="Separador de milhares 3 2 7 12" xfId="3596" xr:uid="{00000000-0005-0000-0000-000060700000}"/>
    <cellStyle name="Separador de milhares 3 2 7 12 2" xfId="7431" xr:uid="{00000000-0005-0000-0000-000061700000}"/>
    <cellStyle name="Separador de milhares 3 2 7 12 2 2" xfId="10575" xr:uid="{00000000-0005-0000-0000-000062700000}"/>
    <cellStyle name="Separador de milhares 3 2 7 12 2 2 2" xfId="28789" xr:uid="{00000000-0005-0000-0000-000063700000}"/>
    <cellStyle name="Separador de milhares 3 2 7 12 2 2 2 2" xfId="54970" xr:uid="{00000000-0005-0000-0000-000064700000}"/>
    <cellStyle name="Separador de milhares 3 2 7 12 2 2 3" xfId="22875" xr:uid="{00000000-0005-0000-0000-000065700000}"/>
    <cellStyle name="Separador de milhares 3 2 7 12 2 2 3 2" xfId="49062" xr:uid="{00000000-0005-0000-0000-000066700000}"/>
    <cellStyle name="Separador de milhares 3 2 7 12 2 2 4" xfId="16961" xr:uid="{00000000-0005-0000-0000-000067700000}"/>
    <cellStyle name="Separador de milhares 3 2 7 12 2 2 4 2" xfId="43154" xr:uid="{00000000-0005-0000-0000-000068700000}"/>
    <cellStyle name="Separador de milhares 3 2 7 12 2 2 5" xfId="36768" xr:uid="{00000000-0005-0000-0000-000069700000}"/>
    <cellStyle name="Separador de milhares 3 2 7 12 2 3" xfId="25832" xr:uid="{00000000-0005-0000-0000-00006A700000}"/>
    <cellStyle name="Separador de milhares 3 2 7 12 2 3 2" xfId="52016" xr:uid="{00000000-0005-0000-0000-00006B700000}"/>
    <cellStyle name="Separador de milhares 3 2 7 12 2 4" xfId="19918" xr:uid="{00000000-0005-0000-0000-00006C700000}"/>
    <cellStyle name="Separador de milhares 3 2 7 12 2 4 2" xfId="46108" xr:uid="{00000000-0005-0000-0000-00006D700000}"/>
    <cellStyle name="Separador de milhares 3 2 7 12 2 5" xfId="13820" xr:uid="{00000000-0005-0000-0000-00006E700000}"/>
    <cellStyle name="Separador de milhares 3 2 7 12 2 5 2" xfId="40013" xr:uid="{00000000-0005-0000-0000-00006F700000}"/>
    <cellStyle name="Separador de milhares 3 2 7 12 2 6" xfId="33627" xr:uid="{00000000-0005-0000-0000-000070700000}"/>
    <cellStyle name="Separador de milhares 3 2 7 12 3" xfId="9107" xr:uid="{00000000-0005-0000-0000-000071700000}"/>
    <cellStyle name="Separador de milhares 3 2 7 12 3 2" xfId="27321" xr:uid="{00000000-0005-0000-0000-000072700000}"/>
    <cellStyle name="Separador de milhares 3 2 7 12 3 2 2" xfId="53502" xr:uid="{00000000-0005-0000-0000-000073700000}"/>
    <cellStyle name="Separador de milhares 3 2 7 12 3 3" xfId="21407" xr:uid="{00000000-0005-0000-0000-000074700000}"/>
    <cellStyle name="Separador de milhares 3 2 7 12 3 3 2" xfId="47594" xr:uid="{00000000-0005-0000-0000-000075700000}"/>
    <cellStyle name="Separador de milhares 3 2 7 12 3 4" xfId="15493" xr:uid="{00000000-0005-0000-0000-000076700000}"/>
    <cellStyle name="Separador de milhares 3 2 7 12 3 4 2" xfId="41686" xr:uid="{00000000-0005-0000-0000-000077700000}"/>
    <cellStyle name="Separador de milhares 3 2 7 12 3 5" xfId="35300" xr:uid="{00000000-0005-0000-0000-000078700000}"/>
    <cellStyle name="Separador de milhares 3 2 7 12 4" xfId="5732" xr:uid="{00000000-0005-0000-0000-000079700000}"/>
    <cellStyle name="Separador de milhares 3 2 7 12 4 2" xfId="24364" xr:uid="{00000000-0005-0000-0000-00007A700000}"/>
    <cellStyle name="Separador de milhares 3 2 7 12 4 2 2" xfId="50548" xr:uid="{00000000-0005-0000-0000-00007B700000}"/>
    <cellStyle name="Separador de milhares 3 2 7 12 4 3" xfId="31928" xr:uid="{00000000-0005-0000-0000-00007C700000}"/>
    <cellStyle name="Separador de milhares 3 2 7 12 5" xfId="18450" xr:uid="{00000000-0005-0000-0000-00007D700000}"/>
    <cellStyle name="Separador de milhares 3 2 7 12 5 2" xfId="44640" xr:uid="{00000000-0005-0000-0000-00007E700000}"/>
    <cellStyle name="Separador de milhares 3 2 7 12 6" xfId="12119" xr:uid="{00000000-0005-0000-0000-00007F700000}"/>
    <cellStyle name="Separador de milhares 3 2 7 12 6 2" xfId="38312" xr:uid="{00000000-0005-0000-0000-000080700000}"/>
    <cellStyle name="Separador de milhares 3 2 7 12 7" xfId="30230" xr:uid="{00000000-0005-0000-0000-000081700000}"/>
    <cellStyle name="Separador de milhares 3 2 7 13" xfId="6415" xr:uid="{00000000-0005-0000-0000-000082700000}"/>
    <cellStyle name="Separador de milhares 3 2 7 13 2" xfId="9571" xr:uid="{00000000-0005-0000-0000-000083700000}"/>
    <cellStyle name="Separador de milhares 3 2 7 13 2 2" xfId="27785" xr:uid="{00000000-0005-0000-0000-000084700000}"/>
    <cellStyle name="Separador de milhares 3 2 7 13 2 2 2" xfId="53966" xr:uid="{00000000-0005-0000-0000-000085700000}"/>
    <cellStyle name="Separador de milhares 3 2 7 13 2 3" xfId="21871" xr:uid="{00000000-0005-0000-0000-000086700000}"/>
    <cellStyle name="Separador de milhares 3 2 7 13 2 3 2" xfId="48058" xr:uid="{00000000-0005-0000-0000-000087700000}"/>
    <cellStyle name="Separador de milhares 3 2 7 13 2 4" xfId="15957" xr:uid="{00000000-0005-0000-0000-000088700000}"/>
    <cellStyle name="Separador de milhares 3 2 7 13 2 4 2" xfId="42150" xr:uid="{00000000-0005-0000-0000-000089700000}"/>
    <cellStyle name="Separador de milhares 3 2 7 13 2 5" xfId="35764" xr:uid="{00000000-0005-0000-0000-00008A700000}"/>
    <cellStyle name="Separador de milhares 3 2 7 13 3" xfId="24828" xr:uid="{00000000-0005-0000-0000-00008B700000}"/>
    <cellStyle name="Separador de milhares 3 2 7 13 3 2" xfId="51012" xr:uid="{00000000-0005-0000-0000-00008C700000}"/>
    <cellStyle name="Separador de milhares 3 2 7 13 4" xfId="18914" xr:uid="{00000000-0005-0000-0000-00008D700000}"/>
    <cellStyle name="Separador de milhares 3 2 7 13 4 2" xfId="45104" xr:uid="{00000000-0005-0000-0000-00008E700000}"/>
    <cellStyle name="Separador de milhares 3 2 7 13 5" xfId="12804" xr:uid="{00000000-0005-0000-0000-00008F700000}"/>
    <cellStyle name="Separador de milhares 3 2 7 13 5 2" xfId="38997" xr:uid="{00000000-0005-0000-0000-000090700000}"/>
    <cellStyle name="Separador de milhares 3 2 7 13 6" xfId="32611" xr:uid="{00000000-0005-0000-0000-000091700000}"/>
    <cellStyle name="Separador de milhares 3 2 7 14" xfId="8100" xr:uid="{00000000-0005-0000-0000-000092700000}"/>
    <cellStyle name="Separador de milhares 3 2 7 14 2" xfId="26314" xr:uid="{00000000-0005-0000-0000-000093700000}"/>
    <cellStyle name="Separador de milhares 3 2 7 14 2 2" xfId="52498" xr:uid="{00000000-0005-0000-0000-000094700000}"/>
    <cellStyle name="Separador de milhares 3 2 7 14 3" xfId="20400" xr:uid="{00000000-0005-0000-0000-000095700000}"/>
    <cellStyle name="Separador de milhares 3 2 7 14 3 2" xfId="46590" xr:uid="{00000000-0005-0000-0000-000096700000}"/>
    <cellStyle name="Separador de milhares 3 2 7 14 4" xfId="14489" xr:uid="{00000000-0005-0000-0000-000097700000}"/>
    <cellStyle name="Separador de milhares 3 2 7 14 4 2" xfId="40682" xr:uid="{00000000-0005-0000-0000-000098700000}"/>
    <cellStyle name="Separador de milhares 3 2 7 14 5" xfId="34296" xr:uid="{00000000-0005-0000-0000-000099700000}"/>
    <cellStyle name="Separador de milhares 3 2 7 15" xfId="4713" xr:uid="{00000000-0005-0000-0000-00009A700000}"/>
    <cellStyle name="Separador de milhares 3 2 7 15 2" xfId="23357" xr:uid="{00000000-0005-0000-0000-00009B700000}"/>
    <cellStyle name="Separador de milhares 3 2 7 15 2 2" xfId="49544" xr:uid="{00000000-0005-0000-0000-00009C700000}"/>
    <cellStyle name="Separador de milhares 3 2 7 15 3" xfId="30912" xr:uid="{00000000-0005-0000-0000-00009D700000}"/>
    <cellStyle name="Separador de milhares 3 2 7 16" xfId="17443" xr:uid="{00000000-0005-0000-0000-00009E700000}"/>
    <cellStyle name="Separador de milhares 3 2 7 16 2" xfId="43636" xr:uid="{00000000-0005-0000-0000-00009F700000}"/>
    <cellStyle name="Separador de milhares 3 2 7 17" xfId="11103" xr:uid="{00000000-0005-0000-0000-0000A0700000}"/>
    <cellStyle name="Separador de milhares 3 2 7 17 2" xfId="37296" xr:uid="{00000000-0005-0000-0000-0000A1700000}"/>
    <cellStyle name="Separador de milhares 3 2 7 18" xfId="29214" xr:uid="{00000000-0005-0000-0000-0000A2700000}"/>
    <cellStyle name="Separador de milhares 3 2 7 2" xfId="133" xr:uid="{00000000-0005-0000-0000-0000A3700000}"/>
    <cellStyle name="Separador de milhares 3 2 7 2 10" xfId="6444" xr:uid="{00000000-0005-0000-0000-0000A4700000}"/>
    <cellStyle name="Separador de milhares 3 2 7 2 10 2" xfId="9598" xr:uid="{00000000-0005-0000-0000-0000A5700000}"/>
    <cellStyle name="Separador de milhares 3 2 7 2 10 2 2" xfId="27812" xr:uid="{00000000-0005-0000-0000-0000A6700000}"/>
    <cellStyle name="Separador de milhares 3 2 7 2 10 2 2 2" xfId="53993" xr:uid="{00000000-0005-0000-0000-0000A7700000}"/>
    <cellStyle name="Separador de milhares 3 2 7 2 10 2 3" xfId="21898" xr:uid="{00000000-0005-0000-0000-0000A8700000}"/>
    <cellStyle name="Separador de milhares 3 2 7 2 10 2 3 2" xfId="48085" xr:uid="{00000000-0005-0000-0000-0000A9700000}"/>
    <cellStyle name="Separador de milhares 3 2 7 2 10 2 4" xfId="15984" xr:uid="{00000000-0005-0000-0000-0000AA700000}"/>
    <cellStyle name="Separador de milhares 3 2 7 2 10 2 4 2" xfId="42177" xr:uid="{00000000-0005-0000-0000-0000AB700000}"/>
    <cellStyle name="Separador de milhares 3 2 7 2 10 2 5" xfId="35791" xr:uid="{00000000-0005-0000-0000-0000AC700000}"/>
    <cellStyle name="Separador de milhares 3 2 7 2 10 3" xfId="24855" xr:uid="{00000000-0005-0000-0000-0000AD700000}"/>
    <cellStyle name="Separador de milhares 3 2 7 2 10 3 2" xfId="51039" xr:uid="{00000000-0005-0000-0000-0000AE700000}"/>
    <cellStyle name="Separador de milhares 3 2 7 2 10 4" xfId="18941" xr:uid="{00000000-0005-0000-0000-0000AF700000}"/>
    <cellStyle name="Separador de milhares 3 2 7 2 10 4 2" xfId="45131" xr:uid="{00000000-0005-0000-0000-0000B0700000}"/>
    <cellStyle name="Separador de milhares 3 2 7 2 10 5" xfId="12833" xr:uid="{00000000-0005-0000-0000-0000B1700000}"/>
    <cellStyle name="Separador de milhares 3 2 7 2 10 5 2" xfId="39026" xr:uid="{00000000-0005-0000-0000-0000B2700000}"/>
    <cellStyle name="Separador de milhares 3 2 7 2 10 6" xfId="32640" xr:uid="{00000000-0005-0000-0000-0000B3700000}"/>
    <cellStyle name="Separador de milhares 3 2 7 2 11" xfId="8127" xr:uid="{00000000-0005-0000-0000-0000B4700000}"/>
    <cellStyle name="Separador de milhares 3 2 7 2 11 2" xfId="26341" xr:uid="{00000000-0005-0000-0000-0000B5700000}"/>
    <cellStyle name="Separador de milhares 3 2 7 2 11 2 2" xfId="52525" xr:uid="{00000000-0005-0000-0000-0000B6700000}"/>
    <cellStyle name="Separador de milhares 3 2 7 2 11 3" xfId="20427" xr:uid="{00000000-0005-0000-0000-0000B7700000}"/>
    <cellStyle name="Separador de milhares 3 2 7 2 11 3 2" xfId="46617" xr:uid="{00000000-0005-0000-0000-0000B8700000}"/>
    <cellStyle name="Separador de milhares 3 2 7 2 11 4" xfId="14516" xr:uid="{00000000-0005-0000-0000-0000B9700000}"/>
    <cellStyle name="Separador de milhares 3 2 7 2 11 4 2" xfId="40709" xr:uid="{00000000-0005-0000-0000-0000BA700000}"/>
    <cellStyle name="Separador de milhares 3 2 7 2 11 5" xfId="34323" xr:uid="{00000000-0005-0000-0000-0000BB700000}"/>
    <cellStyle name="Separador de milhares 3 2 7 2 12" xfId="4743" xr:uid="{00000000-0005-0000-0000-0000BC700000}"/>
    <cellStyle name="Separador de milhares 3 2 7 2 12 2" xfId="23384" xr:uid="{00000000-0005-0000-0000-0000BD700000}"/>
    <cellStyle name="Separador de milhares 3 2 7 2 12 2 2" xfId="49571" xr:uid="{00000000-0005-0000-0000-0000BE700000}"/>
    <cellStyle name="Separador de milhares 3 2 7 2 12 3" xfId="30941" xr:uid="{00000000-0005-0000-0000-0000BF700000}"/>
    <cellStyle name="Separador de milhares 3 2 7 2 13" xfId="17470" xr:uid="{00000000-0005-0000-0000-0000C0700000}"/>
    <cellStyle name="Separador de milhares 3 2 7 2 13 2" xfId="43663" xr:uid="{00000000-0005-0000-0000-0000C1700000}"/>
    <cellStyle name="Separador de milhares 3 2 7 2 14" xfId="11132" xr:uid="{00000000-0005-0000-0000-0000C2700000}"/>
    <cellStyle name="Separador de milhares 3 2 7 2 14 2" xfId="37325" xr:uid="{00000000-0005-0000-0000-0000C3700000}"/>
    <cellStyle name="Separador de milhares 3 2 7 2 15" xfId="29244" xr:uid="{00000000-0005-0000-0000-0000C4700000}"/>
    <cellStyle name="Separador de milhares 3 2 7 2 2" xfId="406" xr:uid="{00000000-0005-0000-0000-0000C5700000}"/>
    <cellStyle name="Separador de milhares 3 2 7 2 2 10" xfId="17544" xr:uid="{00000000-0005-0000-0000-0000C6700000}"/>
    <cellStyle name="Separador de milhares 3 2 7 2 2 10 2" xfId="43737" xr:uid="{00000000-0005-0000-0000-0000C7700000}"/>
    <cellStyle name="Separador de milhares 3 2 7 2 2 11" xfId="11213" xr:uid="{00000000-0005-0000-0000-0000C8700000}"/>
    <cellStyle name="Separador de milhares 3 2 7 2 2 11 2" xfId="37406" xr:uid="{00000000-0005-0000-0000-0000C9700000}"/>
    <cellStyle name="Separador de milhares 3 2 7 2 2 12" xfId="29324" xr:uid="{00000000-0005-0000-0000-0000CA700000}"/>
    <cellStyle name="Separador de milhares 3 2 7 2 2 2" xfId="1925" xr:uid="{00000000-0005-0000-0000-0000CB700000}"/>
    <cellStyle name="Separador de milhares 3 2 7 2 2 2 2" xfId="6963" xr:uid="{00000000-0005-0000-0000-0000CC700000}"/>
    <cellStyle name="Separador de milhares 3 2 7 2 2 2 2 2" xfId="10110" xr:uid="{00000000-0005-0000-0000-0000CD700000}"/>
    <cellStyle name="Separador de milhares 3 2 7 2 2 2 2 2 2" xfId="28324" xr:uid="{00000000-0005-0000-0000-0000CE700000}"/>
    <cellStyle name="Separador de milhares 3 2 7 2 2 2 2 2 2 2" xfId="54505" xr:uid="{00000000-0005-0000-0000-0000CF700000}"/>
    <cellStyle name="Separador de milhares 3 2 7 2 2 2 2 2 3" xfId="22410" xr:uid="{00000000-0005-0000-0000-0000D0700000}"/>
    <cellStyle name="Separador de milhares 3 2 7 2 2 2 2 2 3 2" xfId="48597" xr:uid="{00000000-0005-0000-0000-0000D1700000}"/>
    <cellStyle name="Separador de milhares 3 2 7 2 2 2 2 2 4" xfId="16496" xr:uid="{00000000-0005-0000-0000-0000D2700000}"/>
    <cellStyle name="Separador de milhares 3 2 7 2 2 2 2 2 4 2" xfId="42689" xr:uid="{00000000-0005-0000-0000-0000D3700000}"/>
    <cellStyle name="Separador de milhares 3 2 7 2 2 2 2 2 5" xfId="36303" xr:uid="{00000000-0005-0000-0000-0000D4700000}"/>
    <cellStyle name="Separador de milhares 3 2 7 2 2 2 2 3" xfId="25367" xr:uid="{00000000-0005-0000-0000-0000D5700000}"/>
    <cellStyle name="Separador de milhares 3 2 7 2 2 2 2 3 2" xfId="51551" xr:uid="{00000000-0005-0000-0000-0000D6700000}"/>
    <cellStyle name="Separador de milhares 3 2 7 2 2 2 2 4" xfId="19453" xr:uid="{00000000-0005-0000-0000-0000D7700000}"/>
    <cellStyle name="Separador de milhares 3 2 7 2 2 2 2 4 2" xfId="45643" xr:uid="{00000000-0005-0000-0000-0000D8700000}"/>
    <cellStyle name="Separador de milhares 3 2 7 2 2 2 2 5" xfId="13352" xr:uid="{00000000-0005-0000-0000-0000D9700000}"/>
    <cellStyle name="Separador de milhares 3 2 7 2 2 2 2 5 2" xfId="39545" xr:uid="{00000000-0005-0000-0000-0000DA700000}"/>
    <cellStyle name="Separador de milhares 3 2 7 2 2 2 2 6" xfId="33159" xr:uid="{00000000-0005-0000-0000-0000DB700000}"/>
    <cellStyle name="Separador de milhares 3 2 7 2 2 2 3" xfId="8642" xr:uid="{00000000-0005-0000-0000-0000DC700000}"/>
    <cellStyle name="Separador de milhares 3 2 7 2 2 2 3 2" xfId="26856" xr:uid="{00000000-0005-0000-0000-0000DD700000}"/>
    <cellStyle name="Separador de milhares 3 2 7 2 2 2 3 2 2" xfId="53037" xr:uid="{00000000-0005-0000-0000-0000DE700000}"/>
    <cellStyle name="Separador de milhares 3 2 7 2 2 2 3 3" xfId="20942" xr:uid="{00000000-0005-0000-0000-0000DF700000}"/>
    <cellStyle name="Separador de milhares 3 2 7 2 2 2 3 3 2" xfId="47129" xr:uid="{00000000-0005-0000-0000-0000E0700000}"/>
    <cellStyle name="Separador de milhares 3 2 7 2 2 2 3 4" xfId="15028" xr:uid="{00000000-0005-0000-0000-0000E1700000}"/>
    <cellStyle name="Separador de milhares 3 2 7 2 2 2 3 4 2" xfId="41221" xr:uid="{00000000-0005-0000-0000-0000E2700000}"/>
    <cellStyle name="Separador de milhares 3 2 7 2 2 2 3 5" xfId="34835" xr:uid="{00000000-0005-0000-0000-0000E3700000}"/>
    <cellStyle name="Separador de milhares 3 2 7 2 2 2 4" xfId="5264" xr:uid="{00000000-0005-0000-0000-0000E4700000}"/>
    <cellStyle name="Separador de milhares 3 2 7 2 2 2 4 2" xfId="23899" xr:uid="{00000000-0005-0000-0000-0000E5700000}"/>
    <cellStyle name="Separador de milhares 3 2 7 2 2 2 4 2 2" xfId="50083" xr:uid="{00000000-0005-0000-0000-0000E6700000}"/>
    <cellStyle name="Separador de milhares 3 2 7 2 2 2 4 3" xfId="31460" xr:uid="{00000000-0005-0000-0000-0000E7700000}"/>
    <cellStyle name="Separador de milhares 3 2 7 2 2 2 5" xfId="17985" xr:uid="{00000000-0005-0000-0000-0000E8700000}"/>
    <cellStyle name="Separador de milhares 3 2 7 2 2 2 5 2" xfId="44175" xr:uid="{00000000-0005-0000-0000-0000E9700000}"/>
    <cellStyle name="Separador de milhares 3 2 7 2 2 2 6" xfId="11651" xr:uid="{00000000-0005-0000-0000-0000EA700000}"/>
    <cellStyle name="Separador de milhares 3 2 7 2 2 2 6 2" xfId="37844" xr:uid="{00000000-0005-0000-0000-0000EB700000}"/>
    <cellStyle name="Separador de milhares 3 2 7 2 2 2 7" xfId="29762" xr:uid="{00000000-0005-0000-0000-0000EC700000}"/>
    <cellStyle name="Separador de milhares 3 2 7 2 2 3" xfId="2455" xr:uid="{00000000-0005-0000-0000-0000ED700000}"/>
    <cellStyle name="Separador de milhares 3 2 7 2 2 3 2" xfId="7113" xr:uid="{00000000-0005-0000-0000-0000EE700000}"/>
    <cellStyle name="Separador de milhares 3 2 7 2 2 3 2 2" xfId="10257" xr:uid="{00000000-0005-0000-0000-0000EF700000}"/>
    <cellStyle name="Separador de milhares 3 2 7 2 2 3 2 2 2" xfId="28471" xr:uid="{00000000-0005-0000-0000-0000F0700000}"/>
    <cellStyle name="Separador de milhares 3 2 7 2 2 3 2 2 2 2" xfId="54652" xr:uid="{00000000-0005-0000-0000-0000F1700000}"/>
    <cellStyle name="Separador de milhares 3 2 7 2 2 3 2 2 3" xfId="22557" xr:uid="{00000000-0005-0000-0000-0000F2700000}"/>
    <cellStyle name="Separador de milhares 3 2 7 2 2 3 2 2 3 2" xfId="48744" xr:uid="{00000000-0005-0000-0000-0000F3700000}"/>
    <cellStyle name="Separador de milhares 3 2 7 2 2 3 2 2 4" xfId="16643" xr:uid="{00000000-0005-0000-0000-0000F4700000}"/>
    <cellStyle name="Separador de milhares 3 2 7 2 2 3 2 2 4 2" xfId="42836" xr:uid="{00000000-0005-0000-0000-0000F5700000}"/>
    <cellStyle name="Separador de milhares 3 2 7 2 2 3 2 2 5" xfId="36450" xr:uid="{00000000-0005-0000-0000-0000F6700000}"/>
    <cellStyle name="Separador de milhares 3 2 7 2 2 3 2 3" xfId="25514" xr:uid="{00000000-0005-0000-0000-0000F7700000}"/>
    <cellStyle name="Separador de milhares 3 2 7 2 2 3 2 3 2" xfId="51698" xr:uid="{00000000-0005-0000-0000-0000F8700000}"/>
    <cellStyle name="Separador de milhares 3 2 7 2 2 3 2 4" xfId="19600" xr:uid="{00000000-0005-0000-0000-0000F9700000}"/>
    <cellStyle name="Separador de milhares 3 2 7 2 2 3 2 4 2" xfId="45790" xr:uid="{00000000-0005-0000-0000-0000FA700000}"/>
    <cellStyle name="Separador de milhares 3 2 7 2 2 3 2 5" xfId="13502" xr:uid="{00000000-0005-0000-0000-0000FB700000}"/>
    <cellStyle name="Separador de milhares 3 2 7 2 2 3 2 5 2" xfId="39695" xr:uid="{00000000-0005-0000-0000-0000FC700000}"/>
    <cellStyle name="Separador de milhares 3 2 7 2 2 3 2 6" xfId="33309" xr:uid="{00000000-0005-0000-0000-0000FD700000}"/>
    <cellStyle name="Separador de milhares 3 2 7 2 2 3 3" xfId="8789" xr:uid="{00000000-0005-0000-0000-0000FE700000}"/>
    <cellStyle name="Separador de milhares 3 2 7 2 2 3 3 2" xfId="27003" xr:uid="{00000000-0005-0000-0000-0000FF700000}"/>
    <cellStyle name="Separador de milhares 3 2 7 2 2 3 3 2 2" xfId="53184" xr:uid="{00000000-0005-0000-0000-000000710000}"/>
    <cellStyle name="Separador de milhares 3 2 7 2 2 3 3 3" xfId="21089" xr:uid="{00000000-0005-0000-0000-000001710000}"/>
    <cellStyle name="Separador de milhares 3 2 7 2 2 3 3 3 2" xfId="47276" xr:uid="{00000000-0005-0000-0000-000002710000}"/>
    <cellStyle name="Separador de milhares 3 2 7 2 2 3 3 4" xfId="15175" xr:uid="{00000000-0005-0000-0000-000003710000}"/>
    <cellStyle name="Separador de milhares 3 2 7 2 2 3 3 4 2" xfId="41368" xr:uid="{00000000-0005-0000-0000-000004710000}"/>
    <cellStyle name="Separador de milhares 3 2 7 2 2 3 3 5" xfId="34982" xr:uid="{00000000-0005-0000-0000-000005710000}"/>
    <cellStyle name="Separador de milhares 3 2 7 2 2 3 4" xfId="5414" xr:uid="{00000000-0005-0000-0000-000006710000}"/>
    <cellStyle name="Separador de milhares 3 2 7 2 2 3 4 2" xfId="24046" xr:uid="{00000000-0005-0000-0000-000007710000}"/>
    <cellStyle name="Separador de milhares 3 2 7 2 2 3 4 2 2" xfId="50230" xr:uid="{00000000-0005-0000-0000-000008710000}"/>
    <cellStyle name="Separador de milhares 3 2 7 2 2 3 4 3" xfId="31610" xr:uid="{00000000-0005-0000-0000-000009710000}"/>
    <cellStyle name="Separador de milhares 3 2 7 2 2 3 5" xfId="18132" xr:uid="{00000000-0005-0000-0000-00000A710000}"/>
    <cellStyle name="Separador de milhares 3 2 7 2 2 3 5 2" xfId="44322" xr:uid="{00000000-0005-0000-0000-00000B710000}"/>
    <cellStyle name="Separador de milhares 3 2 7 2 2 3 6" xfId="11801" xr:uid="{00000000-0005-0000-0000-00000C710000}"/>
    <cellStyle name="Separador de milhares 3 2 7 2 2 3 6 2" xfId="37994" xr:uid="{00000000-0005-0000-0000-00000D710000}"/>
    <cellStyle name="Separador de milhares 3 2 7 2 2 3 7" xfId="29912" xr:uid="{00000000-0005-0000-0000-00000E710000}"/>
    <cellStyle name="Separador de milhares 3 2 7 2 2 4" xfId="2982" xr:uid="{00000000-0005-0000-0000-00000F710000}"/>
    <cellStyle name="Separador de milhares 3 2 7 2 2 4 2" xfId="7260" xr:uid="{00000000-0005-0000-0000-000010710000}"/>
    <cellStyle name="Separador de milhares 3 2 7 2 2 4 2 2" xfId="10404" xr:uid="{00000000-0005-0000-0000-000011710000}"/>
    <cellStyle name="Separador de milhares 3 2 7 2 2 4 2 2 2" xfId="28618" xr:uid="{00000000-0005-0000-0000-000012710000}"/>
    <cellStyle name="Separador de milhares 3 2 7 2 2 4 2 2 2 2" xfId="54799" xr:uid="{00000000-0005-0000-0000-000013710000}"/>
    <cellStyle name="Separador de milhares 3 2 7 2 2 4 2 2 3" xfId="22704" xr:uid="{00000000-0005-0000-0000-000014710000}"/>
    <cellStyle name="Separador de milhares 3 2 7 2 2 4 2 2 3 2" xfId="48891" xr:uid="{00000000-0005-0000-0000-000015710000}"/>
    <cellStyle name="Separador de milhares 3 2 7 2 2 4 2 2 4" xfId="16790" xr:uid="{00000000-0005-0000-0000-000016710000}"/>
    <cellStyle name="Separador de milhares 3 2 7 2 2 4 2 2 4 2" xfId="42983" xr:uid="{00000000-0005-0000-0000-000017710000}"/>
    <cellStyle name="Separador de milhares 3 2 7 2 2 4 2 2 5" xfId="36597" xr:uid="{00000000-0005-0000-0000-000018710000}"/>
    <cellStyle name="Separador de milhares 3 2 7 2 2 4 2 3" xfId="25661" xr:uid="{00000000-0005-0000-0000-000019710000}"/>
    <cellStyle name="Separador de milhares 3 2 7 2 2 4 2 3 2" xfId="51845" xr:uid="{00000000-0005-0000-0000-00001A710000}"/>
    <cellStyle name="Separador de milhares 3 2 7 2 2 4 2 4" xfId="19747" xr:uid="{00000000-0005-0000-0000-00001B710000}"/>
    <cellStyle name="Separador de milhares 3 2 7 2 2 4 2 4 2" xfId="45937" xr:uid="{00000000-0005-0000-0000-00001C710000}"/>
    <cellStyle name="Separador de milhares 3 2 7 2 2 4 2 5" xfId="13649" xr:uid="{00000000-0005-0000-0000-00001D710000}"/>
    <cellStyle name="Separador de milhares 3 2 7 2 2 4 2 5 2" xfId="39842" xr:uid="{00000000-0005-0000-0000-00001E710000}"/>
    <cellStyle name="Separador de milhares 3 2 7 2 2 4 2 6" xfId="33456" xr:uid="{00000000-0005-0000-0000-00001F710000}"/>
    <cellStyle name="Separador de milhares 3 2 7 2 2 4 3" xfId="8936" xr:uid="{00000000-0005-0000-0000-000020710000}"/>
    <cellStyle name="Separador de milhares 3 2 7 2 2 4 3 2" xfId="27150" xr:uid="{00000000-0005-0000-0000-000021710000}"/>
    <cellStyle name="Separador de milhares 3 2 7 2 2 4 3 2 2" xfId="53331" xr:uid="{00000000-0005-0000-0000-000022710000}"/>
    <cellStyle name="Separador de milhares 3 2 7 2 2 4 3 3" xfId="21236" xr:uid="{00000000-0005-0000-0000-000023710000}"/>
    <cellStyle name="Separador de milhares 3 2 7 2 2 4 3 3 2" xfId="47423" xr:uid="{00000000-0005-0000-0000-000024710000}"/>
    <cellStyle name="Separador de milhares 3 2 7 2 2 4 3 4" xfId="15322" xr:uid="{00000000-0005-0000-0000-000025710000}"/>
    <cellStyle name="Separador de milhares 3 2 7 2 2 4 3 4 2" xfId="41515" xr:uid="{00000000-0005-0000-0000-000026710000}"/>
    <cellStyle name="Separador de milhares 3 2 7 2 2 4 3 5" xfId="35129" xr:uid="{00000000-0005-0000-0000-000027710000}"/>
    <cellStyle name="Separador de milhares 3 2 7 2 2 4 4" xfId="5561" xr:uid="{00000000-0005-0000-0000-000028710000}"/>
    <cellStyle name="Separador de milhares 3 2 7 2 2 4 4 2" xfId="24193" xr:uid="{00000000-0005-0000-0000-000029710000}"/>
    <cellStyle name="Separador de milhares 3 2 7 2 2 4 4 2 2" xfId="50377" xr:uid="{00000000-0005-0000-0000-00002A710000}"/>
    <cellStyle name="Separador de milhares 3 2 7 2 2 4 4 3" xfId="31757" xr:uid="{00000000-0005-0000-0000-00002B710000}"/>
    <cellStyle name="Separador de milhares 3 2 7 2 2 4 5" xfId="18279" xr:uid="{00000000-0005-0000-0000-00002C710000}"/>
    <cellStyle name="Separador de milhares 3 2 7 2 2 4 5 2" xfId="44469" xr:uid="{00000000-0005-0000-0000-00002D710000}"/>
    <cellStyle name="Separador de milhares 3 2 7 2 2 4 6" xfId="11948" xr:uid="{00000000-0005-0000-0000-00002E710000}"/>
    <cellStyle name="Separador de milhares 3 2 7 2 2 4 6 2" xfId="38141" xr:uid="{00000000-0005-0000-0000-00002F710000}"/>
    <cellStyle name="Separador de milhares 3 2 7 2 2 4 7" xfId="30059" xr:uid="{00000000-0005-0000-0000-000030710000}"/>
    <cellStyle name="Separador de milhares 3 2 7 2 2 5" xfId="3509" xr:uid="{00000000-0005-0000-0000-000031710000}"/>
    <cellStyle name="Separador de milhares 3 2 7 2 2 5 2" xfId="7407" xr:uid="{00000000-0005-0000-0000-000032710000}"/>
    <cellStyle name="Separador de milhares 3 2 7 2 2 5 2 2" xfId="10551" xr:uid="{00000000-0005-0000-0000-000033710000}"/>
    <cellStyle name="Separador de milhares 3 2 7 2 2 5 2 2 2" xfId="28765" xr:uid="{00000000-0005-0000-0000-000034710000}"/>
    <cellStyle name="Separador de milhares 3 2 7 2 2 5 2 2 2 2" xfId="54946" xr:uid="{00000000-0005-0000-0000-000035710000}"/>
    <cellStyle name="Separador de milhares 3 2 7 2 2 5 2 2 3" xfId="22851" xr:uid="{00000000-0005-0000-0000-000036710000}"/>
    <cellStyle name="Separador de milhares 3 2 7 2 2 5 2 2 3 2" xfId="49038" xr:uid="{00000000-0005-0000-0000-000037710000}"/>
    <cellStyle name="Separador de milhares 3 2 7 2 2 5 2 2 4" xfId="16937" xr:uid="{00000000-0005-0000-0000-000038710000}"/>
    <cellStyle name="Separador de milhares 3 2 7 2 2 5 2 2 4 2" xfId="43130" xr:uid="{00000000-0005-0000-0000-000039710000}"/>
    <cellStyle name="Separador de milhares 3 2 7 2 2 5 2 2 5" xfId="36744" xr:uid="{00000000-0005-0000-0000-00003A710000}"/>
    <cellStyle name="Separador de milhares 3 2 7 2 2 5 2 3" xfId="25808" xr:uid="{00000000-0005-0000-0000-00003B710000}"/>
    <cellStyle name="Separador de milhares 3 2 7 2 2 5 2 3 2" xfId="51992" xr:uid="{00000000-0005-0000-0000-00003C710000}"/>
    <cellStyle name="Separador de milhares 3 2 7 2 2 5 2 4" xfId="19894" xr:uid="{00000000-0005-0000-0000-00003D710000}"/>
    <cellStyle name="Separador de milhares 3 2 7 2 2 5 2 4 2" xfId="46084" xr:uid="{00000000-0005-0000-0000-00003E710000}"/>
    <cellStyle name="Separador de milhares 3 2 7 2 2 5 2 5" xfId="13796" xr:uid="{00000000-0005-0000-0000-00003F710000}"/>
    <cellStyle name="Separador de milhares 3 2 7 2 2 5 2 5 2" xfId="39989" xr:uid="{00000000-0005-0000-0000-000040710000}"/>
    <cellStyle name="Separador de milhares 3 2 7 2 2 5 2 6" xfId="33603" xr:uid="{00000000-0005-0000-0000-000041710000}"/>
    <cellStyle name="Separador de milhares 3 2 7 2 2 5 3" xfId="9083" xr:uid="{00000000-0005-0000-0000-000042710000}"/>
    <cellStyle name="Separador de milhares 3 2 7 2 2 5 3 2" xfId="27297" xr:uid="{00000000-0005-0000-0000-000043710000}"/>
    <cellStyle name="Separador de milhares 3 2 7 2 2 5 3 2 2" xfId="53478" xr:uid="{00000000-0005-0000-0000-000044710000}"/>
    <cellStyle name="Separador de milhares 3 2 7 2 2 5 3 3" xfId="21383" xr:uid="{00000000-0005-0000-0000-000045710000}"/>
    <cellStyle name="Separador de milhares 3 2 7 2 2 5 3 3 2" xfId="47570" xr:uid="{00000000-0005-0000-0000-000046710000}"/>
    <cellStyle name="Separador de milhares 3 2 7 2 2 5 3 4" xfId="15469" xr:uid="{00000000-0005-0000-0000-000047710000}"/>
    <cellStyle name="Separador de milhares 3 2 7 2 2 5 3 4 2" xfId="41662" xr:uid="{00000000-0005-0000-0000-000048710000}"/>
    <cellStyle name="Separador de milhares 3 2 7 2 2 5 3 5" xfId="35276" xr:uid="{00000000-0005-0000-0000-000049710000}"/>
    <cellStyle name="Separador de milhares 3 2 7 2 2 5 4" xfId="5708" xr:uid="{00000000-0005-0000-0000-00004A710000}"/>
    <cellStyle name="Separador de milhares 3 2 7 2 2 5 4 2" xfId="24340" xr:uid="{00000000-0005-0000-0000-00004B710000}"/>
    <cellStyle name="Separador de milhares 3 2 7 2 2 5 4 2 2" xfId="50524" xr:uid="{00000000-0005-0000-0000-00004C710000}"/>
    <cellStyle name="Separador de milhares 3 2 7 2 2 5 4 3" xfId="31904" xr:uid="{00000000-0005-0000-0000-00004D710000}"/>
    <cellStyle name="Separador de milhares 3 2 7 2 2 5 5" xfId="18426" xr:uid="{00000000-0005-0000-0000-00004E710000}"/>
    <cellStyle name="Separador de milhares 3 2 7 2 2 5 5 2" xfId="44616" xr:uid="{00000000-0005-0000-0000-00004F710000}"/>
    <cellStyle name="Separador de milhares 3 2 7 2 2 5 6" xfId="12095" xr:uid="{00000000-0005-0000-0000-000050710000}"/>
    <cellStyle name="Separador de milhares 3 2 7 2 2 5 6 2" xfId="38288" xr:uid="{00000000-0005-0000-0000-000051710000}"/>
    <cellStyle name="Separador de milhares 3 2 7 2 2 5 7" xfId="30206" xr:uid="{00000000-0005-0000-0000-000052710000}"/>
    <cellStyle name="Separador de milhares 3 2 7 2 2 6" xfId="4036" xr:uid="{00000000-0005-0000-0000-000053710000}"/>
    <cellStyle name="Separador de milhares 3 2 7 2 2 6 2" xfId="7554" xr:uid="{00000000-0005-0000-0000-000054710000}"/>
    <cellStyle name="Separador de milhares 3 2 7 2 2 6 2 2" xfId="10698" xr:uid="{00000000-0005-0000-0000-000055710000}"/>
    <cellStyle name="Separador de milhares 3 2 7 2 2 6 2 2 2" xfId="28912" xr:uid="{00000000-0005-0000-0000-000056710000}"/>
    <cellStyle name="Separador de milhares 3 2 7 2 2 6 2 2 2 2" xfId="55093" xr:uid="{00000000-0005-0000-0000-000057710000}"/>
    <cellStyle name="Separador de milhares 3 2 7 2 2 6 2 2 3" xfId="22998" xr:uid="{00000000-0005-0000-0000-000058710000}"/>
    <cellStyle name="Separador de milhares 3 2 7 2 2 6 2 2 3 2" xfId="49185" xr:uid="{00000000-0005-0000-0000-000059710000}"/>
    <cellStyle name="Separador de milhares 3 2 7 2 2 6 2 2 4" xfId="17084" xr:uid="{00000000-0005-0000-0000-00005A710000}"/>
    <cellStyle name="Separador de milhares 3 2 7 2 2 6 2 2 4 2" xfId="43277" xr:uid="{00000000-0005-0000-0000-00005B710000}"/>
    <cellStyle name="Separador de milhares 3 2 7 2 2 6 2 2 5" xfId="36891" xr:uid="{00000000-0005-0000-0000-00005C710000}"/>
    <cellStyle name="Separador de milhares 3 2 7 2 2 6 2 3" xfId="25955" xr:uid="{00000000-0005-0000-0000-00005D710000}"/>
    <cellStyle name="Separador de milhares 3 2 7 2 2 6 2 3 2" xfId="52139" xr:uid="{00000000-0005-0000-0000-00005E710000}"/>
    <cellStyle name="Separador de milhares 3 2 7 2 2 6 2 4" xfId="20041" xr:uid="{00000000-0005-0000-0000-00005F710000}"/>
    <cellStyle name="Separador de milhares 3 2 7 2 2 6 2 4 2" xfId="46231" xr:uid="{00000000-0005-0000-0000-000060710000}"/>
    <cellStyle name="Separador de milhares 3 2 7 2 2 6 2 5" xfId="13943" xr:uid="{00000000-0005-0000-0000-000061710000}"/>
    <cellStyle name="Separador de milhares 3 2 7 2 2 6 2 5 2" xfId="40136" xr:uid="{00000000-0005-0000-0000-000062710000}"/>
    <cellStyle name="Separador de milhares 3 2 7 2 2 6 2 6" xfId="33750" xr:uid="{00000000-0005-0000-0000-000063710000}"/>
    <cellStyle name="Separador de milhares 3 2 7 2 2 6 3" xfId="9230" xr:uid="{00000000-0005-0000-0000-000064710000}"/>
    <cellStyle name="Separador de milhares 3 2 7 2 2 6 3 2" xfId="27444" xr:uid="{00000000-0005-0000-0000-000065710000}"/>
    <cellStyle name="Separador de milhares 3 2 7 2 2 6 3 2 2" xfId="53625" xr:uid="{00000000-0005-0000-0000-000066710000}"/>
    <cellStyle name="Separador de milhares 3 2 7 2 2 6 3 3" xfId="21530" xr:uid="{00000000-0005-0000-0000-000067710000}"/>
    <cellStyle name="Separador de milhares 3 2 7 2 2 6 3 3 2" xfId="47717" xr:uid="{00000000-0005-0000-0000-000068710000}"/>
    <cellStyle name="Separador de milhares 3 2 7 2 2 6 3 4" xfId="15616" xr:uid="{00000000-0005-0000-0000-000069710000}"/>
    <cellStyle name="Separador de milhares 3 2 7 2 2 6 3 4 2" xfId="41809" xr:uid="{00000000-0005-0000-0000-00006A710000}"/>
    <cellStyle name="Separador de milhares 3 2 7 2 2 6 3 5" xfId="35423" xr:uid="{00000000-0005-0000-0000-00006B710000}"/>
    <cellStyle name="Separador de milhares 3 2 7 2 2 6 4" xfId="5855" xr:uid="{00000000-0005-0000-0000-00006C710000}"/>
    <cellStyle name="Separador de milhares 3 2 7 2 2 6 4 2" xfId="24487" xr:uid="{00000000-0005-0000-0000-00006D710000}"/>
    <cellStyle name="Separador de milhares 3 2 7 2 2 6 4 2 2" xfId="50671" xr:uid="{00000000-0005-0000-0000-00006E710000}"/>
    <cellStyle name="Separador de milhares 3 2 7 2 2 6 4 3" xfId="32051" xr:uid="{00000000-0005-0000-0000-00006F710000}"/>
    <cellStyle name="Separador de milhares 3 2 7 2 2 6 5" xfId="18573" xr:uid="{00000000-0005-0000-0000-000070710000}"/>
    <cellStyle name="Separador de milhares 3 2 7 2 2 6 5 2" xfId="44763" xr:uid="{00000000-0005-0000-0000-000071710000}"/>
    <cellStyle name="Separador de milhares 3 2 7 2 2 6 6" xfId="12242" xr:uid="{00000000-0005-0000-0000-000072710000}"/>
    <cellStyle name="Separador de milhares 3 2 7 2 2 6 6 2" xfId="38435" xr:uid="{00000000-0005-0000-0000-000073710000}"/>
    <cellStyle name="Separador de milhares 3 2 7 2 2 6 7" xfId="30353" xr:uid="{00000000-0005-0000-0000-000074710000}"/>
    <cellStyle name="Separador de milhares 3 2 7 2 2 7" xfId="6525" xr:uid="{00000000-0005-0000-0000-000075710000}"/>
    <cellStyle name="Separador de milhares 3 2 7 2 2 7 2" xfId="9672" xr:uid="{00000000-0005-0000-0000-000076710000}"/>
    <cellStyle name="Separador de milhares 3 2 7 2 2 7 2 2" xfId="27886" xr:uid="{00000000-0005-0000-0000-000077710000}"/>
    <cellStyle name="Separador de milhares 3 2 7 2 2 7 2 2 2" xfId="54067" xr:uid="{00000000-0005-0000-0000-000078710000}"/>
    <cellStyle name="Separador de milhares 3 2 7 2 2 7 2 3" xfId="21972" xr:uid="{00000000-0005-0000-0000-000079710000}"/>
    <cellStyle name="Separador de milhares 3 2 7 2 2 7 2 3 2" xfId="48159" xr:uid="{00000000-0005-0000-0000-00007A710000}"/>
    <cellStyle name="Separador de milhares 3 2 7 2 2 7 2 4" xfId="16058" xr:uid="{00000000-0005-0000-0000-00007B710000}"/>
    <cellStyle name="Separador de milhares 3 2 7 2 2 7 2 4 2" xfId="42251" xr:uid="{00000000-0005-0000-0000-00007C710000}"/>
    <cellStyle name="Separador de milhares 3 2 7 2 2 7 2 5" xfId="35865" xr:uid="{00000000-0005-0000-0000-00007D710000}"/>
    <cellStyle name="Separador de milhares 3 2 7 2 2 7 3" xfId="24929" xr:uid="{00000000-0005-0000-0000-00007E710000}"/>
    <cellStyle name="Separador de milhares 3 2 7 2 2 7 3 2" xfId="51113" xr:uid="{00000000-0005-0000-0000-00007F710000}"/>
    <cellStyle name="Separador de milhares 3 2 7 2 2 7 4" xfId="19015" xr:uid="{00000000-0005-0000-0000-000080710000}"/>
    <cellStyle name="Separador de milhares 3 2 7 2 2 7 4 2" xfId="45205" xr:uid="{00000000-0005-0000-0000-000081710000}"/>
    <cellStyle name="Separador de milhares 3 2 7 2 2 7 5" xfId="12914" xr:uid="{00000000-0005-0000-0000-000082710000}"/>
    <cellStyle name="Separador de milhares 3 2 7 2 2 7 5 2" xfId="39107" xr:uid="{00000000-0005-0000-0000-000083710000}"/>
    <cellStyle name="Separador de milhares 3 2 7 2 2 7 6" xfId="32721" xr:uid="{00000000-0005-0000-0000-000084710000}"/>
    <cellStyle name="Separador de milhares 3 2 7 2 2 8" xfId="8201" xr:uid="{00000000-0005-0000-0000-000085710000}"/>
    <cellStyle name="Separador de milhares 3 2 7 2 2 8 2" xfId="26415" xr:uid="{00000000-0005-0000-0000-000086710000}"/>
    <cellStyle name="Separador de milhares 3 2 7 2 2 8 2 2" xfId="52599" xr:uid="{00000000-0005-0000-0000-000087710000}"/>
    <cellStyle name="Separador de milhares 3 2 7 2 2 8 3" xfId="20501" xr:uid="{00000000-0005-0000-0000-000088710000}"/>
    <cellStyle name="Separador de milhares 3 2 7 2 2 8 3 2" xfId="46691" xr:uid="{00000000-0005-0000-0000-000089710000}"/>
    <cellStyle name="Separador de milhares 3 2 7 2 2 8 4" xfId="14590" xr:uid="{00000000-0005-0000-0000-00008A710000}"/>
    <cellStyle name="Separador de milhares 3 2 7 2 2 8 4 2" xfId="40783" xr:uid="{00000000-0005-0000-0000-00008B710000}"/>
    <cellStyle name="Separador de milhares 3 2 7 2 2 8 5" xfId="34397" xr:uid="{00000000-0005-0000-0000-00008C710000}"/>
    <cellStyle name="Separador de milhares 3 2 7 2 2 9" xfId="4824" xr:uid="{00000000-0005-0000-0000-00008D710000}"/>
    <cellStyle name="Separador de milhares 3 2 7 2 2 9 2" xfId="23458" xr:uid="{00000000-0005-0000-0000-00008E710000}"/>
    <cellStyle name="Separador de milhares 3 2 7 2 2 9 2 2" xfId="49645" xr:uid="{00000000-0005-0000-0000-00008F710000}"/>
    <cellStyle name="Separador de milhares 3 2 7 2 2 9 3" xfId="31022" xr:uid="{00000000-0005-0000-0000-000090710000}"/>
    <cellStyle name="Separador de milhares 3 2 7 2 3" xfId="879" xr:uid="{00000000-0005-0000-0000-000091710000}"/>
    <cellStyle name="Separador de milhares 3 2 7 2 3 2" xfId="6676" xr:uid="{00000000-0005-0000-0000-000092710000}"/>
    <cellStyle name="Separador de milhares 3 2 7 2 3 2 2" xfId="9823" xr:uid="{00000000-0005-0000-0000-000093710000}"/>
    <cellStyle name="Separador de milhares 3 2 7 2 3 2 2 2" xfId="28037" xr:uid="{00000000-0005-0000-0000-000094710000}"/>
    <cellStyle name="Separador de milhares 3 2 7 2 3 2 2 2 2" xfId="54218" xr:uid="{00000000-0005-0000-0000-000095710000}"/>
    <cellStyle name="Separador de milhares 3 2 7 2 3 2 2 3" xfId="22123" xr:uid="{00000000-0005-0000-0000-000096710000}"/>
    <cellStyle name="Separador de milhares 3 2 7 2 3 2 2 3 2" xfId="48310" xr:uid="{00000000-0005-0000-0000-000097710000}"/>
    <cellStyle name="Separador de milhares 3 2 7 2 3 2 2 4" xfId="16209" xr:uid="{00000000-0005-0000-0000-000098710000}"/>
    <cellStyle name="Separador de milhares 3 2 7 2 3 2 2 4 2" xfId="42402" xr:uid="{00000000-0005-0000-0000-000099710000}"/>
    <cellStyle name="Separador de milhares 3 2 7 2 3 2 2 5" xfId="36016" xr:uid="{00000000-0005-0000-0000-00009A710000}"/>
    <cellStyle name="Separador de milhares 3 2 7 2 3 2 3" xfId="25080" xr:uid="{00000000-0005-0000-0000-00009B710000}"/>
    <cellStyle name="Separador de milhares 3 2 7 2 3 2 3 2" xfId="51264" xr:uid="{00000000-0005-0000-0000-00009C710000}"/>
    <cellStyle name="Separador de milhares 3 2 7 2 3 2 4" xfId="19166" xr:uid="{00000000-0005-0000-0000-00009D710000}"/>
    <cellStyle name="Separador de milhares 3 2 7 2 3 2 4 2" xfId="45356" xr:uid="{00000000-0005-0000-0000-00009E710000}"/>
    <cellStyle name="Separador de milhares 3 2 7 2 3 2 5" xfId="13065" xr:uid="{00000000-0005-0000-0000-00009F710000}"/>
    <cellStyle name="Separador de milhares 3 2 7 2 3 2 5 2" xfId="39258" xr:uid="{00000000-0005-0000-0000-0000A0710000}"/>
    <cellStyle name="Separador de milhares 3 2 7 2 3 2 6" xfId="32872" xr:uid="{00000000-0005-0000-0000-0000A1710000}"/>
    <cellStyle name="Separador de milhares 3 2 7 2 3 3" xfId="8355" xr:uid="{00000000-0005-0000-0000-0000A2710000}"/>
    <cellStyle name="Separador de milhares 3 2 7 2 3 3 2" xfId="26569" xr:uid="{00000000-0005-0000-0000-0000A3710000}"/>
    <cellStyle name="Separador de milhares 3 2 7 2 3 3 2 2" xfId="52750" xr:uid="{00000000-0005-0000-0000-0000A4710000}"/>
    <cellStyle name="Separador de milhares 3 2 7 2 3 3 3" xfId="20655" xr:uid="{00000000-0005-0000-0000-0000A5710000}"/>
    <cellStyle name="Separador de milhares 3 2 7 2 3 3 3 2" xfId="46842" xr:uid="{00000000-0005-0000-0000-0000A6710000}"/>
    <cellStyle name="Separador de milhares 3 2 7 2 3 3 4" xfId="14741" xr:uid="{00000000-0005-0000-0000-0000A7710000}"/>
    <cellStyle name="Separador de milhares 3 2 7 2 3 3 4 2" xfId="40934" xr:uid="{00000000-0005-0000-0000-0000A8710000}"/>
    <cellStyle name="Separador de milhares 3 2 7 2 3 3 5" xfId="34548" xr:uid="{00000000-0005-0000-0000-0000A9710000}"/>
    <cellStyle name="Separador de milhares 3 2 7 2 3 4" xfId="4977" xr:uid="{00000000-0005-0000-0000-0000AA710000}"/>
    <cellStyle name="Separador de milhares 3 2 7 2 3 4 2" xfId="23612" xr:uid="{00000000-0005-0000-0000-0000AB710000}"/>
    <cellStyle name="Separador de milhares 3 2 7 2 3 4 2 2" xfId="49796" xr:uid="{00000000-0005-0000-0000-0000AC710000}"/>
    <cellStyle name="Separador de milhares 3 2 7 2 3 4 3" xfId="31173" xr:uid="{00000000-0005-0000-0000-0000AD710000}"/>
    <cellStyle name="Separador de milhares 3 2 7 2 3 5" xfId="17698" xr:uid="{00000000-0005-0000-0000-0000AE710000}"/>
    <cellStyle name="Separador de milhares 3 2 7 2 3 5 2" xfId="43888" xr:uid="{00000000-0005-0000-0000-0000AF710000}"/>
    <cellStyle name="Separador de milhares 3 2 7 2 3 6" xfId="11364" xr:uid="{00000000-0005-0000-0000-0000B0710000}"/>
    <cellStyle name="Separador de milhares 3 2 7 2 3 6 2" xfId="37557" xr:uid="{00000000-0005-0000-0000-0000B1710000}"/>
    <cellStyle name="Separador de milhares 3 2 7 2 3 7" xfId="29475" xr:uid="{00000000-0005-0000-0000-0000B2710000}"/>
    <cellStyle name="Separador de milhares 3 2 7 2 4" xfId="1230" xr:uid="{00000000-0005-0000-0000-0000B3710000}"/>
    <cellStyle name="Separador de milhares 3 2 7 2 4 2" xfId="6774" xr:uid="{00000000-0005-0000-0000-0000B4710000}"/>
    <cellStyle name="Separador de milhares 3 2 7 2 4 2 2" xfId="9921" xr:uid="{00000000-0005-0000-0000-0000B5710000}"/>
    <cellStyle name="Separador de milhares 3 2 7 2 4 2 2 2" xfId="28135" xr:uid="{00000000-0005-0000-0000-0000B6710000}"/>
    <cellStyle name="Separador de milhares 3 2 7 2 4 2 2 2 2" xfId="54316" xr:uid="{00000000-0005-0000-0000-0000B7710000}"/>
    <cellStyle name="Separador de milhares 3 2 7 2 4 2 2 3" xfId="22221" xr:uid="{00000000-0005-0000-0000-0000B8710000}"/>
    <cellStyle name="Separador de milhares 3 2 7 2 4 2 2 3 2" xfId="48408" xr:uid="{00000000-0005-0000-0000-0000B9710000}"/>
    <cellStyle name="Separador de milhares 3 2 7 2 4 2 2 4" xfId="16307" xr:uid="{00000000-0005-0000-0000-0000BA710000}"/>
    <cellStyle name="Separador de milhares 3 2 7 2 4 2 2 4 2" xfId="42500" xr:uid="{00000000-0005-0000-0000-0000BB710000}"/>
    <cellStyle name="Separador de milhares 3 2 7 2 4 2 2 5" xfId="36114" xr:uid="{00000000-0005-0000-0000-0000BC710000}"/>
    <cellStyle name="Separador de milhares 3 2 7 2 4 2 3" xfId="25178" xr:uid="{00000000-0005-0000-0000-0000BD710000}"/>
    <cellStyle name="Separador de milhares 3 2 7 2 4 2 3 2" xfId="51362" xr:uid="{00000000-0005-0000-0000-0000BE710000}"/>
    <cellStyle name="Separador de milhares 3 2 7 2 4 2 4" xfId="19264" xr:uid="{00000000-0005-0000-0000-0000BF710000}"/>
    <cellStyle name="Separador de milhares 3 2 7 2 4 2 4 2" xfId="45454" xr:uid="{00000000-0005-0000-0000-0000C0710000}"/>
    <cellStyle name="Separador de milhares 3 2 7 2 4 2 5" xfId="13163" xr:uid="{00000000-0005-0000-0000-0000C1710000}"/>
    <cellStyle name="Separador de milhares 3 2 7 2 4 2 5 2" xfId="39356" xr:uid="{00000000-0005-0000-0000-0000C2710000}"/>
    <cellStyle name="Separador de milhares 3 2 7 2 4 2 6" xfId="32970" xr:uid="{00000000-0005-0000-0000-0000C3710000}"/>
    <cellStyle name="Separador de milhares 3 2 7 2 4 3" xfId="8453" xr:uid="{00000000-0005-0000-0000-0000C4710000}"/>
    <cellStyle name="Separador de milhares 3 2 7 2 4 3 2" xfId="26667" xr:uid="{00000000-0005-0000-0000-0000C5710000}"/>
    <cellStyle name="Separador de milhares 3 2 7 2 4 3 2 2" xfId="52848" xr:uid="{00000000-0005-0000-0000-0000C6710000}"/>
    <cellStyle name="Separador de milhares 3 2 7 2 4 3 3" xfId="20753" xr:uid="{00000000-0005-0000-0000-0000C7710000}"/>
    <cellStyle name="Separador de milhares 3 2 7 2 4 3 3 2" xfId="46940" xr:uid="{00000000-0005-0000-0000-0000C8710000}"/>
    <cellStyle name="Separador de milhares 3 2 7 2 4 3 4" xfId="14839" xr:uid="{00000000-0005-0000-0000-0000C9710000}"/>
    <cellStyle name="Separador de milhares 3 2 7 2 4 3 4 2" xfId="41032" xr:uid="{00000000-0005-0000-0000-0000CA710000}"/>
    <cellStyle name="Separador de milhares 3 2 7 2 4 3 5" xfId="34646" xr:uid="{00000000-0005-0000-0000-0000CB710000}"/>
    <cellStyle name="Separador de milhares 3 2 7 2 4 4" xfId="5075" xr:uid="{00000000-0005-0000-0000-0000CC710000}"/>
    <cellStyle name="Separador de milhares 3 2 7 2 4 4 2" xfId="23710" xr:uid="{00000000-0005-0000-0000-0000CD710000}"/>
    <cellStyle name="Separador de milhares 3 2 7 2 4 4 2 2" xfId="49894" xr:uid="{00000000-0005-0000-0000-0000CE710000}"/>
    <cellStyle name="Separador de milhares 3 2 7 2 4 4 3" xfId="31271" xr:uid="{00000000-0005-0000-0000-0000CF710000}"/>
    <cellStyle name="Separador de milhares 3 2 7 2 4 5" xfId="17796" xr:uid="{00000000-0005-0000-0000-0000D0710000}"/>
    <cellStyle name="Separador de milhares 3 2 7 2 4 5 2" xfId="43986" xr:uid="{00000000-0005-0000-0000-0000D1710000}"/>
    <cellStyle name="Separador de milhares 3 2 7 2 4 6" xfId="11462" xr:uid="{00000000-0005-0000-0000-0000D2710000}"/>
    <cellStyle name="Separador de milhares 3 2 7 2 4 6 2" xfId="37655" xr:uid="{00000000-0005-0000-0000-0000D3710000}"/>
    <cellStyle name="Separador de milhares 3 2 7 2 4 7" xfId="29573" xr:uid="{00000000-0005-0000-0000-0000D4710000}"/>
    <cellStyle name="Separador de milhares 3 2 7 2 5" xfId="1665" xr:uid="{00000000-0005-0000-0000-0000D5710000}"/>
    <cellStyle name="Separador de milhares 3 2 7 2 5 2" xfId="6893" xr:uid="{00000000-0005-0000-0000-0000D6710000}"/>
    <cellStyle name="Separador de milhares 3 2 7 2 5 2 2" xfId="10040" xr:uid="{00000000-0005-0000-0000-0000D7710000}"/>
    <cellStyle name="Separador de milhares 3 2 7 2 5 2 2 2" xfId="28254" xr:uid="{00000000-0005-0000-0000-0000D8710000}"/>
    <cellStyle name="Separador de milhares 3 2 7 2 5 2 2 2 2" xfId="54435" xr:uid="{00000000-0005-0000-0000-0000D9710000}"/>
    <cellStyle name="Separador de milhares 3 2 7 2 5 2 2 3" xfId="22340" xr:uid="{00000000-0005-0000-0000-0000DA710000}"/>
    <cellStyle name="Separador de milhares 3 2 7 2 5 2 2 3 2" xfId="48527" xr:uid="{00000000-0005-0000-0000-0000DB710000}"/>
    <cellStyle name="Separador de milhares 3 2 7 2 5 2 2 4" xfId="16426" xr:uid="{00000000-0005-0000-0000-0000DC710000}"/>
    <cellStyle name="Separador de milhares 3 2 7 2 5 2 2 4 2" xfId="42619" xr:uid="{00000000-0005-0000-0000-0000DD710000}"/>
    <cellStyle name="Separador de milhares 3 2 7 2 5 2 2 5" xfId="36233" xr:uid="{00000000-0005-0000-0000-0000DE710000}"/>
    <cellStyle name="Separador de milhares 3 2 7 2 5 2 3" xfId="25297" xr:uid="{00000000-0005-0000-0000-0000DF710000}"/>
    <cellStyle name="Separador de milhares 3 2 7 2 5 2 3 2" xfId="51481" xr:uid="{00000000-0005-0000-0000-0000E0710000}"/>
    <cellStyle name="Separador de milhares 3 2 7 2 5 2 4" xfId="19383" xr:uid="{00000000-0005-0000-0000-0000E1710000}"/>
    <cellStyle name="Separador de milhares 3 2 7 2 5 2 4 2" xfId="45573" xr:uid="{00000000-0005-0000-0000-0000E2710000}"/>
    <cellStyle name="Separador de milhares 3 2 7 2 5 2 5" xfId="13282" xr:uid="{00000000-0005-0000-0000-0000E3710000}"/>
    <cellStyle name="Separador de milhares 3 2 7 2 5 2 5 2" xfId="39475" xr:uid="{00000000-0005-0000-0000-0000E4710000}"/>
    <cellStyle name="Separador de milhares 3 2 7 2 5 2 6" xfId="33089" xr:uid="{00000000-0005-0000-0000-0000E5710000}"/>
    <cellStyle name="Separador de milhares 3 2 7 2 5 3" xfId="8572" xr:uid="{00000000-0005-0000-0000-0000E6710000}"/>
    <cellStyle name="Separador de milhares 3 2 7 2 5 3 2" xfId="26786" xr:uid="{00000000-0005-0000-0000-0000E7710000}"/>
    <cellStyle name="Separador de milhares 3 2 7 2 5 3 2 2" xfId="52967" xr:uid="{00000000-0005-0000-0000-0000E8710000}"/>
    <cellStyle name="Separador de milhares 3 2 7 2 5 3 3" xfId="20872" xr:uid="{00000000-0005-0000-0000-0000E9710000}"/>
    <cellStyle name="Separador de milhares 3 2 7 2 5 3 3 2" xfId="47059" xr:uid="{00000000-0005-0000-0000-0000EA710000}"/>
    <cellStyle name="Separador de milhares 3 2 7 2 5 3 4" xfId="14958" xr:uid="{00000000-0005-0000-0000-0000EB710000}"/>
    <cellStyle name="Separador de milhares 3 2 7 2 5 3 4 2" xfId="41151" xr:uid="{00000000-0005-0000-0000-0000EC710000}"/>
    <cellStyle name="Separador de milhares 3 2 7 2 5 3 5" xfId="34765" xr:uid="{00000000-0005-0000-0000-0000ED710000}"/>
    <cellStyle name="Separador de milhares 3 2 7 2 5 4" xfId="5194" xr:uid="{00000000-0005-0000-0000-0000EE710000}"/>
    <cellStyle name="Separador de milhares 3 2 7 2 5 4 2" xfId="23829" xr:uid="{00000000-0005-0000-0000-0000EF710000}"/>
    <cellStyle name="Separador de milhares 3 2 7 2 5 4 2 2" xfId="50013" xr:uid="{00000000-0005-0000-0000-0000F0710000}"/>
    <cellStyle name="Separador de milhares 3 2 7 2 5 4 3" xfId="31390" xr:uid="{00000000-0005-0000-0000-0000F1710000}"/>
    <cellStyle name="Separador de milhares 3 2 7 2 5 5" xfId="17915" xr:uid="{00000000-0005-0000-0000-0000F2710000}"/>
    <cellStyle name="Separador de milhares 3 2 7 2 5 5 2" xfId="44105" xr:uid="{00000000-0005-0000-0000-0000F3710000}"/>
    <cellStyle name="Separador de milhares 3 2 7 2 5 6" xfId="11581" xr:uid="{00000000-0005-0000-0000-0000F4710000}"/>
    <cellStyle name="Separador de milhares 3 2 7 2 5 6 2" xfId="37774" xr:uid="{00000000-0005-0000-0000-0000F5710000}"/>
    <cellStyle name="Separador de milhares 3 2 7 2 5 7" xfId="29692" xr:uid="{00000000-0005-0000-0000-0000F6710000}"/>
    <cellStyle name="Separador de milhares 3 2 7 2 6" xfId="2195" xr:uid="{00000000-0005-0000-0000-0000F7710000}"/>
    <cellStyle name="Separador de milhares 3 2 7 2 6 2" xfId="7043" xr:uid="{00000000-0005-0000-0000-0000F8710000}"/>
    <cellStyle name="Separador de milhares 3 2 7 2 6 2 2" xfId="10187" xr:uid="{00000000-0005-0000-0000-0000F9710000}"/>
    <cellStyle name="Separador de milhares 3 2 7 2 6 2 2 2" xfId="28401" xr:uid="{00000000-0005-0000-0000-0000FA710000}"/>
    <cellStyle name="Separador de milhares 3 2 7 2 6 2 2 2 2" xfId="54582" xr:uid="{00000000-0005-0000-0000-0000FB710000}"/>
    <cellStyle name="Separador de milhares 3 2 7 2 6 2 2 3" xfId="22487" xr:uid="{00000000-0005-0000-0000-0000FC710000}"/>
    <cellStyle name="Separador de milhares 3 2 7 2 6 2 2 3 2" xfId="48674" xr:uid="{00000000-0005-0000-0000-0000FD710000}"/>
    <cellStyle name="Separador de milhares 3 2 7 2 6 2 2 4" xfId="16573" xr:uid="{00000000-0005-0000-0000-0000FE710000}"/>
    <cellStyle name="Separador de milhares 3 2 7 2 6 2 2 4 2" xfId="42766" xr:uid="{00000000-0005-0000-0000-0000FF710000}"/>
    <cellStyle name="Separador de milhares 3 2 7 2 6 2 2 5" xfId="36380" xr:uid="{00000000-0005-0000-0000-000000720000}"/>
    <cellStyle name="Separador de milhares 3 2 7 2 6 2 3" xfId="25444" xr:uid="{00000000-0005-0000-0000-000001720000}"/>
    <cellStyle name="Separador de milhares 3 2 7 2 6 2 3 2" xfId="51628" xr:uid="{00000000-0005-0000-0000-000002720000}"/>
    <cellStyle name="Separador de milhares 3 2 7 2 6 2 4" xfId="19530" xr:uid="{00000000-0005-0000-0000-000003720000}"/>
    <cellStyle name="Separador de milhares 3 2 7 2 6 2 4 2" xfId="45720" xr:uid="{00000000-0005-0000-0000-000004720000}"/>
    <cellStyle name="Separador de milhares 3 2 7 2 6 2 5" xfId="13432" xr:uid="{00000000-0005-0000-0000-000005720000}"/>
    <cellStyle name="Separador de milhares 3 2 7 2 6 2 5 2" xfId="39625" xr:uid="{00000000-0005-0000-0000-000006720000}"/>
    <cellStyle name="Separador de milhares 3 2 7 2 6 2 6" xfId="33239" xr:uid="{00000000-0005-0000-0000-000007720000}"/>
    <cellStyle name="Separador de milhares 3 2 7 2 6 3" xfId="8719" xr:uid="{00000000-0005-0000-0000-000008720000}"/>
    <cellStyle name="Separador de milhares 3 2 7 2 6 3 2" xfId="26933" xr:uid="{00000000-0005-0000-0000-000009720000}"/>
    <cellStyle name="Separador de milhares 3 2 7 2 6 3 2 2" xfId="53114" xr:uid="{00000000-0005-0000-0000-00000A720000}"/>
    <cellStyle name="Separador de milhares 3 2 7 2 6 3 3" xfId="21019" xr:uid="{00000000-0005-0000-0000-00000B720000}"/>
    <cellStyle name="Separador de milhares 3 2 7 2 6 3 3 2" xfId="47206" xr:uid="{00000000-0005-0000-0000-00000C720000}"/>
    <cellStyle name="Separador de milhares 3 2 7 2 6 3 4" xfId="15105" xr:uid="{00000000-0005-0000-0000-00000D720000}"/>
    <cellStyle name="Separador de milhares 3 2 7 2 6 3 4 2" xfId="41298" xr:uid="{00000000-0005-0000-0000-00000E720000}"/>
    <cellStyle name="Separador de milhares 3 2 7 2 6 3 5" xfId="34912" xr:uid="{00000000-0005-0000-0000-00000F720000}"/>
    <cellStyle name="Separador de milhares 3 2 7 2 6 4" xfId="5344" xr:uid="{00000000-0005-0000-0000-000010720000}"/>
    <cellStyle name="Separador de milhares 3 2 7 2 6 4 2" xfId="23976" xr:uid="{00000000-0005-0000-0000-000011720000}"/>
    <cellStyle name="Separador de milhares 3 2 7 2 6 4 2 2" xfId="50160" xr:uid="{00000000-0005-0000-0000-000012720000}"/>
    <cellStyle name="Separador de milhares 3 2 7 2 6 4 3" xfId="31540" xr:uid="{00000000-0005-0000-0000-000013720000}"/>
    <cellStyle name="Separador de milhares 3 2 7 2 6 5" xfId="18062" xr:uid="{00000000-0005-0000-0000-000014720000}"/>
    <cellStyle name="Separador de milhares 3 2 7 2 6 5 2" xfId="44252" xr:uid="{00000000-0005-0000-0000-000015720000}"/>
    <cellStyle name="Separador de milhares 3 2 7 2 6 6" xfId="11731" xr:uid="{00000000-0005-0000-0000-000016720000}"/>
    <cellStyle name="Separador de milhares 3 2 7 2 6 6 2" xfId="37924" xr:uid="{00000000-0005-0000-0000-000017720000}"/>
    <cellStyle name="Separador de milhares 3 2 7 2 6 7" xfId="29842" xr:uid="{00000000-0005-0000-0000-000018720000}"/>
    <cellStyle name="Separador de milhares 3 2 7 2 7" xfId="2722" xr:uid="{00000000-0005-0000-0000-000019720000}"/>
    <cellStyle name="Separador de milhares 3 2 7 2 7 2" xfId="7190" xr:uid="{00000000-0005-0000-0000-00001A720000}"/>
    <cellStyle name="Separador de milhares 3 2 7 2 7 2 2" xfId="10334" xr:uid="{00000000-0005-0000-0000-00001B720000}"/>
    <cellStyle name="Separador de milhares 3 2 7 2 7 2 2 2" xfId="28548" xr:uid="{00000000-0005-0000-0000-00001C720000}"/>
    <cellStyle name="Separador de milhares 3 2 7 2 7 2 2 2 2" xfId="54729" xr:uid="{00000000-0005-0000-0000-00001D720000}"/>
    <cellStyle name="Separador de milhares 3 2 7 2 7 2 2 3" xfId="22634" xr:uid="{00000000-0005-0000-0000-00001E720000}"/>
    <cellStyle name="Separador de milhares 3 2 7 2 7 2 2 3 2" xfId="48821" xr:uid="{00000000-0005-0000-0000-00001F720000}"/>
    <cellStyle name="Separador de milhares 3 2 7 2 7 2 2 4" xfId="16720" xr:uid="{00000000-0005-0000-0000-000020720000}"/>
    <cellStyle name="Separador de milhares 3 2 7 2 7 2 2 4 2" xfId="42913" xr:uid="{00000000-0005-0000-0000-000021720000}"/>
    <cellStyle name="Separador de milhares 3 2 7 2 7 2 2 5" xfId="36527" xr:uid="{00000000-0005-0000-0000-000022720000}"/>
    <cellStyle name="Separador de milhares 3 2 7 2 7 2 3" xfId="25591" xr:uid="{00000000-0005-0000-0000-000023720000}"/>
    <cellStyle name="Separador de milhares 3 2 7 2 7 2 3 2" xfId="51775" xr:uid="{00000000-0005-0000-0000-000024720000}"/>
    <cellStyle name="Separador de milhares 3 2 7 2 7 2 4" xfId="19677" xr:uid="{00000000-0005-0000-0000-000025720000}"/>
    <cellStyle name="Separador de milhares 3 2 7 2 7 2 4 2" xfId="45867" xr:uid="{00000000-0005-0000-0000-000026720000}"/>
    <cellStyle name="Separador de milhares 3 2 7 2 7 2 5" xfId="13579" xr:uid="{00000000-0005-0000-0000-000027720000}"/>
    <cellStyle name="Separador de milhares 3 2 7 2 7 2 5 2" xfId="39772" xr:uid="{00000000-0005-0000-0000-000028720000}"/>
    <cellStyle name="Separador de milhares 3 2 7 2 7 2 6" xfId="33386" xr:uid="{00000000-0005-0000-0000-000029720000}"/>
    <cellStyle name="Separador de milhares 3 2 7 2 7 3" xfId="8866" xr:uid="{00000000-0005-0000-0000-00002A720000}"/>
    <cellStyle name="Separador de milhares 3 2 7 2 7 3 2" xfId="27080" xr:uid="{00000000-0005-0000-0000-00002B720000}"/>
    <cellStyle name="Separador de milhares 3 2 7 2 7 3 2 2" xfId="53261" xr:uid="{00000000-0005-0000-0000-00002C720000}"/>
    <cellStyle name="Separador de milhares 3 2 7 2 7 3 3" xfId="21166" xr:uid="{00000000-0005-0000-0000-00002D720000}"/>
    <cellStyle name="Separador de milhares 3 2 7 2 7 3 3 2" xfId="47353" xr:uid="{00000000-0005-0000-0000-00002E720000}"/>
    <cellStyle name="Separador de milhares 3 2 7 2 7 3 4" xfId="15252" xr:uid="{00000000-0005-0000-0000-00002F720000}"/>
    <cellStyle name="Separador de milhares 3 2 7 2 7 3 4 2" xfId="41445" xr:uid="{00000000-0005-0000-0000-000030720000}"/>
    <cellStyle name="Separador de milhares 3 2 7 2 7 3 5" xfId="35059" xr:uid="{00000000-0005-0000-0000-000031720000}"/>
    <cellStyle name="Separador de milhares 3 2 7 2 7 4" xfId="5491" xr:uid="{00000000-0005-0000-0000-000032720000}"/>
    <cellStyle name="Separador de milhares 3 2 7 2 7 4 2" xfId="24123" xr:uid="{00000000-0005-0000-0000-000033720000}"/>
    <cellStyle name="Separador de milhares 3 2 7 2 7 4 2 2" xfId="50307" xr:uid="{00000000-0005-0000-0000-000034720000}"/>
    <cellStyle name="Separador de milhares 3 2 7 2 7 4 3" xfId="31687" xr:uid="{00000000-0005-0000-0000-000035720000}"/>
    <cellStyle name="Separador de milhares 3 2 7 2 7 5" xfId="18209" xr:uid="{00000000-0005-0000-0000-000036720000}"/>
    <cellStyle name="Separador de milhares 3 2 7 2 7 5 2" xfId="44399" xr:uid="{00000000-0005-0000-0000-000037720000}"/>
    <cellStyle name="Separador de milhares 3 2 7 2 7 6" xfId="11878" xr:uid="{00000000-0005-0000-0000-000038720000}"/>
    <cellStyle name="Separador de milhares 3 2 7 2 7 6 2" xfId="38071" xr:uid="{00000000-0005-0000-0000-000039720000}"/>
    <cellStyle name="Separador de milhares 3 2 7 2 7 7" xfId="29989" xr:uid="{00000000-0005-0000-0000-00003A720000}"/>
    <cellStyle name="Separador de milhares 3 2 7 2 8" xfId="3249" xr:uid="{00000000-0005-0000-0000-00003B720000}"/>
    <cellStyle name="Separador de milhares 3 2 7 2 8 2" xfId="7337" xr:uid="{00000000-0005-0000-0000-00003C720000}"/>
    <cellStyle name="Separador de milhares 3 2 7 2 8 2 2" xfId="10481" xr:uid="{00000000-0005-0000-0000-00003D720000}"/>
    <cellStyle name="Separador de milhares 3 2 7 2 8 2 2 2" xfId="28695" xr:uid="{00000000-0005-0000-0000-00003E720000}"/>
    <cellStyle name="Separador de milhares 3 2 7 2 8 2 2 2 2" xfId="54876" xr:uid="{00000000-0005-0000-0000-00003F720000}"/>
    <cellStyle name="Separador de milhares 3 2 7 2 8 2 2 3" xfId="22781" xr:uid="{00000000-0005-0000-0000-000040720000}"/>
    <cellStyle name="Separador de milhares 3 2 7 2 8 2 2 3 2" xfId="48968" xr:uid="{00000000-0005-0000-0000-000041720000}"/>
    <cellStyle name="Separador de milhares 3 2 7 2 8 2 2 4" xfId="16867" xr:uid="{00000000-0005-0000-0000-000042720000}"/>
    <cellStyle name="Separador de milhares 3 2 7 2 8 2 2 4 2" xfId="43060" xr:uid="{00000000-0005-0000-0000-000043720000}"/>
    <cellStyle name="Separador de milhares 3 2 7 2 8 2 2 5" xfId="36674" xr:uid="{00000000-0005-0000-0000-000044720000}"/>
    <cellStyle name="Separador de milhares 3 2 7 2 8 2 3" xfId="25738" xr:uid="{00000000-0005-0000-0000-000045720000}"/>
    <cellStyle name="Separador de milhares 3 2 7 2 8 2 3 2" xfId="51922" xr:uid="{00000000-0005-0000-0000-000046720000}"/>
    <cellStyle name="Separador de milhares 3 2 7 2 8 2 4" xfId="19824" xr:uid="{00000000-0005-0000-0000-000047720000}"/>
    <cellStyle name="Separador de milhares 3 2 7 2 8 2 4 2" xfId="46014" xr:uid="{00000000-0005-0000-0000-000048720000}"/>
    <cellStyle name="Separador de milhares 3 2 7 2 8 2 5" xfId="13726" xr:uid="{00000000-0005-0000-0000-000049720000}"/>
    <cellStyle name="Separador de milhares 3 2 7 2 8 2 5 2" xfId="39919" xr:uid="{00000000-0005-0000-0000-00004A720000}"/>
    <cellStyle name="Separador de milhares 3 2 7 2 8 2 6" xfId="33533" xr:uid="{00000000-0005-0000-0000-00004B720000}"/>
    <cellStyle name="Separador de milhares 3 2 7 2 8 3" xfId="9013" xr:uid="{00000000-0005-0000-0000-00004C720000}"/>
    <cellStyle name="Separador de milhares 3 2 7 2 8 3 2" xfId="27227" xr:uid="{00000000-0005-0000-0000-00004D720000}"/>
    <cellStyle name="Separador de milhares 3 2 7 2 8 3 2 2" xfId="53408" xr:uid="{00000000-0005-0000-0000-00004E720000}"/>
    <cellStyle name="Separador de milhares 3 2 7 2 8 3 3" xfId="21313" xr:uid="{00000000-0005-0000-0000-00004F720000}"/>
    <cellStyle name="Separador de milhares 3 2 7 2 8 3 3 2" xfId="47500" xr:uid="{00000000-0005-0000-0000-000050720000}"/>
    <cellStyle name="Separador de milhares 3 2 7 2 8 3 4" xfId="15399" xr:uid="{00000000-0005-0000-0000-000051720000}"/>
    <cellStyle name="Separador de milhares 3 2 7 2 8 3 4 2" xfId="41592" xr:uid="{00000000-0005-0000-0000-000052720000}"/>
    <cellStyle name="Separador de milhares 3 2 7 2 8 3 5" xfId="35206" xr:uid="{00000000-0005-0000-0000-000053720000}"/>
    <cellStyle name="Separador de milhares 3 2 7 2 8 4" xfId="5638" xr:uid="{00000000-0005-0000-0000-000054720000}"/>
    <cellStyle name="Separador de milhares 3 2 7 2 8 4 2" xfId="24270" xr:uid="{00000000-0005-0000-0000-000055720000}"/>
    <cellStyle name="Separador de milhares 3 2 7 2 8 4 2 2" xfId="50454" xr:uid="{00000000-0005-0000-0000-000056720000}"/>
    <cellStyle name="Separador de milhares 3 2 7 2 8 4 3" xfId="31834" xr:uid="{00000000-0005-0000-0000-000057720000}"/>
    <cellStyle name="Separador de milhares 3 2 7 2 8 5" xfId="18356" xr:uid="{00000000-0005-0000-0000-000058720000}"/>
    <cellStyle name="Separador de milhares 3 2 7 2 8 5 2" xfId="44546" xr:uid="{00000000-0005-0000-0000-000059720000}"/>
    <cellStyle name="Separador de milhares 3 2 7 2 8 6" xfId="12025" xr:uid="{00000000-0005-0000-0000-00005A720000}"/>
    <cellStyle name="Separador de milhares 3 2 7 2 8 6 2" xfId="38218" xr:uid="{00000000-0005-0000-0000-00005B720000}"/>
    <cellStyle name="Separador de milhares 3 2 7 2 8 7" xfId="30136" xr:uid="{00000000-0005-0000-0000-00005C720000}"/>
    <cellStyle name="Separador de milhares 3 2 7 2 9" xfId="3776" xr:uid="{00000000-0005-0000-0000-00005D720000}"/>
    <cellStyle name="Separador de milhares 3 2 7 2 9 2" xfId="7484" xr:uid="{00000000-0005-0000-0000-00005E720000}"/>
    <cellStyle name="Separador de milhares 3 2 7 2 9 2 2" xfId="10628" xr:uid="{00000000-0005-0000-0000-00005F720000}"/>
    <cellStyle name="Separador de milhares 3 2 7 2 9 2 2 2" xfId="28842" xr:uid="{00000000-0005-0000-0000-000060720000}"/>
    <cellStyle name="Separador de milhares 3 2 7 2 9 2 2 2 2" xfId="55023" xr:uid="{00000000-0005-0000-0000-000061720000}"/>
    <cellStyle name="Separador de milhares 3 2 7 2 9 2 2 3" xfId="22928" xr:uid="{00000000-0005-0000-0000-000062720000}"/>
    <cellStyle name="Separador de milhares 3 2 7 2 9 2 2 3 2" xfId="49115" xr:uid="{00000000-0005-0000-0000-000063720000}"/>
    <cellStyle name="Separador de milhares 3 2 7 2 9 2 2 4" xfId="17014" xr:uid="{00000000-0005-0000-0000-000064720000}"/>
    <cellStyle name="Separador de milhares 3 2 7 2 9 2 2 4 2" xfId="43207" xr:uid="{00000000-0005-0000-0000-000065720000}"/>
    <cellStyle name="Separador de milhares 3 2 7 2 9 2 2 5" xfId="36821" xr:uid="{00000000-0005-0000-0000-000066720000}"/>
    <cellStyle name="Separador de milhares 3 2 7 2 9 2 3" xfId="25885" xr:uid="{00000000-0005-0000-0000-000067720000}"/>
    <cellStyle name="Separador de milhares 3 2 7 2 9 2 3 2" xfId="52069" xr:uid="{00000000-0005-0000-0000-000068720000}"/>
    <cellStyle name="Separador de milhares 3 2 7 2 9 2 4" xfId="19971" xr:uid="{00000000-0005-0000-0000-000069720000}"/>
    <cellStyle name="Separador de milhares 3 2 7 2 9 2 4 2" xfId="46161" xr:uid="{00000000-0005-0000-0000-00006A720000}"/>
    <cellStyle name="Separador de milhares 3 2 7 2 9 2 5" xfId="13873" xr:uid="{00000000-0005-0000-0000-00006B720000}"/>
    <cellStyle name="Separador de milhares 3 2 7 2 9 2 5 2" xfId="40066" xr:uid="{00000000-0005-0000-0000-00006C720000}"/>
    <cellStyle name="Separador de milhares 3 2 7 2 9 2 6" xfId="33680" xr:uid="{00000000-0005-0000-0000-00006D720000}"/>
    <cellStyle name="Separador de milhares 3 2 7 2 9 3" xfId="9160" xr:uid="{00000000-0005-0000-0000-00006E720000}"/>
    <cellStyle name="Separador de milhares 3 2 7 2 9 3 2" xfId="27374" xr:uid="{00000000-0005-0000-0000-00006F720000}"/>
    <cellStyle name="Separador de milhares 3 2 7 2 9 3 2 2" xfId="53555" xr:uid="{00000000-0005-0000-0000-000070720000}"/>
    <cellStyle name="Separador de milhares 3 2 7 2 9 3 3" xfId="21460" xr:uid="{00000000-0005-0000-0000-000071720000}"/>
    <cellStyle name="Separador de milhares 3 2 7 2 9 3 3 2" xfId="47647" xr:uid="{00000000-0005-0000-0000-000072720000}"/>
    <cellStyle name="Separador de milhares 3 2 7 2 9 3 4" xfId="15546" xr:uid="{00000000-0005-0000-0000-000073720000}"/>
    <cellStyle name="Separador de milhares 3 2 7 2 9 3 4 2" xfId="41739" xr:uid="{00000000-0005-0000-0000-000074720000}"/>
    <cellStyle name="Separador de milhares 3 2 7 2 9 3 5" xfId="35353" xr:uid="{00000000-0005-0000-0000-000075720000}"/>
    <cellStyle name="Separador de milhares 3 2 7 2 9 4" xfId="5785" xr:uid="{00000000-0005-0000-0000-000076720000}"/>
    <cellStyle name="Separador de milhares 3 2 7 2 9 4 2" xfId="24417" xr:uid="{00000000-0005-0000-0000-000077720000}"/>
    <cellStyle name="Separador de milhares 3 2 7 2 9 4 2 2" xfId="50601" xr:uid="{00000000-0005-0000-0000-000078720000}"/>
    <cellStyle name="Separador de milhares 3 2 7 2 9 4 3" xfId="31981" xr:uid="{00000000-0005-0000-0000-000079720000}"/>
    <cellStyle name="Separador de milhares 3 2 7 2 9 5" xfId="18503" xr:uid="{00000000-0005-0000-0000-00007A720000}"/>
    <cellStyle name="Separador de milhares 3 2 7 2 9 5 2" xfId="44693" xr:uid="{00000000-0005-0000-0000-00007B720000}"/>
    <cellStyle name="Separador de milhares 3 2 7 2 9 6" xfId="12172" xr:uid="{00000000-0005-0000-0000-00007C720000}"/>
    <cellStyle name="Separador de milhares 3 2 7 2 9 6 2" xfId="38365" xr:uid="{00000000-0005-0000-0000-00007D720000}"/>
    <cellStyle name="Separador de milhares 3 2 7 2 9 7" xfId="30283" xr:uid="{00000000-0005-0000-0000-00007E720000}"/>
    <cellStyle name="Separador de milhares 3 2 7 3" xfId="228" xr:uid="{00000000-0005-0000-0000-00007F720000}"/>
    <cellStyle name="Separador de milhares 3 2 7 3 10" xfId="6475" xr:uid="{00000000-0005-0000-0000-000080720000}"/>
    <cellStyle name="Separador de milhares 3 2 7 3 10 2" xfId="9626" xr:uid="{00000000-0005-0000-0000-000081720000}"/>
    <cellStyle name="Separador de milhares 3 2 7 3 10 2 2" xfId="27840" xr:uid="{00000000-0005-0000-0000-000082720000}"/>
    <cellStyle name="Separador de milhares 3 2 7 3 10 2 2 2" xfId="54021" xr:uid="{00000000-0005-0000-0000-000083720000}"/>
    <cellStyle name="Separador de milhares 3 2 7 3 10 2 3" xfId="21926" xr:uid="{00000000-0005-0000-0000-000084720000}"/>
    <cellStyle name="Separador de milhares 3 2 7 3 10 2 3 2" xfId="48113" xr:uid="{00000000-0005-0000-0000-000085720000}"/>
    <cellStyle name="Separador de milhares 3 2 7 3 10 2 4" xfId="16012" xr:uid="{00000000-0005-0000-0000-000086720000}"/>
    <cellStyle name="Separador de milhares 3 2 7 3 10 2 4 2" xfId="42205" xr:uid="{00000000-0005-0000-0000-000087720000}"/>
    <cellStyle name="Separador de milhares 3 2 7 3 10 2 5" xfId="35819" xr:uid="{00000000-0005-0000-0000-000088720000}"/>
    <cellStyle name="Separador de milhares 3 2 7 3 10 3" xfId="24883" xr:uid="{00000000-0005-0000-0000-000089720000}"/>
    <cellStyle name="Separador de milhares 3 2 7 3 10 3 2" xfId="51067" xr:uid="{00000000-0005-0000-0000-00008A720000}"/>
    <cellStyle name="Separador de milhares 3 2 7 3 10 4" xfId="18969" xr:uid="{00000000-0005-0000-0000-00008B720000}"/>
    <cellStyle name="Separador de milhares 3 2 7 3 10 4 2" xfId="45159" xr:uid="{00000000-0005-0000-0000-00008C720000}"/>
    <cellStyle name="Separador de milhares 3 2 7 3 10 5" xfId="12864" xr:uid="{00000000-0005-0000-0000-00008D720000}"/>
    <cellStyle name="Separador de milhares 3 2 7 3 10 5 2" xfId="39057" xr:uid="{00000000-0005-0000-0000-00008E720000}"/>
    <cellStyle name="Separador de milhares 3 2 7 3 10 6" xfId="32671" xr:uid="{00000000-0005-0000-0000-00008F720000}"/>
    <cellStyle name="Separador de milhares 3 2 7 3 11" xfId="8155" xr:uid="{00000000-0005-0000-0000-000090720000}"/>
    <cellStyle name="Separador de milhares 3 2 7 3 11 2" xfId="26369" xr:uid="{00000000-0005-0000-0000-000091720000}"/>
    <cellStyle name="Separador de milhares 3 2 7 3 11 2 2" xfId="52553" xr:uid="{00000000-0005-0000-0000-000092720000}"/>
    <cellStyle name="Separador de milhares 3 2 7 3 11 3" xfId="20455" xr:uid="{00000000-0005-0000-0000-000093720000}"/>
    <cellStyle name="Separador de milhares 3 2 7 3 11 3 2" xfId="46645" xr:uid="{00000000-0005-0000-0000-000094720000}"/>
    <cellStyle name="Separador de milhares 3 2 7 3 11 4" xfId="14544" xr:uid="{00000000-0005-0000-0000-000095720000}"/>
    <cellStyle name="Separador de milhares 3 2 7 3 11 4 2" xfId="40737" xr:uid="{00000000-0005-0000-0000-000096720000}"/>
    <cellStyle name="Separador de milhares 3 2 7 3 11 5" xfId="34351" xr:uid="{00000000-0005-0000-0000-000097720000}"/>
    <cellStyle name="Separador de milhares 3 2 7 3 12" xfId="4774" xr:uid="{00000000-0005-0000-0000-000098720000}"/>
    <cellStyle name="Separador de milhares 3 2 7 3 12 2" xfId="23412" xr:uid="{00000000-0005-0000-0000-000099720000}"/>
    <cellStyle name="Separador de milhares 3 2 7 3 12 2 2" xfId="49599" xr:uid="{00000000-0005-0000-0000-00009A720000}"/>
    <cellStyle name="Separador de milhares 3 2 7 3 12 3" xfId="30972" xr:uid="{00000000-0005-0000-0000-00009B720000}"/>
    <cellStyle name="Separador de milhares 3 2 7 3 13" xfId="17498" xr:uid="{00000000-0005-0000-0000-00009C720000}"/>
    <cellStyle name="Separador de milhares 3 2 7 3 13 2" xfId="43691" xr:uid="{00000000-0005-0000-0000-00009D720000}"/>
    <cellStyle name="Separador de milhares 3 2 7 3 14" xfId="11163" xr:uid="{00000000-0005-0000-0000-00009E720000}"/>
    <cellStyle name="Separador de milhares 3 2 7 3 14 2" xfId="37356" xr:uid="{00000000-0005-0000-0000-00009F720000}"/>
    <cellStyle name="Separador de milhares 3 2 7 3 15" xfId="29274" xr:uid="{00000000-0005-0000-0000-0000A0720000}"/>
    <cellStyle name="Separador de milhares 3 2 7 3 2" xfId="491" xr:uid="{00000000-0005-0000-0000-0000A1720000}"/>
    <cellStyle name="Separador de milhares 3 2 7 3 2 2" xfId="6546" xr:uid="{00000000-0005-0000-0000-0000A2720000}"/>
    <cellStyle name="Separador de milhares 3 2 7 3 2 2 2" xfId="9693" xr:uid="{00000000-0005-0000-0000-0000A3720000}"/>
    <cellStyle name="Separador de milhares 3 2 7 3 2 2 2 2" xfId="27907" xr:uid="{00000000-0005-0000-0000-0000A4720000}"/>
    <cellStyle name="Separador de milhares 3 2 7 3 2 2 2 2 2" xfId="54088" xr:uid="{00000000-0005-0000-0000-0000A5720000}"/>
    <cellStyle name="Separador de milhares 3 2 7 3 2 2 2 3" xfId="21993" xr:uid="{00000000-0005-0000-0000-0000A6720000}"/>
    <cellStyle name="Separador de milhares 3 2 7 3 2 2 2 3 2" xfId="48180" xr:uid="{00000000-0005-0000-0000-0000A7720000}"/>
    <cellStyle name="Separador de milhares 3 2 7 3 2 2 2 4" xfId="16079" xr:uid="{00000000-0005-0000-0000-0000A8720000}"/>
    <cellStyle name="Separador de milhares 3 2 7 3 2 2 2 4 2" xfId="42272" xr:uid="{00000000-0005-0000-0000-0000A9720000}"/>
    <cellStyle name="Separador de milhares 3 2 7 3 2 2 2 5" xfId="35886" xr:uid="{00000000-0005-0000-0000-0000AA720000}"/>
    <cellStyle name="Separador de milhares 3 2 7 3 2 2 3" xfId="24950" xr:uid="{00000000-0005-0000-0000-0000AB720000}"/>
    <cellStyle name="Separador de milhares 3 2 7 3 2 2 3 2" xfId="51134" xr:uid="{00000000-0005-0000-0000-0000AC720000}"/>
    <cellStyle name="Separador de milhares 3 2 7 3 2 2 4" xfId="19036" xr:uid="{00000000-0005-0000-0000-0000AD720000}"/>
    <cellStyle name="Separador de milhares 3 2 7 3 2 2 4 2" xfId="45226" xr:uid="{00000000-0005-0000-0000-0000AE720000}"/>
    <cellStyle name="Separador de milhares 3 2 7 3 2 2 5" xfId="12935" xr:uid="{00000000-0005-0000-0000-0000AF720000}"/>
    <cellStyle name="Separador de milhares 3 2 7 3 2 2 5 2" xfId="39128" xr:uid="{00000000-0005-0000-0000-0000B0720000}"/>
    <cellStyle name="Separador de milhares 3 2 7 3 2 2 6" xfId="32742" xr:uid="{00000000-0005-0000-0000-0000B1720000}"/>
    <cellStyle name="Separador de milhares 3 2 7 3 2 3" xfId="8222" xr:uid="{00000000-0005-0000-0000-0000B2720000}"/>
    <cellStyle name="Separador de milhares 3 2 7 3 2 3 2" xfId="26436" xr:uid="{00000000-0005-0000-0000-0000B3720000}"/>
    <cellStyle name="Separador de milhares 3 2 7 3 2 3 2 2" xfId="52620" xr:uid="{00000000-0005-0000-0000-0000B4720000}"/>
    <cellStyle name="Separador de milhares 3 2 7 3 2 3 3" xfId="20522" xr:uid="{00000000-0005-0000-0000-0000B5720000}"/>
    <cellStyle name="Separador de milhares 3 2 7 3 2 3 3 2" xfId="46712" xr:uid="{00000000-0005-0000-0000-0000B6720000}"/>
    <cellStyle name="Separador de milhares 3 2 7 3 2 3 4" xfId="14611" xr:uid="{00000000-0005-0000-0000-0000B7720000}"/>
    <cellStyle name="Separador de milhares 3 2 7 3 2 3 4 2" xfId="40804" xr:uid="{00000000-0005-0000-0000-0000B8720000}"/>
    <cellStyle name="Separador de milhares 3 2 7 3 2 3 5" xfId="34418" xr:uid="{00000000-0005-0000-0000-0000B9720000}"/>
    <cellStyle name="Separador de milhares 3 2 7 3 2 4" xfId="4845" xr:uid="{00000000-0005-0000-0000-0000BA720000}"/>
    <cellStyle name="Separador de milhares 3 2 7 3 2 4 2" xfId="23479" xr:uid="{00000000-0005-0000-0000-0000BB720000}"/>
    <cellStyle name="Separador de milhares 3 2 7 3 2 4 2 2" xfId="49666" xr:uid="{00000000-0005-0000-0000-0000BC720000}"/>
    <cellStyle name="Separador de milhares 3 2 7 3 2 4 3" xfId="31043" xr:uid="{00000000-0005-0000-0000-0000BD720000}"/>
    <cellStyle name="Separador de milhares 3 2 7 3 2 5" xfId="17565" xr:uid="{00000000-0005-0000-0000-0000BE720000}"/>
    <cellStyle name="Separador de milhares 3 2 7 3 2 5 2" xfId="43758" xr:uid="{00000000-0005-0000-0000-0000BF720000}"/>
    <cellStyle name="Separador de milhares 3 2 7 3 2 6" xfId="11234" xr:uid="{00000000-0005-0000-0000-0000C0720000}"/>
    <cellStyle name="Separador de milhares 3 2 7 3 2 6 2" xfId="37427" xr:uid="{00000000-0005-0000-0000-0000C1720000}"/>
    <cellStyle name="Separador de milhares 3 2 7 3 2 7" xfId="29345" xr:uid="{00000000-0005-0000-0000-0000C2720000}"/>
    <cellStyle name="Separador de milhares 3 2 7 3 3" xfId="788" xr:uid="{00000000-0005-0000-0000-0000C3720000}"/>
    <cellStyle name="Separador de milhares 3 2 7 3 3 2" xfId="6648" xr:uid="{00000000-0005-0000-0000-0000C4720000}"/>
    <cellStyle name="Separador de milhares 3 2 7 3 3 2 2" xfId="9795" xr:uid="{00000000-0005-0000-0000-0000C5720000}"/>
    <cellStyle name="Separador de milhares 3 2 7 3 3 2 2 2" xfId="28009" xr:uid="{00000000-0005-0000-0000-0000C6720000}"/>
    <cellStyle name="Separador de milhares 3 2 7 3 3 2 2 2 2" xfId="54190" xr:uid="{00000000-0005-0000-0000-0000C7720000}"/>
    <cellStyle name="Separador de milhares 3 2 7 3 3 2 2 3" xfId="22095" xr:uid="{00000000-0005-0000-0000-0000C8720000}"/>
    <cellStyle name="Separador de milhares 3 2 7 3 3 2 2 3 2" xfId="48282" xr:uid="{00000000-0005-0000-0000-0000C9720000}"/>
    <cellStyle name="Separador de milhares 3 2 7 3 3 2 2 4" xfId="16181" xr:uid="{00000000-0005-0000-0000-0000CA720000}"/>
    <cellStyle name="Separador de milhares 3 2 7 3 3 2 2 4 2" xfId="42374" xr:uid="{00000000-0005-0000-0000-0000CB720000}"/>
    <cellStyle name="Separador de milhares 3 2 7 3 3 2 2 5" xfId="35988" xr:uid="{00000000-0005-0000-0000-0000CC720000}"/>
    <cellStyle name="Separador de milhares 3 2 7 3 3 2 3" xfId="25052" xr:uid="{00000000-0005-0000-0000-0000CD720000}"/>
    <cellStyle name="Separador de milhares 3 2 7 3 3 2 3 2" xfId="51236" xr:uid="{00000000-0005-0000-0000-0000CE720000}"/>
    <cellStyle name="Separador de milhares 3 2 7 3 3 2 4" xfId="19138" xr:uid="{00000000-0005-0000-0000-0000CF720000}"/>
    <cellStyle name="Separador de milhares 3 2 7 3 3 2 4 2" xfId="45328" xr:uid="{00000000-0005-0000-0000-0000D0720000}"/>
    <cellStyle name="Separador de milhares 3 2 7 3 3 2 5" xfId="13037" xr:uid="{00000000-0005-0000-0000-0000D1720000}"/>
    <cellStyle name="Separador de milhares 3 2 7 3 3 2 5 2" xfId="39230" xr:uid="{00000000-0005-0000-0000-0000D2720000}"/>
    <cellStyle name="Separador de milhares 3 2 7 3 3 2 6" xfId="32844" xr:uid="{00000000-0005-0000-0000-0000D3720000}"/>
    <cellStyle name="Separador de milhares 3 2 7 3 3 3" xfId="8327" xr:uid="{00000000-0005-0000-0000-0000D4720000}"/>
    <cellStyle name="Separador de milhares 3 2 7 3 3 3 2" xfId="26541" xr:uid="{00000000-0005-0000-0000-0000D5720000}"/>
    <cellStyle name="Separador de milhares 3 2 7 3 3 3 2 2" xfId="52722" xr:uid="{00000000-0005-0000-0000-0000D6720000}"/>
    <cellStyle name="Separador de milhares 3 2 7 3 3 3 3" xfId="20627" xr:uid="{00000000-0005-0000-0000-0000D7720000}"/>
    <cellStyle name="Separador de milhares 3 2 7 3 3 3 3 2" xfId="46814" xr:uid="{00000000-0005-0000-0000-0000D8720000}"/>
    <cellStyle name="Separador de milhares 3 2 7 3 3 3 4" xfId="14713" xr:uid="{00000000-0005-0000-0000-0000D9720000}"/>
    <cellStyle name="Separador de milhares 3 2 7 3 3 3 4 2" xfId="40906" xr:uid="{00000000-0005-0000-0000-0000DA720000}"/>
    <cellStyle name="Separador de milhares 3 2 7 3 3 3 5" xfId="34520" xr:uid="{00000000-0005-0000-0000-0000DB720000}"/>
    <cellStyle name="Separador de milhares 3 2 7 3 3 4" xfId="4949" xr:uid="{00000000-0005-0000-0000-0000DC720000}"/>
    <cellStyle name="Separador de milhares 3 2 7 3 3 4 2" xfId="23584" xr:uid="{00000000-0005-0000-0000-0000DD720000}"/>
    <cellStyle name="Separador de milhares 3 2 7 3 3 4 2 2" xfId="49768" xr:uid="{00000000-0005-0000-0000-0000DE720000}"/>
    <cellStyle name="Separador de milhares 3 2 7 3 3 4 3" xfId="31145" xr:uid="{00000000-0005-0000-0000-0000DF720000}"/>
    <cellStyle name="Separador de milhares 3 2 7 3 3 5" xfId="17670" xr:uid="{00000000-0005-0000-0000-0000E0720000}"/>
    <cellStyle name="Separador de milhares 3 2 7 3 3 5 2" xfId="43860" xr:uid="{00000000-0005-0000-0000-0000E1720000}"/>
    <cellStyle name="Separador de milhares 3 2 7 3 3 6" xfId="11336" xr:uid="{00000000-0005-0000-0000-0000E2720000}"/>
    <cellStyle name="Separador de milhares 3 2 7 3 3 6 2" xfId="37529" xr:uid="{00000000-0005-0000-0000-0000E3720000}"/>
    <cellStyle name="Separador de milhares 3 2 7 3 3 7" xfId="29447" xr:uid="{00000000-0005-0000-0000-0000E4720000}"/>
    <cellStyle name="Separador de milhares 3 2 7 3 4" xfId="1139" xr:uid="{00000000-0005-0000-0000-0000E5720000}"/>
    <cellStyle name="Separador de milhares 3 2 7 3 4 2" xfId="6746" xr:uid="{00000000-0005-0000-0000-0000E6720000}"/>
    <cellStyle name="Separador de milhares 3 2 7 3 4 2 2" xfId="9893" xr:uid="{00000000-0005-0000-0000-0000E7720000}"/>
    <cellStyle name="Separador de milhares 3 2 7 3 4 2 2 2" xfId="28107" xr:uid="{00000000-0005-0000-0000-0000E8720000}"/>
    <cellStyle name="Separador de milhares 3 2 7 3 4 2 2 2 2" xfId="54288" xr:uid="{00000000-0005-0000-0000-0000E9720000}"/>
    <cellStyle name="Separador de milhares 3 2 7 3 4 2 2 3" xfId="22193" xr:uid="{00000000-0005-0000-0000-0000EA720000}"/>
    <cellStyle name="Separador de milhares 3 2 7 3 4 2 2 3 2" xfId="48380" xr:uid="{00000000-0005-0000-0000-0000EB720000}"/>
    <cellStyle name="Separador de milhares 3 2 7 3 4 2 2 4" xfId="16279" xr:uid="{00000000-0005-0000-0000-0000EC720000}"/>
    <cellStyle name="Separador de milhares 3 2 7 3 4 2 2 4 2" xfId="42472" xr:uid="{00000000-0005-0000-0000-0000ED720000}"/>
    <cellStyle name="Separador de milhares 3 2 7 3 4 2 2 5" xfId="36086" xr:uid="{00000000-0005-0000-0000-0000EE720000}"/>
    <cellStyle name="Separador de milhares 3 2 7 3 4 2 3" xfId="25150" xr:uid="{00000000-0005-0000-0000-0000EF720000}"/>
    <cellStyle name="Separador de milhares 3 2 7 3 4 2 3 2" xfId="51334" xr:uid="{00000000-0005-0000-0000-0000F0720000}"/>
    <cellStyle name="Separador de milhares 3 2 7 3 4 2 4" xfId="19236" xr:uid="{00000000-0005-0000-0000-0000F1720000}"/>
    <cellStyle name="Separador de milhares 3 2 7 3 4 2 4 2" xfId="45426" xr:uid="{00000000-0005-0000-0000-0000F2720000}"/>
    <cellStyle name="Separador de milhares 3 2 7 3 4 2 5" xfId="13135" xr:uid="{00000000-0005-0000-0000-0000F3720000}"/>
    <cellStyle name="Separador de milhares 3 2 7 3 4 2 5 2" xfId="39328" xr:uid="{00000000-0005-0000-0000-0000F4720000}"/>
    <cellStyle name="Separador de milhares 3 2 7 3 4 2 6" xfId="32942" xr:uid="{00000000-0005-0000-0000-0000F5720000}"/>
    <cellStyle name="Separador de milhares 3 2 7 3 4 3" xfId="8425" xr:uid="{00000000-0005-0000-0000-0000F6720000}"/>
    <cellStyle name="Separador de milhares 3 2 7 3 4 3 2" xfId="26639" xr:uid="{00000000-0005-0000-0000-0000F7720000}"/>
    <cellStyle name="Separador de milhares 3 2 7 3 4 3 2 2" xfId="52820" xr:uid="{00000000-0005-0000-0000-0000F8720000}"/>
    <cellStyle name="Separador de milhares 3 2 7 3 4 3 3" xfId="20725" xr:uid="{00000000-0005-0000-0000-0000F9720000}"/>
    <cellStyle name="Separador de milhares 3 2 7 3 4 3 3 2" xfId="46912" xr:uid="{00000000-0005-0000-0000-0000FA720000}"/>
    <cellStyle name="Separador de milhares 3 2 7 3 4 3 4" xfId="14811" xr:uid="{00000000-0005-0000-0000-0000FB720000}"/>
    <cellStyle name="Separador de milhares 3 2 7 3 4 3 4 2" xfId="41004" xr:uid="{00000000-0005-0000-0000-0000FC720000}"/>
    <cellStyle name="Separador de milhares 3 2 7 3 4 3 5" xfId="34618" xr:uid="{00000000-0005-0000-0000-0000FD720000}"/>
    <cellStyle name="Separador de milhares 3 2 7 3 4 4" xfId="5047" xr:uid="{00000000-0005-0000-0000-0000FE720000}"/>
    <cellStyle name="Separador de milhares 3 2 7 3 4 4 2" xfId="23682" xr:uid="{00000000-0005-0000-0000-0000FF720000}"/>
    <cellStyle name="Separador de milhares 3 2 7 3 4 4 2 2" xfId="49866" xr:uid="{00000000-0005-0000-0000-000000730000}"/>
    <cellStyle name="Separador de milhares 3 2 7 3 4 4 3" xfId="31243" xr:uid="{00000000-0005-0000-0000-000001730000}"/>
    <cellStyle name="Separador de milhares 3 2 7 3 4 5" xfId="17768" xr:uid="{00000000-0005-0000-0000-000002730000}"/>
    <cellStyle name="Separador de milhares 3 2 7 3 4 5 2" xfId="43958" xr:uid="{00000000-0005-0000-0000-000003730000}"/>
    <cellStyle name="Separador de milhares 3 2 7 3 4 6" xfId="11434" xr:uid="{00000000-0005-0000-0000-000004730000}"/>
    <cellStyle name="Separador de milhares 3 2 7 3 4 6 2" xfId="37627" xr:uid="{00000000-0005-0000-0000-000005730000}"/>
    <cellStyle name="Separador de milhares 3 2 7 3 4 7" xfId="29545" xr:uid="{00000000-0005-0000-0000-000006730000}"/>
    <cellStyle name="Separador de milhares 3 2 7 3 5" xfId="1574" xr:uid="{00000000-0005-0000-0000-000007730000}"/>
    <cellStyle name="Separador de milhares 3 2 7 3 5 2" xfId="6865" xr:uid="{00000000-0005-0000-0000-000008730000}"/>
    <cellStyle name="Separador de milhares 3 2 7 3 5 2 2" xfId="10012" xr:uid="{00000000-0005-0000-0000-000009730000}"/>
    <cellStyle name="Separador de milhares 3 2 7 3 5 2 2 2" xfId="28226" xr:uid="{00000000-0005-0000-0000-00000A730000}"/>
    <cellStyle name="Separador de milhares 3 2 7 3 5 2 2 2 2" xfId="54407" xr:uid="{00000000-0005-0000-0000-00000B730000}"/>
    <cellStyle name="Separador de milhares 3 2 7 3 5 2 2 3" xfId="22312" xr:uid="{00000000-0005-0000-0000-00000C730000}"/>
    <cellStyle name="Separador de milhares 3 2 7 3 5 2 2 3 2" xfId="48499" xr:uid="{00000000-0005-0000-0000-00000D730000}"/>
    <cellStyle name="Separador de milhares 3 2 7 3 5 2 2 4" xfId="16398" xr:uid="{00000000-0005-0000-0000-00000E730000}"/>
    <cellStyle name="Separador de milhares 3 2 7 3 5 2 2 4 2" xfId="42591" xr:uid="{00000000-0005-0000-0000-00000F730000}"/>
    <cellStyle name="Separador de milhares 3 2 7 3 5 2 2 5" xfId="36205" xr:uid="{00000000-0005-0000-0000-000010730000}"/>
    <cellStyle name="Separador de milhares 3 2 7 3 5 2 3" xfId="25269" xr:uid="{00000000-0005-0000-0000-000011730000}"/>
    <cellStyle name="Separador de milhares 3 2 7 3 5 2 3 2" xfId="51453" xr:uid="{00000000-0005-0000-0000-000012730000}"/>
    <cellStyle name="Separador de milhares 3 2 7 3 5 2 4" xfId="19355" xr:uid="{00000000-0005-0000-0000-000013730000}"/>
    <cellStyle name="Separador de milhares 3 2 7 3 5 2 4 2" xfId="45545" xr:uid="{00000000-0005-0000-0000-000014730000}"/>
    <cellStyle name="Separador de milhares 3 2 7 3 5 2 5" xfId="13254" xr:uid="{00000000-0005-0000-0000-000015730000}"/>
    <cellStyle name="Separador de milhares 3 2 7 3 5 2 5 2" xfId="39447" xr:uid="{00000000-0005-0000-0000-000016730000}"/>
    <cellStyle name="Separador de milhares 3 2 7 3 5 2 6" xfId="33061" xr:uid="{00000000-0005-0000-0000-000017730000}"/>
    <cellStyle name="Separador de milhares 3 2 7 3 5 3" xfId="8544" xr:uid="{00000000-0005-0000-0000-000018730000}"/>
    <cellStyle name="Separador de milhares 3 2 7 3 5 3 2" xfId="26758" xr:uid="{00000000-0005-0000-0000-000019730000}"/>
    <cellStyle name="Separador de milhares 3 2 7 3 5 3 2 2" xfId="52939" xr:uid="{00000000-0005-0000-0000-00001A730000}"/>
    <cellStyle name="Separador de milhares 3 2 7 3 5 3 3" xfId="20844" xr:uid="{00000000-0005-0000-0000-00001B730000}"/>
    <cellStyle name="Separador de milhares 3 2 7 3 5 3 3 2" xfId="47031" xr:uid="{00000000-0005-0000-0000-00001C730000}"/>
    <cellStyle name="Separador de milhares 3 2 7 3 5 3 4" xfId="14930" xr:uid="{00000000-0005-0000-0000-00001D730000}"/>
    <cellStyle name="Separador de milhares 3 2 7 3 5 3 4 2" xfId="41123" xr:uid="{00000000-0005-0000-0000-00001E730000}"/>
    <cellStyle name="Separador de milhares 3 2 7 3 5 3 5" xfId="34737" xr:uid="{00000000-0005-0000-0000-00001F730000}"/>
    <cellStyle name="Separador de milhares 3 2 7 3 5 4" xfId="5166" xr:uid="{00000000-0005-0000-0000-000020730000}"/>
    <cellStyle name="Separador de milhares 3 2 7 3 5 4 2" xfId="23801" xr:uid="{00000000-0005-0000-0000-000021730000}"/>
    <cellStyle name="Separador de milhares 3 2 7 3 5 4 2 2" xfId="49985" xr:uid="{00000000-0005-0000-0000-000022730000}"/>
    <cellStyle name="Separador de milhares 3 2 7 3 5 4 3" xfId="31362" xr:uid="{00000000-0005-0000-0000-000023730000}"/>
    <cellStyle name="Separador de milhares 3 2 7 3 5 5" xfId="17887" xr:uid="{00000000-0005-0000-0000-000024730000}"/>
    <cellStyle name="Separador de milhares 3 2 7 3 5 5 2" xfId="44077" xr:uid="{00000000-0005-0000-0000-000025730000}"/>
    <cellStyle name="Separador de milhares 3 2 7 3 5 6" xfId="11553" xr:uid="{00000000-0005-0000-0000-000026730000}"/>
    <cellStyle name="Separador de milhares 3 2 7 3 5 6 2" xfId="37746" xr:uid="{00000000-0005-0000-0000-000027730000}"/>
    <cellStyle name="Separador de milhares 3 2 7 3 5 7" xfId="29664" xr:uid="{00000000-0005-0000-0000-000028730000}"/>
    <cellStyle name="Separador de milhares 3 2 7 3 6" xfId="2104" xr:uid="{00000000-0005-0000-0000-000029730000}"/>
    <cellStyle name="Separador de milhares 3 2 7 3 6 2" xfId="7015" xr:uid="{00000000-0005-0000-0000-00002A730000}"/>
    <cellStyle name="Separador de milhares 3 2 7 3 6 2 2" xfId="10159" xr:uid="{00000000-0005-0000-0000-00002B730000}"/>
    <cellStyle name="Separador de milhares 3 2 7 3 6 2 2 2" xfId="28373" xr:uid="{00000000-0005-0000-0000-00002C730000}"/>
    <cellStyle name="Separador de milhares 3 2 7 3 6 2 2 2 2" xfId="54554" xr:uid="{00000000-0005-0000-0000-00002D730000}"/>
    <cellStyle name="Separador de milhares 3 2 7 3 6 2 2 3" xfId="22459" xr:uid="{00000000-0005-0000-0000-00002E730000}"/>
    <cellStyle name="Separador de milhares 3 2 7 3 6 2 2 3 2" xfId="48646" xr:uid="{00000000-0005-0000-0000-00002F730000}"/>
    <cellStyle name="Separador de milhares 3 2 7 3 6 2 2 4" xfId="16545" xr:uid="{00000000-0005-0000-0000-000030730000}"/>
    <cellStyle name="Separador de milhares 3 2 7 3 6 2 2 4 2" xfId="42738" xr:uid="{00000000-0005-0000-0000-000031730000}"/>
    <cellStyle name="Separador de milhares 3 2 7 3 6 2 2 5" xfId="36352" xr:uid="{00000000-0005-0000-0000-000032730000}"/>
    <cellStyle name="Separador de milhares 3 2 7 3 6 2 3" xfId="25416" xr:uid="{00000000-0005-0000-0000-000033730000}"/>
    <cellStyle name="Separador de milhares 3 2 7 3 6 2 3 2" xfId="51600" xr:uid="{00000000-0005-0000-0000-000034730000}"/>
    <cellStyle name="Separador de milhares 3 2 7 3 6 2 4" xfId="19502" xr:uid="{00000000-0005-0000-0000-000035730000}"/>
    <cellStyle name="Separador de milhares 3 2 7 3 6 2 4 2" xfId="45692" xr:uid="{00000000-0005-0000-0000-000036730000}"/>
    <cellStyle name="Separador de milhares 3 2 7 3 6 2 5" xfId="13404" xr:uid="{00000000-0005-0000-0000-000037730000}"/>
    <cellStyle name="Separador de milhares 3 2 7 3 6 2 5 2" xfId="39597" xr:uid="{00000000-0005-0000-0000-000038730000}"/>
    <cellStyle name="Separador de milhares 3 2 7 3 6 2 6" xfId="33211" xr:uid="{00000000-0005-0000-0000-000039730000}"/>
    <cellStyle name="Separador de milhares 3 2 7 3 6 3" xfId="8691" xr:uid="{00000000-0005-0000-0000-00003A730000}"/>
    <cellStyle name="Separador de milhares 3 2 7 3 6 3 2" xfId="26905" xr:uid="{00000000-0005-0000-0000-00003B730000}"/>
    <cellStyle name="Separador de milhares 3 2 7 3 6 3 2 2" xfId="53086" xr:uid="{00000000-0005-0000-0000-00003C730000}"/>
    <cellStyle name="Separador de milhares 3 2 7 3 6 3 3" xfId="20991" xr:uid="{00000000-0005-0000-0000-00003D730000}"/>
    <cellStyle name="Separador de milhares 3 2 7 3 6 3 3 2" xfId="47178" xr:uid="{00000000-0005-0000-0000-00003E730000}"/>
    <cellStyle name="Separador de milhares 3 2 7 3 6 3 4" xfId="15077" xr:uid="{00000000-0005-0000-0000-00003F730000}"/>
    <cellStyle name="Separador de milhares 3 2 7 3 6 3 4 2" xfId="41270" xr:uid="{00000000-0005-0000-0000-000040730000}"/>
    <cellStyle name="Separador de milhares 3 2 7 3 6 3 5" xfId="34884" xr:uid="{00000000-0005-0000-0000-000041730000}"/>
    <cellStyle name="Separador de milhares 3 2 7 3 6 4" xfId="5316" xr:uid="{00000000-0005-0000-0000-000042730000}"/>
    <cellStyle name="Separador de milhares 3 2 7 3 6 4 2" xfId="23948" xr:uid="{00000000-0005-0000-0000-000043730000}"/>
    <cellStyle name="Separador de milhares 3 2 7 3 6 4 2 2" xfId="50132" xr:uid="{00000000-0005-0000-0000-000044730000}"/>
    <cellStyle name="Separador de milhares 3 2 7 3 6 4 3" xfId="31512" xr:uid="{00000000-0005-0000-0000-000045730000}"/>
    <cellStyle name="Separador de milhares 3 2 7 3 6 5" xfId="18034" xr:uid="{00000000-0005-0000-0000-000046730000}"/>
    <cellStyle name="Separador de milhares 3 2 7 3 6 5 2" xfId="44224" xr:uid="{00000000-0005-0000-0000-000047730000}"/>
    <cellStyle name="Separador de milhares 3 2 7 3 6 6" xfId="11703" xr:uid="{00000000-0005-0000-0000-000048730000}"/>
    <cellStyle name="Separador de milhares 3 2 7 3 6 6 2" xfId="37896" xr:uid="{00000000-0005-0000-0000-000049730000}"/>
    <cellStyle name="Separador de milhares 3 2 7 3 6 7" xfId="29814" xr:uid="{00000000-0005-0000-0000-00004A730000}"/>
    <cellStyle name="Separador de milhares 3 2 7 3 7" xfId="2631" xr:uid="{00000000-0005-0000-0000-00004B730000}"/>
    <cellStyle name="Separador de milhares 3 2 7 3 7 2" xfId="7162" xr:uid="{00000000-0005-0000-0000-00004C730000}"/>
    <cellStyle name="Separador de milhares 3 2 7 3 7 2 2" xfId="10306" xr:uid="{00000000-0005-0000-0000-00004D730000}"/>
    <cellStyle name="Separador de milhares 3 2 7 3 7 2 2 2" xfId="28520" xr:uid="{00000000-0005-0000-0000-00004E730000}"/>
    <cellStyle name="Separador de milhares 3 2 7 3 7 2 2 2 2" xfId="54701" xr:uid="{00000000-0005-0000-0000-00004F730000}"/>
    <cellStyle name="Separador de milhares 3 2 7 3 7 2 2 3" xfId="22606" xr:uid="{00000000-0005-0000-0000-000050730000}"/>
    <cellStyle name="Separador de milhares 3 2 7 3 7 2 2 3 2" xfId="48793" xr:uid="{00000000-0005-0000-0000-000051730000}"/>
    <cellStyle name="Separador de milhares 3 2 7 3 7 2 2 4" xfId="16692" xr:uid="{00000000-0005-0000-0000-000052730000}"/>
    <cellStyle name="Separador de milhares 3 2 7 3 7 2 2 4 2" xfId="42885" xr:uid="{00000000-0005-0000-0000-000053730000}"/>
    <cellStyle name="Separador de milhares 3 2 7 3 7 2 2 5" xfId="36499" xr:uid="{00000000-0005-0000-0000-000054730000}"/>
    <cellStyle name="Separador de milhares 3 2 7 3 7 2 3" xfId="25563" xr:uid="{00000000-0005-0000-0000-000055730000}"/>
    <cellStyle name="Separador de milhares 3 2 7 3 7 2 3 2" xfId="51747" xr:uid="{00000000-0005-0000-0000-000056730000}"/>
    <cellStyle name="Separador de milhares 3 2 7 3 7 2 4" xfId="19649" xr:uid="{00000000-0005-0000-0000-000057730000}"/>
    <cellStyle name="Separador de milhares 3 2 7 3 7 2 4 2" xfId="45839" xr:uid="{00000000-0005-0000-0000-000058730000}"/>
    <cellStyle name="Separador de milhares 3 2 7 3 7 2 5" xfId="13551" xr:uid="{00000000-0005-0000-0000-000059730000}"/>
    <cellStyle name="Separador de milhares 3 2 7 3 7 2 5 2" xfId="39744" xr:uid="{00000000-0005-0000-0000-00005A730000}"/>
    <cellStyle name="Separador de milhares 3 2 7 3 7 2 6" xfId="33358" xr:uid="{00000000-0005-0000-0000-00005B730000}"/>
    <cellStyle name="Separador de milhares 3 2 7 3 7 3" xfId="8838" xr:uid="{00000000-0005-0000-0000-00005C730000}"/>
    <cellStyle name="Separador de milhares 3 2 7 3 7 3 2" xfId="27052" xr:uid="{00000000-0005-0000-0000-00005D730000}"/>
    <cellStyle name="Separador de milhares 3 2 7 3 7 3 2 2" xfId="53233" xr:uid="{00000000-0005-0000-0000-00005E730000}"/>
    <cellStyle name="Separador de milhares 3 2 7 3 7 3 3" xfId="21138" xr:uid="{00000000-0005-0000-0000-00005F730000}"/>
    <cellStyle name="Separador de milhares 3 2 7 3 7 3 3 2" xfId="47325" xr:uid="{00000000-0005-0000-0000-000060730000}"/>
    <cellStyle name="Separador de milhares 3 2 7 3 7 3 4" xfId="15224" xr:uid="{00000000-0005-0000-0000-000061730000}"/>
    <cellStyle name="Separador de milhares 3 2 7 3 7 3 4 2" xfId="41417" xr:uid="{00000000-0005-0000-0000-000062730000}"/>
    <cellStyle name="Separador de milhares 3 2 7 3 7 3 5" xfId="35031" xr:uid="{00000000-0005-0000-0000-000063730000}"/>
    <cellStyle name="Separador de milhares 3 2 7 3 7 4" xfId="5463" xr:uid="{00000000-0005-0000-0000-000064730000}"/>
    <cellStyle name="Separador de milhares 3 2 7 3 7 4 2" xfId="24095" xr:uid="{00000000-0005-0000-0000-000065730000}"/>
    <cellStyle name="Separador de milhares 3 2 7 3 7 4 2 2" xfId="50279" xr:uid="{00000000-0005-0000-0000-000066730000}"/>
    <cellStyle name="Separador de milhares 3 2 7 3 7 4 3" xfId="31659" xr:uid="{00000000-0005-0000-0000-000067730000}"/>
    <cellStyle name="Separador de milhares 3 2 7 3 7 5" xfId="18181" xr:uid="{00000000-0005-0000-0000-000068730000}"/>
    <cellStyle name="Separador de milhares 3 2 7 3 7 5 2" xfId="44371" xr:uid="{00000000-0005-0000-0000-000069730000}"/>
    <cellStyle name="Separador de milhares 3 2 7 3 7 6" xfId="11850" xr:uid="{00000000-0005-0000-0000-00006A730000}"/>
    <cellStyle name="Separador de milhares 3 2 7 3 7 6 2" xfId="38043" xr:uid="{00000000-0005-0000-0000-00006B730000}"/>
    <cellStyle name="Separador de milhares 3 2 7 3 7 7" xfId="29961" xr:uid="{00000000-0005-0000-0000-00006C730000}"/>
    <cellStyle name="Separador de milhares 3 2 7 3 8" xfId="3158" xr:uid="{00000000-0005-0000-0000-00006D730000}"/>
    <cellStyle name="Separador de milhares 3 2 7 3 8 2" xfId="7309" xr:uid="{00000000-0005-0000-0000-00006E730000}"/>
    <cellStyle name="Separador de milhares 3 2 7 3 8 2 2" xfId="10453" xr:uid="{00000000-0005-0000-0000-00006F730000}"/>
    <cellStyle name="Separador de milhares 3 2 7 3 8 2 2 2" xfId="28667" xr:uid="{00000000-0005-0000-0000-000070730000}"/>
    <cellStyle name="Separador de milhares 3 2 7 3 8 2 2 2 2" xfId="54848" xr:uid="{00000000-0005-0000-0000-000071730000}"/>
    <cellStyle name="Separador de milhares 3 2 7 3 8 2 2 3" xfId="22753" xr:uid="{00000000-0005-0000-0000-000072730000}"/>
    <cellStyle name="Separador de milhares 3 2 7 3 8 2 2 3 2" xfId="48940" xr:uid="{00000000-0005-0000-0000-000073730000}"/>
    <cellStyle name="Separador de milhares 3 2 7 3 8 2 2 4" xfId="16839" xr:uid="{00000000-0005-0000-0000-000074730000}"/>
    <cellStyle name="Separador de milhares 3 2 7 3 8 2 2 4 2" xfId="43032" xr:uid="{00000000-0005-0000-0000-000075730000}"/>
    <cellStyle name="Separador de milhares 3 2 7 3 8 2 2 5" xfId="36646" xr:uid="{00000000-0005-0000-0000-000076730000}"/>
    <cellStyle name="Separador de milhares 3 2 7 3 8 2 3" xfId="25710" xr:uid="{00000000-0005-0000-0000-000077730000}"/>
    <cellStyle name="Separador de milhares 3 2 7 3 8 2 3 2" xfId="51894" xr:uid="{00000000-0005-0000-0000-000078730000}"/>
    <cellStyle name="Separador de milhares 3 2 7 3 8 2 4" xfId="19796" xr:uid="{00000000-0005-0000-0000-000079730000}"/>
    <cellStyle name="Separador de milhares 3 2 7 3 8 2 4 2" xfId="45986" xr:uid="{00000000-0005-0000-0000-00007A730000}"/>
    <cellStyle name="Separador de milhares 3 2 7 3 8 2 5" xfId="13698" xr:uid="{00000000-0005-0000-0000-00007B730000}"/>
    <cellStyle name="Separador de milhares 3 2 7 3 8 2 5 2" xfId="39891" xr:uid="{00000000-0005-0000-0000-00007C730000}"/>
    <cellStyle name="Separador de milhares 3 2 7 3 8 2 6" xfId="33505" xr:uid="{00000000-0005-0000-0000-00007D730000}"/>
    <cellStyle name="Separador de milhares 3 2 7 3 8 3" xfId="8985" xr:uid="{00000000-0005-0000-0000-00007E730000}"/>
    <cellStyle name="Separador de milhares 3 2 7 3 8 3 2" xfId="27199" xr:uid="{00000000-0005-0000-0000-00007F730000}"/>
    <cellStyle name="Separador de milhares 3 2 7 3 8 3 2 2" xfId="53380" xr:uid="{00000000-0005-0000-0000-000080730000}"/>
    <cellStyle name="Separador de milhares 3 2 7 3 8 3 3" xfId="21285" xr:uid="{00000000-0005-0000-0000-000081730000}"/>
    <cellStyle name="Separador de milhares 3 2 7 3 8 3 3 2" xfId="47472" xr:uid="{00000000-0005-0000-0000-000082730000}"/>
    <cellStyle name="Separador de milhares 3 2 7 3 8 3 4" xfId="15371" xr:uid="{00000000-0005-0000-0000-000083730000}"/>
    <cellStyle name="Separador de milhares 3 2 7 3 8 3 4 2" xfId="41564" xr:uid="{00000000-0005-0000-0000-000084730000}"/>
    <cellStyle name="Separador de milhares 3 2 7 3 8 3 5" xfId="35178" xr:uid="{00000000-0005-0000-0000-000085730000}"/>
    <cellStyle name="Separador de milhares 3 2 7 3 8 4" xfId="5610" xr:uid="{00000000-0005-0000-0000-000086730000}"/>
    <cellStyle name="Separador de milhares 3 2 7 3 8 4 2" xfId="24242" xr:uid="{00000000-0005-0000-0000-000087730000}"/>
    <cellStyle name="Separador de milhares 3 2 7 3 8 4 2 2" xfId="50426" xr:uid="{00000000-0005-0000-0000-000088730000}"/>
    <cellStyle name="Separador de milhares 3 2 7 3 8 4 3" xfId="31806" xr:uid="{00000000-0005-0000-0000-000089730000}"/>
    <cellStyle name="Separador de milhares 3 2 7 3 8 5" xfId="18328" xr:uid="{00000000-0005-0000-0000-00008A730000}"/>
    <cellStyle name="Separador de milhares 3 2 7 3 8 5 2" xfId="44518" xr:uid="{00000000-0005-0000-0000-00008B730000}"/>
    <cellStyle name="Separador de milhares 3 2 7 3 8 6" xfId="11997" xr:uid="{00000000-0005-0000-0000-00008C730000}"/>
    <cellStyle name="Separador de milhares 3 2 7 3 8 6 2" xfId="38190" xr:uid="{00000000-0005-0000-0000-00008D730000}"/>
    <cellStyle name="Separador de milhares 3 2 7 3 8 7" xfId="30108" xr:uid="{00000000-0005-0000-0000-00008E730000}"/>
    <cellStyle name="Separador de milhares 3 2 7 3 9" xfId="3685" xr:uid="{00000000-0005-0000-0000-00008F730000}"/>
    <cellStyle name="Separador de milhares 3 2 7 3 9 2" xfId="7456" xr:uid="{00000000-0005-0000-0000-000090730000}"/>
    <cellStyle name="Separador de milhares 3 2 7 3 9 2 2" xfId="10600" xr:uid="{00000000-0005-0000-0000-000091730000}"/>
    <cellStyle name="Separador de milhares 3 2 7 3 9 2 2 2" xfId="28814" xr:uid="{00000000-0005-0000-0000-000092730000}"/>
    <cellStyle name="Separador de milhares 3 2 7 3 9 2 2 2 2" xfId="54995" xr:uid="{00000000-0005-0000-0000-000093730000}"/>
    <cellStyle name="Separador de milhares 3 2 7 3 9 2 2 3" xfId="22900" xr:uid="{00000000-0005-0000-0000-000094730000}"/>
    <cellStyle name="Separador de milhares 3 2 7 3 9 2 2 3 2" xfId="49087" xr:uid="{00000000-0005-0000-0000-000095730000}"/>
    <cellStyle name="Separador de milhares 3 2 7 3 9 2 2 4" xfId="16986" xr:uid="{00000000-0005-0000-0000-000096730000}"/>
    <cellStyle name="Separador de milhares 3 2 7 3 9 2 2 4 2" xfId="43179" xr:uid="{00000000-0005-0000-0000-000097730000}"/>
    <cellStyle name="Separador de milhares 3 2 7 3 9 2 2 5" xfId="36793" xr:uid="{00000000-0005-0000-0000-000098730000}"/>
    <cellStyle name="Separador de milhares 3 2 7 3 9 2 3" xfId="25857" xr:uid="{00000000-0005-0000-0000-000099730000}"/>
    <cellStyle name="Separador de milhares 3 2 7 3 9 2 3 2" xfId="52041" xr:uid="{00000000-0005-0000-0000-00009A730000}"/>
    <cellStyle name="Separador de milhares 3 2 7 3 9 2 4" xfId="19943" xr:uid="{00000000-0005-0000-0000-00009B730000}"/>
    <cellStyle name="Separador de milhares 3 2 7 3 9 2 4 2" xfId="46133" xr:uid="{00000000-0005-0000-0000-00009C730000}"/>
    <cellStyle name="Separador de milhares 3 2 7 3 9 2 5" xfId="13845" xr:uid="{00000000-0005-0000-0000-00009D730000}"/>
    <cellStyle name="Separador de milhares 3 2 7 3 9 2 5 2" xfId="40038" xr:uid="{00000000-0005-0000-0000-00009E730000}"/>
    <cellStyle name="Separador de milhares 3 2 7 3 9 2 6" xfId="33652" xr:uid="{00000000-0005-0000-0000-00009F730000}"/>
    <cellStyle name="Separador de milhares 3 2 7 3 9 3" xfId="9132" xr:uid="{00000000-0005-0000-0000-0000A0730000}"/>
    <cellStyle name="Separador de milhares 3 2 7 3 9 3 2" xfId="27346" xr:uid="{00000000-0005-0000-0000-0000A1730000}"/>
    <cellStyle name="Separador de milhares 3 2 7 3 9 3 2 2" xfId="53527" xr:uid="{00000000-0005-0000-0000-0000A2730000}"/>
    <cellStyle name="Separador de milhares 3 2 7 3 9 3 3" xfId="21432" xr:uid="{00000000-0005-0000-0000-0000A3730000}"/>
    <cellStyle name="Separador de milhares 3 2 7 3 9 3 3 2" xfId="47619" xr:uid="{00000000-0005-0000-0000-0000A4730000}"/>
    <cellStyle name="Separador de milhares 3 2 7 3 9 3 4" xfId="15518" xr:uid="{00000000-0005-0000-0000-0000A5730000}"/>
    <cellStyle name="Separador de milhares 3 2 7 3 9 3 4 2" xfId="41711" xr:uid="{00000000-0005-0000-0000-0000A6730000}"/>
    <cellStyle name="Separador de milhares 3 2 7 3 9 3 5" xfId="35325" xr:uid="{00000000-0005-0000-0000-0000A7730000}"/>
    <cellStyle name="Separador de milhares 3 2 7 3 9 4" xfId="5757" xr:uid="{00000000-0005-0000-0000-0000A8730000}"/>
    <cellStyle name="Separador de milhares 3 2 7 3 9 4 2" xfId="24389" xr:uid="{00000000-0005-0000-0000-0000A9730000}"/>
    <cellStyle name="Separador de milhares 3 2 7 3 9 4 2 2" xfId="50573" xr:uid="{00000000-0005-0000-0000-0000AA730000}"/>
    <cellStyle name="Separador de milhares 3 2 7 3 9 4 3" xfId="31953" xr:uid="{00000000-0005-0000-0000-0000AB730000}"/>
    <cellStyle name="Separador de milhares 3 2 7 3 9 5" xfId="18475" xr:uid="{00000000-0005-0000-0000-0000AC730000}"/>
    <cellStyle name="Separador de milhares 3 2 7 3 9 5 2" xfId="44665" xr:uid="{00000000-0005-0000-0000-0000AD730000}"/>
    <cellStyle name="Separador de milhares 3 2 7 3 9 6" xfId="12144" xr:uid="{00000000-0005-0000-0000-0000AE730000}"/>
    <cellStyle name="Separador de milhares 3 2 7 3 9 6 2" xfId="38337" xr:uid="{00000000-0005-0000-0000-0000AF730000}"/>
    <cellStyle name="Separador de milhares 3 2 7 3 9 7" xfId="30255" xr:uid="{00000000-0005-0000-0000-0000B0730000}"/>
    <cellStyle name="Separador de milhares 3 2 7 4" xfId="321" xr:uid="{00000000-0005-0000-0000-0000B1730000}"/>
    <cellStyle name="Separador de milhares 3 2 7 4 10" xfId="6503" xr:uid="{00000000-0005-0000-0000-0000B2730000}"/>
    <cellStyle name="Separador de milhares 3 2 7 4 10 2" xfId="9651" xr:uid="{00000000-0005-0000-0000-0000B3730000}"/>
    <cellStyle name="Separador de milhares 3 2 7 4 10 2 2" xfId="27865" xr:uid="{00000000-0005-0000-0000-0000B4730000}"/>
    <cellStyle name="Separador de milhares 3 2 7 4 10 2 2 2" xfId="54046" xr:uid="{00000000-0005-0000-0000-0000B5730000}"/>
    <cellStyle name="Separador de milhares 3 2 7 4 10 2 3" xfId="21951" xr:uid="{00000000-0005-0000-0000-0000B6730000}"/>
    <cellStyle name="Separador de milhares 3 2 7 4 10 2 3 2" xfId="48138" xr:uid="{00000000-0005-0000-0000-0000B7730000}"/>
    <cellStyle name="Separador de milhares 3 2 7 4 10 2 4" xfId="16037" xr:uid="{00000000-0005-0000-0000-0000B8730000}"/>
    <cellStyle name="Separador de milhares 3 2 7 4 10 2 4 2" xfId="42230" xr:uid="{00000000-0005-0000-0000-0000B9730000}"/>
    <cellStyle name="Separador de milhares 3 2 7 4 10 2 5" xfId="35844" xr:uid="{00000000-0005-0000-0000-0000BA730000}"/>
    <cellStyle name="Separador de milhares 3 2 7 4 10 3" xfId="24908" xr:uid="{00000000-0005-0000-0000-0000BB730000}"/>
    <cellStyle name="Separador de milhares 3 2 7 4 10 3 2" xfId="51092" xr:uid="{00000000-0005-0000-0000-0000BC730000}"/>
    <cellStyle name="Separador de milhares 3 2 7 4 10 4" xfId="18994" xr:uid="{00000000-0005-0000-0000-0000BD730000}"/>
    <cellStyle name="Separador de milhares 3 2 7 4 10 4 2" xfId="45184" xr:uid="{00000000-0005-0000-0000-0000BE730000}"/>
    <cellStyle name="Separador de milhares 3 2 7 4 10 5" xfId="12892" xr:uid="{00000000-0005-0000-0000-0000BF730000}"/>
    <cellStyle name="Separador de milhares 3 2 7 4 10 5 2" xfId="39085" xr:uid="{00000000-0005-0000-0000-0000C0730000}"/>
    <cellStyle name="Separador de milhares 3 2 7 4 10 6" xfId="32699" xr:uid="{00000000-0005-0000-0000-0000C1730000}"/>
    <cellStyle name="Separador de milhares 3 2 7 4 11" xfId="8180" xr:uid="{00000000-0005-0000-0000-0000C2730000}"/>
    <cellStyle name="Separador de milhares 3 2 7 4 11 2" xfId="26394" xr:uid="{00000000-0005-0000-0000-0000C3730000}"/>
    <cellStyle name="Separador de milhares 3 2 7 4 11 2 2" xfId="52578" xr:uid="{00000000-0005-0000-0000-0000C4730000}"/>
    <cellStyle name="Separador de milhares 3 2 7 4 11 3" xfId="20480" xr:uid="{00000000-0005-0000-0000-0000C5730000}"/>
    <cellStyle name="Separador de milhares 3 2 7 4 11 3 2" xfId="46670" xr:uid="{00000000-0005-0000-0000-0000C6730000}"/>
    <cellStyle name="Separador de milhares 3 2 7 4 11 4" xfId="14569" xr:uid="{00000000-0005-0000-0000-0000C7730000}"/>
    <cellStyle name="Separador de milhares 3 2 7 4 11 4 2" xfId="40762" xr:uid="{00000000-0005-0000-0000-0000C8730000}"/>
    <cellStyle name="Separador de milhares 3 2 7 4 11 5" xfId="34376" xr:uid="{00000000-0005-0000-0000-0000C9730000}"/>
    <cellStyle name="Separador de milhares 3 2 7 4 12" xfId="4802" xr:uid="{00000000-0005-0000-0000-0000CA730000}"/>
    <cellStyle name="Separador de milhares 3 2 7 4 12 2" xfId="23437" xr:uid="{00000000-0005-0000-0000-0000CB730000}"/>
    <cellStyle name="Separador de milhares 3 2 7 4 12 2 2" xfId="49624" xr:uid="{00000000-0005-0000-0000-0000CC730000}"/>
    <cellStyle name="Separador de milhares 3 2 7 4 12 3" xfId="31000" xr:uid="{00000000-0005-0000-0000-0000CD730000}"/>
    <cellStyle name="Separador de milhares 3 2 7 4 13" xfId="17523" xr:uid="{00000000-0005-0000-0000-0000CE730000}"/>
    <cellStyle name="Separador de milhares 3 2 7 4 13 2" xfId="43716" xr:uid="{00000000-0005-0000-0000-0000CF730000}"/>
    <cellStyle name="Separador de milhares 3 2 7 4 14" xfId="11191" xr:uid="{00000000-0005-0000-0000-0000D0730000}"/>
    <cellStyle name="Separador de milhares 3 2 7 4 14 2" xfId="37384" xr:uid="{00000000-0005-0000-0000-0000D1730000}"/>
    <cellStyle name="Separador de milhares 3 2 7 4 15" xfId="29302" xr:uid="{00000000-0005-0000-0000-0000D2730000}"/>
    <cellStyle name="Separador de milhares 3 2 7 4 2" xfId="966" xr:uid="{00000000-0005-0000-0000-0000D3730000}"/>
    <cellStyle name="Separador de milhares 3 2 7 4 2 2" xfId="6700" xr:uid="{00000000-0005-0000-0000-0000D4730000}"/>
    <cellStyle name="Separador de milhares 3 2 7 4 2 2 2" xfId="9847" xr:uid="{00000000-0005-0000-0000-0000D5730000}"/>
    <cellStyle name="Separador de milhares 3 2 7 4 2 2 2 2" xfId="28061" xr:uid="{00000000-0005-0000-0000-0000D6730000}"/>
    <cellStyle name="Separador de milhares 3 2 7 4 2 2 2 2 2" xfId="54242" xr:uid="{00000000-0005-0000-0000-0000D7730000}"/>
    <cellStyle name="Separador de milhares 3 2 7 4 2 2 2 3" xfId="22147" xr:uid="{00000000-0005-0000-0000-0000D8730000}"/>
    <cellStyle name="Separador de milhares 3 2 7 4 2 2 2 3 2" xfId="48334" xr:uid="{00000000-0005-0000-0000-0000D9730000}"/>
    <cellStyle name="Separador de milhares 3 2 7 4 2 2 2 4" xfId="16233" xr:uid="{00000000-0005-0000-0000-0000DA730000}"/>
    <cellStyle name="Separador de milhares 3 2 7 4 2 2 2 4 2" xfId="42426" xr:uid="{00000000-0005-0000-0000-0000DB730000}"/>
    <cellStyle name="Separador de milhares 3 2 7 4 2 2 2 5" xfId="36040" xr:uid="{00000000-0005-0000-0000-0000DC730000}"/>
    <cellStyle name="Separador de milhares 3 2 7 4 2 2 3" xfId="25104" xr:uid="{00000000-0005-0000-0000-0000DD730000}"/>
    <cellStyle name="Separador de milhares 3 2 7 4 2 2 3 2" xfId="51288" xr:uid="{00000000-0005-0000-0000-0000DE730000}"/>
    <cellStyle name="Separador de milhares 3 2 7 4 2 2 4" xfId="19190" xr:uid="{00000000-0005-0000-0000-0000DF730000}"/>
    <cellStyle name="Separador de milhares 3 2 7 4 2 2 4 2" xfId="45380" xr:uid="{00000000-0005-0000-0000-0000E0730000}"/>
    <cellStyle name="Separador de milhares 3 2 7 4 2 2 5" xfId="13089" xr:uid="{00000000-0005-0000-0000-0000E1730000}"/>
    <cellStyle name="Separador de milhares 3 2 7 4 2 2 5 2" xfId="39282" xr:uid="{00000000-0005-0000-0000-0000E2730000}"/>
    <cellStyle name="Separador de milhares 3 2 7 4 2 2 6" xfId="32896" xr:uid="{00000000-0005-0000-0000-0000E3730000}"/>
    <cellStyle name="Separador de milhares 3 2 7 4 2 3" xfId="8379" xr:uid="{00000000-0005-0000-0000-0000E4730000}"/>
    <cellStyle name="Separador de milhares 3 2 7 4 2 3 2" xfId="26593" xr:uid="{00000000-0005-0000-0000-0000E5730000}"/>
    <cellStyle name="Separador de milhares 3 2 7 4 2 3 2 2" xfId="52774" xr:uid="{00000000-0005-0000-0000-0000E6730000}"/>
    <cellStyle name="Separador de milhares 3 2 7 4 2 3 3" xfId="20679" xr:uid="{00000000-0005-0000-0000-0000E7730000}"/>
    <cellStyle name="Separador de milhares 3 2 7 4 2 3 3 2" xfId="46866" xr:uid="{00000000-0005-0000-0000-0000E8730000}"/>
    <cellStyle name="Separador de milhares 3 2 7 4 2 3 4" xfId="14765" xr:uid="{00000000-0005-0000-0000-0000E9730000}"/>
    <cellStyle name="Separador de milhares 3 2 7 4 2 3 4 2" xfId="40958" xr:uid="{00000000-0005-0000-0000-0000EA730000}"/>
    <cellStyle name="Separador de milhares 3 2 7 4 2 3 5" xfId="34572" xr:uid="{00000000-0005-0000-0000-0000EB730000}"/>
    <cellStyle name="Separador de milhares 3 2 7 4 2 4" xfId="5001" xr:uid="{00000000-0005-0000-0000-0000EC730000}"/>
    <cellStyle name="Separador de milhares 3 2 7 4 2 4 2" xfId="23636" xr:uid="{00000000-0005-0000-0000-0000ED730000}"/>
    <cellStyle name="Separador de milhares 3 2 7 4 2 4 2 2" xfId="49820" xr:uid="{00000000-0005-0000-0000-0000EE730000}"/>
    <cellStyle name="Separador de milhares 3 2 7 4 2 4 3" xfId="31197" xr:uid="{00000000-0005-0000-0000-0000EF730000}"/>
    <cellStyle name="Separador de milhares 3 2 7 4 2 5" xfId="17722" xr:uid="{00000000-0005-0000-0000-0000F0730000}"/>
    <cellStyle name="Separador de milhares 3 2 7 4 2 5 2" xfId="43912" xr:uid="{00000000-0005-0000-0000-0000F1730000}"/>
    <cellStyle name="Separador de milhares 3 2 7 4 2 6" xfId="11388" xr:uid="{00000000-0005-0000-0000-0000F2730000}"/>
    <cellStyle name="Separador de milhares 3 2 7 4 2 6 2" xfId="37581" xr:uid="{00000000-0005-0000-0000-0000F3730000}"/>
    <cellStyle name="Separador de milhares 3 2 7 4 2 7" xfId="29499" xr:uid="{00000000-0005-0000-0000-0000F4730000}"/>
    <cellStyle name="Separador de milhares 3 2 7 4 3" xfId="1317" xr:uid="{00000000-0005-0000-0000-0000F5730000}"/>
    <cellStyle name="Separador de milhares 3 2 7 4 3 2" xfId="6798" xr:uid="{00000000-0005-0000-0000-0000F6730000}"/>
    <cellStyle name="Separador de milhares 3 2 7 4 3 2 2" xfId="9945" xr:uid="{00000000-0005-0000-0000-0000F7730000}"/>
    <cellStyle name="Separador de milhares 3 2 7 4 3 2 2 2" xfId="28159" xr:uid="{00000000-0005-0000-0000-0000F8730000}"/>
    <cellStyle name="Separador de milhares 3 2 7 4 3 2 2 2 2" xfId="54340" xr:uid="{00000000-0005-0000-0000-0000F9730000}"/>
    <cellStyle name="Separador de milhares 3 2 7 4 3 2 2 3" xfId="22245" xr:uid="{00000000-0005-0000-0000-0000FA730000}"/>
    <cellStyle name="Separador de milhares 3 2 7 4 3 2 2 3 2" xfId="48432" xr:uid="{00000000-0005-0000-0000-0000FB730000}"/>
    <cellStyle name="Separador de milhares 3 2 7 4 3 2 2 4" xfId="16331" xr:uid="{00000000-0005-0000-0000-0000FC730000}"/>
    <cellStyle name="Separador de milhares 3 2 7 4 3 2 2 4 2" xfId="42524" xr:uid="{00000000-0005-0000-0000-0000FD730000}"/>
    <cellStyle name="Separador de milhares 3 2 7 4 3 2 2 5" xfId="36138" xr:uid="{00000000-0005-0000-0000-0000FE730000}"/>
    <cellStyle name="Separador de milhares 3 2 7 4 3 2 3" xfId="25202" xr:uid="{00000000-0005-0000-0000-0000FF730000}"/>
    <cellStyle name="Separador de milhares 3 2 7 4 3 2 3 2" xfId="51386" xr:uid="{00000000-0005-0000-0000-000000740000}"/>
    <cellStyle name="Separador de milhares 3 2 7 4 3 2 4" xfId="19288" xr:uid="{00000000-0005-0000-0000-000001740000}"/>
    <cellStyle name="Separador de milhares 3 2 7 4 3 2 4 2" xfId="45478" xr:uid="{00000000-0005-0000-0000-000002740000}"/>
    <cellStyle name="Separador de milhares 3 2 7 4 3 2 5" xfId="13187" xr:uid="{00000000-0005-0000-0000-000003740000}"/>
    <cellStyle name="Separador de milhares 3 2 7 4 3 2 5 2" xfId="39380" xr:uid="{00000000-0005-0000-0000-000004740000}"/>
    <cellStyle name="Separador de milhares 3 2 7 4 3 2 6" xfId="32994" xr:uid="{00000000-0005-0000-0000-000005740000}"/>
    <cellStyle name="Separador de milhares 3 2 7 4 3 3" xfId="8477" xr:uid="{00000000-0005-0000-0000-000006740000}"/>
    <cellStyle name="Separador de milhares 3 2 7 4 3 3 2" xfId="26691" xr:uid="{00000000-0005-0000-0000-000007740000}"/>
    <cellStyle name="Separador de milhares 3 2 7 4 3 3 2 2" xfId="52872" xr:uid="{00000000-0005-0000-0000-000008740000}"/>
    <cellStyle name="Separador de milhares 3 2 7 4 3 3 3" xfId="20777" xr:uid="{00000000-0005-0000-0000-000009740000}"/>
    <cellStyle name="Separador de milhares 3 2 7 4 3 3 3 2" xfId="46964" xr:uid="{00000000-0005-0000-0000-00000A740000}"/>
    <cellStyle name="Separador de milhares 3 2 7 4 3 3 4" xfId="14863" xr:uid="{00000000-0005-0000-0000-00000B740000}"/>
    <cellStyle name="Separador de milhares 3 2 7 4 3 3 4 2" xfId="41056" xr:uid="{00000000-0005-0000-0000-00000C740000}"/>
    <cellStyle name="Separador de milhares 3 2 7 4 3 3 5" xfId="34670" xr:uid="{00000000-0005-0000-0000-00000D740000}"/>
    <cellStyle name="Separador de milhares 3 2 7 4 3 4" xfId="5099" xr:uid="{00000000-0005-0000-0000-00000E740000}"/>
    <cellStyle name="Separador de milhares 3 2 7 4 3 4 2" xfId="23734" xr:uid="{00000000-0005-0000-0000-00000F740000}"/>
    <cellStyle name="Separador de milhares 3 2 7 4 3 4 2 2" xfId="49918" xr:uid="{00000000-0005-0000-0000-000010740000}"/>
    <cellStyle name="Separador de milhares 3 2 7 4 3 4 3" xfId="31295" xr:uid="{00000000-0005-0000-0000-000011740000}"/>
    <cellStyle name="Separador de milhares 3 2 7 4 3 5" xfId="17820" xr:uid="{00000000-0005-0000-0000-000012740000}"/>
    <cellStyle name="Separador de milhares 3 2 7 4 3 5 2" xfId="44010" xr:uid="{00000000-0005-0000-0000-000013740000}"/>
    <cellStyle name="Separador de milhares 3 2 7 4 3 6" xfId="11486" xr:uid="{00000000-0005-0000-0000-000014740000}"/>
    <cellStyle name="Separador de milhares 3 2 7 4 3 6 2" xfId="37679" xr:uid="{00000000-0005-0000-0000-000015740000}"/>
    <cellStyle name="Separador de milhares 3 2 7 4 3 7" xfId="29597" xr:uid="{00000000-0005-0000-0000-000016740000}"/>
    <cellStyle name="Separador de milhares 3 2 7 4 4" xfId="1752" xr:uid="{00000000-0005-0000-0000-000017740000}"/>
    <cellStyle name="Separador de milhares 3 2 7 4 4 2" xfId="6917" xr:uid="{00000000-0005-0000-0000-000018740000}"/>
    <cellStyle name="Separador de milhares 3 2 7 4 4 2 2" xfId="10064" xr:uid="{00000000-0005-0000-0000-000019740000}"/>
    <cellStyle name="Separador de milhares 3 2 7 4 4 2 2 2" xfId="28278" xr:uid="{00000000-0005-0000-0000-00001A740000}"/>
    <cellStyle name="Separador de milhares 3 2 7 4 4 2 2 2 2" xfId="54459" xr:uid="{00000000-0005-0000-0000-00001B740000}"/>
    <cellStyle name="Separador de milhares 3 2 7 4 4 2 2 3" xfId="22364" xr:uid="{00000000-0005-0000-0000-00001C740000}"/>
    <cellStyle name="Separador de milhares 3 2 7 4 4 2 2 3 2" xfId="48551" xr:uid="{00000000-0005-0000-0000-00001D740000}"/>
    <cellStyle name="Separador de milhares 3 2 7 4 4 2 2 4" xfId="16450" xr:uid="{00000000-0005-0000-0000-00001E740000}"/>
    <cellStyle name="Separador de milhares 3 2 7 4 4 2 2 4 2" xfId="42643" xr:uid="{00000000-0005-0000-0000-00001F740000}"/>
    <cellStyle name="Separador de milhares 3 2 7 4 4 2 2 5" xfId="36257" xr:uid="{00000000-0005-0000-0000-000020740000}"/>
    <cellStyle name="Separador de milhares 3 2 7 4 4 2 3" xfId="25321" xr:uid="{00000000-0005-0000-0000-000021740000}"/>
    <cellStyle name="Separador de milhares 3 2 7 4 4 2 3 2" xfId="51505" xr:uid="{00000000-0005-0000-0000-000022740000}"/>
    <cellStyle name="Separador de milhares 3 2 7 4 4 2 4" xfId="19407" xr:uid="{00000000-0005-0000-0000-000023740000}"/>
    <cellStyle name="Separador de milhares 3 2 7 4 4 2 4 2" xfId="45597" xr:uid="{00000000-0005-0000-0000-000024740000}"/>
    <cellStyle name="Separador de milhares 3 2 7 4 4 2 5" xfId="13306" xr:uid="{00000000-0005-0000-0000-000025740000}"/>
    <cellStyle name="Separador de milhares 3 2 7 4 4 2 5 2" xfId="39499" xr:uid="{00000000-0005-0000-0000-000026740000}"/>
    <cellStyle name="Separador de milhares 3 2 7 4 4 2 6" xfId="33113" xr:uid="{00000000-0005-0000-0000-000027740000}"/>
    <cellStyle name="Separador de milhares 3 2 7 4 4 3" xfId="8596" xr:uid="{00000000-0005-0000-0000-000028740000}"/>
    <cellStyle name="Separador de milhares 3 2 7 4 4 3 2" xfId="26810" xr:uid="{00000000-0005-0000-0000-000029740000}"/>
    <cellStyle name="Separador de milhares 3 2 7 4 4 3 2 2" xfId="52991" xr:uid="{00000000-0005-0000-0000-00002A740000}"/>
    <cellStyle name="Separador de milhares 3 2 7 4 4 3 3" xfId="20896" xr:uid="{00000000-0005-0000-0000-00002B740000}"/>
    <cellStyle name="Separador de milhares 3 2 7 4 4 3 3 2" xfId="47083" xr:uid="{00000000-0005-0000-0000-00002C740000}"/>
    <cellStyle name="Separador de milhares 3 2 7 4 4 3 4" xfId="14982" xr:uid="{00000000-0005-0000-0000-00002D740000}"/>
    <cellStyle name="Separador de milhares 3 2 7 4 4 3 4 2" xfId="41175" xr:uid="{00000000-0005-0000-0000-00002E740000}"/>
    <cellStyle name="Separador de milhares 3 2 7 4 4 3 5" xfId="34789" xr:uid="{00000000-0005-0000-0000-00002F740000}"/>
    <cellStyle name="Separador de milhares 3 2 7 4 4 4" xfId="5218" xr:uid="{00000000-0005-0000-0000-000030740000}"/>
    <cellStyle name="Separador de milhares 3 2 7 4 4 4 2" xfId="23853" xr:uid="{00000000-0005-0000-0000-000031740000}"/>
    <cellStyle name="Separador de milhares 3 2 7 4 4 4 2 2" xfId="50037" xr:uid="{00000000-0005-0000-0000-000032740000}"/>
    <cellStyle name="Separador de milhares 3 2 7 4 4 4 3" xfId="31414" xr:uid="{00000000-0005-0000-0000-000033740000}"/>
    <cellStyle name="Separador de milhares 3 2 7 4 4 5" xfId="17939" xr:uid="{00000000-0005-0000-0000-000034740000}"/>
    <cellStyle name="Separador de milhares 3 2 7 4 4 5 2" xfId="44129" xr:uid="{00000000-0005-0000-0000-000035740000}"/>
    <cellStyle name="Separador de milhares 3 2 7 4 4 6" xfId="11605" xr:uid="{00000000-0005-0000-0000-000036740000}"/>
    <cellStyle name="Separador de milhares 3 2 7 4 4 6 2" xfId="37798" xr:uid="{00000000-0005-0000-0000-000037740000}"/>
    <cellStyle name="Separador de milhares 3 2 7 4 4 7" xfId="29716" xr:uid="{00000000-0005-0000-0000-000038740000}"/>
    <cellStyle name="Separador de milhares 3 2 7 4 5" xfId="2282" xr:uid="{00000000-0005-0000-0000-000039740000}"/>
    <cellStyle name="Separador de milhares 3 2 7 4 5 2" xfId="7067" xr:uid="{00000000-0005-0000-0000-00003A740000}"/>
    <cellStyle name="Separador de milhares 3 2 7 4 5 2 2" xfId="10211" xr:uid="{00000000-0005-0000-0000-00003B740000}"/>
    <cellStyle name="Separador de milhares 3 2 7 4 5 2 2 2" xfId="28425" xr:uid="{00000000-0005-0000-0000-00003C740000}"/>
    <cellStyle name="Separador de milhares 3 2 7 4 5 2 2 2 2" xfId="54606" xr:uid="{00000000-0005-0000-0000-00003D740000}"/>
    <cellStyle name="Separador de milhares 3 2 7 4 5 2 2 3" xfId="22511" xr:uid="{00000000-0005-0000-0000-00003E740000}"/>
    <cellStyle name="Separador de milhares 3 2 7 4 5 2 2 3 2" xfId="48698" xr:uid="{00000000-0005-0000-0000-00003F740000}"/>
    <cellStyle name="Separador de milhares 3 2 7 4 5 2 2 4" xfId="16597" xr:uid="{00000000-0005-0000-0000-000040740000}"/>
    <cellStyle name="Separador de milhares 3 2 7 4 5 2 2 4 2" xfId="42790" xr:uid="{00000000-0005-0000-0000-000041740000}"/>
    <cellStyle name="Separador de milhares 3 2 7 4 5 2 2 5" xfId="36404" xr:uid="{00000000-0005-0000-0000-000042740000}"/>
    <cellStyle name="Separador de milhares 3 2 7 4 5 2 3" xfId="25468" xr:uid="{00000000-0005-0000-0000-000043740000}"/>
    <cellStyle name="Separador de milhares 3 2 7 4 5 2 3 2" xfId="51652" xr:uid="{00000000-0005-0000-0000-000044740000}"/>
    <cellStyle name="Separador de milhares 3 2 7 4 5 2 4" xfId="19554" xr:uid="{00000000-0005-0000-0000-000045740000}"/>
    <cellStyle name="Separador de milhares 3 2 7 4 5 2 4 2" xfId="45744" xr:uid="{00000000-0005-0000-0000-000046740000}"/>
    <cellStyle name="Separador de milhares 3 2 7 4 5 2 5" xfId="13456" xr:uid="{00000000-0005-0000-0000-000047740000}"/>
    <cellStyle name="Separador de milhares 3 2 7 4 5 2 5 2" xfId="39649" xr:uid="{00000000-0005-0000-0000-000048740000}"/>
    <cellStyle name="Separador de milhares 3 2 7 4 5 2 6" xfId="33263" xr:uid="{00000000-0005-0000-0000-000049740000}"/>
    <cellStyle name="Separador de milhares 3 2 7 4 5 3" xfId="8743" xr:uid="{00000000-0005-0000-0000-00004A740000}"/>
    <cellStyle name="Separador de milhares 3 2 7 4 5 3 2" xfId="26957" xr:uid="{00000000-0005-0000-0000-00004B740000}"/>
    <cellStyle name="Separador de milhares 3 2 7 4 5 3 2 2" xfId="53138" xr:uid="{00000000-0005-0000-0000-00004C740000}"/>
    <cellStyle name="Separador de milhares 3 2 7 4 5 3 3" xfId="21043" xr:uid="{00000000-0005-0000-0000-00004D740000}"/>
    <cellStyle name="Separador de milhares 3 2 7 4 5 3 3 2" xfId="47230" xr:uid="{00000000-0005-0000-0000-00004E740000}"/>
    <cellStyle name="Separador de milhares 3 2 7 4 5 3 4" xfId="15129" xr:uid="{00000000-0005-0000-0000-00004F740000}"/>
    <cellStyle name="Separador de milhares 3 2 7 4 5 3 4 2" xfId="41322" xr:uid="{00000000-0005-0000-0000-000050740000}"/>
    <cellStyle name="Separador de milhares 3 2 7 4 5 3 5" xfId="34936" xr:uid="{00000000-0005-0000-0000-000051740000}"/>
    <cellStyle name="Separador de milhares 3 2 7 4 5 4" xfId="5368" xr:uid="{00000000-0005-0000-0000-000052740000}"/>
    <cellStyle name="Separador de milhares 3 2 7 4 5 4 2" xfId="24000" xr:uid="{00000000-0005-0000-0000-000053740000}"/>
    <cellStyle name="Separador de milhares 3 2 7 4 5 4 2 2" xfId="50184" xr:uid="{00000000-0005-0000-0000-000054740000}"/>
    <cellStyle name="Separador de milhares 3 2 7 4 5 4 3" xfId="31564" xr:uid="{00000000-0005-0000-0000-000055740000}"/>
    <cellStyle name="Separador de milhares 3 2 7 4 5 5" xfId="18086" xr:uid="{00000000-0005-0000-0000-000056740000}"/>
    <cellStyle name="Separador de milhares 3 2 7 4 5 5 2" xfId="44276" xr:uid="{00000000-0005-0000-0000-000057740000}"/>
    <cellStyle name="Separador de milhares 3 2 7 4 5 6" xfId="11755" xr:uid="{00000000-0005-0000-0000-000058740000}"/>
    <cellStyle name="Separador de milhares 3 2 7 4 5 6 2" xfId="37948" xr:uid="{00000000-0005-0000-0000-000059740000}"/>
    <cellStyle name="Separador de milhares 3 2 7 4 5 7" xfId="29866" xr:uid="{00000000-0005-0000-0000-00005A740000}"/>
    <cellStyle name="Separador de milhares 3 2 7 4 6" xfId="2809" xr:uid="{00000000-0005-0000-0000-00005B740000}"/>
    <cellStyle name="Separador de milhares 3 2 7 4 6 2" xfId="7214" xr:uid="{00000000-0005-0000-0000-00005C740000}"/>
    <cellStyle name="Separador de milhares 3 2 7 4 6 2 2" xfId="10358" xr:uid="{00000000-0005-0000-0000-00005D740000}"/>
    <cellStyle name="Separador de milhares 3 2 7 4 6 2 2 2" xfId="28572" xr:uid="{00000000-0005-0000-0000-00005E740000}"/>
    <cellStyle name="Separador de milhares 3 2 7 4 6 2 2 2 2" xfId="54753" xr:uid="{00000000-0005-0000-0000-00005F740000}"/>
    <cellStyle name="Separador de milhares 3 2 7 4 6 2 2 3" xfId="22658" xr:uid="{00000000-0005-0000-0000-000060740000}"/>
    <cellStyle name="Separador de milhares 3 2 7 4 6 2 2 3 2" xfId="48845" xr:uid="{00000000-0005-0000-0000-000061740000}"/>
    <cellStyle name="Separador de milhares 3 2 7 4 6 2 2 4" xfId="16744" xr:uid="{00000000-0005-0000-0000-000062740000}"/>
    <cellStyle name="Separador de milhares 3 2 7 4 6 2 2 4 2" xfId="42937" xr:uid="{00000000-0005-0000-0000-000063740000}"/>
    <cellStyle name="Separador de milhares 3 2 7 4 6 2 2 5" xfId="36551" xr:uid="{00000000-0005-0000-0000-000064740000}"/>
    <cellStyle name="Separador de milhares 3 2 7 4 6 2 3" xfId="25615" xr:uid="{00000000-0005-0000-0000-000065740000}"/>
    <cellStyle name="Separador de milhares 3 2 7 4 6 2 3 2" xfId="51799" xr:uid="{00000000-0005-0000-0000-000066740000}"/>
    <cellStyle name="Separador de milhares 3 2 7 4 6 2 4" xfId="19701" xr:uid="{00000000-0005-0000-0000-000067740000}"/>
    <cellStyle name="Separador de milhares 3 2 7 4 6 2 4 2" xfId="45891" xr:uid="{00000000-0005-0000-0000-000068740000}"/>
    <cellStyle name="Separador de milhares 3 2 7 4 6 2 5" xfId="13603" xr:uid="{00000000-0005-0000-0000-000069740000}"/>
    <cellStyle name="Separador de milhares 3 2 7 4 6 2 5 2" xfId="39796" xr:uid="{00000000-0005-0000-0000-00006A740000}"/>
    <cellStyle name="Separador de milhares 3 2 7 4 6 2 6" xfId="33410" xr:uid="{00000000-0005-0000-0000-00006B740000}"/>
    <cellStyle name="Separador de milhares 3 2 7 4 6 3" xfId="8890" xr:uid="{00000000-0005-0000-0000-00006C740000}"/>
    <cellStyle name="Separador de milhares 3 2 7 4 6 3 2" xfId="27104" xr:uid="{00000000-0005-0000-0000-00006D740000}"/>
    <cellStyle name="Separador de milhares 3 2 7 4 6 3 2 2" xfId="53285" xr:uid="{00000000-0005-0000-0000-00006E740000}"/>
    <cellStyle name="Separador de milhares 3 2 7 4 6 3 3" xfId="21190" xr:uid="{00000000-0005-0000-0000-00006F740000}"/>
    <cellStyle name="Separador de milhares 3 2 7 4 6 3 3 2" xfId="47377" xr:uid="{00000000-0005-0000-0000-000070740000}"/>
    <cellStyle name="Separador de milhares 3 2 7 4 6 3 4" xfId="15276" xr:uid="{00000000-0005-0000-0000-000071740000}"/>
    <cellStyle name="Separador de milhares 3 2 7 4 6 3 4 2" xfId="41469" xr:uid="{00000000-0005-0000-0000-000072740000}"/>
    <cellStyle name="Separador de milhares 3 2 7 4 6 3 5" xfId="35083" xr:uid="{00000000-0005-0000-0000-000073740000}"/>
    <cellStyle name="Separador de milhares 3 2 7 4 6 4" xfId="5515" xr:uid="{00000000-0005-0000-0000-000074740000}"/>
    <cellStyle name="Separador de milhares 3 2 7 4 6 4 2" xfId="24147" xr:uid="{00000000-0005-0000-0000-000075740000}"/>
    <cellStyle name="Separador de milhares 3 2 7 4 6 4 2 2" xfId="50331" xr:uid="{00000000-0005-0000-0000-000076740000}"/>
    <cellStyle name="Separador de milhares 3 2 7 4 6 4 3" xfId="31711" xr:uid="{00000000-0005-0000-0000-000077740000}"/>
    <cellStyle name="Separador de milhares 3 2 7 4 6 5" xfId="18233" xr:uid="{00000000-0005-0000-0000-000078740000}"/>
    <cellStyle name="Separador de milhares 3 2 7 4 6 5 2" xfId="44423" xr:uid="{00000000-0005-0000-0000-000079740000}"/>
    <cellStyle name="Separador de milhares 3 2 7 4 6 6" xfId="11902" xr:uid="{00000000-0005-0000-0000-00007A740000}"/>
    <cellStyle name="Separador de milhares 3 2 7 4 6 6 2" xfId="38095" xr:uid="{00000000-0005-0000-0000-00007B740000}"/>
    <cellStyle name="Separador de milhares 3 2 7 4 6 7" xfId="30013" xr:uid="{00000000-0005-0000-0000-00007C740000}"/>
    <cellStyle name="Separador de milhares 3 2 7 4 7" xfId="3336" xr:uid="{00000000-0005-0000-0000-00007D740000}"/>
    <cellStyle name="Separador de milhares 3 2 7 4 7 2" xfId="7361" xr:uid="{00000000-0005-0000-0000-00007E740000}"/>
    <cellStyle name="Separador de milhares 3 2 7 4 7 2 2" xfId="10505" xr:uid="{00000000-0005-0000-0000-00007F740000}"/>
    <cellStyle name="Separador de milhares 3 2 7 4 7 2 2 2" xfId="28719" xr:uid="{00000000-0005-0000-0000-000080740000}"/>
    <cellStyle name="Separador de milhares 3 2 7 4 7 2 2 2 2" xfId="54900" xr:uid="{00000000-0005-0000-0000-000081740000}"/>
    <cellStyle name="Separador de milhares 3 2 7 4 7 2 2 3" xfId="22805" xr:uid="{00000000-0005-0000-0000-000082740000}"/>
    <cellStyle name="Separador de milhares 3 2 7 4 7 2 2 3 2" xfId="48992" xr:uid="{00000000-0005-0000-0000-000083740000}"/>
    <cellStyle name="Separador de milhares 3 2 7 4 7 2 2 4" xfId="16891" xr:uid="{00000000-0005-0000-0000-000084740000}"/>
    <cellStyle name="Separador de milhares 3 2 7 4 7 2 2 4 2" xfId="43084" xr:uid="{00000000-0005-0000-0000-000085740000}"/>
    <cellStyle name="Separador de milhares 3 2 7 4 7 2 2 5" xfId="36698" xr:uid="{00000000-0005-0000-0000-000086740000}"/>
    <cellStyle name="Separador de milhares 3 2 7 4 7 2 3" xfId="25762" xr:uid="{00000000-0005-0000-0000-000087740000}"/>
    <cellStyle name="Separador de milhares 3 2 7 4 7 2 3 2" xfId="51946" xr:uid="{00000000-0005-0000-0000-000088740000}"/>
    <cellStyle name="Separador de milhares 3 2 7 4 7 2 4" xfId="19848" xr:uid="{00000000-0005-0000-0000-000089740000}"/>
    <cellStyle name="Separador de milhares 3 2 7 4 7 2 4 2" xfId="46038" xr:uid="{00000000-0005-0000-0000-00008A740000}"/>
    <cellStyle name="Separador de milhares 3 2 7 4 7 2 5" xfId="13750" xr:uid="{00000000-0005-0000-0000-00008B740000}"/>
    <cellStyle name="Separador de milhares 3 2 7 4 7 2 5 2" xfId="39943" xr:uid="{00000000-0005-0000-0000-00008C740000}"/>
    <cellStyle name="Separador de milhares 3 2 7 4 7 2 6" xfId="33557" xr:uid="{00000000-0005-0000-0000-00008D740000}"/>
    <cellStyle name="Separador de milhares 3 2 7 4 7 3" xfId="9037" xr:uid="{00000000-0005-0000-0000-00008E740000}"/>
    <cellStyle name="Separador de milhares 3 2 7 4 7 3 2" xfId="27251" xr:uid="{00000000-0005-0000-0000-00008F740000}"/>
    <cellStyle name="Separador de milhares 3 2 7 4 7 3 2 2" xfId="53432" xr:uid="{00000000-0005-0000-0000-000090740000}"/>
    <cellStyle name="Separador de milhares 3 2 7 4 7 3 3" xfId="21337" xr:uid="{00000000-0005-0000-0000-000091740000}"/>
    <cellStyle name="Separador de milhares 3 2 7 4 7 3 3 2" xfId="47524" xr:uid="{00000000-0005-0000-0000-000092740000}"/>
    <cellStyle name="Separador de milhares 3 2 7 4 7 3 4" xfId="15423" xr:uid="{00000000-0005-0000-0000-000093740000}"/>
    <cellStyle name="Separador de milhares 3 2 7 4 7 3 4 2" xfId="41616" xr:uid="{00000000-0005-0000-0000-000094740000}"/>
    <cellStyle name="Separador de milhares 3 2 7 4 7 3 5" xfId="35230" xr:uid="{00000000-0005-0000-0000-000095740000}"/>
    <cellStyle name="Separador de milhares 3 2 7 4 7 4" xfId="5662" xr:uid="{00000000-0005-0000-0000-000096740000}"/>
    <cellStyle name="Separador de milhares 3 2 7 4 7 4 2" xfId="24294" xr:uid="{00000000-0005-0000-0000-000097740000}"/>
    <cellStyle name="Separador de milhares 3 2 7 4 7 4 2 2" xfId="50478" xr:uid="{00000000-0005-0000-0000-000098740000}"/>
    <cellStyle name="Separador de milhares 3 2 7 4 7 4 3" xfId="31858" xr:uid="{00000000-0005-0000-0000-000099740000}"/>
    <cellStyle name="Separador de milhares 3 2 7 4 7 5" xfId="18380" xr:uid="{00000000-0005-0000-0000-00009A740000}"/>
    <cellStyle name="Separador de milhares 3 2 7 4 7 5 2" xfId="44570" xr:uid="{00000000-0005-0000-0000-00009B740000}"/>
    <cellStyle name="Separador de milhares 3 2 7 4 7 6" xfId="12049" xr:uid="{00000000-0005-0000-0000-00009C740000}"/>
    <cellStyle name="Separador de milhares 3 2 7 4 7 6 2" xfId="38242" xr:uid="{00000000-0005-0000-0000-00009D740000}"/>
    <cellStyle name="Separador de milhares 3 2 7 4 7 7" xfId="30160" xr:uid="{00000000-0005-0000-0000-00009E740000}"/>
    <cellStyle name="Separador de milhares 3 2 7 4 8" xfId="3863" xr:uid="{00000000-0005-0000-0000-00009F740000}"/>
    <cellStyle name="Separador de milhares 3 2 7 4 8 2" xfId="7508" xr:uid="{00000000-0005-0000-0000-0000A0740000}"/>
    <cellStyle name="Separador de milhares 3 2 7 4 8 2 2" xfId="10652" xr:uid="{00000000-0005-0000-0000-0000A1740000}"/>
    <cellStyle name="Separador de milhares 3 2 7 4 8 2 2 2" xfId="28866" xr:uid="{00000000-0005-0000-0000-0000A2740000}"/>
    <cellStyle name="Separador de milhares 3 2 7 4 8 2 2 2 2" xfId="55047" xr:uid="{00000000-0005-0000-0000-0000A3740000}"/>
    <cellStyle name="Separador de milhares 3 2 7 4 8 2 2 3" xfId="22952" xr:uid="{00000000-0005-0000-0000-0000A4740000}"/>
    <cellStyle name="Separador de milhares 3 2 7 4 8 2 2 3 2" xfId="49139" xr:uid="{00000000-0005-0000-0000-0000A5740000}"/>
    <cellStyle name="Separador de milhares 3 2 7 4 8 2 2 4" xfId="17038" xr:uid="{00000000-0005-0000-0000-0000A6740000}"/>
    <cellStyle name="Separador de milhares 3 2 7 4 8 2 2 4 2" xfId="43231" xr:uid="{00000000-0005-0000-0000-0000A7740000}"/>
    <cellStyle name="Separador de milhares 3 2 7 4 8 2 2 5" xfId="36845" xr:uid="{00000000-0005-0000-0000-0000A8740000}"/>
    <cellStyle name="Separador de milhares 3 2 7 4 8 2 3" xfId="25909" xr:uid="{00000000-0005-0000-0000-0000A9740000}"/>
    <cellStyle name="Separador de milhares 3 2 7 4 8 2 3 2" xfId="52093" xr:uid="{00000000-0005-0000-0000-0000AA740000}"/>
    <cellStyle name="Separador de milhares 3 2 7 4 8 2 4" xfId="19995" xr:uid="{00000000-0005-0000-0000-0000AB740000}"/>
    <cellStyle name="Separador de milhares 3 2 7 4 8 2 4 2" xfId="46185" xr:uid="{00000000-0005-0000-0000-0000AC740000}"/>
    <cellStyle name="Separador de milhares 3 2 7 4 8 2 5" xfId="13897" xr:uid="{00000000-0005-0000-0000-0000AD740000}"/>
    <cellStyle name="Separador de milhares 3 2 7 4 8 2 5 2" xfId="40090" xr:uid="{00000000-0005-0000-0000-0000AE740000}"/>
    <cellStyle name="Separador de milhares 3 2 7 4 8 2 6" xfId="33704" xr:uid="{00000000-0005-0000-0000-0000AF740000}"/>
    <cellStyle name="Separador de milhares 3 2 7 4 8 3" xfId="9184" xr:uid="{00000000-0005-0000-0000-0000B0740000}"/>
    <cellStyle name="Separador de milhares 3 2 7 4 8 3 2" xfId="27398" xr:uid="{00000000-0005-0000-0000-0000B1740000}"/>
    <cellStyle name="Separador de milhares 3 2 7 4 8 3 2 2" xfId="53579" xr:uid="{00000000-0005-0000-0000-0000B2740000}"/>
    <cellStyle name="Separador de milhares 3 2 7 4 8 3 3" xfId="21484" xr:uid="{00000000-0005-0000-0000-0000B3740000}"/>
    <cellStyle name="Separador de milhares 3 2 7 4 8 3 3 2" xfId="47671" xr:uid="{00000000-0005-0000-0000-0000B4740000}"/>
    <cellStyle name="Separador de milhares 3 2 7 4 8 3 4" xfId="15570" xr:uid="{00000000-0005-0000-0000-0000B5740000}"/>
    <cellStyle name="Separador de milhares 3 2 7 4 8 3 4 2" xfId="41763" xr:uid="{00000000-0005-0000-0000-0000B6740000}"/>
    <cellStyle name="Separador de milhares 3 2 7 4 8 3 5" xfId="35377" xr:uid="{00000000-0005-0000-0000-0000B7740000}"/>
    <cellStyle name="Separador de milhares 3 2 7 4 8 4" xfId="5809" xr:uid="{00000000-0005-0000-0000-0000B8740000}"/>
    <cellStyle name="Separador de milhares 3 2 7 4 8 4 2" xfId="24441" xr:uid="{00000000-0005-0000-0000-0000B9740000}"/>
    <cellStyle name="Separador de milhares 3 2 7 4 8 4 2 2" xfId="50625" xr:uid="{00000000-0005-0000-0000-0000BA740000}"/>
    <cellStyle name="Separador de milhares 3 2 7 4 8 4 3" xfId="32005" xr:uid="{00000000-0005-0000-0000-0000BB740000}"/>
    <cellStyle name="Separador de milhares 3 2 7 4 8 5" xfId="18527" xr:uid="{00000000-0005-0000-0000-0000BC740000}"/>
    <cellStyle name="Separador de milhares 3 2 7 4 8 5 2" xfId="44717" xr:uid="{00000000-0005-0000-0000-0000BD740000}"/>
    <cellStyle name="Separador de milhares 3 2 7 4 8 6" xfId="12196" xr:uid="{00000000-0005-0000-0000-0000BE740000}"/>
    <cellStyle name="Separador de milhares 3 2 7 4 8 6 2" xfId="38389" xr:uid="{00000000-0005-0000-0000-0000BF740000}"/>
    <cellStyle name="Separador de milhares 3 2 7 4 8 7" xfId="30307" xr:uid="{00000000-0005-0000-0000-0000C0740000}"/>
    <cellStyle name="Separador de milhares 3 2 7 4 9" xfId="667" xr:uid="{00000000-0005-0000-0000-0000C1740000}"/>
    <cellStyle name="Separador de milhares 3 2 7 4 9 2" xfId="6602" xr:uid="{00000000-0005-0000-0000-0000C2740000}"/>
    <cellStyle name="Separador de milhares 3 2 7 4 9 2 2" xfId="9749" xr:uid="{00000000-0005-0000-0000-0000C3740000}"/>
    <cellStyle name="Separador de milhares 3 2 7 4 9 2 2 2" xfId="27963" xr:uid="{00000000-0005-0000-0000-0000C4740000}"/>
    <cellStyle name="Separador de milhares 3 2 7 4 9 2 2 2 2" xfId="54144" xr:uid="{00000000-0005-0000-0000-0000C5740000}"/>
    <cellStyle name="Separador de milhares 3 2 7 4 9 2 2 3" xfId="22049" xr:uid="{00000000-0005-0000-0000-0000C6740000}"/>
    <cellStyle name="Separador de milhares 3 2 7 4 9 2 2 3 2" xfId="48236" xr:uid="{00000000-0005-0000-0000-0000C7740000}"/>
    <cellStyle name="Separador de milhares 3 2 7 4 9 2 2 4" xfId="16135" xr:uid="{00000000-0005-0000-0000-0000C8740000}"/>
    <cellStyle name="Separador de milhares 3 2 7 4 9 2 2 4 2" xfId="42328" xr:uid="{00000000-0005-0000-0000-0000C9740000}"/>
    <cellStyle name="Separador de milhares 3 2 7 4 9 2 2 5" xfId="35942" xr:uid="{00000000-0005-0000-0000-0000CA740000}"/>
    <cellStyle name="Separador de milhares 3 2 7 4 9 2 3" xfId="25006" xr:uid="{00000000-0005-0000-0000-0000CB740000}"/>
    <cellStyle name="Separador de milhares 3 2 7 4 9 2 3 2" xfId="51190" xr:uid="{00000000-0005-0000-0000-0000CC740000}"/>
    <cellStyle name="Separador de milhares 3 2 7 4 9 2 4" xfId="19092" xr:uid="{00000000-0005-0000-0000-0000CD740000}"/>
    <cellStyle name="Separador de milhares 3 2 7 4 9 2 4 2" xfId="45282" xr:uid="{00000000-0005-0000-0000-0000CE740000}"/>
    <cellStyle name="Separador de milhares 3 2 7 4 9 2 5" xfId="12991" xr:uid="{00000000-0005-0000-0000-0000CF740000}"/>
    <cellStyle name="Separador de milhares 3 2 7 4 9 2 5 2" xfId="39184" xr:uid="{00000000-0005-0000-0000-0000D0740000}"/>
    <cellStyle name="Separador de milhares 3 2 7 4 9 2 6" xfId="32798" xr:uid="{00000000-0005-0000-0000-0000D1740000}"/>
    <cellStyle name="Separador de milhares 3 2 7 4 9 3" xfId="8281" xr:uid="{00000000-0005-0000-0000-0000D2740000}"/>
    <cellStyle name="Separador de milhares 3 2 7 4 9 3 2" xfId="26495" xr:uid="{00000000-0005-0000-0000-0000D3740000}"/>
    <cellStyle name="Separador de milhares 3 2 7 4 9 3 2 2" xfId="52676" xr:uid="{00000000-0005-0000-0000-0000D4740000}"/>
    <cellStyle name="Separador de milhares 3 2 7 4 9 3 3" xfId="20581" xr:uid="{00000000-0005-0000-0000-0000D5740000}"/>
    <cellStyle name="Separador de milhares 3 2 7 4 9 3 3 2" xfId="46768" xr:uid="{00000000-0005-0000-0000-0000D6740000}"/>
    <cellStyle name="Separador de milhares 3 2 7 4 9 3 4" xfId="14667" xr:uid="{00000000-0005-0000-0000-0000D7740000}"/>
    <cellStyle name="Separador de milhares 3 2 7 4 9 3 4 2" xfId="40860" xr:uid="{00000000-0005-0000-0000-0000D8740000}"/>
    <cellStyle name="Separador de milhares 3 2 7 4 9 3 5" xfId="34474" xr:uid="{00000000-0005-0000-0000-0000D9740000}"/>
    <cellStyle name="Separador de milhares 3 2 7 4 9 4" xfId="4903" xr:uid="{00000000-0005-0000-0000-0000DA740000}"/>
    <cellStyle name="Separador de milhares 3 2 7 4 9 4 2" xfId="23538" xr:uid="{00000000-0005-0000-0000-0000DB740000}"/>
    <cellStyle name="Separador de milhares 3 2 7 4 9 4 2 2" xfId="49722" xr:uid="{00000000-0005-0000-0000-0000DC740000}"/>
    <cellStyle name="Separador de milhares 3 2 7 4 9 4 3" xfId="31099" xr:uid="{00000000-0005-0000-0000-0000DD740000}"/>
    <cellStyle name="Separador de milhares 3 2 7 4 9 5" xfId="17624" xr:uid="{00000000-0005-0000-0000-0000DE740000}"/>
    <cellStyle name="Separador de milhares 3 2 7 4 9 5 2" xfId="43814" xr:uid="{00000000-0005-0000-0000-0000DF740000}"/>
    <cellStyle name="Separador de milhares 3 2 7 4 9 6" xfId="11290" xr:uid="{00000000-0005-0000-0000-0000E0740000}"/>
    <cellStyle name="Separador de milhares 3 2 7 4 9 6 2" xfId="37483" xr:uid="{00000000-0005-0000-0000-0000E1740000}"/>
    <cellStyle name="Separador de milhares 3 2 7 4 9 7" xfId="29401" xr:uid="{00000000-0005-0000-0000-0000E2740000}"/>
    <cellStyle name="Separador de milhares 3 2 7 5" xfId="578" xr:uid="{00000000-0005-0000-0000-0000E3740000}"/>
    <cellStyle name="Separador de milhares 3 2 7 5 10" xfId="4867" xr:uid="{00000000-0005-0000-0000-0000E4740000}"/>
    <cellStyle name="Separador de milhares 3 2 7 5 10 2" xfId="23501" xr:uid="{00000000-0005-0000-0000-0000E5740000}"/>
    <cellStyle name="Separador de milhares 3 2 7 5 10 2 2" xfId="49688" xr:uid="{00000000-0005-0000-0000-0000E6740000}"/>
    <cellStyle name="Separador de milhares 3 2 7 5 10 3" xfId="31065" xr:uid="{00000000-0005-0000-0000-0000E7740000}"/>
    <cellStyle name="Separador de milhares 3 2 7 5 11" xfId="17587" xr:uid="{00000000-0005-0000-0000-0000E8740000}"/>
    <cellStyle name="Separador de milhares 3 2 7 5 11 2" xfId="43780" xr:uid="{00000000-0005-0000-0000-0000E9740000}"/>
    <cellStyle name="Separador de milhares 3 2 7 5 12" xfId="11256" xr:uid="{00000000-0005-0000-0000-0000EA740000}"/>
    <cellStyle name="Separador de milhares 3 2 7 5 12 2" xfId="37449" xr:uid="{00000000-0005-0000-0000-0000EB740000}"/>
    <cellStyle name="Separador de milhares 3 2 7 5 13" xfId="29367" xr:uid="{00000000-0005-0000-0000-0000EC740000}"/>
    <cellStyle name="Separador de milhares 3 2 7 5 2" xfId="1401" xr:uid="{00000000-0005-0000-0000-0000ED740000}"/>
    <cellStyle name="Separador de milhares 3 2 7 5 2 2" xfId="6819" xr:uid="{00000000-0005-0000-0000-0000EE740000}"/>
    <cellStyle name="Separador de milhares 3 2 7 5 2 2 2" xfId="9966" xr:uid="{00000000-0005-0000-0000-0000EF740000}"/>
    <cellStyle name="Separador de milhares 3 2 7 5 2 2 2 2" xfId="28180" xr:uid="{00000000-0005-0000-0000-0000F0740000}"/>
    <cellStyle name="Separador de milhares 3 2 7 5 2 2 2 2 2" xfId="54361" xr:uid="{00000000-0005-0000-0000-0000F1740000}"/>
    <cellStyle name="Separador de milhares 3 2 7 5 2 2 2 3" xfId="22266" xr:uid="{00000000-0005-0000-0000-0000F2740000}"/>
    <cellStyle name="Separador de milhares 3 2 7 5 2 2 2 3 2" xfId="48453" xr:uid="{00000000-0005-0000-0000-0000F3740000}"/>
    <cellStyle name="Separador de milhares 3 2 7 5 2 2 2 4" xfId="16352" xr:uid="{00000000-0005-0000-0000-0000F4740000}"/>
    <cellStyle name="Separador de milhares 3 2 7 5 2 2 2 4 2" xfId="42545" xr:uid="{00000000-0005-0000-0000-0000F5740000}"/>
    <cellStyle name="Separador de milhares 3 2 7 5 2 2 2 5" xfId="36159" xr:uid="{00000000-0005-0000-0000-0000F6740000}"/>
    <cellStyle name="Separador de milhares 3 2 7 5 2 2 3" xfId="25223" xr:uid="{00000000-0005-0000-0000-0000F7740000}"/>
    <cellStyle name="Separador de milhares 3 2 7 5 2 2 3 2" xfId="51407" xr:uid="{00000000-0005-0000-0000-0000F8740000}"/>
    <cellStyle name="Separador de milhares 3 2 7 5 2 2 4" xfId="19309" xr:uid="{00000000-0005-0000-0000-0000F9740000}"/>
    <cellStyle name="Separador de milhares 3 2 7 5 2 2 4 2" xfId="45499" xr:uid="{00000000-0005-0000-0000-0000FA740000}"/>
    <cellStyle name="Separador de milhares 3 2 7 5 2 2 5" xfId="13208" xr:uid="{00000000-0005-0000-0000-0000FB740000}"/>
    <cellStyle name="Separador de milhares 3 2 7 5 2 2 5 2" xfId="39401" xr:uid="{00000000-0005-0000-0000-0000FC740000}"/>
    <cellStyle name="Separador de milhares 3 2 7 5 2 2 6" xfId="33015" xr:uid="{00000000-0005-0000-0000-0000FD740000}"/>
    <cellStyle name="Separador de milhares 3 2 7 5 2 3" xfId="8498" xr:uid="{00000000-0005-0000-0000-0000FE740000}"/>
    <cellStyle name="Separador de milhares 3 2 7 5 2 3 2" xfId="26712" xr:uid="{00000000-0005-0000-0000-0000FF740000}"/>
    <cellStyle name="Separador de milhares 3 2 7 5 2 3 2 2" xfId="52893" xr:uid="{00000000-0005-0000-0000-000000750000}"/>
    <cellStyle name="Separador de milhares 3 2 7 5 2 3 3" xfId="20798" xr:uid="{00000000-0005-0000-0000-000001750000}"/>
    <cellStyle name="Separador de milhares 3 2 7 5 2 3 3 2" xfId="46985" xr:uid="{00000000-0005-0000-0000-000002750000}"/>
    <cellStyle name="Separador de milhares 3 2 7 5 2 3 4" xfId="14884" xr:uid="{00000000-0005-0000-0000-000003750000}"/>
    <cellStyle name="Separador de milhares 3 2 7 5 2 3 4 2" xfId="41077" xr:uid="{00000000-0005-0000-0000-000004750000}"/>
    <cellStyle name="Separador de milhares 3 2 7 5 2 3 5" xfId="34691" xr:uid="{00000000-0005-0000-0000-000005750000}"/>
    <cellStyle name="Separador de milhares 3 2 7 5 2 4" xfId="5120" xr:uid="{00000000-0005-0000-0000-000006750000}"/>
    <cellStyle name="Separador de milhares 3 2 7 5 2 4 2" xfId="23755" xr:uid="{00000000-0005-0000-0000-000007750000}"/>
    <cellStyle name="Separador de milhares 3 2 7 5 2 4 2 2" xfId="49939" xr:uid="{00000000-0005-0000-0000-000008750000}"/>
    <cellStyle name="Separador de milhares 3 2 7 5 2 4 3" xfId="31316" xr:uid="{00000000-0005-0000-0000-000009750000}"/>
    <cellStyle name="Separador de milhares 3 2 7 5 2 5" xfId="17841" xr:uid="{00000000-0005-0000-0000-00000A750000}"/>
    <cellStyle name="Separador de milhares 3 2 7 5 2 5 2" xfId="44031" xr:uid="{00000000-0005-0000-0000-00000B750000}"/>
    <cellStyle name="Separador de milhares 3 2 7 5 2 6" xfId="11507" xr:uid="{00000000-0005-0000-0000-00000C750000}"/>
    <cellStyle name="Separador de milhares 3 2 7 5 2 6 2" xfId="37700" xr:uid="{00000000-0005-0000-0000-00000D750000}"/>
    <cellStyle name="Separador de milhares 3 2 7 5 2 7" xfId="29618" xr:uid="{00000000-0005-0000-0000-00000E750000}"/>
    <cellStyle name="Separador de milhares 3 2 7 5 3" xfId="1836" xr:uid="{00000000-0005-0000-0000-00000F750000}"/>
    <cellStyle name="Separador de milhares 3 2 7 5 3 2" xfId="6938" xr:uid="{00000000-0005-0000-0000-000010750000}"/>
    <cellStyle name="Separador de milhares 3 2 7 5 3 2 2" xfId="10085" xr:uid="{00000000-0005-0000-0000-000011750000}"/>
    <cellStyle name="Separador de milhares 3 2 7 5 3 2 2 2" xfId="28299" xr:uid="{00000000-0005-0000-0000-000012750000}"/>
    <cellStyle name="Separador de milhares 3 2 7 5 3 2 2 2 2" xfId="54480" xr:uid="{00000000-0005-0000-0000-000013750000}"/>
    <cellStyle name="Separador de milhares 3 2 7 5 3 2 2 3" xfId="22385" xr:uid="{00000000-0005-0000-0000-000014750000}"/>
    <cellStyle name="Separador de milhares 3 2 7 5 3 2 2 3 2" xfId="48572" xr:uid="{00000000-0005-0000-0000-000015750000}"/>
    <cellStyle name="Separador de milhares 3 2 7 5 3 2 2 4" xfId="16471" xr:uid="{00000000-0005-0000-0000-000016750000}"/>
    <cellStyle name="Separador de milhares 3 2 7 5 3 2 2 4 2" xfId="42664" xr:uid="{00000000-0005-0000-0000-000017750000}"/>
    <cellStyle name="Separador de milhares 3 2 7 5 3 2 2 5" xfId="36278" xr:uid="{00000000-0005-0000-0000-000018750000}"/>
    <cellStyle name="Separador de milhares 3 2 7 5 3 2 3" xfId="25342" xr:uid="{00000000-0005-0000-0000-000019750000}"/>
    <cellStyle name="Separador de milhares 3 2 7 5 3 2 3 2" xfId="51526" xr:uid="{00000000-0005-0000-0000-00001A750000}"/>
    <cellStyle name="Separador de milhares 3 2 7 5 3 2 4" xfId="19428" xr:uid="{00000000-0005-0000-0000-00001B750000}"/>
    <cellStyle name="Separador de milhares 3 2 7 5 3 2 4 2" xfId="45618" xr:uid="{00000000-0005-0000-0000-00001C750000}"/>
    <cellStyle name="Separador de milhares 3 2 7 5 3 2 5" xfId="13327" xr:uid="{00000000-0005-0000-0000-00001D750000}"/>
    <cellStyle name="Separador de milhares 3 2 7 5 3 2 5 2" xfId="39520" xr:uid="{00000000-0005-0000-0000-00001E750000}"/>
    <cellStyle name="Separador de milhares 3 2 7 5 3 2 6" xfId="33134" xr:uid="{00000000-0005-0000-0000-00001F750000}"/>
    <cellStyle name="Separador de milhares 3 2 7 5 3 3" xfId="8617" xr:uid="{00000000-0005-0000-0000-000020750000}"/>
    <cellStyle name="Separador de milhares 3 2 7 5 3 3 2" xfId="26831" xr:uid="{00000000-0005-0000-0000-000021750000}"/>
    <cellStyle name="Separador de milhares 3 2 7 5 3 3 2 2" xfId="53012" xr:uid="{00000000-0005-0000-0000-000022750000}"/>
    <cellStyle name="Separador de milhares 3 2 7 5 3 3 3" xfId="20917" xr:uid="{00000000-0005-0000-0000-000023750000}"/>
    <cellStyle name="Separador de milhares 3 2 7 5 3 3 3 2" xfId="47104" xr:uid="{00000000-0005-0000-0000-000024750000}"/>
    <cellStyle name="Separador de milhares 3 2 7 5 3 3 4" xfId="15003" xr:uid="{00000000-0005-0000-0000-000025750000}"/>
    <cellStyle name="Separador de milhares 3 2 7 5 3 3 4 2" xfId="41196" xr:uid="{00000000-0005-0000-0000-000026750000}"/>
    <cellStyle name="Separador de milhares 3 2 7 5 3 3 5" xfId="34810" xr:uid="{00000000-0005-0000-0000-000027750000}"/>
    <cellStyle name="Separador de milhares 3 2 7 5 3 4" xfId="5239" xr:uid="{00000000-0005-0000-0000-000028750000}"/>
    <cellStyle name="Separador de milhares 3 2 7 5 3 4 2" xfId="23874" xr:uid="{00000000-0005-0000-0000-000029750000}"/>
    <cellStyle name="Separador de milhares 3 2 7 5 3 4 2 2" xfId="50058" xr:uid="{00000000-0005-0000-0000-00002A750000}"/>
    <cellStyle name="Separador de milhares 3 2 7 5 3 4 3" xfId="31435" xr:uid="{00000000-0005-0000-0000-00002B750000}"/>
    <cellStyle name="Separador de milhares 3 2 7 5 3 5" xfId="17960" xr:uid="{00000000-0005-0000-0000-00002C750000}"/>
    <cellStyle name="Separador de milhares 3 2 7 5 3 5 2" xfId="44150" xr:uid="{00000000-0005-0000-0000-00002D750000}"/>
    <cellStyle name="Separador de milhares 3 2 7 5 3 6" xfId="11626" xr:uid="{00000000-0005-0000-0000-00002E750000}"/>
    <cellStyle name="Separador de milhares 3 2 7 5 3 6 2" xfId="37819" xr:uid="{00000000-0005-0000-0000-00002F750000}"/>
    <cellStyle name="Separador de milhares 3 2 7 5 3 7" xfId="29737" xr:uid="{00000000-0005-0000-0000-000030750000}"/>
    <cellStyle name="Separador de milhares 3 2 7 5 4" xfId="2366" xr:uid="{00000000-0005-0000-0000-000031750000}"/>
    <cellStyle name="Separador de milhares 3 2 7 5 4 2" xfId="7088" xr:uid="{00000000-0005-0000-0000-000032750000}"/>
    <cellStyle name="Separador de milhares 3 2 7 5 4 2 2" xfId="10232" xr:uid="{00000000-0005-0000-0000-000033750000}"/>
    <cellStyle name="Separador de milhares 3 2 7 5 4 2 2 2" xfId="28446" xr:uid="{00000000-0005-0000-0000-000034750000}"/>
    <cellStyle name="Separador de milhares 3 2 7 5 4 2 2 2 2" xfId="54627" xr:uid="{00000000-0005-0000-0000-000035750000}"/>
    <cellStyle name="Separador de milhares 3 2 7 5 4 2 2 3" xfId="22532" xr:uid="{00000000-0005-0000-0000-000036750000}"/>
    <cellStyle name="Separador de milhares 3 2 7 5 4 2 2 3 2" xfId="48719" xr:uid="{00000000-0005-0000-0000-000037750000}"/>
    <cellStyle name="Separador de milhares 3 2 7 5 4 2 2 4" xfId="16618" xr:uid="{00000000-0005-0000-0000-000038750000}"/>
    <cellStyle name="Separador de milhares 3 2 7 5 4 2 2 4 2" xfId="42811" xr:uid="{00000000-0005-0000-0000-000039750000}"/>
    <cellStyle name="Separador de milhares 3 2 7 5 4 2 2 5" xfId="36425" xr:uid="{00000000-0005-0000-0000-00003A750000}"/>
    <cellStyle name="Separador de milhares 3 2 7 5 4 2 3" xfId="25489" xr:uid="{00000000-0005-0000-0000-00003B750000}"/>
    <cellStyle name="Separador de milhares 3 2 7 5 4 2 3 2" xfId="51673" xr:uid="{00000000-0005-0000-0000-00003C750000}"/>
    <cellStyle name="Separador de milhares 3 2 7 5 4 2 4" xfId="19575" xr:uid="{00000000-0005-0000-0000-00003D750000}"/>
    <cellStyle name="Separador de milhares 3 2 7 5 4 2 4 2" xfId="45765" xr:uid="{00000000-0005-0000-0000-00003E750000}"/>
    <cellStyle name="Separador de milhares 3 2 7 5 4 2 5" xfId="13477" xr:uid="{00000000-0005-0000-0000-00003F750000}"/>
    <cellStyle name="Separador de milhares 3 2 7 5 4 2 5 2" xfId="39670" xr:uid="{00000000-0005-0000-0000-000040750000}"/>
    <cellStyle name="Separador de milhares 3 2 7 5 4 2 6" xfId="33284" xr:uid="{00000000-0005-0000-0000-000041750000}"/>
    <cellStyle name="Separador de milhares 3 2 7 5 4 3" xfId="8764" xr:uid="{00000000-0005-0000-0000-000042750000}"/>
    <cellStyle name="Separador de milhares 3 2 7 5 4 3 2" xfId="26978" xr:uid="{00000000-0005-0000-0000-000043750000}"/>
    <cellStyle name="Separador de milhares 3 2 7 5 4 3 2 2" xfId="53159" xr:uid="{00000000-0005-0000-0000-000044750000}"/>
    <cellStyle name="Separador de milhares 3 2 7 5 4 3 3" xfId="21064" xr:uid="{00000000-0005-0000-0000-000045750000}"/>
    <cellStyle name="Separador de milhares 3 2 7 5 4 3 3 2" xfId="47251" xr:uid="{00000000-0005-0000-0000-000046750000}"/>
    <cellStyle name="Separador de milhares 3 2 7 5 4 3 4" xfId="15150" xr:uid="{00000000-0005-0000-0000-000047750000}"/>
    <cellStyle name="Separador de milhares 3 2 7 5 4 3 4 2" xfId="41343" xr:uid="{00000000-0005-0000-0000-000048750000}"/>
    <cellStyle name="Separador de milhares 3 2 7 5 4 3 5" xfId="34957" xr:uid="{00000000-0005-0000-0000-000049750000}"/>
    <cellStyle name="Separador de milhares 3 2 7 5 4 4" xfId="5389" xr:uid="{00000000-0005-0000-0000-00004A750000}"/>
    <cellStyle name="Separador de milhares 3 2 7 5 4 4 2" xfId="24021" xr:uid="{00000000-0005-0000-0000-00004B750000}"/>
    <cellStyle name="Separador de milhares 3 2 7 5 4 4 2 2" xfId="50205" xr:uid="{00000000-0005-0000-0000-00004C750000}"/>
    <cellStyle name="Separador de milhares 3 2 7 5 4 4 3" xfId="31585" xr:uid="{00000000-0005-0000-0000-00004D750000}"/>
    <cellStyle name="Separador de milhares 3 2 7 5 4 5" xfId="18107" xr:uid="{00000000-0005-0000-0000-00004E750000}"/>
    <cellStyle name="Separador de milhares 3 2 7 5 4 5 2" xfId="44297" xr:uid="{00000000-0005-0000-0000-00004F750000}"/>
    <cellStyle name="Separador de milhares 3 2 7 5 4 6" xfId="11776" xr:uid="{00000000-0005-0000-0000-000050750000}"/>
    <cellStyle name="Separador de milhares 3 2 7 5 4 6 2" xfId="37969" xr:uid="{00000000-0005-0000-0000-000051750000}"/>
    <cellStyle name="Separador de milhares 3 2 7 5 4 7" xfId="29887" xr:uid="{00000000-0005-0000-0000-000052750000}"/>
    <cellStyle name="Separador de milhares 3 2 7 5 5" xfId="2893" xr:uid="{00000000-0005-0000-0000-000053750000}"/>
    <cellStyle name="Separador de milhares 3 2 7 5 5 2" xfId="7235" xr:uid="{00000000-0005-0000-0000-000054750000}"/>
    <cellStyle name="Separador de milhares 3 2 7 5 5 2 2" xfId="10379" xr:uid="{00000000-0005-0000-0000-000055750000}"/>
    <cellStyle name="Separador de milhares 3 2 7 5 5 2 2 2" xfId="28593" xr:uid="{00000000-0005-0000-0000-000056750000}"/>
    <cellStyle name="Separador de milhares 3 2 7 5 5 2 2 2 2" xfId="54774" xr:uid="{00000000-0005-0000-0000-000057750000}"/>
    <cellStyle name="Separador de milhares 3 2 7 5 5 2 2 3" xfId="22679" xr:uid="{00000000-0005-0000-0000-000058750000}"/>
    <cellStyle name="Separador de milhares 3 2 7 5 5 2 2 3 2" xfId="48866" xr:uid="{00000000-0005-0000-0000-000059750000}"/>
    <cellStyle name="Separador de milhares 3 2 7 5 5 2 2 4" xfId="16765" xr:uid="{00000000-0005-0000-0000-00005A750000}"/>
    <cellStyle name="Separador de milhares 3 2 7 5 5 2 2 4 2" xfId="42958" xr:uid="{00000000-0005-0000-0000-00005B750000}"/>
    <cellStyle name="Separador de milhares 3 2 7 5 5 2 2 5" xfId="36572" xr:uid="{00000000-0005-0000-0000-00005C750000}"/>
    <cellStyle name="Separador de milhares 3 2 7 5 5 2 3" xfId="25636" xr:uid="{00000000-0005-0000-0000-00005D750000}"/>
    <cellStyle name="Separador de milhares 3 2 7 5 5 2 3 2" xfId="51820" xr:uid="{00000000-0005-0000-0000-00005E750000}"/>
    <cellStyle name="Separador de milhares 3 2 7 5 5 2 4" xfId="19722" xr:uid="{00000000-0005-0000-0000-00005F750000}"/>
    <cellStyle name="Separador de milhares 3 2 7 5 5 2 4 2" xfId="45912" xr:uid="{00000000-0005-0000-0000-000060750000}"/>
    <cellStyle name="Separador de milhares 3 2 7 5 5 2 5" xfId="13624" xr:uid="{00000000-0005-0000-0000-000061750000}"/>
    <cellStyle name="Separador de milhares 3 2 7 5 5 2 5 2" xfId="39817" xr:uid="{00000000-0005-0000-0000-000062750000}"/>
    <cellStyle name="Separador de milhares 3 2 7 5 5 2 6" xfId="33431" xr:uid="{00000000-0005-0000-0000-000063750000}"/>
    <cellStyle name="Separador de milhares 3 2 7 5 5 3" xfId="8911" xr:uid="{00000000-0005-0000-0000-000064750000}"/>
    <cellStyle name="Separador de milhares 3 2 7 5 5 3 2" xfId="27125" xr:uid="{00000000-0005-0000-0000-000065750000}"/>
    <cellStyle name="Separador de milhares 3 2 7 5 5 3 2 2" xfId="53306" xr:uid="{00000000-0005-0000-0000-000066750000}"/>
    <cellStyle name="Separador de milhares 3 2 7 5 5 3 3" xfId="21211" xr:uid="{00000000-0005-0000-0000-000067750000}"/>
    <cellStyle name="Separador de milhares 3 2 7 5 5 3 3 2" xfId="47398" xr:uid="{00000000-0005-0000-0000-000068750000}"/>
    <cellStyle name="Separador de milhares 3 2 7 5 5 3 4" xfId="15297" xr:uid="{00000000-0005-0000-0000-000069750000}"/>
    <cellStyle name="Separador de milhares 3 2 7 5 5 3 4 2" xfId="41490" xr:uid="{00000000-0005-0000-0000-00006A750000}"/>
    <cellStyle name="Separador de milhares 3 2 7 5 5 3 5" xfId="35104" xr:uid="{00000000-0005-0000-0000-00006B750000}"/>
    <cellStyle name="Separador de milhares 3 2 7 5 5 4" xfId="5536" xr:uid="{00000000-0005-0000-0000-00006C750000}"/>
    <cellStyle name="Separador de milhares 3 2 7 5 5 4 2" xfId="24168" xr:uid="{00000000-0005-0000-0000-00006D750000}"/>
    <cellStyle name="Separador de milhares 3 2 7 5 5 4 2 2" xfId="50352" xr:uid="{00000000-0005-0000-0000-00006E750000}"/>
    <cellStyle name="Separador de milhares 3 2 7 5 5 4 3" xfId="31732" xr:uid="{00000000-0005-0000-0000-00006F750000}"/>
    <cellStyle name="Separador de milhares 3 2 7 5 5 5" xfId="18254" xr:uid="{00000000-0005-0000-0000-000070750000}"/>
    <cellStyle name="Separador de milhares 3 2 7 5 5 5 2" xfId="44444" xr:uid="{00000000-0005-0000-0000-000071750000}"/>
    <cellStyle name="Separador de milhares 3 2 7 5 5 6" xfId="11923" xr:uid="{00000000-0005-0000-0000-000072750000}"/>
    <cellStyle name="Separador de milhares 3 2 7 5 5 6 2" xfId="38116" xr:uid="{00000000-0005-0000-0000-000073750000}"/>
    <cellStyle name="Separador de milhares 3 2 7 5 5 7" xfId="30034" xr:uid="{00000000-0005-0000-0000-000074750000}"/>
    <cellStyle name="Separador de milhares 3 2 7 5 6" xfId="3420" xr:uid="{00000000-0005-0000-0000-000075750000}"/>
    <cellStyle name="Separador de milhares 3 2 7 5 6 2" xfId="7382" xr:uid="{00000000-0005-0000-0000-000076750000}"/>
    <cellStyle name="Separador de milhares 3 2 7 5 6 2 2" xfId="10526" xr:uid="{00000000-0005-0000-0000-000077750000}"/>
    <cellStyle name="Separador de milhares 3 2 7 5 6 2 2 2" xfId="28740" xr:uid="{00000000-0005-0000-0000-000078750000}"/>
    <cellStyle name="Separador de milhares 3 2 7 5 6 2 2 2 2" xfId="54921" xr:uid="{00000000-0005-0000-0000-000079750000}"/>
    <cellStyle name="Separador de milhares 3 2 7 5 6 2 2 3" xfId="22826" xr:uid="{00000000-0005-0000-0000-00007A750000}"/>
    <cellStyle name="Separador de milhares 3 2 7 5 6 2 2 3 2" xfId="49013" xr:uid="{00000000-0005-0000-0000-00007B750000}"/>
    <cellStyle name="Separador de milhares 3 2 7 5 6 2 2 4" xfId="16912" xr:uid="{00000000-0005-0000-0000-00007C750000}"/>
    <cellStyle name="Separador de milhares 3 2 7 5 6 2 2 4 2" xfId="43105" xr:uid="{00000000-0005-0000-0000-00007D750000}"/>
    <cellStyle name="Separador de milhares 3 2 7 5 6 2 2 5" xfId="36719" xr:uid="{00000000-0005-0000-0000-00007E750000}"/>
    <cellStyle name="Separador de milhares 3 2 7 5 6 2 3" xfId="25783" xr:uid="{00000000-0005-0000-0000-00007F750000}"/>
    <cellStyle name="Separador de milhares 3 2 7 5 6 2 3 2" xfId="51967" xr:uid="{00000000-0005-0000-0000-000080750000}"/>
    <cellStyle name="Separador de milhares 3 2 7 5 6 2 4" xfId="19869" xr:uid="{00000000-0005-0000-0000-000081750000}"/>
    <cellStyle name="Separador de milhares 3 2 7 5 6 2 4 2" xfId="46059" xr:uid="{00000000-0005-0000-0000-000082750000}"/>
    <cellStyle name="Separador de milhares 3 2 7 5 6 2 5" xfId="13771" xr:uid="{00000000-0005-0000-0000-000083750000}"/>
    <cellStyle name="Separador de milhares 3 2 7 5 6 2 5 2" xfId="39964" xr:uid="{00000000-0005-0000-0000-000084750000}"/>
    <cellStyle name="Separador de milhares 3 2 7 5 6 2 6" xfId="33578" xr:uid="{00000000-0005-0000-0000-000085750000}"/>
    <cellStyle name="Separador de milhares 3 2 7 5 6 3" xfId="9058" xr:uid="{00000000-0005-0000-0000-000086750000}"/>
    <cellStyle name="Separador de milhares 3 2 7 5 6 3 2" xfId="27272" xr:uid="{00000000-0005-0000-0000-000087750000}"/>
    <cellStyle name="Separador de milhares 3 2 7 5 6 3 2 2" xfId="53453" xr:uid="{00000000-0005-0000-0000-000088750000}"/>
    <cellStyle name="Separador de milhares 3 2 7 5 6 3 3" xfId="21358" xr:uid="{00000000-0005-0000-0000-000089750000}"/>
    <cellStyle name="Separador de milhares 3 2 7 5 6 3 3 2" xfId="47545" xr:uid="{00000000-0005-0000-0000-00008A750000}"/>
    <cellStyle name="Separador de milhares 3 2 7 5 6 3 4" xfId="15444" xr:uid="{00000000-0005-0000-0000-00008B750000}"/>
    <cellStyle name="Separador de milhares 3 2 7 5 6 3 4 2" xfId="41637" xr:uid="{00000000-0005-0000-0000-00008C750000}"/>
    <cellStyle name="Separador de milhares 3 2 7 5 6 3 5" xfId="35251" xr:uid="{00000000-0005-0000-0000-00008D750000}"/>
    <cellStyle name="Separador de milhares 3 2 7 5 6 4" xfId="5683" xr:uid="{00000000-0005-0000-0000-00008E750000}"/>
    <cellStyle name="Separador de milhares 3 2 7 5 6 4 2" xfId="24315" xr:uid="{00000000-0005-0000-0000-00008F750000}"/>
    <cellStyle name="Separador de milhares 3 2 7 5 6 4 2 2" xfId="50499" xr:uid="{00000000-0005-0000-0000-000090750000}"/>
    <cellStyle name="Separador de milhares 3 2 7 5 6 4 3" xfId="31879" xr:uid="{00000000-0005-0000-0000-000091750000}"/>
    <cellStyle name="Separador de milhares 3 2 7 5 6 5" xfId="18401" xr:uid="{00000000-0005-0000-0000-000092750000}"/>
    <cellStyle name="Separador de milhares 3 2 7 5 6 5 2" xfId="44591" xr:uid="{00000000-0005-0000-0000-000093750000}"/>
    <cellStyle name="Separador de milhares 3 2 7 5 6 6" xfId="12070" xr:uid="{00000000-0005-0000-0000-000094750000}"/>
    <cellStyle name="Separador de milhares 3 2 7 5 6 6 2" xfId="38263" xr:uid="{00000000-0005-0000-0000-000095750000}"/>
    <cellStyle name="Separador de milhares 3 2 7 5 6 7" xfId="30181" xr:uid="{00000000-0005-0000-0000-000096750000}"/>
    <cellStyle name="Separador de milhares 3 2 7 5 7" xfId="3947" xr:uid="{00000000-0005-0000-0000-000097750000}"/>
    <cellStyle name="Separador de milhares 3 2 7 5 7 2" xfId="7529" xr:uid="{00000000-0005-0000-0000-000098750000}"/>
    <cellStyle name="Separador de milhares 3 2 7 5 7 2 2" xfId="10673" xr:uid="{00000000-0005-0000-0000-000099750000}"/>
    <cellStyle name="Separador de milhares 3 2 7 5 7 2 2 2" xfId="28887" xr:uid="{00000000-0005-0000-0000-00009A750000}"/>
    <cellStyle name="Separador de milhares 3 2 7 5 7 2 2 2 2" xfId="55068" xr:uid="{00000000-0005-0000-0000-00009B750000}"/>
    <cellStyle name="Separador de milhares 3 2 7 5 7 2 2 3" xfId="22973" xr:uid="{00000000-0005-0000-0000-00009C750000}"/>
    <cellStyle name="Separador de milhares 3 2 7 5 7 2 2 3 2" xfId="49160" xr:uid="{00000000-0005-0000-0000-00009D750000}"/>
    <cellStyle name="Separador de milhares 3 2 7 5 7 2 2 4" xfId="17059" xr:uid="{00000000-0005-0000-0000-00009E750000}"/>
    <cellStyle name="Separador de milhares 3 2 7 5 7 2 2 4 2" xfId="43252" xr:uid="{00000000-0005-0000-0000-00009F750000}"/>
    <cellStyle name="Separador de milhares 3 2 7 5 7 2 2 5" xfId="36866" xr:uid="{00000000-0005-0000-0000-0000A0750000}"/>
    <cellStyle name="Separador de milhares 3 2 7 5 7 2 3" xfId="25930" xr:uid="{00000000-0005-0000-0000-0000A1750000}"/>
    <cellStyle name="Separador de milhares 3 2 7 5 7 2 3 2" xfId="52114" xr:uid="{00000000-0005-0000-0000-0000A2750000}"/>
    <cellStyle name="Separador de milhares 3 2 7 5 7 2 4" xfId="20016" xr:uid="{00000000-0005-0000-0000-0000A3750000}"/>
    <cellStyle name="Separador de milhares 3 2 7 5 7 2 4 2" xfId="46206" xr:uid="{00000000-0005-0000-0000-0000A4750000}"/>
    <cellStyle name="Separador de milhares 3 2 7 5 7 2 5" xfId="13918" xr:uid="{00000000-0005-0000-0000-0000A5750000}"/>
    <cellStyle name="Separador de milhares 3 2 7 5 7 2 5 2" xfId="40111" xr:uid="{00000000-0005-0000-0000-0000A6750000}"/>
    <cellStyle name="Separador de milhares 3 2 7 5 7 2 6" xfId="33725" xr:uid="{00000000-0005-0000-0000-0000A7750000}"/>
    <cellStyle name="Separador de milhares 3 2 7 5 7 3" xfId="9205" xr:uid="{00000000-0005-0000-0000-0000A8750000}"/>
    <cellStyle name="Separador de milhares 3 2 7 5 7 3 2" xfId="27419" xr:uid="{00000000-0005-0000-0000-0000A9750000}"/>
    <cellStyle name="Separador de milhares 3 2 7 5 7 3 2 2" xfId="53600" xr:uid="{00000000-0005-0000-0000-0000AA750000}"/>
    <cellStyle name="Separador de milhares 3 2 7 5 7 3 3" xfId="21505" xr:uid="{00000000-0005-0000-0000-0000AB750000}"/>
    <cellStyle name="Separador de milhares 3 2 7 5 7 3 3 2" xfId="47692" xr:uid="{00000000-0005-0000-0000-0000AC750000}"/>
    <cellStyle name="Separador de milhares 3 2 7 5 7 3 4" xfId="15591" xr:uid="{00000000-0005-0000-0000-0000AD750000}"/>
    <cellStyle name="Separador de milhares 3 2 7 5 7 3 4 2" xfId="41784" xr:uid="{00000000-0005-0000-0000-0000AE750000}"/>
    <cellStyle name="Separador de milhares 3 2 7 5 7 3 5" xfId="35398" xr:uid="{00000000-0005-0000-0000-0000AF750000}"/>
    <cellStyle name="Separador de milhares 3 2 7 5 7 4" xfId="5830" xr:uid="{00000000-0005-0000-0000-0000B0750000}"/>
    <cellStyle name="Separador de milhares 3 2 7 5 7 4 2" xfId="24462" xr:uid="{00000000-0005-0000-0000-0000B1750000}"/>
    <cellStyle name="Separador de milhares 3 2 7 5 7 4 2 2" xfId="50646" xr:uid="{00000000-0005-0000-0000-0000B2750000}"/>
    <cellStyle name="Separador de milhares 3 2 7 5 7 4 3" xfId="32026" xr:uid="{00000000-0005-0000-0000-0000B3750000}"/>
    <cellStyle name="Separador de milhares 3 2 7 5 7 5" xfId="18548" xr:uid="{00000000-0005-0000-0000-0000B4750000}"/>
    <cellStyle name="Separador de milhares 3 2 7 5 7 5 2" xfId="44738" xr:uid="{00000000-0005-0000-0000-0000B5750000}"/>
    <cellStyle name="Separador de milhares 3 2 7 5 7 6" xfId="12217" xr:uid="{00000000-0005-0000-0000-0000B6750000}"/>
    <cellStyle name="Separador de milhares 3 2 7 5 7 6 2" xfId="38410" xr:uid="{00000000-0005-0000-0000-0000B7750000}"/>
    <cellStyle name="Separador de milhares 3 2 7 5 7 7" xfId="30328" xr:uid="{00000000-0005-0000-0000-0000B8750000}"/>
    <cellStyle name="Separador de milhares 3 2 7 5 8" xfId="6568" xr:uid="{00000000-0005-0000-0000-0000B9750000}"/>
    <cellStyle name="Separador de milhares 3 2 7 5 8 2" xfId="9715" xr:uid="{00000000-0005-0000-0000-0000BA750000}"/>
    <cellStyle name="Separador de milhares 3 2 7 5 8 2 2" xfId="27929" xr:uid="{00000000-0005-0000-0000-0000BB750000}"/>
    <cellStyle name="Separador de milhares 3 2 7 5 8 2 2 2" xfId="54110" xr:uid="{00000000-0005-0000-0000-0000BC750000}"/>
    <cellStyle name="Separador de milhares 3 2 7 5 8 2 3" xfId="22015" xr:uid="{00000000-0005-0000-0000-0000BD750000}"/>
    <cellStyle name="Separador de milhares 3 2 7 5 8 2 3 2" xfId="48202" xr:uid="{00000000-0005-0000-0000-0000BE750000}"/>
    <cellStyle name="Separador de milhares 3 2 7 5 8 2 4" xfId="16101" xr:uid="{00000000-0005-0000-0000-0000BF750000}"/>
    <cellStyle name="Separador de milhares 3 2 7 5 8 2 4 2" xfId="42294" xr:uid="{00000000-0005-0000-0000-0000C0750000}"/>
    <cellStyle name="Separador de milhares 3 2 7 5 8 2 5" xfId="35908" xr:uid="{00000000-0005-0000-0000-0000C1750000}"/>
    <cellStyle name="Separador de milhares 3 2 7 5 8 3" xfId="24972" xr:uid="{00000000-0005-0000-0000-0000C2750000}"/>
    <cellStyle name="Separador de milhares 3 2 7 5 8 3 2" xfId="51156" xr:uid="{00000000-0005-0000-0000-0000C3750000}"/>
    <cellStyle name="Separador de milhares 3 2 7 5 8 4" xfId="19058" xr:uid="{00000000-0005-0000-0000-0000C4750000}"/>
    <cellStyle name="Separador de milhares 3 2 7 5 8 4 2" xfId="45248" xr:uid="{00000000-0005-0000-0000-0000C5750000}"/>
    <cellStyle name="Separador de milhares 3 2 7 5 8 5" xfId="12957" xr:uid="{00000000-0005-0000-0000-0000C6750000}"/>
    <cellStyle name="Separador de milhares 3 2 7 5 8 5 2" xfId="39150" xr:uid="{00000000-0005-0000-0000-0000C7750000}"/>
    <cellStyle name="Separador de milhares 3 2 7 5 8 6" xfId="32764" xr:uid="{00000000-0005-0000-0000-0000C8750000}"/>
    <cellStyle name="Separador de milhares 3 2 7 5 9" xfId="8244" xr:uid="{00000000-0005-0000-0000-0000C9750000}"/>
    <cellStyle name="Separador de milhares 3 2 7 5 9 2" xfId="26458" xr:uid="{00000000-0005-0000-0000-0000CA750000}"/>
    <cellStyle name="Separador de milhares 3 2 7 5 9 2 2" xfId="52642" xr:uid="{00000000-0005-0000-0000-0000CB750000}"/>
    <cellStyle name="Separador de milhares 3 2 7 5 9 3" xfId="20544" xr:uid="{00000000-0005-0000-0000-0000CC750000}"/>
    <cellStyle name="Separador de milhares 3 2 7 5 9 3 2" xfId="46734" xr:uid="{00000000-0005-0000-0000-0000CD750000}"/>
    <cellStyle name="Separador de milhares 3 2 7 5 9 4" xfId="14633" xr:uid="{00000000-0005-0000-0000-0000CE750000}"/>
    <cellStyle name="Separador de milhares 3 2 7 5 9 4 2" xfId="40826" xr:uid="{00000000-0005-0000-0000-0000CF750000}"/>
    <cellStyle name="Separador de milhares 3 2 7 5 9 5" xfId="34440" xr:uid="{00000000-0005-0000-0000-0000D0750000}"/>
    <cellStyle name="Separador de milhares 3 2 7 6" xfId="699" xr:uid="{00000000-0005-0000-0000-0000D1750000}"/>
    <cellStyle name="Separador de milhares 3 2 7 6 2" xfId="4123" xr:uid="{00000000-0005-0000-0000-0000D2750000}"/>
    <cellStyle name="Separador de milhares 3 2 7 6 2 2" xfId="7578" xr:uid="{00000000-0005-0000-0000-0000D3750000}"/>
    <cellStyle name="Separador de milhares 3 2 7 6 2 2 2" xfId="10722" xr:uid="{00000000-0005-0000-0000-0000D4750000}"/>
    <cellStyle name="Separador de milhares 3 2 7 6 2 2 2 2" xfId="28936" xr:uid="{00000000-0005-0000-0000-0000D5750000}"/>
    <cellStyle name="Separador de milhares 3 2 7 6 2 2 2 2 2" xfId="55117" xr:uid="{00000000-0005-0000-0000-0000D6750000}"/>
    <cellStyle name="Separador de milhares 3 2 7 6 2 2 2 3" xfId="23022" xr:uid="{00000000-0005-0000-0000-0000D7750000}"/>
    <cellStyle name="Separador de milhares 3 2 7 6 2 2 2 3 2" xfId="49209" xr:uid="{00000000-0005-0000-0000-0000D8750000}"/>
    <cellStyle name="Separador de milhares 3 2 7 6 2 2 2 4" xfId="17108" xr:uid="{00000000-0005-0000-0000-0000D9750000}"/>
    <cellStyle name="Separador de milhares 3 2 7 6 2 2 2 4 2" xfId="43301" xr:uid="{00000000-0005-0000-0000-0000DA750000}"/>
    <cellStyle name="Separador de milhares 3 2 7 6 2 2 2 5" xfId="36915" xr:uid="{00000000-0005-0000-0000-0000DB750000}"/>
    <cellStyle name="Separador de milhares 3 2 7 6 2 2 3" xfId="25979" xr:uid="{00000000-0005-0000-0000-0000DC750000}"/>
    <cellStyle name="Separador de milhares 3 2 7 6 2 2 3 2" xfId="52163" xr:uid="{00000000-0005-0000-0000-0000DD750000}"/>
    <cellStyle name="Separador de milhares 3 2 7 6 2 2 4" xfId="20065" xr:uid="{00000000-0005-0000-0000-0000DE750000}"/>
    <cellStyle name="Separador de milhares 3 2 7 6 2 2 4 2" xfId="46255" xr:uid="{00000000-0005-0000-0000-0000DF750000}"/>
    <cellStyle name="Separador de milhares 3 2 7 6 2 2 5" xfId="13967" xr:uid="{00000000-0005-0000-0000-0000E0750000}"/>
    <cellStyle name="Separador de milhares 3 2 7 6 2 2 5 2" xfId="40160" xr:uid="{00000000-0005-0000-0000-0000E1750000}"/>
    <cellStyle name="Separador de milhares 3 2 7 6 2 2 6" xfId="33774" xr:uid="{00000000-0005-0000-0000-0000E2750000}"/>
    <cellStyle name="Separador de milhares 3 2 7 6 2 3" xfId="9254" xr:uid="{00000000-0005-0000-0000-0000E3750000}"/>
    <cellStyle name="Separador de milhares 3 2 7 6 2 3 2" xfId="27468" xr:uid="{00000000-0005-0000-0000-0000E4750000}"/>
    <cellStyle name="Separador de milhares 3 2 7 6 2 3 2 2" xfId="53649" xr:uid="{00000000-0005-0000-0000-0000E5750000}"/>
    <cellStyle name="Separador de milhares 3 2 7 6 2 3 3" xfId="21554" xr:uid="{00000000-0005-0000-0000-0000E6750000}"/>
    <cellStyle name="Separador de milhares 3 2 7 6 2 3 3 2" xfId="47741" xr:uid="{00000000-0005-0000-0000-0000E7750000}"/>
    <cellStyle name="Separador de milhares 3 2 7 6 2 3 4" xfId="15640" xr:uid="{00000000-0005-0000-0000-0000E8750000}"/>
    <cellStyle name="Separador de milhares 3 2 7 6 2 3 4 2" xfId="41833" xr:uid="{00000000-0005-0000-0000-0000E9750000}"/>
    <cellStyle name="Separador de milhares 3 2 7 6 2 3 5" xfId="35447" xr:uid="{00000000-0005-0000-0000-0000EA750000}"/>
    <cellStyle name="Separador de milhares 3 2 7 6 2 4" xfId="5879" xr:uid="{00000000-0005-0000-0000-0000EB750000}"/>
    <cellStyle name="Separador de milhares 3 2 7 6 2 4 2" xfId="24511" xr:uid="{00000000-0005-0000-0000-0000EC750000}"/>
    <cellStyle name="Separador de milhares 3 2 7 6 2 4 2 2" xfId="50695" xr:uid="{00000000-0005-0000-0000-0000ED750000}"/>
    <cellStyle name="Separador de milhares 3 2 7 6 2 4 3" xfId="32075" xr:uid="{00000000-0005-0000-0000-0000EE750000}"/>
    <cellStyle name="Separador de milhares 3 2 7 6 2 5" xfId="18597" xr:uid="{00000000-0005-0000-0000-0000EF750000}"/>
    <cellStyle name="Separador de milhares 3 2 7 6 2 5 2" xfId="44787" xr:uid="{00000000-0005-0000-0000-0000F0750000}"/>
    <cellStyle name="Separador de milhares 3 2 7 6 2 6" xfId="12266" xr:uid="{00000000-0005-0000-0000-0000F1750000}"/>
    <cellStyle name="Separador de milhares 3 2 7 6 2 6 2" xfId="38459" xr:uid="{00000000-0005-0000-0000-0000F2750000}"/>
    <cellStyle name="Separador de milhares 3 2 7 6 2 7" xfId="30377" xr:uid="{00000000-0005-0000-0000-0000F3750000}"/>
    <cellStyle name="Separador de milhares 3 2 7 6 3" xfId="6623" xr:uid="{00000000-0005-0000-0000-0000F4750000}"/>
    <cellStyle name="Separador de milhares 3 2 7 6 3 2" xfId="9770" xr:uid="{00000000-0005-0000-0000-0000F5750000}"/>
    <cellStyle name="Separador de milhares 3 2 7 6 3 2 2" xfId="27984" xr:uid="{00000000-0005-0000-0000-0000F6750000}"/>
    <cellStyle name="Separador de milhares 3 2 7 6 3 2 2 2" xfId="54165" xr:uid="{00000000-0005-0000-0000-0000F7750000}"/>
    <cellStyle name="Separador de milhares 3 2 7 6 3 2 3" xfId="22070" xr:uid="{00000000-0005-0000-0000-0000F8750000}"/>
    <cellStyle name="Separador de milhares 3 2 7 6 3 2 3 2" xfId="48257" xr:uid="{00000000-0005-0000-0000-0000F9750000}"/>
    <cellStyle name="Separador de milhares 3 2 7 6 3 2 4" xfId="16156" xr:uid="{00000000-0005-0000-0000-0000FA750000}"/>
    <cellStyle name="Separador de milhares 3 2 7 6 3 2 4 2" xfId="42349" xr:uid="{00000000-0005-0000-0000-0000FB750000}"/>
    <cellStyle name="Separador de milhares 3 2 7 6 3 2 5" xfId="35963" xr:uid="{00000000-0005-0000-0000-0000FC750000}"/>
    <cellStyle name="Separador de milhares 3 2 7 6 3 3" xfId="25027" xr:uid="{00000000-0005-0000-0000-0000FD750000}"/>
    <cellStyle name="Separador de milhares 3 2 7 6 3 3 2" xfId="51211" xr:uid="{00000000-0005-0000-0000-0000FE750000}"/>
    <cellStyle name="Separador de milhares 3 2 7 6 3 4" xfId="19113" xr:uid="{00000000-0005-0000-0000-0000FF750000}"/>
    <cellStyle name="Separador de milhares 3 2 7 6 3 4 2" xfId="45303" xr:uid="{00000000-0005-0000-0000-000000760000}"/>
    <cellStyle name="Separador de milhares 3 2 7 6 3 5" xfId="13012" xr:uid="{00000000-0005-0000-0000-000001760000}"/>
    <cellStyle name="Separador de milhares 3 2 7 6 3 5 2" xfId="39205" xr:uid="{00000000-0005-0000-0000-000002760000}"/>
    <cellStyle name="Separador de milhares 3 2 7 6 3 6" xfId="32819" xr:uid="{00000000-0005-0000-0000-000003760000}"/>
    <cellStyle name="Separador de milhares 3 2 7 6 4" xfId="8302" xr:uid="{00000000-0005-0000-0000-000004760000}"/>
    <cellStyle name="Separador de milhares 3 2 7 6 4 2" xfId="26516" xr:uid="{00000000-0005-0000-0000-000005760000}"/>
    <cellStyle name="Separador de milhares 3 2 7 6 4 2 2" xfId="52697" xr:uid="{00000000-0005-0000-0000-000006760000}"/>
    <cellStyle name="Separador de milhares 3 2 7 6 4 3" xfId="20602" xr:uid="{00000000-0005-0000-0000-000007760000}"/>
    <cellStyle name="Separador de milhares 3 2 7 6 4 3 2" xfId="46789" xr:uid="{00000000-0005-0000-0000-000008760000}"/>
    <cellStyle name="Separador de milhares 3 2 7 6 4 4" xfId="14688" xr:uid="{00000000-0005-0000-0000-000009760000}"/>
    <cellStyle name="Separador de milhares 3 2 7 6 4 4 2" xfId="40881" xr:uid="{00000000-0005-0000-0000-00000A760000}"/>
    <cellStyle name="Separador de milhares 3 2 7 6 4 5" xfId="34495" xr:uid="{00000000-0005-0000-0000-00000B760000}"/>
    <cellStyle name="Separador de milhares 3 2 7 6 5" xfId="4924" xr:uid="{00000000-0005-0000-0000-00000C760000}"/>
    <cellStyle name="Separador de milhares 3 2 7 6 5 2" xfId="23559" xr:uid="{00000000-0005-0000-0000-00000D760000}"/>
    <cellStyle name="Separador de milhares 3 2 7 6 5 2 2" xfId="49743" xr:uid="{00000000-0005-0000-0000-00000E760000}"/>
    <cellStyle name="Separador de milhares 3 2 7 6 5 3" xfId="31120" xr:uid="{00000000-0005-0000-0000-00000F760000}"/>
    <cellStyle name="Separador de milhares 3 2 7 6 6" xfId="17645" xr:uid="{00000000-0005-0000-0000-000010760000}"/>
    <cellStyle name="Separador de milhares 3 2 7 6 6 2" xfId="43835" xr:uid="{00000000-0005-0000-0000-000011760000}"/>
    <cellStyle name="Separador de milhares 3 2 7 6 7" xfId="11311" xr:uid="{00000000-0005-0000-0000-000012760000}"/>
    <cellStyle name="Separador de milhares 3 2 7 6 7 2" xfId="37504" xr:uid="{00000000-0005-0000-0000-000013760000}"/>
    <cellStyle name="Separador de milhares 3 2 7 6 8" xfId="29422" xr:uid="{00000000-0005-0000-0000-000014760000}"/>
    <cellStyle name="Separador de milhares 3 2 7 7" xfId="1050" xr:uid="{00000000-0005-0000-0000-000015760000}"/>
    <cellStyle name="Separador de milhares 3 2 7 7 2" xfId="6721" xr:uid="{00000000-0005-0000-0000-000016760000}"/>
    <cellStyle name="Separador de milhares 3 2 7 7 2 2" xfId="9868" xr:uid="{00000000-0005-0000-0000-000017760000}"/>
    <cellStyle name="Separador de milhares 3 2 7 7 2 2 2" xfId="28082" xr:uid="{00000000-0005-0000-0000-000018760000}"/>
    <cellStyle name="Separador de milhares 3 2 7 7 2 2 2 2" xfId="54263" xr:uid="{00000000-0005-0000-0000-000019760000}"/>
    <cellStyle name="Separador de milhares 3 2 7 7 2 2 3" xfId="22168" xr:uid="{00000000-0005-0000-0000-00001A760000}"/>
    <cellStyle name="Separador de milhares 3 2 7 7 2 2 3 2" xfId="48355" xr:uid="{00000000-0005-0000-0000-00001B760000}"/>
    <cellStyle name="Separador de milhares 3 2 7 7 2 2 4" xfId="16254" xr:uid="{00000000-0005-0000-0000-00001C760000}"/>
    <cellStyle name="Separador de milhares 3 2 7 7 2 2 4 2" xfId="42447" xr:uid="{00000000-0005-0000-0000-00001D760000}"/>
    <cellStyle name="Separador de milhares 3 2 7 7 2 2 5" xfId="36061" xr:uid="{00000000-0005-0000-0000-00001E760000}"/>
    <cellStyle name="Separador de milhares 3 2 7 7 2 3" xfId="25125" xr:uid="{00000000-0005-0000-0000-00001F760000}"/>
    <cellStyle name="Separador de milhares 3 2 7 7 2 3 2" xfId="51309" xr:uid="{00000000-0005-0000-0000-000020760000}"/>
    <cellStyle name="Separador de milhares 3 2 7 7 2 4" xfId="19211" xr:uid="{00000000-0005-0000-0000-000021760000}"/>
    <cellStyle name="Separador de milhares 3 2 7 7 2 4 2" xfId="45401" xr:uid="{00000000-0005-0000-0000-000022760000}"/>
    <cellStyle name="Separador de milhares 3 2 7 7 2 5" xfId="13110" xr:uid="{00000000-0005-0000-0000-000023760000}"/>
    <cellStyle name="Separador de milhares 3 2 7 7 2 5 2" xfId="39303" xr:uid="{00000000-0005-0000-0000-000024760000}"/>
    <cellStyle name="Separador de milhares 3 2 7 7 2 6" xfId="32917" xr:uid="{00000000-0005-0000-0000-000025760000}"/>
    <cellStyle name="Separador de milhares 3 2 7 7 3" xfId="8400" xr:uid="{00000000-0005-0000-0000-000026760000}"/>
    <cellStyle name="Separador de milhares 3 2 7 7 3 2" xfId="26614" xr:uid="{00000000-0005-0000-0000-000027760000}"/>
    <cellStyle name="Separador de milhares 3 2 7 7 3 2 2" xfId="52795" xr:uid="{00000000-0005-0000-0000-000028760000}"/>
    <cellStyle name="Separador de milhares 3 2 7 7 3 3" xfId="20700" xr:uid="{00000000-0005-0000-0000-000029760000}"/>
    <cellStyle name="Separador de milhares 3 2 7 7 3 3 2" xfId="46887" xr:uid="{00000000-0005-0000-0000-00002A760000}"/>
    <cellStyle name="Separador de milhares 3 2 7 7 3 4" xfId="14786" xr:uid="{00000000-0005-0000-0000-00002B760000}"/>
    <cellStyle name="Separador de milhares 3 2 7 7 3 4 2" xfId="40979" xr:uid="{00000000-0005-0000-0000-00002C760000}"/>
    <cellStyle name="Separador de milhares 3 2 7 7 3 5" xfId="34593" xr:uid="{00000000-0005-0000-0000-00002D760000}"/>
    <cellStyle name="Separador de milhares 3 2 7 7 4" xfId="5022" xr:uid="{00000000-0005-0000-0000-00002E760000}"/>
    <cellStyle name="Separador de milhares 3 2 7 7 4 2" xfId="23657" xr:uid="{00000000-0005-0000-0000-00002F760000}"/>
    <cellStyle name="Separador de milhares 3 2 7 7 4 2 2" xfId="49841" xr:uid="{00000000-0005-0000-0000-000030760000}"/>
    <cellStyle name="Separador de milhares 3 2 7 7 4 3" xfId="31218" xr:uid="{00000000-0005-0000-0000-000031760000}"/>
    <cellStyle name="Separador de milhares 3 2 7 7 5" xfId="17743" xr:uid="{00000000-0005-0000-0000-000032760000}"/>
    <cellStyle name="Separador de milhares 3 2 7 7 5 2" xfId="43933" xr:uid="{00000000-0005-0000-0000-000033760000}"/>
    <cellStyle name="Separador de milhares 3 2 7 7 6" xfId="11409" xr:uid="{00000000-0005-0000-0000-000034760000}"/>
    <cellStyle name="Separador de milhares 3 2 7 7 6 2" xfId="37602" xr:uid="{00000000-0005-0000-0000-000035760000}"/>
    <cellStyle name="Separador de milhares 3 2 7 7 7" xfId="29520" xr:uid="{00000000-0005-0000-0000-000036760000}"/>
    <cellStyle name="Separador de milhares 3 2 7 8" xfId="1485" xr:uid="{00000000-0005-0000-0000-000037760000}"/>
    <cellStyle name="Separador de milhares 3 2 7 8 2" xfId="6840" xr:uid="{00000000-0005-0000-0000-000038760000}"/>
    <cellStyle name="Separador de milhares 3 2 7 8 2 2" xfId="9987" xr:uid="{00000000-0005-0000-0000-000039760000}"/>
    <cellStyle name="Separador de milhares 3 2 7 8 2 2 2" xfId="28201" xr:uid="{00000000-0005-0000-0000-00003A760000}"/>
    <cellStyle name="Separador de milhares 3 2 7 8 2 2 2 2" xfId="54382" xr:uid="{00000000-0005-0000-0000-00003B760000}"/>
    <cellStyle name="Separador de milhares 3 2 7 8 2 2 3" xfId="22287" xr:uid="{00000000-0005-0000-0000-00003C760000}"/>
    <cellStyle name="Separador de milhares 3 2 7 8 2 2 3 2" xfId="48474" xr:uid="{00000000-0005-0000-0000-00003D760000}"/>
    <cellStyle name="Separador de milhares 3 2 7 8 2 2 4" xfId="16373" xr:uid="{00000000-0005-0000-0000-00003E760000}"/>
    <cellStyle name="Separador de milhares 3 2 7 8 2 2 4 2" xfId="42566" xr:uid="{00000000-0005-0000-0000-00003F760000}"/>
    <cellStyle name="Separador de milhares 3 2 7 8 2 2 5" xfId="36180" xr:uid="{00000000-0005-0000-0000-000040760000}"/>
    <cellStyle name="Separador de milhares 3 2 7 8 2 3" xfId="25244" xr:uid="{00000000-0005-0000-0000-000041760000}"/>
    <cellStyle name="Separador de milhares 3 2 7 8 2 3 2" xfId="51428" xr:uid="{00000000-0005-0000-0000-000042760000}"/>
    <cellStyle name="Separador de milhares 3 2 7 8 2 4" xfId="19330" xr:uid="{00000000-0005-0000-0000-000043760000}"/>
    <cellStyle name="Separador de milhares 3 2 7 8 2 4 2" xfId="45520" xr:uid="{00000000-0005-0000-0000-000044760000}"/>
    <cellStyle name="Separador de milhares 3 2 7 8 2 5" xfId="13229" xr:uid="{00000000-0005-0000-0000-000045760000}"/>
    <cellStyle name="Separador de milhares 3 2 7 8 2 5 2" xfId="39422" xr:uid="{00000000-0005-0000-0000-000046760000}"/>
    <cellStyle name="Separador de milhares 3 2 7 8 2 6" xfId="33036" xr:uid="{00000000-0005-0000-0000-000047760000}"/>
    <cellStyle name="Separador de milhares 3 2 7 8 3" xfId="8519" xr:uid="{00000000-0005-0000-0000-000048760000}"/>
    <cellStyle name="Separador de milhares 3 2 7 8 3 2" xfId="26733" xr:uid="{00000000-0005-0000-0000-000049760000}"/>
    <cellStyle name="Separador de milhares 3 2 7 8 3 2 2" xfId="52914" xr:uid="{00000000-0005-0000-0000-00004A760000}"/>
    <cellStyle name="Separador de milhares 3 2 7 8 3 3" xfId="20819" xr:uid="{00000000-0005-0000-0000-00004B760000}"/>
    <cellStyle name="Separador de milhares 3 2 7 8 3 3 2" xfId="47006" xr:uid="{00000000-0005-0000-0000-00004C760000}"/>
    <cellStyle name="Separador de milhares 3 2 7 8 3 4" xfId="14905" xr:uid="{00000000-0005-0000-0000-00004D760000}"/>
    <cellStyle name="Separador de milhares 3 2 7 8 3 4 2" xfId="41098" xr:uid="{00000000-0005-0000-0000-00004E760000}"/>
    <cellStyle name="Separador de milhares 3 2 7 8 3 5" xfId="34712" xr:uid="{00000000-0005-0000-0000-00004F760000}"/>
    <cellStyle name="Separador de milhares 3 2 7 8 4" xfId="5141" xr:uid="{00000000-0005-0000-0000-000050760000}"/>
    <cellStyle name="Separador de milhares 3 2 7 8 4 2" xfId="23776" xr:uid="{00000000-0005-0000-0000-000051760000}"/>
    <cellStyle name="Separador de milhares 3 2 7 8 4 2 2" xfId="49960" xr:uid="{00000000-0005-0000-0000-000052760000}"/>
    <cellStyle name="Separador de milhares 3 2 7 8 4 3" xfId="31337" xr:uid="{00000000-0005-0000-0000-000053760000}"/>
    <cellStyle name="Separador de milhares 3 2 7 8 5" xfId="17862" xr:uid="{00000000-0005-0000-0000-000054760000}"/>
    <cellStyle name="Separador de milhares 3 2 7 8 5 2" xfId="44052" xr:uid="{00000000-0005-0000-0000-000055760000}"/>
    <cellStyle name="Separador de milhares 3 2 7 8 6" xfId="11528" xr:uid="{00000000-0005-0000-0000-000056760000}"/>
    <cellStyle name="Separador de milhares 3 2 7 8 6 2" xfId="37721" xr:uid="{00000000-0005-0000-0000-000057760000}"/>
    <cellStyle name="Separador de milhares 3 2 7 8 7" xfId="29639" xr:uid="{00000000-0005-0000-0000-000058760000}"/>
    <cellStyle name="Separador de milhares 3 2 7 9" xfId="2015" xr:uid="{00000000-0005-0000-0000-000059760000}"/>
    <cellStyle name="Separador de milhares 3 2 7 9 2" xfId="6990" xr:uid="{00000000-0005-0000-0000-00005A760000}"/>
    <cellStyle name="Separador de milhares 3 2 7 9 2 2" xfId="10134" xr:uid="{00000000-0005-0000-0000-00005B760000}"/>
    <cellStyle name="Separador de milhares 3 2 7 9 2 2 2" xfId="28348" xr:uid="{00000000-0005-0000-0000-00005C760000}"/>
    <cellStyle name="Separador de milhares 3 2 7 9 2 2 2 2" xfId="54529" xr:uid="{00000000-0005-0000-0000-00005D760000}"/>
    <cellStyle name="Separador de milhares 3 2 7 9 2 2 3" xfId="22434" xr:uid="{00000000-0005-0000-0000-00005E760000}"/>
    <cellStyle name="Separador de milhares 3 2 7 9 2 2 3 2" xfId="48621" xr:uid="{00000000-0005-0000-0000-00005F760000}"/>
    <cellStyle name="Separador de milhares 3 2 7 9 2 2 4" xfId="16520" xr:uid="{00000000-0005-0000-0000-000060760000}"/>
    <cellStyle name="Separador de milhares 3 2 7 9 2 2 4 2" xfId="42713" xr:uid="{00000000-0005-0000-0000-000061760000}"/>
    <cellStyle name="Separador de milhares 3 2 7 9 2 2 5" xfId="36327" xr:uid="{00000000-0005-0000-0000-000062760000}"/>
    <cellStyle name="Separador de milhares 3 2 7 9 2 3" xfId="25391" xr:uid="{00000000-0005-0000-0000-000063760000}"/>
    <cellStyle name="Separador de milhares 3 2 7 9 2 3 2" xfId="51575" xr:uid="{00000000-0005-0000-0000-000064760000}"/>
    <cellStyle name="Separador de milhares 3 2 7 9 2 4" xfId="19477" xr:uid="{00000000-0005-0000-0000-000065760000}"/>
    <cellStyle name="Separador de milhares 3 2 7 9 2 4 2" xfId="45667" xr:uid="{00000000-0005-0000-0000-000066760000}"/>
    <cellStyle name="Separador de milhares 3 2 7 9 2 5" xfId="13379" xr:uid="{00000000-0005-0000-0000-000067760000}"/>
    <cellStyle name="Separador de milhares 3 2 7 9 2 5 2" xfId="39572" xr:uid="{00000000-0005-0000-0000-000068760000}"/>
    <cellStyle name="Separador de milhares 3 2 7 9 2 6" xfId="33186" xr:uid="{00000000-0005-0000-0000-000069760000}"/>
    <cellStyle name="Separador de milhares 3 2 7 9 3" xfId="8666" xr:uid="{00000000-0005-0000-0000-00006A760000}"/>
    <cellStyle name="Separador de milhares 3 2 7 9 3 2" xfId="26880" xr:uid="{00000000-0005-0000-0000-00006B760000}"/>
    <cellStyle name="Separador de milhares 3 2 7 9 3 2 2" xfId="53061" xr:uid="{00000000-0005-0000-0000-00006C760000}"/>
    <cellStyle name="Separador de milhares 3 2 7 9 3 3" xfId="20966" xr:uid="{00000000-0005-0000-0000-00006D760000}"/>
    <cellStyle name="Separador de milhares 3 2 7 9 3 3 2" xfId="47153" xr:uid="{00000000-0005-0000-0000-00006E760000}"/>
    <cellStyle name="Separador de milhares 3 2 7 9 3 4" xfId="15052" xr:uid="{00000000-0005-0000-0000-00006F760000}"/>
    <cellStyle name="Separador de milhares 3 2 7 9 3 4 2" xfId="41245" xr:uid="{00000000-0005-0000-0000-000070760000}"/>
    <cellStyle name="Separador de milhares 3 2 7 9 3 5" xfId="34859" xr:uid="{00000000-0005-0000-0000-000071760000}"/>
    <cellStyle name="Separador de milhares 3 2 7 9 4" xfId="5291" xr:uid="{00000000-0005-0000-0000-000072760000}"/>
    <cellStyle name="Separador de milhares 3 2 7 9 4 2" xfId="23923" xr:uid="{00000000-0005-0000-0000-000073760000}"/>
    <cellStyle name="Separador de milhares 3 2 7 9 4 2 2" xfId="50107" xr:uid="{00000000-0005-0000-0000-000074760000}"/>
    <cellStyle name="Separador de milhares 3 2 7 9 4 3" xfId="31487" xr:uid="{00000000-0005-0000-0000-000075760000}"/>
    <cellStyle name="Separador de milhares 3 2 7 9 5" xfId="18009" xr:uid="{00000000-0005-0000-0000-000076760000}"/>
    <cellStyle name="Separador de milhares 3 2 7 9 5 2" xfId="44199" xr:uid="{00000000-0005-0000-0000-000077760000}"/>
    <cellStyle name="Separador de milhares 3 2 7 9 6" xfId="11678" xr:uid="{00000000-0005-0000-0000-000078760000}"/>
    <cellStyle name="Separador de milhares 3 2 7 9 6 2" xfId="37871" xr:uid="{00000000-0005-0000-0000-000079760000}"/>
    <cellStyle name="Separador de milhares 3 2 7 9 7" xfId="29789" xr:uid="{00000000-0005-0000-0000-00007A760000}"/>
    <cellStyle name="Separador de milhares 3 2 8" xfId="125" xr:uid="{00000000-0005-0000-0000-00007B760000}"/>
    <cellStyle name="Separador de milhares 3 2 8 10" xfId="6442" xr:uid="{00000000-0005-0000-0000-00007C760000}"/>
    <cellStyle name="Separador de milhares 3 2 8 10 2" xfId="9596" xr:uid="{00000000-0005-0000-0000-00007D760000}"/>
    <cellStyle name="Separador de milhares 3 2 8 10 2 2" xfId="27810" xr:uid="{00000000-0005-0000-0000-00007E760000}"/>
    <cellStyle name="Separador de milhares 3 2 8 10 2 2 2" xfId="53991" xr:uid="{00000000-0005-0000-0000-00007F760000}"/>
    <cellStyle name="Separador de milhares 3 2 8 10 2 3" xfId="21896" xr:uid="{00000000-0005-0000-0000-000080760000}"/>
    <cellStyle name="Separador de milhares 3 2 8 10 2 3 2" xfId="48083" xr:uid="{00000000-0005-0000-0000-000081760000}"/>
    <cellStyle name="Separador de milhares 3 2 8 10 2 4" xfId="15982" xr:uid="{00000000-0005-0000-0000-000082760000}"/>
    <cellStyle name="Separador de milhares 3 2 8 10 2 4 2" xfId="42175" xr:uid="{00000000-0005-0000-0000-000083760000}"/>
    <cellStyle name="Separador de milhares 3 2 8 10 2 5" xfId="35789" xr:uid="{00000000-0005-0000-0000-000084760000}"/>
    <cellStyle name="Separador de milhares 3 2 8 10 3" xfId="24853" xr:uid="{00000000-0005-0000-0000-000085760000}"/>
    <cellStyle name="Separador de milhares 3 2 8 10 3 2" xfId="51037" xr:uid="{00000000-0005-0000-0000-000086760000}"/>
    <cellStyle name="Separador de milhares 3 2 8 10 4" xfId="18939" xr:uid="{00000000-0005-0000-0000-000087760000}"/>
    <cellStyle name="Separador de milhares 3 2 8 10 4 2" xfId="45129" xr:uid="{00000000-0005-0000-0000-000088760000}"/>
    <cellStyle name="Separador de milhares 3 2 8 10 5" xfId="12831" xr:uid="{00000000-0005-0000-0000-000089760000}"/>
    <cellStyle name="Separador de milhares 3 2 8 10 5 2" xfId="39024" xr:uid="{00000000-0005-0000-0000-00008A760000}"/>
    <cellStyle name="Separador de milhares 3 2 8 10 6" xfId="32638" xr:uid="{00000000-0005-0000-0000-00008B760000}"/>
    <cellStyle name="Separador de milhares 3 2 8 11" xfId="8125" xr:uid="{00000000-0005-0000-0000-00008C760000}"/>
    <cellStyle name="Separador de milhares 3 2 8 11 2" xfId="26339" xr:uid="{00000000-0005-0000-0000-00008D760000}"/>
    <cellStyle name="Separador de milhares 3 2 8 11 2 2" xfId="52523" xr:uid="{00000000-0005-0000-0000-00008E760000}"/>
    <cellStyle name="Separador de milhares 3 2 8 11 3" xfId="20425" xr:uid="{00000000-0005-0000-0000-00008F760000}"/>
    <cellStyle name="Separador de milhares 3 2 8 11 3 2" xfId="46615" xr:uid="{00000000-0005-0000-0000-000090760000}"/>
    <cellStyle name="Separador de milhares 3 2 8 11 4" xfId="14514" xr:uid="{00000000-0005-0000-0000-000091760000}"/>
    <cellStyle name="Separador de milhares 3 2 8 11 4 2" xfId="40707" xr:uid="{00000000-0005-0000-0000-000092760000}"/>
    <cellStyle name="Separador de milhares 3 2 8 11 5" xfId="34321" xr:uid="{00000000-0005-0000-0000-000093760000}"/>
    <cellStyle name="Separador de milhares 3 2 8 12" xfId="4741" xr:uid="{00000000-0005-0000-0000-000094760000}"/>
    <cellStyle name="Separador de milhares 3 2 8 12 2" xfId="23382" xr:uid="{00000000-0005-0000-0000-000095760000}"/>
    <cellStyle name="Separador de milhares 3 2 8 12 2 2" xfId="49569" xr:uid="{00000000-0005-0000-0000-000096760000}"/>
    <cellStyle name="Separador de milhares 3 2 8 12 3" xfId="30939" xr:uid="{00000000-0005-0000-0000-000097760000}"/>
    <cellStyle name="Separador de milhares 3 2 8 13" xfId="17468" xr:uid="{00000000-0005-0000-0000-000098760000}"/>
    <cellStyle name="Separador de milhares 3 2 8 13 2" xfId="43661" xr:uid="{00000000-0005-0000-0000-000099760000}"/>
    <cellStyle name="Separador de milhares 3 2 8 14" xfId="11130" xr:uid="{00000000-0005-0000-0000-00009A760000}"/>
    <cellStyle name="Separador de milhares 3 2 8 14 2" xfId="37323" xr:uid="{00000000-0005-0000-0000-00009B760000}"/>
    <cellStyle name="Separador de milhares 3 2 8 15" xfId="29242" xr:uid="{00000000-0005-0000-0000-00009C760000}"/>
    <cellStyle name="Separador de milhares 3 2 8 2" xfId="398" xr:uid="{00000000-0005-0000-0000-00009D760000}"/>
    <cellStyle name="Separador de milhares 3 2 8 2 10" xfId="17542" xr:uid="{00000000-0005-0000-0000-00009E760000}"/>
    <cellStyle name="Separador de milhares 3 2 8 2 10 2" xfId="43735" xr:uid="{00000000-0005-0000-0000-00009F760000}"/>
    <cellStyle name="Separador de milhares 3 2 8 2 11" xfId="11211" xr:uid="{00000000-0005-0000-0000-0000A0760000}"/>
    <cellStyle name="Separador de milhares 3 2 8 2 11 2" xfId="37404" xr:uid="{00000000-0005-0000-0000-0000A1760000}"/>
    <cellStyle name="Separador de milhares 3 2 8 2 12" xfId="29322" xr:uid="{00000000-0005-0000-0000-0000A2760000}"/>
    <cellStyle name="Separador de milhares 3 2 8 2 2" xfId="1917" xr:uid="{00000000-0005-0000-0000-0000A3760000}"/>
    <cellStyle name="Separador de milhares 3 2 8 2 2 2" xfId="6961" xr:uid="{00000000-0005-0000-0000-0000A4760000}"/>
    <cellStyle name="Separador de milhares 3 2 8 2 2 2 2" xfId="10108" xr:uid="{00000000-0005-0000-0000-0000A5760000}"/>
    <cellStyle name="Separador de milhares 3 2 8 2 2 2 2 2" xfId="28322" xr:uid="{00000000-0005-0000-0000-0000A6760000}"/>
    <cellStyle name="Separador de milhares 3 2 8 2 2 2 2 2 2" xfId="54503" xr:uid="{00000000-0005-0000-0000-0000A7760000}"/>
    <cellStyle name="Separador de milhares 3 2 8 2 2 2 2 3" xfId="22408" xr:uid="{00000000-0005-0000-0000-0000A8760000}"/>
    <cellStyle name="Separador de milhares 3 2 8 2 2 2 2 3 2" xfId="48595" xr:uid="{00000000-0005-0000-0000-0000A9760000}"/>
    <cellStyle name="Separador de milhares 3 2 8 2 2 2 2 4" xfId="16494" xr:uid="{00000000-0005-0000-0000-0000AA760000}"/>
    <cellStyle name="Separador de milhares 3 2 8 2 2 2 2 4 2" xfId="42687" xr:uid="{00000000-0005-0000-0000-0000AB760000}"/>
    <cellStyle name="Separador de milhares 3 2 8 2 2 2 2 5" xfId="36301" xr:uid="{00000000-0005-0000-0000-0000AC760000}"/>
    <cellStyle name="Separador de milhares 3 2 8 2 2 2 3" xfId="25365" xr:uid="{00000000-0005-0000-0000-0000AD760000}"/>
    <cellStyle name="Separador de milhares 3 2 8 2 2 2 3 2" xfId="51549" xr:uid="{00000000-0005-0000-0000-0000AE760000}"/>
    <cellStyle name="Separador de milhares 3 2 8 2 2 2 4" xfId="19451" xr:uid="{00000000-0005-0000-0000-0000AF760000}"/>
    <cellStyle name="Separador de milhares 3 2 8 2 2 2 4 2" xfId="45641" xr:uid="{00000000-0005-0000-0000-0000B0760000}"/>
    <cellStyle name="Separador de milhares 3 2 8 2 2 2 5" xfId="13350" xr:uid="{00000000-0005-0000-0000-0000B1760000}"/>
    <cellStyle name="Separador de milhares 3 2 8 2 2 2 5 2" xfId="39543" xr:uid="{00000000-0005-0000-0000-0000B2760000}"/>
    <cellStyle name="Separador de milhares 3 2 8 2 2 2 6" xfId="33157" xr:uid="{00000000-0005-0000-0000-0000B3760000}"/>
    <cellStyle name="Separador de milhares 3 2 8 2 2 3" xfId="8640" xr:uid="{00000000-0005-0000-0000-0000B4760000}"/>
    <cellStyle name="Separador de milhares 3 2 8 2 2 3 2" xfId="26854" xr:uid="{00000000-0005-0000-0000-0000B5760000}"/>
    <cellStyle name="Separador de milhares 3 2 8 2 2 3 2 2" xfId="53035" xr:uid="{00000000-0005-0000-0000-0000B6760000}"/>
    <cellStyle name="Separador de milhares 3 2 8 2 2 3 3" xfId="20940" xr:uid="{00000000-0005-0000-0000-0000B7760000}"/>
    <cellStyle name="Separador de milhares 3 2 8 2 2 3 3 2" xfId="47127" xr:uid="{00000000-0005-0000-0000-0000B8760000}"/>
    <cellStyle name="Separador de milhares 3 2 8 2 2 3 4" xfId="15026" xr:uid="{00000000-0005-0000-0000-0000B9760000}"/>
    <cellStyle name="Separador de milhares 3 2 8 2 2 3 4 2" xfId="41219" xr:uid="{00000000-0005-0000-0000-0000BA760000}"/>
    <cellStyle name="Separador de milhares 3 2 8 2 2 3 5" xfId="34833" xr:uid="{00000000-0005-0000-0000-0000BB760000}"/>
    <cellStyle name="Separador de milhares 3 2 8 2 2 4" xfId="5262" xr:uid="{00000000-0005-0000-0000-0000BC760000}"/>
    <cellStyle name="Separador de milhares 3 2 8 2 2 4 2" xfId="23897" xr:uid="{00000000-0005-0000-0000-0000BD760000}"/>
    <cellStyle name="Separador de milhares 3 2 8 2 2 4 2 2" xfId="50081" xr:uid="{00000000-0005-0000-0000-0000BE760000}"/>
    <cellStyle name="Separador de milhares 3 2 8 2 2 4 3" xfId="31458" xr:uid="{00000000-0005-0000-0000-0000BF760000}"/>
    <cellStyle name="Separador de milhares 3 2 8 2 2 5" xfId="17983" xr:uid="{00000000-0005-0000-0000-0000C0760000}"/>
    <cellStyle name="Separador de milhares 3 2 8 2 2 5 2" xfId="44173" xr:uid="{00000000-0005-0000-0000-0000C1760000}"/>
    <cellStyle name="Separador de milhares 3 2 8 2 2 6" xfId="11649" xr:uid="{00000000-0005-0000-0000-0000C2760000}"/>
    <cellStyle name="Separador de milhares 3 2 8 2 2 6 2" xfId="37842" xr:uid="{00000000-0005-0000-0000-0000C3760000}"/>
    <cellStyle name="Separador de milhares 3 2 8 2 2 7" xfId="29760" xr:uid="{00000000-0005-0000-0000-0000C4760000}"/>
    <cellStyle name="Separador de milhares 3 2 8 2 3" xfId="2447" xr:uid="{00000000-0005-0000-0000-0000C5760000}"/>
    <cellStyle name="Separador de milhares 3 2 8 2 3 2" xfId="7111" xr:uid="{00000000-0005-0000-0000-0000C6760000}"/>
    <cellStyle name="Separador de milhares 3 2 8 2 3 2 2" xfId="10255" xr:uid="{00000000-0005-0000-0000-0000C7760000}"/>
    <cellStyle name="Separador de milhares 3 2 8 2 3 2 2 2" xfId="28469" xr:uid="{00000000-0005-0000-0000-0000C8760000}"/>
    <cellStyle name="Separador de milhares 3 2 8 2 3 2 2 2 2" xfId="54650" xr:uid="{00000000-0005-0000-0000-0000C9760000}"/>
    <cellStyle name="Separador de milhares 3 2 8 2 3 2 2 3" xfId="22555" xr:uid="{00000000-0005-0000-0000-0000CA760000}"/>
    <cellStyle name="Separador de milhares 3 2 8 2 3 2 2 3 2" xfId="48742" xr:uid="{00000000-0005-0000-0000-0000CB760000}"/>
    <cellStyle name="Separador de milhares 3 2 8 2 3 2 2 4" xfId="16641" xr:uid="{00000000-0005-0000-0000-0000CC760000}"/>
    <cellStyle name="Separador de milhares 3 2 8 2 3 2 2 4 2" xfId="42834" xr:uid="{00000000-0005-0000-0000-0000CD760000}"/>
    <cellStyle name="Separador de milhares 3 2 8 2 3 2 2 5" xfId="36448" xr:uid="{00000000-0005-0000-0000-0000CE760000}"/>
    <cellStyle name="Separador de milhares 3 2 8 2 3 2 3" xfId="25512" xr:uid="{00000000-0005-0000-0000-0000CF760000}"/>
    <cellStyle name="Separador de milhares 3 2 8 2 3 2 3 2" xfId="51696" xr:uid="{00000000-0005-0000-0000-0000D0760000}"/>
    <cellStyle name="Separador de milhares 3 2 8 2 3 2 4" xfId="19598" xr:uid="{00000000-0005-0000-0000-0000D1760000}"/>
    <cellStyle name="Separador de milhares 3 2 8 2 3 2 4 2" xfId="45788" xr:uid="{00000000-0005-0000-0000-0000D2760000}"/>
    <cellStyle name="Separador de milhares 3 2 8 2 3 2 5" xfId="13500" xr:uid="{00000000-0005-0000-0000-0000D3760000}"/>
    <cellStyle name="Separador de milhares 3 2 8 2 3 2 5 2" xfId="39693" xr:uid="{00000000-0005-0000-0000-0000D4760000}"/>
    <cellStyle name="Separador de milhares 3 2 8 2 3 2 6" xfId="33307" xr:uid="{00000000-0005-0000-0000-0000D5760000}"/>
    <cellStyle name="Separador de milhares 3 2 8 2 3 3" xfId="8787" xr:uid="{00000000-0005-0000-0000-0000D6760000}"/>
    <cellStyle name="Separador de milhares 3 2 8 2 3 3 2" xfId="27001" xr:uid="{00000000-0005-0000-0000-0000D7760000}"/>
    <cellStyle name="Separador de milhares 3 2 8 2 3 3 2 2" xfId="53182" xr:uid="{00000000-0005-0000-0000-0000D8760000}"/>
    <cellStyle name="Separador de milhares 3 2 8 2 3 3 3" xfId="21087" xr:uid="{00000000-0005-0000-0000-0000D9760000}"/>
    <cellStyle name="Separador de milhares 3 2 8 2 3 3 3 2" xfId="47274" xr:uid="{00000000-0005-0000-0000-0000DA760000}"/>
    <cellStyle name="Separador de milhares 3 2 8 2 3 3 4" xfId="15173" xr:uid="{00000000-0005-0000-0000-0000DB760000}"/>
    <cellStyle name="Separador de milhares 3 2 8 2 3 3 4 2" xfId="41366" xr:uid="{00000000-0005-0000-0000-0000DC760000}"/>
    <cellStyle name="Separador de milhares 3 2 8 2 3 3 5" xfId="34980" xr:uid="{00000000-0005-0000-0000-0000DD760000}"/>
    <cellStyle name="Separador de milhares 3 2 8 2 3 4" xfId="5412" xr:uid="{00000000-0005-0000-0000-0000DE760000}"/>
    <cellStyle name="Separador de milhares 3 2 8 2 3 4 2" xfId="24044" xr:uid="{00000000-0005-0000-0000-0000DF760000}"/>
    <cellStyle name="Separador de milhares 3 2 8 2 3 4 2 2" xfId="50228" xr:uid="{00000000-0005-0000-0000-0000E0760000}"/>
    <cellStyle name="Separador de milhares 3 2 8 2 3 4 3" xfId="31608" xr:uid="{00000000-0005-0000-0000-0000E1760000}"/>
    <cellStyle name="Separador de milhares 3 2 8 2 3 5" xfId="18130" xr:uid="{00000000-0005-0000-0000-0000E2760000}"/>
    <cellStyle name="Separador de milhares 3 2 8 2 3 5 2" xfId="44320" xr:uid="{00000000-0005-0000-0000-0000E3760000}"/>
    <cellStyle name="Separador de milhares 3 2 8 2 3 6" xfId="11799" xr:uid="{00000000-0005-0000-0000-0000E4760000}"/>
    <cellStyle name="Separador de milhares 3 2 8 2 3 6 2" xfId="37992" xr:uid="{00000000-0005-0000-0000-0000E5760000}"/>
    <cellStyle name="Separador de milhares 3 2 8 2 3 7" xfId="29910" xr:uid="{00000000-0005-0000-0000-0000E6760000}"/>
    <cellStyle name="Separador de milhares 3 2 8 2 4" xfId="2974" xr:uid="{00000000-0005-0000-0000-0000E7760000}"/>
    <cellStyle name="Separador de milhares 3 2 8 2 4 2" xfId="7258" xr:uid="{00000000-0005-0000-0000-0000E8760000}"/>
    <cellStyle name="Separador de milhares 3 2 8 2 4 2 2" xfId="10402" xr:uid="{00000000-0005-0000-0000-0000E9760000}"/>
    <cellStyle name="Separador de milhares 3 2 8 2 4 2 2 2" xfId="28616" xr:uid="{00000000-0005-0000-0000-0000EA760000}"/>
    <cellStyle name="Separador de milhares 3 2 8 2 4 2 2 2 2" xfId="54797" xr:uid="{00000000-0005-0000-0000-0000EB760000}"/>
    <cellStyle name="Separador de milhares 3 2 8 2 4 2 2 3" xfId="22702" xr:uid="{00000000-0005-0000-0000-0000EC760000}"/>
    <cellStyle name="Separador de milhares 3 2 8 2 4 2 2 3 2" xfId="48889" xr:uid="{00000000-0005-0000-0000-0000ED760000}"/>
    <cellStyle name="Separador de milhares 3 2 8 2 4 2 2 4" xfId="16788" xr:uid="{00000000-0005-0000-0000-0000EE760000}"/>
    <cellStyle name="Separador de milhares 3 2 8 2 4 2 2 4 2" xfId="42981" xr:uid="{00000000-0005-0000-0000-0000EF760000}"/>
    <cellStyle name="Separador de milhares 3 2 8 2 4 2 2 5" xfId="36595" xr:uid="{00000000-0005-0000-0000-0000F0760000}"/>
    <cellStyle name="Separador de milhares 3 2 8 2 4 2 3" xfId="25659" xr:uid="{00000000-0005-0000-0000-0000F1760000}"/>
    <cellStyle name="Separador de milhares 3 2 8 2 4 2 3 2" xfId="51843" xr:uid="{00000000-0005-0000-0000-0000F2760000}"/>
    <cellStyle name="Separador de milhares 3 2 8 2 4 2 4" xfId="19745" xr:uid="{00000000-0005-0000-0000-0000F3760000}"/>
    <cellStyle name="Separador de milhares 3 2 8 2 4 2 4 2" xfId="45935" xr:uid="{00000000-0005-0000-0000-0000F4760000}"/>
    <cellStyle name="Separador de milhares 3 2 8 2 4 2 5" xfId="13647" xr:uid="{00000000-0005-0000-0000-0000F5760000}"/>
    <cellStyle name="Separador de milhares 3 2 8 2 4 2 5 2" xfId="39840" xr:uid="{00000000-0005-0000-0000-0000F6760000}"/>
    <cellStyle name="Separador de milhares 3 2 8 2 4 2 6" xfId="33454" xr:uid="{00000000-0005-0000-0000-0000F7760000}"/>
    <cellStyle name="Separador de milhares 3 2 8 2 4 3" xfId="8934" xr:uid="{00000000-0005-0000-0000-0000F8760000}"/>
    <cellStyle name="Separador de milhares 3 2 8 2 4 3 2" xfId="27148" xr:uid="{00000000-0005-0000-0000-0000F9760000}"/>
    <cellStyle name="Separador de milhares 3 2 8 2 4 3 2 2" xfId="53329" xr:uid="{00000000-0005-0000-0000-0000FA760000}"/>
    <cellStyle name="Separador de milhares 3 2 8 2 4 3 3" xfId="21234" xr:uid="{00000000-0005-0000-0000-0000FB760000}"/>
    <cellStyle name="Separador de milhares 3 2 8 2 4 3 3 2" xfId="47421" xr:uid="{00000000-0005-0000-0000-0000FC760000}"/>
    <cellStyle name="Separador de milhares 3 2 8 2 4 3 4" xfId="15320" xr:uid="{00000000-0005-0000-0000-0000FD760000}"/>
    <cellStyle name="Separador de milhares 3 2 8 2 4 3 4 2" xfId="41513" xr:uid="{00000000-0005-0000-0000-0000FE760000}"/>
    <cellStyle name="Separador de milhares 3 2 8 2 4 3 5" xfId="35127" xr:uid="{00000000-0005-0000-0000-0000FF760000}"/>
    <cellStyle name="Separador de milhares 3 2 8 2 4 4" xfId="5559" xr:uid="{00000000-0005-0000-0000-000000770000}"/>
    <cellStyle name="Separador de milhares 3 2 8 2 4 4 2" xfId="24191" xr:uid="{00000000-0005-0000-0000-000001770000}"/>
    <cellStyle name="Separador de milhares 3 2 8 2 4 4 2 2" xfId="50375" xr:uid="{00000000-0005-0000-0000-000002770000}"/>
    <cellStyle name="Separador de milhares 3 2 8 2 4 4 3" xfId="31755" xr:uid="{00000000-0005-0000-0000-000003770000}"/>
    <cellStyle name="Separador de milhares 3 2 8 2 4 5" xfId="18277" xr:uid="{00000000-0005-0000-0000-000004770000}"/>
    <cellStyle name="Separador de milhares 3 2 8 2 4 5 2" xfId="44467" xr:uid="{00000000-0005-0000-0000-000005770000}"/>
    <cellStyle name="Separador de milhares 3 2 8 2 4 6" xfId="11946" xr:uid="{00000000-0005-0000-0000-000006770000}"/>
    <cellStyle name="Separador de milhares 3 2 8 2 4 6 2" xfId="38139" xr:uid="{00000000-0005-0000-0000-000007770000}"/>
    <cellStyle name="Separador de milhares 3 2 8 2 4 7" xfId="30057" xr:uid="{00000000-0005-0000-0000-000008770000}"/>
    <cellStyle name="Separador de milhares 3 2 8 2 5" xfId="3501" xr:uid="{00000000-0005-0000-0000-000009770000}"/>
    <cellStyle name="Separador de milhares 3 2 8 2 5 2" xfId="7405" xr:uid="{00000000-0005-0000-0000-00000A770000}"/>
    <cellStyle name="Separador de milhares 3 2 8 2 5 2 2" xfId="10549" xr:uid="{00000000-0005-0000-0000-00000B770000}"/>
    <cellStyle name="Separador de milhares 3 2 8 2 5 2 2 2" xfId="28763" xr:uid="{00000000-0005-0000-0000-00000C770000}"/>
    <cellStyle name="Separador de milhares 3 2 8 2 5 2 2 2 2" xfId="54944" xr:uid="{00000000-0005-0000-0000-00000D770000}"/>
    <cellStyle name="Separador de milhares 3 2 8 2 5 2 2 3" xfId="22849" xr:uid="{00000000-0005-0000-0000-00000E770000}"/>
    <cellStyle name="Separador de milhares 3 2 8 2 5 2 2 3 2" xfId="49036" xr:uid="{00000000-0005-0000-0000-00000F770000}"/>
    <cellStyle name="Separador de milhares 3 2 8 2 5 2 2 4" xfId="16935" xr:uid="{00000000-0005-0000-0000-000010770000}"/>
    <cellStyle name="Separador de milhares 3 2 8 2 5 2 2 4 2" xfId="43128" xr:uid="{00000000-0005-0000-0000-000011770000}"/>
    <cellStyle name="Separador de milhares 3 2 8 2 5 2 2 5" xfId="36742" xr:uid="{00000000-0005-0000-0000-000012770000}"/>
    <cellStyle name="Separador de milhares 3 2 8 2 5 2 3" xfId="25806" xr:uid="{00000000-0005-0000-0000-000013770000}"/>
    <cellStyle name="Separador de milhares 3 2 8 2 5 2 3 2" xfId="51990" xr:uid="{00000000-0005-0000-0000-000014770000}"/>
    <cellStyle name="Separador de milhares 3 2 8 2 5 2 4" xfId="19892" xr:uid="{00000000-0005-0000-0000-000015770000}"/>
    <cellStyle name="Separador de milhares 3 2 8 2 5 2 4 2" xfId="46082" xr:uid="{00000000-0005-0000-0000-000016770000}"/>
    <cellStyle name="Separador de milhares 3 2 8 2 5 2 5" xfId="13794" xr:uid="{00000000-0005-0000-0000-000017770000}"/>
    <cellStyle name="Separador de milhares 3 2 8 2 5 2 5 2" xfId="39987" xr:uid="{00000000-0005-0000-0000-000018770000}"/>
    <cellStyle name="Separador de milhares 3 2 8 2 5 2 6" xfId="33601" xr:uid="{00000000-0005-0000-0000-000019770000}"/>
    <cellStyle name="Separador de milhares 3 2 8 2 5 3" xfId="9081" xr:uid="{00000000-0005-0000-0000-00001A770000}"/>
    <cellStyle name="Separador de milhares 3 2 8 2 5 3 2" xfId="27295" xr:uid="{00000000-0005-0000-0000-00001B770000}"/>
    <cellStyle name="Separador de milhares 3 2 8 2 5 3 2 2" xfId="53476" xr:uid="{00000000-0005-0000-0000-00001C770000}"/>
    <cellStyle name="Separador de milhares 3 2 8 2 5 3 3" xfId="21381" xr:uid="{00000000-0005-0000-0000-00001D770000}"/>
    <cellStyle name="Separador de milhares 3 2 8 2 5 3 3 2" xfId="47568" xr:uid="{00000000-0005-0000-0000-00001E770000}"/>
    <cellStyle name="Separador de milhares 3 2 8 2 5 3 4" xfId="15467" xr:uid="{00000000-0005-0000-0000-00001F770000}"/>
    <cellStyle name="Separador de milhares 3 2 8 2 5 3 4 2" xfId="41660" xr:uid="{00000000-0005-0000-0000-000020770000}"/>
    <cellStyle name="Separador de milhares 3 2 8 2 5 3 5" xfId="35274" xr:uid="{00000000-0005-0000-0000-000021770000}"/>
    <cellStyle name="Separador de milhares 3 2 8 2 5 4" xfId="5706" xr:uid="{00000000-0005-0000-0000-000022770000}"/>
    <cellStyle name="Separador de milhares 3 2 8 2 5 4 2" xfId="24338" xr:uid="{00000000-0005-0000-0000-000023770000}"/>
    <cellStyle name="Separador de milhares 3 2 8 2 5 4 2 2" xfId="50522" xr:uid="{00000000-0005-0000-0000-000024770000}"/>
    <cellStyle name="Separador de milhares 3 2 8 2 5 4 3" xfId="31902" xr:uid="{00000000-0005-0000-0000-000025770000}"/>
    <cellStyle name="Separador de milhares 3 2 8 2 5 5" xfId="18424" xr:uid="{00000000-0005-0000-0000-000026770000}"/>
    <cellStyle name="Separador de milhares 3 2 8 2 5 5 2" xfId="44614" xr:uid="{00000000-0005-0000-0000-000027770000}"/>
    <cellStyle name="Separador de milhares 3 2 8 2 5 6" xfId="12093" xr:uid="{00000000-0005-0000-0000-000028770000}"/>
    <cellStyle name="Separador de milhares 3 2 8 2 5 6 2" xfId="38286" xr:uid="{00000000-0005-0000-0000-000029770000}"/>
    <cellStyle name="Separador de milhares 3 2 8 2 5 7" xfId="30204" xr:uid="{00000000-0005-0000-0000-00002A770000}"/>
    <cellStyle name="Separador de milhares 3 2 8 2 6" xfId="4028" xr:uid="{00000000-0005-0000-0000-00002B770000}"/>
    <cellStyle name="Separador de milhares 3 2 8 2 6 2" xfId="7552" xr:uid="{00000000-0005-0000-0000-00002C770000}"/>
    <cellStyle name="Separador de milhares 3 2 8 2 6 2 2" xfId="10696" xr:uid="{00000000-0005-0000-0000-00002D770000}"/>
    <cellStyle name="Separador de milhares 3 2 8 2 6 2 2 2" xfId="28910" xr:uid="{00000000-0005-0000-0000-00002E770000}"/>
    <cellStyle name="Separador de milhares 3 2 8 2 6 2 2 2 2" xfId="55091" xr:uid="{00000000-0005-0000-0000-00002F770000}"/>
    <cellStyle name="Separador de milhares 3 2 8 2 6 2 2 3" xfId="22996" xr:uid="{00000000-0005-0000-0000-000030770000}"/>
    <cellStyle name="Separador de milhares 3 2 8 2 6 2 2 3 2" xfId="49183" xr:uid="{00000000-0005-0000-0000-000031770000}"/>
    <cellStyle name="Separador de milhares 3 2 8 2 6 2 2 4" xfId="17082" xr:uid="{00000000-0005-0000-0000-000032770000}"/>
    <cellStyle name="Separador de milhares 3 2 8 2 6 2 2 4 2" xfId="43275" xr:uid="{00000000-0005-0000-0000-000033770000}"/>
    <cellStyle name="Separador de milhares 3 2 8 2 6 2 2 5" xfId="36889" xr:uid="{00000000-0005-0000-0000-000034770000}"/>
    <cellStyle name="Separador de milhares 3 2 8 2 6 2 3" xfId="25953" xr:uid="{00000000-0005-0000-0000-000035770000}"/>
    <cellStyle name="Separador de milhares 3 2 8 2 6 2 3 2" xfId="52137" xr:uid="{00000000-0005-0000-0000-000036770000}"/>
    <cellStyle name="Separador de milhares 3 2 8 2 6 2 4" xfId="20039" xr:uid="{00000000-0005-0000-0000-000037770000}"/>
    <cellStyle name="Separador de milhares 3 2 8 2 6 2 4 2" xfId="46229" xr:uid="{00000000-0005-0000-0000-000038770000}"/>
    <cellStyle name="Separador de milhares 3 2 8 2 6 2 5" xfId="13941" xr:uid="{00000000-0005-0000-0000-000039770000}"/>
    <cellStyle name="Separador de milhares 3 2 8 2 6 2 5 2" xfId="40134" xr:uid="{00000000-0005-0000-0000-00003A770000}"/>
    <cellStyle name="Separador de milhares 3 2 8 2 6 2 6" xfId="33748" xr:uid="{00000000-0005-0000-0000-00003B770000}"/>
    <cellStyle name="Separador de milhares 3 2 8 2 6 3" xfId="9228" xr:uid="{00000000-0005-0000-0000-00003C770000}"/>
    <cellStyle name="Separador de milhares 3 2 8 2 6 3 2" xfId="27442" xr:uid="{00000000-0005-0000-0000-00003D770000}"/>
    <cellStyle name="Separador de milhares 3 2 8 2 6 3 2 2" xfId="53623" xr:uid="{00000000-0005-0000-0000-00003E770000}"/>
    <cellStyle name="Separador de milhares 3 2 8 2 6 3 3" xfId="21528" xr:uid="{00000000-0005-0000-0000-00003F770000}"/>
    <cellStyle name="Separador de milhares 3 2 8 2 6 3 3 2" xfId="47715" xr:uid="{00000000-0005-0000-0000-000040770000}"/>
    <cellStyle name="Separador de milhares 3 2 8 2 6 3 4" xfId="15614" xr:uid="{00000000-0005-0000-0000-000041770000}"/>
    <cellStyle name="Separador de milhares 3 2 8 2 6 3 4 2" xfId="41807" xr:uid="{00000000-0005-0000-0000-000042770000}"/>
    <cellStyle name="Separador de milhares 3 2 8 2 6 3 5" xfId="35421" xr:uid="{00000000-0005-0000-0000-000043770000}"/>
    <cellStyle name="Separador de milhares 3 2 8 2 6 4" xfId="5853" xr:uid="{00000000-0005-0000-0000-000044770000}"/>
    <cellStyle name="Separador de milhares 3 2 8 2 6 4 2" xfId="24485" xr:uid="{00000000-0005-0000-0000-000045770000}"/>
    <cellStyle name="Separador de milhares 3 2 8 2 6 4 2 2" xfId="50669" xr:uid="{00000000-0005-0000-0000-000046770000}"/>
    <cellStyle name="Separador de milhares 3 2 8 2 6 4 3" xfId="32049" xr:uid="{00000000-0005-0000-0000-000047770000}"/>
    <cellStyle name="Separador de milhares 3 2 8 2 6 5" xfId="18571" xr:uid="{00000000-0005-0000-0000-000048770000}"/>
    <cellStyle name="Separador de milhares 3 2 8 2 6 5 2" xfId="44761" xr:uid="{00000000-0005-0000-0000-000049770000}"/>
    <cellStyle name="Separador de milhares 3 2 8 2 6 6" xfId="12240" xr:uid="{00000000-0005-0000-0000-00004A770000}"/>
    <cellStyle name="Separador de milhares 3 2 8 2 6 6 2" xfId="38433" xr:uid="{00000000-0005-0000-0000-00004B770000}"/>
    <cellStyle name="Separador de milhares 3 2 8 2 6 7" xfId="30351" xr:uid="{00000000-0005-0000-0000-00004C770000}"/>
    <cellStyle name="Separador de milhares 3 2 8 2 7" xfId="6523" xr:uid="{00000000-0005-0000-0000-00004D770000}"/>
    <cellStyle name="Separador de milhares 3 2 8 2 7 2" xfId="9670" xr:uid="{00000000-0005-0000-0000-00004E770000}"/>
    <cellStyle name="Separador de milhares 3 2 8 2 7 2 2" xfId="27884" xr:uid="{00000000-0005-0000-0000-00004F770000}"/>
    <cellStyle name="Separador de milhares 3 2 8 2 7 2 2 2" xfId="54065" xr:uid="{00000000-0005-0000-0000-000050770000}"/>
    <cellStyle name="Separador de milhares 3 2 8 2 7 2 3" xfId="21970" xr:uid="{00000000-0005-0000-0000-000051770000}"/>
    <cellStyle name="Separador de milhares 3 2 8 2 7 2 3 2" xfId="48157" xr:uid="{00000000-0005-0000-0000-000052770000}"/>
    <cellStyle name="Separador de milhares 3 2 8 2 7 2 4" xfId="16056" xr:uid="{00000000-0005-0000-0000-000053770000}"/>
    <cellStyle name="Separador de milhares 3 2 8 2 7 2 4 2" xfId="42249" xr:uid="{00000000-0005-0000-0000-000054770000}"/>
    <cellStyle name="Separador de milhares 3 2 8 2 7 2 5" xfId="35863" xr:uid="{00000000-0005-0000-0000-000055770000}"/>
    <cellStyle name="Separador de milhares 3 2 8 2 7 3" xfId="24927" xr:uid="{00000000-0005-0000-0000-000056770000}"/>
    <cellStyle name="Separador de milhares 3 2 8 2 7 3 2" xfId="51111" xr:uid="{00000000-0005-0000-0000-000057770000}"/>
    <cellStyle name="Separador de milhares 3 2 8 2 7 4" xfId="19013" xr:uid="{00000000-0005-0000-0000-000058770000}"/>
    <cellStyle name="Separador de milhares 3 2 8 2 7 4 2" xfId="45203" xr:uid="{00000000-0005-0000-0000-000059770000}"/>
    <cellStyle name="Separador de milhares 3 2 8 2 7 5" xfId="12912" xr:uid="{00000000-0005-0000-0000-00005A770000}"/>
    <cellStyle name="Separador de milhares 3 2 8 2 7 5 2" xfId="39105" xr:uid="{00000000-0005-0000-0000-00005B770000}"/>
    <cellStyle name="Separador de milhares 3 2 8 2 7 6" xfId="32719" xr:uid="{00000000-0005-0000-0000-00005C770000}"/>
    <cellStyle name="Separador de milhares 3 2 8 2 8" xfId="8199" xr:uid="{00000000-0005-0000-0000-00005D770000}"/>
    <cellStyle name="Separador de milhares 3 2 8 2 8 2" xfId="26413" xr:uid="{00000000-0005-0000-0000-00005E770000}"/>
    <cellStyle name="Separador de milhares 3 2 8 2 8 2 2" xfId="52597" xr:uid="{00000000-0005-0000-0000-00005F770000}"/>
    <cellStyle name="Separador de milhares 3 2 8 2 8 3" xfId="20499" xr:uid="{00000000-0005-0000-0000-000060770000}"/>
    <cellStyle name="Separador de milhares 3 2 8 2 8 3 2" xfId="46689" xr:uid="{00000000-0005-0000-0000-000061770000}"/>
    <cellStyle name="Separador de milhares 3 2 8 2 8 4" xfId="14588" xr:uid="{00000000-0005-0000-0000-000062770000}"/>
    <cellStyle name="Separador de milhares 3 2 8 2 8 4 2" xfId="40781" xr:uid="{00000000-0005-0000-0000-000063770000}"/>
    <cellStyle name="Separador de milhares 3 2 8 2 8 5" xfId="34395" xr:uid="{00000000-0005-0000-0000-000064770000}"/>
    <cellStyle name="Separador de milhares 3 2 8 2 9" xfId="4822" xr:uid="{00000000-0005-0000-0000-000065770000}"/>
    <cellStyle name="Separador de milhares 3 2 8 2 9 2" xfId="23456" xr:uid="{00000000-0005-0000-0000-000066770000}"/>
    <cellStyle name="Separador de milhares 3 2 8 2 9 2 2" xfId="49643" xr:uid="{00000000-0005-0000-0000-000067770000}"/>
    <cellStyle name="Separador de milhares 3 2 8 2 9 3" xfId="31020" xr:uid="{00000000-0005-0000-0000-000068770000}"/>
    <cellStyle name="Separador de milhares 3 2 8 3" xfId="871" xr:uid="{00000000-0005-0000-0000-000069770000}"/>
    <cellStyle name="Separador de milhares 3 2 8 3 2" xfId="6674" xr:uid="{00000000-0005-0000-0000-00006A770000}"/>
    <cellStyle name="Separador de milhares 3 2 8 3 2 2" xfId="9821" xr:uid="{00000000-0005-0000-0000-00006B770000}"/>
    <cellStyle name="Separador de milhares 3 2 8 3 2 2 2" xfId="28035" xr:uid="{00000000-0005-0000-0000-00006C770000}"/>
    <cellStyle name="Separador de milhares 3 2 8 3 2 2 2 2" xfId="54216" xr:uid="{00000000-0005-0000-0000-00006D770000}"/>
    <cellStyle name="Separador de milhares 3 2 8 3 2 2 3" xfId="22121" xr:uid="{00000000-0005-0000-0000-00006E770000}"/>
    <cellStyle name="Separador de milhares 3 2 8 3 2 2 3 2" xfId="48308" xr:uid="{00000000-0005-0000-0000-00006F770000}"/>
    <cellStyle name="Separador de milhares 3 2 8 3 2 2 4" xfId="16207" xr:uid="{00000000-0005-0000-0000-000070770000}"/>
    <cellStyle name="Separador de milhares 3 2 8 3 2 2 4 2" xfId="42400" xr:uid="{00000000-0005-0000-0000-000071770000}"/>
    <cellStyle name="Separador de milhares 3 2 8 3 2 2 5" xfId="36014" xr:uid="{00000000-0005-0000-0000-000072770000}"/>
    <cellStyle name="Separador de milhares 3 2 8 3 2 3" xfId="25078" xr:uid="{00000000-0005-0000-0000-000073770000}"/>
    <cellStyle name="Separador de milhares 3 2 8 3 2 3 2" xfId="51262" xr:uid="{00000000-0005-0000-0000-000074770000}"/>
    <cellStyle name="Separador de milhares 3 2 8 3 2 4" xfId="19164" xr:uid="{00000000-0005-0000-0000-000075770000}"/>
    <cellStyle name="Separador de milhares 3 2 8 3 2 4 2" xfId="45354" xr:uid="{00000000-0005-0000-0000-000076770000}"/>
    <cellStyle name="Separador de milhares 3 2 8 3 2 5" xfId="13063" xr:uid="{00000000-0005-0000-0000-000077770000}"/>
    <cellStyle name="Separador de milhares 3 2 8 3 2 5 2" xfId="39256" xr:uid="{00000000-0005-0000-0000-000078770000}"/>
    <cellStyle name="Separador de milhares 3 2 8 3 2 6" xfId="32870" xr:uid="{00000000-0005-0000-0000-000079770000}"/>
    <cellStyle name="Separador de milhares 3 2 8 3 3" xfId="8353" xr:uid="{00000000-0005-0000-0000-00007A770000}"/>
    <cellStyle name="Separador de milhares 3 2 8 3 3 2" xfId="26567" xr:uid="{00000000-0005-0000-0000-00007B770000}"/>
    <cellStyle name="Separador de milhares 3 2 8 3 3 2 2" xfId="52748" xr:uid="{00000000-0005-0000-0000-00007C770000}"/>
    <cellStyle name="Separador de milhares 3 2 8 3 3 3" xfId="20653" xr:uid="{00000000-0005-0000-0000-00007D770000}"/>
    <cellStyle name="Separador de milhares 3 2 8 3 3 3 2" xfId="46840" xr:uid="{00000000-0005-0000-0000-00007E770000}"/>
    <cellStyle name="Separador de milhares 3 2 8 3 3 4" xfId="14739" xr:uid="{00000000-0005-0000-0000-00007F770000}"/>
    <cellStyle name="Separador de milhares 3 2 8 3 3 4 2" xfId="40932" xr:uid="{00000000-0005-0000-0000-000080770000}"/>
    <cellStyle name="Separador de milhares 3 2 8 3 3 5" xfId="34546" xr:uid="{00000000-0005-0000-0000-000081770000}"/>
    <cellStyle name="Separador de milhares 3 2 8 3 4" xfId="4975" xr:uid="{00000000-0005-0000-0000-000082770000}"/>
    <cellStyle name="Separador de milhares 3 2 8 3 4 2" xfId="23610" xr:uid="{00000000-0005-0000-0000-000083770000}"/>
    <cellStyle name="Separador de milhares 3 2 8 3 4 2 2" xfId="49794" xr:uid="{00000000-0005-0000-0000-000084770000}"/>
    <cellStyle name="Separador de milhares 3 2 8 3 4 3" xfId="31171" xr:uid="{00000000-0005-0000-0000-000085770000}"/>
    <cellStyle name="Separador de milhares 3 2 8 3 5" xfId="17696" xr:uid="{00000000-0005-0000-0000-000086770000}"/>
    <cellStyle name="Separador de milhares 3 2 8 3 5 2" xfId="43886" xr:uid="{00000000-0005-0000-0000-000087770000}"/>
    <cellStyle name="Separador de milhares 3 2 8 3 6" xfId="11362" xr:uid="{00000000-0005-0000-0000-000088770000}"/>
    <cellStyle name="Separador de milhares 3 2 8 3 6 2" xfId="37555" xr:uid="{00000000-0005-0000-0000-000089770000}"/>
    <cellStyle name="Separador de milhares 3 2 8 3 7" xfId="29473" xr:uid="{00000000-0005-0000-0000-00008A770000}"/>
    <cellStyle name="Separador de milhares 3 2 8 4" xfId="1222" xr:uid="{00000000-0005-0000-0000-00008B770000}"/>
    <cellStyle name="Separador de milhares 3 2 8 4 2" xfId="6772" xr:uid="{00000000-0005-0000-0000-00008C770000}"/>
    <cellStyle name="Separador de milhares 3 2 8 4 2 2" xfId="9919" xr:uid="{00000000-0005-0000-0000-00008D770000}"/>
    <cellStyle name="Separador de milhares 3 2 8 4 2 2 2" xfId="28133" xr:uid="{00000000-0005-0000-0000-00008E770000}"/>
    <cellStyle name="Separador de milhares 3 2 8 4 2 2 2 2" xfId="54314" xr:uid="{00000000-0005-0000-0000-00008F770000}"/>
    <cellStyle name="Separador de milhares 3 2 8 4 2 2 3" xfId="22219" xr:uid="{00000000-0005-0000-0000-000090770000}"/>
    <cellStyle name="Separador de milhares 3 2 8 4 2 2 3 2" xfId="48406" xr:uid="{00000000-0005-0000-0000-000091770000}"/>
    <cellStyle name="Separador de milhares 3 2 8 4 2 2 4" xfId="16305" xr:uid="{00000000-0005-0000-0000-000092770000}"/>
    <cellStyle name="Separador de milhares 3 2 8 4 2 2 4 2" xfId="42498" xr:uid="{00000000-0005-0000-0000-000093770000}"/>
    <cellStyle name="Separador de milhares 3 2 8 4 2 2 5" xfId="36112" xr:uid="{00000000-0005-0000-0000-000094770000}"/>
    <cellStyle name="Separador de milhares 3 2 8 4 2 3" xfId="25176" xr:uid="{00000000-0005-0000-0000-000095770000}"/>
    <cellStyle name="Separador de milhares 3 2 8 4 2 3 2" xfId="51360" xr:uid="{00000000-0005-0000-0000-000096770000}"/>
    <cellStyle name="Separador de milhares 3 2 8 4 2 4" xfId="19262" xr:uid="{00000000-0005-0000-0000-000097770000}"/>
    <cellStyle name="Separador de milhares 3 2 8 4 2 4 2" xfId="45452" xr:uid="{00000000-0005-0000-0000-000098770000}"/>
    <cellStyle name="Separador de milhares 3 2 8 4 2 5" xfId="13161" xr:uid="{00000000-0005-0000-0000-000099770000}"/>
    <cellStyle name="Separador de milhares 3 2 8 4 2 5 2" xfId="39354" xr:uid="{00000000-0005-0000-0000-00009A770000}"/>
    <cellStyle name="Separador de milhares 3 2 8 4 2 6" xfId="32968" xr:uid="{00000000-0005-0000-0000-00009B770000}"/>
    <cellStyle name="Separador de milhares 3 2 8 4 3" xfId="8451" xr:uid="{00000000-0005-0000-0000-00009C770000}"/>
    <cellStyle name="Separador de milhares 3 2 8 4 3 2" xfId="26665" xr:uid="{00000000-0005-0000-0000-00009D770000}"/>
    <cellStyle name="Separador de milhares 3 2 8 4 3 2 2" xfId="52846" xr:uid="{00000000-0005-0000-0000-00009E770000}"/>
    <cellStyle name="Separador de milhares 3 2 8 4 3 3" xfId="20751" xr:uid="{00000000-0005-0000-0000-00009F770000}"/>
    <cellStyle name="Separador de milhares 3 2 8 4 3 3 2" xfId="46938" xr:uid="{00000000-0005-0000-0000-0000A0770000}"/>
    <cellStyle name="Separador de milhares 3 2 8 4 3 4" xfId="14837" xr:uid="{00000000-0005-0000-0000-0000A1770000}"/>
    <cellStyle name="Separador de milhares 3 2 8 4 3 4 2" xfId="41030" xr:uid="{00000000-0005-0000-0000-0000A2770000}"/>
    <cellStyle name="Separador de milhares 3 2 8 4 3 5" xfId="34644" xr:uid="{00000000-0005-0000-0000-0000A3770000}"/>
    <cellStyle name="Separador de milhares 3 2 8 4 4" xfId="5073" xr:uid="{00000000-0005-0000-0000-0000A4770000}"/>
    <cellStyle name="Separador de milhares 3 2 8 4 4 2" xfId="23708" xr:uid="{00000000-0005-0000-0000-0000A5770000}"/>
    <cellStyle name="Separador de milhares 3 2 8 4 4 2 2" xfId="49892" xr:uid="{00000000-0005-0000-0000-0000A6770000}"/>
    <cellStyle name="Separador de milhares 3 2 8 4 4 3" xfId="31269" xr:uid="{00000000-0005-0000-0000-0000A7770000}"/>
    <cellStyle name="Separador de milhares 3 2 8 4 5" xfId="17794" xr:uid="{00000000-0005-0000-0000-0000A8770000}"/>
    <cellStyle name="Separador de milhares 3 2 8 4 5 2" xfId="43984" xr:uid="{00000000-0005-0000-0000-0000A9770000}"/>
    <cellStyle name="Separador de milhares 3 2 8 4 6" xfId="11460" xr:uid="{00000000-0005-0000-0000-0000AA770000}"/>
    <cellStyle name="Separador de milhares 3 2 8 4 6 2" xfId="37653" xr:uid="{00000000-0005-0000-0000-0000AB770000}"/>
    <cellStyle name="Separador de milhares 3 2 8 4 7" xfId="29571" xr:uid="{00000000-0005-0000-0000-0000AC770000}"/>
    <cellStyle name="Separador de milhares 3 2 8 5" xfId="1657" xr:uid="{00000000-0005-0000-0000-0000AD770000}"/>
    <cellStyle name="Separador de milhares 3 2 8 5 2" xfId="6891" xr:uid="{00000000-0005-0000-0000-0000AE770000}"/>
    <cellStyle name="Separador de milhares 3 2 8 5 2 2" xfId="10038" xr:uid="{00000000-0005-0000-0000-0000AF770000}"/>
    <cellStyle name="Separador de milhares 3 2 8 5 2 2 2" xfId="28252" xr:uid="{00000000-0005-0000-0000-0000B0770000}"/>
    <cellStyle name="Separador de milhares 3 2 8 5 2 2 2 2" xfId="54433" xr:uid="{00000000-0005-0000-0000-0000B1770000}"/>
    <cellStyle name="Separador de milhares 3 2 8 5 2 2 3" xfId="22338" xr:uid="{00000000-0005-0000-0000-0000B2770000}"/>
    <cellStyle name="Separador de milhares 3 2 8 5 2 2 3 2" xfId="48525" xr:uid="{00000000-0005-0000-0000-0000B3770000}"/>
    <cellStyle name="Separador de milhares 3 2 8 5 2 2 4" xfId="16424" xr:uid="{00000000-0005-0000-0000-0000B4770000}"/>
    <cellStyle name="Separador de milhares 3 2 8 5 2 2 4 2" xfId="42617" xr:uid="{00000000-0005-0000-0000-0000B5770000}"/>
    <cellStyle name="Separador de milhares 3 2 8 5 2 2 5" xfId="36231" xr:uid="{00000000-0005-0000-0000-0000B6770000}"/>
    <cellStyle name="Separador de milhares 3 2 8 5 2 3" xfId="25295" xr:uid="{00000000-0005-0000-0000-0000B7770000}"/>
    <cellStyle name="Separador de milhares 3 2 8 5 2 3 2" xfId="51479" xr:uid="{00000000-0005-0000-0000-0000B8770000}"/>
    <cellStyle name="Separador de milhares 3 2 8 5 2 4" xfId="19381" xr:uid="{00000000-0005-0000-0000-0000B9770000}"/>
    <cellStyle name="Separador de milhares 3 2 8 5 2 4 2" xfId="45571" xr:uid="{00000000-0005-0000-0000-0000BA770000}"/>
    <cellStyle name="Separador de milhares 3 2 8 5 2 5" xfId="13280" xr:uid="{00000000-0005-0000-0000-0000BB770000}"/>
    <cellStyle name="Separador de milhares 3 2 8 5 2 5 2" xfId="39473" xr:uid="{00000000-0005-0000-0000-0000BC770000}"/>
    <cellStyle name="Separador de milhares 3 2 8 5 2 6" xfId="33087" xr:uid="{00000000-0005-0000-0000-0000BD770000}"/>
    <cellStyle name="Separador de milhares 3 2 8 5 3" xfId="8570" xr:uid="{00000000-0005-0000-0000-0000BE770000}"/>
    <cellStyle name="Separador de milhares 3 2 8 5 3 2" xfId="26784" xr:uid="{00000000-0005-0000-0000-0000BF770000}"/>
    <cellStyle name="Separador de milhares 3 2 8 5 3 2 2" xfId="52965" xr:uid="{00000000-0005-0000-0000-0000C0770000}"/>
    <cellStyle name="Separador de milhares 3 2 8 5 3 3" xfId="20870" xr:uid="{00000000-0005-0000-0000-0000C1770000}"/>
    <cellStyle name="Separador de milhares 3 2 8 5 3 3 2" xfId="47057" xr:uid="{00000000-0005-0000-0000-0000C2770000}"/>
    <cellStyle name="Separador de milhares 3 2 8 5 3 4" xfId="14956" xr:uid="{00000000-0005-0000-0000-0000C3770000}"/>
    <cellStyle name="Separador de milhares 3 2 8 5 3 4 2" xfId="41149" xr:uid="{00000000-0005-0000-0000-0000C4770000}"/>
    <cellStyle name="Separador de milhares 3 2 8 5 3 5" xfId="34763" xr:uid="{00000000-0005-0000-0000-0000C5770000}"/>
    <cellStyle name="Separador de milhares 3 2 8 5 4" xfId="5192" xr:uid="{00000000-0005-0000-0000-0000C6770000}"/>
    <cellStyle name="Separador de milhares 3 2 8 5 4 2" xfId="23827" xr:uid="{00000000-0005-0000-0000-0000C7770000}"/>
    <cellStyle name="Separador de milhares 3 2 8 5 4 2 2" xfId="50011" xr:uid="{00000000-0005-0000-0000-0000C8770000}"/>
    <cellStyle name="Separador de milhares 3 2 8 5 4 3" xfId="31388" xr:uid="{00000000-0005-0000-0000-0000C9770000}"/>
    <cellStyle name="Separador de milhares 3 2 8 5 5" xfId="17913" xr:uid="{00000000-0005-0000-0000-0000CA770000}"/>
    <cellStyle name="Separador de milhares 3 2 8 5 5 2" xfId="44103" xr:uid="{00000000-0005-0000-0000-0000CB770000}"/>
    <cellStyle name="Separador de milhares 3 2 8 5 6" xfId="11579" xr:uid="{00000000-0005-0000-0000-0000CC770000}"/>
    <cellStyle name="Separador de milhares 3 2 8 5 6 2" xfId="37772" xr:uid="{00000000-0005-0000-0000-0000CD770000}"/>
    <cellStyle name="Separador de milhares 3 2 8 5 7" xfId="29690" xr:uid="{00000000-0005-0000-0000-0000CE770000}"/>
    <cellStyle name="Separador de milhares 3 2 8 6" xfId="2187" xr:uid="{00000000-0005-0000-0000-0000CF770000}"/>
    <cellStyle name="Separador de milhares 3 2 8 6 2" xfId="7041" xr:uid="{00000000-0005-0000-0000-0000D0770000}"/>
    <cellStyle name="Separador de milhares 3 2 8 6 2 2" xfId="10185" xr:uid="{00000000-0005-0000-0000-0000D1770000}"/>
    <cellStyle name="Separador de milhares 3 2 8 6 2 2 2" xfId="28399" xr:uid="{00000000-0005-0000-0000-0000D2770000}"/>
    <cellStyle name="Separador de milhares 3 2 8 6 2 2 2 2" xfId="54580" xr:uid="{00000000-0005-0000-0000-0000D3770000}"/>
    <cellStyle name="Separador de milhares 3 2 8 6 2 2 3" xfId="22485" xr:uid="{00000000-0005-0000-0000-0000D4770000}"/>
    <cellStyle name="Separador de milhares 3 2 8 6 2 2 3 2" xfId="48672" xr:uid="{00000000-0005-0000-0000-0000D5770000}"/>
    <cellStyle name="Separador de milhares 3 2 8 6 2 2 4" xfId="16571" xr:uid="{00000000-0005-0000-0000-0000D6770000}"/>
    <cellStyle name="Separador de milhares 3 2 8 6 2 2 4 2" xfId="42764" xr:uid="{00000000-0005-0000-0000-0000D7770000}"/>
    <cellStyle name="Separador de milhares 3 2 8 6 2 2 5" xfId="36378" xr:uid="{00000000-0005-0000-0000-0000D8770000}"/>
    <cellStyle name="Separador de milhares 3 2 8 6 2 3" xfId="25442" xr:uid="{00000000-0005-0000-0000-0000D9770000}"/>
    <cellStyle name="Separador de milhares 3 2 8 6 2 3 2" xfId="51626" xr:uid="{00000000-0005-0000-0000-0000DA770000}"/>
    <cellStyle name="Separador de milhares 3 2 8 6 2 4" xfId="19528" xr:uid="{00000000-0005-0000-0000-0000DB770000}"/>
    <cellStyle name="Separador de milhares 3 2 8 6 2 4 2" xfId="45718" xr:uid="{00000000-0005-0000-0000-0000DC770000}"/>
    <cellStyle name="Separador de milhares 3 2 8 6 2 5" xfId="13430" xr:uid="{00000000-0005-0000-0000-0000DD770000}"/>
    <cellStyle name="Separador de milhares 3 2 8 6 2 5 2" xfId="39623" xr:uid="{00000000-0005-0000-0000-0000DE770000}"/>
    <cellStyle name="Separador de milhares 3 2 8 6 2 6" xfId="33237" xr:uid="{00000000-0005-0000-0000-0000DF770000}"/>
    <cellStyle name="Separador de milhares 3 2 8 6 3" xfId="8717" xr:uid="{00000000-0005-0000-0000-0000E0770000}"/>
    <cellStyle name="Separador de milhares 3 2 8 6 3 2" xfId="26931" xr:uid="{00000000-0005-0000-0000-0000E1770000}"/>
    <cellStyle name="Separador de milhares 3 2 8 6 3 2 2" xfId="53112" xr:uid="{00000000-0005-0000-0000-0000E2770000}"/>
    <cellStyle name="Separador de milhares 3 2 8 6 3 3" xfId="21017" xr:uid="{00000000-0005-0000-0000-0000E3770000}"/>
    <cellStyle name="Separador de milhares 3 2 8 6 3 3 2" xfId="47204" xr:uid="{00000000-0005-0000-0000-0000E4770000}"/>
    <cellStyle name="Separador de milhares 3 2 8 6 3 4" xfId="15103" xr:uid="{00000000-0005-0000-0000-0000E5770000}"/>
    <cellStyle name="Separador de milhares 3 2 8 6 3 4 2" xfId="41296" xr:uid="{00000000-0005-0000-0000-0000E6770000}"/>
    <cellStyle name="Separador de milhares 3 2 8 6 3 5" xfId="34910" xr:uid="{00000000-0005-0000-0000-0000E7770000}"/>
    <cellStyle name="Separador de milhares 3 2 8 6 4" xfId="5342" xr:uid="{00000000-0005-0000-0000-0000E8770000}"/>
    <cellStyle name="Separador de milhares 3 2 8 6 4 2" xfId="23974" xr:uid="{00000000-0005-0000-0000-0000E9770000}"/>
    <cellStyle name="Separador de milhares 3 2 8 6 4 2 2" xfId="50158" xr:uid="{00000000-0005-0000-0000-0000EA770000}"/>
    <cellStyle name="Separador de milhares 3 2 8 6 4 3" xfId="31538" xr:uid="{00000000-0005-0000-0000-0000EB770000}"/>
    <cellStyle name="Separador de milhares 3 2 8 6 5" xfId="18060" xr:uid="{00000000-0005-0000-0000-0000EC770000}"/>
    <cellStyle name="Separador de milhares 3 2 8 6 5 2" xfId="44250" xr:uid="{00000000-0005-0000-0000-0000ED770000}"/>
    <cellStyle name="Separador de milhares 3 2 8 6 6" xfId="11729" xr:uid="{00000000-0005-0000-0000-0000EE770000}"/>
    <cellStyle name="Separador de milhares 3 2 8 6 6 2" xfId="37922" xr:uid="{00000000-0005-0000-0000-0000EF770000}"/>
    <cellStyle name="Separador de milhares 3 2 8 6 7" xfId="29840" xr:uid="{00000000-0005-0000-0000-0000F0770000}"/>
    <cellStyle name="Separador de milhares 3 2 8 7" xfId="2714" xr:uid="{00000000-0005-0000-0000-0000F1770000}"/>
    <cellStyle name="Separador de milhares 3 2 8 7 2" xfId="7188" xr:uid="{00000000-0005-0000-0000-0000F2770000}"/>
    <cellStyle name="Separador de milhares 3 2 8 7 2 2" xfId="10332" xr:uid="{00000000-0005-0000-0000-0000F3770000}"/>
    <cellStyle name="Separador de milhares 3 2 8 7 2 2 2" xfId="28546" xr:uid="{00000000-0005-0000-0000-0000F4770000}"/>
    <cellStyle name="Separador de milhares 3 2 8 7 2 2 2 2" xfId="54727" xr:uid="{00000000-0005-0000-0000-0000F5770000}"/>
    <cellStyle name="Separador de milhares 3 2 8 7 2 2 3" xfId="22632" xr:uid="{00000000-0005-0000-0000-0000F6770000}"/>
    <cellStyle name="Separador de milhares 3 2 8 7 2 2 3 2" xfId="48819" xr:uid="{00000000-0005-0000-0000-0000F7770000}"/>
    <cellStyle name="Separador de milhares 3 2 8 7 2 2 4" xfId="16718" xr:uid="{00000000-0005-0000-0000-0000F8770000}"/>
    <cellStyle name="Separador de milhares 3 2 8 7 2 2 4 2" xfId="42911" xr:uid="{00000000-0005-0000-0000-0000F9770000}"/>
    <cellStyle name="Separador de milhares 3 2 8 7 2 2 5" xfId="36525" xr:uid="{00000000-0005-0000-0000-0000FA770000}"/>
    <cellStyle name="Separador de milhares 3 2 8 7 2 3" xfId="25589" xr:uid="{00000000-0005-0000-0000-0000FB770000}"/>
    <cellStyle name="Separador de milhares 3 2 8 7 2 3 2" xfId="51773" xr:uid="{00000000-0005-0000-0000-0000FC770000}"/>
    <cellStyle name="Separador de milhares 3 2 8 7 2 4" xfId="19675" xr:uid="{00000000-0005-0000-0000-0000FD770000}"/>
    <cellStyle name="Separador de milhares 3 2 8 7 2 4 2" xfId="45865" xr:uid="{00000000-0005-0000-0000-0000FE770000}"/>
    <cellStyle name="Separador de milhares 3 2 8 7 2 5" xfId="13577" xr:uid="{00000000-0005-0000-0000-0000FF770000}"/>
    <cellStyle name="Separador de milhares 3 2 8 7 2 5 2" xfId="39770" xr:uid="{00000000-0005-0000-0000-000000780000}"/>
    <cellStyle name="Separador de milhares 3 2 8 7 2 6" xfId="33384" xr:uid="{00000000-0005-0000-0000-000001780000}"/>
    <cellStyle name="Separador de milhares 3 2 8 7 3" xfId="8864" xr:uid="{00000000-0005-0000-0000-000002780000}"/>
    <cellStyle name="Separador de milhares 3 2 8 7 3 2" xfId="27078" xr:uid="{00000000-0005-0000-0000-000003780000}"/>
    <cellStyle name="Separador de milhares 3 2 8 7 3 2 2" xfId="53259" xr:uid="{00000000-0005-0000-0000-000004780000}"/>
    <cellStyle name="Separador de milhares 3 2 8 7 3 3" xfId="21164" xr:uid="{00000000-0005-0000-0000-000005780000}"/>
    <cellStyle name="Separador de milhares 3 2 8 7 3 3 2" xfId="47351" xr:uid="{00000000-0005-0000-0000-000006780000}"/>
    <cellStyle name="Separador de milhares 3 2 8 7 3 4" xfId="15250" xr:uid="{00000000-0005-0000-0000-000007780000}"/>
    <cellStyle name="Separador de milhares 3 2 8 7 3 4 2" xfId="41443" xr:uid="{00000000-0005-0000-0000-000008780000}"/>
    <cellStyle name="Separador de milhares 3 2 8 7 3 5" xfId="35057" xr:uid="{00000000-0005-0000-0000-000009780000}"/>
    <cellStyle name="Separador de milhares 3 2 8 7 4" xfId="5489" xr:uid="{00000000-0005-0000-0000-00000A780000}"/>
    <cellStyle name="Separador de milhares 3 2 8 7 4 2" xfId="24121" xr:uid="{00000000-0005-0000-0000-00000B780000}"/>
    <cellStyle name="Separador de milhares 3 2 8 7 4 2 2" xfId="50305" xr:uid="{00000000-0005-0000-0000-00000C780000}"/>
    <cellStyle name="Separador de milhares 3 2 8 7 4 3" xfId="31685" xr:uid="{00000000-0005-0000-0000-00000D780000}"/>
    <cellStyle name="Separador de milhares 3 2 8 7 5" xfId="18207" xr:uid="{00000000-0005-0000-0000-00000E780000}"/>
    <cellStyle name="Separador de milhares 3 2 8 7 5 2" xfId="44397" xr:uid="{00000000-0005-0000-0000-00000F780000}"/>
    <cellStyle name="Separador de milhares 3 2 8 7 6" xfId="11876" xr:uid="{00000000-0005-0000-0000-000010780000}"/>
    <cellStyle name="Separador de milhares 3 2 8 7 6 2" xfId="38069" xr:uid="{00000000-0005-0000-0000-000011780000}"/>
    <cellStyle name="Separador de milhares 3 2 8 7 7" xfId="29987" xr:uid="{00000000-0005-0000-0000-000012780000}"/>
    <cellStyle name="Separador de milhares 3 2 8 8" xfId="3241" xr:uid="{00000000-0005-0000-0000-000013780000}"/>
    <cellStyle name="Separador de milhares 3 2 8 8 2" xfId="7335" xr:uid="{00000000-0005-0000-0000-000014780000}"/>
    <cellStyle name="Separador de milhares 3 2 8 8 2 2" xfId="10479" xr:uid="{00000000-0005-0000-0000-000015780000}"/>
    <cellStyle name="Separador de milhares 3 2 8 8 2 2 2" xfId="28693" xr:uid="{00000000-0005-0000-0000-000016780000}"/>
    <cellStyle name="Separador de milhares 3 2 8 8 2 2 2 2" xfId="54874" xr:uid="{00000000-0005-0000-0000-000017780000}"/>
    <cellStyle name="Separador de milhares 3 2 8 8 2 2 3" xfId="22779" xr:uid="{00000000-0005-0000-0000-000018780000}"/>
    <cellStyle name="Separador de milhares 3 2 8 8 2 2 3 2" xfId="48966" xr:uid="{00000000-0005-0000-0000-000019780000}"/>
    <cellStyle name="Separador de milhares 3 2 8 8 2 2 4" xfId="16865" xr:uid="{00000000-0005-0000-0000-00001A780000}"/>
    <cellStyle name="Separador de milhares 3 2 8 8 2 2 4 2" xfId="43058" xr:uid="{00000000-0005-0000-0000-00001B780000}"/>
    <cellStyle name="Separador de milhares 3 2 8 8 2 2 5" xfId="36672" xr:uid="{00000000-0005-0000-0000-00001C780000}"/>
    <cellStyle name="Separador de milhares 3 2 8 8 2 3" xfId="25736" xr:uid="{00000000-0005-0000-0000-00001D780000}"/>
    <cellStyle name="Separador de milhares 3 2 8 8 2 3 2" xfId="51920" xr:uid="{00000000-0005-0000-0000-00001E780000}"/>
    <cellStyle name="Separador de milhares 3 2 8 8 2 4" xfId="19822" xr:uid="{00000000-0005-0000-0000-00001F780000}"/>
    <cellStyle name="Separador de milhares 3 2 8 8 2 4 2" xfId="46012" xr:uid="{00000000-0005-0000-0000-000020780000}"/>
    <cellStyle name="Separador de milhares 3 2 8 8 2 5" xfId="13724" xr:uid="{00000000-0005-0000-0000-000021780000}"/>
    <cellStyle name="Separador de milhares 3 2 8 8 2 5 2" xfId="39917" xr:uid="{00000000-0005-0000-0000-000022780000}"/>
    <cellStyle name="Separador de milhares 3 2 8 8 2 6" xfId="33531" xr:uid="{00000000-0005-0000-0000-000023780000}"/>
    <cellStyle name="Separador de milhares 3 2 8 8 3" xfId="9011" xr:uid="{00000000-0005-0000-0000-000024780000}"/>
    <cellStyle name="Separador de milhares 3 2 8 8 3 2" xfId="27225" xr:uid="{00000000-0005-0000-0000-000025780000}"/>
    <cellStyle name="Separador de milhares 3 2 8 8 3 2 2" xfId="53406" xr:uid="{00000000-0005-0000-0000-000026780000}"/>
    <cellStyle name="Separador de milhares 3 2 8 8 3 3" xfId="21311" xr:uid="{00000000-0005-0000-0000-000027780000}"/>
    <cellStyle name="Separador de milhares 3 2 8 8 3 3 2" xfId="47498" xr:uid="{00000000-0005-0000-0000-000028780000}"/>
    <cellStyle name="Separador de milhares 3 2 8 8 3 4" xfId="15397" xr:uid="{00000000-0005-0000-0000-000029780000}"/>
    <cellStyle name="Separador de milhares 3 2 8 8 3 4 2" xfId="41590" xr:uid="{00000000-0005-0000-0000-00002A780000}"/>
    <cellStyle name="Separador de milhares 3 2 8 8 3 5" xfId="35204" xr:uid="{00000000-0005-0000-0000-00002B780000}"/>
    <cellStyle name="Separador de milhares 3 2 8 8 4" xfId="5636" xr:uid="{00000000-0005-0000-0000-00002C780000}"/>
    <cellStyle name="Separador de milhares 3 2 8 8 4 2" xfId="24268" xr:uid="{00000000-0005-0000-0000-00002D780000}"/>
    <cellStyle name="Separador de milhares 3 2 8 8 4 2 2" xfId="50452" xr:uid="{00000000-0005-0000-0000-00002E780000}"/>
    <cellStyle name="Separador de milhares 3 2 8 8 4 3" xfId="31832" xr:uid="{00000000-0005-0000-0000-00002F780000}"/>
    <cellStyle name="Separador de milhares 3 2 8 8 5" xfId="18354" xr:uid="{00000000-0005-0000-0000-000030780000}"/>
    <cellStyle name="Separador de milhares 3 2 8 8 5 2" xfId="44544" xr:uid="{00000000-0005-0000-0000-000031780000}"/>
    <cellStyle name="Separador de milhares 3 2 8 8 6" xfId="12023" xr:uid="{00000000-0005-0000-0000-000032780000}"/>
    <cellStyle name="Separador de milhares 3 2 8 8 6 2" xfId="38216" xr:uid="{00000000-0005-0000-0000-000033780000}"/>
    <cellStyle name="Separador de milhares 3 2 8 8 7" xfId="30134" xr:uid="{00000000-0005-0000-0000-000034780000}"/>
    <cellStyle name="Separador de milhares 3 2 8 9" xfId="3768" xr:uid="{00000000-0005-0000-0000-000035780000}"/>
    <cellStyle name="Separador de milhares 3 2 8 9 2" xfId="7482" xr:uid="{00000000-0005-0000-0000-000036780000}"/>
    <cellStyle name="Separador de milhares 3 2 8 9 2 2" xfId="10626" xr:uid="{00000000-0005-0000-0000-000037780000}"/>
    <cellStyle name="Separador de milhares 3 2 8 9 2 2 2" xfId="28840" xr:uid="{00000000-0005-0000-0000-000038780000}"/>
    <cellStyle name="Separador de milhares 3 2 8 9 2 2 2 2" xfId="55021" xr:uid="{00000000-0005-0000-0000-000039780000}"/>
    <cellStyle name="Separador de milhares 3 2 8 9 2 2 3" xfId="22926" xr:uid="{00000000-0005-0000-0000-00003A780000}"/>
    <cellStyle name="Separador de milhares 3 2 8 9 2 2 3 2" xfId="49113" xr:uid="{00000000-0005-0000-0000-00003B780000}"/>
    <cellStyle name="Separador de milhares 3 2 8 9 2 2 4" xfId="17012" xr:uid="{00000000-0005-0000-0000-00003C780000}"/>
    <cellStyle name="Separador de milhares 3 2 8 9 2 2 4 2" xfId="43205" xr:uid="{00000000-0005-0000-0000-00003D780000}"/>
    <cellStyle name="Separador de milhares 3 2 8 9 2 2 5" xfId="36819" xr:uid="{00000000-0005-0000-0000-00003E780000}"/>
    <cellStyle name="Separador de milhares 3 2 8 9 2 3" xfId="25883" xr:uid="{00000000-0005-0000-0000-00003F780000}"/>
    <cellStyle name="Separador de milhares 3 2 8 9 2 3 2" xfId="52067" xr:uid="{00000000-0005-0000-0000-000040780000}"/>
    <cellStyle name="Separador de milhares 3 2 8 9 2 4" xfId="19969" xr:uid="{00000000-0005-0000-0000-000041780000}"/>
    <cellStyle name="Separador de milhares 3 2 8 9 2 4 2" xfId="46159" xr:uid="{00000000-0005-0000-0000-000042780000}"/>
    <cellStyle name="Separador de milhares 3 2 8 9 2 5" xfId="13871" xr:uid="{00000000-0005-0000-0000-000043780000}"/>
    <cellStyle name="Separador de milhares 3 2 8 9 2 5 2" xfId="40064" xr:uid="{00000000-0005-0000-0000-000044780000}"/>
    <cellStyle name="Separador de milhares 3 2 8 9 2 6" xfId="33678" xr:uid="{00000000-0005-0000-0000-000045780000}"/>
    <cellStyle name="Separador de milhares 3 2 8 9 3" xfId="9158" xr:uid="{00000000-0005-0000-0000-000046780000}"/>
    <cellStyle name="Separador de milhares 3 2 8 9 3 2" xfId="27372" xr:uid="{00000000-0005-0000-0000-000047780000}"/>
    <cellStyle name="Separador de milhares 3 2 8 9 3 2 2" xfId="53553" xr:uid="{00000000-0005-0000-0000-000048780000}"/>
    <cellStyle name="Separador de milhares 3 2 8 9 3 3" xfId="21458" xr:uid="{00000000-0005-0000-0000-000049780000}"/>
    <cellStyle name="Separador de milhares 3 2 8 9 3 3 2" xfId="47645" xr:uid="{00000000-0005-0000-0000-00004A780000}"/>
    <cellStyle name="Separador de milhares 3 2 8 9 3 4" xfId="15544" xr:uid="{00000000-0005-0000-0000-00004B780000}"/>
    <cellStyle name="Separador de milhares 3 2 8 9 3 4 2" xfId="41737" xr:uid="{00000000-0005-0000-0000-00004C780000}"/>
    <cellStyle name="Separador de milhares 3 2 8 9 3 5" xfId="35351" xr:uid="{00000000-0005-0000-0000-00004D780000}"/>
    <cellStyle name="Separador de milhares 3 2 8 9 4" xfId="5783" xr:uid="{00000000-0005-0000-0000-00004E780000}"/>
    <cellStyle name="Separador de milhares 3 2 8 9 4 2" xfId="24415" xr:uid="{00000000-0005-0000-0000-00004F780000}"/>
    <cellStyle name="Separador de milhares 3 2 8 9 4 2 2" xfId="50599" xr:uid="{00000000-0005-0000-0000-000050780000}"/>
    <cellStyle name="Separador de milhares 3 2 8 9 4 3" xfId="31979" xr:uid="{00000000-0005-0000-0000-000051780000}"/>
    <cellStyle name="Separador de milhares 3 2 8 9 5" xfId="18501" xr:uid="{00000000-0005-0000-0000-000052780000}"/>
    <cellStyle name="Separador de milhares 3 2 8 9 5 2" xfId="44691" xr:uid="{00000000-0005-0000-0000-000053780000}"/>
    <cellStyle name="Separador de milhares 3 2 8 9 6" xfId="12170" xr:uid="{00000000-0005-0000-0000-000054780000}"/>
    <cellStyle name="Separador de milhares 3 2 8 9 6 2" xfId="38363" xr:uid="{00000000-0005-0000-0000-000055780000}"/>
    <cellStyle name="Separador de milhares 3 2 8 9 7" xfId="30281" xr:uid="{00000000-0005-0000-0000-000056780000}"/>
    <cellStyle name="Separador de milhares 3 2 9" xfId="220" xr:uid="{00000000-0005-0000-0000-000057780000}"/>
    <cellStyle name="Separador de milhares 3 2 9 10" xfId="6473" xr:uid="{00000000-0005-0000-0000-000058780000}"/>
    <cellStyle name="Separador de milhares 3 2 9 10 2" xfId="9624" xr:uid="{00000000-0005-0000-0000-000059780000}"/>
    <cellStyle name="Separador de milhares 3 2 9 10 2 2" xfId="27838" xr:uid="{00000000-0005-0000-0000-00005A780000}"/>
    <cellStyle name="Separador de milhares 3 2 9 10 2 2 2" xfId="54019" xr:uid="{00000000-0005-0000-0000-00005B780000}"/>
    <cellStyle name="Separador de milhares 3 2 9 10 2 3" xfId="21924" xr:uid="{00000000-0005-0000-0000-00005C780000}"/>
    <cellStyle name="Separador de milhares 3 2 9 10 2 3 2" xfId="48111" xr:uid="{00000000-0005-0000-0000-00005D780000}"/>
    <cellStyle name="Separador de milhares 3 2 9 10 2 4" xfId="16010" xr:uid="{00000000-0005-0000-0000-00005E780000}"/>
    <cellStyle name="Separador de milhares 3 2 9 10 2 4 2" xfId="42203" xr:uid="{00000000-0005-0000-0000-00005F780000}"/>
    <cellStyle name="Separador de milhares 3 2 9 10 2 5" xfId="35817" xr:uid="{00000000-0005-0000-0000-000060780000}"/>
    <cellStyle name="Separador de milhares 3 2 9 10 3" xfId="24881" xr:uid="{00000000-0005-0000-0000-000061780000}"/>
    <cellStyle name="Separador de milhares 3 2 9 10 3 2" xfId="51065" xr:uid="{00000000-0005-0000-0000-000062780000}"/>
    <cellStyle name="Separador de milhares 3 2 9 10 4" xfId="18967" xr:uid="{00000000-0005-0000-0000-000063780000}"/>
    <cellStyle name="Separador de milhares 3 2 9 10 4 2" xfId="45157" xr:uid="{00000000-0005-0000-0000-000064780000}"/>
    <cellStyle name="Separador de milhares 3 2 9 10 5" xfId="12862" xr:uid="{00000000-0005-0000-0000-000065780000}"/>
    <cellStyle name="Separador de milhares 3 2 9 10 5 2" xfId="39055" xr:uid="{00000000-0005-0000-0000-000066780000}"/>
    <cellStyle name="Separador de milhares 3 2 9 10 6" xfId="32669" xr:uid="{00000000-0005-0000-0000-000067780000}"/>
    <cellStyle name="Separador de milhares 3 2 9 11" xfId="8153" xr:uid="{00000000-0005-0000-0000-000068780000}"/>
    <cellStyle name="Separador de milhares 3 2 9 11 2" xfId="26367" xr:uid="{00000000-0005-0000-0000-000069780000}"/>
    <cellStyle name="Separador de milhares 3 2 9 11 2 2" xfId="52551" xr:uid="{00000000-0005-0000-0000-00006A780000}"/>
    <cellStyle name="Separador de milhares 3 2 9 11 3" xfId="20453" xr:uid="{00000000-0005-0000-0000-00006B780000}"/>
    <cellStyle name="Separador de milhares 3 2 9 11 3 2" xfId="46643" xr:uid="{00000000-0005-0000-0000-00006C780000}"/>
    <cellStyle name="Separador de milhares 3 2 9 11 4" xfId="14542" xr:uid="{00000000-0005-0000-0000-00006D780000}"/>
    <cellStyle name="Separador de milhares 3 2 9 11 4 2" xfId="40735" xr:uid="{00000000-0005-0000-0000-00006E780000}"/>
    <cellStyle name="Separador de milhares 3 2 9 11 5" xfId="34349" xr:uid="{00000000-0005-0000-0000-00006F780000}"/>
    <cellStyle name="Separador de milhares 3 2 9 12" xfId="4772" xr:uid="{00000000-0005-0000-0000-000070780000}"/>
    <cellStyle name="Separador de milhares 3 2 9 12 2" xfId="23410" xr:uid="{00000000-0005-0000-0000-000071780000}"/>
    <cellStyle name="Separador de milhares 3 2 9 12 2 2" xfId="49597" xr:uid="{00000000-0005-0000-0000-000072780000}"/>
    <cellStyle name="Separador de milhares 3 2 9 12 3" xfId="30970" xr:uid="{00000000-0005-0000-0000-000073780000}"/>
    <cellStyle name="Separador de milhares 3 2 9 13" xfId="17496" xr:uid="{00000000-0005-0000-0000-000074780000}"/>
    <cellStyle name="Separador de milhares 3 2 9 13 2" xfId="43689" xr:uid="{00000000-0005-0000-0000-000075780000}"/>
    <cellStyle name="Separador de milhares 3 2 9 14" xfId="11161" xr:uid="{00000000-0005-0000-0000-000076780000}"/>
    <cellStyle name="Separador de milhares 3 2 9 14 2" xfId="37354" xr:uid="{00000000-0005-0000-0000-000077780000}"/>
    <cellStyle name="Separador de milhares 3 2 9 15" xfId="29272" xr:uid="{00000000-0005-0000-0000-000078780000}"/>
    <cellStyle name="Separador de milhares 3 2 9 2" xfId="483" xr:uid="{00000000-0005-0000-0000-000079780000}"/>
    <cellStyle name="Separador de milhares 3 2 9 2 2" xfId="6544" xr:uid="{00000000-0005-0000-0000-00007A780000}"/>
    <cellStyle name="Separador de milhares 3 2 9 2 2 2" xfId="9691" xr:uid="{00000000-0005-0000-0000-00007B780000}"/>
    <cellStyle name="Separador de milhares 3 2 9 2 2 2 2" xfId="27905" xr:uid="{00000000-0005-0000-0000-00007C780000}"/>
    <cellStyle name="Separador de milhares 3 2 9 2 2 2 2 2" xfId="54086" xr:uid="{00000000-0005-0000-0000-00007D780000}"/>
    <cellStyle name="Separador de milhares 3 2 9 2 2 2 3" xfId="21991" xr:uid="{00000000-0005-0000-0000-00007E780000}"/>
    <cellStyle name="Separador de milhares 3 2 9 2 2 2 3 2" xfId="48178" xr:uid="{00000000-0005-0000-0000-00007F780000}"/>
    <cellStyle name="Separador de milhares 3 2 9 2 2 2 4" xfId="16077" xr:uid="{00000000-0005-0000-0000-000080780000}"/>
    <cellStyle name="Separador de milhares 3 2 9 2 2 2 4 2" xfId="42270" xr:uid="{00000000-0005-0000-0000-000081780000}"/>
    <cellStyle name="Separador de milhares 3 2 9 2 2 2 5" xfId="35884" xr:uid="{00000000-0005-0000-0000-000082780000}"/>
    <cellStyle name="Separador de milhares 3 2 9 2 2 3" xfId="24948" xr:uid="{00000000-0005-0000-0000-000083780000}"/>
    <cellStyle name="Separador de milhares 3 2 9 2 2 3 2" xfId="51132" xr:uid="{00000000-0005-0000-0000-000084780000}"/>
    <cellStyle name="Separador de milhares 3 2 9 2 2 4" xfId="19034" xr:uid="{00000000-0005-0000-0000-000085780000}"/>
    <cellStyle name="Separador de milhares 3 2 9 2 2 4 2" xfId="45224" xr:uid="{00000000-0005-0000-0000-000086780000}"/>
    <cellStyle name="Separador de milhares 3 2 9 2 2 5" xfId="12933" xr:uid="{00000000-0005-0000-0000-000087780000}"/>
    <cellStyle name="Separador de milhares 3 2 9 2 2 5 2" xfId="39126" xr:uid="{00000000-0005-0000-0000-000088780000}"/>
    <cellStyle name="Separador de milhares 3 2 9 2 2 6" xfId="32740" xr:uid="{00000000-0005-0000-0000-000089780000}"/>
    <cellStyle name="Separador de milhares 3 2 9 2 3" xfId="8220" xr:uid="{00000000-0005-0000-0000-00008A780000}"/>
    <cellStyle name="Separador de milhares 3 2 9 2 3 2" xfId="26434" xr:uid="{00000000-0005-0000-0000-00008B780000}"/>
    <cellStyle name="Separador de milhares 3 2 9 2 3 2 2" xfId="52618" xr:uid="{00000000-0005-0000-0000-00008C780000}"/>
    <cellStyle name="Separador de milhares 3 2 9 2 3 3" xfId="20520" xr:uid="{00000000-0005-0000-0000-00008D780000}"/>
    <cellStyle name="Separador de milhares 3 2 9 2 3 3 2" xfId="46710" xr:uid="{00000000-0005-0000-0000-00008E780000}"/>
    <cellStyle name="Separador de milhares 3 2 9 2 3 4" xfId="14609" xr:uid="{00000000-0005-0000-0000-00008F780000}"/>
    <cellStyle name="Separador de milhares 3 2 9 2 3 4 2" xfId="40802" xr:uid="{00000000-0005-0000-0000-000090780000}"/>
    <cellStyle name="Separador de milhares 3 2 9 2 3 5" xfId="34416" xr:uid="{00000000-0005-0000-0000-000091780000}"/>
    <cellStyle name="Separador de milhares 3 2 9 2 4" xfId="4843" xr:uid="{00000000-0005-0000-0000-000092780000}"/>
    <cellStyle name="Separador de milhares 3 2 9 2 4 2" xfId="23477" xr:uid="{00000000-0005-0000-0000-000093780000}"/>
    <cellStyle name="Separador de milhares 3 2 9 2 4 2 2" xfId="49664" xr:uid="{00000000-0005-0000-0000-000094780000}"/>
    <cellStyle name="Separador de milhares 3 2 9 2 4 3" xfId="31041" xr:uid="{00000000-0005-0000-0000-000095780000}"/>
    <cellStyle name="Separador de milhares 3 2 9 2 5" xfId="17563" xr:uid="{00000000-0005-0000-0000-000096780000}"/>
    <cellStyle name="Separador de milhares 3 2 9 2 5 2" xfId="43756" xr:uid="{00000000-0005-0000-0000-000097780000}"/>
    <cellStyle name="Separador de milhares 3 2 9 2 6" xfId="11232" xr:uid="{00000000-0005-0000-0000-000098780000}"/>
    <cellStyle name="Separador de milhares 3 2 9 2 6 2" xfId="37425" xr:uid="{00000000-0005-0000-0000-000099780000}"/>
    <cellStyle name="Separador de milhares 3 2 9 2 7" xfId="29343" xr:uid="{00000000-0005-0000-0000-00009A780000}"/>
    <cellStyle name="Separador de milhares 3 2 9 3" xfId="780" xr:uid="{00000000-0005-0000-0000-00009B780000}"/>
    <cellStyle name="Separador de milhares 3 2 9 3 2" xfId="6646" xr:uid="{00000000-0005-0000-0000-00009C780000}"/>
    <cellStyle name="Separador de milhares 3 2 9 3 2 2" xfId="9793" xr:uid="{00000000-0005-0000-0000-00009D780000}"/>
    <cellStyle name="Separador de milhares 3 2 9 3 2 2 2" xfId="28007" xr:uid="{00000000-0005-0000-0000-00009E780000}"/>
    <cellStyle name="Separador de milhares 3 2 9 3 2 2 2 2" xfId="54188" xr:uid="{00000000-0005-0000-0000-00009F780000}"/>
    <cellStyle name="Separador de milhares 3 2 9 3 2 2 3" xfId="22093" xr:uid="{00000000-0005-0000-0000-0000A0780000}"/>
    <cellStyle name="Separador de milhares 3 2 9 3 2 2 3 2" xfId="48280" xr:uid="{00000000-0005-0000-0000-0000A1780000}"/>
    <cellStyle name="Separador de milhares 3 2 9 3 2 2 4" xfId="16179" xr:uid="{00000000-0005-0000-0000-0000A2780000}"/>
    <cellStyle name="Separador de milhares 3 2 9 3 2 2 4 2" xfId="42372" xr:uid="{00000000-0005-0000-0000-0000A3780000}"/>
    <cellStyle name="Separador de milhares 3 2 9 3 2 2 5" xfId="35986" xr:uid="{00000000-0005-0000-0000-0000A4780000}"/>
    <cellStyle name="Separador de milhares 3 2 9 3 2 3" xfId="25050" xr:uid="{00000000-0005-0000-0000-0000A5780000}"/>
    <cellStyle name="Separador de milhares 3 2 9 3 2 3 2" xfId="51234" xr:uid="{00000000-0005-0000-0000-0000A6780000}"/>
    <cellStyle name="Separador de milhares 3 2 9 3 2 4" xfId="19136" xr:uid="{00000000-0005-0000-0000-0000A7780000}"/>
    <cellStyle name="Separador de milhares 3 2 9 3 2 4 2" xfId="45326" xr:uid="{00000000-0005-0000-0000-0000A8780000}"/>
    <cellStyle name="Separador de milhares 3 2 9 3 2 5" xfId="13035" xr:uid="{00000000-0005-0000-0000-0000A9780000}"/>
    <cellStyle name="Separador de milhares 3 2 9 3 2 5 2" xfId="39228" xr:uid="{00000000-0005-0000-0000-0000AA780000}"/>
    <cellStyle name="Separador de milhares 3 2 9 3 2 6" xfId="32842" xr:uid="{00000000-0005-0000-0000-0000AB780000}"/>
    <cellStyle name="Separador de milhares 3 2 9 3 3" xfId="8325" xr:uid="{00000000-0005-0000-0000-0000AC780000}"/>
    <cellStyle name="Separador de milhares 3 2 9 3 3 2" xfId="26539" xr:uid="{00000000-0005-0000-0000-0000AD780000}"/>
    <cellStyle name="Separador de milhares 3 2 9 3 3 2 2" xfId="52720" xr:uid="{00000000-0005-0000-0000-0000AE780000}"/>
    <cellStyle name="Separador de milhares 3 2 9 3 3 3" xfId="20625" xr:uid="{00000000-0005-0000-0000-0000AF780000}"/>
    <cellStyle name="Separador de milhares 3 2 9 3 3 3 2" xfId="46812" xr:uid="{00000000-0005-0000-0000-0000B0780000}"/>
    <cellStyle name="Separador de milhares 3 2 9 3 3 4" xfId="14711" xr:uid="{00000000-0005-0000-0000-0000B1780000}"/>
    <cellStyle name="Separador de milhares 3 2 9 3 3 4 2" xfId="40904" xr:uid="{00000000-0005-0000-0000-0000B2780000}"/>
    <cellStyle name="Separador de milhares 3 2 9 3 3 5" xfId="34518" xr:uid="{00000000-0005-0000-0000-0000B3780000}"/>
    <cellStyle name="Separador de milhares 3 2 9 3 4" xfId="4947" xr:uid="{00000000-0005-0000-0000-0000B4780000}"/>
    <cellStyle name="Separador de milhares 3 2 9 3 4 2" xfId="23582" xr:uid="{00000000-0005-0000-0000-0000B5780000}"/>
    <cellStyle name="Separador de milhares 3 2 9 3 4 2 2" xfId="49766" xr:uid="{00000000-0005-0000-0000-0000B6780000}"/>
    <cellStyle name="Separador de milhares 3 2 9 3 4 3" xfId="31143" xr:uid="{00000000-0005-0000-0000-0000B7780000}"/>
    <cellStyle name="Separador de milhares 3 2 9 3 5" xfId="17668" xr:uid="{00000000-0005-0000-0000-0000B8780000}"/>
    <cellStyle name="Separador de milhares 3 2 9 3 5 2" xfId="43858" xr:uid="{00000000-0005-0000-0000-0000B9780000}"/>
    <cellStyle name="Separador de milhares 3 2 9 3 6" xfId="11334" xr:uid="{00000000-0005-0000-0000-0000BA780000}"/>
    <cellStyle name="Separador de milhares 3 2 9 3 6 2" xfId="37527" xr:uid="{00000000-0005-0000-0000-0000BB780000}"/>
    <cellStyle name="Separador de milhares 3 2 9 3 7" xfId="29445" xr:uid="{00000000-0005-0000-0000-0000BC780000}"/>
    <cellStyle name="Separador de milhares 3 2 9 4" xfId="1131" xr:uid="{00000000-0005-0000-0000-0000BD780000}"/>
    <cellStyle name="Separador de milhares 3 2 9 4 2" xfId="6744" xr:uid="{00000000-0005-0000-0000-0000BE780000}"/>
    <cellStyle name="Separador de milhares 3 2 9 4 2 2" xfId="9891" xr:uid="{00000000-0005-0000-0000-0000BF780000}"/>
    <cellStyle name="Separador de milhares 3 2 9 4 2 2 2" xfId="28105" xr:uid="{00000000-0005-0000-0000-0000C0780000}"/>
    <cellStyle name="Separador de milhares 3 2 9 4 2 2 2 2" xfId="54286" xr:uid="{00000000-0005-0000-0000-0000C1780000}"/>
    <cellStyle name="Separador de milhares 3 2 9 4 2 2 3" xfId="22191" xr:uid="{00000000-0005-0000-0000-0000C2780000}"/>
    <cellStyle name="Separador de milhares 3 2 9 4 2 2 3 2" xfId="48378" xr:uid="{00000000-0005-0000-0000-0000C3780000}"/>
    <cellStyle name="Separador de milhares 3 2 9 4 2 2 4" xfId="16277" xr:uid="{00000000-0005-0000-0000-0000C4780000}"/>
    <cellStyle name="Separador de milhares 3 2 9 4 2 2 4 2" xfId="42470" xr:uid="{00000000-0005-0000-0000-0000C5780000}"/>
    <cellStyle name="Separador de milhares 3 2 9 4 2 2 5" xfId="36084" xr:uid="{00000000-0005-0000-0000-0000C6780000}"/>
    <cellStyle name="Separador de milhares 3 2 9 4 2 3" xfId="25148" xr:uid="{00000000-0005-0000-0000-0000C7780000}"/>
    <cellStyle name="Separador de milhares 3 2 9 4 2 3 2" xfId="51332" xr:uid="{00000000-0005-0000-0000-0000C8780000}"/>
    <cellStyle name="Separador de milhares 3 2 9 4 2 4" xfId="19234" xr:uid="{00000000-0005-0000-0000-0000C9780000}"/>
    <cellStyle name="Separador de milhares 3 2 9 4 2 4 2" xfId="45424" xr:uid="{00000000-0005-0000-0000-0000CA780000}"/>
    <cellStyle name="Separador de milhares 3 2 9 4 2 5" xfId="13133" xr:uid="{00000000-0005-0000-0000-0000CB780000}"/>
    <cellStyle name="Separador de milhares 3 2 9 4 2 5 2" xfId="39326" xr:uid="{00000000-0005-0000-0000-0000CC780000}"/>
    <cellStyle name="Separador de milhares 3 2 9 4 2 6" xfId="32940" xr:uid="{00000000-0005-0000-0000-0000CD780000}"/>
    <cellStyle name="Separador de milhares 3 2 9 4 3" xfId="8423" xr:uid="{00000000-0005-0000-0000-0000CE780000}"/>
    <cellStyle name="Separador de milhares 3 2 9 4 3 2" xfId="26637" xr:uid="{00000000-0005-0000-0000-0000CF780000}"/>
    <cellStyle name="Separador de milhares 3 2 9 4 3 2 2" xfId="52818" xr:uid="{00000000-0005-0000-0000-0000D0780000}"/>
    <cellStyle name="Separador de milhares 3 2 9 4 3 3" xfId="20723" xr:uid="{00000000-0005-0000-0000-0000D1780000}"/>
    <cellStyle name="Separador de milhares 3 2 9 4 3 3 2" xfId="46910" xr:uid="{00000000-0005-0000-0000-0000D2780000}"/>
    <cellStyle name="Separador de milhares 3 2 9 4 3 4" xfId="14809" xr:uid="{00000000-0005-0000-0000-0000D3780000}"/>
    <cellStyle name="Separador de milhares 3 2 9 4 3 4 2" xfId="41002" xr:uid="{00000000-0005-0000-0000-0000D4780000}"/>
    <cellStyle name="Separador de milhares 3 2 9 4 3 5" xfId="34616" xr:uid="{00000000-0005-0000-0000-0000D5780000}"/>
    <cellStyle name="Separador de milhares 3 2 9 4 4" xfId="5045" xr:uid="{00000000-0005-0000-0000-0000D6780000}"/>
    <cellStyle name="Separador de milhares 3 2 9 4 4 2" xfId="23680" xr:uid="{00000000-0005-0000-0000-0000D7780000}"/>
    <cellStyle name="Separador de milhares 3 2 9 4 4 2 2" xfId="49864" xr:uid="{00000000-0005-0000-0000-0000D8780000}"/>
    <cellStyle name="Separador de milhares 3 2 9 4 4 3" xfId="31241" xr:uid="{00000000-0005-0000-0000-0000D9780000}"/>
    <cellStyle name="Separador de milhares 3 2 9 4 5" xfId="17766" xr:uid="{00000000-0005-0000-0000-0000DA780000}"/>
    <cellStyle name="Separador de milhares 3 2 9 4 5 2" xfId="43956" xr:uid="{00000000-0005-0000-0000-0000DB780000}"/>
    <cellStyle name="Separador de milhares 3 2 9 4 6" xfId="11432" xr:uid="{00000000-0005-0000-0000-0000DC780000}"/>
    <cellStyle name="Separador de milhares 3 2 9 4 6 2" xfId="37625" xr:uid="{00000000-0005-0000-0000-0000DD780000}"/>
    <cellStyle name="Separador de milhares 3 2 9 4 7" xfId="29543" xr:uid="{00000000-0005-0000-0000-0000DE780000}"/>
    <cellStyle name="Separador de milhares 3 2 9 5" xfId="1566" xr:uid="{00000000-0005-0000-0000-0000DF780000}"/>
    <cellStyle name="Separador de milhares 3 2 9 5 2" xfId="6863" xr:uid="{00000000-0005-0000-0000-0000E0780000}"/>
    <cellStyle name="Separador de milhares 3 2 9 5 2 2" xfId="10010" xr:uid="{00000000-0005-0000-0000-0000E1780000}"/>
    <cellStyle name="Separador de milhares 3 2 9 5 2 2 2" xfId="28224" xr:uid="{00000000-0005-0000-0000-0000E2780000}"/>
    <cellStyle name="Separador de milhares 3 2 9 5 2 2 2 2" xfId="54405" xr:uid="{00000000-0005-0000-0000-0000E3780000}"/>
    <cellStyle name="Separador de milhares 3 2 9 5 2 2 3" xfId="22310" xr:uid="{00000000-0005-0000-0000-0000E4780000}"/>
    <cellStyle name="Separador de milhares 3 2 9 5 2 2 3 2" xfId="48497" xr:uid="{00000000-0005-0000-0000-0000E5780000}"/>
    <cellStyle name="Separador de milhares 3 2 9 5 2 2 4" xfId="16396" xr:uid="{00000000-0005-0000-0000-0000E6780000}"/>
    <cellStyle name="Separador de milhares 3 2 9 5 2 2 4 2" xfId="42589" xr:uid="{00000000-0005-0000-0000-0000E7780000}"/>
    <cellStyle name="Separador de milhares 3 2 9 5 2 2 5" xfId="36203" xr:uid="{00000000-0005-0000-0000-0000E8780000}"/>
    <cellStyle name="Separador de milhares 3 2 9 5 2 3" xfId="25267" xr:uid="{00000000-0005-0000-0000-0000E9780000}"/>
    <cellStyle name="Separador de milhares 3 2 9 5 2 3 2" xfId="51451" xr:uid="{00000000-0005-0000-0000-0000EA780000}"/>
    <cellStyle name="Separador de milhares 3 2 9 5 2 4" xfId="19353" xr:uid="{00000000-0005-0000-0000-0000EB780000}"/>
    <cellStyle name="Separador de milhares 3 2 9 5 2 4 2" xfId="45543" xr:uid="{00000000-0005-0000-0000-0000EC780000}"/>
    <cellStyle name="Separador de milhares 3 2 9 5 2 5" xfId="13252" xr:uid="{00000000-0005-0000-0000-0000ED780000}"/>
    <cellStyle name="Separador de milhares 3 2 9 5 2 5 2" xfId="39445" xr:uid="{00000000-0005-0000-0000-0000EE780000}"/>
    <cellStyle name="Separador de milhares 3 2 9 5 2 6" xfId="33059" xr:uid="{00000000-0005-0000-0000-0000EF780000}"/>
    <cellStyle name="Separador de milhares 3 2 9 5 3" xfId="8542" xr:uid="{00000000-0005-0000-0000-0000F0780000}"/>
    <cellStyle name="Separador de milhares 3 2 9 5 3 2" xfId="26756" xr:uid="{00000000-0005-0000-0000-0000F1780000}"/>
    <cellStyle name="Separador de milhares 3 2 9 5 3 2 2" xfId="52937" xr:uid="{00000000-0005-0000-0000-0000F2780000}"/>
    <cellStyle name="Separador de milhares 3 2 9 5 3 3" xfId="20842" xr:uid="{00000000-0005-0000-0000-0000F3780000}"/>
    <cellStyle name="Separador de milhares 3 2 9 5 3 3 2" xfId="47029" xr:uid="{00000000-0005-0000-0000-0000F4780000}"/>
    <cellStyle name="Separador de milhares 3 2 9 5 3 4" xfId="14928" xr:uid="{00000000-0005-0000-0000-0000F5780000}"/>
    <cellStyle name="Separador de milhares 3 2 9 5 3 4 2" xfId="41121" xr:uid="{00000000-0005-0000-0000-0000F6780000}"/>
    <cellStyle name="Separador de milhares 3 2 9 5 3 5" xfId="34735" xr:uid="{00000000-0005-0000-0000-0000F7780000}"/>
    <cellStyle name="Separador de milhares 3 2 9 5 4" xfId="5164" xr:uid="{00000000-0005-0000-0000-0000F8780000}"/>
    <cellStyle name="Separador de milhares 3 2 9 5 4 2" xfId="23799" xr:uid="{00000000-0005-0000-0000-0000F9780000}"/>
    <cellStyle name="Separador de milhares 3 2 9 5 4 2 2" xfId="49983" xr:uid="{00000000-0005-0000-0000-0000FA780000}"/>
    <cellStyle name="Separador de milhares 3 2 9 5 4 3" xfId="31360" xr:uid="{00000000-0005-0000-0000-0000FB780000}"/>
    <cellStyle name="Separador de milhares 3 2 9 5 5" xfId="17885" xr:uid="{00000000-0005-0000-0000-0000FC780000}"/>
    <cellStyle name="Separador de milhares 3 2 9 5 5 2" xfId="44075" xr:uid="{00000000-0005-0000-0000-0000FD780000}"/>
    <cellStyle name="Separador de milhares 3 2 9 5 6" xfId="11551" xr:uid="{00000000-0005-0000-0000-0000FE780000}"/>
    <cellStyle name="Separador de milhares 3 2 9 5 6 2" xfId="37744" xr:uid="{00000000-0005-0000-0000-0000FF780000}"/>
    <cellStyle name="Separador de milhares 3 2 9 5 7" xfId="29662" xr:uid="{00000000-0005-0000-0000-000000790000}"/>
    <cellStyle name="Separador de milhares 3 2 9 6" xfId="2096" xr:uid="{00000000-0005-0000-0000-000001790000}"/>
    <cellStyle name="Separador de milhares 3 2 9 6 2" xfId="7013" xr:uid="{00000000-0005-0000-0000-000002790000}"/>
    <cellStyle name="Separador de milhares 3 2 9 6 2 2" xfId="10157" xr:uid="{00000000-0005-0000-0000-000003790000}"/>
    <cellStyle name="Separador de milhares 3 2 9 6 2 2 2" xfId="28371" xr:uid="{00000000-0005-0000-0000-000004790000}"/>
    <cellStyle name="Separador de milhares 3 2 9 6 2 2 2 2" xfId="54552" xr:uid="{00000000-0005-0000-0000-000005790000}"/>
    <cellStyle name="Separador de milhares 3 2 9 6 2 2 3" xfId="22457" xr:uid="{00000000-0005-0000-0000-000006790000}"/>
    <cellStyle name="Separador de milhares 3 2 9 6 2 2 3 2" xfId="48644" xr:uid="{00000000-0005-0000-0000-000007790000}"/>
    <cellStyle name="Separador de milhares 3 2 9 6 2 2 4" xfId="16543" xr:uid="{00000000-0005-0000-0000-000008790000}"/>
    <cellStyle name="Separador de milhares 3 2 9 6 2 2 4 2" xfId="42736" xr:uid="{00000000-0005-0000-0000-000009790000}"/>
    <cellStyle name="Separador de milhares 3 2 9 6 2 2 5" xfId="36350" xr:uid="{00000000-0005-0000-0000-00000A790000}"/>
    <cellStyle name="Separador de milhares 3 2 9 6 2 3" xfId="25414" xr:uid="{00000000-0005-0000-0000-00000B790000}"/>
    <cellStyle name="Separador de milhares 3 2 9 6 2 3 2" xfId="51598" xr:uid="{00000000-0005-0000-0000-00000C790000}"/>
    <cellStyle name="Separador de milhares 3 2 9 6 2 4" xfId="19500" xr:uid="{00000000-0005-0000-0000-00000D790000}"/>
    <cellStyle name="Separador de milhares 3 2 9 6 2 4 2" xfId="45690" xr:uid="{00000000-0005-0000-0000-00000E790000}"/>
    <cellStyle name="Separador de milhares 3 2 9 6 2 5" xfId="13402" xr:uid="{00000000-0005-0000-0000-00000F790000}"/>
    <cellStyle name="Separador de milhares 3 2 9 6 2 5 2" xfId="39595" xr:uid="{00000000-0005-0000-0000-000010790000}"/>
    <cellStyle name="Separador de milhares 3 2 9 6 2 6" xfId="33209" xr:uid="{00000000-0005-0000-0000-000011790000}"/>
    <cellStyle name="Separador de milhares 3 2 9 6 3" xfId="8689" xr:uid="{00000000-0005-0000-0000-000012790000}"/>
    <cellStyle name="Separador de milhares 3 2 9 6 3 2" xfId="26903" xr:uid="{00000000-0005-0000-0000-000013790000}"/>
    <cellStyle name="Separador de milhares 3 2 9 6 3 2 2" xfId="53084" xr:uid="{00000000-0005-0000-0000-000014790000}"/>
    <cellStyle name="Separador de milhares 3 2 9 6 3 3" xfId="20989" xr:uid="{00000000-0005-0000-0000-000015790000}"/>
    <cellStyle name="Separador de milhares 3 2 9 6 3 3 2" xfId="47176" xr:uid="{00000000-0005-0000-0000-000016790000}"/>
    <cellStyle name="Separador de milhares 3 2 9 6 3 4" xfId="15075" xr:uid="{00000000-0005-0000-0000-000017790000}"/>
    <cellStyle name="Separador de milhares 3 2 9 6 3 4 2" xfId="41268" xr:uid="{00000000-0005-0000-0000-000018790000}"/>
    <cellStyle name="Separador de milhares 3 2 9 6 3 5" xfId="34882" xr:uid="{00000000-0005-0000-0000-000019790000}"/>
    <cellStyle name="Separador de milhares 3 2 9 6 4" xfId="5314" xr:uid="{00000000-0005-0000-0000-00001A790000}"/>
    <cellStyle name="Separador de milhares 3 2 9 6 4 2" xfId="23946" xr:uid="{00000000-0005-0000-0000-00001B790000}"/>
    <cellStyle name="Separador de milhares 3 2 9 6 4 2 2" xfId="50130" xr:uid="{00000000-0005-0000-0000-00001C790000}"/>
    <cellStyle name="Separador de milhares 3 2 9 6 4 3" xfId="31510" xr:uid="{00000000-0005-0000-0000-00001D790000}"/>
    <cellStyle name="Separador de milhares 3 2 9 6 5" xfId="18032" xr:uid="{00000000-0005-0000-0000-00001E790000}"/>
    <cellStyle name="Separador de milhares 3 2 9 6 5 2" xfId="44222" xr:uid="{00000000-0005-0000-0000-00001F790000}"/>
    <cellStyle name="Separador de milhares 3 2 9 6 6" xfId="11701" xr:uid="{00000000-0005-0000-0000-000020790000}"/>
    <cellStyle name="Separador de milhares 3 2 9 6 6 2" xfId="37894" xr:uid="{00000000-0005-0000-0000-000021790000}"/>
    <cellStyle name="Separador de milhares 3 2 9 6 7" xfId="29812" xr:uid="{00000000-0005-0000-0000-000022790000}"/>
    <cellStyle name="Separador de milhares 3 2 9 7" xfId="2623" xr:uid="{00000000-0005-0000-0000-000023790000}"/>
    <cellStyle name="Separador de milhares 3 2 9 7 2" xfId="7160" xr:uid="{00000000-0005-0000-0000-000024790000}"/>
    <cellStyle name="Separador de milhares 3 2 9 7 2 2" xfId="10304" xr:uid="{00000000-0005-0000-0000-000025790000}"/>
    <cellStyle name="Separador de milhares 3 2 9 7 2 2 2" xfId="28518" xr:uid="{00000000-0005-0000-0000-000026790000}"/>
    <cellStyle name="Separador de milhares 3 2 9 7 2 2 2 2" xfId="54699" xr:uid="{00000000-0005-0000-0000-000027790000}"/>
    <cellStyle name="Separador de milhares 3 2 9 7 2 2 3" xfId="22604" xr:uid="{00000000-0005-0000-0000-000028790000}"/>
    <cellStyle name="Separador de milhares 3 2 9 7 2 2 3 2" xfId="48791" xr:uid="{00000000-0005-0000-0000-000029790000}"/>
    <cellStyle name="Separador de milhares 3 2 9 7 2 2 4" xfId="16690" xr:uid="{00000000-0005-0000-0000-00002A790000}"/>
    <cellStyle name="Separador de milhares 3 2 9 7 2 2 4 2" xfId="42883" xr:uid="{00000000-0005-0000-0000-00002B790000}"/>
    <cellStyle name="Separador de milhares 3 2 9 7 2 2 5" xfId="36497" xr:uid="{00000000-0005-0000-0000-00002C790000}"/>
    <cellStyle name="Separador de milhares 3 2 9 7 2 3" xfId="25561" xr:uid="{00000000-0005-0000-0000-00002D790000}"/>
    <cellStyle name="Separador de milhares 3 2 9 7 2 3 2" xfId="51745" xr:uid="{00000000-0005-0000-0000-00002E790000}"/>
    <cellStyle name="Separador de milhares 3 2 9 7 2 4" xfId="19647" xr:uid="{00000000-0005-0000-0000-00002F790000}"/>
    <cellStyle name="Separador de milhares 3 2 9 7 2 4 2" xfId="45837" xr:uid="{00000000-0005-0000-0000-000030790000}"/>
    <cellStyle name="Separador de milhares 3 2 9 7 2 5" xfId="13549" xr:uid="{00000000-0005-0000-0000-000031790000}"/>
    <cellStyle name="Separador de milhares 3 2 9 7 2 5 2" xfId="39742" xr:uid="{00000000-0005-0000-0000-000032790000}"/>
    <cellStyle name="Separador de milhares 3 2 9 7 2 6" xfId="33356" xr:uid="{00000000-0005-0000-0000-000033790000}"/>
    <cellStyle name="Separador de milhares 3 2 9 7 3" xfId="8836" xr:uid="{00000000-0005-0000-0000-000034790000}"/>
    <cellStyle name="Separador de milhares 3 2 9 7 3 2" xfId="27050" xr:uid="{00000000-0005-0000-0000-000035790000}"/>
    <cellStyle name="Separador de milhares 3 2 9 7 3 2 2" xfId="53231" xr:uid="{00000000-0005-0000-0000-000036790000}"/>
    <cellStyle name="Separador de milhares 3 2 9 7 3 3" xfId="21136" xr:uid="{00000000-0005-0000-0000-000037790000}"/>
    <cellStyle name="Separador de milhares 3 2 9 7 3 3 2" xfId="47323" xr:uid="{00000000-0005-0000-0000-000038790000}"/>
    <cellStyle name="Separador de milhares 3 2 9 7 3 4" xfId="15222" xr:uid="{00000000-0005-0000-0000-000039790000}"/>
    <cellStyle name="Separador de milhares 3 2 9 7 3 4 2" xfId="41415" xr:uid="{00000000-0005-0000-0000-00003A790000}"/>
    <cellStyle name="Separador de milhares 3 2 9 7 3 5" xfId="35029" xr:uid="{00000000-0005-0000-0000-00003B790000}"/>
    <cellStyle name="Separador de milhares 3 2 9 7 4" xfId="5461" xr:uid="{00000000-0005-0000-0000-00003C790000}"/>
    <cellStyle name="Separador de milhares 3 2 9 7 4 2" xfId="24093" xr:uid="{00000000-0005-0000-0000-00003D790000}"/>
    <cellStyle name="Separador de milhares 3 2 9 7 4 2 2" xfId="50277" xr:uid="{00000000-0005-0000-0000-00003E790000}"/>
    <cellStyle name="Separador de milhares 3 2 9 7 4 3" xfId="31657" xr:uid="{00000000-0005-0000-0000-00003F790000}"/>
    <cellStyle name="Separador de milhares 3 2 9 7 5" xfId="18179" xr:uid="{00000000-0005-0000-0000-000040790000}"/>
    <cellStyle name="Separador de milhares 3 2 9 7 5 2" xfId="44369" xr:uid="{00000000-0005-0000-0000-000041790000}"/>
    <cellStyle name="Separador de milhares 3 2 9 7 6" xfId="11848" xr:uid="{00000000-0005-0000-0000-000042790000}"/>
    <cellStyle name="Separador de milhares 3 2 9 7 6 2" xfId="38041" xr:uid="{00000000-0005-0000-0000-000043790000}"/>
    <cellStyle name="Separador de milhares 3 2 9 7 7" xfId="29959" xr:uid="{00000000-0005-0000-0000-000044790000}"/>
    <cellStyle name="Separador de milhares 3 2 9 8" xfId="3150" xr:uid="{00000000-0005-0000-0000-000045790000}"/>
    <cellStyle name="Separador de milhares 3 2 9 8 2" xfId="7307" xr:uid="{00000000-0005-0000-0000-000046790000}"/>
    <cellStyle name="Separador de milhares 3 2 9 8 2 2" xfId="10451" xr:uid="{00000000-0005-0000-0000-000047790000}"/>
    <cellStyle name="Separador de milhares 3 2 9 8 2 2 2" xfId="28665" xr:uid="{00000000-0005-0000-0000-000048790000}"/>
    <cellStyle name="Separador de milhares 3 2 9 8 2 2 2 2" xfId="54846" xr:uid="{00000000-0005-0000-0000-000049790000}"/>
    <cellStyle name="Separador de milhares 3 2 9 8 2 2 3" xfId="22751" xr:uid="{00000000-0005-0000-0000-00004A790000}"/>
    <cellStyle name="Separador de milhares 3 2 9 8 2 2 3 2" xfId="48938" xr:uid="{00000000-0005-0000-0000-00004B790000}"/>
    <cellStyle name="Separador de milhares 3 2 9 8 2 2 4" xfId="16837" xr:uid="{00000000-0005-0000-0000-00004C790000}"/>
    <cellStyle name="Separador de milhares 3 2 9 8 2 2 4 2" xfId="43030" xr:uid="{00000000-0005-0000-0000-00004D790000}"/>
    <cellStyle name="Separador de milhares 3 2 9 8 2 2 5" xfId="36644" xr:uid="{00000000-0005-0000-0000-00004E790000}"/>
    <cellStyle name="Separador de milhares 3 2 9 8 2 3" xfId="25708" xr:uid="{00000000-0005-0000-0000-00004F790000}"/>
    <cellStyle name="Separador de milhares 3 2 9 8 2 3 2" xfId="51892" xr:uid="{00000000-0005-0000-0000-000050790000}"/>
    <cellStyle name="Separador de milhares 3 2 9 8 2 4" xfId="19794" xr:uid="{00000000-0005-0000-0000-000051790000}"/>
    <cellStyle name="Separador de milhares 3 2 9 8 2 4 2" xfId="45984" xr:uid="{00000000-0005-0000-0000-000052790000}"/>
    <cellStyle name="Separador de milhares 3 2 9 8 2 5" xfId="13696" xr:uid="{00000000-0005-0000-0000-000053790000}"/>
    <cellStyle name="Separador de milhares 3 2 9 8 2 5 2" xfId="39889" xr:uid="{00000000-0005-0000-0000-000054790000}"/>
    <cellStyle name="Separador de milhares 3 2 9 8 2 6" xfId="33503" xr:uid="{00000000-0005-0000-0000-000055790000}"/>
    <cellStyle name="Separador de milhares 3 2 9 8 3" xfId="8983" xr:uid="{00000000-0005-0000-0000-000056790000}"/>
    <cellStyle name="Separador de milhares 3 2 9 8 3 2" xfId="27197" xr:uid="{00000000-0005-0000-0000-000057790000}"/>
    <cellStyle name="Separador de milhares 3 2 9 8 3 2 2" xfId="53378" xr:uid="{00000000-0005-0000-0000-000058790000}"/>
    <cellStyle name="Separador de milhares 3 2 9 8 3 3" xfId="21283" xr:uid="{00000000-0005-0000-0000-000059790000}"/>
    <cellStyle name="Separador de milhares 3 2 9 8 3 3 2" xfId="47470" xr:uid="{00000000-0005-0000-0000-00005A790000}"/>
    <cellStyle name="Separador de milhares 3 2 9 8 3 4" xfId="15369" xr:uid="{00000000-0005-0000-0000-00005B790000}"/>
    <cellStyle name="Separador de milhares 3 2 9 8 3 4 2" xfId="41562" xr:uid="{00000000-0005-0000-0000-00005C790000}"/>
    <cellStyle name="Separador de milhares 3 2 9 8 3 5" xfId="35176" xr:uid="{00000000-0005-0000-0000-00005D790000}"/>
    <cellStyle name="Separador de milhares 3 2 9 8 4" xfId="5608" xr:uid="{00000000-0005-0000-0000-00005E790000}"/>
    <cellStyle name="Separador de milhares 3 2 9 8 4 2" xfId="24240" xr:uid="{00000000-0005-0000-0000-00005F790000}"/>
    <cellStyle name="Separador de milhares 3 2 9 8 4 2 2" xfId="50424" xr:uid="{00000000-0005-0000-0000-000060790000}"/>
    <cellStyle name="Separador de milhares 3 2 9 8 4 3" xfId="31804" xr:uid="{00000000-0005-0000-0000-000061790000}"/>
    <cellStyle name="Separador de milhares 3 2 9 8 5" xfId="18326" xr:uid="{00000000-0005-0000-0000-000062790000}"/>
    <cellStyle name="Separador de milhares 3 2 9 8 5 2" xfId="44516" xr:uid="{00000000-0005-0000-0000-000063790000}"/>
    <cellStyle name="Separador de milhares 3 2 9 8 6" xfId="11995" xr:uid="{00000000-0005-0000-0000-000064790000}"/>
    <cellStyle name="Separador de milhares 3 2 9 8 6 2" xfId="38188" xr:uid="{00000000-0005-0000-0000-000065790000}"/>
    <cellStyle name="Separador de milhares 3 2 9 8 7" xfId="30106" xr:uid="{00000000-0005-0000-0000-000066790000}"/>
    <cellStyle name="Separador de milhares 3 2 9 9" xfId="3677" xr:uid="{00000000-0005-0000-0000-000067790000}"/>
    <cellStyle name="Separador de milhares 3 2 9 9 2" xfId="7454" xr:uid="{00000000-0005-0000-0000-000068790000}"/>
    <cellStyle name="Separador de milhares 3 2 9 9 2 2" xfId="10598" xr:uid="{00000000-0005-0000-0000-000069790000}"/>
    <cellStyle name="Separador de milhares 3 2 9 9 2 2 2" xfId="28812" xr:uid="{00000000-0005-0000-0000-00006A790000}"/>
    <cellStyle name="Separador de milhares 3 2 9 9 2 2 2 2" xfId="54993" xr:uid="{00000000-0005-0000-0000-00006B790000}"/>
    <cellStyle name="Separador de milhares 3 2 9 9 2 2 3" xfId="22898" xr:uid="{00000000-0005-0000-0000-00006C790000}"/>
    <cellStyle name="Separador de milhares 3 2 9 9 2 2 3 2" xfId="49085" xr:uid="{00000000-0005-0000-0000-00006D790000}"/>
    <cellStyle name="Separador de milhares 3 2 9 9 2 2 4" xfId="16984" xr:uid="{00000000-0005-0000-0000-00006E790000}"/>
    <cellStyle name="Separador de milhares 3 2 9 9 2 2 4 2" xfId="43177" xr:uid="{00000000-0005-0000-0000-00006F790000}"/>
    <cellStyle name="Separador de milhares 3 2 9 9 2 2 5" xfId="36791" xr:uid="{00000000-0005-0000-0000-000070790000}"/>
    <cellStyle name="Separador de milhares 3 2 9 9 2 3" xfId="25855" xr:uid="{00000000-0005-0000-0000-000071790000}"/>
    <cellStyle name="Separador de milhares 3 2 9 9 2 3 2" xfId="52039" xr:uid="{00000000-0005-0000-0000-000072790000}"/>
    <cellStyle name="Separador de milhares 3 2 9 9 2 4" xfId="19941" xr:uid="{00000000-0005-0000-0000-000073790000}"/>
    <cellStyle name="Separador de milhares 3 2 9 9 2 4 2" xfId="46131" xr:uid="{00000000-0005-0000-0000-000074790000}"/>
    <cellStyle name="Separador de milhares 3 2 9 9 2 5" xfId="13843" xr:uid="{00000000-0005-0000-0000-000075790000}"/>
    <cellStyle name="Separador de milhares 3 2 9 9 2 5 2" xfId="40036" xr:uid="{00000000-0005-0000-0000-000076790000}"/>
    <cellStyle name="Separador de milhares 3 2 9 9 2 6" xfId="33650" xr:uid="{00000000-0005-0000-0000-000077790000}"/>
    <cellStyle name="Separador de milhares 3 2 9 9 3" xfId="9130" xr:uid="{00000000-0005-0000-0000-000078790000}"/>
    <cellStyle name="Separador de milhares 3 2 9 9 3 2" xfId="27344" xr:uid="{00000000-0005-0000-0000-000079790000}"/>
    <cellStyle name="Separador de milhares 3 2 9 9 3 2 2" xfId="53525" xr:uid="{00000000-0005-0000-0000-00007A790000}"/>
    <cellStyle name="Separador de milhares 3 2 9 9 3 3" xfId="21430" xr:uid="{00000000-0005-0000-0000-00007B790000}"/>
    <cellStyle name="Separador de milhares 3 2 9 9 3 3 2" xfId="47617" xr:uid="{00000000-0005-0000-0000-00007C790000}"/>
    <cellStyle name="Separador de milhares 3 2 9 9 3 4" xfId="15516" xr:uid="{00000000-0005-0000-0000-00007D790000}"/>
    <cellStyle name="Separador de milhares 3 2 9 9 3 4 2" xfId="41709" xr:uid="{00000000-0005-0000-0000-00007E790000}"/>
    <cellStyle name="Separador de milhares 3 2 9 9 3 5" xfId="35323" xr:uid="{00000000-0005-0000-0000-00007F790000}"/>
    <cellStyle name="Separador de milhares 3 2 9 9 4" xfId="5755" xr:uid="{00000000-0005-0000-0000-000080790000}"/>
    <cellStyle name="Separador de milhares 3 2 9 9 4 2" xfId="24387" xr:uid="{00000000-0005-0000-0000-000081790000}"/>
    <cellStyle name="Separador de milhares 3 2 9 9 4 2 2" xfId="50571" xr:uid="{00000000-0005-0000-0000-000082790000}"/>
    <cellStyle name="Separador de milhares 3 2 9 9 4 3" xfId="31951" xr:uid="{00000000-0005-0000-0000-000083790000}"/>
    <cellStyle name="Separador de milhares 3 2 9 9 5" xfId="18473" xr:uid="{00000000-0005-0000-0000-000084790000}"/>
    <cellStyle name="Separador de milhares 3 2 9 9 5 2" xfId="44663" xr:uid="{00000000-0005-0000-0000-000085790000}"/>
    <cellStyle name="Separador de milhares 3 2 9 9 6" xfId="12142" xr:uid="{00000000-0005-0000-0000-000086790000}"/>
    <cellStyle name="Separador de milhares 3 2 9 9 6 2" xfId="38335" xr:uid="{00000000-0005-0000-0000-000087790000}"/>
    <cellStyle name="Separador de milhares 3 2 9 9 7" xfId="30253" xr:uid="{00000000-0005-0000-0000-000088790000}"/>
    <cellStyle name="Separador de milhares 3 20" xfId="687" xr:uid="{00000000-0005-0000-0000-000089790000}"/>
    <cellStyle name="Separador de milhares 3 20 2" xfId="4111" xr:uid="{00000000-0005-0000-0000-00008A790000}"/>
    <cellStyle name="Separador de milhares 3 20 2 2" xfId="7575" xr:uid="{00000000-0005-0000-0000-00008B790000}"/>
    <cellStyle name="Separador de milhares 3 20 2 2 2" xfId="10719" xr:uid="{00000000-0005-0000-0000-00008C790000}"/>
    <cellStyle name="Separador de milhares 3 20 2 2 2 2" xfId="28933" xr:uid="{00000000-0005-0000-0000-00008D790000}"/>
    <cellStyle name="Separador de milhares 3 20 2 2 2 2 2" xfId="55114" xr:uid="{00000000-0005-0000-0000-00008E790000}"/>
    <cellStyle name="Separador de milhares 3 20 2 2 2 3" xfId="23019" xr:uid="{00000000-0005-0000-0000-00008F790000}"/>
    <cellStyle name="Separador de milhares 3 20 2 2 2 3 2" xfId="49206" xr:uid="{00000000-0005-0000-0000-000090790000}"/>
    <cellStyle name="Separador de milhares 3 20 2 2 2 4" xfId="17105" xr:uid="{00000000-0005-0000-0000-000091790000}"/>
    <cellStyle name="Separador de milhares 3 20 2 2 2 4 2" xfId="43298" xr:uid="{00000000-0005-0000-0000-000092790000}"/>
    <cellStyle name="Separador de milhares 3 20 2 2 2 5" xfId="36912" xr:uid="{00000000-0005-0000-0000-000093790000}"/>
    <cellStyle name="Separador de milhares 3 20 2 2 3" xfId="25976" xr:uid="{00000000-0005-0000-0000-000094790000}"/>
    <cellStyle name="Separador de milhares 3 20 2 2 3 2" xfId="52160" xr:uid="{00000000-0005-0000-0000-000095790000}"/>
    <cellStyle name="Separador de milhares 3 20 2 2 4" xfId="20062" xr:uid="{00000000-0005-0000-0000-000096790000}"/>
    <cellStyle name="Separador de milhares 3 20 2 2 4 2" xfId="46252" xr:uid="{00000000-0005-0000-0000-000097790000}"/>
    <cellStyle name="Separador de milhares 3 20 2 2 5" xfId="13964" xr:uid="{00000000-0005-0000-0000-000098790000}"/>
    <cellStyle name="Separador de milhares 3 20 2 2 5 2" xfId="40157" xr:uid="{00000000-0005-0000-0000-000099790000}"/>
    <cellStyle name="Separador de milhares 3 20 2 2 6" xfId="33771" xr:uid="{00000000-0005-0000-0000-00009A790000}"/>
    <cellStyle name="Separador de milhares 3 20 2 3" xfId="9251" xr:uid="{00000000-0005-0000-0000-00009B790000}"/>
    <cellStyle name="Separador de milhares 3 20 2 3 2" xfId="27465" xr:uid="{00000000-0005-0000-0000-00009C790000}"/>
    <cellStyle name="Separador de milhares 3 20 2 3 2 2" xfId="53646" xr:uid="{00000000-0005-0000-0000-00009D790000}"/>
    <cellStyle name="Separador de milhares 3 20 2 3 3" xfId="21551" xr:uid="{00000000-0005-0000-0000-00009E790000}"/>
    <cellStyle name="Separador de milhares 3 20 2 3 3 2" xfId="47738" xr:uid="{00000000-0005-0000-0000-00009F790000}"/>
    <cellStyle name="Separador de milhares 3 20 2 3 4" xfId="15637" xr:uid="{00000000-0005-0000-0000-0000A0790000}"/>
    <cellStyle name="Separador de milhares 3 20 2 3 4 2" xfId="41830" xr:uid="{00000000-0005-0000-0000-0000A1790000}"/>
    <cellStyle name="Separador de milhares 3 20 2 3 5" xfId="35444" xr:uid="{00000000-0005-0000-0000-0000A2790000}"/>
    <cellStyle name="Separador de milhares 3 20 2 4" xfId="5876" xr:uid="{00000000-0005-0000-0000-0000A3790000}"/>
    <cellStyle name="Separador de milhares 3 20 2 4 2" xfId="24508" xr:uid="{00000000-0005-0000-0000-0000A4790000}"/>
    <cellStyle name="Separador de milhares 3 20 2 4 2 2" xfId="50692" xr:uid="{00000000-0005-0000-0000-0000A5790000}"/>
    <cellStyle name="Separador de milhares 3 20 2 4 3" xfId="32072" xr:uid="{00000000-0005-0000-0000-0000A6790000}"/>
    <cellStyle name="Separador de milhares 3 20 2 5" xfId="18594" xr:uid="{00000000-0005-0000-0000-0000A7790000}"/>
    <cellStyle name="Separador de milhares 3 20 2 5 2" xfId="44784" xr:uid="{00000000-0005-0000-0000-0000A8790000}"/>
    <cellStyle name="Separador de milhares 3 20 2 6" xfId="12263" xr:uid="{00000000-0005-0000-0000-0000A9790000}"/>
    <cellStyle name="Separador de milhares 3 20 2 6 2" xfId="38456" xr:uid="{00000000-0005-0000-0000-0000AA790000}"/>
    <cellStyle name="Separador de milhares 3 20 2 7" xfId="30374" xr:uid="{00000000-0005-0000-0000-0000AB790000}"/>
    <cellStyle name="Separador de milhares 3 20 3" xfId="6620" xr:uid="{00000000-0005-0000-0000-0000AC790000}"/>
    <cellStyle name="Separador de milhares 3 20 3 2" xfId="9767" xr:uid="{00000000-0005-0000-0000-0000AD790000}"/>
    <cellStyle name="Separador de milhares 3 20 3 2 2" xfId="27981" xr:uid="{00000000-0005-0000-0000-0000AE790000}"/>
    <cellStyle name="Separador de milhares 3 20 3 2 2 2" xfId="54162" xr:uid="{00000000-0005-0000-0000-0000AF790000}"/>
    <cellStyle name="Separador de milhares 3 20 3 2 3" xfId="22067" xr:uid="{00000000-0005-0000-0000-0000B0790000}"/>
    <cellStyle name="Separador de milhares 3 20 3 2 3 2" xfId="48254" xr:uid="{00000000-0005-0000-0000-0000B1790000}"/>
    <cellStyle name="Separador de milhares 3 20 3 2 4" xfId="16153" xr:uid="{00000000-0005-0000-0000-0000B2790000}"/>
    <cellStyle name="Separador de milhares 3 20 3 2 4 2" xfId="42346" xr:uid="{00000000-0005-0000-0000-0000B3790000}"/>
    <cellStyle name="Separador de milhares 3 20 3 2 5" xfId="35960" xr:uid="{00000000-0005-0000-0000-0000B4790000}"/>
    <cellStyle name="Separador de milhares 3 20 3 3" xfId="25024" xr:uid="{00000000-0005-0000-0000-0000B5790000}"/>
    <cellStyle name="Separador de milhares 3 20 3 3 2" xfId="51208" xr:uid="{00000000-0005-0000-0000-0000B6790000}"/>
    <cellStyle name="Separador de milhares 3 20 3 4" xfId="19110" xr:uid="{00000000-0005-0000-0000-0000B7790000}"/>
    <cellStyle name="Separador de milhares 3 20 3 4 2" xfId="45300" xr:uid="{00000000-0005-0000-0000-0000B8790000}"/>
    <cellStyle name="Separador de milhares 3 20 3 5" xfId="13009" xr:uid="{00000000-0005-0000-0000-0000B9790000}"/>
    <cellStyle name="Separador de milhares 3 20 3 5 2" xfId="39202" xr:uid="{00000000-0005-0000-0000-0000BA790000}"/>
    <cellStyle name="Separador de milhares 3 20 3 6" xfId="32816" xr:uid="{00000000-0005-0000-0000-0000BB790000}"/>
    <cellStyle name="Separador de milhares 3 20 4" xfId="8299" xr:uid="{00000000-0005-0000-0000-0000BC790000}"/>
    <cellStyle name="Separador de milhares 3 20 4 2" xfId="26513" xr:uid="{00000000-0005-0000-0000-0000BD790000}"/>
    <cellStyle name="Separador de milhares 3 20 4 2 2" xfId="52694" xr:uid="{00000000-0005-0000-0000-0000BE790000}"/>
    <cellStyle name="Separador de milhares 3 20 4 3" xfId="20599" xr:uid="{00000000-0005-0000-0000-0000BF790000}"/>
    <cellStyle name="Separador de milhares 3 20 4 3 2" xfId="46786" xr:uid="{00000000-0005-0000-0000-0000C0790000}"/>
    <cellStyle name="Separador de milhares 3 20 4 4" xfId="14685" xr:uid="{00000000-0005-0000-0000-0000C1790000}"/>
    <cellStyle name="Separador de milhares 3 20 4 4 2" xfId="40878" xr:uid="{00000000-0005-0000-0000-0000C2790000}"/>
    <cellStyle name="Separador de milhares 3 20 4 5" xfId="34492" xr:uid="{00000000-0005-0000-0000-0000C3790000}"/>
    <cellStyle name="Separador de milhares 3 20 5" xfId="4921" xr:uid="{00000000-0005-0000-0000-0000C4790000}"/>
    <cellStyle name="Separador de milhares 3 20 5 2" xfId="23556" xr:uid="{00000000-0005-0000-0000-0000C5790000}"/>
    <cellStyle name="Separador de milhares 3 20 5 2 2" xfId="49740" xr:uid="{00000000-0005-0000-0000-0000C6790000}"/>
    <cellStyle name="Separador de milhares 3 20 5 3" xfId="31117" xr:uid="{00000000-0005-0000-0000-0000C7790000}"/>
    <cellStyle name="Separador de milhares 3 20 6" xfId="17642" xr:uid="{00000000-0005-0000-0000-0000C8790000}"/>
    <cellStyle name="Separador de milhares 3 20 6 2" xfId="43832" xr:uid="{00000000-0005-0000-0000-0000C9790000}"/>
    <cellStyle name="Separador de milhares 3 20 7" xfId="11308" xr:uid="{00000000-0005-0000-0000-0000CA790000}"/>
    <cellStyle name="Separador de milhares 3 20 7 2" xfId="37501" xr:uid="{00000000-0005-0000-0000-0000CB790000}"/>
    <cellStyle name="Separador de milhares 3 20 8" xfId="29419" xr:uid="{00000000-0005-0000-0000-0000CC790000}"/>
    <cellStyle name="Separador de milhares 3 21" xfId="1038" xr:uid="{00000000-0005-0000-0000-0000CD790000}"/>
    <cellStyle name="Separador de milhares 3 21 2" xfId="6718" xr:uid="{00000000-0005-0000-0000-0000CE790000}"/>
    <cellStyle name="Separador de milhares 3 21 2 2" xfId="9865" xr:uid="{00000000-0005-0000-0000-0000CF790000}"/>
    <cellStyle name="Separador de milhares 3 21 2 2 2" xfId="28079" xr:uid="{00000000-0005-0000-0000-0000D0790000}"/>
    <cellStyle name="Separador de milhares 3 21 2 2 2 2" xfId="54260" xr:uid="{00000000-0005-0000-0000-0000D1790000}"/>
    <cellStyle name="Separador de milhares 3 21 2 2 3" xfId="22165" xr:uid="{00000000-0005-0000-0000-0000D2790000}"/>
    <cellStyle name="Separador de milhares 3 21 2 2 3 2" xfId="48352" xr:uid="{00000000-0005-0000-0000-0000D3790000}"/>
    <cellStyle name="Separador de milhares 3 21 2 2 4" xfId="16251" xr:uid="{00000000-0005-0000-0000-0000D4790000}"/>
    <cellStyle name="Separador de milhares 3 21 2 2 4 2" xfId="42444" xr:uid="{00000000-0005-0000-0000-0000D5790000}"/>
    <cellStyle name="Separador de milhares 3 21 2 2 5" xfId="36058" xr:uid="{00000000-0005-0000-0000-0000D6790000}"/>
    <cellStyle name="Separador de milhares 3 21 2 3" xfId="25122" xr:uid="{00000000-0005-0000-0000-0000D7790000}"/>
    <cellStyle name="Separador de milhares 3 21 2 3 2" xfId="51306" xr:uid="{00000000-0005-0000-0000-0000D8790000}"/>
    <cellStyle name="Separador de milhares 3 21 2 4" xfId="19208" xr:uid="{00000000-0005-0000-0000-0000D9790000}"/>
    <cellStyle name="Separador de milhares 3 21 2 4 2" xfId="45398" xr:uid="{00000000-0005-0000-0000-0000DA790000}"/>
    <cellStyle name="Separador de milhares 3 21 2 5" xfId="13107" xr:uid="{00000000-0005-0000-0000-0000DB790000}"/>
    <cellStyle name="Separador de milhares 3 21 2 5 2" xfId="39300" xr:uid="{00000000-0005-0000-0000-0000DC790000}"/>
    <cellStyle name="Separador de milhares 3 21 2 6" xfId="32914" xr:uid="{00000000-0005-0000-0000-0000DD790000}"/>
    <cellStyle name="Separador de milhares 3 21 3" xfId="8397" xr:uid="{00000000-0005-0000-0000-0000DE790000}"/>
    <cellStyle name="Separador de milhares 3 21 3 2" xfId="26611" xr:uid="{00000000-0005-0000-0000-0000DF790000}"/>
    <cellStyle name="Separador de milhares 3 21 3 2 2" xfId="52792" xr:uid="{00000000-0005-0000-0000-0000E0790000}"/>
    <cellStyle name="Separador de milhares 3 21 3 3" xfId="20697" xr:uid="{00000000-0005-0000-0000-0000E1790000}"/>
    <cellStyle name="Separador de milhares 3 21 3 3 2" xfId="46884" xr:uid="{00000000-0005-0000-0000-0000E2790000}"/>
    <cellStyle name="Separador de milhares 3 21 3 4" xfId="14783" xr:uid="{00000000-0005-0000-0000-0000E3790000}"/>
    <cellStyle name="Separador de milhares 3 21 3 4 2" xfId="40976" xr:uid="{00000000-0005-0000-0000-0000E4790000}"/>
    <cellStyle name="Separador de milhares 3 21 3 5" xfId="34590" xr:uid="{00000000-0005-0000-0000-0000E5790000}"/>
    <cellStyle name="Separador de milhares 3 21 4" xfId="5019" xr:uid="{00000000-0005-0000-0000-0000E6790000}"/>
    <cellStyle name="Separador de milhares 3 21 4 2" xfId="23654" xr:uid="{00000000-0005-0000-0000-0000E7790000}"/>
    <cellStyle name="Separador de milhares 3 21 4 2 2" xfId="49838" xr:uid="{00000000-0005-0000-0000-0000E8790000}"/>
    <cellStyle name="Separador de milhares 3 21 4 3" xfId="31215" xr:uid="{00000000-0005-0000-0000-0000E9790000}"/>
    <cellStyle name="Separador de milhares 3 21 5" xfId="17740" xr:uid="{00000000-0005-0000-0000-0000EA790000}"/>
    <cellStyle name="Separador de milhares 3 21 5 2" xfId="43930" xr:uid="{00000000-0005-0000-0000-0000EB790000}"/>
    <cellStyle name="Separador de milhares 3 21 6" xfId="11406" xr:uid="{00000000-0005-0000-0000-0000EC790000}"/>
    <cellStyle name="Separador de milhares 3 21 6 2" xfId="37599" xr:uid="{00000000-0005-0000-0000-0000ED790000}"/>
    <cellStyle name="Separador de milhares 3 21 7" xfId="29517" xr:uid="{00000000-0005-0000-0000-0000EE790000}"/>
    <cellStyle name="Separador de milhares 3 22" xfId="1473" xr:uid="{00000000-0005-0000-0000-0000EF790000}"/>
    <cellStyle name="Separador de milhares 3 22 2" xfId="6837" xr:uid="{00000000-0005-0000-0000-0000F0790000}"/>
    <cellStyle name="Separador de milhares 3 22 2 2" xfId="9984" xr:uid="{00000000-0005-0000-0000-0000F1790000}"/>
    <cellStyle name="Separador de milhares 3 22 2 2 2" xfId="28198" xr:uid="{00000000-0005-0000-0000-0000F2790000}"/>
    <cellStyle name="Separador de milhares 3 22 2 2 2 2" xfId="54379" xr:uid="{00000000-0005-0000-0000-0000F3790000}"/>
    <cellStyle name="Separador de milhares 3 22 2 2 3" xfId="22284" xr:uid="{00000000-0005-0000-0000-0000F4790000}"/>
    <cellStyle name="Separador de milhares 3 22 2 2 3 2" xfId="48471" xr:uid="{00000000-0005-0000-0000-0000F5790000}"/>
    <cellStyle name="Separador de milhares 3 22 2 2 4" xfId="16370" xr:uid="{00000000-0005-0000-0000-0000F6790000}"/>
    <cellStyle name="Separador de milhares 3 22 2 2 4 2" xfId="42563" xr:uid="{00000000-0005-0000-0000-0000F7790000}"/>
    <cellStyle name="Separador de milhares 3 22 2 2 5" xfId="36177" xr:uid="{00000000-0005-0000-0000-0000F8790000}"/>
    <cellStyle name="Separador de milhares 3 22 2 3" xfId="25241" xr:uid="{00000000-0005-0000-0000-0000F9790000}"/>
    <cellStyle name="Separador de milhares 3 22 2 3 2" xfId="51425" xr:uid="{00000000-0005-0000-0000-0000FA790000}"/>
    <cellStyle name="Separador de milhares 3 22 2 4" xfId="19327" xr:uid="{00000000-0005-0000-0000-0000FB790000}"/>
    <cellStyle name="Separador de milhares 3 22 2 4 2" xfId="45517" xr:uid="{00000000-0005-0000-0000-0000FC790000}"/>
    <cellStyle name="Separador de milhares 3 22 2 5" xfId="13226" xr:uid="{00000000-0005-0000-0000-0000FD790000}"/>
    <cellStyle name="Separador de milhares 3 22 2 5 2" xfId="39419" xr:uid="{00000000-0005-0000-0000-0000FE790000}"/>
    <cellStyle name="Separador de milhares 3 22 2 6" xfId="33033" xr:uid="{00000000-0005-0000-0000-0000FF790000}"/>
    <cellStyle name="Separador de milhares 3 22 3" xfId="8516" xr:uid="{00000000-0005-0000-0000-0000007A0000}"/>
    <cellStyle name="Separador de milhares 3 22 3 2" xfId="26730" xr:uid="{00000000-0005-0000-0000-0000017A0000}"/>
    <cellStyle name="Separador de milhares 3 22 3 2 2" xfId="52911" xr:uid="{00000000-0005-0000-0000-0000027A0000}"/>
    <cellStyle name="Separador de milhares 3 22 3 3" xfId="20816" xr:uid="{00000000-0005-0000-0000-0000037A0000}"/>
    <cellStyle name="Separador de milhares 3 22 3 3 2" xfId="47003" xr:uid="{00000000-0005-0000-0000-0000047A0000}"/>
    <cellStyle name="Separador de milhares 3 22 3 4" xfId="14902" xr:uid="{00000000-0005-0000-0000-0000057A0000}"/>
    <cellStyle name="Separador de milhares 3 22 3 4 2" xfId="41095" xr:uid="{00000000-0005-0000-0000-0000067A0000}"/>
    <cellStyle name="Separador de milhares 3 22 3 5" xfId="34709" xr:uid="{00000000-0005-0000-0000-0000077A0000}"/>
    <cellStyle name="Separador de milhares 3 22 4" xfId="5138" xr:uid="{00000000-0005-0000-0000-0000087A0000}"/>
    <cellStyle name="Separador de milhares 3 22 4 2" xfId="23773" xr:uid="{00000000-0005-0000-0000-0000097A0000}"/>
    <cellStyle name="Separador de milhares 3 22 4 2 2" xfId="49957" xr:uid="{00000000-0005-0000-0000-00000A7A0000}"/>
    <cellStyle name="Separador de milhares 3 22 4 3" xfId="31334" xr:uid="{00000000-0005-0000-0000-00000B7A0000}"/>
    <cellStyle name="Separador de milhares 3 22 5" xfId="17859" xr:uid="{00000000-0005-0000-0000-00000C7A0000}"/>
    <cellStyle name="Separador de milhares 3 22 5 2" xfId="44049" xr:uid="{00000000-0005-0000-0000-00000D7A0000}"/>
    <cellStyle name="Separador de milhares 3 22 6" xfId="11525" xr:uid="{00000000-0005-0000-0000-00000E7A0000}"/>
    <cellStyle name="Separador de milhares 3 22 6 2" xfId="37718" xr:uid="{00000000-0005-0000-0000-00000F7A0000}"/>
    <cellStyle name="Separador de milhares 3 22 7" xfId="29636" xr:uid="{00000000-0005-0000-0000-0000107A0000}"/>
    <cellStyle name="Separador de milhares 3 23" xfId="2003" xr:uid="{00000000-0005-0000-0000-0000117A0000}"/>
    <cellStyle name="Separador de milhares 3 23 2" xfId="6987" xr:uid="{00000000-0005-0000-0000-0000127A0000}"/>
    <cellStyle name="Separador de milhares 3 23 2 2" xfId="10131" xr:uid="{00000000-0005-0000-0000-0000137A0000}"/>
    <cellStyle name="Separador de milhares 3 23 2 2 2" xfId="28345" xr:uid="{00000000-0005-0000-0000-0000147A0000}"/>
    <cellStyle name="Separador de milhares 3 23 2 2 2 2" xfId="54526" xr:uid="{00000000-0005-0000-0000-0000157A0000}"/>
    <cellStyle name="Separador de milhares 3 23 2 2 3" xfId="22431" xr:uid="{00000000-0005-0000-0000-0000167A0000}"/>
    <cellStyle name="Separador de milhares 3 23 2 2 3 2" xfId="48618" xr:uid="{00000000-0005-0000-0000-0000177A0000}"/>
    <cellStyle name="Separador de milhares 3 23 2 2 4" xfId="16517" xr:uid="{00000000-0005-0000-0000-0000187A0000}"/>
    <cellStyle name="Separador de milhares 3 23 2 2 4 2" xfId="42710" xr:uid="{00000000-0005-0000-0000-0000197A0000}"/>
    <cellStyle name="Separador de milhares 3 23 2 2 5" xfId="36324" xr:uid="{00000000-0005-0000-0000-00001A7A0000}"/>
    <cellStyle name="Separador de milhares 3 23 2 3" xfId="25388" xr:uid="{00000000-0005-0000-0000-00001B7A0000}"/>
    <cellStyle name="Separador de milhares 3 23 2 3 2" xfId="51572" xr:uid="{00000000-0005-0000-0000-00001C7A0000}"/>
    <cellStyle name="Separador de milhares 3 23 2 4" xfId="19474" xr:uid="{00000000-0005-0000-0000-00001D7A0000}"/>
    <cellStyle name="Separador de milhares 3 23 2 4 2" xfId="45664" xr:uid="{00000000-0005-0000-0000-00001E7A0000}"/>
    <cellStyle name="Separador de milhares 3 23 2 5" xfId="13376" xr:uid="{00000000-0005-0000-0000-00001F7A0000}"/>
    <cellStyle name="Separador de milhares 3 23 2 5 2" xfId="39569" xr:uid="{00000000-0005-0000-0000-0000207A0000}"/>
    <cellStyle name="Separador de milhares 3 23 2 6" xfId="33183" xr:uid="{00000000-0005-0000-0000-0000217A0000}"/>
    <cellStyle name="Separador de milhares 3 23 3" xfId="8663" xr:uid="{00000000-0005-0000-0000-0000227A0000}"/>
    <cellStyle name="Separador de milhares 3 23 3 2" xfId="26877" xr:uid="{00000000-0005-0000-0000-0000237A0000}"/>
    <cellStyle name="Separador de milhares 3 23 3 2 2" xfId="53058" xr:uid="{00000000-0005-0000-0000-0000247A0000}"/>
    <cellStyle name="Separador de milhares 3 23 3 3" xfId="20963" xr:uid="{00000000-0005-0000-0000-0000257A0000}"/>
    <cellStyle name="Separador de milhares 3 23 3 3 2" xfId="47150" xr:uid="{00000000-0005-0000-0000-0000267A0000}"/>
    <cellStyle name="Separador de milhares 3 23 3 4" xfId="15049" xr:uid="{00000000-0005-0000-0000-0000277A0000}"/>
    <cellStyle name="Separador de milhares 3 23 3 4 2" xfId="41242" xr:uid="{00000000-0005-0000-0000-0000287A0000}"/>
    <cellStyle name="Separador de milhares 3 23 3 5" xfId="34856" xr:uid="{00000000-0005-0000-0000-0000297A0000}"/>
    <cellStyle name="Separador de milhares 3 23 4" xfId="5288" xr:uid="{00000000-0005-0000-0000-00002A7A0000}"/>
    <cellStyle name="Separador de milhares 3 23 4 2" xfId="23920" xr:uid="{00000000-0005-0000-0000-00002B7A0000}"/>
    <cellStyle name="Separador de milhares 3 23 4 2 2" xfId="50104" xr:uid="{00000000-0005-0000-0000-00002C7A0000}"/>
    <cellStyle name="Separador de milhares 3 23 4 3" xfId="31484" xr:uid="{00000000-0005-0000-0000-00002D7A0000}"/>
    <cellStyle name="Separador de milhares 3 23 5" xfId="18006" xr:uid="{00000000-0005-0000-0000-00002E7A0000}"/>
    <cellStyle name="Separador de milhares 3 23 5 2" xfId="44196" xr:uid="{00000000-0005-0000-0000-00002F7A0000}"/>
    <cellStyle name="Separador de milhares 3 23 6" xfId="11675" xr:uid="{00000000-0005-0000-0000-0000307A0000}"/>
    <cellStyle name="Separador de milhares 3 23 6 2" xfId="37868" xr:uid="{00000000-0005-0000-0000-0000317A0000}"/>
    <cellStyle name="Separador de milhares 3 23 7" xfId="29786" xr:uid="{00000000-0005-0000-0000-0000327A0000}"/>
    <cellStyle name="Separador de milhares 3 24" xfId="2530" xr:uid="{00000000-0005-0000-0000-0000337A0000}"/>
    <cellStyle name="Separador de milhares 3 24 2" xfId="7134" xr:uid="{00000000-0005-0000-0000-0000347A0000}"/>
    <cellStyle name="Separador de milhares 3 24 2 2" xfId="10278" xr:uid="{00000000-0005-0000-0000-0000357A0000}"/>
    <cellStyle name="Separador de milhares 3 24 2 2 2" xfId="28492" xr:uid="{00000000-0005-0000-0000-0000367A0000}"/>
    <cellStyle name="Separador de milhares 3 24 2 2 2 2" xfId="54673" xr:uid="{00000000-0005-0000-0000-0000377A0000}"/>
    <cellStyle name="Separador de milhares 3 24 2 2 3" xfId="22578" xr:uid="{00000000-0005-0000-0000-0000387A0000}"/>
    <cellStyle name="Separador de milhares 3 24 2 2 3 2" xfId="48765" xr:uid="{00000000-0005-0000-0000-0000397A0000}"/>
    <cellStyle name="Separador de milhares 3 24 2 2 4" xfId="16664" xr:uid="{00000000-0005-0000-0000-00003A7A0000}"/>
    <cellStyle name="Separador de milhares 3 24 2 2 4 2" xfId="42857" xr:uid="{00000000-0005-0000-0000-00003B7A0000}"/>
    <cellStyle name="Separador de milhares 3 24 2 2 5" xfId="36471" xr:uid="{00000000-0005-0000-0000-00003C7A0000}"/>
    <cellStyle name="Separador de milhares 3 24 2 3" xfId="25535" xr:uid="{00000000-0005-0000-0000-00003D7A0000}"/>
    <cellStyle name="Separador de milhares 3 24 2 3 2" xfId="51719" xr:uid="{00000000-0005-0000-0000-00003E7A0000}"/>
    <cellStyle name="Separador de milhares 3 24 2 4" xfId="19621" xr:uid="{00000000-0005-0000-0000-00003F7A0000}"/>
    <cellStyle name="Separador de milhares 3 24 2 4 2" xfId="45811" xr:uid="{00000000-0005-0000-0000-0000407A0000}"/>
    <cellStyle name="Separador de milhares 3 24 2 5" xfId="13523" xr:uid="{00000000-0005-0000-0000-0000417A0000}"/>
    <cellStyle name="Separador de milhares 3 24 2 5 2" xfId="39716" xr:uid="{00000000-0005-0000-0000-0000427A0000}"/>
    <cellStyle name="Separador de milhares 3 24 2 6" xfId="33330" xr:uid="{00000000-0005-0000-0000-0000437A0000}"/>
    <cellStyle name="Separador de milhares 3 24 3" xfId="8810" xr:uid="{00000000-0005-0000-0000-0000447A0000}"/>
    <cellStyle name="Separador de milhares 3 24 3 2" xfId="27024" xr:uid="{00000000-0005-0000-0000-0000457A0000}"/>
    <cellStyle name="Separador de milhares 3 24 3 2 2" xfId="53205" xr:uid="{00000000-0005-0000-0000-0000467A0000}"/>
    <cellStyle name="Separador de milhares 3 24 3 3" xfId="21110" xr:uid="{00000000-0005-0000-0000-0000477A0000}"/>
    <cellStyle name="Separador de milhares 3 24 3 3 2" xfId="47297" xr:uid="{00000000-0005-0000-0000-0000487A0000}"/>
    <cellStyle name="Separador de milhares 3 24 3 4" xfId="15196" xr:uid="{00000000-0005-0000-0000-0000497A0000}"/>
    <cellStyle name="Separador de milhares 3 24 3 4 2" xfId="41389" xr:uid="{00000000-0005-0000-0000-00004A7A0000}"/>
    <cellStyle name="Separador de milhares 3 24 3 5" xfId="35003" xr:uid="{00000000-0005-0000-0000-00004B7A0000}"/>
    <cellStyle name="Separador de milhares 3 24 4" xfId="5435" xr:uid="{00000000-0005-0000-0000-00004C7A0000}"/>
    <cellStyle name="Separador de milhares 3 24 4 2" xfId="24067" xr:uid="{00000000-0005-0000-0000-00004D7A0000}"/>
    <cellStyle name="Separador de milhares 3 24 4 2 2" xfId="50251" xr:uid="{00000000-0005-0000-0000-00004E7A0000}"/>
    <cellStyle name="Separador de milhares 3 24 4 3" xfId="31631" xr:uid="{00000000-0005-0000-0000-00004F7A0000}"/>
    <cellStyle name="Separador de milhares 3 24 5" xfId="18153" xr:uid="{00000000-0005-0000-0000-0000507A0000}"/>
    <cellStyle name="Separador de milhares 3 24 5 2" xfId="44343" xr:uid="{00000000-0005-0000-0000-0000517A0000}"/>
    <cellStyle name="Separador de milhares 3 24 6" xfId="11822" xr:uid="{00000000-0005-0000-0000-0000527A0000}"/>
    <cellStyle name="Separador de milhares 3 24 6 2" xfId="38015" xr:uid="{00000000-0005-0000-0000-0000537A0000}"/>
    <cellStyle name="Separador de milhares 3 24 7" xfId="29933" xr:uid="{00000000-0005-0000-0000-0000547A0000}"/>
    <cellStyle name="Separador de milhares 3 25" xfId="3057" xr:uid="{00000000-0005-0000-0000-0000557A0000}"/>
    <cellStyle name="Separador de milhares 3 25 2" xfId="7281" xr:uid="{00000000-0005-0000-0000-0000567A0000}"/>
    <cellStyle name="Separador de milhares 3 25 2 2" xfId="10425" xr:uid="{00000000-0005-0000-0000-0000577A0000}"/>
    <cellStyle name="Separador de milhares 3 25 2 2 2" xfId="28639" xr:uid="{00000000-0005-0000-0000-0000587A0000}"/>
    <cellStyle name="Separador de milhares 3 25 2 2 2 2" xfId="54820" xr:uid="{00000000-0005-0000-0000-0000597A0000}"/>
    <cellStyle name="Separador de milhares 3 25 2 2 3" xfId="22725" xr:uid="{00000000-0005-0000-0000-00005A7A0000}"/>
    <cellStyle name="Separador de milhares 3 25 2 2 3 2" xfId="48912" xr:uid="{00000000-0005-0000-0000-00005B7A0000}"/>
    <cellStyle name="Separador de milhares 3 25 2 2 4" xfId="16811" xr:uid="{00000000-0005-0000-0000-00005C7A0000}"/>
    <cellStyle name="Separador de milhares 3 25 2 2 4 2" xfId="43004" xr:uid="{00000000-0005-0000-0000-00005D7A0000}"/>
    <cellStyle name="Separador de milhares 3 25 2 2 5" xfId="36618" xr:uid="{00000000-0005-0000-0000-00005E7A0000}"/>
    <cellStyle name="Separador de milhares 3 25 2 3" xfId="25682" xr:uid="{00000000-0005-0000-0000-00005F7A0000}"/>
    <cellStyle name="Separador de milhares 3 25 2 3 2" xfId="51866" xr:uid="{00000000-0005-0000-0000-0000607A0000}"/>
    <cellStyle name="Separador de milhares 3 25 2 4" xfId="19768" xr:uid="{00000000-0005-0000-0000-0000617A0000}"/>
    <cellStyle name="Separador de milhares 3 25 2 4 2" xfId="45958" xr:uid="{00000000-0005-0000-0000-0000627A0000}"/>
    <cellStyle name="Separador de milhares 3 25 2 5" xfId="13670" xr:uid="{00000000-0005-0000-0000-0000637A0000}"/>
    <cellStyle name="Separador de milhares 3 25 2 5 2" xfId="39863" xr:uid="{00000000-0005-0000-0000-0000647A0000}"/>
    <cellStyle name="Separador de milhares 3 25 2 6" xfId="33477" xr:uid="{00000000-0005-0000-0000-0000657A0000}"/>
    <cellStyle name="Separador de milhares 3 25 3" xfId="8957" xr:uid="{00000000-0005-0000-0000-0000667A0000}"/>
    <cellStyle name="Separador de milhares 3 25 3 2" xfId="27171" xr:uid="{00000000-0005-0000-0000-0000677A0000}"/>
    <cellStyle name="Separador de milhares 3 25 3 2 2" xfId="53352" xr:uid="{00000000-0005-0000-0000-0000687A0000}"/>
    <cellStyle name="Separador de milhares 3 25 3 3" xfId="21257" xr:uid="{00000000-0005-0000-0000-0000697A0000}"/>
    <cellStyle name="Separador de milhares 3 25 3 3 2" xfId="47444" xr:uid="{00000000-0005-0000-0000-00006A7A0000}"/>
    <cellStyle name="Separador de milhares 3 25 3 4" xfId="15343" xr:uid="{00000000-0005-0000-0000-00006B7A0000}"/>
    <cellStyle name="Separador de milhares 3 25 3 4 2" xfId="41536" xr:uid="{00000000-0005-0000-0000-00006C7A0000}"/>
    <cellStyle name="Separador de milhares 3 25 3 5" xfId="35150" xr:uid="{00000000-0005-0000-0000-00006D7A0000}"/>
    <cellStyle name="Separador de milhares 3 25 4" xfId="5582" xr:uid="{00000000-0005-0000-0000-00006E7A0000}"/>
    <cellStyle name="Separador de milhares 3 25 4 2" xfId="24214" xr:uid="{00000000-0005-0000-0000-00006F7A0000}"/>
    <cellStyle name="Separador de milhares 3 25 4 2 2" xfId="50398" xr:uid="{00000000-0005-0000-0000-0000707A0000}"/>
    <cellStyle name="Separador de milhares 3 25 4 3" xfId="31778" xr:uid="{00000000-0005-0000-0000-0000717A0000}"/>
    <cellStyle name="Separador de milhares 3 25 5" xfId="18300" xr:uid="{00000000-0005-0000-0000-0000727A0000}"/>
    <cellStyle name="Separador de milhares 3 25 5 2" xfId="44490" xr:uid="{00000000-0005-0000-0000-0000737A0000}"/>
    <cellStyle name="Separador de milhares 3 25 6" xfId="11969" xr:uid="{00000000-0005-0000-0000-0000747A0000}"/>
    <cellStyle name="Separador de milhares 3 25 6 2" xfId="38162" xr:uid="{00000000-0005-0000-0000-0000757A0000}"/>
    <cellStyle name="Separador de milhares 3 25 7" xfId="30080" xr:uid="{00000000-0005-0000-0000-0000767A0000}"/>
    <cellStyle name="Separador de milhares 3 26" xfId="3584" xr:uid="{00000000-0005-0000-0000-0000777A0000}"/>
    <cellStyle name="Separador de milhares 3 26 2" xfId="7428" xr:uid="{00000000-0005-0000-0000-0000787A0000}"/>
    <cellStyle name="Separador de milhares 3 26 2 2" xfId="10572" xr:uid="{00000000-0005-0000-0000-0000797A0000}"/>
    <cellStyle name="Separador de milhares 3 26 2 2 2" xfId="28786" xr:uid="{00000000-0005-0000-0000-00007A7A0000}"/>
    <cellStyle name="Separador de milhares 3 26 2 2 2 2" xfId="54967" xr:uid="{00000000-0005-0000-0000-00007B7A0000}"/>
    <cellStyle name="Separador de milhares 3 26 2 2 3" xfId="22872" xr:uid="{00000000-0005-0000-0000-00007C7A0000}"/>
    <cellStyle name="Separador de milhares 3 26 2 2 3 2" xfId="49059" xr:uid="{00000000-0005-0000-0000-00007D7A0000}"/>
    <cellStyle name="Separador de milhares 3 26 2 2 4" xfId="16958" xr:uid="{00000000-0005-0000-0000-00007E7A0000}"/>
    <cellStyle name="Separador de milhares 3 26 2 2 4 2" xfId="43151" xr:uid="{00000000-0005-0000-0000-00007F7A0000}"/>
    <cellStyle name="Separador de milhares 3 26 2 2 5" xfId="36765" xr:uid="{00000000-0005-0000-0000-0000807A0000}"/>
    <cellStyle name="Separador de milhares 3 26 2 3" xfId="25829" xr:uid="{00000000-0005-0000-0000-0000817A0000}"/>
    <cellStyle name="Separador de milhares 3 26 2 3 2" xfId="52013" xr:uid="{00000000-0005-0000-0000-0000827A0000}"/>
    <cellStyle name="Separador de milhares 3 26 2 4" xfId="19915" xr:uid="{00000000-0005-0000-0000-0000837A0000}"/>
    <cellStyle name="Separador de milhares 3 26 2 4 2" xfId="46105" xr:uid="{00000000-0005-0000-0000-0000847A0000}"/>
    <cellStyle name="Separador de milhares 3 26 2 5" xfId="13817" xr:uid="{00000000-0005-0000-0000-0000857A0000}"/>
    <cellStyle name="Separador de milhares 3 26 2 5 2" xfId="40010" xr:uid="{00000000-0005-0000-0000-0000867A0000}"/>
    <cellStyle name="Separador de milhares 3 26 2 6" xfId="33624" xr:uid="{00000000-0005-0000-0000-0000877A0000}"/>
    <cellStyle name="Separador de milhares 3 26 3" xfId="9104" xr:uid="{00000000-0005-0000-0000-0000887A0000}"/>
    <cellStyle name="Separador de milhares 3 26 3 2" xfId="27318" xr:uid="{00000000-0005-0000-0000-0000897A0000}"/>
    <cellStyle name="Separador de milhares 3 26 3 2 2" xfId="53499" xr:uid="{00000000-0005-0000-0000-00008A7A0000}"/>
    <cellStyle name="Separador de milhares 3 26 3 3" xfId="21404" xr:uid="{00000000-0005-0000-0000-00008B7A0000}"/>
    <cellStyle name="Separador de milhares 3 26 3 3 2" xfId="47591" xr:uid="{00000000-0005-0000-0000-00008C7A0000}"/>
    <cellStyle name="Separador de milhares 3 26 3 4" xfId="15490" xr:uid="{00000000-0005-0000-0000-00008D7A0000}"/>
    <cellStyle name="Separador de milhares 3 26 3 4 2" xfId="41683" xr:uid="{00000000-0005-0000-0000-00008E7A0000}"/>
    <cellStyle name="Separador de milhares 3 26 3 5" xfId="35297" xr:uid="{00000000-0005-0000-0000-00008F7A0000}"/>
    <cellStyle name="Separador de milhares 3 26 4" xfId="5729" xr:uid="{00000000-0005-0000-0000-0000907A0000}"/>
    <cellStyle name="Separador de milhares 3 26 4 2" xfId="24361" xr:uid="{00000000-0005-0000-0000-0000917A0000}"/>
    <cellStyle name="Separador de milhares 3 26 4 2 2" xfId="50545" xr:uid="{00000000-0005-0000-0000-0000927A0000}"/>
    <cellStyle name="Separador de milhares 3 26 4 3" xfId="31925" xr:uid="{00000000-0005-0000-0000-0000937A0000}"/>
    <cellStyle name="Separador de milhares 3 26 5" xfId="18447" xr:uid="{00000000-0005-0000-0000-0000947A0000}"/>
    <cellStyle name="Separador de milhares 3 26 5 2" xfId="44637" xr:uid="{00000000-0005-0000-0000-0000957A0000}"/>
    <cellStyle name="Separador de milhares 3 26 6" xfId="12116" xr:uid="{00000000-0005-0000-0000-0000967A0000}"/>
    <cellStyle name="Separador de milhares 3 26 6 2" xfId="38309" xr:uid="{00000000-0005-0000-0000-0000977A0000}"/>
    <cellStyle name="Separador de milhares 3 26 7" xfId="30227" xr:uid="{00000000-0005-0000-0000-0000987A0000}"/>
    <cellStyle name="Separador de milhares 3 27" xfId="6412" xr:uid="{00000000-0005-0000-0000-0000997A0000}"/>
    <cellStyle name="Separador de milhares 3 27 2" xfId="9568" xr:uid="{00000000-0005-0000-0000-00009A7A0000}"/>
    <cellStyle name="Separador de milhares 3 27 2 2" xfId="27782" xr:uid="{00000000-0005-0000-0000-00009B7A0000}"/>
    <cellStyle name="Separador de milhares 3 27 2 2 2" xfId="53963" xr:uid="{00000000-0005-0000-0000-00009C7A0000}"/>
    <cellStyle name="Separador de milhares 3 27 2 3" xfId="21868" xr:uid="{00000000-0005-0000-0000-00009D7A0000}"/>
    <cellStyle name="Separador de milhares 3 27 2 3 2" xfId="48055" xr:uid="{00000000-0005-0000-0000-00009E7A0000}"/>
    <cellStyle name="Separador de milhares 3 27 2 4" xfId="15954" xr:uid="{00000000-0005-0000-0000-00009F7A0000}"/>
    <cellStyle name="Separador de milhares 3 27 2 4 2" xfId="42147" xr:uid="{00000000-0005-0000-0000-0000A07A0000}"/>
    <cellStyle name="Separador de milhares 3 27 2 5" xfId="35761" xr:uid="{00000000-0005-0000-0000-0000A17A0000}"/>
    <cellStyle name="Separador de milhares 3 27 3" xfId="24825" xr:uid="{00000000-0005-0000-0000-0000A27A0000}"/>
    <cellStyle name="Separador de milhares 3 27 3 2" xfId="51009" xr:uid="{00000000-0005-0000-0000-0000A37A0000}"/>
    <cellStyle name="Separador de milhares 3 27 4" xfId="18911" xr:uid="{00000000-0005-0000-0000-0000A47A0000}"/>
    <cellStyle name="Separador de milhares 3 27 4 2" xfId="45101" xr:uid="{00000000-0005-0000-0000-0000A57A0000}"/>
    <cellStyle name="Separador de milhares 3 27 5" xfId="12801" xr:uid="{00000000-0005-0000-0000-0000A67A0000}"/>
    <cellStyle name="Separador de milhares 3 27 5 2" xfId="38994" xr:uid="{00000000-0005-0000-0000-0000A77A0000}"/>
    <cellStyle name="Separador de milhares 3 27 6" xfId="32608" xr:uid="{00000000-0005-0000-0000-0000A87A0000}"/>
    <cellStyle name="Separador de milhares 3 28" xfId="8097" xr:uid="{00000000-0005-0000-0000-0000A97A0000}"/>
    <cellStyle name="Separador de milhares 3 28 2" xfId="26311" xr:uid="{00000000-0005-0000-0000-0000AA7A0000}"/>
    <cellStyle name="Separador de milhares 3 28 2 2" xfId="52495" xr:uid="{00000000-0005-0000-0000-0000AB7A0000}"/>
    <cellStyle name="Separador de milhares 3 28 3" xfId="20397" xr:uid="{00000000-0005-0000-0000-0000AC7A0000}"/>
    <cellStyle name="Separador de milhares 3 28 3 2" xfId="46587" xr:uid="{00000000-0005-0000-0000-0000AD7A0000}"/>
    <cellStyle name="Separador de milhares 3 28 4" xfId="14486" xr:uid="{00000000-0005-0000-0000-0000AE7A0000}"/>
    <cellStyle name="Separador de milhares 3 28 4 2" xfId="40679" xr:uid="{00000000-0005-0000-0000-0000AF7A0000}"/>
    <cellStyle name="Separador de milhares 3 28 5" xfId="34293" xr:uid="{00000000-0005-0000-0000-0000B07A0000}"/>
    <cellStyle name="Separador de milhares 3 29" xfId="4710" xr:uid="{00000000-0005-0000-0000-0000B17A0000}"/>
    <cellStyle name="Separador de milhares 3 29 2" xfId="23354" xr:uid="{00000000-0005-0000-0000-0000B27A0000}"/>
    <cellStyle name="Separador de milhares 3 29 2 2" xfId="49541" xr:uid="{00000000-0005-0000-0000-0000B37A0000}"/>
    <cellStyle name="Separador de milhares 3 29 3" xfId="30909" xr:uid="{00000000-0005-0000-0000-0000B47A0000}"/>
    <cellStyle name="Separador de milhares 3 3" xfId="43" xr:uid="{00000000-0005-0000-0000-0000B57A0000}"/>
    <cellStyle name="Separador de milhares 3 3 10" xfId="2546" xr:uid="{00000000-0005-0000-0000-0000B67A0000}"/>
    <cellStyle name="Separador de milhares 3 3 10 2" xfId="7138" xr:uid="{00000000-0005-0000-0000-0000B77A0000}"/>
    <cellStyle name="Separador de milhares 3 3 10 2 2" xfId="10282" xr:uid="{00000000-0005-0000-0000-0000B87A0000}"/>
    <cellStyle name="Separador de milhares 3 3 10 2 2 2" xfId="28496" xr:uid="{00000000-0005-0000-0000-0000B97A0000}"/>
    <cellStyle name="Separador de milhares 3 3 10 2 2 2 2" xfId="54677" xr:uid="{00000000-0005-0000-0000-0000BA7A0000}"/>
    <cellStyle name="Separador de milhares 3 3 10 2 2 3" xfId="22582" xr:uid="{00000000-0005-0000-0000-0000BB7A0000}"/>
    <cellStyle name="Separador de milhares 3 3 10 2 2 3 2" xfId="48769" xr:uid="{00000000-0005-0000-0000-0000BC7A0000}"/>
    <cellStyle name="Separador de milhares 3 3 10 2 2 4" xfId="16668" xr:uid="{00000000-0005-0000-0000-0000BD7A0000}"/>
    <cellStyle name="Separador de milhares 3 3 10 2 2 4 2" xfId="42861" xr:uid="{00000000-0005-0000-0000-0000BE7A0000}"/>
    <cellStyle name="Separador de milhares 3 3 10 2 2 5" xfId="36475" xr:uid="{00000000-0005-0000-0000-0000BF7A0000}"/>
    <cellStyle name="Separador de milhares 3 3 10 2 3" xfId="25539" xr:uid="{00000000-0005-0000-0000-0000C07A0000}"/>
    <cellStyle name="Separador de milhares 3 3 10 2 3 2" xfId="51723" xr:uid="{00000000-0005-0000-0000-0000C17A0000}"/>
    <cellStyle name="Separador de milhares 3 3 10 2 4" xfId="19625" xr:uid="{00000000-0005-0000-0000-0000C27A0000}"/>
    <cellStyle name="Separador de milhares 3 3 10 2 4 2" xfId="45815" xr:uid="{00000000-0005-0000-0000-0000C37A0000}"/>
    <cellStyle name="Separador de milhares 3 3 10 2 5" xfId="13527" xr:uid="{00000000-0005-0000-0000-0000C47A0000}"/>
    <cellStyle name="Separador de milhares 3 3 10 2 5 2" xfId="39720" xr:uid="{00000000-0005-0000-0000-0000C57A0000}"/>
    <cellStyle name="Separador de milhares 3 3 10 2 6" xfId="33334" xr:uid="{00000000-0005-0000-0000-0000C67A0000}"/>
    <cellStyle name="Separador de milhares 3 3 10 3" xfId="8814" xr:uid="{00000000-0005-0000-0000-0000C77A0000}"/>
    <cellStyle name="Separador de milhares 3 3 10 3 2" xfId="27028" xr:uid="{00000000-0005-0000-0000-0000C87A0000}"/>
    <cellStyle name="Separador de milhares 3 3 10 3 2 2" xfId="53209" xr:uid="{00000000-0005-0000-0000-0000C97A0000}"/>
    <cellStyle name="Separador de milhares 3 3 10 3 3" xfId="21114" xr:uid="{00000000-0005-0000-0000-0000CA7A0000}"/>
    <cellStyle name="Separador de milhares 3 3 10 3 3 2" xfId="47301" xr:uid="{00000000-0005-0000-0000-0000CB7A0000}"/>
    <cellStyle name="Separador de milhares 3 3 10 3 4" xfId="15200" xr:uid="{00000000-0005-0000-0000-0000CC7A0000}"/>
    <cellStyle name="Separador de milhares 3 3 10 3 4 2" xfId="41393" xr:uid="{00000000-0005-0000-0000-0000CD7A0000}"/>
    <cellStyle name="Separador de milhares 3 3 10 3 5" xfId="35007" xr:uid="{00000000-0005-0000-0000-0000CE7A0000}"/>
    <cellStyle name="Separador de milhares 3 3 10 4" xfId="5439" xr:uid="{00000000-0005-0000-0000-0000CF7A0000}"/>
    <cellStyle name="Separador de milhares 3 3 10 4 2" xfId="24071" xr:uid="{00000000-0005-0000-0000-0000D07A0000}"/>
    <cellStyle name="Separador de milhares 3 3 10 4 2 2" xfId="50255" xr:uid="{00000000-0005-0000-0000-0000D17A0000}"/>
    <cellStyle name="Separador de milhares 3 3 10 4 3" xfId="31635" xr:uid="{00000000-0005-0000-0000-0000D27A0000}"/>
    <cellStyle name="Separador de milhares 3 3 10 5" xfId="18157" xr:uid="{00000000-0005-0000-0000-0000D37A0000}"/>
    <cellStyle name="Separador de milhares 3 3 10 5 2" xfId="44347" xr:uid="{00000000-0005-0000-0000-0000D47A0000}"/>
    <cellStyle name="Separador de milhares 3 3 10 6" xfId="11826" xr:uid="{00000000-0005-0000-0000-0000D57A0000}"/>
    <cellStyle name="Separador de milhares 3 3 10 6 2" xfId="38019" xr:uid="{00000000-0005-0000-0000-0000D67A0000}"/>
    <cellStyle name="Separador de milhares 3 3 10 7" xfId="29937" xr:uid="{00000000-0005-0000-0000-0000D77A0000}"/>
    <cellStyle name="Separador de milhares 3 3 11" xfId="3073" xr:uid="{00000000-0005-0000-0000-0000D87A0000}"/>
    <cellStyle name="Separador de milhares 3 3 11 2" xfId="7285" xr:uid="{00000000-0005-0000-0000-0000D97A0000}"/>
    <cellStyle name="Separador de milhares 3 3 11 2 2" xfId="10429" xr:uid="{00000000-0005-0000-0000-0000DA7A0000}"/>
    <cellStyle name="Separador de milhares 3 3 11 2 2 2" xfId="28643" xr:uid="{00000000-0005-0000-0000-0000DB7A0000}"/>
    <cellStyle name="Separador de milhares 3 3 11 2 2 2 2" xfId="54824" xr:uid="{00000000-0005-0000-0000-0000DC7A0000}"/>
    <cellStyle name="Separador de milhares 3 3 11 2 2 3" xfId="22729" xr:uid="{00000000-0005-0000-0000-0000DD7A0000}"/>
    <cellStyle name="Separador de milhares 3 3 11 2 2 3 2" xfId="48916" xr:uid="{00000000-0005-0000-0000-0000DE7A0000}"/>
    <cellStyle name="Separador de milhares 3 3 11 2 2 4" xfId="16815" xr:uid="{00000000-0005-0000-0000-0000DF7A0000}"/>
    <cellStyle name="Separador de milhares 3 3 11 2 2 4 2" xfId="43008" xr:uid="{00000000-0005-0000-0000-0000E07A0000}"/>
    <cellStyle name="Separador de milhares 3 3 11 2 2 5" xfId="36622" xr:uid="{00000000-0005-0000-0000-0000E17A0000}"/>
    <cellStyle name="Separador de milhares 3 3 11 2 3" xfId="25686" xr:uid="{00000000-0005-0000-0000-0000E27A0000}"/>
    <cellStyle name="Separador de milhares 3 3 11 2 3 2" xfId="51870" xr:uid="{00000000-0005-0000-0000-0000E37A0000}"/>
    <cellStyle name="Separador de milhares 3 3 11 2 4" xfId="19772" xr:uid="{00000000-0005-0000-0000-0000E47A0000}"/>
    <cellStyle name="Separador de milhares 3 3 11 2 4 2" xfId="45962" xr:uid="{00000000-0005-0000-0000-0000E57A0000}"/>
    <cellStyle name="Separador de milhares 3 3 11 2 5" xfId="13674" xr:uid="{00000000-0005-0000-0000-0000E67A0000}"/>
    <cellStyle name="Separador de milhares 3 3 11 2 5 2" xfId="39867" xr:uid="{00000000-0005-0000-0000-0000E77A0000}"/>
    <cellStyle name="Separador de milhares 3 3 11 2 6" xfId="33481" xr:uid="{00000000-0005-0000-0000-0000E87A0000}"/>
    <cellStyle name="Separador de milhares 3 3 11 3" xfId="8961" xr:uid="{00000000-0005-0000-0000-0000E97A0000}"/>
    <cellStyle name="Separador de milhares 3 3 11 3 2" xfId="27175" xr:uid="{00000000-0005-0000-0000-0000EA7A0000}"/>
    <cellStyle name="Separador de milhares 3 3 11 3 2 2" xfId="53356" xr:uid="{00000000-0005-0000-0000-0000EB7A0000}"/>
    <cellStyle name="Separador de milhares 3 3 11 3 3" xfId="21261" xr:uid="{00000000-0005-0000-0000-0000EC7A0000}"/>
    <cellStyle name="Separador de milhares 3 3 11 3 3 2" xfId="47448" xr:uid="{00000000-0005-0000-0000-0000ED7A0000}"/>
    <cellStyle name="Separador de milhares 3 3 11 3 4" xfId="15347" xr:uid="{00000000-0005-0000-0000-0000EE7A0000}"/>
    <cellStyle name="Separador de milhares 3 3 11 3 4 2" xfId="41540" xr:uid="{00000000-0005-0000-0000-0000EF7A0000}"/>
    <cellStyle name="Separador de milhares 3 3 11 3 5" xfId="35154" xr:uid="{00000000-0005-0000-0000-0000F07A0000}"/>
    <cellStyle name="Separador de milhares 3 3 11 4" xfId="5586" xr:uid="{00000000-0005-0000-0000-0000F17A0000}"/>
    <cellStyle name="Separador de milhares 3 3 11 4 2" xfId="24218" xr:uid="{00000000-0005-0000-0000-0000F27A0000}"/>
    <cellStyle name="Separador de milhares 3 3 11 4 2 2" xfId="50402" xr:uid="{00000000-0005-0000-0000-0000F37A0000}"/>
    <cellStyle name="Separador de milhares 3 3 11 4 3" xfId="31782" xr:uid="{00000000-0005-0000-0000-0000F47A0000}"/>
    <cellStyle name="Separador de milhares 3 3 11 5" xfId="18304" xr:uid="{00000000-0005-0000-0000-0000F57A0000}"/>
    <cellStyle name="Separador de milhares 3 3 11 5 2" xfId="44494" xr:uid="{00000000-0005-0000-0000-0000F67A0000}"/>
    <cellStyle name="Separador de milhares 3 3 11 6" xfId="11973" xr:uid="{00000000-0005-0000-0000-0000F77A0000}"/>
    <cellStyle name="Separador de milhares 3 3 11 6 2" xfId="38166" xr:uid="{00000000-0005-0000-0000-0000F87A0000}"/>
    <cellStyle name="Separador de milhares 3 3 11 7" xfId="30084" xr:uid="{00000000-0005-0000-0000-0000F97A0000}"/>
    <cellStyle name="Separador de milhares 3 3 12" xfId="3600" xr:uid="{00000000-0005-0000-0000-0000FA7A0000}"/>
    <cellStyle name="Separador de milhares 3 3 12 2" xfId="7432" xr:uid="{00000000-0005-0000-0000-0000FB7A0000}"/>
    <cellStyle name="Separador de milhares 3 3 12 2 2" xfId="10576" xr:uid="{00000000-0005-0000-0000-0000FC7A0000}"/>
    <cellStyle name="Separador de milhares 3 3 12 2 2 2" xfId="28790" xr:uid="{00000000-0005-0000-0000-0000FD7A0000}"/>
    <cellStyle name="Separador de milhares 3 3 12 2 2 2 2" xfId="54971" xr:uid="{00000000-0005-0000-0000-0000FE7A0000}"/>
    <cellStyle name="Separador de milhares 3 3 12 2 2 3" xfId="22876" xr:uid="{00000000-0005-0000-0000-0000FF7A0000}"/>
    <cellStyle name="Separador de milhares 3 3 12 2 2 3 2" xfId="49063" xr:uid="{00000000-0005-0000-0000-0000007B0000}"/>
    <cellStyle name="Separador de milhares 3 3 12 2 2 4" xfId="16962" xr:uid="{00000000-0005-0000-0000-0000017B0000}"/>
    <cellStyle name="Separador de milhares 3 3 12 2 2 4 2" xfId="43155" xr:uid="{00000000-0005-0000-0000-0000027B0000}"/>
    <cellStyle name="Separador de milhares 3 3 12 2 2 5" xfId="36769" xr:uid="{00000000-0005-0000-0000-0000037B0000}"/>
    <cellStyle name="Separador de milhares 3 3 12 2 3" xfId="25833" xr:uid="{00000000-0005-0000-0000-0000047B0000}"/>
    <cellStyle name="Separador de milhares 3 3 12 2 3 2" xfId="52017" xr:uid="{00000000-0005-0000-0000-0000057B0000}"/>
    <cellStyle name="Separador de milhares 3 3 12 2 4" xfId="19919" xr:uid="{00000000-0005-0000-0000-0000067B0000}"/>
    <cellStyle name="Separador de milhares 3 3 12 2 4 2" xfId="46109" xr:uid="{00000000-0005-0000-0000-0000077B0000}"/>
    <cellStyle name="Separador de milhares 3 3 12 2 5" xfId="13821" xr:uid="{00000000-0005-0000-0000-0000087B0000}"/>
    <cellStyle name="Separador de milhares 3 3 12 2 5 2" xfId="40014" xr:uid="{00000000-0005-0000-0000-0000097B0000}"/>
    <cellStyle name="Separador de milhares 3 3 12 2 6" xfId="33628" xr:uid="{00000000-0005-0000-0000-00000A7B0000}"/>
    <cellStyle name="Separador de milhares 3 3 12 3" xfId="9108" xr:uid="{00000000-0005-0000-0000-00000B7B0000}"/>
    <cellStyle name="Separador de milhares 3 3 12 3 2" xfId="27322" xr:uid="{00000000-0005-0000-0000-00000C7B0000}"/>
    <cellStyle name="Separador de milhares 3 3 12 3 2 2" xfId="53503" xr:uid="{00000000-0005-0000-0000-00000D7B0000}"/>
    <cellStyle name="Separador de milhares 3 3 12 3 3" xfId="21408" xr:uid="{00000000-0005-0000-0000-00000E7B0000}"/>
    <cellStyle name="Separador de milhares 3 3 12 3 3 2" xfId="47595" xr:uid="{00000000-0005-0000-0000-00000F7B0000}"/>
    <cellStyle name="Separador de milhares 3 3 12 3 4" xfId="15494" xr:uid="{00000000-0005-0000-0000-0000107B0000}"/>
    <cellStyle name="Separador de milhares 3 3 12 3 4 2" xfId="41687" xr:uid="{00000000-0005-0000-0000-0000117B0000}"/>
    <cellStyle name="Separador de milhares 3 3 12 3 5" xfId="35301" xr:uid="{00000000-0005-0000-0000-0000127B0000}"/>
    <cellStyle name="Separador de milhares 3 3 12 4" xfId="5733" xr:uid="{00000000-0005-0000-0000-0000137B0000}"/>
    <cellStyle name="Separador de milhares 3 3 12 4 2" xfId="24365" xr:uid="{00000000-0005-0000-0000-0000147B0000}"/>
    <cellStyle name="Separador de milhares 3 3 12 4 2 2" xfId="50549" xr:uid="{00000000-0005-0000-0000-0000157B0000}"/>
    <cellStyle name="Separador de milhares 3 3 12 4 3" xfId="31929" xr:uid="{00000000-0005-0000-0000-0000167B0000}"/>
    <cellStyle name="Separador de milhares 3 3 12 5" xfId="18451" xr:uid="{00000000-0005-0000-0000-0000177B0000}"/>
    <cellStyle name="Separador de milhares 3 3 12 5 2" xfId="44641" xr:uid="{00000000-0005-0000-0000-0000187B0000}"/>
    <cellStyle name="Separador de milhares 3 3 12 6" xfId="12120" xr:uid="{00000000-0005-0000-0000-0000197B0000}"/>
    <cellStyle name="Separador de milhares 3 3 12 6 2" xfId="38313" xr:uid="{00000000-0005-0000-0000-00001A7B0000}"/>
    <cellStyle name="Separador de milhares 3 3 12 7" xfId="30231" xr:uid="{00000000-0005-0000-0000-00001B7B0000}"/>
    <cellStyle name="Separador de milhares 3 3 13" xfId="6416" xr:uid="{00000000-0005-0000-0000-00001C7B0000}"/>
    <cellStyle name="Separador de milhares 3 3 13 2" xfId="9572" xr:uid="{00000000-0005-0000-0000-00001D7B0000}"/>
    <cellStyle name="Separador de milhares 3 3 13 2 2" xfId="27786" xr:uid="{00000000-0005-0000-0000-00001E7B0000}"/>
    <cellStyle name="Separador de milhares 3 3 13 2 2 2" xfId="53967" xr:uid="{00000000-0005-0000-0000-00001F7B0000}"/>
    <cellStyle name="Separador de milhares 3 3 13 2 3" xfId="21872" xr:uid="{00000000-0005-0000-0000-0000207B0000}"/>
    <cellStyle name="Separador de milhares 3 3 13 2 3 2" xfId="48059" xr:uid="{00000000-0005-0000-0000-0000217B0000}"/>
    <cellStyle name="Separador de milhares 3 3 13 2 4" xfId="15958" xr:uid="{00000000-0005-0000-0000-0000227B0000}"/>
    <cellStyle name="Separador de milhares 3 3 13 2 4 2" xfId="42151" xr:uid="{00000000-0005-0000-0000-0000237B0000}"/>
    <cellStyle name="Separador de milhares 3 3 13 2 5" xfId="35765" xr:uid="{00000000-0005-0000-0000-0000247B0000}"/>
    <cellStyle name="Separador de milhares 3 3 13 3" xfId="24829" xr:uid="{00000000-0005-0000-0000-0000257B0000}"/>
    <cellStyle name="Separador de milhares 3 3 13 3 2" xfId="51013" xr:uid="{00000000-0005-0000-0000-0000267B0000}"/>
    <cellStyle name="Separador de milhares 3 3 13 4" xfId="18915" xr:uid="{00000000-0005-0000-0000-0000277B0000}"/>
    <cellStyle name="Separador de milhares 3 3 13 4 2" xfId="45105" xr:uid="{00000000-0005-0000-0000-0000287B0000}"/>
    <cellStyle name="Separador de milhares 3 3 13 5" xfId="12805" xr:uid="{00000000-0005-0000-0000-0000297B0000}"/>
    <cellStyle name="Separador de milhares 3 3 13 5 2" xfId="38998" xr:uid="{00000000-0005-0000-0000-00002A7B0000}"/>
    <cellStyle name="Separador de milhares 3 3 13 6" xfId="32612" xr:uid="{00000000-0005-0000-0000-00002B7B0000}"/>
    <cellStyle name="Separador de milhares 3 3 14" xfId="8101" xr:uid="{00000000-0005-0000-0000-00002C7B0000}"/>
    <cellStyle name="Separador de milhares 3 3 14 2" xfId="26315" xr:uid="{00000000-0005-0000-0000-00002D7B0000}"/>
    <cellStyle name="Separador de milhares 3 3 14 2 2" xfId="52499" xr:uid="{00000000-0005-0000-0000-00002E7B0000}"/>
    <cellStyle name="Separador de milhares 3 3 14 3" xfId="20401" xr:uid="{00000000-0005-0000-0000-00002F7B0000}"/>
    <cellStyle name="Separador de milhares 3 3 14 3 2" xfId="46591" xr:uid="{00000000-0005-0000-0000-0000307B0000}"/>
    <cellStyle name="Separador de milhares 3 3 14 4" xfId="14490" xr:uid="{00000000-0005-0000-0000-0000317B0000}"/>
    <cellStyle name="Separador de milhares 3 3 14 4 2" xfId="40683" xr:uid="{00000000-0005-0000-0000-0000327B0000}"/>
    <cellStyle name="Separador de milhares 3 3 14 5" xfId="34297" xr:uid="{00000000-0005-0000-0000-0000337B0000}"/>
    <cellStyle name="Separador de milhares 3 3 15" xfId="4714" xr:uid="{00000000-0005-0000-0000-0000347B0000}"/>
    <cellStyle name="Separador de milhares 3 3 15 2" xfId="23358" xr:uid="{00000000-0005-0000-0000-0000357B0000}"/>
    <cellStyle name="Separador de milhares 3 3 15 2 2" xfId="49545" xr:uid="{00000000-0005-0000-0000-0000367B0000}"/>
    <cellStyle name="Separador de milhares 3 3 15 3" xfId="30913" xr:uid="{00000000-0005-0000-0000-0000377B0000}"/>
    <cellStyle name="Separador de milhares 3 3 16" xfId="17444" xr:uid="{00000000-0005-0000-0000-0000387B0000}"/>
    <cellStyle name="Separador de milhares 3 3 16 2" xfId="43637" xr:uid="{00000000-0005-0000-0000-0000397B0000}"/>
    <cellStyle name="Separador de milhares 3 3 17" xfId="11104" xr:uid="{00000000-0005-0000-0000-00003A7B0000}"/>
    <cellStyle name="Separador de milhares 3 3 17 2" xfId="37297" xr:uid="{00000000-0005-0000-0000-00003B7B0000}"/>
    <cellStyle name="Separador de milhares 3 3 18" xfId="29215" xr:uid="{00000000-0005-0000-0000-00003C7B0000}"/>
    <cellStyle name="Separador de milhares 3 3 2" xfId="137" xr:uid="{00000000-0005-0000-0000-00003D7B0000}"/>
    <cellStyle name="Separador de milhares 3 3 2 10" xfId="6445" xr:uid="{00000000-0005-0000-0000-00003E7B0000}"/>
    <cellStyle name="Separador de milhares 3 3 2 10 2" xfId="9599" xr:uid="{00000000-0005-0000-0000-00003F7B0000}"/>
    <cellStyle name="Separador de milhares 3 3 2 10 2 2" xfId="27813" xr:uid="{00000000-0005-0000-0000-0000407B0000}"/>
    <cellStyle name="Separador de milhares 3 3 2 10 2 2 2" xfId="53994" xr:uid="{00000000-0005-0000-0000-0000417B0000}"/>
    <cellStyle name="Separador de milhares 3 3 2 10 2 3" xfId="21899" xr:uid="{00000000-0005-0000-0000-0000427B0000}"/>
    <cellStyle name="Separador de milhares 3 3 2 10 2 3 2" xfId="48086" xr:uid="{00000000-0005-0000-0000-0000437B0000}"/>
    <cellStyle name="Separador de milhares 3 3 2 10 2 4" xfId="15985" xr:uid="{00000000-0005-0000-0000-0000447B0000}"/>
    <cellStyle name="Separador de milhares 3 3 2 10 2 4 2" xfId="42178" xr:uid="{00000000-0005-0000-0000-0000457B0000}"/>
    <cellStyle name="Separador de milhares 3 3 2 10 2 5" xfId="35792" xr:uid="{00000000-0005-0000-0000-0000467B0000}"/>
    <cellStyle name="Separador de milhares 3 3 2 10 3" xfId="24856" xr:uid="{00000000-0005-0000-0000-0000477B0000}"/>
    <cellStyle name="Separador de milhares 3 3 2 10 3 2" xfId="51040" xr:uid="{00000000-0005-0000-0000-0000487B0000}"/>
    <cellStyle name="Separador de milhares 3 3 2 10 4" xfId="18942" xr:uid="{00000000-0005-0000-0000-0000497B0000}"/>
    <cellStyle name="Separador de milhares 3 3 2 10 4 2" xfId="45132" xr:uid="{00000000-0005-0000-0000-00004A7B0000}"/>
    <cellStyle name="Separador de milhares 3 3 2 10 5" xfId="12834" xr:uid="{00000000-0005-0000-0000-00004B7B0000}"/>
    <cellStyle name="Separador de milhares 3 3 2 10 5 2" xfId="39027" xr:uid="{00000000-0005-0000-0000-00004C7B0000}"/>
    <cellStyle name="Separador de milhares 3 3 2 10 6" xfId="32641" xr:uid="{00000000-0005-0000-0000-00004D7B0000}"/>
    <cellStyle name="Separador de milhares 3 3 2 11" xfId="8128" xr:uid="{00000000-0005-0000-0000-00004E7B0000}"/>
    <cellStyle name="Separador de milhares 3 3 2 11 2" xfId="26342" xr:uid="{00000000-0005-0000-0000-00004F7B0000}"/>
    <cellStyle name="Separador de milhares 3 3 2 11 2 2" xfId="52526" xr:uid="{00000000-0005-0000-0000-0000507B0000}"/>
    <cellStyle name="Separador de milhares 3 3 2 11 3" xfId="20428" xr:uid="{00000000-0005-0000-0000-0000517B0000}"/>
    <cellStyle name="Separador de milhares 3 3 2 11 3 2" xfId="46618" xr:uid="{00000000-0005-0000-0000-0000527B0000}"/>
    <cellStyle name="Separador de milhares 3 3 2 11 4" xfId="14517" xr:uid="{00000000-0005-0000-0000-0000537B0000}"/>
    <cellStyle name="Separador de milhares 3 3 2 11 4 2" xfId="40710" xr:uid="{00000000-0005-0000-0000-0000547B0000}"/>
    <cellStyle name="Separador de milhares 3 3 2 11 5" xfId="34324" xr:uid="{00000000-0005-0000-0000-0000557B0000}"/>
    <cellStyle name="Separador de milhares 3 3 2 12" xfId="4744" xr:uid="{00000000-0005-0000-0000-0000567B0000}"/>
    <cellStyle name="Separador de milhares 3 3 2 12 2" xfId="23385" xr:uid="{00000000-0005-0000-0000-0000577B0000}"/>
    <cellStyle name="Separador de milhares 3 3 2 12 2 2" xfId="49572" xr:uid="{00000000-0005-0000-0000-0000587B0000}"/>
    <cellStyle name="Separador de milhares 3 3 2 12 3" xfId="30942" xr:uid="{00000000-0005-0000-0000-0000597B0000}"/>
    <cellStyle name="Separador de milhares 3 3 2 13" xfId="17471" xr:uid="{00000000-0005-0000-0000-00005A7B0000}"/>
    <cellStyle name="Separador de milhares 3 3 2 13 2" xfId="43664" xr:uid="{00000000-0005-0000-0000-00005B7B0000}"/>
    <cellStyle name="Separador de milhares 3 3 2 14" xfId="11133" xr:uid="{00000000-0005-0000-0000-00005C7B0000}"/>
    <cellStyle name="Separador de milhares 3 3 2 14 2" xfId="37326" xr:uid="{00000000-0005-0000-0000-00005D7B0000}"/>
    <cellStyle name="Separador de milhares 3 3 2 15" xfId="29245" xr:uid="{00000000-0005-0000-0000-00005E7B0000}"/>
    <cellStyle name="Separador de milhares 3 3 2 2" xfId="410" xr:uid="{00000000-0005-0000-0000-00005F7B0000}"/>
    <cellStyle name="Separador de milhares 3 3 2 2 10" xfId="17545" xr:uid="{00000000-0005-0000-0000-0000607B0000}"/>
    <cellStyle name="Separador de milhares 3 3 2 2 10 2" xfId="43738" xr:uid="{00000000-0005-0000-0000-0000617B0000}"/>
    <cellStyle name="Separador de milhares 3 3 2 2 11" xfId="11214" xr:uid="{00000000-0005-0000-0000-0000627B0000}"/>
    <cellStyle name="Separador de milhares 3 3 2 2 11 2" xfId="37407" xr:uid="{00000000-0005-0000-0000-0000637B0000}"/>
    <cellStyle name="Separador de milhares 3 3 2 2 12" xfId="29325" xr:uid="{00000000-0005-0000-0000-0000647B0000}"/>
    <cellStyle name="Separador de milhares 3 3 2 2 2" xfId="1929" xr:uid="{00000000-0005-0000-0000-0000657B0000}"/>
    <cellStyle name="Separador de milhares 3 3 2 2 2 2" xfId="6964" xr:uid="{00000000-0005-0000-0000-0000667B0000}"/>
    <cellStyle name="Separador de milhares 3 3 2 2 2 2 2" xfId="10111" xr:uid="{00000000-0005-0000-0000-0000677B0000}"/>
    <cellStyle name="Separador de milhares 3 3 2 2 2 2 2 2" xfId="28325" xr:uid="{00000000-0005-0000-0000-0000687B0000}"/>
    <cellStyle name="Separador de milhares 3 3 2 2 2 2 2 2 2" xfId="54506" xr:uid="{00000000-0005-0000-0000-0000697B0000}"/>
    <cellStyle name="Separador de milhares 3 3 2 2 2 2 2 3" xfId="22411" xr:uid="{00000000-0005-0000-0000-00006A7B0000}"/>
    <cellStyle name="Separador de milhares 3 3 2 2 2 2 2 3 2" xfId="48598" xr:uid="{00000000-0005-0000-0000-00006B7B0000}"/>
    <cellStyle name="Separador de milhares 3 3 2 2 2 2 2 4" xfId="16497" xr:uid="{00000000-0005-0000-0000-00006C7B0000}"/>
    <cellStyle name="Separador de milhares 3 3 2 2 2 2 2 4 2" xfId="42690" xr:uid="{00000000-0005-0000-0000-00006D7B0000}"/>
    <cellStyle name="Separador de milhares 3 3 2 2 2 2 2 5" xfId="36304" xr:uid="{00000000-0005-0000-0000-00006E7B0000}"/>
    <cellStyle name="Separador de milhares 3 3 2 2 2 2 3" xfId="25368" xr:uid="{00000000-0005-0000-0000-00006F7B0000}"/>
    <cellStyle name="Separador de milhares 3 3 2 2 2 2 3 2" xfId="51552" xr:uid="{00000000-0005-0000-0000-0000707B0000}"/>
    <cellStyle name="Separador de milhares 3 3 2 2 2 2 4" xfId="19454" xr:uid="{00000000-0005-0000-0000-0000717B0000}"/>
    <cellStyle name="Separador de milhares 3 3 2 2 2 2 4 2" xfId="45644" xr:uid="{00000000-0005-0000-0000-0000727B0000}"/>
    <cellStyle name="Separador de milhares 3 3 2 2 2 2 5" xfId="13353" xr:uid="{00000000-0005-0000-0000-0000737B0000}"/>
    <cellStyle name="Separador de milhares 3 3 2 2 2 2 5 2" xfId="39546" xr:uid="{00000000-0005-0000-0000-0000747B0000}"/>
    <cellStyle name="Separador de milhares 3 3 2 2 2 2 6" xfId="33160" xr:uid="{00000000-0005-0000-0000-0000757B0000}"/>
    <cellStyle name="Separador de milhares 3 3 2 2 2 3" xfId="8643" xr:uid="{00000000-0005-0000-0000-0000767B0000}"/>
    <cellStyle name="Separador de milhares 3 3 2 2 2 3 2" xfId="26857" xr:uid="{00000000-0005-0000-0000-0000777B0000}"/>
    <cellStyle name="Separador de milhares 3 3 2 2 2 3 2 2" xfId="53038" xr:uid="{00000000-0005-0000-0000-0000787B0000}"/>
    <cellStyle name="Separador de milhares 3 3 2 2 2 3 3" xfId="20943" xr:uid="{00000000-0005-0000-0000-0000797B0000}"/>
    <cellStyle name="Separador de milhares 3 3 2 2 2 3 3 2" xfId="47130" xr:uid="{00000000-0005-0000-0000-00007A7B0000}"/>
    <cellStyle name="Separador de milhares 3 3 2 2 2 3 4" xfId="15029" xr:uid="{00000000-0005-0000-0000-00007B7B0000}"/>
    <cellStyle name="Separador de milhares 3 3 2 2 2 3 4 2" xfId="41222" xr:uid="{00000000-0005-0000-0000-00007C7B0000}"/>
    <cellStyle name="Separador de milhares 3 3 2 2 2 3 5" xfId="34836" xr:uid="{00000000-0005-0000-0000-00007D7B0000}"/>
    <cellStyle name="Separador de milhares 3 3 2 2 2 4" xfId="5265" xr:uid="{00000000-0005-0000-0000-00007E7B0000}"/>
    <cellStyle name="Separador de milhares 3 3 2 2 2 4 2" xfId="23900" xr:uid="{00000000-0005-0000-0000-00007F7B0000}"/>
    <cellStyle name="Separador de milhares 3 3 2 2 2 4 2 2" xfId="50084" xr:uid="{00000000-0005-0000-0000-0000807B0000}"/>
    <cellStyle name="Separador de milhares 3 3 2 2 2 4 3" xfId="31461" xr:uid="{00000000-0005-0000-0000-0000817B0000}"/>
    <cellStyle name="Separador de milhares 3 3 2 2 2 5" xfId="17986" xr:uid="{00000000-0005-0000-0000-0000827B0000}"/>
    <cellStyle name="Separador de milhares 3 3 2 2 2 5 2" xfId="44176" xr:uid="{00000000-0005-0000-0000-0000837B0000}"/>
    <cellStyle name="Separador de milhares 3 3 2 2 2 6" xfId="11652" xr:uid="{00000000-0005-0000-0000-0000847B0000}"/>
    <cellStyle name="Separador de milhares 3 3 2 2 2 6 2" xfId="37845" xr:uid="{00000000-0005-0000-0000-0000857B0000}"/>
    <cellStyle name="Separador de milhares 3 3 2 2 2 7" xfId="29763" xr:uid="{00000000-0005-0000-0000-0000867B0000}"/>
    <cellStyle name="Separador de milhares 3 3 2 2 3" xfId="2459" xr:uid="{00000000-0005-0000-0000-0000877B0000}"/>
    <cellStyle name="Separador de milhares 3 3 2 2 3 2" xfId="7114" xr:uid="{00000000-0005-0000-0000-0000887B0000}"/>
    <cellStyle name="Separador de milhares 3 3 2 2 3 2 2" xfId="10258" xr:uid="{00000000-0005-0000-0000-0000897B0000}"/>
    <cellStyle name="Separador de milhares 3 3 2 2 3 2 2 2" xfId="28472" xr:uid="{00000000-0005-0000-0000-00008A7B0000}"/>
    <cellStyle name="Separador de milhares 3 3 2 2 3 2 2 2 2" xfId="54653" xr:uid="{00000000-0005-0000-0000-00008B7B0000}"/>
    <cellStyle name="Separador de milhares 3 3 2 2 3 2 2 3" xfId="22558" xr:uid="{00000000-0005-0000-0000-00008C7B0000}"/>
    <cellStyle name="Separador de milhares 3 3 2 2 3 2 2 3 2" xfId="48745" xr:uid="{00000000-0005-0000-0000-00008D7B0000}"/>
    <cellStyle name="Separador de milhares 3 3 2 2 3 2 2 4" xfId="16644" xr:uid="{00000000-0005-0000-0000-00008E7B0000}"/>
    <cellStyle name="Separador de milhares 3 3 2 2 3 2 2 4 2" xfId="42837" xr:uid="{00000000-0005-0000-0000-00008F7B0000}"/>
    <cellStyle name="Separador de milhares 3 3 2 2 3 2 2 5" xfId="36451" xr:uid="{00000000-0005-0000-0000-0000907B0000}"/>
    <cellStyle name="Separador de milhares 3 3 2 2 3 2 3" xfId="25515" xr:uid="{00000000-0005-0000-0000-0000917B0000}"/>
    <cellStyle name="Separador de milhares 3 3 2 2 3 2 3 2" xfId="51699" xr:uid="{00000000-0005-0000-0000-0000927B0000}"/>
    <cellStyle name="Separador de milhares 3 3 2 2 3 2 4" xfId="19601" xr:uid="{00000000-0005-0000-0000-0000937B0000}"/>
    <cellStyle name="Separador de milhares 3 3 2 2 3 2 4 2" xfId="45791" xr:uid="{00000000-0005-0000-0000-0000947B0000}"/>
    <cellStyle name="Separador de milhares 3 3 2 2 3 2 5" xfId="13503" xr:uid="{00000000-0005-0000-0000-0000957B0000}"/>
    <cellStyle name="Separador de milhares 3 3 2 2 3 2 5 2" xfId="39696" xr:uid="{00000000-0005-0000-0000-0000967B0000}"/>
    <cellStyle name="Separador de milhares 3 3 2 2 3 2 6" xfId="33310" xr:uid="{00000000-0005-0000-0000-0000977B0000}"/>
    <cellStyle name="Separador de milhares 3 3 2 2 3 3" xfId="8790" xr:uid="{00000000-0005-0000-0000-0000987B0000}"/>
    <cellStyle name="Separador de milhares 3 3 2 2 3 3 2" xfId="27004" xr:uid="{00000000-0005-0000-0000-0000997B0000}"/>
    <cellStyle name="Separador de milhares 3 3 2 2 3 3 2 2" xfId="53185" xr:uid="{00000000-0005-0000-0000-00009A7B0000}"/>
    <cellStyle name="Separador de milhares 3 3 2 2 3 3 3" xfId="21090" xr:uid="{00000000-0005-0000-0000-00009B7B0000}"/>
    <cellStyle name="Separador de milhares 3 3 2 2 3 3 3 2" xfId="47277" xr:uid="{00000000-0005-0000-0000-00009C7B0000}"/>
    <cellStyle name="Separador de milhares 3 3 2 2 3 3 4" xfId="15176" xr:uid="{00000000-0005-0000-0000-00009D7B0000}"/>
    <cellStyle name="Separador de milhares 3 3 2 2 3 3 4 2" xfId="41369" xr:uid="{00000000-0005-0000-0000-00009E7B0000}"/>
    <cellStyle name="Separador de milhares 3 3 2 2 3 3 5" xfId="34983" xr:uid="{00000000-0005-0000-0000-00009F7B0000}"/>
    <cellStyle name="Separador de milhares 3 3 2 2 3 4" xfId="5415" xr:uid="{00000000-0005-0000-0000-0000A07B0000}"/>
    <cellStyle name="Separador de milhares 3 3 2 2 3 4 2" xfId="24047" xr:uid="{00000000-0005-0000-0000-0000A17B0000}"/>
    <cellStyle name="Separador de milhares 3 3 2 2 3 4 2 2" xfId="50231" xr:uid="{00000000-0005-0000-0000-0000A27B0000}"/>
    <cellStyle name="Separador de milhares 3 3 2 2 3 4 3" xfId="31611" xr:uid="{00000000-0005-0000-0000-0000A37B0000}"/>
    <cellStyle name="Separador de milhares 3 3 2 2 3 5" xfId="18133" xr:uid="{00000000-0005-0000-0000-0000A47B0000}"/>
    <cellStyle name="Separador de milhares 3 3 2 2 3 5 2" xfId="44323" xr:uid="{00000000-0005-0000-0000-0000A57B0000}"/>
    <cellStyle name="Separador de milhares 3 3 2 2 3 6" xfId="11802" xr:uid="{00000000-0005-0000-0000-0000A67B0000}"/>
    <cellStyle name="Separador de milhares 3 3 2 2 3 6 2" xfId="37995" xr:uid="{00000000-0005-0000-0000-0000A77B0000}"/>
    <cellStyle name="Separador de milhares 3 3 2 2 3 7" xfId="29913" xr:uid="{00000000-0005-0000-0000-0000A87B0000}"/>
    <cellStyle name="Separador de milhares 3 3 2 2 4" xfId="2986" xr:uid="{00000000-0005-0000-0000-0000A97B0000}"/>
    <cellStyle name="Separador de milhares 3 3 2 2 4 2" xfId="7261" xr:uid="{00000000-0005-0000-0000-0000AA7B0000}"/>
    <cellStyle name="Separador de milhares 3 3 2 2 4 2 2" xfId="10405" xr:uid="{00000000-0005-0000-0000-0000AB7B0000}"/>
    <cellStyle name="Separador de milhares 3 3 2 2 4 2 2 2" xfId="28619" xr:uid="{00000000-0005-0000-0000-0000AC7B0000}"/>
    <cellStyle name="Separador de milhares 3 3 2 2 4 2 2 2 2" xfId="54800" xr:uid="{00000000-0005-0000-0000-0000AD7B0000}"/>
    <cellStyle name="Separador de milhares 3 3 2 2 4 2 2 3" xfId="22705" xr:uid="{00000000-0005-0000-0000-0000AE7B0000}"/>
    <cellStyle name="Separador de milhares 3 3 2 2 4 2 2 3 2" xfId="48892" xr:uid="{00000000-0005-0000-0000-0000AF7B0000}"/>
    <cellStyle name="Separador de milhares 3 3 2 2 4 2 2 4" xfId="16791" xr:uid="{00000000-0005-0000-0000-0000B07B0000}"/>
    <cellStyle name="Separador de milhares 3 3 2 2 4 2 2 4 2" xfId="42984" xr:uid="{00000000-0005-0000-0000-0000B17B0000}"/>
    <cellStyle name="Separador de milhares 3 3 2 2 4 2 2 5" xfId="36598" xr:uid="{00000000-0005-0000-0000-0000B27B0000}"/>
    <cellStyle name="Separador de milhares 3 3 2 2 4 2 3" xfId="25662" xr:uid="{00000000-0005-0000-0000-0000B37B0000}"/>
    <cellStyle name="Separador de milhares 3 3 2 2 4 2 3 2" xfId="51846" xr:uid="{00000000-0005-0000-0000-0000B47B0000}"/>
    <cellStyle name="Separador de milhares 3 3 2 2 4 2 4" xfId="19748" xr:uid="{00000000-0005-0000-0000-0000B57B0000}"/>
    <cellStyle name="Separador de milhares 3 3 2 2 4 2 4 2" xfId="45938" xr:uid="{00000000-0005-0000-0000-0000B67B0000}"/>
    <cellStyle name="Separador de milhares 3 3 2 2 4 2 5" xfId="13650" xr:uid="{00000000-0005-0000-0000-0000B77B0000}"/>
    <cellStyle name="Separador de milhares 3 3 2 2 4 2 5 2" xfId="39843" xr:uid="{00000000-0005-0000-0000-0000B87B0000}"/>
    <cellStyle name="Separador de milhares 3 3 2 2 4 2 6" xfId="33457" xr:uid="{00000000-0005-0000-0000-0000B97B0000}"/>
    <cellStyle name="Separador de milhares 3 3 2 2 4 3" xfId="8937" xr:uid="{00000000-0005-0000-0000-0000BA7B0000}"/>
    <cellStyle name="Separador de milhares 3 3 2 2 4 3 2" xfId="27151" xr:uid="{00000000-0005-0000-0000-0000BB7B0000}"/>
    <cellStyle name="Separador de milhares 3 3 2 2 4 3 2 2" xfId="53332" xr:uid="{00000000-0005-0000-0000-0000BC7B0000}"/>
    <cellStyle name="Separador de milhares 3 3 2 2 4 3 3" xfId="21237" xr:uid="{00000000-0005-0000-0000-0000BD7B0000}"/>
    <cellStyle name="Separador de milhares 3 3 2 2 4 3 3 2" xfId="47424" xr:uid="{00000000-0005-0000-0000-0000BE7B0000}"/>
    <cellStyle name="Separador de milhares 3 3 2 2 4 3 4" xfId="15323" xr:uid="{00000000-0005-0000-0000-0000BF7B0000}"/>
    <cellStyle name="Separador de milhares 3 3 2 2 4 3 4 2" xfId="41516" xr:uid="{00000000-0005-0000-0000-0000C07B0000}"/>
    <cellStyle name="Separador de milhares 3 3 2 2 4 3 5" xfId="35130" xr:uid="{00000000-0005-0000-0000-0000C17B0000}"/>
    <cellStyle name="Separador de milhares 3 3 2 2 4 4" xfId="5562" xr:uid="{00000000-0005-0000-0000-0000C27B0000}"/>
    <cellStyle name="Separador de milhares 3 3 2 2 4 4 2" xfId="24194" xr:uid="{00000000-0005-0000-0000-0000C37B0000}"/>
    <cellStyle name="Separador de milhares 3 3 2 2 4 4 2 2" xfId="50378" xr:uid="{00000000-0005-0000-0000-0000C47B0000}"/>
    <cellStyle name="Separador de milhares 3 3 2 2 4 4 3" xfId="31758" xr:uid="{00000000-0005-0000-0000-0000C57B0000}"/>
    <cellStyle name="Separador de milhares 3 3 2 2 4 5" xfId="18280" xr:uid="{00000000-0005-0000-0000-0000C67B0000}"/>
    <cellStyle name="Separador de milhares 3 3 2 2 4 5 2" xfId="44470" xr:uid="{00000000-0005-0000-0000-0000C77B0000}"/>
    <cellStyle name="Separador de milhares 3 3 2 2 4 6" xfId="11949" xr:uid="{00000000-0005-0000-0000-0000C87B0000}"/>
    <cellStyle name="Separador de milhares 3 3 2 2 4 6 2" xfId="38142" xr:uid="{00000000-0005-0000-0000-0000C97B0000}"/>
    <cellStyle name="Separador de milhares 3 3 2 2 4 7" xfId="30060" xr:uid="{00000000-0005-0000-0000-0000CA7B0000}"/>
    <cellStyle name="Separador de milhares 3 3 2 2 5" xfId="3513" xr:uid="{00000000-0005-0000-0000-0000CB7B0000}"/>
    <cellStyle name="Separador de milhares 3 3 2 2 5 2" xfId="7408" xr:uid="{00000000-0005-0000-0000-0000CC7B0000}"/>
    <cellStyle name="Separador de milhares 3 3 2 2 5 2 2" xfId="10552" xr:uid="{00000000-0005-0000-0000-0000CD7B0000}"/>
    <cellStyle name="Separador de milhares 3 3 2 2 5 2 2 2" xfId="28766" xr:uid="{00000000-0005-0000-0000-0000CE7B0000}"/>
    <cellStyle name="Separador de milhares 3 3 2 2 5 2 2 2 2" xfId="54947" xr:uid="{00000000-0005-0000-0000-0000CF7B0000}"/>
    <cellStyle name="Separador de milhares 3 3 2 2 5 2 2 3" xfId="22852" xr:uid="{00000000-0005-0000-0000-0000D07B0000}"/>
    <cellStyle name="Separador de milhares 3 3 2 2 5 2 2 3 2" xfId="49039" xr:uid="{00000000-0005-0000-0000-0000D17B0000}"/>
    <cellStyle name="Separador de milhares 3 3 2 2 5 2 2 4" xfId="16938" xr:uid="{00000000-0005-0000-0000-0000D27B0000}"/>
    <cellStyle name="Separador de milhares 3 3 2 2 5 2 2 4 2" xfId="43131" xr:uid="{00000000-0005-0000-0000-0000D37B0000}"/>
    <cellStyle name="Separador de milhares 3 3 2 2 5 2 2 5" xfId="36745" xr:uid="{00000000-0005-0000-0000-0000D47B0000}"/>
    <cellStyle name="Separador de milhares 3 3 2 2 5 2 3" xfId="25809" xr:uid="{00000000-0005-0000-0000-0000D57B0000}"/>
    <cellStyle name="Separador de milhares 3 3 2 2 5 2 3 2" xfId="51993" xr:uid="{00000000-0005-0000-0000-0000D67B0000}"/>
    <cellStyle name="Separador de milhares 3 3 2 2 5 2 4" xfId="19895" xr:uid="{00000000-0005-0000-0000-0000D77B0000}"/>
    <cellStyle name="Separador de milhares 3 3 2 2 5 2 4 2" xfId="46085" xr:uid="{00000000-0005-0000-0000-0000D87B0000}"/>
    <cellStyle name="Separador de milhares 3 3 2 2 5 2 5" xfId="13797" xr:uid="{00000000-0005-0000-0000-0000D97B0000}"/>
    <cellStyle name="Separador de milhares 3 3 2 2 5 2 5 2" xfId="39990" xr:uid="{00000000-0005-0000-0000-0000DA7B0000}"/>
    <cellStyle name="Separador de milhares 3 3 2 2 5 2 6" xfId="33604" xr:uid="{00000000-0005-0000-0000-0000DB7B0000}"/>
    <cellStyle name="Separador de milhares 3 3 2 2 5 3" xfId="9084" xr:uid="{00000000-0005-0000-0000-0000DC7B0000}"/>
    <cellStyle name="Separador de milhares 3 3 2 2 5 3 2" xfId="27298" xr:uid="{00000000-0005-0000-0000-0000DD7B0000}"/>
    <cellStyle name="Separador de milhares 3 3 2 2 5 3 2 2" xfId="53479" xr:uid="{00000000-0005-0000-0000-0000DE7B0000}"/>
    <cellStyle name="Separador de milhares 3 3 2 2 5 3 3" xfId="21384" xr:uid="{00000000-0005-0000-0000-0000DF7B0000}"/>
    <cellStyle name="Separador de milhares 3 3 2 2 5 3 3 2" xfId="47571" xr:uid="{00000000-0005-0000-0000-0000E07B0000}"/>
    <cellStyle name="Separador de milhares 3 3 2 2 5 3 4" xfId="15470" xr:uid="{00000000-0005-0000-0000-0000E17B0000}"/>
    <cellStyle name="Separador de milhares 3 3 2 2 5 3 4 2" xfId="41663" xr:uid="{00000000-0005-0000-0000-0000E27B0000}"/>
    <cellStyle name="Separador de milhares 3 3 2 2 5 3 5" xfId="35277" xr:uid="{00000000-0005-0000-0000-0000E37B0000}"/>
    <cellStyle name="Separador de milhares 3 3 2 2 5 4" xfId="5709" xr:uid="{00000000-0005-0000-0000-0000E47B0000}"/>
    <cellStyle name="Separador de milhares 3 3 2 2 5 4 2" xfId="24341" xr:uid="{00000000-0005-0000-0000-0000E57B0000}"/>
    <cellStyle name="Separador de milhares 3 3 2 2 5 4 2 2" xfId="50525" xr:uid="{00000000-0005-0000-0000-0000E67B0000}"/>
    <cellStyle name="Separador de milhares 3 3 2 2 5 4 3" xfId="31905" xr:uid="{00000000-0005-0000-0000-0000E77B0000}"/>
    <cellStyle name="Separador de milhares 3 3 2 2 5 5" xfId="18427" xr:uid="{00000000-0005-0000-0000-0000E87B0000}"/>
    <cellStyle name="Separador de milhares 3 3 2 2 5 5 2" xfId="44617" xr:uid="{00000000-0005-0000-0000-0000E97B0000}"/>
    <cellStyle name="Separador de milhares 3 3 2 2 5 6" xfId="12096" xr:uid="{00000000-0005-0000-0000-0000EA7B0000}"/>
    <cellStyle name="Separador de milhares 3 3 2 2 5 6 2" xfId="38289" xr:uid="{00000000-0005-0000-0000-0000EB7B0000}"/>
    <cellStyle name="Separador de milhares 3 3 2 2 5 7" xfId="30207" xr:uid="{00000000-0005-0000-0000-0000EC7B0000}"/>
    <cellStyle name="Separador de milhares 3 3 2 2 6" xfId="4040" xr:uid="{00000000-0005-0000-0000-0000ED7B0000}"/>
    <cellStyle name="Separador de milhares 3 3 2 2 6 2" xfId="7555" xr:uid="{00000000-0005-0000-0000-0000EE7B0000}"/>
    <cellStyle name="Separador de milhares 3 3 2 2 6 2 2" xfId="10699" xr:uid="{00000000-0005-0000-0000-0000EF7B0000}"/>
    <cellStyle name="Separador de milhares 3 3 2 2 6 2 2 2" xfId="28913" xr:uid="{00000000-0005-0000-0000-0000F07B0000}"/>
    <cellStyle name="Separador de milhares 3 3 2 2 6 2 2 2 2" xfId="55094" xr:uid="{00000000-0005-0000-0000-0000F17B0000}"/>
    <cellStyle name="Separador de milhares 3 3 2 2 6 2 2 3" xfId="22999" xr:uid="{00000000-0005-0000-0000-0000F27B0000}"/>
    <cellStyle name="Separador de milhares 3 3 2 2 6 2 2 3 2" xfId="49186" xr:uid="{00000000-0005-0000-0000-0000F37B0000}"/>
    <cellStyle name="Separador de milhares 3 3 2 2 6 2 2 4" xfId="17085" xr:uid="{00000000-0005-0000-0000-0000F47B0000}"/>
    <cellStyle name="Separador de milhares 3 3 2 2 6 2 2 4 2" xfId="43278" xr:uid="{00000000-0005-0000-0000-0000F57B0000}"/>
    <cellStyle name="Separador de milhares 3 3 2 2 6 2 2 5" xfId="36892" xr:uid="{00000000-0005-0000-0000-0000F67B0000}"/>
    <cellStyle name="Separador de milhares 3 3 2 2 6 2 3" xfId="25956" xr:uid="{00000000-0005-0000-0000-0000F77B0000}"/>
    <cellStyle name="Separador de milhares 3 3 2 2 6 2 3 2" xfId="52140" xr:uid="{00000000-0005-0000-0000-0000F87B0000}"/>
    <cellStyle name="Separador de milhares 3 3 2 2 6 2 4" xfId="20042" xr:uid="{00000000-0005-0000-0000-0000F97B0000}"/>
    <cellStyle name="Separador de milhares 3 3 2 2 6 2 4 2" xfId="46232" xr:uid="{00000000-0005-0000-0000-0000FA7B0000}"/>
    <cellStyle name="Separador de milhares 3 3 2 2 6 2 5" xfId="13944" xr:uid="{00000000-0005-0000-0000-0000FB7B0000}"/>
    <cellStyle name="Separador de milhares 3 3 2 2 6 2 5 2" xfId="40137" xr:uid="{00000000-0005-0000-0000-0000FC7B0000}"/>
    <cellStyle name="Separador de milhares 3 3 2 2 6 2 6" xfId="33751" xr:uid="{00000000-0005-0000-0000-0000FD7B0000}"/>
    <cellStyle name="Separador de milhares 3 3 2 2 6 3" xfId="9231" xr:uid="{00000000-0005-0000-0000-0000FE7B0000}"/>
    <cellStyle name="Separador de milhares 3 3 2 2 6 3 2" xfId="27445" xr:uid="{00000000-0005-0000-0000-0000FF7B0000}"/>
    <cellStyle name="Separador de milhares 3 3 2 2 6 3 2 2" xfId="53626" xr:uid="{00000000-0005-0000-0000-0000007C0000}"/>
    <cellStyle name="Separador de milhares 3 3 2 2 6 3 3" xfId="21531" xr:uid="{00000000-0005-0000-0000-0000017C0000}"/>
    <cellStyle name="Separador de milhares 3 3 2 2 6 3 3 2" xfId="47718" xr:uid="{00000000-0005-0000-0000-0000027C0000}"/>
    <cellStyle name="Separador de milhares 3 3 2 2 6 3 4" xfId="15617" xr:uid="{00000000-0005-0000-0000-0000037C0000}"/>
    <cellStyle name="Separador de milhares 3 3 2 2 6 3 4 2" xfId="41810" xr:uid="{00000000-0005-0000-0000-0000047C0000}"/>
    <cellStyle name="Separador de milhares 3 3 2 2 6 3 5" xfId="35424" xr:uid="{00000000-0005-0000-0000-0000057C0000}"/>
    <cellStyle name="Separador de milhares 3 3 2 2 6 4" xfId="5856" xr:uid="{00000000-0005-0000-0000-0000067C0000}"/>
    <cellStyle name="Separador de milhares 3 3 2 2 6 4 2" xfId="24488" xr:uid="{00000000-0005-0000-0000-0000077C0000}"/>
    <cellStyle name="Separador de milhares 3 3 2 2 6 4 2 2" xfId="50672" xr:uid="{00000000-0005-0000-0000-0000087C0000}"/>
    <cellStyle name="Separador de milhares 3 3 2 2 6 4 3" xfId="32052" xr:uid="{00000000-0005-0000-0000-0000097C0000}"/>
    <cellStyle name="Separador de milhares 3 3 2 2 6 5" xfId="18574" xr:uid="{00000000-0005-0000-0000-00000A7C0000}"/>
    <cellStyle name="Separador de milhares 3 3 2 2 6 5 2" xfId="44764" xr:uid="{00000000-0005-0000-0000-00000B7C0000}"/>
    <cellStyle name="Separador de milhares 3 3 2 2 6 6" xfId="12243" xr:uid="{00000000-0005-0000-0000-00000C7C0000}"/>
    <cellStyle name="Separador de milhares 3 3 2 2 6 6 2" xfId="38436" xr:uid="{00000000-0005-0000-0000-00000D7C0000}"/>
    <cellStyle name="Separador de milhares 3 3 2 2 6 7" xfId="30354" xr:uid="{00000000-0005-0000-0000-00000E7C0000}"/>
    <cellStyle name="Separador de milhares 3 3 2 2 7" xfId="6526" xr:uid="{00000000-0005-0000-0000-00000F7C0000}"/>
    <cellStyle name="Separador de milhares 3 3 2 2 7 2" xfId="9673" xr:uid="{00000000-0005-0000-0000-0000107C0000}"/>
    <cellStyle name="Separador de milhares 3 3 2 2 7 2 2" xfId="27887" xr:uid="{00000000-0005-0000-0000-0000117C0000}"/>
    <cellStyle name="Separador de milhares 3 3 2 2 7 2 2 2" xfId="54068" xr:uid="{00000000-0005-0000-0000-0000127C0000}"/>
    <cellStyle name="Separador de milhares 3 3 2 2 7 2 3" xfId="21973" xr:uid="{00000000-0005-0000-0000-0000137C0000}"/>
    <cellStyle name="Separador de milhares 3 3 2 2 7 2 3 2" xfId="48160" xr:uid="{00000000-0005-0000-0000-0000147C0000}"/>
    <cellStyle name="Separador de milhares 3 3 2 2 7 2 4" xfId="16059" xr:uid="{00000000-0005-0000-0000-0000157C0000}"/>
    <cellStyle name="Separador de milhares 3 3 2 2 7 2 4 2" xfId="42252" xr:uid="{00000000-0005-0000-0000-0000167C0000}"/>
    <cellStyle name="Separador de milhares 3 3 2 2 7 2 5" xfId="35866" xr:uid="{00000000-0005-0000-0000-0000177C0000}"/>
    <cellStyle name="Separador de milhares 3 3 2 2 7 3" xfId="24930" xr:uid="{00000000-0005-0000-0000-0000187C0000}"/>
    <cellStyle name="Separador de milhares 3 3 2 2 7 3 2" xfId="51114" xr:uid="{00000000-0005-0000-0000-0000197C0000}"/>
    <cellStyle name="Separador de milhares 3 3 2 2 7 4" xfId="19016" xr:uid="{00000000-0005-0000-0000-00001A7C0000}"/>
    <cellStyle name="Separador de milhares 3 3 2 2 7 4 2" xfId="45206" xr:uid="{00000000-0005-0000-0000-00001B7C0000}"/>
    <cellStyle name="Separador de milhares 3 3 2 2 7 5" xfId="12915" xr:uid="{00000000-0005-0000-0000-00001C7C0000}"/>
    <cellStyle name="Separador de milhares 3 3 2 2 7 5 2" xfId="39108" xr:uid="{00000000-0005-0000-0000-00001D7C0000}"/>
    <cellStyle name="Separador de milhares 3 3 2 2 7 6" xfId="32722" xr:uid="{00000000-0005-0000-0000-00001E7C0000}"/>
    <cellStyle name="Separador de milhares 3 3 2 2 8" xfId="8202" xr:uid="{00000000-0005-0000-0000-00001F7C0000}"/>
    <cellStyle name="Separador de milhares 3 3 2 2 8 2" xfId="26416" xr:uid="{00000000-0005-0000-0000-0000207C0000}"/>
    <cellStyle name="Separador de milhares 3 3 2 2 8 2 2" xfId="52600" xr:uid="{00000000-0005-0000-0000-0000217C0000}"/>
    <cellStyle name="Separador de milhares 3 3 2 2 8 3" xfId="20502" xr:uid="{00000000-0005-0000-0000-0000227C0000}"/>
    <cellStyle name="Separador de milhares 3 3 2 2 8 3 2" xfId="46692" xr:uid="{00000000-0005-0000-0000-0000237C0000}"/>
    <cellStyle name="Separador de milhares 3 3 2 2 8 4" xfId="14591" xr:uid="{00000000-0005-0000-0000-0000247C0000}"/>
    <cellStyle name="Separador de milhares 3 3 2 2 8 4 2" xfId="40784" xr:uid="{00000000-0005-0000-0000-0000257C0000}"/>
    <cellStyle name="Separador de milhares 3 3 2 2 8 5" xfId="34398" xr:uid="{00000000-0005-0000-0000-0000267C0000}"/>
    <cellStyle name="Separador de milhares 3 3 2 2 9" xfId="4825" xr:uid="{00000000-0005-0000-0000-0000277C0000}"/>
    <cellStyle name="Separador de milhares 3 3 2 2 9 2" xfId="23459" xr:uid="{00000000-0005-0000-0000-0000287C0000}"/>
    <cellStyle name="Separador de milhares 3 3 2 2 9 2 2" xfId="49646" xr:uid="{00000000-0005-0000-0000-0000297C0000}"/>
    <cellStyle name="Separador de milhares 3 3 2 2 9 3" xfId="31023" xr:uid="{00000000-0005-0000-0000-00002A7C0000}"/>
    <cellStyle name="Separador de milhares 3 3 2 3" xfId="883" xr:uid="{00000000-0005-0000-0000-00002B7C0000}"/>
    <cellStyle name="Separador de milhares 3 3 2 3 2" xfId="6677" xr:uid="{00000000-0005-0000-0000-00002C7C0000}"/>
    <cellStyle name="Separador de milhares 3 3 2 3 2 2" xfId="9824" xr:uid="{00000000-0005-0000-0000-00002D7C0000}"/>
    <cellStyle name="Separador de milhares 3 3 2 3 2 2 2" xfId="28038" xr:uid="{00000000-0005-0000-0000-00002E7C0000}"/>
    <cellStyle name="Separador de milhares 3 3 2 3 2 2 2 2" xfId="54219" xr:uid="{00000000-0005-0000-0000-00002F7C0000}"/>
    <cellStyle name="Separador de milhares 3 3 2 3 2 2 3" xfId="22124" xr:uid="{00000000-0005-0000-0000-0000307C0000}"/>
    <cellStyle name="Separador de milhares 3 3 2 3 2 2 3 2" xfId="48311" xr:uid="{00000000-0005-0000-0000-0000317C0000}"/>
    <cellStyle name="Separador de milhares 3 3 2 3 2 2 4" xfId="16210" xr:uid="{00000000-0005-0000-0000-0000327C0000}"/>
    <cellStyle name="Separador de milhares 3 3 2 3 2 2 4 2" xfId="42403" xr:uid="{00000000-0005-0000-0000-0000337C0000}"/>
    <cellStyle name="Separador de milhares 3 3 2 3 2 2 5" xfId="36017" xr:uid="{00000000-0005-0000-0000-0000347C0000}"/>
    <cellStyle name="Separador de milhares 3 3 2 3 2 3" xfId="25081" xr:uid="{00000000-0005-0000-0000-0000357C0000}"/>
    <cellStyle name="Separador de milhares 3 3 2 3 2 3 2" xfId="51265" xr:uid="{00000000-0005-0000-0000-0000367C0000}"/>
    <cellStyle name="Separador de milhares 3 3 2 3 2 4" xfId="19167" xr:uid="{00000000-0005-0000-0000-0000377C0000}"/>
    <cellStyle name="Separador de milhares 3 3 2 3 2 4 2" xfId="45357" xr:uid="{00000000-0005-0000-0000-0000387C0000}"/>
    <cellStyle name="Separador de milhares 3 3 2 3 2 5" xfId="13066" xr:uid="{00000000-0005-0000-0000-0000397C0000}"/>
    <cellStyle name="Separador de milhares 3 3 2 3 2 5 2" xfId="39259" xr:uid="{00000000-0005-0000-0000-00003A7C0000}"/>
    <cellStyle name="Separador de milhares 3 3 2 3 2 6" xfId="32873" xr:uid="{00000000-0005-0000-0000-00003B7C0000}"/>
    <cellStyle name="Separador de milhares 3 3 2 3 3" xfId="8356" xr:uid="{00000000-0005-0000-0000-00003C7C0000}"/>
    <cellStyle name="Separador de milhares 3 3 2 3 3 2" xfId="26570" xr:uid="{00000000-0005-0000-0000-00003D7C0000}"/>
    <cellStyle name="Separador de milhares 3 3 2 3 3 2 2" xfId="52751" xr:uid="{00000000-0005-0000-0000-00003E7C0000}"/>
    <cellStyle name="Separador de milhares 3 3 2 3 3 3" xfId="20656" xr:uid="{00000000-0005-0000-0000-00003F7C0000}"/>
    <cellStyle name="Separador de milhares 3 3 2 3 3 3 2" xfId="46843" xr:uid="{00000000-0005-0000-0000-0000407C0000}"/>
    <cellStyle name="Separador de milhares 3 3 2 3 3 4" xfId="14742" xr:uid="{00000000-0005-0000-0000-0000417C0000}"/>
    <cellStyle name="Separador de milhares 3 3 2 3 3 4 2" xfId="40935" xr:uid="{00000000-0005-0000-0000-0000427C0000}"/>
    <cellStyle name="Separador de milhares 3 3 2 3 3 5" xfId="34549" xr:uid="{00000000-0005-0000-0000-0000437C0000}"/>
    <cellStyle name="Separador de milhares 3 3 2 3 4" xfId="4978" xr:uid="{00000000-0005-0000-0000-0000447C0000}"/>
    <cellStyle name="Separador de milhares 3 3 2 3 4 2" xfId="23613" xr:uid="{00000000-0005-0000-0000-0000457C0000}"/>
    <cellStyle name="Separador de milhares 3 3 2 3 4 2 2" xfId="49797" xr:uid="{00000000-0005-0000-0000-0000467C0000}"/>
    <cellStyle name="Separador de milhares 3 3 2 3 4 3" xfId="31174" xr:uid="{00000000-0005-0000-0000-0000477C0000}"/>
    <cellStyle name="Separador de milhares 3 3 2 3 5" xfId="17699" xr:uid="{00000000-0005-0000-0000-0000487C0000}"/>
    <cellStyle name="Separador de milhares 3 3 2 3 5 2" xfId="43889" xr:uid="{00000000-0005-0000-0000-0000497C0000}"/>
    <cellStyle name="Separador de milhares 3 3 2 3 6" xfId="11365" xr:uid="{00000000-0005-0000-0000-00004A7C0000}"/>
    <cellStyle name="Separador de milhares 3 3 2 3 6 2" xfId="37558" xr:uid="{00000000-0005-0000-0000-00004B7C0000}"/>
    <cellStyle name="Separador de milhares 3 3 2 3 7" xfId="29476" xr:uid="{00000000-0005-0000-0000-00004C7C0000}"/>
    <cellStyle name="Separador de milhares 3 3 2 4" xfId="1234" xr:uid="{00000000-0005-0000-0000-00004D7C0000}"/>
    <cellStyle name="Separador de milhares 3 3 2 4 2" xfId="6775" xr:uid="{00000000-0005-0000-0000-00004E7C0000}"/>
    <cellStyle name="Separador de milhares 3 3 2 4 2 2" xfId="9922" xr:uid="{00000000-0005-0000-0000-00004F7C0000}"/>
    <cellStyle name="Separador de milhares 3 3 2 4 2 2 2" xfId="28136" xr:uid="{00000000-0005-0000-0000-0000507C0000}"/>
    <cellStyle name="Separador de milhares 3 3 2 4 2 2 2 2" xfId="54317" xr:uid="{00000000-0005-0000-0000-0000517C0000}"/>
    <cellStyle name="Separador de milhares 3 3 2 4 2 2 3" xfId="22222" xr:uid="{00000000-0005-0000-0000-0000527C0000}"/>
    <cellStyle name="Separador de milhares 3 3 2 4 2 2 3 2" xfId="48409" xr:uid="{00000000-0005-0000-0000-0000537C0000}"/>
    <cellStyle name="Separador de milhares 3 3 2 4 2 2 4" xfId="16308" xr:uid="{00000000-0005-0000-0000-0000547C0000}"/>
    <cellStyle name="Separador de milhares 3 3 2 4 2 2 4 2" xfId="42501" xr:uid="{00000000-0005-0000-0000-0000557C0000}"/>
    <cellStyle name="Separador de milhares 3 3 2 4 2 2 5" xfId="36115" xr:uid="{00000000-0005-0000-0000-0000567C0000}"/>
    <cellStyle name="Separador de milhares 3 3 2 4 2 3" xfId="25179" xr:uid="{00000000-0005-0000-0000-0000577C0000}"/>
    <cellStyle name="Separador de milhares 3 3 2 4 2 3 2" xfId="51363" xr:uid="{00000000-0005-0000-0000-0000587C0000}"/>
    <cellStyle name="Separador de milhares 3 3 2 4 2 4" xfId="19265" xr:uid="{00000000-0005-0000-0000-0000597C0000}"/>
    <cellStyle name="Separador de milhares 3 3 2 4 2 4 2" xfId="45455" xr:uid="{00000000-0005-0000-0000-00005A7C0000}"/>
    <cellStyle name="Separador de milhares 3 3 2 4 2 5" xfId="13164" xr:uid="{00000000-0005-0000-0000-00005B7C0000}"/>
    <cellStyle name="Separador de milhares 3 3 2 4 2 5 2" xfId="39357" xr:uid="{00000000-0005-0000-0000-00005C7C0000}"/>
    <cellStyle name="Separador de milhares 3 3 2 4 2 6" xfId="32971" xr:uid="{00000000-0005-0000-0000-00005D7C0000}"/>
    <cellStyle name="Separador de milhares 3 3 2 4 3" xfId="8454" xr:uid="{00000000-0005-0000-0000-00005E7C0000}"/>
    <cellStyle name="Separador de milhares 3 3 2 4 3 2" xfId="26668" xr:uid="{00000000-0005-0000-0000-00005F7C0000}"/>
    <cellStyle name="Separador de milhares 3 3 2 4 3 2 2" xfId="52849" xr:uid="{00000000-0005-0000-0000-0000607C0000}"/>
    <cellStyle name="Separador de milhares 3 3 2 4 3 3" xfId="20754" xr:uid="{00000000-0005-0000-0000-0000617C0000}"/>
    <cellStyle name="Separador de milhares 3 3 2 4 3 3 2" xfId="46941" xr:uid="{00000000-0005-0000-0000-0000627C0000}"/>
    <cellStyle name="Separador de milhares 3 3 2 4 3 4" xfId="14840" xr:uid="{00000000-0005-0000-0000-0000637C0000}"/>
    <cellStyle name="Separador de milhares 3 3 2 4 3 4 2" xfId="41033" xr:uid="{00000000-0005-0000-0000-0000647C0000}"/>
    <cellStyle name="Separador de milhares 3 3 2 4 3 5" xfId="34647" xr:uid="{00000000-0005-0000-0000-0000657C0000}"/>
    <cellStyle name="Separador de milhares 3 3 2 4 4" xfId="5076" xr:uid="{00000000-0005-0000-0000-0000667C0000}"/>
    <cellStyle name="Separador de milhares 3 3 2 4 4 2" xfId="23711" xr:uid="{00000000-0005-0000-0000-0000677C0000}"/>
    <cellStyle name="Separador de milhares 3 3 2 4 4 2 2" xfId="49895" xr:uid="{00000000-0005-0000-0000-0000687C0000}"/>
    <cellStyle name="Separador de milhares 3 3 2 4 4 3" xfId="31272" xr:uid="{00000000-0005-0000-0000-0000697C0000}"/>
    <cellStyle name="Separador de milhares 3 3 2 4 5" xfId="17797" xr:uid="{00000000-0005-0000-0000-00006A7C0000}"/>
    <cellStyle name="Separador de milhares 3 3 2 4 5 2" xfId="43987" xr:uid="{00000000-0005-0000-0000-00006B7C0000}"/>
    <cellStyle name="Separador de milhares 3 3 2 4 6" xfId="11463" xr:uid="{00000000-0005-0000-0000-00006C7C0000}"/>
    <cellStyle name="Separador de milhares 3 3 2 4 6 2" xfId="37656" xr:uid="{00000000-0005-0000-0000-00006D7C0000}"/>
    <cellStyle name="Separador de milhares 3 3 2 4 7" xfId="29574" xr:uid="{00000000-0005-0000-0000-00006E7C0000}"/>
    <cellStyle name="Separador de milhares 3 3 2 5" xfId="1669" xr:uid="{00000000-0005-0000-0000-00006F7C0000}"/>
    <cellStyle name="Separador de milhares 3 3 2 5 2" xfId="6894" xr:uid="{00000000-0005-0000-0000-0000707C0000}"/>
    <cellStyle name="Separador de milhares 3 3 2 5 2 2" xfId="10041" xr:uid="{00000000-0005-0000-0000-0000717C0000}"/>
    <cellStyle name="Separador de milhares 3 3 2 5 2 2 2" xfId="28255" xr:uid="{00000000-0005-0000-0000-0000727C0000}"/>
    <cellStyle name="Separador de milhares 3 3 2 5 2 2 2 2" xfId="54436" xr:uid="{00000000-0005-0000-0000-0000737C0000}"/>
    <cellStyle name="Separador de milhares 3 3 2 5 2 2 3" xfId="22341" xr:uid="{00000000-0005-0000-0000-0000747C0000}"/>
    <cellStyle name="Separador de milhares 3 3 2 5 2 2 3 2" xfId="48528" xr:uid="{00000000-0005-0000-0000-0000757C0000}"/>
    <cellStyle name="Separador de milhares 3 3 2 5 2 2 4" xfId="16427" xr:uid="{00000000-0005-0000-0000-0000767C0000}"/>
    <cellStyle name="Separador de milhares 3 3 2 5 2 2 4 2" xfId="42620" xr:uid="{00000000-0005-0000-0000-0000777C0000}"/>
    <cellStyle name="Separador de milhares 3 3 2 5 2 2 5" xfId="36234" xr:uid="{00000000-0005-0000-0000-0000787C0000}"/>
    <cellStyle name="Separador de milhares 3 3 2 5 2 3" xfId="25298" xr:uid="{00000000-0005-0000-0000-0000797C0000}"/>
    <cellStyle name="Separador de milhares 3 3 2 5 2 3 2" xfId="51482" xr:uid="{00000000-0005-0000-0000-00007A7C0000}"/>
    <cellStyle name="Separador de milhares 3 3 2 5 2 4" xfId="19384" xr:uid="{00000000-0005-0000-0000-00007B7C0000}"/>
    <cellStyle name="Separador de milhares 3 3 2 5 2 4 2" xfId="45574" xr:uid="{00000000-0005-0000-0000-00007C7C0000}"/>
    <cellStyle name="Separador de milhares 3 3 2 5 2 5" xfId="13283" xr:uid="{00000000-0005-0000-0000-00007D7C0000}"/>
    <cellStyle name="Separador de milhares 3 3 2 5 2 5 2" xfId="39476" xr:uid="{00000000-0005-0000-0000-00007E7C0000}"/>
    <cellStyle name="Separador de milhares 3 3 2 5 2 6" xfId="33090" xr:uid="{00000000-0005-0000-0000-00007F7C0000}"/>
    <cellStyle name="Separador de milhares 3 3 2 5 3" xfId="8573" xr:uid="{00000000-0005-0000-0000-0000807C0000}"/>
    <cellStyle name="Separador de milhares 3 3 2 5 3 2" xfId="26787" xr:uid="{00000000-0005-0000-0000-0000817C0000}"/>
    <cellStyle name="Separador de milhares 3 3 2 5 3 2 2" xfId="52968" xr:uid="{00000000-0005-0000-0000-0000827C0000}"/>
    <cellStyle name="Separador de milhares 3 3 2 5 3 3" xfId="20873" xr:uid="{00000000-0005-0000-0000-0000837C0000}"/>
    <cellStyle name="Separador de milhares 3 3 2 5 3 3 2" xfId="47060" xr:uid="{00000000-0005-0000-0000-0000847C0000}"/>
    <cellStyle name="Separador de milhares 3 3 2 5 3 4" xfId="14959" xr:uid="{00000000-0005-0000-0000-0000857C0000}"/>
    <cellStyle name="Separador de milhares 3 3 2 5 3 4 2" xfId="41152" xr:uid="{00000000-0005-0000-0000-0000867C0000}"/>
    <cellStyle name="Separador de milhares 3 3 2 5 3 5" xfId="34766" xr:uid="{00000000-0005-0000-0000-0000877C0000}"/>
    <cellStyle name="Separador de milhares 3 3 2 5 4" xfId="5195" xr:uid="{00000000-0005-0000-0000-0000887C0000}"/>
    <cellStyle name="Separador de milhares 3 3 2 5 4 2" xfId="23830" xr:uid="{00000000-0005-0000-0000-0000897C0000}"/>
    <cellStyle name="Separador de milhares 3 3 2 5 4 2 2" xfId="50014" xr:uid="{00000000-0005-0000-0000-00008A7C0000}"/>
    <cellStyle name="Separador de milhares 3 3 2 5 4 3" xfId="31391" xr:uid="{00000000-0005-0000-0000-00008B7C0000}"/>
    <cellStyle name="Separador de milhares 3 3 2 5 5" xfId="17916" xr:uid="{00000000-0005-0000-0000-00008C7C0000}"/>
    <cellStyle name="Separador de milhares 3 3 2 5 5 2" xfId="44106" xr:uid="{00000000-0005-0000-0000-00008D7C0000}"/>
    <cellStyle name="Separador de milhares 3 3 2 5 6" xfId="11582" xr:uid="{00000000-0005-0000-0000-00008E7C0000}"/>
    <cellStyle name="Separador de milhares 3 3 2 5 6 2" xfId="37775" xr:uid="{00000000-0005-0000-0000-00008F7C0000}"/>
    <cellStyle name="Separador de milhares 3 3 2 5 7" xfId="29693" xr:uid="{00000000-0005-0000-0000-0000907C0000}"/>
    <cellStyle name="Separador de milhares 3 3 2 6" xfId="2199" xr:uid="{00000000-0005-0000-0000-0000917C0000}"/>
    <cellStyle name="Separador de milhares 3 3 2 6 2" xfId="7044" xr:uid="{00000000-0005-0000-0000-0000927C0000}"/>
    <cellStyle name="Separador de milhares 3 3 2 6 2 2" xfId="10188" xr:uid="{00000000-0005-0000-0000-0000937C0000}"/>
    <cellStyle name="Separador de milhares 3 3 2 6 2 2 2" xfId="28402" xr:uid="{00000000-0005-0000-0000-0000947C0000}"/>
    <cellStyle name="Separador de milhares 3 3 2 6 2 2 2 2" xfId="54583" xr:uid="{00000000-0005-0000-0000-0000957C0000}"/>
    <cellStyle name="Separador de milhares 3 3 2 6 2 2 3" xfId="22488" xr:uid="{00000000-0005-0000-0000-0000967C0000}"/>
    <cellStyle name="Separador de milhares 3 3 2 6 2 2 3 2" xfId="48675" xr:uid="{00000000-0005-0000-0000-0000977C0000}"/>
    <cellStyle name="Separador de milhares 3 3 2 6 2 2 4" xfId="16574" xr:uid="{00000000-0005-0000-0000-0000987C0000}"/>
    <cellStyle name="Separador de milhares 3 3 2 6 2 2 4 2" xfId="42767" xr:uid="{00000000-0005-0000-0000-0000997C0000}"/>
    <cellStyle name="Separador de milhares 3 3 2 6 2 2 5" xfId="36381" xr:uid="{00000000-0005-0000-0000-00009A7C0000}"/>
    <cellStyle name="Separador de milhares 3 3 2 6 2 3" xfId="25445" xr:uid="{00000000-0005-0000-0000-00009B7C0000}"/>
    <cellStyle name="Separador de milhares 3 3 2 6 2 3 2" xfId="51629" xr:uid="{00000000-0005-0000-0000-00009C7C0000}"/>
    <cellStyle name="Separador de milhares 3 3 2 6 2 4" xfId="19531" xr:uid="{00000000-0005-0000-0000-00009D7C0000}"/>
    <cellStyle name="Separador de milhares 3 3 2 6 2 4 2" xfId="45721" xr:uid="{00000000-0005-0000-0000-00009E7C0000}"/>
    <cellStyle name="Separador de milhares 3 3 2 6 2 5" xfId="13433" xr:uid="{00000000-0005-0000-0000-00009F7C0000}"/>
    <cellStyle name="Separador de milhares 3 3 2 6 2 5 2" xfId="39626" xr:uid="{00000000-0005-0000-0000-0000A07C0000}"/>
    <cellStyle name="Separador de milhares 3 3 2 6 2 6" xfId="33240" xr:uid="{00000000-0005-0000-0000-0000A17C0000}"/>
    <cellStyle name="Separador de milhares 3 3 2 6 3" xfId="8720" xr:uid="{00000000-0005-0000-0000-0000A27C0000}"/>
    <cellStyle name="Separador de milhares 3 3 2 6 3 2" xfId="26934" xr:uid="{00000000-0005-0000-0000-0000A37C0000}"/>
    <cellStyle name="Separador de milhares 3 3 2 6 3 2 2" xfId="53115" xr:uid="{00000000-0005-0000-0000-0000A47C0000}"/>
    <cellStyle name="Separador de milhares 3 3 2 6 3 3" xfId="21020" xr:uid="{00000000-0005-0000-0000-0000A57C0000}"/>
    <cellStyle name="Separador de milhares 3 3 2 6 3 3 2" xfId="47207" xr:uid="{00000000-0005-0000-0000-0000A67C0000}"/>
    <cellStyle name="Separador de milhares 3 3 2 6 3 4" xfId="15106" xr:uid="{00000000-0005-0000-0000-0000A77C0000}"/>
    <cellStyle name="Separador de milhares 3 3 2 6 3 4 2" xfId="41299" xr:uid="{00000000-0005-0000-0000-0000A87C0000}"/>
    <cellStyle name="Separador de milhares 3 3 2 6 3 5" xfId="34913" xr:uid="{00000000-0005-0000-0000-0000A97C0000}"/>
    <cellStyle name="Separador de milhares 3 3 2 6 4" xfId="5345" xr:uid="{00000000-0005-0000-0000-0000AA7C0000}"/>
    <cellStyle name="Separador de milhares 3 3 2 6 4 2" xfId="23977" xr:uid="{00000000-0005-0000-0000-0000AB7C0000}"/>
    <cellStyle name="Separador de milhares 3 3 2 6 4 2 2" xfId="50161" xr:uid="{00000000-0005-0000-0000-0000AC7C0000}"/>
    <cellStyle name="Separador de milhares 3 3 2 6 4 3" xfId="31541" xr:uid="{00000000-0005-0000-0000-0000AD7C0000}"/>
    <cellStyle name="Separador de milhares 3 3 2 6 5" xfId="18063" xr:uid="{00000000-0005-0000-0000-0000AE7C0000}"/>
    <cellStyle name="Separador de milhares 3 3 2 6 5 2" xfId="44253" xr:uid="{00000000-0005-0000-0000-0000AF7C0000}"/>
    <cellStyle name="Separador de milhares 3 3 2 6 6" xfId="11732" xr:uid="{00000000-0005-0000-0000-0000B07C0000}"/>
    <cellStyle name="Separador de milhares 3 3 2 6 6 2" xfId="37925" xr:uid="{00000000-0005-0000-0000-0000B17C0000}"/>
    <cellStyle name="Separador de milhares 3 3 2 6 7" xfId="29843" xr:uid="{00000000-0005-0000-0000-0000B27C0000}"/>
    <cellStyle name="Separador de milhares 3 3 2 7" xfId="2726" xr:uid="{00000000-0005-0000-0000-0000B37C0000}"/>
    <cellStyle name="Separador de milhares 3 3 2 7 2" xfId="7191" xr:uid="{00000000-0005-0000-0000-0000B47C0000}"/>
    <cellStyle name="Separador de milhares 3 3 2 7 2 2" xfId="10335" xr:uid="{00000000-0005-0000-0000-0000B57C0000}"/>
    <cellStyle name="Separador de milhares 3 3 2 7 2 2 2" xfId="28549" xr:uid="{00000000-0005-0000-0000-0000B67C0000}"/>
    <cellStyle name="Separador de milhares 3 3 2 7 2 2 2 2" xfId="54730" xr:uid="{00000000-0005-0000-0000-0000B77C0000}"/>
    <cellStyle name="Separador de milhares 3 3 2 7 2 2 3" xfId="22635" xr:uid="{00000000-0005-0000-0000-0000B87C0000}"/>
    <cellStyle name="Separador de milhares 3 3 2 7 2 2 3 2" xfId="48822" xr:uid="{00000000-0005-0000-0000-0000B97C0000}"/>
    <cellStyle name="Separador de milhares 3 3 2 7 2 2 4" xfId="16721" xr:uid="{00000000-0005-0000-0000-0000BA7C0000}"/>
    <cellStyle name="Separador de milhares 3 3 2 7 2 2 4 2" xfId="42914" xr:uid="{00000000-0005-0000-0000-0000BB7C0000}"/>
    <cellStyle name="Separador de milhares 3 3 2 7 2 2 5" xfId="36528" xr:uid="{00000000-0005-0000-0000-0000BC7C0000}"/>
    <cellStyle name="Separador de milhares 3 3 2 7 2 3" xfId="25592" xr:uid="{00000000-0005-0000-0000-0000BD7C0000}"/>
    <cellStyle name="Separador de milhares 3 3 2 7 2 3 2" xfId="51776" xr:uid="{00000000-0005-0000-0000-0000BE7C0000}"/>
    <cellStyle name="Separador de milhares 3 3 2 7 2 4" xfId="19678" xr:uid="{00000000-0005-0000-0000-0000BF7C0000}"/>
    <cellStyle name="Separador de milhares 3 3 2 7 2 4 2" xfId="45868" xr:uid="{00000000-0005-0000-0000-0000C07C0000}"/>
    <cellStyle name="Separador de milhares 3 3 2 7 2 5" xfId="13580" xr:uid="{00000000-0005-0000-0000-0000C17C0000}"/>
    <cellStyle name="Separador de milhares 3 3 2 7 2 5 2" xfId="39773" xr:uid="{00000000-0005-0000-0000-0000C27C0000}"/>
    <cellStyle name="Separador de milhares 3 3 2 7 2 6" xfId="33387" xr:uid="{00000000-0005-0000-0000-0000C37C0000}"/>
    <cellStyle name="Separador de milhares 3 3 2 7 3" xfId="8867" xr:uid="{00000000-0005-0000-0000-0000C47C0000}"/>
    <cellStyle name="Separador de milhares 3 3 2 7 3 2" xfId="27081" xr:uid="{00000000-0005-0000-0000-0000C57C0000}"/>
    <cellStyle name="Separador de milhares 3 3 2 7 3 2 2" xfId="53262" xr:uid="{00000000-0005-0000-0000-0000C67C0000}"/>
    <cellStyle name="Separador de milhares 3 3 2 7 3 3" xfId="21167" xr:uid="{00000000-0005-0000-0000-0000C77C0000}"/>
    <cellStyle name="Separador de milhares 3 3 2 7 3 3 2" xfId="47354" xr:uid="{00000000-0005-0000-0000-0000C87C0000}"/>
    <cellStyle name="Separador de milhares 3 3 2 7 3 4" xfId="15253" xr:uid="{00000000-0005-0000-0000-0000C97C0000}"/>
    <cellStyle name="Separador de milhares 3 3 2 7 3 4 2" xfId="41446" xr:uid="{00000000-0005-0000-0000-0000CA7C0000}"/>
    <cellStyle name="Separador de milhares 3 3 2 7 3 5" xfId="35060" xr:uid="{00000000-0005-0000-0000-0000CB7C0000}"/>
    <cellStyle name="Separador de milhares 3 3 2 7 4" xfId="5492" xr:uid="{00000000-0005-0000-0000-0000CC7C0000}"/>
    <cellStyle name="Separador de milhares 3 3 2 7 4 2" xfId="24124" xr:uid="{00000000-0005-0000-0000-0000CD7C0000}"/>
    <cellStyle name="Separador de milhares 3 3 2 7 4 2 2" xfId="50308" xr:uid="{00000000-0005-0000-0000-0000CE7C0000}"/>
    <cellStyle name="Separador de milhares 3 3 2 7 4 3" xfId="31688" xr:uid="{00000000-0005-0000-0000-0000CF7C0000}"/>
    <cellStyle name="Separador de milhares 3 3 2 7 5" xfId="18210" xr:uid="{00000000-0005-0000-0000-0000D07C0000}"/>
    <cellStyle name="Separador de milhares 3 3 2 7 5 2" xfId="44400" xr:uid="{00000000-0005-0000-0000-0000D17C0000}"/>
    <cellStyle name="Separador de milhares 3 3 2 7 6" xfId="11879" xr:uid="{00000000-0005-0000-0000-0000D27C0000}"/>
    <cellStyle name="Separador de milhares 3 3 2 7 6 2" xfId="38072" xr:uid="{00000000-0005-0000-0000-0000D37C0000}"/>
    <cellStyle name="Separador de milhares 3 3 2 7 7" xfId="29990" xr:uid="{00000000-0005-0000-0000-0000D47C0000}"/>
    <cellStyle name="Separador de milhares 3 3 2 8" xfId="3253" xr:uid="{00000000-0005-0000-0000-0000D57C0000}"/>
    <cellStyle name="Separador de milhares 3 3 2 8 2" xfId="7338" xr:uid="{00000000-0005-0000-0000-0000D67C0000}"/>
    <cellStyle name="Separador de milhares 3 3 2 8 2 2" xfId="10482" xr:uid="{00000000-0005-0000-0000-0000D77C0000}"/>
    <cellStyle name="Separador de milhares 3 3 2 8 2 2 2" xfId="28696" xr:uid="{00000000-0005-0000-0000-0000D87C0000}"/>
    <cellStyle name="Separador de milhares 3 3 2 8 2 2 2 2" xfId="54877" xr:uid="{00000000-0005-0000-0000-0000D97C0000}"/>
    <cellStyle name="Separador de milhares 3 3 2 8 2 2 3" xfId="22782" xr:uid="{00000000-0005-0000-0000-0000DA7C0000}"/>
    <cellStyle name="Separador de milhares 3 3 2 8 2 2 3 2" xfId="48969" xr:uid="{00000000-0005-0000-0000-0000DB7C0000}"/>
    <cellStyle name="Separador de milhares 3 3 2 8 2 2 4" xfId="16868" xr:uid="{00000000-0005-0000-0000-0000DC7C0000}"/>
    <cellStyle name="Separador de milhares 3 3 2 8 2 2 4 2" xfId="43061" xr:uid="{00000000-0005-0000-0000-0000DD7C0000}"/>
    <cellStyle name="Separador de milhares 3 3 2 8 2 2 5" xfId="36675" xr:uid="{00000000-0005-0000-0000-0000DE7C0000}"/>
    <cellStyle name="Separador de milhares 3 3 2 8 2 3" xfId="25739" xr:uid="{00000000-0005-0000-0000-0000DF7C0000}"/>
    <cellStyle name="Separador de milhares 3 3 2 8 2 3 2" xfId="51923" xr:uid="{00000000-0005-0000-0000-0000E07C0000}"/>
    <cellStyle name="Separador de milhares 3 3 2 8 2 4" xfId="19825" xr:uid="{00000000-0005-0000-0000-0000E17C0000}"/>
    <cellStyle name="Separador de milhares 3 3 2 8 2 4 2" xfId="46015" xr:uid="{00000000-0005-0000-0000-0000E27C0000}"/>
    <cellStyle name="Separador de milhares 3 3 2 8 2 5" xfId="13727" xr:uid="{00000000-0005-0000-0000-0000E37C0000}"/>
    <cellStyle name="Separador de milhares 3 3 2 8 2 5 2" xfId="39920" xr:uid="{00000000-0005-0000-0000-0000E47C0000}"/>
    <cellStyle name="Separador de milhares 3 3 2 8 2 6" xfId="33534" xr:uid="{00000000-0005-0000-0000-0000E57C0000}"/>
    <cellStyle name="Separador de milhares 3 3 2 8 3" xfId="9014" xr:uid="{00000000-0005-0000-0000-0000E67C0000}"/>
    <cellStyle name="Separador de milhares 3 3 2 8 3 2" xfId="27228" xr:uid="{00000000-0005-0000-0000-0000E77C0000}"/>
    <cellStyle name="Separador de milhares 3 3 2 8 3 2 2" xfId="53409" xr:uid="{00000000-0005-0000-0000-0000E87C0000}"/>
    <cellStyle name="Separador de milhares 3 3 2 8 3 3" xfId="21314" xr:uid="{00000000-0005-0000-0000-0000E97C0000}"/>
    <cellStyle name="Separador de milhares 3 3 2 8 3 3 2" xfId="47501" xr:uid="{00000000-0005-0000-0000-0000EA7C0000}"/>
    <cellStyle name="Separador de milhares 3 3 2 8 3 4" xfId="15400" xr:uid="{00000000-0005-0000-0000-0000EB7C0000}"/>
    <cellStyle name="Separador de milhares 3 3 2 8 3 4 2" xfId="41593" xr:uid="{00000000-0005-0000-0000-0000EC7C0000}"/>
    <cellStyle name="Separador de milhares 3 3 2 8 3 5" xfId="35207" xr:uid="{00000000-0005-0000-0000-0000ED7C0000}"/>
    <cellStyle name="Separador de milhares 3 3 2 8 4" xfId="5639" xr:uid="{00000000-0005-0000-0000-0000EE7C0000}"/>
    <cellStyle name="Separador de milhares 3 3 2 8 4 2" xfId="24271" xr:uid="{00000000-0005-0000-0000-0000EF7C0000}"/>
    <cellStyle name="Separador de milhares 3 3 2 8 4 2 2" xfId="50455" xr:uid="{00000000-0005-0000-0000-0000F07C0000}"/>
    <cellStyle name="Separador de milhares 3 3 2 8 4 3" xfId="31835" xr:uid="{00000000-0005-0000-0000-0000F17C0000}"/>
    <cellStyle name="Separador de milhares 3 3 2 8 5" xfId="18357" xr:uid="{00000000-0005-0000-0000-0000F27C0000}"/>
    <cellStyle name="Separador de milhares 3 3 2 8 5 2" xfId="44547" xr:uid="{00000000-0005-0000-0000-0000F37C0000}"/>
    <cellStyle name="Separador de milhares 3 3 2 8 6" xfId="12026" xr:uid="{00000000-0005-0000-0000-0000F47C0000}"/>
    <cellStyle name="Separador de milhares 3 3 2 8 6 2" xfId="38219" xr:uid="{00000000-0005-0000-0000-0000F57C0000}"/>
    <cellStyle name="Separador de milhares 3 3 2 8 7" xfId="30137" xr:uid="{00000000-0005-0000-0000-0000F67C0000}"/>
    <cellStyle name="Separador de milhares 3 3 2 9" xfId="3780" xr:uid="{00000000-0005-0000-0000-0000F77C0000}"/>
    <cellStyle name="Separador de milhares 3 3 2 9 2" xfId="7485" xr:uid="{00000000-0005-0000-0000-0000F87C0000}"/>
    <cellStyle name="Separador de milhares 3 3 2 9 2 2" xfId="10629" xr:uid="{00000000-0005-0000-0000-0000F97C0000}"/>
    <cellStyle name="Separador de milhares 3 3 2 9 2 2 2" xfId="28843" xr:uid="{00000000-0005-0000-0000-0000FA7C0000}"/>
    <cellStyle name="Separador de milhares 3 3 2 9 2 2 2 2" xfId="55024" xr:uid="{00000000-0005-0000-0000-0000FB7C0000}"/>
    <cellStyle name="Separador de milhares 3 3 2 9 2 2 3" xfId="22929" xr:uid="{00000000-0005-0000-0000-0000FC7C0000}"/>
    <cellStyle name="Separador de milhares 3 3 2 9 2 2 3 2" xfId="49116" xr:uid="{00000000-0005-0000-0000-0000FD7C0000}"/>
    <cellStyle name="Separador de milhares 3 3 2 9 2 2 4" xfId="17015" xr:uid="{00000000-0005-0000-0000-0000FE7C0000}"/>
    <cellStyle name="Separador de milhares 3 3 2 9 2 2 4 2" xfId="43208" xr:uid="{00000000-0005-0000-0000-0000FF7C0000}"/>
    <cellStyle name="Separador de milhares 3 3 2 9 2 2 5" xfId="36822" xr:uid="{00000000-0005-0000-0000-0000007D0000}"/>
    <cellStyle name="Separador de milhares 3 3 2 9 2 3" xfId="25886" xr:uid="{00000000-0005-0000-0000-0000017D0000}"/>
    <cellStyle name="Separador de milhares 3 3 2 9 2 3 2" xfId="52070" xr:uid="{00000000-0005-0000-0000-0000027D0000}"/>
    <cellStyle name="Separador de milhares 3 3 2 9 2 4" xfId="19972" xr:uid="{00000000-0005-0000-0000-0000037D0000}"/>
    <cellStyle name="Separador de milhares 3 3 2 9 2 4 2" xfId="46162" xr:uid="{00000000-0005-0000-0000-0000047D0000}"/>
    <cellStyle name="Separador de milhares 3 3 2 9 2 5" xfId="13874" xr:uid="{00000000-0005-0000-0000-0000057D0000}"/>
    <cellStyle name="Separador de milhares 3 3 2 9 2 5 2" xfId="40067" xr:uid="{00000000-0005-0000-0000-0000067D0000}"/>
    <cellStyle name="Separador de milhares 3 3 2 9 2 6" xfId="33681" xr:uid="{00000000-0005-0000-0000-0000077D0000}"/>
    <cellStyle name="Separador de milhares 3 3 2 9 3" xfId="9161" xr:uid="{00000000-0005-0000-0000-0000087D0000}"/>
    <cellStyle name="Separador de milhares 3 3 2 9 3 2" xfId="27375" xr:uid="{00000000-0005-0000-0000-0000097D0000}"/>
    <cellStyle name="Separador de milhares 3 3 2 9 3 2 2" xfId="53556" xr:uid="{00000000-0005-0000-0000-00000A7D0000}"/>
    <cellStyle name="Separador de milhares 3 3 2 9 3 3" xfId="21461" xr:uid="{00000000-0005-0000-0000-00000B7D0000}"/>
    <cellStyle name="Separador de milhares 3 3 2 9 3 3 2" xfId="47648" xr:uid="{00000000-0005-0000-0000-00000C7D0000}"/>
    <cellStyle name="Separador de milhares 3 3 2 9 3 4" xfId="15547" xr:uid="{00000000-0005-0000-0000-00000D7D0000}"/>
    <cellStyle name="Separador de milhares 3 3 2 9 3 4 2" xfId="41740" xr:uid="{00000000-0005-0000-0000-00000E7D0000}"/>
    <cellStyle name="Separador de milhares 3 3 2 9 3 5" xfId="35354" xr:uid="{00000000-0005-0000-0000-00000F7D0000}"/>
    <cellStyle name="Separador de milhares 3 3 2 9 4" xfId="5786" xr:uid="{00000000-0005-0000-0000-0000107D0000}"/>
    <cellStyle name="Separador de milhares 3 3 2 9 4 2" xfId="24418" xr:uid="{00000000-0005-0000-0000-0000117D0000}"/>
    <cellStyle name="Separador de milhares 3 3 2 9 4 2 2" xfId="50602" xr:uid="{00000000-0005-0000-0000-0000127D0000}"/>
    <cellStyle name="Separador de milhares 3 3 2 9 4 3" xfId="31982" xr:uid="{00000000-0005-0000-0000-0000137D0000}"/>
    <cellStyle name="Separador de milhares 3 3 2 9 5" xfId="18504" xr:uid="{00000000-0005-0000-0000-0000147D0000}"/>
    <cellStyle name="Separador de milhares 3 3 2 9 5 2" xfId="44694" xr:uid="{00000000-0005-0000-0000-0000157D0000}"/>
    <cellStyle name="Separador de milhares 3 3 2 9 6" xfId="12173" xr:uid="{00000000-0005-0000-0000-0000167D0000}"/>
    <cellStyle name="Separador de milhares 3 3 2 9 6 2" xfId="38366" xr:uid="{00000000-0005-0000-0000-0000177D0000}"/>
    <cellStyle name="Separador de milhares 3 3 2 9 7" xfId="30284" xr:uid="{00000000-0005-0000-0000-0000187D0000}"/>
    <cellStyle name="Separador de milhares 3 3 3" xfId="232" xr:uid="{00000000-0005-0000-0000-0000197D0000}"/>
    <cellStyle name="Separador de milhares 3 3 3 10" xfId="6476" xr:uid="{00000000-0005-0000-0000-00001A7D0000}"/>
    <cellStyle name="Separador de milhares 3 3 3 10 2" xfId="9627" xr:uid="{00000000-0005-0000-0000-00001B7D0000}"/>
    <cellStyle name="Separador de milhares 3 3 3 10 2 2" xfId="27841" xr:uid="{00000000-0005-0000-0000-00001C7D0000}"/>
    <cellStyle name="Separador de milhares 3 3 3 10 2 2 2" xfId="54022" xr:uid="{00000000-0005-0000-0000-00001D7D0000}"/>
    <cellStyle name="Separador de milhares 3 3 3 10 2 3" xfId="21927" xr:uid="{00000000-0005-0000-0000-00001E7D0000}"/>
    <cellStyle name="Separador de milhares 3 3 3 10 2 3 2" xfId="48114" xr:uid="{00000000-0005-0000-0000-00001F7D0000}"/>
    <cellStyle name="Separador de milhares 3 3 3 10 2 4" xfId="16013" xr:uid="{00000000-0005-0000-0000-0000207D0000}"/>
    <cellStyle name="Separador de milhares 3 3 3 10 2 4 2" xfId="42206" xr:uid="{00000000-0005-0000-0000-0000217D0000}"/>
    <cellStyle name="Separador de milhares 3 3 3 10 2 5" xfId="35820" xr:uid="{00000000-0005-0000-0000-0000227D0000}"/>
    <cellStyle name="Separador de milhares 3 3 3 10 3" xfId="24884" xr:uid="{00000000-0005-0000-0000-0000237D0000}"/>
    <cellStyle name="Separador de milhares 3 3 3 10 3 2" xfId="51068" xr:uid="{00000000-0005-0000-0000-0000247D0000}"/>
    <cellStyle name="Separador de milhares 3 3 3 10 4" xfId="18970" xr:uid="{00000000-0005-0000-0000-0000257D0000}"/>
    <cellStyle name="Separador de milhares 3 3 3 10 4 2" xfId="45160" xr:uid="{00000000-0005-0000-0000-0000267D0000}"/>
    <cellStyle name="Separador de milhares 3 3 3 10 5" xfId="12865" xr:uid="{00000000-0005-0000-0000-0000277D0000}"/>
    <cellStyle name="Separador de milhares 3 3 3 10 5 2" xfId="39058" xr:uid="{00000000-0005-0000-0000-0000287D0000}"/>
    <cellStyle name="Separador de milhares 3 3 3 10 6" xfId="32672" xr:uid="{00000000-0005-0000-0000-0000297D0000}"/>
    <cellStyle name="Separador de milhares 3 3 3 11" xfId="8156" xr:uid="{00000000-0005-0000-0000-00002A7D0000}"/>
    <cellStyle name="Separador de milhares 3 3 3 11 2" xfId="26370" xr:uid="{00000000-0005-0000-0000-00002B7D0000}"/>
    <cellStyle name="Separador de milhares 3 3 3 11 2 2" xfId="52554" xr:uid="{00000000-0005-0000-0000-00002C7D0000}"/>
    <cellStyle name="Separador de milhares 3 3 3 11 3" xfId="20456" xr:uid="{00000000-0005-0000-0000-00002D7D0000}"/>
    <cellStyle name="Separador de milhares 3 3 3 11 3 2" xfId="46646" xr:uid="{00000000-0005-0000-0000-00002E7D0000}"/>
    <cellStyle name="Separador de milhares 3 3 3 11 4" xfId="14545" xr:uid="{00000000-0005-0000-0000-00002F7D0000}"/>
    <cellStyle name="Separador de milhares 3 3 3 11 4 2" xfId="40738" xr:uid="{00000000-0005-0000-0000-0000307D0000}"/>
    <cellStyle name="Separador de milhares 3 3 3 11 5" xfId="34352" xr:uid="{00000000-0005-0000-0000-0000317D0000}"/>
    <cellStyle name="Separador de milhares 3 3 3 12" xfId="4775" xr:uid="{00000000-0005-0000-0000-0000327D0000}"/>
    <cellStyle name="Separador de milhares 3 3 3 12 2" xfId="23413" xr:uid="{00000000-0005-0000-0000-0000337D0000}"/>
    <cellStyle name="Separador de milhares 3 3 3 12 2 2" xfId="49600" xr:uid="{00000000-0005-0000-0000-0000347D0000}"/>
    <cellStyle name="Separador de milhares 3 3 3 12 3" xfId="30973" xr:uid="{00000000-0005-0000-0000-0000357D0000}"/>
    <cellStyle name="Separador de milhares 3 3 3 13" xfId="17499" xr:uid="{00000000-0005-0000-0000-0000367D0000}"/>
    <cellStyle name="Separador de milhares 3 3 3 13 2" xfId="43692" xr:uid="{00000000-0005-0000-0000-0000377D0000}"/>
    <cellStyle name="Separador de milhares 3 3 3 14" xfId="11164" xr:uid="{00000000-0005-0000-0000-0000387D0000}"/>
    <cellStyle name="Separador de milhares 3 3 3 14 2" xfId="37357" xr:uid="{00000000-0005-0000-0000-0000397D0000}"/>
    <cellStyle name="Separador de milhares 3 3 3 15" xfId="29275" xr:uid="{00000000-0005-0000-0000-00003A7D0000}"/>
    <cellStyle name="Separador de milhares 3 3 3 2" xfId="495" xr:uid="{00000000-0005-0000-0000-00003B7D0000}"/>
    <cellStyle name="Separador de milhares 3 3 3 2 2" xfId="6547" xr:uid="{00000000-0005-0000-0000-00003C7D0000}"/>
    <cellStyle name="Separador de milhares 3 3 3 2 2 2" xfId="9694" xr:uid="{00000000-0005-0000-0000-00003D7D0000}"/>
    <cellStyle name="Separador de milhares 3 3 3 2 2 2 2" xfId="27908" xr:uid="{00000000-0005-0000-0000-00003E7D0000}"/>
    <cellStyle name="Separador de milhares 3 3 3 2 2 2 2 2" xfId="54089" xr:uid="{00000000-0005-0000-0000-00003F7D0000}"/>
    <cellStyle name="Separador de milhares 3 3 3 2 2 2 3" xfId="21994" xr:uid="{00000000-0005-0000-0000-0000407D0000}"/>
    <cellStyle name="Separador de milhares 3 3 3 2 2 2 3 2" xfId="48181" xr:uid="{00000000-0005-0000-0000-0000417D0000}"/>
    <cellStyle name="Separador de milhares 3 3 3 2 2 2 4" xfId="16080" xr:uid="{00000000-0005-0000-0000-0000427D0000}"/>
    <cellStyle name="Separador de milhares 3 3 3 2 2 2 4 2" xfId="42273" xr:uid="{00000000-0005-0000-0000-0000437D0000}"/>
    <cellStyle name="Separador de milhares 3 3 3 2 2 2 5" xfId="35887" xr:uid="{00000000-0005-0000-0000-0000447D0000}"/>
    <cellStyle name="Separador de milhares 3 3 3 2 2 3" xfId="24951" xr:uid="{00000000-0005-0000-0000-0000457D0000}"/>
    <cellStyle name="Separador de milhares 3 3 3 2 2 3 2" xfId="51135" xr:uid="{00000000-0005-0000-0000-0000467D0000}"/>
    <cellStyle name="Separador de milhares 3 3 3 2 2 4" xfId="19037" xr:uid="{00000000-0005-0000-0000-0000477D0000}"/>
    <cellStyle name="Separador de milhares 3 3 3 2 2 4 2" xfId="45227" xr:uid="{00000000-0005-0000-0000-0000487D0000}"/>
    <cellStyle name="Separador de milhares 3 3 3 2 2 5" xfId="12936" xr:uid="{00000000-0005-0000-0000-0000497D0000}"/>
    <cellStyle name="Separador de milhares 3 3 3 2 2 5 2" xfId="39129" xr:uid="{00000000-0005-0000-0000-00004A7D0000}"/>
    <cellStyle name="Separador de milhares 3 3 3 2 2 6" xfId="32743" xr:uid="{00000000-0005-0000-0000-00004B7D0000}"/>
    <cellStyle name="Separador de milhares 3 3 3 2 3" xfId="8223" xr:uid="{00000000-0005-0000-0000-00004C7D0000}"/>
    <cellStyle name="Separador de milhares 3 3 3 2 3 2" xfId="26437" xr:uid="{00000000-0005-0000-0000-00004D7D0000}"/>
    <cellStyle name="Separador de milhares 3 3 3 2 3 2 2" xfId="52621" xr:uid="{00000000-0005-0000-0000-00004E7D0000}"/>
    <cellStyle name="Separador de milhares 3 3 3 2 3 3" xfId="20523" xr:uid="{00000000-0005-0000-0000-00004F7D0000}"/>
    <cellStyle name="Separador de milhares 3 3 3 2 3 3 2" xfId="46713" xr:uid="{00000000-0005-0000-0000-0000507D0000}"/>
    <cellStyle name="Separador de milhares 3 3 3 2 3 4" xfId="14612" xr:uid="{00000000-0005-0000-0000-0000517D0000}"/>
    <cellStyle name="Separador de milhares 3 3 3 2 3 4 2" xfId="40805" xr:uid="{00000000-0005-0000-0000-0000527D0000}"/>
    <cellStyle name="Separador de milhares 3 3 3 2 3 5" xfId="34419" xr:uid="{00000000-0005-0000-0000-0000537D0000}"/>
    <cellStyle name="Separador de milhares 3 3 3 2 4" xfId="4846" xr:uid="{00000000-0005-0000-0000-0000547D0000}"/>
    <cellStyle name="Separador de milhares 3 3 3 2 4 2" xfId="23480" xr:uid="{00000000-0005-0000-0000-0000557D0000}"/>
    <cellStyle name="Separador de milhares 3 3 3 2 4 2 2" xfId="49667" xr:uid="{00000000-0005-0000-0000-0000567D0000}"/>
    <cellStyle name="Separador de milhares 3 3 3 2 4 3" xfId="31044" xr:uid="{00000000-0005-0000-0000-0000577D0000}"/>
    <cellStyle name="Separador de milhares 3 3 3 2 5" xfId="17566" xr:uid="{00000000-0005-0000-0000-0000587D0000}"/>
    <cellStyle name="Separador de milhares 3 3 3 2 5 2" xfId="43759" xr:uid="{00000000-0005-0000-0000-0000597D0000}"/>
    <cellStyle name="Separador de milhares 3 3 3 2 6" xfId="11235" xr:uid="{00000000-0005-0000-0000-00005A7D0000}"/>
    <cellStyle name="Separador de milhares 3 3 3 2 6 2" xfId="37428" xr:uid="{00000000-0005-0000-0000-00005B7D0000}"/>
    <cellStyle name="Separador de milhares 3 3 3 2 7" xfId="29346" xr:uid="{00000000-0005-0000-0000-00005C7D0000}"/>
    <cellStyle name="Separador de milhares 3 3 3 3" xfId="792" xr:uid="{00000000-0005-0000-0000-00005D7D0000}"/>
    <cellStyle name="Separador de milhares 3 3 3 3 2" xfId="6649" xr:uid="{00000000-0005-0000-0000-00005E7D0000}"/>
    <cellStyle name="Separador de milhares 3 3 3 3 2 2" xfId="9796" xr:uid="{00000000-0005-0000-0000-00005F7D0000}"/>
    <cellStyle name="Separador de milhares 3 3 3 3 2 2 2" xfId="28010" xr:uid="{00000000-0005-0000-0000-0000607D0000}"/>
    <cellStyle name="Separador de milhares 3 3 3 3 2 2 2 2" xfId="54191" xr:uid="{00000000-0005-0000-0000-0000617D0000}"/>
    <cellStyle name="Separador de milhares 3 3 3 3 2 2 3" xfId="22096" xr:uid="{00000000-0005-0000-0000-0000627D0000}"/>
    <cellStyle name="Separador de milhares 3 3 3 3 2 2 3 2" xfId="48283" xr:uid="{00000000-0005-0000-0000-0000637D0000}"/>
    <cellStyle name="Separador de milhares 3 3 3 3 2 2 4" xfId="16182" xr:uid="{00000000-0005-0000-0000-0000647D0000}"/>
    <cellStyle name="Separador de milhares 3 3 3 3 2 2 4 2" xfId="42375" xr:uid="{00000000-0005-0000-0000-0000657D0000}"/>
    <cellStyle name="Separador de milhares 3 3 3 3 2 2 5" xfId="35989" xr:uid="{00000000-0005-0000-0000-0000667D0000}"/>
    <cellStyle name="Separador de milhares 3 3 3 3 2 3" xfId="25053" xr:uid="{00000000-0005-0000-0000-0000677D0000}"/>
    <cellStyle name="Separador de milhares 3 3 3 3 2 3 2" xfId="51237" xr:uid="{00000000-0005-0000-0000-0000687D0000}"/>
    <cellStyle name="Separador de milhares 3 3 3 3 2 4" xfId="19139" xr:uid="{00000000-0005-0000-0000-0000697D0000}"/>
    <cellStyle name="Separador de milhares 3 3 3 3 2 4 2" xfId="45329" xr:uid="{00000000-0005-0000-0000-00006A7D0000}"/>
    <cellStyle name="Separador de milhares 3 3 3 3 2 5" xfId="13038" xr:uid="{00000000-0005-0000-0000-00006B7D0000}"/>
    <cellStyle name="Separador de milhares 3 3 3 3 2 5 2" xfId="39231" xr:uid="{00000000-0005-0000-0000-00006C7D0000}"/>
    <cellStyle name="Separador de milhares 3 3 3 3 2 6" xfId="32845" xr:uid="{00000000-0005-0000-0000-00006D7D0000}"/>
    <cellStyle name="Separador de milhares 3 3 3 3 3" xfId="8328" xr:uid="{00000000-0005-0000-0000-00006E7D0000}"/>
    <cellStyle name="Separador de milhares 3 3 3 3 3 2" xfId="26542" xr:uid="{00000000-0005-0000-0000-00006F7D0000}"/>
    <cellStyle name="Separador de milhares 3 3 3 3 3 2 2" xfId="52723" xr:uid="{00000000-0005-0000-0000-0000707D0000}"/>
    <cellStyle name="Separador de milhares 3 3 3 3 3 3" xfId="20628" xr:uid="{00000000-0005-0000-0000-0000717D0000}"/>
    <cellStyle name="Separador de milhares 3 3 3 3 3 3 2" xfId="46815" xr:uid="{00000000-0005-0000-0000-0000727D0000}"/>
    <cellStyle name="Separador de milhares 3 3 3 3 3 4" xfId="14714" xr:uid="{00000000-0005-0000-0000-0000737D0000}"/>
    <cellStyle name="Separador de milhares 3 3 3 3 3 4 2" xfId="40907" xr:uid="{00000000-0005-0000-0000-0000747D0000}"/>
    <cellStyle name="Separador de milhares 3 3 3 3 3 5" xfId="34521" xr:uid="{00000000-0005-0000-0000-0000757D0000}"/>
    <cellStyle name="Separador de milhares 3 3 3 3 4" xfId="4950" xr:uid="{00000000-0005-0000-0000-0000767D0000}"/>
    <cellStyle name="Separador de milhares 3 3 3 3 4 2" xfId="23585" xr:uid="{00000000-0005-0000-0000-0000777D0000}"/>
    <cellStyle name="Separador de milhares 3 3 3 3 4 2 2" xfId="49769" xr:uid="{00000000-0005-0000-0000-0000787D0000}"/>
    <cellStyle name="Separador de milhares 3 3 3 3 4 3" xfId="31146" xr:uid="{00000000-0005-0000-0000-0000797D0000}"/>
    <cellStyle name="Separador de milhares 3 3 3 3 5" xfId="17671" xr:uid="{00000000-0005-0000-0000-00007A7D0000}"/>
    <cellStyle name="Separador de milhares 3 3 3 3 5 2" xfId="43861" xr:uid="{00000000-0005-0000-0000-00007B7D0000}"/>
    <cellStyle name="Separador de milhares 3 3 3 3 6" xfId="11337" xr:uid="{00000000-0005-0000-0000-00007C7D0000}"/>
    <cellStyle name="Separador de milhares 3 3 3 3 6 2" xfId="37530" xr:uid="{00000000-0005-0000-0000-00007D7D0000}"/>
    <cellStyle name="Separador de milhares 3 3 3 3 7" xfId="29448" xr:uid="{00000000-0005-0000-0000-00007E7D0000}"/>
    <cellStyle name="Separador de milhares 3 3 3 4" xfId="1143" xr:uid="{00000000-0005-0000-0000-00007F7D0000}"/>
    <cellStyle name="Separador de milhares 3 3 3 4 2" xfId="6747" xr:uid="{00000000-0005-0000-0000-0000807D0000}"/>
    <cellStyle name="Separador de milhares 3 3 3 4 2 2" xfId="9894" xr:uid="{00000000-0005-0000-0000-0000817D0000}"/>
    <cellStyle name="Separador de milhares 3 3 3 4 2 2 2" xfId="28108" xr:uid="{00000000-0005-0000-0000-0000827D0000}"/>
    <cellStyle name="Separador de milhares 3 3 3 4 2 2 2 2" xfId="54289" xr:uid="{00000000-0005-0000-0000-0000837D0000}"/>
    <cellStyle name="Separador de milhares 3 3 3 4 2 2 3" xfId="22194" xr:uid="{00000000-0005-0000-0000-0000847D0000}"/>
    <cellStyle name="Separador de milhares 3 3 3 4 2 2 3 2" xfId="48381" xr:uid="{00000000-0005-0000-0000-0000857D0000}"/>
    <cellStyle name="Separador de milhares 3 3 3 4 2 2 4" xfId="16280" xr:uid="{00000000-0005-0000-0000-0000867D0000}"/>
    <cellStyle name="Separador de milhares 3 3 3 4 2 2 4 2" xfId="42473" xr:uid="{00000000-0005-0000-0000-0000877D0000}"/>
    <cellStyle name="Separador de milhares 3 3 3 4 2 2 5" xfId="36087" xr:uid="{00000000-0005-0000-0000-0000887D0000}"/>
    <cellStyle name="Separador de milhares 3 3 3 4 2 3" xfId="25151" xr:uid="{00000000-0005-0000-0000-0000897D0000}"/>
    <cellStyle name="Separador de milhares 3 3 3 4 2 3 2" xfId="51335" xr:uid="{00000000-0005-0000-0000-00008A7D0000}"/>
    <cellStyle name="Separador de milhares 3 3 3 4 2 4" xfId="19237" xr:uid="{00000000-0005-0000-0000-00008B7D0000}"/>
    <cellStyle name="Separador de milhares 3 3 3 4 2 4 2" xfId="45427" xr:uid="{00000000-0005-0000-0000-00008C7D0000}"/>
    <cellStyle name="Separador de milhares 3 3 3 4 2 5" xfId="13136" xr:uid="{00000000-0005-0000-0000-00008D7D0000}"/>
    <cellStyle name="Separador de milhares 3 3 3 4 2 5 2" xfId="39329" xr:uid="{00000000-0005-0000-0000-00008E7D0000}"/>
    <cellStyle name="Separador de milhares 3 3 3 4 2 6" xfId="32943" xr:uid="{00000000-0005-0000-0000-00008F7D0000}"/>
    <cellStyle name="Separador de milhares 3 3 3 4 3" xfId="8426" xr:uid="{00000000-0005-0000-0000-0000907D0000}"/>
    <cellStyle name="Separador de milhares 3 3 3 4 3 2" xfId="26640" xr:uid="{00000000-0005-0000-0000-0000917D0000}"/>
    <cellStyle name="Separador de milhares 3 3 3 4 3 2 2" xfId="52821" xr:uid="{00000000-0005-0000-0000-0000927D0000}"/>
    <cellStyle name="Separador de milhares 3 3 3 4 3 3" xfId="20726" xr:uid="{00000000-0005-0000-0000-0000937D0000}"/>
    <cellStyle name="Separador de milhares 3 3 3 4 3 3 2" xfId="46913" xr:uid="{00000000-0005-0000-0000-0000947D0000}"/>
    <cellStyle name="Separador de milhares 3 3 3 4 3 4" xfId="14812" xr:uid="{00000000-0005-0000-0000-0000957D0000}"/>
    <cellStyle name="Separador de milhares 3 3 3 4 3 4 2" xfId="41005" xr:uid="{00000000-0005-0000-0000-0000967D0000}"/>
    <cellStyle name="Separador de milhares 3 3 3 4 3 5" xfId="34619" xr:uid="{00000000-0005-0000-0000-0000977D0000}"/>
    <cellStyle name="Separador de milhares 3 3 3 4 4" xfId="5048" xr:uid="{00000000-0005-0000-0000-0000987D0000}"/>
    <cellStyle name="Separador de milhares 3 3 3 4 4 2" xfId="23683" xr:uid="{00000000-0005-0000-0000-0000997D0000}"/>
    <cellStyle name="Separador de milhares 3 3 3 4 4 2 2" xfId="49867" xr:uid="{00000000-0005-0000-0000-00009A7D0000}"/>
    <cellStyle name="Separador de milhares 3 3 3 4 4 3" xfId="31244" xr:uid="{00000000-0005-0000-0000-00009B7D0000}"/>
    <cellStyle name="Separador de milhares 3 3 3 4 5" xfId="17769" xr:uid="{00000000-0005-0000-0000-00009C7D0000}"/>
    <cellStyle name="Separador de milhares 3 3 3 4 5 2" xfId="43959" xr:uid="{00000000-0005-0000-0000-00009D7D0000}"/>
    <cellStyle name="Separador de milhares 3 3 3 4 6" xfId="11435" xr:uid="{00000000-0005-0000-0000-00009E7D0000}"/>
    <cellStyle name="Separador de milhares 3 3 3 4 6 2" xfId="37628" xr:uid="{00000000-0005-0000-0000-00009F7D0000}"/>
    <cellStyle name="Separador de milhares 3 3 3 4 7" xfId="29546" xr:uid="{00000000-0005-0000-0000-0000A07D0000}"/>
    <cellStyle name="Separador de milhares 3 3 3 5" xfId="1578" xr:uid="{00000000-0005-0000-0000-0000A17D0000}"/>
    <cellStyle name="Separador de milhares 3 3 3 5 2" xfId="6866" xr:uid="{00000000-0005-0000-0000-0000A27D0000}"/>
    <cellStyle name="Separador de milhares 3 3 3 5 2 2" xfId="10013" xr:uid="{00000000-0005-0000-0000-0000A37D0000}"/>
    <cellStyle name="Separador de milhares 3 3 3 5 2 2 2" xfId="28227" xr:uid="{00000000-0005-0000-0000-0000A47D0000}"/>
    <cellStyle name="Separador de milhares 3 3 3 5 2 2 2 2" xfId="54408" xr:uid="{00000000-0005-0000-0000-0000A57D0000}"/>
    <cellStyle name="Separador de milhares 3 3 3 5 2 2 3" xfId="22313" xr:uid="{00000000-0005-0000-0000-0000A67D0000}"/>
    <cellStyle name="Separador de milhares 3 3 3 5 2 2 3 2" xfId="48500" xr:uid="{00000000-0005-0000-0000-0000A77D0000}"/>
    <cellStyle name="Separador de milhares 3 3 3 5 2 2 4" xfId="16399" xr:uid="{00000000-0005-0000-0000-0000A87D0000}"/>
    <cellStyle name="Separador de milhares 3 3 3 5 2 2 4 2" xfId="42592" xr:uid="{00000000-0005-0000-0000-0000A97D0000}"/>
    <cellStyle name="Separador de milhares 3 3 3 5 2 2 5" xfId="36206" xr:uid="{00000000-0005-0000-0000-0000AA7D0000}"/>
    <cellStyle name="Separador de milhares 3 3 3 5 2 3" xfId="25270" xr:uid="{00000000-0005-0000-0000-0000AB7D0000}"/>
    <cellStyle name="Separador de milhares 3 3 3 5 2 3 2" xfId="51454" xr:uid="{00000000-0005-0000-0000-0000AC7D0000}"/>
    <cellStyle name="Separador de milhares 3 3 3 5 2 4" xfId="19356" xr:uid="{00000000-0005-0000-0000-0000AD7D0000}"/>
    <cellStyle name="Separador de milhares 3 3 3 5 2 4 2" xfId="45546" xr:uid="{00000000-0005-0000-0000-0000AE7D0000}"/>
    <cellStyle name="Separador de milhares 3 3 3 5 2 5" xfId="13255" xr:uid="{00000000-0005-0000-0000-0000AF7D0000}"/>
    <cellStyle name="Separador de milhares 3 3 3 5 2 5 2" xfId="39448" xr:uid="{00000000-0005-0000-0000-0000B07D0000}"/>
    <cellStyle name="Separador de milhares 3 3 3 5 2 6" xfId="33062" xr:uid="{00000000-0005-0000-0000-0000B17D0000}"/>
    <cellStyle name="Separador de milhares 3 3 3 5 3" xfId="8545" xr:uid="{00000000-0005-0000-0000-0000B27D0000}"/>
    <cellStyle name="Separador de milhares 3 3 3 5 3 2" xfId="26759" xr:uid="{00000000-0005-0000-0000-0000B37D0000}"/>
    <cellStyle name="Separador de milhares 3 3 3 5 3 2 2" xfId="52940" xr:uid="{00000000-0005-0000-0000-0000B47D0000}"/>
    <cellStyle name="Separador de milhares 3 3 3 5 3 3" xfId="20845" xr:uid="{00000000-0005-0000-0000-0000B57D0000}"/>
    <cellStyle name="Separador de milhares 3 3 3 5 3 3 2" xfId="47032" xr:uid="{00000000-0005-0000-0000-0000B67D0000}"/>
    <cellStyle name="Separador de milhares 3 3 3 5 3 4" xfId="14931" xr:uid="{00000000-0005-0000-0000-0000B77D0000}"/>
    <cellStyle name="Separador de milhares 3 3 3 5 3 4 2" xfId="41124" xr:uid="{00000000-0005-0000-0000-0000B87D0000}"/>
    <cellStyle name="Separador de milhares 3 3 3 5 3 5" xfId="34738" xr:uid="{00000000-0005-0000-0000-0000B97D0000}"/>
    <cellStyle name="Separador de milhares 3 3 3 5 4" xfId="5167" xr:uid="{00000000-0005-0000-0000-0000BA7D0000}"/>
    <cellStyle name="Separador de milhares 3 3 3 5 4 2" xfId="23802" xr:uid="{00000000-0005-0000-0000-0000BB7D0000}"/>
    <cellStyle name="Separador de milhares 3 3 3 5 4 2 2" xfId="49986" xr:uid="{00000000-0005-0000-0000-0000BC7D0000}"/>
    <cellStyle name="Separador de milhares 3 3 3 5 4 3" xfId="31363" xr:uid="{00000000-0005-0000-0000-0000BD7D0000}"/>
    <cellStyle name="Separador de milhares 3 3 3 5 5" xfId="17888" xr:uid="{00000000-0005-0000-0000-0000BE7D0000}"/>
    <cellStyle name="Separador de milhares 3 3 3 5 5 2" xfId="44078" xr:uid="{00000000-0005-0000-0000-0000BF7D0000}"/>
    <cellStyle name="Separador de milhares 3 3 3 5 6" xfId="11554" xr:uid="{00000000-0005-0000-0000-0000C07D0000}"/>
    <cellStyle name="Separador de milhares 3 3 3 5 6 2" xfId="37747" xr:uid="{00000000-0005-0000-0000-0000C17D0000}"/>
    <cellStyle name="Separador de milhares 3 3 3 5 7" xfId="29665" xr:uid="{00000000-0005-0000-0000-0000C27D0000}"/>
    <cellStyle name="Separador de milhares 3 3 3 6" xfId="2108" xr:uid="{00000000-0005-0000-0000-0000C37D0000}"/>
    <cellStyle name="Separador de milhares 3 3 3 6 2" xfId="7016" xr:uid="{00000000-0005-0000-0000-0000C47D0000}"/>
    <cellStyle name="Separador de milhares 3 3 3 6 2 2" xfId="10160" xr:uid="{00000000-0005-0000-0000-0000C57D0000}"/>
    <cellStyle name="Separador de milhares 3 3 3 6 2 2 2" xfId="28374" xr:uid="{00000000-0005-0000-0000-0000C67D0000}"/>
    <cellStyle name="Separador de milhares 3 3 3 6 2 2 2 2" xfId="54555" xr:uid="{00000000-0005-0000-0000-0000C77D0000}"/>
    <cellStyle name="Separador de milhares 3 3 3 6 2 2 3" xfId="22460" xr:uid="{00000000-0005-0000-0000-0000C87D0000}"/>
    <cellStyle name="Separador de milhares 3 3 3 6 2 2 3 2" xfId="48647" xr:uid="{00000000-0005-0000-0000-0000C97D0000}"/>
    <cellStyle name="Separador de milhares 3 3 3 6 2 2 4" xfId="16546" xr:uid="{00000000-0005-0000-0000-0000CA7D0000}"/>
    <cellStyle name="Separador de milhares 3 3 3 6 2 2 4 2" xfId="42739" xr:uid="{00000000-0005-0000-0000-0000CB7D0000}"/>
    <cellStyle name="Separador de milhares 3 3 3 6 2 2 5" xfId="36353" xr:uid="{00000000-0005-0000-0000-0000CC7D0000}"/>
    <cellStyle name="Separador de milhares 3 3 3 6 2 3" xfId="25417" xr:uid="{00000000-0005-0000-0000-0000CD7D0000}"/>
    <cellStyle name="Separador de milhares 3 3 3 6 2 3 2" xfId="51601" xr:uid="{00000000-0005-0000-0000-0000CE7D0000}"/>
    <cellStyle name="Separador de milhares 3 3 3 6 2 4" xfId="19503" xr:uid="{00000000-0005-0000-0000-0000CF7D0000}"/>
    <cellStyle name="Separador de milhares 3 3 3 6 2 4 2" xfId="45693" xr:uid="{00000000-0005-0000-0000-0000D07D0000}"/>
    <cellStyle name="Separador de milhares 3 3 3 6 2 5" xfId="13405" xr:uid="{00000000-0005-0000-0000-0000D17D0000}"/>
    <cellStyle name="Separador de milhares 3 3 3 6 2 5 2" xfId="39598" xr:uid="{00000000-0005-0000-0000-0000D27D0000}"/>
    <cellStyle name="Separador de milhares 3 3 3 6 2 6" xfId="33212" xr:uid="{00000000-0005-0000-0000-0000D37D0000}"/>
    <cellStyle name="Separador de milhares 3 3 3 6 3" xfId="8692" xr:uid="{00000000-0005-0000-0000-0000D47D0000}"/>
    <cellStyle name="Separador de milhares 3 3 3 6 3 2" xfId="26906" xr:uid="{00000000-0005-0000-0000-0000D57D0000}"/>
    <cellStyle name="Separador de milhares 3 3 3 6 3 2 2" xfId="53087" xr:uid="{00000000-0005-0000-0000-0000D67D0000}"/>
    <cellStyle name="Separador de milhares 3 3 3 6 3 3" xfId="20992" xr:uid="{00000000-0005-0000-0000-0000D77D0000}"/>
    <cellStyle name="Separador de milhares 3 3 3 6 3 3 2" xfId="47179" xr:uid="{00000000-0005-0000-0000-0000D87D0000}"/>
    <cellStyle name="Separador de milhares 3 3 3 6 3 4" xfId="15078" xr:uid="{00000000-0005-0000-0000-0000D97D0000}"/>
    <cellStyle name="Separador de milhares 3 3 3 6 3 4 2" xfId="41271" xr:uid="{00000000-0005-0000-0000-0000DA7D0000}"/>
    <cellStyle name="Separador de milhares 3 3 3 6 3 5" xfId="34885" xr:uid="{00000000-0005-0000-0000-0000DB7D0000}"/>
    <cellStyle name="Separador de milhares 3 3 3 6 4" xfId="5317" xr:uid="{00000000-0005-0000-0000-0000DC7D0000}"/>
    <cellStyle name="Separador de milhares 3 3 3 6 4 2" xfId="23949" xr:uid="{00000000-0005-0000-0000-0000DD7D0000}"/>
    <cellStyle name="Separador de milhares 3 3 3 6 4 2 2" xfId="50133" xr:uid="{00000000-0005-0000-0000-0000DE7D0000}"/>
    <cellStyle name="Separador de milhares 3 3 3 6 4 3" xfId="31513" xr:uid="{00000000-0005-0000-0000-0000DF7D0000}"/>
    <cellStyle name="Separador de milhares 3 3 3 6 5" xfId="18035" xr:uid="{00000000-0005-0000-0000-0000E07D0000}"/>
    <cellStyle name="Separador de milhares 3 3 3 6 5 2" xfId="44225" xr:uid="{00000000-0005-0000-0000-0000E17D0000}"/>
    <cellStyle name="Separador de milhares 3 3 3 6 6" xfId="11704" xr:uid="{00000000-0005-0000-0000-0000E27D0000}"/>
    <cellStyle name="Separador de milhares 3 3 3 6 6 2" xfId="37897" xr:uid="{00000000-0005-0000-0000-0000E37D0000}"/>
    <cellStyle name="Separador de milhares 3 3 3 6 7" xfId="29815" xr:uid="{00000000-0005-0000-0000-0000E47D0000}"/>
    <cellStyle name="Separador de milhares 3 3 3 7" xfId="2635" xr:uid="{00000000-0005-0000-0000-0000E57D0000}"/>
    <cellStyle name="Separador de milhares 3 3 3 7 2" xfId="7163" xr:uid="{00000000-0005-0000-0000-0000E67D0000}"/>
    <cellStyle name="Separador de milhares 3 3 3 7 2 2" xfId="10307" xr:uid="{00000000-0005-0000-0000-0000E77D0000}"/>
    <cellStyle name="Separador de milhares 3 3 3 7 2 2 2" xfId="28521" xr:uid="{00000000-0005-0000-0000-0000E87D0000}"/>
    <cellStyle name="Separador de milhares 3 3 3 7 2 2 2 2" xfId="54702" xr:uid="{00000000-0005-0000-0000-0000E97D0000}"/>
    <cellStyle name="Separador de milhares 3 3 3 7 2 2 3" xfId="22607" xr:uid="{00000000-0005-0000-0000-0000EA7D0000}"/>
    <cellStyle name="Separador de milhares 3 3 3 7 2 2 3 2" xfId="48794" xr:uid="{00000000-0005-0000-0000-0000EB7D0000}"/>
    <cellStyle name="Separador de milhares 3 3 3 7 2 2 4" xfId="16693" xr:uid="{00000000-0005-0000-0000-0000EC7D0000}"/>
    <cellStyle name="Separador de milhares 3 3 3 7 2 2 4 2" xfId="42886" xr:uid="{00000000-0005-0000-0000-0000ED7D0000}"/>
    <cellStyle name="Separador de milhares 3 3 3 7 2 2 5" xfId="36500" xr:uid="{00000000-0005-0000-0000-0000EE7D0000}"/>
    <cellStyle name="Separador de milhares 3 3 3 7 2 3" xfId="25564" xr:uid="{00000000-0005-0000-0000-0000EF7D0000}"/>
    <cellStyle name="Separador de milhares 3 3 3 7 2 3 2" xfId="51748" xr:uid="{00000000-0005-0000-0000-0000F07D0000}"/>
    <cellStyle name="Separador de milhares 3 3 3 7 2 4" xfId="19650" xr:uid="{00000000-0005-0000-0000-0000F17D0000}"/>
    <cellStyle name="Separador de milhares 3 3 3 7 2 4 2" xfId="45840" xr:uid="{00000000-0005-0000-0000-0000F27D0000}"/>
    <cellStyle name="Separador de milhares 3 3 3 7 2 5" xfId="13552" xr:uid="{00000000-0005-0000-0000-0000F37D0000}"/>
    <cellStyle name="Separador de milhares 3 3 3 7 2 5 2" xfId="39745" xr:uid="{00000000-0005-0000-0000-0000F47D0000}"/>
    <cellStyle name="Separador de milhares 3 3 3 7 2 6" xfId="33359" xr:uid="{00000000-0005-0000-0000-0000F57D0000}"/>
    <cellStyle name="Separador de milhares 3 3 3 7 3" xfId="8839" xr:uid="{00000000-0005-0000-0000-0000F67D0000}"/>
    <cellStyle name="Separador de milhares 3 3 3 7 3 2" xfId="27053" xr:uid="{00000000-0005-0000-0000-0000F77D0000}"/>
    <cellStyle name="Separador de milhares 3 3 3 7 3 2 2" xfId="53234" xr:uid="{00000000-0005-0000-0000-0000F87D0000}"/>
    <cellStyle name="Separador de milhares 3 3 3 7 3 3" xfId="21139" xr:uid="{00000000-0005-0000-0000-0000F97D0000}"/>
    <cellStyle name="Separador de milhares 3 3 3 7 3 3 2" xfId="47326" xr:uid="{00000000-0005-0000-0000-0000FA7D0000}"/>
    <cellStyle name="Separador de milhares 3 3 3 7 3 4" xfId="15225" xr:uid="{00000000-0005-0000-0000-0000FB7D0000}"/>
    <cellStyle name="Separador de milhares 3 3 3 7 3 4 2" xfId="41418" xr:uid="{00000000-0005-0000-0000-0000FC7D0000}"/>
    <cellStyle name="Separador de milhares 3 3 3 7 3 5" xfId="35032" xr:uid="{00000000-0005-0000-0000-0000FD7D0000}"/>
    <cellStyle name="Separador de milhares 3 3 3 7 4" xfId="5464" xr:uid="{00000000-0005-0000-0000-0000FE7D0000}"/>
    <cellStyle name="Separador de milhares 3 3 3 7 4 2" xfId="24096" xr:uid="{00000000-0005-0000-0000-0000FF7D0000}"/>
    <cellStyle name="Separador de milhares 3 3 3 7 4 2 2" xfId="50280" xr:uid="{00000000-0005-0000-0000-0000007E0000}"/>
    <cellStyle name="Separador de milhares 3 3 3 7 4 3" xfId="31660" xr:uid="{00000000-0005-0000-0000-0000017E0000}"/>
    <cellStyle name="Separador de milhares 3 3 3 7 5" xfId="18182" xr:uid="{00000000-0005-0000-0000-0000027E0000}"/>
    <cellStyle name="Separador de milhares 3 3 3 7 5 2" xfId="44372" xr:uid="{00000000-0005-0000-0000-0000037E0000}"/>
    <cellStyle name="Separador de milhares 3 3 3 7 6" xfId="11851" xr:uid="{00000000-0005-0000-0000-0000047E0000}"/>
    <cellStyle name="Separador de milhares 3 3 3 7 6 2" xfId="38044" xr:uid="{00000000-0005-0000-0000-0000057E0000}"/>
    <cellStyle name="Separador de milhares 3 3 3 7 7" xfId="29962" xr:uid="{00000000-0005-0000-0000-0000067E0000}"/>
    <cellStyle name="Separador de milhares 3 3 3 8" xfId="3162" xr:uid="{00000000-0005-0000-0000-0000077E0000}"/>
    <cellStyle name="Separador de milhares 3 3 3 8 2" xfId="7310" xr:uid="{00000000-0005-0000-0000-0000087E0000}"/>
    <cellStyle name="Separador de milhares 3 3 3 8 2 2" xfId="10454" xr:uid="{00000000-0005-0000-0000-0000097E0000}"/>
    <cellStyle name="Separador de milhares 3 3 3 8 2 2 2" xfId="28668" xr:uid="{00000000-0005-0000-0000-00000A7E0000}"/>
    <cellStyle name="Separador de milhares 3 3 3 8 2 2 2 2" xfId="54849" xr:uid="{00000000-0005-0000-0000-00000B7E0000}"/>
    <cellStyle name="Separador de milhares 3 3 3 8 2 2 3" xfId="22754" xr:uid="{00000000-0005-0000-0000-00000C7E0000}"/>
    <cellStyle name="Separador de milhares 3 3 3 8 2 2 3 2" xfId="48941" xr:uid="{00000000-0005-0000-0000-00000D7E0000}"/>
    <cellStyle name="Separador de milhares 3 3 3 8 2 2 4" xfId="16840" xr:uid="{00000000-0005-0000-0000-00000E7E0000}"/>
    <cellStyle name="Separador de milhares 3 3 3 8 2 2 4 2" xfId="43033" xr:uid="{00000000-0005-0000-0000-00000F7E0000}"/>
    <cellStyle name="Separador de milhares 3 3 3 8 2 2 5" xfId="36647" xr:uid="{00000000-0005-0000-0000-0000107E0000}"/>
    <cellStyle name="Separador de milhares 3 3 3 8 2 3" xfId="25711" xr:uid="{00000000-0005-0000-0000-0000117E0000}"/>
    <cellStyle name="Separador de milhares 3 3 3 8 2 3 2" xfId="51895" xr:uid="{00000000-0005-0000-0000-0000127E0000}"/>
    <cellStyle name="Separador de milhares 3 3 3 8 2 4" xfId="19797" xr:uid="{00000000-0005-0000-0000-0000137E0000}"/>
    <cellStyle name="Separador de milhares 3 3 3 8 2 4 2" xfId="45987" xr:uid="{00000000-0005-0000-0000-0000147E0000}"/>
    <cellStyle name="Separador de milhares 3 3 3 8 2 5" xfId="13699" xr:uid="{00000000-0005-0000-0000-0000157E0000}"/>
    <cellStyle name="Separador de milhares 3 3 3 8 2 5 2" xfId="39892" xr:uid="{00000000-0005-0000-0000-0000167E0000}"/>
    <cellStyle name="Separador de milhares 3 3 3 8 2 6" xfId="33506" xr:uid="{00000000-0005-0000-0000-0000177E0000}"/>
    <cellStyle name="Separador de milhares 3 3 3 8 3" xfId="8986" xr:uid="{00000000-0005-0000-0000-0000187E0000}"/>
    <cellStyle name="Separador de milhares 3 3 3 8 3 2" xfId="27200" xr:uid="{00000000-0005-0000-0000-0000197E0000}"/>
    <cellStyle name="Separador de milhares 3 3 3 8 3 2 2" xfId="53381" xr:uid="{00000000-0005-0000-0000-00001A7E0000}"/>
    <cellStyle name="Separador de milhares 3 3 3 8 3 3" xfId="21286" xr:uid="{00000000-0005-0000-0000-00001B7E0000}"/>
    <cellStyle name="Separador de milhares 3 3 3 8 3 3 2" xfId="47473" xr:uid="{00000000-0005-0000-0000-00001C7E0000}"/>
    <cellStyle name="Separador de milhares 3 3 3 8 3 4" xfId="15372" xr:uid="{00000000-0005-0000-0000-00001D7E0000}"/>
    <cellStyle name="Separador de milhares 3 3 3 8 3 4 2" xfId="41565" xr:uid="{00000000-0005-0000-0000-00001E7E0000}"/>
    <cellStyle name="Separador de milhares 3 3 3 8 3 5" xfId="35179" xr:uid="{00000000-0005-0000-0000-00001F7E0000}"/>
    <cellStyle name="Separador de milhares 3 3 3 8 4" xfId="5611" xr:uid="{00000000-0005-0000-0000-0000207E0000}"/>
    <cellStyle name="Separador de milhares 3 3 3 8 4 2" xfId="24243" xr:uid="{00000000-0005-0000-0000-0000217E0000}"/>
    <cellStyle name="Separador de milhares 3 3 3 8 4 2 2" xfId="50427" xr:uid="{00000000-0005-0000-0000-0000227E0000}"/>
    <cellStyle name="Separador de milhares 3 3 3 8 4 3" xfId="31807" xr:uid="{00000000-0005-0000-0000-0000237E0000}"/>
    <cellStyle name="Separador de milhares 3 3 3 8 5" xfId="18329" xr:uid="{00000000-0005-0000-0000-0000247E0000}"/>
    <cellStyle name="Separador de milhares 3 3 3 8 5 2" xfId="44519" xr:uid="{00000000-0005-0000-0000-0000257E0000}"/>
    <cellStyle name="Separador de milhares 3 3 3 8 6" xfId="11998" xr:uid="{00000000-0005-0000-0000-0000267E0000}"/>
    <cellStyle name="Separador de milhares 3 3 3 8 6 2" xfId="38191" xr:uid="{00000000-0005-0000-0000-0000277E0000}"/>
    <cellStyle name="Separador de milhares 3 3 3 8 7" xfId="30109" xr:uid="{00000000-0005-0000-0000-0000287E0000}"/>
    <cellStyle name="Separador de milhares 3 3 3 9" xfId="3689" xr:uid="{00000000-0005-0000-0000-0000297E0000}"/>
    <cellStyle name="Separador de milhares 3 3 3 9 2" xfId="7457" xr:uid="{00000000-0005-0000-0000-00002A7E0000}"/>
    <cellStyle name="Separador de milhares 3 3 3 9 2 2" xfId="10601" xr:uid="{00000000-0005-0000-0000-00002B7E0000}"/>
    <cellStyle name="Separador de milhares 3 3 3 9 2 2 2" xfId="28815" xr:uid="{00000000-0005-0000-0000-00002C7E0000}"/>
    <cellStyle name="Separador de milhares 3 3 3 9 2 2 2 2" xfId="54996" xr:uid="{00000000-0005-0000-0000-00002D7E0000}"/>
    <cellStyle name="Separador de milhares 3 3 3 9 2 2 3" xfId="22901" xr:uid="{00000000-0005-0000-0000-00002E7E0000}"/>
    <cellStyle name="Separador de milhares 3 3 3 9 2 2 3 2" xfId="49088" xr:uid="{00000000-0005-0000-0000-00002F7E0000}"/>
    <cellStyle name="Separador de milhares 3 3 3 9 2 2 4" xfId="16987" xr:uid="{00000000-0005-0000-0000-0000307E0000}"/>
    <cellStyle name="Separador de milhares 3 3 3 9 2 2 4 2" xfId="43180" xr:uid="{00000000-0005-0000-0000-0000317E0000}"/>
    <cellStyle name="Separador de milhares 3 3 3 9 2 2 5" xfId="36794" xr:uid="{00000000-0005-0000-0000-0000327E0000}"/>
    <cellStyle name="Separador de milhares 3 3 3 9 2 3" xfId="25858" xr:uid="{00000000-0005-0000-0000-0000337E0000}"/>
    <cellStyle name="Separador de milhares 3 3 3 9 2 3 2" xfId="52042" xr:uid="{00000000-0005-0000-0000-0000347E0000}"/>
    <cellStyle name="Separador de milhares 3 3 3 9 2 4" xfId="19944" xr:uid="{00000000-0005-0000-0000-0000357E0000}"/>
    <cellStyle name="Separador de milhares 3 3 3 9 2 4 2" xfId="46134" xr:uid="{00000000-0005-0000-0000-0000367E0000}"/>
    <cellStyle name="Separador de milhares 3 3 3 9 2 5" xfId="13846" xr:uid="{00000000-0005-0000-0000-0000377E0000}"/>
    <cellStyle name="Separador de milhares 3 3 3 9 2 5 2" xfId="40039" xr:uid="{00000000-0005-0000-0000-0000387E0000}"/>
    <cellStyle name="Separador de milhares 3 3 3 9 2 6" xfId="33653" xr:uid="{00000000-0005-0000-0000-0000397E0000}"/>
    <cellStyle name="Separador de milhares 3 3 3 9 3" xfId="9133" xr:uid="{00000000-0005-0000-0000-00003A7E0000}"/>
    <cellStyle name="Separador de milhares 3 3 3 9 3 2" xfId="27347" xr:uid="{00000000-0005-0000-0000-00003B7E0000}"/>
    <cellStyle name="Separador de milhares 3 3 3 9 3 2 2" xfId="53528" xr:uid="{00000000-0005-0000-0000-00003C7E0000}"/>
    <cellStyle name="Separador de milhares 3 3 3 9 3 3" xfId="21433" xr:uid="{00000000-0005-0000-0000-00003D7E0000}"/>
    <cellStyle name="Separador de milhares 3 3 3 9 3 3 2" xfId="47620" xr:uid="{00000000-0005-0000-0000-00003E7E0000}"/>
    <cellStyle name="Separador de milhares 3 3 3 9 3 4" xfId="15519" xr:uid="{00000000-0005-0000-0000-00003F7E0000}"/>
    <cellStyle name="Separador de milhares 3 3 3 9 3 4 2" xfId="41712" xr:uid="{00000000-0005-0000-0000-0000407E0000}"/>
    <cellStyle name="Separador de milhares 3 3 3 9 3 5" xfId="35326" xr:uid="{00000000-0005-0000-0000-0000417E0000}"/>
    <cellStyle name="Separador de milhares 3 3 3 9 4" xfId="5758" xr:uid="{00000000-0005-0000-0000-0000427E0000}"/>
    <cellStyle name="Separador de milhares 3 3 3 9 4 2" xfId="24390" xr:uid="{00000000-0005-0000-0000-0000437E0000}"/>
    <cellStyle name="Separador de milhares 3 3 3 9 4 2 2" xfId="50574" xr:uid="{00000000-0005-0000-0000-0000447E0000}"/>
    <cellStyle name="Separador de milhares 3 3 3 9 4 3" xfId="31954" xr:uid="{00000000-0005-0000-0000-0000457E0000}"/>
    <cellStyle name="Separador de milhares 3 3 3 9 5" xfId="18476" xr:uid="{00000000-0005-0000-0000-0000467E0000}"/>
    <cellStyle name="Separador de milhares 3 3 3 9 5 2" xfId="44666" xr:uid="{00000000-0005-0000-0000-0000477E0000}"/>
    <cellStyle name="Separador de milhares 3 3 3 9 6" xfId="12145" xr:uid="{00000000-0005-0000-0000-0000487E0000}"/>
    <cellStyle name="Separador de milhares 3 3 3 9 6 2" xfId="38338" xr:uid="{00000000-0005-0000-0000-0000497E0000}"/>
    <cellStyle name="Separador de milhares 3 3 3 9 7" xfId="30256" xr:uid="{00000000-0005-0000-0000-00004A7E0000}"/>
    <cellStyle name="Separador de milhares 3 3 4" xfId="325" xr:uid="{00000000-0005-0000-0000-00004B7E0000}"/>
    <cellStyle name="Separador de milhares 3 3 4 10" xfId="6504" xr:uid="{00000000-0005-0000-0000-00004C7E0000}"/>
    <cellStyle name="Separador de milhares 3 3 4 10 2" xfId="9652" xr:uid="{00000000-0005-0000-0000-00004D7E0000}"/>
    <cellStyle name="Separador de milhares 3 3 4 10 2 2" xfId="27866" xr:uid="{00000000-0005-0000-0000-00004E7E0000}"/>
    <cellStyle name="Separador de milhares 3 3 4 10 2 2 2" xfId="54047" xr:uid="{00000000-0005-0000-0000-00004F7E0000}"/>
    <cellStyle name="Separador de milhares 3 3 4 10 2 3" xfId="21952" xr:uid="{00000000-0005-0000-0000-0000507E0000}"/>
    <cellStyle name="Separador de milhares 3 3 4 10 2 3 2" xfId="48139" xr:uid="{00000000-0005-0000-0000-0000517E0000}"/>
    <cellStyle name="Separador de milhares 3 3 4 10 2 4" xfId="16038" xr:uid="{00000000-0005-0000-0000-0000527E0000}"/>
    <cellStyle name="Separador de milhares 3 3 4 10 2 4 2" xfId="42231" xr:uid="{00000000-0005-0000-0000-0000537E0000}"/>
    <cellStyle name="Separador de milhares 3 3 4 10 2 5" xfId="35845" xr:uid="{00000000-0005-0000-0000-0000547E0000}"/>
    <cellStyle name="Separador de milhares 3 3 4 10 3" xfId="24909" xr:uid="{00000000-0005-0000-0000-0000557E0000}"/>
    <cellStyle name="Separador de milhares 3 3 4 10 3 2" xfId="51093" xr:uid="{00000000-0005-0000-0000-0000567E0000}"/>
    <cellStyle name="Separador de milhares 3 3 4 10 4" xfId="18995" xr:uid="{00000000-0005-0000-0000-0000577E0000}"/>
    <cellStyle name="Separador de milhares 3 3 4 10 4 2" xfId="45185" xr:uid="{00000000-0005-0000-0000-0000587E0000}"/>
    <cellStyle name="Separador de milhares 3 3 4 10 5" xfId="12893" xr:uid="{00000000-0005-0000-0000-0000597E0000}"/>
    <cellStyle name="Separador de milhares 3 3 4 10 5 2" xfId="39086" xr:uid="{00000000-0005-0000-0000-00005A7E0000}"/>
    <cellStyle name="Separador de milhares 3 3 4 10 6" xfId="32700" xr:uid="{00000000-0005-0000-0000-00005B7E0000}"/>
    <cellStyle name="Separador de milhares 3 3 4 11" xfId="8181" xr:uid="{00000000-0005-0000-0000-00005C7E0000}"/>
    <cellStyle name="Separador de milhares 3 3 4 11 2" xfId="26395" xr:uid="{00000000-0005-0000-0000-00005D7E0000}"/>
    <cellStyle name="Separador de milhares 3 3 4 11 2 2" xfId="52579" xr:uid="{00000000-0005-0000-0000-00005E7E0000}"/>
    <cellStyle name="Separador de milhares 3 3 4 11 3" xfId="20481" xr:uid="{00000000-0005-0000-0000-00005F7E0000}"/>
    <cellStyle name="Separador de milhares 3 3 4 11 3 2" xfId="46671" xr:uid="{00000000-0005-0000-0000-0000607E0000}"/>
    <cellStyle name="Separador de milhares 3 3 4 11 4" xfId="14570" xr:uid="{00000000-0005-0000-0000-0000617E0000}"/>
    <cellStyle name="Separador de milhares 3 3 4 11 4 2" xfId="40763" xr:uid="{00000000-0005-0000-0000-0000627E0000}"/>
    <cellStyle name="Separador de milhares 3 3 4 11 5" xfId="34377" xr:uid="{00000000-0005-0000-0000-0000637E0000}"/>
    <cellStyle name="Separador de milhares 3 3 4 12" xfId="4803" xr:uid="{00000000-0005-0000-0000-0000647E0000}"/>
    <cellStyle name="Separador de milhares 3 3 4 12 2" xfId="23438" xr:uid="{00000000-0005-0000-0000-0000657E0000}"/>
    <cellStyle name="Separador de milhares 3 3 4 12 2 2" xfId="49625" xr:uid="{00000000-0005-0000-0000-0000667E0000}"/>
    <cellStyle name="Separador de milhares 3 3 4 12 3" xfId="31001" xr:uid="{00000000-0005-0000-0000-0000677E0000}"/>
    <cellStyle name="Separador de milhares 3 3 4 13" xfId="17524" xr:uid="{00000000-0005-0000-0000-0000687E0000}"/>
    <cellStyle name="Separador de milhares 3 3 4 13 2" xfId="43717" xr:uid="{00000000-0005-0000-0000-0000697E0000}"/>
    <cellStyle name="Separador de milhares 3 3 4 14" xfId="11192" xr:uid="{00000000-0005-0000-0000-00006A7E0000}"/>
    <cellStyle name="Separador de milhares 3 3 4 14 2" xfId="37385" xr:uid="{00000000-0005-0000-0000-00006B7E0000}"/>
    <cellStyle name="Separador de milhares 3 3 4 15" xfId="29303" xr:uid="{00000000-0005-0000-0000-00006C7E0000}"/>
    <cellStyle name="Separador de milhares 3 3 4 2" xfId="970" xr:uid="{00000000-0005-0000-0000-00006D7E0000}"/>
    <cellStyle name="Separador de milhares 3 3 4 2 2" xfId="6701" xr:uid="{00000000-0005-0000-0000-00006E7E0000}"/>
    <cellStyle name="Separador de milhares 3 3 4 2 2 2" xfId="9848" xr:uid="{00000000-0005-0000-0000-00006F7E0000}"/>
    <cellStyle name="Separador de milhares 3 3 4 2 2 2 2" xfId="28062" xr:uid="{00000000-0005-0000-0000-0000707E0000}"/>
    <cellStyle name="Separador de milhares 3 3 4 2 2 2 2 2" xfId="54243" xr:uid="{00000000-0005-0000-0000-0000717E0000}"/>
    <cellStyle name="Separador de milhares 3 3 4 2 2 2 3" xfId="22148" xr:uid="{00000000-0005-0000-0000-0000727E0000}"/>
    <cellStyle name="Separador de milhares 3 3 4 2 2 2 3 2" xfId="48335" xr:uid="{00000000-0005-0000-0000-0000737E0000}"/>
    <cellStyle name="Separador de milhares 3 3 4 2 2 2 4" xfId="16234" xr:uid="{00000000-0005-0000-0000-0000747E0000}"/>
    <cellStyle name="Separador de milhares 3 3 4 2 2 2 4 2" xfId="42427" xr:uid="{00000000-0005-0000-0000-0000757E0000}"/>
    <cellStyle name="Separador de milhares 3 3 4 2 2 2 5" xfId="36041" xr:uid="{00000000-0005-0000-0000-0000767E0000}"/>
    <cellStyle name="Separador de milhares 3 3 4 2 2 3" xfId="25105" xr:uid="{00000000-0005-0000-0000-0000777E0000}"/>
    <cellStyle name="Separador de milhares 3 3 4 2 2 3 2" xfId="51289" xr:uid="{00000000-0005-0000-0000-0000787E0000}"/>
    <cellStyle name="Separador de milhares 3 3 4 2 2 4" xfId="19191" xr:uid="{00000000-0005-0000-0000-0000797E0000}"/>
    <cellStyle name="Separador de milhares 3 3 4 2 2 4 2" xfId="45381" xr:uid="{00000000-0005-0000-0000-00007A7E0000}"/>
    <cellStyle name="Separador de milhares 3 3 4 2 2 5" xfId="13090" xr:uid="{00000000-0005-0000-0000-00007B7E0000}"/>
    <cellStyle name="Separador de milhares 3 3 4 2 2 5 2" xfId="39283" xr:uid="{00000000-0005-0000-0000-00007C7E0000}"/>
    <cellStyle name="Separador de milhares 3 3 4 2 2 6" xfId="32897" xr:uid="{00000000-0005-0000-0000-00007D7E0000}"/>
    <cellStyle name="Separador de milhares 3 3 4 2 3" xfId="8380" xr:uid="{00000000-0005-0000-0000-00007E7E0000}"/>
    <cellStyle name="Separador de milhares 3 3 4 2 3 2" xfId="26594" xr:uid="{00000000-0005-0000-0000-00007F7E0000}"/>
    <cellStyle name="Separador de milhares 3 3 4 2 3 2 2" xfId="52775" xr:uid="{00000000-0005-0000-0000-0000807E0000}"/>
    <cellStyle name="Separador de milhares 3 3 4 2 3 3" xfId="20680" xr:uid="{00000000-0005-0000-0000-0000817E0000}"/>
    <cellStyle name="Separador de milhares 3 3 4 2 3 3 2" xfId="46867" xr:uid="{00000000-0005-0000-0000-0000827E0000}"/>
    <cellStyle name="Separador de milhares 3 3 4 2 3 4" xfId="14766" xr:uid="{00000000-0005-0000-0000-0000837E0000}"/>
    <cellStyle name="Separador de milhares 3 3 4 2 3 4 2" xfId="40959" xr:uid="{00000000-0005-0000-0000-0000847E0000}"/>
    <cellStyle name="Separador de milhares 3 3 4 2 3 5" xfId="34573" xr:uid="{00000000-0005-0000-0000-0000857E0000}"/>
    <cellStyle name="Separador de milhares 3 3 4 2 4" xfId="5002" xr:uid="{00000000-0005-0000-0000-0000867E0000}"/>
    <cellStyle name="Separador de milhares 3 3 4 2 4 2" xfId="23637" xr:uid="{00000000-0005-0000-0000-0000877E0000}"/>
    <cellStyle name="Separador de milhares 3 3 4 2 4 2 2" xfId="49821" xr:uid="{00000000-0005-0000-0000-0000887E0000}"/>
    <cellStyle name="Separador de milhares 3 3 4 2 4 3" xfId="31198" xr:uid="{00000000-0005-0000-0000-0000897E0000}"/>
    <cellStyle name="Separador de milhares 3 3 4 2 5" xfId="17723" xr:uid="{00000000-0005-0000-0000-00008A7E0000}"/>
    <cellStyle name="Separador de milhares 3 3 4 2 5 2" xfId="43913" xr:uid="{00000000-0005-0000-0000-00008B7E0000}"/>
    <cellStyle name="Separador de milhares 3 3 4 2 6" xfId="11389" xr:uid="{00000000-0005-0000-0000-00008C7E0000}"/>
    <cellStyle name="Separador de milhares 3 3 4 2 6 2" xfId="37582" xr:uid="{00000000-0005-0000-0000-00008D7E0000}"/>
    <cellStyle name="Separador de milhares 3 3 4 2 7" xfId="29500" xr:uid="{00000000-0005-0000-0000-00008E7E0000}"/>
    <cellStyle name="Separador de milhares 3 3 4 3" xfId="1321" xr:uid="{00000000-0005-0000-0000-00008F7E0000}"/>
    <cellStyle name="Separador de milhares 3 3 4 3 2" xfId="6799" xr:uid="{00000000-0005-0000-0000-0000907E0000}"/>
    <cellStyle name="Separador de milhares 3 3 4 3 2 2" xfId="9946" xr:uid="{00000000-0005-0000-0000-0000917E0000}"/>
    <cellStyle name="Separador de milhares 3 3 4 3 2 2 2" xfId="28160" xr:uid="{00000000-0005-0000-0000-0000927E0000}"/>
    <cellStyle name="Separador de milhares 3 3 4 3 2 2 2 2" xfId="54341" xr:uid="{00000000-0005-0000-0000-0000937E0000}"/>
    <cellStyle name="Separador de milhares 3 3 4 3 2 2 3" xfId="22246" xr:uid="{00000000-0005-0000-0000-0000947E0000}"/>
    <cellStyle name="Separador de milhares 3 3 4 3 2 2 3 2" xfId="48433" xr:uid="{00000000-0005-0000-0000-0000957E0000}"/>
    <cellStyle name="Separador de milhares 3 3 4 3 2 2 4" xfId="16332" xr:uid="{00000000-0005-0000-0000-0000967E0000}"/>
    <cellStyle name="Separador de milhares 3 3 4 3 2 2 4 2" xfId="42525" xr:uid="{00000000-0005-0000-0000-0000977E0000}"/>
    <cellStyle name="Separador de milhares 3 3 4 3 2 2 5" xfId="36139" xr:uid="{00000000-0005-0000-0000-0000987E0000}"/>
    <cellStyle name="Separador de milhares 3 3 4 3 2 3" xfId="25203" xr:uid="{00000000-0005-0000-0000-0000997E0000}"/>
    <cellStyle name="Separador de milhares 3 3 4 3 2 3 2" xfId="51387" xr:uid="{00000000-0005-0000-0000-00009A7E0000}"/>
    <cellStyle name="Separador de milhares 3 3 4 3 2 4" xfId="19289" xr:uid="{00000000-0005-0000-0000-00009B7E0000}"/>
    <cellStyle name="Separador de milhares 3 3 4 3 2 4 2" xfId="45479" xr:uid="{00000000-0005-0000-0000-00009C7E0000}"/>
    <cellStyle name="Separador de milhares 3 3 4 3 2 5" xfId="13188" xr:uid="{00000000-0005-0000-0000-00009D7E0000}"/>
    <cellStyle name="Separador de milhares 3 3 4 3 2 5 2" xfId="39381" xr:uid="{00000000-0005-0000-0000-00009E7E0000}"/>
    <cellStyle name="Separador de milhares 3 3 4 3 2 6" xfId="32995" xr:uid="{00000000-0005-0000-0000-00009F7E0000}"/>
    <cellStyle name="Separador de milhares 3 3 4 3 3" xfId="8478" xr:uid="{00000000-0005-0000-0000-0000A07E0000}"/>
    <cellStyle name="Separador de milhares 3 3 4 3 3 2" xfId="26692" xr:uid="{00000000-0005-0000-0000-0000A17E0000}"/>
    <cellStyle name="Separador de milhares 3 3 4 3 3 2 2" xfId="52873" xr:uid="{00000000-0005-0000-0000-0000A27E0000}"/>
    <cellStyle name="Separador de milhares 3 3 4 3 3 3" xfId="20778" xr:uid="{00000000-0005-0000-0000-0000A37E0000}"/>
    <cellStyle name="Separador de milhares 3 3 4 3 3 3 2" xfId="46965" xr:uid="{00000000-0005-0000-0000-0000A47E0000}"/>
    <cellStyle name="Separador de milhares 3 3 4 3 3 4" xfId="14864" xr:uid="{00000000-0005-0000-0000-0000A57E0000}"/>
    <cellStyle name="Separador de milhares 3 3 4 3 3 4 2" xfId="41057" xr:uid="{00000000-0005-0000-0000-0000A67E0000}"/>
    <cellStyle name="Separador de milhares 3 3 4 3 3 5" xfId="34671" xr:uid="{00000000-0005-0000-0000-0000A77E0000}"/>
    <cellStyle name="Separador de milhares 3 3 4 3 4" xfId="5100" xr:uid="{00000000-0005-0000-0000-0000A87E0000}"/>
    <cellStyle name="Separador de milhares 3 3 4 3 4 2" xfId="23735" xr:uid="{00000000-0005-0000-0000-0000A97E0000}"/>
    <cellStyle name="Separador de milhares 3 3 4 3 4 2 2" xfId="49919" xr:uid="{00000000-0005-0000-0000-0000AA7E0000}"/>
    <cellStyle name="Separador de milhares 3 3 4 3 4 3" xfId="31296" xr:uid="{00000000-0005-0000-0000-0000AB7E0000}"/>
    <cellStyle name="Separador de milhares 3 3 4 3 5" xfId="17821" xr:uid="{00000000-0005-0000-0000-0000AC7E0000}"/>
    <cellStyle name="Separador de milhares 3 3 4 3 5 2" xfId="44011" xr:uid="{00000000-0005-0000-0000-0000AD7E0000}"/>
    <cellStyle name="Separador de milhares 3 3 4 3 6" xfId="11487" xr:uid="{00000000-0005-0000-0000-0000AE7E0000}"/>
    <cellStyle name="Separador de milhares 3 3 4 3 6 2" xfId="37680" xr:uid="{00000000-0005-0000-0000-0000AF7E0000}"/>
    <cellStyle name="Separador de milhares 3 3 4 3 7" xfId="29598" xr:uid="{00000000-0005-0000-0000-0000B07E0000}"/>
    <cellStyle name="Separador de milhares 3 3 4 4" xfId="1756" xr:uid="{00000000-0005-0000-0000-0000B17E0000}"/>
    <cellStyle name="Separador de milhares 3 3 4 4 2" xfId="6918" xr:uid="{00000000-0005-0000-0000-0000B27E0000}"/>
    <cellStyle name="Separador de milhares 3 3 4 4 2 2" xfId="10065" xr:uid="{00000000-0005-0000-0000-0000B37E0000}"/>
    <cellStyle name="Separador de milhares 3 3 4 4 2 2 2" xfId="28279" xr:uid="{00000000-0005-0000-0000-0000B47E0000}"/>
    <cellStyle name="Separador de milhares 3 3 4 4 2 2 2 2" xfId="54460" xr:uid="{00000000-0005-0000-0000-0000B57E0000}"/>
    <cellStyle name="Separador de milhares 3 3 4 4 2 2 3" xfId="22365" xr:uid="{00000000-0005-0000-0000-0000B67E0000}"/>
    <cellStyle name="Separador de milhares 3 3 4 4 2 2 3 2" xfId="48552" xr:uid="{00000000-0005-0000-0000-0000B77E0000}"/>
    <cellStyle name="Separador de milhares 3 3 4 4 2 2 4" xfId="16451" xr:uid="{00000000-0005-0000-0000-0000B87E0000}"/>
    <cellStyle name="Separador de milhares 3 3 4 4 2 2 4 2" xfId="42644" xr:uid="{00000000-0005-0000-0000-0000B97E0000}"/>
    <cellStyle name="Separador de milhares 3 3 4 4 2 2 5" xfId="36258" xr:uid="{00000000-0005-0000-0000-0000BA7E0000}"/>
    <cellStyle name="Separador de milhares 3 3 4 4 2 3" xfId="25322" xr:uid="{00000000-0005-0000-0000-0000BB7E0000}"/>
    <cellStyle name="Separador de milhares 3 3 4 4 2 3 2" xfId="51506" xr:uid="{00000000-0005-0000-0000-0000BC7E0000}"/>
    <cellStyle name="Separador de milhares 3 3 4 4 2 4" xfId="19408" xr:uid="{00000000-0005-0000-0000-0000BD7E0000}"/>
    <cellStyle name="Separador de milhares 3 3 4 4 2 4 2" xfId="45598" xr:uid="{00000000-0005-0000-0000-0000BE7E0000}"/>
    <cellStyle name="Separador de milhares 3 3 4 4 2 5" xfId="13307" xr:uid="{00000000-0005-0000-0000-0000BF7E0000}"/>
    <cellStyle name="Separador de milhares 3 3 4 4 2 5 2" xfId="39500" xr:uid="{00000000-0005-0000-0000-0000C07E0000}"/>
    <cellStyle name="Separador de milhares 3 3 4 4 2 6" xfId="33114" xr:uid="{00000000-0005-0000-0000-0000C17E0000}"/>
    <cellStyle name="Separador de milhares 3 3 4 4 3" xfId="8597" xr:uid="{00000000-0005-0000-0000-0000C27E0000}"/>
    <cellStyle name="Separador de milhares 3 3 4 4 3 2" xfId="26811" xr:uid="{00000000-0005-0000-0000-0000C37E0000}"/>
    <cellStyle name="Separador de milhares 3 3 4 4 3 2 2" xfId="52992" xr:uid="{00000000-0005-0000-0000-0000C47E0000}"/>
    <cellStyle name="Separador de milhares 3 3 4 4 3 3" xfId="20897" xr:uid="{00000000-0005-0000-0000-0000C57E0000}"/>
    <cellStyle name="Separador de milhares 3 3 4 4 3 3 2" xfId="47084" xr:uid="{00000000-0005-0000-0000-0000C67E0000}"/>
    <cellStyle name="Separador de milhares 3 3 4 4 3 4" xfId="14983" xr:uid="{00000000-0005-0000-0000-0000C77E0000}"/>
    <cellStyle name="Separador de milhares 3 3 4 4 3 4 2" xfId="41176" xr:uid="{00000000-0005-0000-0000-0000C87E0000}"/>
    <cellStyle name="Separador de milhares 3 3 4 4 3 5" xfId="34790" xr:uid="{00000000-0005-0000-0000-0000C97E0000}"/>
    <cellStyle name="Separador de milhares 3 3 4 4 4" xfId="5219" xr:uid="{00000000-0005-0000-0000-0000CA7E0000}"/>
    <cellStyle name="Separador de milhares 3 3 4 4 4 2" xfId="23854" xr:uid="{00000000-0005-0000-0000-0000CB7E0000}"/>
    <cellStyle name="Separador de milhares 3 3 4 4 4 2 2" xfId="50038" xr:uid="{00000000-0005-0000-0000-0000CC7E0000}"/>
    <cellStyle name="Separador de milhares 3 3 4 4 4 3" xfId="31415" xr:uid="{00000000-0005-0000-0000-0000CD7E0000}"/>
    <cellStyle name="Separador de milhares 3 3 4 4 5" xfId="17940" xr:uid="{00000000-0005-0000-0000-0000CE7E0000}"/>
    <cellStyle name="Separador de milhares 3 3 4 4 5 2" xfId="44130" xr:uid="{00000000-0005-0000-0000-0000CF7E0000}"/>
    <cellStyle name="Separador de milhares 3 3 4 4 6" xfId="11606" xr:uid="{00000000-0005-0000-0000-0000D07E0000}"/>
    <cellStyle name="Separador de milhares 3 3 4 4 6 2" xfId="37799" xr:uid="{00000000-0005-0000-0000-0000D17E0000}"/>
    <cellStyle name="Separador de milhares 3 3 4 4 7" xfId="29717" xr:uid="{00000000-0005-0000-0000-0000D27E0000}"/>
    <cellStyle name="Separador de milhares 3 3 4 5" xfId="2286" xr:uid="{00000000-0005-0000-0000-0000D37E0000}"/>
    <cellStyle name="Separador de milhares 3 3 4 5 2" xfId="7068" xr:uid="{00000000-0005-0000-0000-0000D47E0000}"/>
    <cellStyle name="Separador de milhares 3 3 4 5 2 2" xfId="10212" xr:uid="{00000000-0005-0000-0000-0000D57E0000}"/>
    <cellStyle name="Separador de milhares 3 3 4 5 2 2 2" xfId="28426" xr:uid="{00000000-0005-0000-0000-0000D67E0000}"/>
    <cellStyle name="Separador de milhares 3 3 4 5 2 2 2 2" xfId="54607" xr:uid="{00000000-0005-0000-0000-0000D77E0000}"/>
    <cellStyle name="Separador de milhares 3 3 4 5 2 2 3" xfId="22512" xr:uid="{00000000-0005-0000-0000-0000D87E0000}"/>
    <cellStyle name="Separador de milhares 3 3 4 5 2 2 3 2" xfId="48699" xr:uid="{00000000-0005-0000-0000-0000D97E0000}"/>
    <cellStyle name="Separador de milhares 3 3 4 5 2 2 4" xfId="16598" xr:uid="{00000000-0005-0000-0000-0000DA7E0000}"/>
    <cellStyle name="Separador de milhares 3 3 4 5 2 2 4 2" xfId="42791" xr:uid="{00000000-0005-0000-0000-0000DB7E0000}"/>
    <cellStyle name="Separador de milhares 3 3 4 5 2 2 5" xfId="36405" xr:uid="{00000000-0005-0000-0000-0000DC7E0000}"/>
    <cellStyle name="Separador de milhares 3 3 4 5 2 3" xfId="25469" xr:uid="{00000000-0005-0000-0000-0000DD7E0000}"/>
    <cellStyle name="Separador de milhares 3 3 4 5 2 3 2" xfId="51653" xr:uid="{00000000-0005-0000-0000-0000DE7E0000}"/>
    <cellStyle name="Separador de milhares 3 3 4 5 2 4" xfId="19555" xr:uid="{00000000-0005-0000-0000-0000DF7E0000}"/>
    <cellStyle name="Separador de milhares 3 3 4 5 2 4 2" xfId="45745" xr:uid="{00000000-0005-0000-0000-0000E07E0000}"/>
    <cellStyle name="Separador de milhares 3 3 4 5 2 5" xfId="13457" xr:uid="{00000000-0005-0000-0000-0000E17E0000}"/>
    <cellStyle name="Separador de milhares 3 3 4 5 2 5 2" xfId="39650" xr:uid="{00000000-0005-0000-0000-0000E27E0000}"/>
    <cellStyle name="Separador de milhares 3 3 4 5 2 6" xfId="33264" xr:uid="{00000000-0005-0000-0000-0000E37E0000}"/>
    <cellStyle name="Separador de milhares 3 3 4 5 3" xfId="8744" xr:uid="{00000000-0005-0000-0000-0000E47E0000}"/>
    <cellStyle name="Separador de milhares 3 3 4 5 3 2" xfId="26958" xr:uid="{00000000-0005-0000-0000-0000E57E0000}"/>
    <cellStyle name="Separador de milhares 3 3 4 5 3 2 2" xfId="53139" xr:uid="{00000000-0005-0000-0000-0000E67E0000}"/>
    <cellStyle name="Separador de milhares 3 3 4 5 3 3" xfId="21044" xr:uid="{00000000-0005-0000-0000-0000E77E0000}"/>
    <cellStyle name="Separador de milhares 3 3 4 5 3 3 2" xfId="47231" xr:uid="{00000000-0005-0000-0000-0000E87E0000}"/>
    <cellStyle name="Separador de milhares 3 3 4 5 3 4" xfId="15130" xr:uid="{00000000-0005-0000-0000-0000E97E0000}"/>
    <cellStyle name="Separador de milhares 3 3 4 5 3 4 2" xfId="41323" xr:uid="{00000000-0005-0000-0000-0000EA7E0000}"/>
    <cellStyle name="Separador de milhares 3 3 4 5 3 5" xfId="34937" xr:uid="{00000000-0005-0000-0000-0000EB7E0000}"/>
    <cellStyle name="Separador de milhares 3 3 4 5 4" xfId="5369" xr:uid="{00000000-0005-0000-0000-0000EC7E0000}"/>
    <cellStyle name="Separador de milhares 3 3 4 5 4 2" xfId="24001" xr:uid="{00000000-0005-0000-0000-0000ED7E0000}"/>
    <cellStyle name="Separador de milhares 3 3 4 5 4 2 2" xfId="50185" xr:uid="{00000000-0005-0000-0000-0000EE7E0000}"/>
    <cellStyle name="Separador de milhares 3 3 4 5 4 3" xfId="31565" xr:uid="{00000000-0005-0000-0000-0000EF7E0000}"/>
    <cellStyle name="Separador de milhares 3 3 4 5 5" xfId="18087" xr:uid="{00000000-0005-0000-0000-0000F07E0000}"/>
    <cellStyle name="Separador de milhares 3 3 4 5 5 2" xfId="44277" xr:uid="{00000000-0005-0000-0000-0000F17E0000}"/>
    <cellStyle name="Separador de milhares 3 3 4 5 6" xfId="11756" xr:uid="{00000000-0005-0000-0000-0000F27E0000}"/>
    <cellStyle name="Separador de milhares 3 3 4 5 6 2" xfId="37949" xr:uid="{00000000-0005-0000-0000-0000F37E0000}"/>
    <cellStyle name="Separador de milhares 3 3 4 5 7" xfId="29867" xr:uid="{00000000-0005-0000-0000-0000F47E0000}"/>
    <cellStyle name="Separador de milhares 3 3 4 6" xfId="2813" xr:uid="{00000000-0005-0000-0000-0000F57E0000}"/>
    <cellStyle name="Separador de milhares 3 3 4 6 2" xfId="7215" xr:uid="{00000000-0005-0000-0000-0000F67E0000}"/>
    <cellStyle name="Separador de milhares 3 3 4 6 2 2" xfId="10359" xr:uid="{00000000-0005-0000-0000-0000F77E0000}"/>
    <cellStyle name="Separador de milhares 3 3 4 6 2 2 2" xfId="28573" xr:uid="{00000000-0005-0000-0000-0000F87E0000}"/>
    <cellStyle name="Separador de milhares 3 3 4 6 2 2 2 2" xfId="54754" xr:uid="{00000000-0005-0000-0000-0000F97E0000}"/>
    <cellStyle name="Separador de milhares 3 3 4 6 2 2 3" xfId="22659" xr:uid="{00000000-0005-0000-0000-0000FA7E0000}"/>
    <cellStyle name="Separador de milhares 3 3 4 6 2 2 3 2" xfId="48846" xr:uid="{00000000-0005-0000-0000-0000FB7E0000}"/>
    <cellStyle name="Separador de milhares 3 3 4 6 2 2 4" xfId="16745" xr:uid="{00000000-0005-0000-0000-0000FC7E0000}"/>
    <cellStyle name="Separador de milhares 3 3 4 6 2 2 4 2" xfId="42938" xr:uid="{00000000-0005-0000-0000-0000FD7E0000}"/>
    <cellStyle name="Separador de milhares 3 3 4 6 2 2 5" xfId="36552" xr:uid="{00000000-0005-0000-0000-0000FE7E0000}"/>
    <cellStyle name="Separador de milhares 3 3 4 6 2 3" xfId="25616" xr:uid="{00000000-0005-0000-0000-0000FF7E0000}"/>
    <cellStyle name="Separador de milhares 3 3 4 6 2 3 2" xfId="51800" xr:uid="{00000000-0005-0000-0000-0000007F0000}"/>
    <cellStyle name="Separador de milhares 3 3 4 6 2 4" xfId="19702" xr:uid="{00000000-0005-0000-0000-0000017F0000}"/>
    <cellStyle name="Separador de milhares 3 3 4 6 2 4 2" xfId="45892" xr:uid="{00000000-0005-0000-0000-0000027F0000}"/>
    <cellStyle name="Separador de milhares 3 3 4 6 2 5" xfId="13604" xr:uid="{00000000-0005-0000-0000-0000037F0000}"/>
    <cellStyle name="Separador de milhares 3 3 4 6 2 5 2" xfId="39797" xr:uid="{00000000-0005-0000-0000-0000047F0000}"/>
    <cellStyle name="Separador de milhares 3 3 4 6 2 6" xfId="33411" xr:uid="{00000000-0005-0000-0000-0000057F0000}"/>
    <cellStyle name="Separador de milhares 3 3 4 6 3" xfId="8891" xr:uid="{00000000-0005-0000-0000-0000067F0000}"/>
    <cellStyle name="Separador de milhares 3 3 4 6 3 2" xfId="27105" xr:uid="{00000000-0005-0000-0000-0000077F0000}"/>
    <cellStyle name="Separador de milhares 3 3 4 6 3 2 2" xfId="53286" xr:uid="{00000000-0005-0000-0000-0000087F0000}"/>
    <cellStyle name="Separador de milhares 3 3 4 6 3 3" xfId="21191" xr:uid="{00000000-0005-0000-0000-0000097F0000}"/>
    <cellStyle name="Separador de milhares 3 3 4 6 3 3 2" xfId="47378" xr:uid="{00000000-0005-0000-0000-00000A7F0000}"/>
    <cellStyle name="Separador de milhares 3 3 4 6 3 4" xfId="15277" xr:uid="{00000000-0005-0000-0000-00000B7F0000}"/>
    <cellStyle name="Separador de milhares 3 3 4 6 3 4 2" xfId="41470" xr:uid="{00000000-0005-0000-0000-00000C7F0000}"/>
    <cellStyle name="Separador de milhares 3 3 4 6 3 5" xfId="35084" xr:uid="{00000000-0005-0000-0000-00000D7F0000}"/>
    <cellStyle name="Separador de milhares 3 3 4 6 4" xfId="5516" xr:uid="{00000000-0005-0000-0000-00000E7F0000}"/>
    <cellStyle name="Separador de milhares 3 3 4 6 4 2" xfId="24148" xr:uid="{00000000-0005-0000-0000-00000F7F0000}"/>
    <cellStyle name="Separador de milhares 3 3 4 6 4 2 2" xfId="50332" xr:uid="{00000000-0005-0000-0000-0000107F0000}"/>
    <cellStyle name="Separador de milhares 3 3 4 6 4 3" xfId="31712" xr:uid="{00000000-0005-0000-0000-0000117F0000}"/>
    <cellStyle name="Separador de milhares 3 3 4 6 5" xfId="18234" xr:uid="{00000000-0005-0000-0000-0000127F0000}"/>
    <cellStyle name="Separador de milhares 3 3 4 6 5 2" xfId="44424" xr:uid="{00000000-0005-0000-0000-0000137F0000}"/>
    <cellStyle name="Separador de milhares 3 3 4 6 6" xfId="11903" xr:uid="{00000000-0005-0000-0000-0000147F0000}"/>
    <cellStyle name="Separador de milhares 3 3 4 6 6 2" xfId="38096" xr:uid="{00000000-0005-0000-0000-0000157F0000}"/>
    <cellStyle name="Separador de milhares 3 3 4 6 7" xfId="30014" xr:uid="{00000000-0005-0000-0000-0000167F0000}"/>
    <cellStyle name="Separador de milhares 3 3 4 7" xfId="3340" xr:uid="{00000000-0005-0000-0000-0000177F0000}"/>
    <cellStyle name="Separador de milhares 3 3 4 7 2" xfId="7362" xr:uid="{00000000-0005-0000-0000-0000187F0000}"/>
    <cellStyle name="Separador de milhares 3 3 4 7 2 2" xfId="10506" xr:uid="{00000000-0005-0000-0000-0000197F0000}"/>
    <cellStyle name="Separador de milhares 3 3 4 7 2 2 2" xfId="28720" xr:uid="{00000000-0005-0000-0000-00001A7F0000}"/>
    <cellStyle name="Separador de milhares 3 3 4 7 2 2 2 2" xfId="54901" xr:uid="{00000000-0005-0000-0000-00001B7F0000}"/>
    <cellStyle name="Separador de milhares 3 3 4 7 2 2 3" xfId="22806" xr:uid="{00000000-0005-0000-0000-00001C7F0000}"/>
    <cellStyle name="Separador de milhares 3 3 4 7 2 2 3 2" xfId="48993" xr:uid="{00000000-0005-0000-0000-00001D7F0000}"/>
    <cellStyle name="Separador de milhares 3 3 4 7 2 2 4" xfId="16892" xr:uid="{00000000-0005-0000-0000-00001E7F0000}"/>
    <cellStyle name="Separador de milhares 3 3 4 7 2 2 4 2" xfId="43085" xr:uid="{00000000-0005-0000-0000-00001F7F0000}"/>
    <cellStyle name="Separador de milhares 3 3 4 7 2 2 5" xfId="36699" xr:uid="{00000000-0005-0000-0000-0000207F0000}"/>
    <cellStyle name="Separador de milhares 3 3 4 7 2 3" xfId="25763" xr:uid="{00000000-0005-0000-0000-0000217F0000}"/>
    <cellStyle name="Separador de milhares 3 3 4 7 2 3 2" xfId="51947" xr:uid="{00000000-0005-0000-0000-0000227F0000}"/>
    <cellStyle name="Separador de milhares 3 3 4 7 2 4" xfId="19849" xr:uid="{00000000-0005-0000-0000-0000237F0000}"/>
    <cellStyle name="Separador de milhares 3 3 4 7 2 4 2" xfId="46039" xr:uid="{00000000-0005-0000-0000-0000247F0000}"/>
    <cellStyle name="Separador de milhares 3 3 4 7 2 5" xfId="13751" xr:uid="{00000000-0005-0000-0000-0000257F0000}"/>
    <cellStyle name="Separador de milhares 3 3 4 7 2 5 2" xfId="39944" xr:uid="{00000000-0005-0000-0000-0000267F0000}"/>
    <cellStyle name="Separador de milhares 3 3 4 7 2 6" xfId="33558" xr:uid="{00000000-0005-0000-0000-0000277F0000}"/>
    <cellStyle name="Separador de milhares 3 3 4 7 3" xfId="9038" xr:uid="{00000000-0005-0000-0000-0000287F0000}"/>
    <cellStyle name="Separador de milhares 3 3 4 7 3 2" xfId="27252" xr:uid="{00000000-0005-0000-0000-0000297F0000}"/>
    <cellStyle name="Separador de milhares 3 3 4 7 3 2 2" xfId="53433" xr:uid="{00000000-0005-0000-0000-00002A7F0000}"/>
    <cellStyle name="Separador de milhares 3 3 4 7 3 3" xfId="21338" xr:uid="{00000000-0005-0000-0000-00002B7F0000}"/>
    <cellStyle name="Separador de milhares 3 3 4 7 3 3 2" xfId="47525" xr:uid="{00000000-0005-0000-0000-00002C7F0000}"/>
    <cellStyle name="Separador de milhares 3 3 4 7 3 4" xfId="15424" xr:uid="{00000000-0005-0000-0000-00002D7F0000}"/>
    <cellStyle name="Separador de milhares 3 3 4 7 3 4 2" xfId="41617" xr:uid="{00000000-0005-0000-0000-00002E7F0000}"/>
    <cellStyle name="Separador de milhares 3 3 4 7 3 5" xfId="35231" xr:uid="{00000000-0005-0000-0000-00002F7F0000}"/>
    <cellStyle name="Separador de milhares 3 3 4 7 4" xfId="5663" xr:uid="{00000000-0005-0000-0000-0000307F0000}"/>
    <cellStyle name="Separador de milhares 3 3 4 7 4 2" xfId="24295" xr:uid="{00000000-0005-0000-0000-0000317F0000}"/>
    <cellStyle name="Separador de milhares 3 3 4 7 4 2 2" xfId="50479" xr:uid="{00000000-0005-0000-0000-0000327F0000}"/>
    <cellStyle name="Separador de milhares 3 3 4 7 4 3" xfId="31859" xr:uid="{00000000-0005-0000-0000-0000337F0000}"/>
    <cellStyle name="Separador de milhares 3 3 4 7 5" xfId="18381" xr:uid="{00000000-0005-0000-0000-0000347F0000}"/>
    <cellStyle name="Separador de milhares 3 3 4 7 5 2" xfId="44571" xr:uid="{00000000-0005-0000-0000-0000357F0000}"/>
    <cellStyle name="Separador de milhares 3 3 4 7 6" xfId="12050" xr:uid="{00000000-0005-0000-0000-0000367F0000}"/>
    <cellStyle name="Separador de milhares 3 3 4 7 6 2" xfId="38243" xr:uid="{00000000-0005-0000-0000-0000377F0000}"/>
    <cellStyle name="Separador de milhares 3 3 4 7 7" xfId="30161" xr:uid="{00000000-0005-0000-0000-0000387F0000}"/>
    <cellStyle name="Separador de milhares 3 3 4 8" xfId="3867" xr:uid="{00000000-0005-0000-0000-0000397F0000}"/>
    <cellStyle name="Separador de milhares 3 3 4 8 2" xfId="7509" xr:uid="{00000000-0005-0000-0000-00003A7F0000}"/>
    <cellStyle name="Separador de milhares 3 3 4 8 2 2" xfId="10653" xr:uid="{00000000-0005-0000-0000-00003B7F0000}"/>
    <cellStyle name="Separador de milhares 3 3 4 8 2 2 2" xfId="28867" xr:uid="{00000000-0005-0000-0000-00003C7F0000}"/>
    <cellStyle name="Separador de milhares 3 3 4 8 2 2 2 2" xfId="55048" xr:uid="{00000000-0005-0000-0000-00003D7F0000}"/>
    <cellStyle name="Separador de milhares 3 3 4 8 2 2 3" xfId="22953" xr:uid="{00000000-0005-0000-0000-00003E7F0000}"/>
    <cellStyle name="Separador de milhares 3 3 4 8 2 2 3 2" xfId="49140" xr:uid="{00000000-0005-0000-0000-00003F7F0000}"/>
    <cellStyle name="Separador de milhares 3 3 4 8 2 2 4" xfId="17039" xr:uid="{00000000-0005-0000-0000-0000407F0000}"/>
    <cellStyle name="Separador de milhares 3 3 4 8 2 2 4 2" xfId="43232" xr:uid="{00000000-0005-0000-0000-0000417F0000}"/>
    <cellStyle name="Separador de milhares 3 3 4 8 2 2 5" xfId="36846" xr:uid="{00000000-0005-0000-0000-0000427F0000}"/>
    <cellStyle name="Separador de milhares 3 3 4 8 2 3" xfId="25910" xr:uid="{00000000-0005-0000-0000-0000437F0000}"/>
    <cellStyle name="Separador de milhares 3 3 4 8 2 3 2" xfId="52094" xr:uid="{00000000-0005-0000-0000-0000447F0000}"/>
    <cellStyle name="Separador de milhares 3 3 4 8 2 4" xfId="19996" xr:uid="{00000000-0005-0000-0000-0000457F0000}"/>
    <cellStyle name="Separador de milhares 3 3 4 8 2 4 2" xfId="46186" xr:uid="{00000000-0005-0000-0000-0000467F0000}"/>
    <cellStyle name="Separador de milhares 3 3 4 8 2 5" xfId="13898" xr:uid="{00000000-0005-0000-0000-0000477F0000}"/>
    <cellStyle name="Separador de milhares 3 3 4 8 2 5 2" xfId="40091" xr:uid="{00000000-0005-0000-0000-0000487F0000}"/>
    <cellStyle name="Separador de milhares 3 3 4 8 2 6" xfId="33705" xr:uid="{00000000-0005-0000-0000-0000497F0000}"/>
    <cellStyle name="Separador de milhares 3 3 4 8 3" xfId="9185" xr:uid="{00000000-0005-0000-0000-00004A7F0000}"/>
    <cellStyle name="Separador de milhares 3 3 4 8 3 2" xfId="27399" xr:uid="{00000000-0005-0000-0000-00004B7F0000}"/>
    <cellStyle name="Separador de milhares 3 3 4 8 3 2 2" xfId="53580" xr:uid="{00000000-0005-0000-0000-00004C7F0000}"/>
    <cellStyle name="Separador de milhares 3 3 4 8 3 3" xfId="21485" xr:uid="{00000000-0005-0000-0000-00004D7F0000}"/>
    <cellStyle name="Separador de milhares 3 3 4 8 3 3 2" xfId="47672" xr:uid="{00000000-0005-0000-0000-00004E7F0000}"/>
    <cellStyle name="Separador de milhares 3 3 4 8 3 4" xfId="15571" xr:uid="{00000000-0005-0000-0000-00004F7F0000}"/>
    <cellStyle name="Separador de milhares 3 3 4 8 3 4 2" xfId="41764" xr:uid="{00000000-0005-0000-0000-0000507F0000}"/>
    <cellStyle name="Separador de milhares 3 3 4 8 3 5" xfId="35378" xr:uid="{00000000-0005-0000-0000-0000517F0000}"/>
    <cellStyle name="Separador de milhares 3 3 4 8 4" xfId="5810" xr:uid="{00000000-0005-0000-0000-0000527F0000}"/>
    <cellStyle name="Separador de milhares 3 3 4 8 4 2" xfId="24442" xr:uid="{00000000-0005-0000-0000-0000537F0000}"/>
    <cellStyle name="Separador de milhares 3 3 4 8 4 2 2" xfId="50626" xr:uid="{00000000-0005-0000-0000-0000547F0000}"/>
    <cellStyle name="Separador de milhares 3 3 4 8 4 3" xfId="32006" xr:uid="{00000000-0005-0000-0000-0000557F0000}"/>
    <cellStyle name="Separador de milhares 3 3 4 8 5" xfId="18528" xr:uid="{00000000-0005-0000-0000-0000567F0000}"/>
    <cellStyle name="Separador de milhares 3 3 4 8 5 2" xfId="44718" xr:uid="{00000000-0005-0000-0000-0000577F0000}"/>
    <cellStyle name="Separador de milhares 3 3 4 8 6" xfId="12197" xr:uid="{00000000-0005-0000-0000-0000587F0000}"/>
    <cellStyle name="Separador de milhares 3 3 4 8 6 2" xfId="38390" xr:uid="{00000000-0005-0000-0000-0000597F0000}"/>
    <cellStyle name="Separador de milhares 3 3 4 8 7" xfId="30308" xr:uid="{00000000-0005-0000-0000-00005A7F0000}"/>
    <cellStyle name="Separador de milhares 3 3 4 9" xfId="668" xr:uid="{00000000-0005-0000-0000-00005B7F0000}"/>
    <cellStyle name="Separador de milhares 3 3 4 9 2" xfId="6603" xr:uid="{00000000-0005-0000-0000-00005C7F0000}"/>
    <cellStyle name="Separador de milhares 3 3 4 9 2 2" xfId="9750" xr:uid="{00000000-0005-0000-0000-00005D7F0000}"/>
    <cellStyle name="Separador de milhares 3 3 4 9 2 2 2" xfId="27964" xr:uid="{00000000-0005-0000-0000-00005E7F0000}"/>
    <cellStyle name="Separador de milhares 3 3 4 9 2 2 2 2" xfId="54145" xr:uid="{00000000-0005-0000-0000-00005F7F0000}"/>
    <cellStyle name="Separador de milhares 3 3 4 9 2 2 3" xfId="22050" xr:uid="{00000000-0005-0000-0000-0000607F0000}"/>
    <cellStyle name="Separador de milhares 3 3 4 9 2 2 3 2" xfId="48237" xr:uid="{00000000-0005-0000-0000-0000617F0000}"/>
    <cellStyle name="Separador de milhares 3 3 4 9 2 2 4" xfId="16136" xr:uid="{00000000-0005-0000-0000-0000627F0000}"/>
    <cellStyle name="Separador de milhares 3 3 4 9 2 2 4 2" xfId="42329" xr:uid="{00000000-0005-0000-0000-0000637F0000}"/>
    <cellStyle name="Separador de milhares 3 3 4 9 2 2 5" xfId="35943" xr:uid="{00000000-0005-0000-0000-0000647F0000}"/>
    <cellStyle name="Separador de milhares 3 3 4 9 2 3" xfId="25007" xr:uid="{00000000-0005-0000-0000-0000657F0000}"/>
    <cellStyle name="Separador de milhares 3 3 4 9 2 3 2" xfId="51191" xr:uid="{00000000-0005-0000-0000-0000667F0000}"/>
    <cellStyle name="Separador de milhares 3 3 4 9 2 4" xfId="19093" xr:uid="{00000000-0005-0000-0000-0000677F0000}"/>
    <cellStyle name="Separador de milhares 3 3 4 9 2 4 2" xfId="45283" xr:uid="{00000000-0005-0000-0000-0000687F0000}"/>
    <cellStyle name="Separador de milhares 3 3 4 9 2 5" xfId="12992" xr:uid="{00000000-0005-0000-0000-0000697F0000}"/>
    <cellStyle name="Separador de milhares 3 3 4 9 2 5 2" xfId="39185" xr:uid="{00000000-0005-0000-0000-00006A7F0000}"/>
    <cellStyle name="Separador de milhares 3 3 4 9 2 6" xfId="32799" xr:uid="{00000000-0005-0000-0000-00006B7F0000}"/>
    <cellStyle name="Separador de milhares 3 3 4 9 3" xfId="8282" xr:uid="{00000000-0005-0000-0000-00006C7F0000}"/>
    <cellStyle name="Separador de milhares 3 3 4 9 3 2" xfId="26496" xr:uid="{00000000-0005-0000-0000-00006D7F0000}"/>
    <cellStyle name="Separador de milhares 3 3 4 9 3 2 2" xfId="52677" xr:uid="{00000000-0005-0000-0000-00006E7F0000}"/>
    <cellStyle name="Separador de milhares 3 3 4 9 3 3" xfId="20582" xr:uid="{00000000-0005-0000-0000-00006F7F0000}"/>
    <cellStyle name="Separador de milhares 3 3 4 9 3 3 2" xfId="46769" xr:uid="{00000000-0005-0000-0000-0000707F0000}"/>
    <cellStyle name="Separador de milhares 3 3 4 9 3 4" xfId="14668" xr:uid="{00000000-0005-0000-0000-0000717F0000}"/>
    <cellStyle name="Separador de milhares 3 3 4 9 3 4 2" xfId="40861" xr:uid="{00000000-0005-0000-0000-0000727F0000}"/>
    <cellStyle name="Separador de milhares 3 3 4 9 3 5" xfId="34475" xr:uid="{00000000-0005-0000-0000-0000737F0000}"/>
    <cellStyle name="Separador de milhares 3 3 4 9 4" xfId="4904" xr:uid="{00000000-0005-0000-0000-0000747F0000}"/>
    <cellStyle name="Separador de milhares 3 3 4 9 4 2" xfId="23539" xr:uid="{00000000-0005-0000-0000-0000757F0000}"/>
    <cellStyle name="Separador de milhares 3 3 4 9 4 2 2" xfId="49723" xr:uid="{00000000-0005-0000-0000-0000767F0000}"/>
    <cellStyle name="Separador de milhares 3 3 4 9 4 3" xfId="31100" xr:uid="{00000000-0005-0000-0000-0000777F0000}"/>
    <cellStyle name="Separador de milhares 3 3 4 9 5" xfId="17625" xr:uid="{00000000-0005-0000-0000-0000787F0000}"/>
    <cellStyle name="Separador de milhares 3 3 4 9 5 2" xfId="43815" xr:uid="{00000000-0005-0000-0000-0000797F0000}"/>
    <cellStyle name="Separador de milhares 3 3 4 9 6" xfId="11291" xr:uid="{00000000-0005-0000-0000-00007A7F0000}"/>
    <cellStyle name="Separador de milhares 3 3 4 9 6 2" xfId="37484" xr:uid="{00000000-0005-0000-0000-00007B7F0000}"/>
    <cellStyle name="Separador de milhares 3 3 4 9 7" xfId="29402" xr:uid="{00000000-0005-0000-0000-00007C7F0000}"/>
    <cellStyle name="Separador de milhares 3 3 5" xfId="582" xr:uid="{00000000-0005-0000-0000-00007D7F0000}"/>
    <cellStyle name="Separador de milhares 3 3 5 10" xfId="4868" xr:uid="{00000000-0005-0000-0000-00007E7F0000}"/>
    <cellStyle name="Separador de milhares 3 3 5 10 2" xfId="23502" xr:uid="{00000000-0005-0000-0000-00007F7F0000}"/>
    <cellStyle name="Separador de milhares 3 3 5 10 2 2" xfId="49689" xr:uid="{00000000-0005-0000-0000-0000807F0000}"/>
    <cellStyle name="Separador de milhares 3 3 5 10 3" xfId="31066" xr:uid="{00000000-0005-0000-0000-0000817F0000}"/>
    <cellStyle name="Separador de milhares 3 3 5 11" xfId="17588" xr:uid="{00000000-0005-0000-0000-0000827F0000}"/>
    <cellStyle name="Separador de milhares 3 3 5 11 2" xfId="43781" xr:uid="{00000000-0005-0000-0000-0000837F0000}"/>
    <cellStyle name="Separador de milhares 3 3 5 12" xfId="11257" xr:uid="{00000000-0005-0000-0000-0000847F0000}"/>
    <cellStyle name="Separador de milhares 3 3 5 12 2" xfId="37450" xr:uid="{00000000-0005-0000-0000-0000857F0000}"/>
    <cellStyle name="Separador de milhares 3 3 5 13" xfId="29368" xr:uid="{00000000-0005-0000-0000-0000867F0000}"/>
    <cellStyle name="Separador de milhares 3 3 5 2" xfId="1405" xr:uid="{00000000-0005-0000-0000-0000877F0000}"/>
    <cellStyle name="Separador de milhares 3 3 5 2 2" xfId="6820" xr:uid="{00000000-0005-0000-0000-0000887F0000}"/>
    <cellStyle name="Separador de milhares 3 3 5 2 2 2" xfId="9967" xr:uid="{00000000-0005-0000-0000-0000897F0000}"/>
    <cellStyle name="Separador de milhares 3 3 5 2 2 2 2" xfId="28181" xr:uid="{00000000-0005-0000-0000-00008A7F0000}"/>
    <cellStyle name="Separador de milhares 3 3 5 2 2 2 2 2" xfId="54362" xr:uid="{00000000-0005-0000-0000-00008B7F0000}"/>
    <cellStyle name="Separador de milhares 3 3 5 2 2 2 3" xfId="22267" xr:uid="{00000000-0005-0000-0000-00008C7F0000}"/>
    <cellStyle name="Separador de milhares 3 3 5 2 2 2 3 2" xfId="48454" xr:uid="{00000000-0005-0000-0000-00008D7F0000}"/>
    <cellStyle name="Separador de milhares 3 3 5 2 2 2 4" xfId="16353" xr:uid="{00000000-0005-0000-0000-00008E7F0000}"/>
    <cellStyle name="Separador de milhares 3 3 5 2 2 2 4 2" xfId="42546" xr:uid="{00000000-0005-0000-0000-00008F7F0000}"/>
    <cellStyle name="Separador de milhares 3 3 5 2 2 2 5" xfId="36160" xr:uid="{00000000-0005-0000-0000-0000907F0000}"/>
    <cellStyle name="Separador de milhares 3 3 5 2 2 3" xfId="25224" xr:uid="{00000000-0005-0000-0000-0000917F0000}"/>
    <cellStyle name="Separador de milhares 3 3 5 2 2 3 2" xfId="51408" xr:uid="{00000000-0005-0000-0000-0000927F0000}"/>
    <cellStyle name="Separador de milhares 3 3 5 2 2 4" xfId="19310" xr:uid="{00000000-0005-0000-0000-0000937F0000}"/>
    <cellStyle name="Separador de milhares 3 3 5 2 2 4 2" xfId="45500" xr:uid="{00000000-0005-0000-0000-0000947F0000}"/>
    <cellStyle name="Separador de milhares 3 3 5 2 2 5" xfId="13209" xr:uid="{00000000-0005-0000-0000-0000957F0000}"/>
    <cellStyle name="Separador de milhares 3 3 5 2 2 5 2" xfId="39402" xr:uid="{00000000-0005-0000-0000-0000967F0000}"/>
    <cellStyle name="Separador de milhares 3 3 5 2 2 6" xfId="33016" xr:uid="{00000000-0005-0000-0000-0000977F0000}"/>
    <cellStyle name="Separador de milhares 3 3 5 2 3" xfId="8499" xr:uid="{00000000-0005-0000-0000-0000987F0000}"/>
    <cellStyle name="Separador de milhares 3 3 5 2 3 2" xfId="26713" xr:uid="{00000000-0005-0000-0000-0000997F0000}"/>
    <cellStyle name="Separador de milhares 3 3 5 2 3 2 2" xfId="52894" xr:uid="{00000000-0005-0000-0000-00009A7F0000}"/>
    <cellStyle name="Separador de milhares 3 3 5 2 3 3" xfId="20799" xr:uid="{00000000-0005-0000-0000-00009B7F0000}"/>
    <cellStyle name="Separador de milhares 3 3 5 2 3 3 2" xfId="46986" xr:uid="{00000000-0005-0000-0000-00009C7F0000}"/>
    <cellStyle name="Separador de milhares 3 3 5 2 3 4" xfId="14885" xr:uid="{00000000-0005-0000-0000-00009D7F0000}"/>
    <cellStyle name="Separador de milhares 3 3 5 2 3 4 2" xfId="41078" xr:uid="{00000000-0005-0000-0000-00009E7F0000}"/>
    <cellStyle name="Separador de milhares 3 3 5 2 3 5" xfId="34692" xr:uid="{00000000-0005-0000-0000-00009F7F0000}"/>
    <cellStyle name="Separador de milhares 3 3 5 2 4" xfId="5121" xr:uid="{00000000-0005-0000-0000-0000A07F0000}"/>
    <cellStyle name="Separador de milhares 3 3 5 2 4 2" xfId="23756" xr:uid="{00000000-0005-0000-0000-0000A17F0000}"/>
    <cellStyle name="Separador de milhares 3 3 5 2 4 2 2" xfId="49940" xr:uid="{00000000-0005-0000-0000-0000A27F0000}"/>
    <cellStyle name="Separador de milhares 3 3 5 2 4 3" xfId="31317" xr:uid="{00000000-0005-0000-0000-0000A37F0000}"/>
    <cellStyle name="Separador de milhares 3 3 5 2 5" xfId="17842" xr:uid="{00000000-0005-0000-0000-0000A47F0000}"/>
    <cellStyle name="Separador de milhares 3 3 5 2 5 2" xfId="44032" xr:uid="{00000000-0005-0000-0000-0000A57F0000}"/>
    <cellStyle name="Separador de milhares 3 3 5 2 6" xfId="11508" xr:uid="{00000000-0005-0000-0000-0000A67F0000}"/>
    <cellStyle name="Separador de milhares 3 3 5 2 6 2" xfId="37701" xr:uid="{00000000-0005-0000-0000-0000A77F0000}"/>
    <cellStyle name="Separador de milhares 3 3 5 2 7" xfId="29619" xr:uid="{00000000-0005-0000-0000-0000A87F0000}"/>
    <cellStyle name="Separador de milhares 3 3 5 3" xfId="1840" xr:uid="{00000000-0005-0000-0000-0000A97F0000}"/>
    <cellStyle name="Separador de milhares 3 3 5 3 2" xfId="6939" xr:uid="{00000000-0005-0000-0000-0000AA7F0000}"/>
    <cellStyle name="Separador de milhares 3 3 5 3 2 2" xfId="10086" xr:uid="{00000000-0005-0000-0000-0000AB7F0000}"/>
    <cellStyle name="Separador de milhares 3 3 5 3 2 2 2" xfId="28300" xr:uid="{00000000-0005-0000-0000-0000AC7F0000}"/>
    <cellStyle name="Separador de milhares 3 3 5 3 2 2 2 2" xfId="54481" xr:uid="{00000000-0005-0000-0000-0000AD7F0000}"/>
    <cellStyle name="Separador de milhares 3 3 5 3 2 2 3" xfId="22386" xr:uid="{00000000-0005-0000-0000-0000AE7F0000}"/>
    <cellStyle name="Separador de milhares 3 3 5 3 2 2 3 2" xfId="48573" xr:uid="{00000000-0005-0000-0000-0000AF7F0000}"/>
    <cellStyle name="Separador de milhares 3 3 5 3 2 2 4" xfId="16472" xr:uid="{00000000-0005-0000-0000-0000B07F0000}"/>
    <cellStyle name="Separador de milhares 3 3 5 3 2 2 4 2" xfId="42665" xr:uid="{00000000-0005-0000-0000-0000B17F0000}"/>
    <cellStyle name="Separador de milhares 3 3 5 3 2 2 5" xfId="36279" xr:uid="{00000000-0005-0000-0000-0000B27F0000}"/>
    <cellStyle name="Separador de milhares 3 3 5 3 2 3" xfId="25343" xr:uid="{00000000-0005-0000-0000-0000B37F0000}"/>
    <cellStyle name="Separador de milhares 3 3 5 3 2 3 2" xfId="51527" xr:uid="{00000000-0005-0000-0000-0000B47F0000}"/>
    <cellStyle name="Separador de milhares 3 3 5 3 2 4" xfId="19429" xr:uid="{00000000-0005-0000-0000-0000B57F0000}"/>
    <cellStyle name="Separador de milhares 3 3 5 3 2 4 2" xfId="45619" xr:uid="{00000000-0005-0000-0000-0000B67F0000}"/>
    <cellStyle name="Separador de milhares 3 3 5 3 2 5" xfId="13328" xr:uid="{00000000-0005-0000-0000-0000B77F0000}"/>
    <cellStyle name="Separador de milhares 3 3 5 3 2 5 2" xfId="39521" xr:uid="{00000000-0005-0000-0000-0000B87F0000}"/>
    <cellStyle name="Separador de milhares 3 3 5 3 2 6" xfId="33135" xr:uid="{00000000-0005-0000-0000-0000B97F0000}"/>
    <cellStyle name="Separador de milhares 3 3 5 3 3" xfId="8618" xr:uid="{00000000-0005-0000-0000-0000BA7F0000}"/>
    <cellStyle name="Separador de milhares 3 3 5 3 3 2" xfId="26832" xr:uid="{00000000-0005-0000-0000-0000BB7F0000}"/>
    <cellStyle name="Separador de milhares 3 3 5 3 3 2 2" xfId="53013" xr:uid="{00000000-0005-0000-0000-0000BC7F0000}"/>
    <cellStyle name="Separador de milhares 3 3 5 3 3 3" xfId="20918" xr:uid="{00000000-0005-0000-0000-0000BD7F0000}"/>
    <cellStyle name="Separador de milhares 3 3 5 3 3 3 2" xfId="47105" xr:uid="{00000000-0005-0000-0000-0000BE7F0000}"/>
    <cellStyle name="Separador de milhares 3 3 5 3 3 4" xfId="15004" xr:uid="{00000000-0005-0000-0000-0000BF7F0000}"/>
    <cellStyle name="Separador de milhares 3 3 5 3 3 4 2" xfId="41197" xr:uid="{00000000-0005-0000-0000-0000C07F0000}"/>
    <cellStyle name="Separador de milhares 3 3 5 3 3 5" xfId="34811" xr:uid="{00000000-0005-0000-0000-0000C17F0000}"/>
    <cellStyle name="Separador de milhares 3 3 5 3 4" xfId="5240" xr:uid="{00000000-0005-0000-0000-0000C27F0000}"/>
    <cellStyle name="Separador de milhares 3 3 5 3 4 2" xfId="23875" xr:uid="{00000000-0005-0000-0000-0000C37F0000}"/>
    <cellStyle name="Separador de milhares 3 3 5 3 4 2 2" xfId="50059" xr:uid="{00000000-0005-0000-0000-0000C47F0000}"/>
    <cellStyle name="Separador de milhares 3 3 5 3 4 3" xfId="31436" xr:uid="{00000000-0005-0000-0000-0000C57F0000}"/>
    <cellStyle name="Separador de milhares 3 3 5 3 5" xfId="17961" xr:uid="{00000000-0005-0000-0000-0000C67F0000}"/>
    <cellStyle name="Separador de milhares 3 3 5 3 5 2" xfId="44151" xr:uid="{00000000-0005-0000-0000-0000C77F0000}"/>
    <cellStyle name="Separador de milhares 3 3 5 3 6" xfId="11627" xr:uid="{00000000-0005-0000-0000-0000C87F0000}"/>
    <cellStyle name="Separador de milhares 3 3 5 3 6 2" xfId="37820" xr:uid="{00000000-0005-0000-0000-0000C97F0000}"/>
    <cellStyle name="Separador de milhares 3 3 5 3 7" xfId="29738" xr:uid="{00000000-0005-0000-0000-0000CA7F0000}"/>
    <cellStyle name="Separador de milhares 3 3 5 4" xfId="2370" xr:uid="{00000000-0005-0000-0000-0000CB7F0000}"/>
    <cellStyle name="Separador de milhares 3 3 5 4 2" xfId="7089" xr:uid="{00000000-0005-0000-0000-0000CC7F0000}"/>
    <cellStyle name="Separador de milhares 3 3 5 4 2 2" xfId="10233" xr:uid="{00000000-0005-0000-0000-0000CD7F0000}"/>
    <cellStyle name="Separador de milhares 3 3 5 4 2 2 2" xfId="28447" xr:uid="{00000000-0005-0000-0000-0000CE7F0000}"/>
    <cellStyle name="Separador de milhares 3 3 5 4 2 2 2 2" xfId="54628" xr:uid="{00000000-0005-0000-0000-0000CF7F0000}"/>
    <cellStyle name="Separador de milhares 3 3 5 4 2 2 3" xfId="22533" xr:uid="{00000000-0005-0000-0000-0000D07F0000}"/>
    <cellStyle name="Separador de milhares 3 3 5 4 2 2 3 2" xfId="48720" xr:uid="{00000000-0005-0000-0000-0000D17F0000}"/>
    <cellStyle name="Separador de milhares 3 3 5 4 2 2 4" xfId="16619" xr:uid="{00000000-0005-0000-0000-0000D27F0000}"/>
    <cellStyle name="Separador de milhares 3 3 5 4 2 2 4 2" xfId="42812" xr:uid="{00000000-0005-0000-0000-0000D37F0000}"/>
    <cellStyle name="Separador de milhares 3 3 5 4 2 2 5" xfId="36426" xr:uid="{00000000-0005-0000-0000-0000D47F0000}"/>
    <cellStyle name="Separador de milhares 3 3 5 4 2 3" xfId="25490" xr:uid="{00000000-0005-0000-0000-0000D57F0000}"/>
    <cellStyle name="Separador de milhares 3 3 5 4 2 3 2" xfId="51674" xr:uid="{00000000-0005-0000-0000-0000D67F0000}"/>
    <cellStyle name="Separador de milhares 3 3 5 4 2 4" xfId="19576" xr:uid="{00000000-0005-0000-0000-0000D77F0000}"/>
    <cellStyle name="Separador de milhares 3 3 5 4 2 4 2" xfId="45766" xr:uid="{00000000-0005-0000-0000-0000D87F0000}"/>
    <cellStyle name="Separador de milhares 3 3 5 4 2 5" xfId="13478" xr:uid="{00000000-0005-0000-0000-0000D97F0000}"/>
    <cellStyle name="Separador de milhares 3 3 5 4 2 5 2" xfId="39671" xr:uid="{00000000-0005-0000-0000-0000DA7F0000}"/>
    <cellStyle name="Separador de milhares 3 3 5 4 2 6" xfId="33285" xr:uid="{00000000-0005-0000-0000-0000DB7F0000}"/>
    <cellStyle name="Separador de milhares 3 3 5 4 3" xfId="8765" xr:uid="{00000000-0005-0000-0000-0000DC7F0000}"/>
    <cellStyle name="Separador de milhares 3 3 5 4 3 2" xfId="26979" xr:uid="{00000000-0005-0000-0000-0000DD7F0000}"/>
    <cellStyle name="Separador de milhares 3 3 5 4 3 2 2" xfId="53160" xr:uid="{00000000-0005-0000-0000-0000DE7F0000}"/>
    <cellStyle name="Separador de milhares 3 3 5 4 3 3" xfId="21065" xr:uid="{00000000-0005-0000-0000-0000DF7F0000}"/>
    <cellStyle name="Separador de milhares 3 3 5 4 3 3 2" xfId="47252" xr:uid="{00000000-0005-0000-0000-0000E07F0000}"/>
    <cellStyle name="Separador de milhares 3 3 5 4 3 4" xfId="15151" xr:uid="{00000000-0005-0000-0000-0000E17F0000}"/>
    <cellStyle name="Separador de milhares 3 3 5 4 3 4 2" xfId="41344" xr:uid="{00000000-0005-0000-0000-0000E27F0000}"/>
    <cellStyle name="Separador de milhares 3 3 5 4 3 5" xfId="34958" xr:uid="{00000000-0005-0000-0000-0000E37F0000}"/>
    <cellStyle name="Separador de milhares 3 3 5 4 4" xfId="5390" xr:uid="{00000000-0005-0000-0000-0000E47F0000}"/>
    <cellStyle name="Separador de milhares 3 3 5 4 4 2" xfId="24022" xr:uid="{00000000-0005-0000-0000-0000E57F0000}"/>
    <cellStyle name="Separador de milhares 3 3 5 4 4 2 2" xfId="50206" xr:uid="{00000000-0005-0000-0000-0000E67F0000}"/>
    <cellStyle name="Separador de milhares 3 3 5 4 4 3" xfId="31586" xr:uid="{00000000-0005-0000-0000-0000E77F0000}"/>
    <cellStyle name="Separador de milhares 3 3 5 4 5" xfId="18108" xr:uid="{00000000-0005-0000-0000-0000E87F0000}"/>
    <cellStyle name="Separador de milhares 3 3 5 4 5 2" xfId="44298" xr:uid="{00000000-0005-0000-0000-0000E97F0000}"/>
    <cellStyle name="Separador de milhares 3 3 5 4 6" xfId="11777" xr:uid="{00000000-0005-0000-0000-0000EA7F0000}"/>
    <cellStyle name="Separador de milhares 3 3 5 4 6 2" xfId="37970" xr:uid="{00000000-0005-0000-0000-0000EB7F0000}"/>
    <cellStyle name="Separador de milhares 3 3 5 4 7" xfId="29888" xr:uid="{00000000-0005-0000-0000-0000EC7F0000}"/>
    <cellStyle name="Separador de milhares 3 3 5 5" xfId="2897" xr:uid="{00000000-0005-0000-0000-0000ED7F0000}"/>
    <cellStyle name="Separador de milhares 3 3 5 5 2" xfId="7236" xr:uid="{00000000-0005-0000-0000-0000EE7F0000}"/>
    <cellStyle name="Separador de milhares 3 3 5 5 2 2" xfId="10380" xr:uid="{00000000-0005-0000-0000-0000EF7F0000}"/>
    <cellStyle name="Separador de milhares 3 3 5 5 2 2 2" xfId="28594" xr:uid="{00000000-0005-0000-0000-0000F07F0000}"/>
    <cellStyle name="Separador de milhares 3 3 5 5 2 2 2 2" xfId="54775" xr:uid="{00000000-0005-0000-0000-0000F17F0000}"/>
    <cellStyle name="Separador de milhares 3 3 5 5 2 2 3" xfId="22680" xr:uid="{00000000-0005-0000-0000-0000F27F0000}"/>
    <cellStyle name="Separador de milhares 3 3 5 5 2 2 3 2" xfId="48867" xr:uid="{00000000-0005-0000-0000-0000F37F0000}"/>
    <cellStyle name="Separador de milhares 3 3 5 5 2 2 4" xfId="16766" xr:uid="{00000000-0005-0000-0000-0000F47F0000}"/>
    <cellStyle name="Separador de milhares 3 3 5 5 2 2 4 2" xfId="42959" xr:uid="{00000000-0005-0000-0000-0000F57F0000}"/>
    <cellStyle name="Separador de milhares 3 3 5 5 2 2 5" xfId="36573" xr:uid="{00000000-0005-0000-0000-0000F67F0000}"/>
    <cellStyle name="Separador de milhares 3 3 5 5 2 3" xfId="25637" xr:uid="{00000000-0005-0000-0000-0000F77F0000}"/>
    <cellStyle name="Separador de milhares 3 3 5 5 2 3 2" xfId="51821" xr:uid="{00000000-0005-0000-0000-0000F87F0000}"/>
    <cellStyle name="Separador de milhares 3 3 5 5 2 4" xfId="19723" xr:uid="{00000000-0005-0000-0000-0000F97F0000}"/>
    <cellStyle name="Separador de milhares 3 3 5 5 2 4 2" xfId="45913" xr:uid="{00000000-0005-0000-0000-0000FA7F0000}"/>
    <cellStyle name="Separador de milhares 3 3 5 5 2 5" xfId="13625" xr:uid="{00000000-0005-0000-0000-0000FB7F0000}"/>
    <cellStyle name="Separador de milhares 3 3 5 5 2 5 2" xfId="39818" xr:uid="{00000000-0005-0000-0000-0000FC7F0000}"/>
    <cellStyle name="Separador de milhares 3 3 5 5 2 6" xfId="33432" xr:uid="{00000000-0005-0000-0000-0000FD7F0000}"/>
    <cellStyle name="Separador de milhares 3 3 5 5 3" xfId="8912" xr:uid="{00000000-0005-0000-0000-0000FE7F0000}"/>
    <cellStyle name="Separador de milhares 3 3 5 5 3 2" xfId="27126" xr:uid="{00000000-0005-0000-0000-0000FF7F0000}"/>
    <cellStyle name="Separador de milhares 3 3 5 5 3 2 2" xfId="53307" xr:uid="{00000000-0005-0000-0000-000000800000}"/>
    <cellStyle name="Separador de milhares 3 3 5 5 3 3" xfId="21212" xr:uid="{00000000-0005-0000-0000-000001800000}"/>
    <cellStyle name="Separador de milhares 3 3 5 5 3 3 2" xfId="47399" xr:uid="{00000000-0005-0000-0000-000002800000}"/>
    <cellStyle name="Separador de milhares 3 3 5 5 3 4" xfId="15298" xr:uid="{00000000-0005-0000-0000-000003800000}"/>
    <cellStyle name="Separador de milhares 3 3 5 5 3 4 2" xfId="41491" xr:uid="{00000000-0005-0000-0000-000004800000}"/>
    <cellStyle name="Separador de milhares 3 3 5 5 3 5" xfId="35105" xr:uid="{00000000-0005-0000-0000-000005800000}"/>
    <cellStyle name="Separador de milhares 3 3 5 5 4" xfId="5537" xr:uid="{00000000-0005-0000-0000-000006800000}"/>
    <cellStyle name="Separador de milhares 3 3 5 5 4 2" xfId="24169" xr:uid="{00000000-0005-0000-0000-000007800000}"/>
    <cellStyle name="Separador de milhares 3 3 5 5 4 2 2" xfId="50353" xr:uid="{00000000-0005-0000-0000-000008800000}"/>
    <cellStyle name="Separador de milhares 3 3 5 5 4 3" xfId="31733" xr:uid="{00000000-0005-0000-0000-000009800000}"/>
    <cellStyle name="Separador de milhares 3 3 5 5 5" xfId="18255" xr:uid="{00000000-0005-0000-0000-00000A800000}"/>
    <cellStyle name="Separador de milhares 3 3 5 5 5 2" xfId="44445" xr:uid="{00000000-0005-0000-0000-00000B800000}"/>
    <cellStyle name="Separador de milhares 3 3 5 5 6" xfId="11924" xr:uid="{00000000-0005-0000-0000-00000C800000}"/>
    <cellStyle name="Separador de milhares 3 3 5 5 6 2" xfId="38117" xr:uid="{00000000-0005-0000-0000-00000D800000}"/>
    <cellStyle name="Separador de milhares 3 3 5 5 7" xfId="30035" xr:uid="{00000000-0005-0000-0000-00000E800000}"/>
    <cellStyle name="Separador de milhares 3 3 5 6" xfId="3424" xr:uid="{00000000-0005-0000-0000-00000F800000}"/>
    <cellStyle name="Separador de milhares 3 3 5 6 2" xfId="7383" xr:uid="{00000000-0005-0000-0000-000010800000}"/>
    <cellStyle name="Separador de milhares 3 3 5 6 2 2" xfId="10527" xr:uid="{00000000-0005-0000-0000-000011800000}"/>
    <cellStyle name="Separador de milhares 3 3 5 6 2 2 2" xfId="28741" xr:uid="{00000000-0005-0000-0000-000012800000}"/>
    <cellStyle name="Separador de milhares 3 3 5 6 2 2 2 2" xfId="54922" xr:uid="{00000000-0005-0000-0000-000013800000}"/>
    <cellStyle name="Separador de milhares 3 3 5 6 2 2 3" xfId="22827" xr:uid="{00000000-0005-0000-0000-000014800000}"/>
    <cellStyle name="Separador de milhares 3 3 5 6 2 2 3 2" xfId="49014" xr:uid="{00000000-0005-0000-0000-000015800000}"/>
    <cellStyle name="Separador de milhares 3 3 5 6 2 2 4" xfId="16913" xr:uid="{00000000-0005-0000-0000-000016800000}"/>
    <cellStyle name="Separador de milhares 3 3 5 6 2 2 4 2" xfId="43106" xr:uid="{00000000-0005-0000-0000-000017800000}"/>
    <cellStyle name="Separador de milhares 3 3 5 6 2 2 5" xfId="36720" xr:uid="{00000000-0005-0000-0000-000018800000}"/>
    <cellStyle name="Separador de milhares 3 3 5 6 2 3" xfId="25784" xr:uid="{00000000-0005-0000-0000-000019800000}"/>
    <cellStyle name="Separador de milhares 3 3 5 6 2 3 2" xfId="51968" xr:uid="{00000000-0005-0000-0000-00001A800000}"/>
    <cellStyle name="Separador de milhares 3 3 5 6 2 4" xfId="19870" xr:uid="{00000000-0005-0000-0000-00001B800000}"/>
    <cellStyle name="Separador de milhares 3 3 5 6 2 4 2" xfId="46060" xr:uid="{00000000-0005-0000-0000-00001C800000}"/>
    <cellStyle name="Separador de milhares 3 3 5 6 2 5" xfId="13772" xr:uid="{00000000-0005-0000-0000-00001D800000}"/>
    <cellStyle name="Separador de milhares 3 3 5 6 2 5 2" xfId="39965" xr:uid="{00000000-0005-0000-0000-00001E800000}"/>
    <cellStyle name="Separador de milhares 3 3 5 6 2 6" xfId="33579" xr:uid="{00000000-0005-0000-0000-00001F800000}"/>
    <cellStyle name="Separador de milhares 3 3 5 6 3" xfId="9059" xr:uid="{00000000-0005-0000-0000-000020800000}"/>
    <cellStyle name="Separador de milhares 3 3 5 6 3 2" xfId="27273" xr:uid="{00000000-0005-0000-0000-000021800000}"/>
    <cellStyle name="Separador de milhares 3 3 5 6 3 2 2" xfId="53454" xr:uid="{00000000-0005-0000-0000-000022800000}"/>
    <cellStyle name="Separador de milhares 3 3 5 6 3 3" xfId="21359" xr:uid="{00000000-0005-0000-0000-000023800000}"/>
    <cellStyle name="Separador de milhares 3 3 5 6 3 3 2" xfId="47546" xr:uid="{00000000-0005-0000-0000-000024800000}"/>
    <cellStyle name="Separador de milhares 3 3 5 6 3 4" xfId="15445" xr:uid="{00000000-0005-0000-0000-000025800000}"/>
    <cellStyle name="Separador de milhares 3 3 5 6 3 4 2" xfId="41638" xr:uid="{00000000-0005-0000-0000-000026800000}"/>
    <cellStyle name="Separador de milhares 3 3 5 6 3 5" xfId="35252" xr:uid="{00000000-0005-0000-0000-000027800000}"/>
    <cellStyle name="Separador de milhares 3 3 5 6 4" xfId="5684" xr:uid="{00000000-0005-0000-0000-000028800000}"/>
    <cellStyle name="Separador de milhares 3 3 5 6 4 2" xfId="24316" xr:uid="{00000000-0005-0000-0000-000029800000}"/>
    <cellStyle name="Separador de milhares 3 3 5 6 4 2 2" xfId="50500" xr:uid="{00000000-0005-0000-0000-00002A800000}"/>
    <cellStyle name="Separador de milhares 3 3 5 6 4 3" xfId="31880" xr:uid="{00000000-0005-0000-0000-00002B800000}"/>
    <cellStyle name="Separador de milhares 3 3 5 6 5" xfId="18402" xr:uid="{00000000-0005-0000-0000-00002C800000}"/>
    <cellStyle name="Separador de milhares 3 3 5 6 5 2" xfId="44592" xr:uid="{00000000-0005-0000-0000-00002D800000}"/>
    <cellStyle name="Separador de milhares 3 3 5 6 6" xfId="12071" xr:uid="{00000000-0005-0000-0000-00002E800000}"/>
    <cellStyle name="Separador de milhares 3 3 5 6 6 2" xfId="38264" xr:uid="{00000000-0005-0000-0000-00002F800000}"/>
    <cellStyle name="Separador de milhares 3 3 5 6 7" xfId="30182" xr:uid="{00000000-0005-0000-0000-000030800000}"/>
    <cellStyle name="Separador de milhares 3 3 5 7" xfId="3951" xr:uid="{00000000-0005-0000-0000-000031800000}"/>
    <cellStyle name="Separador de milhares 3 3 5 7 2" xfId="7530" xr:uid="{00000000-0005-0000-0000-000032800000}"/>
    <cellStyle name="Separador de milhares 3 3 5 7 2 2" xfId="10674" xr:uid="{00000000-0005-0000-0000-000033800000}"/>
    <cellStyle name="Separador de milhares 3 3 5 7 2 2 2" xfId="28888" xr:uid="{00000000-0005-0000-0000-000034800000}"/>
    <cellStyle name="Separador de milhares 3 3 5 7 2 2 2 2" xfId="55069" xr:uid="{00000000-0005-0000-0000-000035800000}"/>
    <cellStyle name="Separador de milhares 3 3 5 7 2 2 3" xfId="22974" xr:uid="{00000000-0005-0000-0000-000036800000}"/>
    <cellStyle name="Separador de milhares 3 3 5 7 2 2 3 2" xfId="49161" xr:uid="{00000000-0005-0000-0000-000037800000}"/>
    <cellStyle name="Separador de milhares 3 3 5 7 2 2 4" xfId="17060" xr:uid="{00000000-0005-0000-0000-000038800000}"/>
    <cellStyle name="Separador de milhares 3 3 5 7 2 2 4 2" xfId="43253" xr:uid="{00000000-0005-0000-0000-000039800000}"/>
    <cellStyle name="Separador de milhares 3 3 5 7 2 2 5" xfId="36867" xr:uid="{00000000-0005-0000-0000-00003A800000}"/>
    <cellStyle name="Separador de milhares 3 3 5 7 2 3" xfId="25931" xr:uid="{00000000-0005-0000-0000-00003B800000}"/>
    <cellStyle name="Separador de milhares 3 3 5 7 2 3 2" xfId="52115" xr:uid="{00000000-0005-0000-0000-00003C800000}"/>
    <cellStyle name="Separador de milhares 3 3 5 7 2 4" xfId="20017" xr:uid="{00000000-0005-0000-0000-00003D800000}"/>
    <cellStyle name="Separador de milhares 3 3 5 7 2 4 2" xfId="46207" xr:uid="{00000000-0005-0000-0000-00003E800000}"/>
    <cellStyle name="Separador de milhares 3 3 5 7 2 5" xfId="13919" xr:uid="{00000000-0005-0000-0000-00003F800000}"/>
    <cellStyle name="Separador de milhares 3 3 5 7 2 5 2" xfId="40112" xr:uid="{00000000-0005-0000-0000-000040800000}"/>
    <cellStyle name="Separador de milhares 3 3 5 7 2 6" xfId="33726" xr:uid="{00000000-0005-0000-0000-000041800000}"/>
    <cellStyle name="Separador de milhares 3 3 5 7 3" xfId="9206" xr:uid="{00000000-0005-0000-0000-000042800000}"/>
    <cellStyle name="Separador de milhares 3 3 5 7 3 2" xfId="27420" xr:uid="{00000000-0005-0000-0000-000043800000}"/>
    <cellStyle name="Separador de milhares 3 3 5 7 3 2 2" xfId="53601" xr:uid="{00000000-0005-0000-0000-000044800000}"/>
    <cellStyle name="Separador de milhares 3 3 5 7 3 3" xfId="21506" xr:uid="{00000000-0005-0000-0000-000045800000}"/>
    <cellStyle name="Separador de milhares 3 3 5 7 3 3 2" xfId="47693" xr:uid="{00000000-0005-0000-0000-000046800000}"/>
    <cellStyle name="Separador de milhares 3 3 5 7 3 4" xfId="15592" xr:uid="{00000000-0005-0000-0000-000047800000}"/>
    <cellStyle name="Separador de milhares 3 3 5 7 3 4 2" xfId="41785" xr:uid="{00000000-0005-0000-0000-000048800000}"/>
    <cellStyle name="Separador de milhares 3 3 5 7 3 5" xfId="35399" xr:uid="{00000000-0005-0000-0000-000049800000}"/>
    <cellStyle name="Separador de milhares 3 3 5 7 4" xfId="5831" xr:uid="{00000000-0005-0000-0000-00004A800000}"/>
    <cellStyle name="Separador de milhares 3 3 5 7 4 2" xfId="24463" xr:uid="{00000000-0005-0000-0000-00004B800000}"/>
    <cellStyle name="Separador de milhares 3 3 5 7 4 2 2" xfId="50647" xr:uid="{00000000-0005-0000-0000-00004C800000}"/>
    <cellStyle name="Separador de milhares 3 3 5 7 4 3" xfId="32027" xr:uid="{00000000-0005-0000-0000-00004D800000}"/>
    <cellStyle name="Separador de milhares 3 3 5 7 5" xfId="18549" xr:uid="{00000000-0005-0000-0000-00004E800000}"/>
    <cellStyle name="Separador de milhares 3 3 5 7 5 2" xfId="44739" xr:uid="{00000000-0005-0000-0000-00004F800000}"/>
    <cellStyle name="Separador de milhares 3 3 5 7 6" xfId="12218" xr:uid="{00000000-0005-0000-0000-000050800000}"/>
    <cellStyle name="Separador de milhares 3 3 5 7 6 2" xfId="38411" xr:uid="{00000000-0005-0000-0000-000051800000}"/>
    <cellStyle name="Separador de milhares 3 3 5 7 7" xfId="30329" xr:uid="{00000000-0005-0000-0000-000052800000}"/>
    <cellStyle name="Separador de milhares 3 3 5 8" xfId="6569" xr:uid="{00000000-0005-0000-0000-000053800000}"/>
    <cellStyle name="Separador de milhares 3 3 5 8 2" xfId="9716" xr:uid="{00000000-0005-0000-0000-000054800000}"/>
    <cellStyle name="Separador de milhares 3 3 5 8 2 2" xfId="27930" xr:uid="{00000000-0005-0000-0000-000055800000}"/>
    <cellStyle name="Separador de milhares 3 3 5 8 2 2 2" xfId="54111" xr:uid="{00000000-0005-0000-0000-000056800000}"/>
    <cellStyle name="Separador de milhares 3 3 5 8 2 3" xfId="22016" xr:uid="{00000000-0005-0000-0000-000057800000}"/>
    <cellStyle name="Separador de milhares 3 3 5 8 2 3 2" xfId="48203" xr:uid="{00000000-0005-0000-0000-000058800000}"/>
    <cellStyle name="Separador de milhares 3 3 5 8 2 4" xfId="16102" xr:uid="{00000000-0005-0000-0000-000059800000}"/>
    <cellStyle name="Separador de milhares 3 3 5 8 2 4 2" xfId="42295" xr:uid="{00000000-0005-0000-0000-00005A800000}"/>
    <cellStyle name="Separador de milhares 3 3 5 8 2 5" xfId="35909" xr:uid="{00000000-0005-0000-0000-00005B800000}"/>
    <cellStyle name="Separador de milhares 3 3 5 8 3" xfId="24973" xr:uid="{00000000-0005-0000-0000-00005C800000}"/>
    <cellStyle name="Separador de milhares 3 3 5 8 3 2" xfId="51157" xr:uid="{00000000-0005-0000-0000-00005D800000}"/>
    <cellStyle name="Separador de milhares 3 3 5 8 4" xfId="19059" xr:uid="{00000000-0005-0000-0000-00005E800000}"/>
    <cellStyle name="Separador de milhares 3 3 5 8 4 2" xfId="45249" xr:uid="{00000000-0005-0000-0000-00005F800000}"/>
    <cellStyle name="Separador de milhares 3 3 5 8 5" xfId="12958" xr:uid="{00000000-0005-0000-0000-000060800000}"/>
    <cellStyle name="Separador de milhares 3 3 5 8 5 2" xfId="39151" xr:uid="{00000000-0005-0000-0000-000061800000}"/>
    <cellStyle name="Separador de milhares 3 3 5 8 6" xfId="32765" xr:uid="{00000000-0005-0000-0000-000062800000}"/>
    <cellStyle name="Separador de milhares 3 3 5 9" xfId="8245" xr:uid="{00000000-0005-0000-0000-000063800000}"/>
    <cellStyle name="Separador de milhares 3 3 5 9 2" xfId="26459" xr:uid="{00000000-0005-0000-0000-000064800000}"/>
    <cellStyle name="Separador de milhares 3 3 5 9 2 2" xfId="52643" xr:uid="{00000000-0005-0000-0000-000065800000}"/>
    <cellStyle name="Separador de milhares 3 3 5 9 3" xfId="20545" xr:uid="{00000000-0005-0000-0000-000066800000}"/>
    <cellStyle name="Separador de milhares 3 3 5 9 3 2" xfId="46735" xr:uid="{00000000-0005-0000-0000-000067800000}"/>
    <cellStyle name="Separador de milhares 3 3 5 9 4" xfId="14634" xr:uid="{00000000-0005-0000-0000-000068800000}"/>
    <cellStyle name="Separador de milhares 3 3 5 9 4 2" xfId="40827" xr:uid="{00000000-0005-0000-0000-000069800000}"/>
    <cellStyle name="Separador de milhares 3 3 5 9 5" xfId="34441" xr:uid="{00000000-0005-0000-0000-00006A800000}"/>
    <cellStyle name="Separador de milhares 3 3 6" xfId="703" xr:uid="{00000000-0005-0000-0000-00006B800000}"/>
    <cellStyle name="Separador de milhares 3 3 6 2" xfId="4127" xr:uid="{00000000-0005-0000-0000-00006C800000}"/>
    <cellStyle name="Separador de milhares 3 3 6 2 2" xfId="7579" xr:uid="{00000000-0005-0000-0000-00006D800000}"/>
    <cellStyle name="Separador de milhares 3 3 6 2 2 2" xfId="10723" xr:uid="{00000000-0005-0000-0000-00006E800000}"/>
    <cellStyle name="Separador de milhares 3 3 6 2 2 2 2" xfId="28937" xr:uid="{00000000-0005-0000-0000-00006F800000}"/>
    <cellStyle name="Separador de milhares 3 3 6 2 2 2 2 2" xfId="55118" xr:uid="{00000000-0005-0000-0000-000070800000}"/>
    <cellStyle name="Separador de milhares 3 3 6 2 2 2 3" xfId="23023" xr:uid="{00000000-0005-0000-0000-000071800000}"/>
    <cellStyle name="Separador de milhares 3 3 6 2 2 2 3 2" xfId="49210" xr:uid="{00000000-0005-0000-0000-000072800000}"/>
    <cellStyle name="Separador de milhares 3 3 6 2 2 2 4" xfId="17109" xr:uid="{00000000-0005-0000-0000-000073800000}"/>
    <cellStyle name="Separador de milhares 3 3 6 2 2 2 4 2" xfId="43302" xr:uid="{00000000-0005-0000-0000-000074800000}"/>
    <cellStyle name="Separador de milhares 3 3 6 2 2 2 5" xfId="36916" xr:uid="{00000000-0005-0000-0000-000075800000}"/>
    <cellStyle name="Separador de milhares 3 3 6 2 2 3" xfId="25980" xr:uid="{00000000-0005-0000-0000-000076800000}"/>
    <cellStyle name="Separador de milhares 3 3 6 2 2 3 2" xfId="52164" xr:uid="{00000000-0005-0000-0000-000077800000}"/>
    <cellStyle name="Separador de milhares 3 3 6 2 2 4" xfId="20066" xr:uid="{00000000-0005-0000-0000-000078800000}"/>
    <cellStyle name="Separador de milhares 3 3 6 2 2 4 2" xfId="46256" xr:uid="{00000000-0005-0000-0000-000079800000}"/>
    <cellStyle name="Separador de milhares 3 3 6 2 2 5" xfId="13968" xr:uid="{00000000-0005-0000-0000-00007A800000}"/>
    <cellStyle name="Separador de milhares 3 3 6 2 2 5 2" xfId="40161" xr:uid="{00000000-0005-0000-0000-00007B800000}"/>
    <cellStyle name="Separador de milhares 3 3 6 2 2 6" xfId="33775" xr:uid="{00000000-0005-0000-0000-00007C800000}"/>
    <cellStyle name="Separador de milhares 3 3 6 2 3" xfId="9255" xr:uid="{00000000-0005-0000-0000-00007D800000}"/>
    <cellStyle name="Separador de milhares 3 3 6 2 3 2" xfId="27469" xr:uid="{00000000-0005-0000-0000-00007E800000}"/>
    <cellStyle name="Separador de milhares 3 3 6 2 3 2 2" xfId="53650" xr:uid="{00000000-0005-0000-0000-00007F800000}"/>
    <cellStyle name="Separador de milhares 3 3 6 2 3 3" xfId="21555" xr:uid="{00000000-0005-0000-0000-000080800000}"/>
    <cellStyle name="Separador de milhares 3 3 6 2 3 3 2" xfId="47742" xr:uid="{00000000-0005-0000-0000-000081800000}"/>
    <cellStyle name="Separador de milhares 3 3 6 2 3 4" xfId="15641" xr:uid="{00000000-0005-0000-0000-000082800000}"/>
    <cellStyle name="Separador de milhares 3 3 6 2 3 4 2" xfId="41834" xr:uid="{00000000-0005-0000-0000-000083800000}"/>
    <cellStyle name="Separador de milhares 3 3 6 2 3 5" xfId="35448" xr:uid="{00000000-0005-0000-0000-000084800000}"/>
    <cellStyle name="Separador de milhares 3 3 6 2 4" xfId="5880" xr:uid="{00000000-0005-0000-0000-000085800000}"/>
    <cellStyle name="Separador de milhares 3 3 6 2 4 2" xfId="24512" xr:uid="{00000000-0005-0000-0000-000086800000}"/>
    <cellStyle name="Separador de milhares 3 3 6 2 4 2 2" xfId="50696" xr:uid="{00000000-0005-0000-0000-000087800000}"/>
    <cellStyle name="Separador de milhares 3 3 6 2 4 3" xfId="32076" xr:uid="{00000000-0005-0000-0000-000088800000}"/>
    <cellStyle name="Separador de milhares 3 3 6 2 5" xfId="18598" xr:uid="{00000000-0005-0000-0000-000089800000}"/>
    <cellStyle name="Separador de milhares 3 3 6 2 5 2" xfId="44788" xr:uid="{00000000-0005-0000-0000-00008A800000}"/>
    <cellStyle name="Separador de milhares 3 3 6 2 6" xfId="12267" xr:uid="{00000000-0005-0000-0000-00008B800000}"/>
    <cellStyle name="Separador de milhares 3 3 6 2 6 2" xfId="38460" xr:uid="{00000000-0005-0000-0000-00008C800000}"/>
    <cellStyle name="Separador de milhares 3 3 6 2 7" xfId="30378" xr:uid="{00000000-0005-0000-0000-00008D800000}"/>
    <cellStyle name="Separador de milhares 3 3 6 3" xfId="6624" xr:uid="{00000000-0005-0000-0000-00008E800000}"/>
    <cellStyle name="Separador de milhares 3 3 6 3 2" xfId="9771" xr:uid="{00000000-0005-0000-0000-00008F800000}"/>
    <cellStyle name="Separador de milhares 3 3 6 3 2 2" xfId="27985" xr:uid="{00000000-0005-0000-0000-000090800000}"/>
    <cellStyle name="Separador de milhares 3 3 6 3 2 2 2" xfId="54166" xr:uid="{00000000-0005-0000-0000-000091800000}"/>
    <cellStyle name="Separador de milhares 3 3 6 3 2 3" xfId="22071" xr:uid="{00000000-0005-0000-0000-000092800000}"/>
    <cellStyle name="Separador de milhares 3 3 6 3 2 3 2" xfId="48258" xr:uid="{00000000-0005-0000-0000-000093800000}"/>
    <cellStyle name="Separador de milhares 3 3 6 3 2 4" xfId="16157" xr:uid="{00000000-0005-0000-0000-000094800000}"/>
    <cellStyle name="Separador de milhares 3 3 6 3 2 4 2" xfId="42350" xr:uid="{00000000-0005-0000-0000-000095800000}"/>
    <cellStyle name="Separador de milhares 3 3 6 3 2 5" xfId="35964" xr:uid="{00000000-0005-0000-0000-000096800000}"/>
    <cellStyle name="Separador de milhares 3 3 6 3 3" xfId="25028" xr:uid="{00000000-0005-0000-0000-000097800000}"/>
    <cellStyle name="Separador de milhares 3 3 6 3 3 2" xfId="51212" xr:uid="{00000000-0005-0000-0000-000098800000}"/>
    <cellStyle name="Separador de milhares 3 3 6 3 4" xfId="19114" xr:uid="{00000000-0005-0000-0000-000099800000}"/>
    <cellStyle name="Separador de milhares 3 3 6 3 4 2" xfId="45304" xr:uid="{00000000-0005-0000-0000-00009A800000}"/>
    <cellStyle name="Separador de milhares 3 3 6 3 5" xfId="13013" xr:uid="{00000000-0005-0000-0000-00009B800000}"/>
    <cellStyle name="Separador de milhares 3 3 6 3 5 2" xfId="39206" xr:uid="{00000000-0005-0000-0000-00009C800000}"/>
    <cellStyle name="Separador de milhares 3 3 6 3 6" xfId="32820" xr:uid="{00000000-0005-0000-0000-00009D800000}"/>
    <cellStyle name="Separador de milhares 3 3 6 4" xfId="8303" xr:uid="{00000000-0005-0000-0000-00009E800000}"/>
    <cellStyle name="Separador de milhares 3 3 6 4 2" xfId="26517" xr:uid="{00000000-0005-0000-0000-00009F800000}"/>
    <cellStyle name="Separador de milhares 3 3 6 4 2 2" xfId="52698" xr:uid="{00000000-0005-0000-0000-0000A0800000}"/>
    <cellStyle name="Separador de milhares 3 3 6 4 3" xfId="20603" xr:uid="{00000000-0005-0000-0000-0000A1800000}"/>
    <cellStyle name="Separador de milhares 3 3 6 4 3 2" xfId="46790" xr:uid="{00000000-0005-0000-0000-0000A2800000}"/>
    <cellStyle name="Separador de milhares 3 3 6 4 4" xfId="14689" xr:uid="{00000000-0005-0000-0000-0000A3800000}"/>
    <cellStyle name="Separador de milhares 3 3 6 4 4 2" xfId="40882" xr:uid="{00000000-0005-0000-0000-0000A4800000}"/>
    <cellStyle name="Separador de milhares 3 3 6 4 5" xfId="34496" xr:uid="{00000000-0005-0000-0000-0000A5800000}"/>
    <cellStyle name="Separador de milhares 3 3 6 5" xfId="4925" xr:uid="{00000000-0005-0000-0000-0000A6800000}"/>
    <cellStyle name="Separador de milhares 3 3 6 5 2" xfId="23560" xr:uid="{00000000-0005-0000-0000-0000A7800000}"/>
    <cellStyle name="Separador de milhares 3 3 6 5 2 2" xfId="49744" xr:uid="{00000000-0005-0000-0000-0000A8800000}"/>
    <cellStyle name="Separador de milhares 3 3 6 5 3" xfId="31121" xr:uid="{00000000-0005-0000-0000-0000A9800000}"/>
    <cellStyle name="Separador de milhares 3 3 6 6" xfId="17646" xr:uid="{00000000-0005-0000-0000-0000AA800000}"/>
    <cellStyle name="Separador de milhares 3 3 6 6 2" xfId="43836" xr:uid="{00000000-0005-0000-0000-0000AB800000}"/>
    <cellStyle name="Separador de milhares 3 3 6 7" xfId="11312" xr:uid="{00000000-0005-0000-0000-0000AC800000}"/>
    <cellStyle name="Separador de milhares 3 3 6 7 2" xfId="37505" xr:uid="{00000000-0005-0000-0000-0000AD800000}"/>
    <cellStyle name="Separador de milhares 3 3 6 8" xfId="29423" xr:uid="{00000000-0005-0000-0000-0000AE800000}"/>
    <cellStyle name="Separador de milhares 3 3 7" xfId="1054" xr:uid="{00000000-0005-0000-0000-0000AF800000}"/>
    <cellStyle name="Separador de milhares 3 3 7 2" xfId="6722" xr:uid="{00000000-0005-0000-0000-0000B0800000}"/>
    <cellStyle name="Separador de milhares 3 3 7 2 2" xfId="9869" xr:uid="{00000000-0005-0000-0000-0000B1800000}"/>
    <cellStyle name="Separador de milhares 3 3 7 2 2 2" xfId="28083" xr:uid="{00000000-0005-0000-0000-0000B2800000}"/>
    <cellStyle name="Separador de milhares 3 3 7 2 2 2 2" xfId="54264" xr:uid="{00000000-0005-0000-0000-0000B3800000}"/>
    <cellStyle name="Separador de milhares 3 3 7 2 2 3" xfId="22169" xr:uid="{00000000-0005-0000-0000-0000B4800000}"/>
    <cellStyle name="Separador de milhares 3 3 7 2 2 3 2" xfId="48356" xr:uid="{00000000-0005-0000-0000-0000B5800000}"/>
    <cellStyle name="Separador de milhares 3 3 7 2 2 4" xfId="16255" xr:uid="{00000000-0005-0000-0000-0000B6800000}"/>
    <cellStyle name="Separador de milhares 3 3 7 2 2 4 2" xfId="42448" xr:uid="{00000000-0005-0000-0000-0000B7800000}"/>
    <cellStyle name="Separador de milhares 3 3 7 2 2 5" xfId="36062" xr:uid="{00000000-0005-0000-0000-0000B8800000}"/>
    <cellStyle name="Separador de milhares 3 3 7 2 3" xfId="25126" xr:uid="{00000000-0005-0000-0000-0000B9800000}"/>
    <cellStyle name="Separador de milhares 3 3 7 2 3 2" xfId="51310" xr:uid="{00000000-0005-0000-0000-0000BA800000}"/>
    <cellStyle name="Separador de milhares 3 3 7 2 4" xfId="19212" xr:uid="{00000000-0005-0000-0000-0000BB800000}"/>
    <cellStyle name="Separador de milhares 3 3 7 2 4 2" xfId="45402" xr:uid="{00000000-0005-0000-0000-0000BC800000}"/>
    <cellStyle name="Separador de milhares 3 3 7 2 5" xfId="13111" xr:uid="{00000000-0005-0000-0000-0000BD800000}"/>
    <cellStyle name="Separador de milhares 3 3 7 2 5 2" xfId="39304" xr:uid="{00000000-0005-0000-0000-0000BE800000}"/>
    <cellStyle name="Separador de milhares 3 3 7 2 6" xfId="32918" xr:uid="{00000000-0005-0000-0000-0000BF800000}"/>
    <cellStyle name="Separador de milhares 3 3 7 3" xfId="8401" xr:uid="{00000000-0005-0000-0000-0000C0800000}"/>
    <cellStyle name="Separador de milhares 3 3 7 3 2" xfId="26615" xr:uid="{00000000-0005-0000-0000-0000C1800000}"/>
    <cellStyle name="Separador de milhares 3 3 7 3 2 2" xfId="52796" xr:uid="{00000000-0005-0000-0000-0000C2800000}"/>
    <cellStyle name="Separador de milhares 3 3 7 3 3" xfId="20701" xr:uid="{00000000-0005-0000-0000-0000C3800000}"/>
    <cellStyle name="Separador de milhares 3 3 7 3 3 2" xfId="46888" xr:uid="{00000000-0005-0000-0000-0000C4800000}"/>
    <cellStyle name="Separador de milhares 3 3 7 3 4" xfId="14787" xr:uid="{00000000-0005-0000-0000-0000C5800000}"/>
    <cellStyle name="Separador de milhares 3 3 7 3 4 2" xfId="40980" xr:uid="{00000000-0005-0000-0000-0000C6800000}"/>
    <cellStyle name="Separador de milhares 3 3 7 3 5" xfId="34594" xr:uid="{00000000-0005-0000-0000-0000C7800000}"/>
    <cellStyle name="Separador de milhares 3 3 7 4" xfId="5023" xr:uid="{00000000-0005-0000-0000-0000C8800000}"/>
    <cellStyle name="Separador de milhares 3 3 7 4 2" xfId="23658" xr:uid="{00000000-0005-0000-0000-0000C9800000}"/>
    <cellStyle name="Separador de milhares 3 3 7 4 2 2" xfId="49842" xr:uid="{00000000-0005-0000-0000-0000CA800000}"/>
    <cellStyle name="Separador de milhares 3 3 7 4 3" xfId="31219" xr:uid="{00000000-0005-0000-0000-0000CB800000}"/>
    <cellStyle name="Separador de milhares 3 3 7 5" xfId="17744" xr:uid="{00000000-0005-0000-0000-0000CC800000}"/>
    <cellStyle name="Separador de milhares 3 3 7 5 2" xfId="43934" xr:uid="{00000000-0005-0000-0000-0000CD800000}"/>
    <cellStyle name="Separador de milhares 3 3 7 6" xfId="11410" xr:uid="{00000000-0005-0000-0000-0000CE800000}"/>
    <cellStyle name="Separador de milhares 3 3 7 6 2" xfId="37603" xr:uid="{00000000-0005-0000-0000-0000CF800000}"/>
    <cellStyle name="Separador de milhares 3 3 7 7" xfId="29521" xr:uid="{00000000-0005-0000-0000-0000D0800000}"/>
    <cellStyle name="Separador de milhares 3 3 8" xfId="1489" xr:uid="{00000000-0005-0000-0000-0000D1800000}"/>
    <cellStyle name="Separador de milhares 3 3 8 2" xfId="6841" xr:uid="{00000000-0005-0000-0000-0000D2800000}"/>
    <cellStyle name="Separador de milhares 3 3 8 2 2" xfId="9988" xr:uid="{00000000-0005-0000-0000-0000D3800000}"/>
    <cellStyle name="Separador de milhares 3 3 8 2 2 2" xfId="28202" xr:uid="{00000000-0005-0000-0000-0000D4800000}"/>
    <cellStyle name="Separador de milhares 3 3 8 2 2 2 2" xfId="54383" xr:uid="{00000000-0005-0000-0000-0000D5800000}"/>
    <cellStyle name="Separador de milhares 3 3 8 2 2 3" xfId="22288" xr:uid="{00000000-0005-0000-0000-0000D6800000}"/>
    <cellStyle name="Separador de milhares 3 3 8 2 2 3 2" xfId="48475" xr:uid="{00000000-0005-0000-0000-0000D7800000}"/>
    <cellStyle name="Separador de milhares 3 3 8 2 2 4" xfId="16374" xr:uid="{00000000-0005-0000-0000-0000D8800000}"/>
    <cellStyle name="Separador de milhares 3 3 8 2 2 4 2" xfId="42567" xr:uid="{00000000-0005-0000-0000-0000D9800000}"/>
    <cellStyle name="Separador de milhares 3 3 8 2 2 5" xfId="36181" xr:uid="{00000000-0005-0000-0000-0000DA800000}"/>
    <cellStyle name="Separador de milhares 3 3 8 2 3" xfId="25245" xr:uid="{00000000-0005-0000-0000-0000DB800000}"/>
    <cellStyle name="Separador de milhares 3 3 8 2 3 2" xfId="51429" xr:uid="{00000000-0005-0000-0000-0000DC800000}"/>
    <cellStyle name="Separador de milhares 3 3 8 2 4" xfId="19331" xr:uid="{00000000-0005-0000-0000-0000DD800000}"/>
    <cellStyle name="Separador de milhares 3 3 8 2 4 2" xfId="45521" xr:uid="{00000000-0005-0000-0000-0000DE800000}"/>
    <cellStyle name="Separador de milhares 3 3 8 2 5" xfId="13230" xr:uid="{00000000-0005-0000-0000-0000DF800000}"/>
    <cellStyle name="Separador de milhares 3 3 8 2 5 2" xfId="39423" xr:uid="{00000000-0005-0000-0000-0000E0800000}"/>
    <cellStyle name="Separador de milhares 3 3 8 2 6" xfId="33037" xr:uid="{00000000-0005-0000-0000-0000E1800000}"/>
    <cellStyle name="Separador de milhares 3 3 8 3" xfId="8520" xr:uid="{00000000-0005-0000-0000-0000E2800000}"/>
    <cellStyle name="Separador de milhares 3 3 8 3 2" xfId="26734" xr:uid="{00000000-0005-0000-0000-0000E3800000}"/>
    <cellStyle name="Separador de milhares 3 3 8 3 2 2" xfId="52915" xr:uid="{00000000-0005-0000-0000-0000E4800000}"/>
    <cellStyle name="Separador de milhares 3 3 8 3 3" xfId="20820" xr:uid="{00000000-0005-0000-0000-0000E5800000}"/>
    <cellStyle name="Separador de milhares 3 3 8 3 3 2" xfId="47007" xr:uid="{00000000-0005-0000-0000-0000E6800000}"/>
    <cellStyle name="Separador de milhares 3 3 8 3 4" xfId="14906" xr:uid="{00000000-0005-0000-0000-0000E7800000}"/>
    <cellStyle name="Separador de milhares 3 3 8 3 4 2" xfId="41099" xr:uid="{00000000-0005-0000-0000-0000E8800000}"/>
    <cellStyle name="Separador de milhares 3 3 8 3 5" xfId="34713" xr:uid="{00000000-0005-0000-0000-0000E9800000}"/>
    <cellStyle name="Separador de milhares 3 3 8 4" xfId="5142" xr:uid="{00000000-0005-0000-0000-0000EA800000}"/>
    <cellStyle name="Separador de milhares 3 3 8 4 2" xfId="23777" xr:uid="{00000000-0005-0000-0000-0000EB800000}"/>
    <cellStyle name="Separador de milhares 3 3 8 4 2 2" xfId="49961" xr:uid="{00000000-0005-0000-0000-0000EC800000}"/>
    <cellStyle name="Separador de milhares 3 3 8 4 3" xfId="31338" xr:uid="{00000000-0005-0000-0000-0000ED800000}"/>
    <cellStyle name="Separador de milhares 3 3 8 5" xfId="17863" xr:uid="{00000000-0005-0000-0000-0000EE800000}"/>
    <cellStyle name="Separador de milhares 3 3 8 5 2" xfId="44053" xr:uid="{00000000-0005-0000-0000-0000EF800000}"/>
    <cellStyle name="Separador de milhares 3 3 8 6" xfId="11529" xr:uid="{00000000-0005-0000-0000-0000F0800000}"/>
    <cellStyle name="Separador de milhares 3 3 8 6 2" xfId="37722" xr:uid="{00000000-0005-0000-0000-0000F1800000}"/>
    <cellStyle name="Separador de milhares 3 3 8 7" xfId="29640" xr:uid="{00000000-0005-0000-0000-0000F2800000}"/>
    <cellStyle name="Separador de milhares 3 3 9" xfId="2019" xr:uid="{00000000-0005-0000-0000-0000F3800000}"/>
    <cellStyle name="Separador de milhares 3 3 9 2" xfId="6991" xr:uid="{00000000-0005-0000-0000-0000F4800000}"/>
    <cellStyle name="Separador de milhares 3 3 9 2 2" xfId="10135" xr:uid="{00000000-0005-0000-0000-0000F5800000}"/>
    <cellStyle name="Separador de milhares 3 3 9 2 2 2" xfId="28349" xr:uid="{00000000-0005-0000-0000-0000F6800000}"/>
    <cellStyle name="Separador de milhares 3 3 9 2 2 2 2" xfId="54530" xr:uid="{00000000-0005-0000-0000-0000F7800000}"/>
    <cellStyle name="Separador de milhares 3 3 9 2 2 3" xfId="22435" xr:uid="{00000000-0005-0000-0000-0000F8800000}"/>
    <cellStyle name="Separador de milhares 3 3 9 2 2 3 2" xfId="48622" xr:uid="{00000000-0005-0000-0000-0000F9800000}"/>
    <cellStyle name="Separador de milhares 3 3 9 2 2 4" xfId="16521" xr:uid="{00000000-0005-0000-0000-0000FA800000}"/>
    <cellStyle name="Separador de milhares 3 3 9 2 2 4 2" xfId="42714" xr:uid="{00000000-0005-0000-0000-0000FB800000}"/>
    <cellStyle name="Separador de milhares 3 3 9 2 2 5" xfId="36328" xr:uid="{00000000-0005-0000-0000-0000FC800000}"/>
    <cellStyle name="Separador de milhares 3 3 9 2 3" xfId="25392" xr:uid="{00000000-0005-0000-0000-0000FD800000}"/>
    <cellStyle name="Separador de milhares 3 3 9 2 3 2" xfId="51576" xr:uid="{00000000-0005-0000-0000-0000FE800000}"/>
    <cellStyle name="Separador de milhares 3 3 9 2 4" xfId="19478" xr:uid="{00000000-0005-0000-0000-0000FF800000}"/>
    <cellStyle name="Separador de milhares 3 3 9 2 4 2" xfId="45668" xr:uid="{00000000-0005-0000-0000-000000810000}"/>
    <cellStyle name="Separador de milhares 3 3 9 2 5" xfId="13380" xr:uid="{00000000-0005-0000-0000-000001810000}"/>
    <cellStyle name="Separador de milhares 3 3 9 2 5 2" xfId="39573" xr:uid="{00000000-0005-0000-0000-000002810000}"/>
    <cellStyle name="Separador de milhares 3 3 9 2 6" xfId="33187" xr:uid="{00000000-0005-0000-0000-000003810000}"/>
    <cellStyle name="Separador de milhares 3 3 9 3" xfId="8667" xr:uid="{00000000-0005-0000-0000-000004810000}"/>
    <cellStyle name="Separador de milhares 3 3 9 3 2" xfId="26881" xr:uid="{00000000-0005-0000-0000-000005810000}"/>
    <cellStyle name="Separador de milhares 3 3 9 3 2 2" xfId="53062" xr:uid="{00000000-0005-0000-0000-000006810000}"/>
    <cellStyle name="Separador de milhares 3 3 9 3 3" xfId="20967" xr:uid="{00000000-0005-0000-0000-000007810000}"/>
    <cellStyle name="Separador de milhares 3 3 9 3 3 2" xfId="47154" xr:uid="{00000000-0005-0000-0000-000008810000}"/>
    <cellStyle name="Separador de milhares 3 3 9 3 4" xfId="15053" xr:uid="{00000000-0005-0000-0000-000009810000}"/>
    <cellStyle name="Separador de milhares 3 3 9 3 4 2" xfId="41246" xr:uid="{00000000-0005-0000-0000-00000A810000}"/>
    <cellStyle name="Separador de milhares 3 3 9 3 5" xfId="34860" xr:uid="{00000000-0005-0000-0000-00000B810000}"/>
    <cellStyle name="Separador de milhares 3 3 9 4" xfId="5292" xr:uid="{00000000-0005-0000-0000-00000C810000}"/>
    <cellStyle name="Separador de milhares 3 3 9 4 2" xfId="23924" xr:uid="{00000000-0005-0000-0000-00000D810000}"/>
    <cellStyle name="Separador de milhares 3 3 9 4 2 2" xfId="50108" xr:uid="{00000000-0005-0000-0000-00000E810000}"/>
    <cellStyle name="Separador de milhares 3 3 9 4 3" xfId="31488" xr:uid="{00000000-0005-0000-0000-00000F810000}"/>
    <cellStyle name="Separador de milhares 3 3 9 5" xfId="18010" xr:uid="{00000000-0005-0000-0000-000010810000}"/>
    <cellStyle name="Separador de milhares 3 3 9 5 2" xfId="44200" xr:uid="{00000000-0005-0000-0000-000011810000}"/>
    <cellStyle name="Separador de milhares 3 3 9 6" xfId="11679" xr:uid="{00000000-0005-0000-0000-000012810000}"/>
    <cellStyle name="Separador de milhares 3 3 9 6 2" xfId="37872" xr:uid="{00000000-0005-0000-0000-000013810000}"/>
    <cellStyle name="Separador de milhares 3 3 9 7" xfId="29790" xr:uid="{00000000-0005-0000-0000-000014810000}"/>
    <cellStyle name="Separador de milhares 3 30" xfId="17440" xr:uid="{00000000-0005-0000-0000-000015810000}"/>
    <cellStyle name="Separador de milhares 3 30 2" xfId="43633" xr:uid="{00000000-0005-0000-0000-000016810000}"/>
    <cellStyle name="Separador de milhares 3 31" xfId="11100" xr:uid="{00000000-0005-0000-0000-000017810000}"/>
    <cellStyle name="Separador de milhares 3 31 2" xfId="37293" xr:uid="{00000000-0005-0000-0000-000018810000}"/>
    <cellStyle name="Separador de milhares 3 32" xfId="29211" xr:uid="{00000000-0005-0000-0000-000019810000}"/>
    <cellStyle name="Separador de milhares 3 4" xfId="47" xr:uid="{00000000-0005-0000-0000-00001A810000}"/>
    <cellStyle name="Separador de milhares 3 4 10" xfId="2550" xr:uid="{00000000-0005-0000-0000-00001B810000}"/>
    <cellStyle name="Separador de milhares 3 4 10 2" xfId="7139" xr:uid="{00000000-0005-0000-0000-00001C810000}"/>
    <cellStyle name="Separador de milhares 3 4 10 2 2" xfId="10283" xr:uid="{00000000-0005-0000-0000-00001D810000}"/>
    <cellStyle name="Separador de milhares 3 4 10 2 2 2" xfId="28497" xr:uid="{00000000-0005-0000-0000-00001E810000}"/>
    <cellStyle name="Separador de milhares 3 4 10 2 2 2 2" xfId="54678" xr:uid="{00000000-0005-0000-0000-00001F810000}"/>
    <cellStyle name="Separador de milhares 3 4 10 2 2 3" xfId="22583" xr:uid="{00000000-0005-0000-0000-000020810000}"/>
    <cellStyle name="Separador de milhares 3 4 10 2 2 3 2" xfId="48770" xr:uid="{00000000-0005-0000-0000-000021810000}"/>
    <cellStyle name="Separador de milhares 3 4 10 2 2 4" xfId="16669" xr:uid="{00000000-0005-0000-0000-000022810000}"/>
    <cellStyle name="Separador de milhares 3 4 10 2 2 4 2" xfId="42862" xr:uid="{00000000-0005-0000-0000-000023810000}"/>
    <cellStyle name="Separador de milhares 3 4 10 2 2 5" xfId="36476" xr:uid="{00000000-0005-0000-0000-000024810000}"/>
    <cellStyle name="Separador de milhares 3 4 10 2 3" xfId="25540" xr:uid="{00000000-0005-0000-0000-000025810000}"/>
    <cellStyle name="Separador de milhares 3 4 10 2 3 2" xfId="51724" xr:uid="{00000000-0005-0000-0000-000026810000}"/>
    <cellStyle name="Separador de milhares 3 4 10 2 4" xfId="19626" xr:uid="{00000000-0005-0000-0000-000027810000}"/>
    <cellStyle name="Separador de milhares 3 4 10 2 4 2" xfId="45816" xr:uid="{00000000-0005-0000-0000-000028810000}"/>
    <cellStyle name="Separador de milhares 3 4 10 2 5" xfId="13528" xr:uid="{00000000-0005-0000-0000-000029810000}"/>
    <cellStyle name="Separador de milhares 3 4 10 2 5 2" xfId="39721" xr:uid="{00000000-0005-0000-0000-00002A810000}"/>
    <cellStyle name="Separador de milhares 3 4 10 2 6" xfId="33335" xr:uid="{00000000-0005-0000-0000-00002B810000}"/>
    <cellStyle name="Separador de milhares 3 4 10 3" xfId="8815" xr:uid="{00000000-0005-0000-0000-00002C810000}"/>
    <cellStyle name="Separador de milhares 3 4 10 3 2" xfId="27029" xr:uid="{00000000-0005-0000-0000-00002D810000}"/>
    <cellStyle name="Separador de milhares 3 4 10 3 2 2" xfId="53210" xr:uid="{00000000-0005-0000-0000-00002E810000}"/>
    <cellStyle name="Separador de milhares 3 4 10 3 3" xfId="21115" xr:uid="{00000000-0005-0000-0000-00002F810000}"/>
    <cellStyle name="Separador de milhares 3 4 10 3 3 2" xfId="47302" xr:uid="{00000000-0005-0000-0000-000030810000}"/>
    <cellStyle name="Separador de milhares 3 4 10 3 4" xfId="15201" xr:uid="{00000000-0005-0000-0000-000031810000}"/>
    <cellStyle name="Separador de milhares 3 4 10 3 4 2" xfId="41394" xr:uid="{00000000-0005-0000-0000-000032810000}"/>
    <cellStyle name="Separador de milhares 3 4 10 3 5" xfId="35008" xr:uid="{00000000-0005-0000-0000-000033810000}"/>
    <cellStyle name="Separador de milhares 3 4 10 4" xfId="5440" xr:uid="{00000000-0005-0000-0000-000034810000}"/>
    <cellStyle name="Separador de milhares 3 4 10 4 2" xfId="24072" xr:uid="{00000000-0005-0000-0000-000035810000}"/>
    <cellStyle name="Separador de milhares 3 4 10 4 2 2" xfId="50256" xr:uid="{00000000-0005-0000-0000-000036810000}"/>
    <cellStyle name="Separador de milhares 3 4 10 4 3" xfId="31636" xr:uid="{00000000-0005-0000-0000-000037810000}"/>
    <cellStyle name="Separador de milhares 3 4 10 5" xfId="18158" xr:uid="{00000000-0005-0000-0000-000038810000}"/>
    <cellStyle name="Separador de milhares 3 4 10 5 2" xfId="44348" xr:uid="{00000000-0005-0000-0000-000039810000}"/>
    <cellStyle name="Separador de milhares 3 4 10 6" xfId="11827" xr:uid="{00000000-0005-0000-0000-00003A810000}"/>
    <cellStyle name="Separador de milhares 3 4 10 6 2" xfId="38020" xr:uid="{00000000-0005-0000-0000-00003B810000}"/>
    <cellStyle name="Separador de milhares 3 4 10 7" xfId="29938" xr:uid="{00000000-0005-0000-0000-00003C810000}"/>
    <cellStyle name="Separador de milhares 3 4 11" xfId="3077" xr:uid="{00000000-0005-0000-0000-00003D810000}"/>
    <cellStyle name="Separador de milhares 3 4 11 2" xfId="7286" xr:uid="{00000000-0005-0000-0000-00003E810000}"/>
    <cellStyle name="Separador de milhares 3 4 11 2 2" xfId="10430" xr:uid="{00000000-0005-0000-0000-00003F810000}"/>
    <cellStyle name="Separador de milhares 3 4 11 2 2 2" xfId="28644" xr:uid="{00000000-0005-0000-0000-000040810000}"/>
    <cellStyle name="Separador de milhares 3 4 11 2 2 2 2" xfId="54825" xr:uid="{00000000-0005-0000-0000-000041810000}"/>
    <cellStyle name="Separador de milhares 3 4 11 2 2 3" xfId="22730" xr:uid="{00000000-0005-0000-0000-000042810000}"/>
    <cellStyle name="Separador de milhares 3 4 11 2 2 3 2" xfId="48917" xr:uid="{00000000-0005-0000-0000-000043810000}"/>
    <cellStyle name="Separador de milhares 3 4 11 2 2 4" xfId="16816" xr:uid="{00000000-0005-0000-0000-000044810000}"/>
    <cellStyle name="Separador de milhares 3 4 11 2 2 4 2" xfId="43009" xr:uid="{00000000-0005-0000-0000-000045810000}"/>
    <cellStyle name="Separador de milhares 3 4 11 2 2 5" xfId="36623" xr:uid="{00000000-0005-0000-0000-000046810000}"/>
    <cellStyle name="Separador de milhares 3 4 11 2 3" xfId="25687" xr:uid="{00000000-0005-0000-0000-000047810000}"/>
    <cellStyle name="Separador de milhares 3 4 11 2 3 2" xfId="51871" xr:uid="{00000000-0005-0000-0000-000048810000}"/>
    <cellStyle name="Separador de milhares 3 4 11 2 4" xfId="19773" xr:uid="{00000000-0005-0000-0000-000049810000}"/>
    <cellStyle name="Separador de milhares 3 4 11 2 4 2" xfId="45963" xr:uid="{00000000-0005-0000-0000-00004A810000}"/>
    <cellStyle name="Separador de milhares 3 4 11 2 5" xfId="13675" xr:uid="{00000000-0005-0000-0000-00004B810000}"/>
    <cellStyle name="Separador de milhares 3 4 11 2 5 2" xfId="39868" xr:uid="{00000000-0005-0000-0000-00004C810000}"/>
    <cellStyle name="Separador de milhares 3 4 11 2 6" xfId="33482" xr:uid="{00000000-0005-0000-0000-00004D810000}"/>
    <cellStyle name="Separador de milhares 3 4 11 3" xfId="8962" xr:uid="{00000000-0005-0000-0000-00004E810000}"/>
    <cellStyle name="Separador de milhares 3 4 11 3 2" xfId="27176" xr:uid="{00000000-0005-0000-0000-00004F810000}"/>
    <cellStyle name="Separador de milhares 3 4 11 3 2 2" xfId="53357" xr:uid="{00000000-0005-0000-0000-000050810000}"/>
    <cellStyle name="Separador de milhares 3 4 11 3 3" xfId="21262" xr:uid="{00000000-0005-0000-0000-000051810000}"/>
    <cellStyle name="Separador de milhares 3 4 11 3 3 2" xfId="47449" xr:uid="{00000000-0005-0000-0000-000052810000}"/>
    <cellStyle name="Separador de milhares 3 4 11 3 4" xfId="15348" xr:uid="{00000000-0005-0000-0000-000053810000}"/>
    <cellStyle name="Separador de milhares 3 4 11 3 4 2" xfId="41541" xr:uid="{00000000-0005-0000-0000-000054810000}"/>
    <cellStyle name="Separador de milhares 3 4 11 3 5" xfId="35155" xr:uid="{00000000-0005-0000-0000-000055810000}"/>
    <cellStyle name="Separador de milhares 3 4 11 4" xfId="5587" xr:uid="{00000000-0005-0000-0000-000056810000}"/>
    <cellStyle name="Separador de milhares 3 4 11 4 2" xfId="24219" xr:uid="{00000000-0005-0000-0000-000057810000}"/>
    <cellStyle name="Separador de milhares 3 4 11 4 2 2" xfId="50403" xr:uid="{00000000-0005-0000-0000-000058810000}"/>
    <cellStyle name="Separador de milhares 3 4 11 4 3" xfId="31783" xr:uid="{00000000-0005-0000-0000-000059810000}"/>
    <cellStyle name="Separador de milhares 3 4 11 5" xfId="18305" xr:uid="{00000000-0005-0000-0000-00005A810000}"/>
    <cellStyle name="Separador de milhares 3 4 11 5 2" xfId="44495" xr:uid="{00000000-0005-0000-0000-00005B810000}"/>
    <cellStyle name="Separador de milhares 3 4 11 6" xfId="11974" xr:uid="{00000000-0005-0000-0000-00005C810000}"/>
    <cellStyle name="Separador de milhares 3 4 11 6 2" xfId="38167" xr:uid="{00000000-0005-0000-0000-00005D810000}"/>
    <cellStyle name="Separador de milhares 3 4 11 7" xfId="30085" xr:uid="{00000000-0005-0000-0000-00005E810000}"/>
    <cellStyle name="Separador de milhares 3 4 12" xfId="3604" xr:uid="{00000000-0005-0000-0000-00005F810000}"/>
    <cellStyle name="Separador de milhares 3 4 12 2" xfId="7433" xr:uid="{00000000-0005-0000-0000-000060810000}"/>
    <cellStyle name="Separador de milhares 3 4 12 2 2" xfId="10577" xr:uid="{00000000-0005-0000-0000-000061810000}"/>
    <cellStyle name="Separador de milhares 3 4 12 2 2 2" xfId="28791" xr:uid="{00000000-0005-0000-0000-000062810000}"/>
    <cellStyle name="Separador de milhares 3 4 12 2 2 2 2" xfId="54972" xr:uid="{00000000-0005-0000-0000-000063810000}"/>
    <cellStyle name="Separador de milhares 3 4 12 2 2 3" xfId="22877" xr:uid="{00000000-0005-0000-0000-000064810000}"/>
    <cellStyle name="Separador de milhares 3 4 12 2 2 3 2" xfId="49064" xr:uid="{00000000-0005-0000-0000-000065810000}"/>
    <cellStyle name="Separador de milhares 3 4 12 2 2 4" xfId="16963" xr:uid="{00000000-0005-0000-0000-000066810000}"/>
    <cellStyle name="Separador de milhares 3 4 12 2 2 4 2" xfId="43156" xr:uid="{00000000-0005-0000-0000-000067810000}"/>
    <cellStyle name="Separador de milhares 3 4 12 2 2 5" xfId="36770" xr:uid="{00000000-0005-0000-0000-000068810000}"/>
    <cellStyle name="Separador de milhares 3 4 12 2 3" xfId="25834" xr:uid="{00000000-0005-0000-0000-000069810000}"/>
    <cellStyle name="Separador de milhares 3 4 12 2 3 2" xfId="52018" xr:uid="{00000000-0005-0000-0000-00006A810000}"/>
    <cellStyle name="Separador de milhares 3 4 12 2 4" xfId="19920" xr:uid="{00000000-0005-0000-0000-00006B810000}"/>
    <cellStyle name="Separador de milhares 3 4 12 2 4 2" xfId="46110" xr:uid="{00000000-0005-0000-0000-00006C810000}"/>
    <cellStyle name="Separador de milhares 3 4 12 2 5" xfId="13822" xr:uid="{00000000-0005-0000-0000-00006D810000}"/>
    <cellStyle name="Separador de milhares 3 4 12 2 5 2" xfId="40015" xr:uid="{00000000-0005-0000-0000-00006E810000}"/>
    <cellStyle name="Separador de milhares 3 4 12 2 6" xfId="33629" xr:uid="{00000000-0005-0000-0000-00006F810000}"/>
    <cellStyle name="Separador de milhares 3 4 12 3" xfId="9109" xr:uid="{00000000-0005-0000-0000-000070810000}"/>
    <cellStyle name="Separador de milhares 3 4 12 3 2" xfId="27323" xr:uid="{00000000-0005-0000-0000-000071810000}"/>
    <cellStyle name="Separador de milhares 3 4 12 3 2 2" xfId="53504" xr:uid="{00000000-0005-0000-0000-000072810000}"/>
    <cellStyle name="Separador de milhares 3 4 12 3 3" xfId="21409" xr:uid="{00000000-0005-0000-0000-000073810000}"/>
    <cellStyle name="Separador de milhares 3 4 12 3 3 2" xfId="47596" xr:uid="{00000000-0005-0000-0000-000074810000}"/>
    <cellStyle name="Separador de milhares 3 4 12 3 4" xfId="15495" xr:uid="{00000000-0005-0000-0000-000075810000}"/>
    <cellStyle name="Separador de milhares 3 4 12 3 4 2" xfId="41688" xr:uid="{00000000-0005-0000-0000-000076810000}"/>
    <cellStyle name="Separador de milhares 3 4 12 3 5" xfId="35302" xr:uid="{00000000-0005-0000-0000-000077810000}"/>
    <cellStyle name="Separador de milhares 3 4 12 4" xfId="5734" xr:uid="{00000000-0005-0000-0000-000078810000}"/>
    <cellStyle name="Separador de milhares 3 4 12 4 2" xfId="24366" xr:uid="{00000000-0005-0000-0000-000079810000}"/>
    <cellStyle name="Separador de milhares 3 4 12 4 2 2" xfId="50550" xr:uid="{00000000-0005-0000-0000-00007A810000}"/>
    <cellStyle name="Separador de milhares 3 4 12 4 3" xfId="31930" xr:uid="{00000000-0005-0000-0000-00007B810000}"/>
    <cellStyle name="Separador de milhares 3 4 12 5" xfId="18452" xr:uid="{00000000-0005-0000-0000-00007C810000}"/>
    <cellStyle name="Separador de milhares 3 4 12 5 2" xfId="44642" xr:uid="{00000000-0005-0000-0000-00007D810000}"/>
    <cellStyle name="Separador de milhares 3 4 12 6" xfId="12121" xr:uid="{00000000-0005-0000-0000-00007E810000}"/>
    <cellStyle name="Separador de milhares 3 4 12 6 2" xfId="38314" xr:uid="{00000000-0005-0000-0000-00007F810000}"/>
    <cellStyle name="Separador de milhares 3 4 12 7" xfId="30232" xr:uid="{00000000-0005-0000-0000-000080810000}"/>
    <cellStyle name="Separador de milhares 3 4 13" xfId="6417" xr:uid="{00000000-0005-0000-0000-000081810000}"/>
    <cellStyle name="Separador de milhares 3 4 13 2" xfId="9573" xr:uid="{00000000-0005-0000-0000-000082810000}"/>
    <cellStyle name="Separador de milhares 3 4 13 2 2" xfId="27787" xr:uid="{00000000-0005-0000-0000-000083810000}"/>
    <cellStyle name="Separador de milhares 3 4 13 2 2 2" xfId="53968" xr:uid="{00000000-0005-0000-0000-000084810000}"/>
    <cellStyle name="Separador de milhares 3 4 13 2 3" xfId="21873" xr:uid="{00000000-0005-0000-0000-000085810000}"/>
    <cellStyle name="Separador de milhares 3 4 13 2 3 2" xfId="48060" xr:uid="{00000000-0005-0000-0000-000086810000}"/>
    <cellStyle name="Separador de milhares 3 4 13 2 4" xfId="15959" xr:uid="{00000000-0005-0000-0000-000087810000}"/>
    <cellStyle name="Separador de milhares 3 4 13 2 4 2" xfId="42152" xr:uid="{00000000-0005-0000-0000-000088810000}"/>
    <cellStyle name="Separador de milhares 3 4 13 2 5" xfId="35766" xr:uid="{00000000-0005-0000-0000-000089810000}"/>
    <cellStyle name="Separador de milhares 3 4 13 3" xfId="24830" xr:uid="{00000000-0005-0000-0000-00008A810000}"/>
    <cellStyle name="Separador de milhares 3 4 13 3 2" xfId="51014" xr:uid="{00000000-0005-0000-0000-00008B810000}"/>
    <cellStyle name="Separador de milhares 3 4 13 4" xfId="18916" xr:uid="{00000000-0005-0000-0000-00008C810000}"/>
    <cellStyle name="Separador de milhares 3 4 13 4 2" xfId="45106" xr:uid="{00000000-0005-0000-0000-00008D810000}"/>
    <cellStyle name="Separador de milhares 3 4 13 5" xfId="12806" xr:uid="{00000000-0005-0000-0000-00008E810000}"/>
    <cellStyle name="Separador de milhares 3 4 13 5 2" xfId="38999" xr:uid="{00000000-0005-0000-0000-00008F810000}"/>
    <cellStyle name="Separador de milhares 3 4 13 6" xfId="32613" xr:uid="{00000000-0005-0000-0000-000090810000}"/>
    <cellStyle name="Separador de milhares 3 4 14" xfId="8102" xr:uid="{00000000-0005-0000-0000-000091810000}"/>
    <cellStyle name="Separador de milhares 3 4 14 2" xfId="26316" xr:uid="{00000000-0005-0000-0000-000092810000}"/>
    <cellStyle name="Separador de milhares 3 4 14 2 2" xfId="52500" xr:uid="{00000000-0005-0000-0000-000093810000}"/>
    <cellStyle name="Separador de milhares 3 4 14 3" xfId="20402" xr:uid="{00000000-0005-0000-0000-000094810000}"/>
    <cellStyle name="Separador de milhares 3 4 14 3 2" xfId="46592" xr:uid="{00000000-0005-0000-0000-000095810000}"/>
    <cellStyle name="Separador de milhares 3 4 14 4" xfId="14491" xr:uid="{00000000-0005-0000-0000-000096810000}"/>
    <cellStyle name="Separador de milhares 3 4 14 4 2" xfId="40684" xr:uid="{00000000-0005-0000-0000-000097810000}"/>
    <cellStyle name="Separador de milhares 3 4 14 5" xfId="34298" xr:uid="{00000000-0005-0000-0000-000098810000}"/>
    <cellStyle name="Separador de milhares 3 4 15" xfId="4715" xr:uid="{00000000-0005-0000-0000-000099810000}"/>
    <cellStyle name="Separador de milhares 3 4 15 2" xfId="23359" xr:uid="{00000000-0005-0000-0000-00009A810000}"/>
    <cellStyle name="Separador de milhares 3 4 15 2 2" xfId="49546" xr:uid="{00000000-0005-0000-0000-00009B810000}"/>
    <cellStyle name="Separador de milhares 3 4 15 3" xfId="30914" xr:uid="{00000000-0005-0000-0000-00009C810000}"/>
    <cellStyle name="Separador de milhares 3 4 16" xfId="17445" xr:uid="{00000000-0005-0000-0000-00009D810000}"/>
    <cellStyle name="Separador de milhares 3 4 16 2" xfId="43638" xr:uid="{00000000-0005-0000-0000-00009E810000}"/>
    <cellStyle name="Separador de milhares 3 4 17" xfId="11105" xr:uid="{00000000-0005-0000-0000-00009F810000}"/>
    <cellStyle name="Separador de milhares 3 4 17 2" xfId="37298" xr:uid="{00000000-0005-0000-0000-0000A0810000}"/>
    <cellStyle name="Separador de milhares 3 4 18" xfId="29216" xr:uid="{00000000-0005-0000-0000-0000A1810000}"/>
    <cellStyle name="Separador de milhares 3 4 2" xfId="141" xr:uid="{00000000-0005-0000-0000-0000A2810000}"/>
    <cellStyle name="Separador de milhares 3 4 2 10" xfId="6446" xr:uid="{00000000-0005-0000-0000-0000A3810000}"/>
    <cellStyle name="Separador de milhares 3 4 2 10 2" xfId="9600" xr:uid="{00000000-0005-0000-0000-0000A4810000}"/>
    <cellStyle name="Separador de milhares 3 4 2 10 2 2" xfId="27814" xr:uid="{00000000-0005-0000-0000-0000A5810000}"/>
    <cellStyle name="Separador de milhares 3 4 2 10 2 2 2" xfId="53995" xr:uid="{00000000-0005-0000-0000-0000A6810000}"/>
    <cellStyle name="Separador de milhares 3 4 2 10 2 3" xfId="21900" xr:uid="{00000000-0005-0000-0000-0000A7810000}"/>
    <cellStyle name="Separador de milhares 3 4 2 10 2 3 2" xfId="48087" xr:uid="{00000000-0005-0000-0000-0000A8810000}"/>
    <cellStyle name="Separador de milhares 3 4 2 10 2 4" xfId="15986" xr:uid="{00000000-0005-0000-0000-0000A9810000}"/>
    <cellStyle name="Separador de milhares 3 4 2 10 2 4 2" xfId="42179" xr:uid="{00000000-0005-0000-0000-0000AA810000}"/>
    <cellStyle name="Separador de milhares 3 4 2 10 2 5" xfId="35793" xr:uid="{00000000-0005-0000-0000-0000AB810000}"/>
    <cellStyle name="Separador de milhares 3 4 2 10 3" xfId="24857" xr:uid="{00000000-0005-0000-0000-0000AC810000}"/>
    <cellStyle name="Separador de milhares 3 4 2 10 3 2" xfId="51041" xr:uid="{00000000-0005-0000-0000-0000AD810000}"/>
    <cellStyle name="Separador de milhares 3 4 2 10 4" xfId="18943" xr:uid="{00000000-0005-0000-0000-0000AE810000}"/>
    <cellStyle name="Separador de milhares 3 4 2 10 4 2" xfId="45133" xr:uid="{00000000-0005-0000-0000-0000AF810000}"/>
    <cellStyle name="Separador de milhares 3 4 2 10 5" xfId="12835" xr:uid="{00000000-0005-0000-0000-0000B0810000}"/>
    <cellStyle name="Separador de milhares 3 4 2 10 5 2" xfId="39028" xr:uid="{00000000-0005-0000-0000-0000B1810000}"/>
    <cellStyle name="Separador de milhares 3 4 2 10 6" xfId="32642" xr:uid="{00000000-0005-0000-0000-0000B2810000}"/>
    <cellStyle name="Separador de milhares 3 4 2 11" xfId="8129" xr:uid="{00000000-0005-0000-0000-0000B3810000}"/>
    <cellStyle name="Separador de milhares 3 4 2 11 2" xfId="26343" xr:uid="{00000000-0005-0000-0000-0000B4810000}"/>
    <cellStyle name="Separador de milhares 3 4 2 11 2 2" xfId="52527" xr:uid="{00000000-0005-0000-0000-0000B5810000}"/>
    <cellStyle name="Separador de milhares 3 4 2 11 3" xfId="20429" xr:uid="{00000000-0005-0000-0000-0000B6810000}"/>
    <cellStyle name="Separador de milhares 3 4 2 11 3 2" xfId="46619" xr:uid="{00000000-0005-0000-0000-0000B7810000}"/>
    <cellStyle name="Separador de milhares 3 4 2 11 4" xfId="14518" xr:uid="{00000000-0005-0000-0000-0000B8810000}"/>
    <cellStyle name="Separador de milhares 3 4 2 11 4 2" xfId="40711" xr:uid="{00000000-0005-0000-0000-0000B9810000}"/>
    <cellStyle name="Separador de milhares 3 4 2 11 5" xfId="34325" xr:uid="{00000000-0005-0000-0000-0000BA810000}"/>
    <cellStyle name="Separador de milhares 3 4 2 12" xfId="4745" xr:uid="{00000000-0005-0000-0000-0000BB810000}"/>
    <cellStyle name="Separador de milhares 3 4 2 12 2" xfId="23386" xr:uid="{00000000-0005-0000-0000-0000BC810000}"/>
    <cellStyle name="Separador de milhares 3 4 2 12 2 2" xfId="49573" xr:uid="{00000000-0005-0000-0000-0000BD810000}"/>
    <cellStyle name="Separador de milhares 3 4 2 12 3" xfId="30943" xr:uid="{00000000-0005-0000-0000-0000BE810000}"/>
    <cellStyle name="Separador de milhares 3 4 2 13" xfId="17472" xr:uid="{00000000-0005-0000-0000-0000BF810000}"/>
    <cellStyle name="Separador de milhares 3 4 2 13 2" xfId="43665" xr:uid="{00000000-0005-0000-0000-0000C0810000}"/>
    <cellStyle name="Separador de milhares 3 4 2 14" xfId="11134" xr:uid="{00000000-0005-0000-0000-0000C1810000}"/>
    <cellStyle name="Separador de milhares 3 4 2 14 2" xfId="37327" xr:uid="{00000000-0005-0000-0000-0000C2810000}"/>
    <cellStyle name="Separador de milhares 3 4 2 15" xfId="29246" xr:uid="{00000000-0005-0000-0000-0000C3810000}"/>
    <cellStyle name="Separador de milhares 3 4 2 2" xfId="414" xr:uid="{00000000-0005-0000-0000-0000C4810000}"/>
    <cellStyle name="Separador de milhares 3 4 2 2 10" xfId="17546" xr:uid="{00000000-0005-0000-0000-0000C5810000}"/>
    <cellStyle name="Separador de milhares 3 4 2 2 10 2" xfId="43739" xr:uid="{00000000-0005-0000-0000-0000C6810000}"/>
    <cellStyle name="Separador de milhares 3 4 2 2 11" xfId="11215" xr:uid="{00000000-0005-0000-0000-0000C7810000}"/>
    <cellStyle name="Separador de milhares 3 4 2 2 11 2" xfId="37408" xr:uid="{00000000-0005-0000-0000-0000C8810000}"/>
    <cellStyle name="Separador de milhares 3 4 2 2 12" xfId="29326" xr:uid="{00000000-0005-0000-0000-0000C9810000}"/>
    <cellStyle name="Separador de milhares 3 4 2 2 2" xfId="1933" xr:uid="{00000000-0005-0000-0000-0000CA810000}"/>
    <cellStyle name="Separador de milhares 3 4 2 2 2 2" xfId="6965" xr:uid="{00000000-0005-0000-0000-0000CB810000}"/>
    <cellStyle name="Separador de milhares 3 4 2 2 2 2 2" xfId="10112" xr:uid="{00000000-0005-0000-0000-0000CC810000}"/>
    <cellStyle name="Separador de milhares 3 4 2 2 2 2 2 2" xfId="28326" xr:uid="{00000000-0005-0000-0000-0000CD810000}"/>
    <cellStyle name="Separador de milhares 3 4 2 2 2 2 2 2 2" xfId="54507" xr:uid="{00000000-0005-0000-0000-0000CE810000}"/>
    <cellStyle name="Separador de milhares 3 4 2 2 2 2 2 3" xfId="22412" xr:uid="{00000000-0005-0000-0000-0000CF810000}"/>
    <cellStyle name="Separador de milhares 3 4 2 2 2 2 2 3 2" xfId="48599" xr:uid="{00000000-0005-0000-0000-0000D0810000}"/>
    <cellStyle name="Separador de milhares 3 4 2 2 2 2 2 4" xfId="16498" xr:uid="{00000000-0005-0000-0000-0000D1810000}"/>
    <cellStyle name="Separador de milhares 3 4 2 2 2 2 2 4 2" xfId="42691" xr:uid="{00000000-0005-0000-0000-0000D2810000}"/>
    <cellStyle name="Separador de milhares 3 4 2 2 2 2 2 5" xfId="36305" xr:uid="{00000000-0005-0000-0000-0000D3810000}"/>
    <cellStyle name="Separador de milhares 3 4 2 2 2 2 3" xfId="25369" xr:uid="{00000000-0005-0000-0000-0000D4810000}"/>
    <cellStyle name="Separador de milhares 3 4 2 2 2 2 3 2" xfId="51553" xr:uid="{00000000-0005-0000-0000-0000D5810000}"/>
    <cellStyle name="Separador de milhares 3 4 2 2 2 2 4" xfId="19455" xr:uid="{00000000-0005-0000-0000-0000D6810000}"/>
    <cellStyle name="Separador de milhares 3 4 2 2 2 2 4 2" xfId="45645" xr:uid="{00000000-0005-0000-0000-0000D7810000}"/>
    <cellStyle name="Separador de milhares 3 4 2 2 2 2 5" xfId="13354" xr:uid="{00000000-0005-0000-0000-0000D8810000}"/>
    <cellStyle name="Separador de milhares 3 4 2 2 2 2 5 2" xfId="39547" xr:uid="{00000000-0005-0000-0000-0000D9810000}"/>
    <cellStyle name="Separador de milhares 3 4 2 2 2 2 6" xfId="33161" xr:uid="{00000000-0005-0000-0000-0000DA810000}"/>
    <cellStyle name="Separador de milhares 3 4 2 2 2 3" xfId="8644" xr:uid="{00000000-0005-0000-0000-0000DB810000}"/>
    <cellStyle name="Separador de milhares 3 4 2 2 2 3 2" xfId="26858" xr:uid="{00000000-0005-0000-0000-0000DC810000}"/>
    <cellStyle name="Separador de milhares 3 4 2 2 2 3 2 2" xfId="53039" xr:uid="{00000000-0005-0000-0000-0000DD810000}"/>
    <cellStyle name="Separador de milhares 3 4 2 2 2 3 3" xfId="20944" xr:uid="{00000000-0005-0000-0000-0000DE810000}"/>
    <cellStyle name="Separador de milhares 3 4 2 2 2 3 3 2" xfId="47131" xr:uid="{00000000-0005-0000-0000-0000DF810000}"/>
    <cellStyle name="Separador de milhares 3 4 2 2 2 3 4" xfId="15030" xr:uid="{00000000-0005-0000-0000-0000E0810000}"/>
    <cellStyle name="Separador de milhares 3 4 2 2 2 3 4 2" xfId="41223" xr:uid="{00000000-0005-0000-0000-0000E1810000}"/>
    <cellStyle name="Separador de milhares 3 4 2 2 2 3 5" xfId="34837" xr:uid="{00000000-0005-0000-0000-0000E2810000}"/>
    <cellStyle name="Separador de milhares 3 4 2 2 2 4" xfId="5266" xr:uid="{00000000-0005-0000-0000-0000E3810000}"/>
    <cellStyle name="Separador de milhares 3 4 2 2 2 4 2" xfId="23901" xr:uid="{00000000-0005-0000-0000-0000E4810000}"/>
    <cellStyle name="Separador de milhares 3 4 2 2 2 4 2 2" xfId="50085" xr:uid="{00000000-0005-0000-0000-0000E5810000}"/>
    <cellStyle name="Separador de milhares 3 4 2 2 2 4 3" xfId="31462" xr:uid="{00000000-0005-0000-0000-0000E6810000}"/>
    <cellStyle name="Separador de milhares 3 4 2 2 2 5" xfId="17987" xr:uid="{00000000-0005-0000-0000-0000E7810000}"/>
    <cellStyle name="Separador de milhares 3 4 2 2 2 5 2" xfId="44177" xr:uid="{00000000-0005-0000-0000-0000E8810000}"/>
    <cellStyle name="Separador de milhares 3 4 2 2 2 6" xfId="11653" xr:uid="{00000000-0005-0000-0000-0000E9810000}"/>
    <cellStyle name="Separador de milhares 3 4 2 2 2 6 2" xfId="37846" xr:uid="{00000000-0005-0000-0000-0000EA810000}"/>
    <cellStyle name="Separador de milhares 3 4 2 2 2 7" xfId="29764" xr:uid="{00000000-0005-0000-0000-0000EB810000}"/>
    <cellStyle name="Separador de milhares 3 4 2 2 3" xfId="2463" xr:uid="{00000000-0005-0000-0000-0000EC810000}"/>
    <cellStyle name="Separador de milhares 3 4 2 2 3 2" xfId="7115" xr:uid="{00000000-0005-0000-0000-0000ED810000}"/>
    <cellStyle name="Separador de milhares 3 4 2 2 3 2 2" xfId="10259" xr:uid="{00000000-0005-0000-0000-0000EE810000}"/>
    <cellStyle name="Separador de milhares 3 4 2 2 3 2 2 2" xfId="28473" xr:uid="{00000000-0005-0000-0000-0000EF810000}"/>
    <cellStyle name="Separador de milhares 3 4 2 2 3 2 2 2 2" xfId="54654" xr:uid="{00000000-0005-0000-0000-0000F0810000}"/>
    <cellStyle name="Separador de milhares 3 4 2 2 3 2 2 3" xfId="22559" xr:uid="{00000000-0005-0000-0000-0000F1810000}"/>
    <cellStyle name="Separador de milhares 3 4 2 2 3 2 2 3 2" xfId="48746" xr:uid="{00000000-0005-0000-0000-0000F2810000}"/>
    <cellStyle name="Separador de milhares 3 4 2 2 3 2 2 4" xfId="16645" xr:uid="{00000000-0005-0000-0000-0000F3810000}"/>
    <cellStyle name="Separador de milhares 3 4 2 2 3 2 2 4 2" xfId="42838" xr:uid="{00000000-0005-0000-0000-0000F4810000}"/>
    <cellStyle name="Separador de milhares 3 4 2 2 3 2 2 5" xfId="36452" xr:uid="{00000000-0005-0000-0000-0000F5810000}"/>
    <cellStyle name="Separador de milhares 3 4 2 2 3 2 3" xfId="25516" xr:uid="{00000000-0005-0000-0000-0000F6810000}"/>
    <cellStyle name="Separador de milhares 3 4 2 2 3 2 3 2" xfId="51700" xr:uid="{00000000-0005-0000-0000-0000F7810000}"/>
    <cellStyle name="Separador de milhares 3 4 2 2 3 2 4" xfId="19602" xr:uid="{00000000-0005-0000-0000-0000F8810000}"/>
    <cellStyle name="Separador de milhares 3 4 2 2 3 2 4 2" xfId="45792" xr:uid="{00000000-0005-0000-0000-0000F9810000}"/>
    <cellStyle name="Separador de milhares 3 4 2 2 3 2 5" xfId="13504" xr:uid="{00000000-0005-0000-0000-0000FA810000}"/>
    <cellStyle name="Separador de milhares 3 4 2 2 3 2 5 2" xfId="39697" xr:uid="{00000000-0005-0000-0000-0000FB810000}"/>
    <cellStyle name="Separador de milhares 3 4 2 2 3 2 6" xfId="33311" xr:uid="{00000000-0005-0000-0000-0000FC810000}"/>
    <cellStyle name="Separador de milhares 3 4 2 2 3 3" xfId="8791" xr:uid="{00000000-0005-0000-0000-0000FD810000}"/>
    <cellStyle name="Separador de milhares 3 4 2 2 3 3 2" xfId="27005" xr:uid="{00000000-0005-0000-0000-0000FE810000}"/>
    <cellStyle name="Separador de milhares 3 4 2 2 3 3 2 2" xfId="53186" xr:uid="{00000000-0005-0000-0000-0000FF810000}"/>
    <cellStyle name="Separador de milhares 3 4 2 2 3 3 3" xfId="21091" xr:uid="{00000000-0005-0000-0000-000000820000}"/>
    <cellStyle name="Separador de milhares 3 4 2 2 3 3 3 2" xfId="47278" xr:uid="{00000000-0005-0000-0000-000001820000}"/>
    <cellStyle name="Separador de milhares 3 4 2 2 3 3 4" xfId="15177" xr:uid="{00000000-0005-0000-0000-000002820000}"/>
    <cellStyle name="Separador de milhares 3 4 2 2 3 3 4 2" xfId="41370" xr:uid="{00000000-0005-0000-0000-000003820000}"/>
    <cellStyle name="Separador de milhares 3 4 2 2 3 3 5" xfId="34984" xr:uid="{00000000-0005-0000-0000-000004820000}"/>
    <cellStyle name="Separador de milhares 3 4 2 2 3 4" xfId="5416" xr:uid="{00000000-0005-0000-0000-000005820000}"/>
    <cellStyle name="Separador de milhares 3 4 2 2 3 4 2" xfId="24048" xr:uid="{00000000-0005-0000-0000-000006820000}"/>
    <cellStyle name="Separador de milhares 3 4 2 2 3 4 2 2" xfId="50232" xr:uid="{00000000-0005-0000-0000-000007820000}"/>
    <cellStyle name="Separador de milhares 3 4 2 2 3 4 3" xfId="31612" xr:uid="{00000000-0005-0000-0000-000008820000}"/>
    <cellStyle name="Separador de milhares 3 4 2 2 3 5" xfId="18134" xr:uid="{00000000-0005-0000-0000-000009820000}"/>
    <cellStyle name="Separador de milhares 3 4 2 2 3 5 2" xfId="44324" xr:uid="{00000000-0005-0000-0000-00000A820000}"/>
    <cellStyle name="Separador de milhares 3 4 2 2 3 6" xfId="11803" xr:uid="{00000000-0005-0000-0000-00000B820000}"/>
    <cellStyle name="Separador de milhares 3 4 2 2 3 6 2" xfId="37996" xr:uid="{00000000-0005-0000-0000-00000C820000}"/>
    <cellStyle name="Separador de milhares 3 4 2 2 3 7" xfId="29914" xr:uid="{00000000-0005-0000-0000-00000D820000}"/>
    <cellStyle name="Separador de milhares 3 4 2 2 4" xfId="2990" xr:uid="{00000000-0005-0000-0000-00000E820000}"/>
    <cellStyle name="Separador de milhares 3 4 2 2 4 2" xfId="7262" xr:uid="{00000000-0005-0000-0000-00000F820000}"/>
    <cellStyle name="Separador de milhares 3 4 2 2 4 2 2" xfId="10406" xr:uid="{00000000-0005-0000-0000-000010820000}"/>
    <cellStyle name="Separador de milhares 3 4 2 2 4 2 2 2" xfId="28620" xr:uid="{00000000-0005-0000-0000-000011820000}"/>
    <cellStyle name="Separador de milhares 3 4 2 2 4 2 2 2 2" xfId="54801" xr:uid="{00000000-0005-0000-0000-000012820000}"/>
    <cellStyle name="Separador de milhares 3 4 2 2 4 2 2 3" xfId="22706" xr:uid="{00000000-0005-0000-0000-000013820000}"/>
    <cellStyle name="Separador de milhares 3 4 2 2 4 2 2 3 2" xfId="48893" xr:uid="{00000000-0005-0000-0000-000014820000}"/>
    <cellStyle name="Separador de milhares 3 4 2 2 4 2 2 4" xfId="16792" xr:uid="{00000000-0005-0000-0000-000015820000}"/>
    <cellStyle name="Separador de milhares 3 4 2 2 4 2 2 4 2" xfId="42985" xr:uid="{00000000-0005-0000-0000-000016820000}"/>
    <cellStyle name="Separador de milhares 3 4 2 2 4 2 2 5" xfId="36599" xr:uid="{00000000-0005-0000-0000-000017820000}"/>
    <cellStyle name="Separador de milhares 3 4 2 2 4 2 3" xfId="25663" xr:uid="{00000000-0005-0000-0000-000018820000}"/>
    <cellStyle name="Separador de milhares 3 4 2 2 4 2 3 2" xfId="51847" xr:uid="{00000000-0005-0000-0000-000019820000}"/>
    <cellStyle name="Separador de milhares 3 4 2 2 4 2 4" xfId="19749" xr:uid="{00000000-0005-0000-0000-00001A820000}"/>
    <cellStyle name="Separador de milhares 3 4 2 2 4 2 4 2" xfId="45939" xr:uid="{00000000-0005-0000-0000-00001B820000}"/>
    <cellStyle name="Separador de milhares 3 4 2 2 4 2 5" xfId="13651" xr:uid="{00000000-0005-0000-0000-00001C820000}"/>
    <cellStyle name="Separador de milhares 3 4 2 2 4 2 5 2" xfId="39844" xr:uid="{00000000-0005-0000-0000-00001D820000}"/>
    <cellStyle name="Separador de milhares 3 4 2 2 4 2 6" xfId="33458" xr:uid="{00000000-0005-0000-0000-00001E820000}"/>
    <cellStyle name="Separador de milhares 3 4 2 2 4 3" xfId="8938" xr:uid="{00000000-0005-0000-0000-00001F820000}"/>
    <cellStyle name="Separador de milhares 3 4 2 2 4 3 2" xfId="27152" xr:uid="{00000000-0005-0000-0000-000020820000}"/>
    <cellStyle name="Separador de milhares 3 4 2 2 4 3 2 2" xfId="53333" xr:uid="{00000000-0005-0000-0000-000021820000}"/>
    <cellStyle name="Separador de milhares 3 4 2 2 4 3 3" xfId="21238" xr:uid="{00000000-0005-0000-0000-000022820000}"/>
    <cellStyle name="Separador de milhares 3 4 2 2 4 3 3 2" xfId="47425" xr:uid="{00000000-0005-0000-0000-000023820000}"/>
    <cellStyle name="Separador de milhares 3 4 2 2 4 3 4" xfId="15324" xr:uid="{00000000-0005-0000-0000-000024820000}"/>
    <cellStyle name="Separador de milhares 3 4 2 2 4 3 4 2" xfId="41517" xr:uid="{00000000-0005-0000-0000-000025820000}"/>
    <cellStyle name="Separador de milhares 3 4 2 2 4 3 5" xfId="35131" xr:uid="{00000000-0005-0000-0000-000026820000}"/>
    <cellStyle name="Separador de milhares 3 4 2 2 4 4" xfId="5563" xr:uid="{00000000-0005-0000-0000-000027820000}"/>
    <cellStyle name="Separador de milhares 3 4 2 2 4 4 2" xfId="24195" xr:uid="{00000000-0005-0000-0000-000028820000}"/>
    <cellStyle name="Separador de milhares 3 4 2 2 4 4 2 2" xfId="50379" xr:uid="{00000000-0005-0000-0000-000029820000}"/>
    <cellStyle name="Separador de milhares 3 4 2 2 4 4 3" xfId="31759" xr:uid="{00000000-0005-0000-0000-00002A820000}"/>
    <cellStyle name="Separador de milhares 3 4 2 2 4 5" xfId="18281" xr:uid="{00000000-0005-0000-0000-00002B820000}"/>
    <cellStyle name="Separador de milhares 3 4 2 2 4 5 2" xfId="44471" xr:uid="{00000000-0005-0000-0000-00002C820000}"/>
    <cellStyle name="Separador de milhares 3 4 2 2 4 6" xfId="11950" xr:uid="{00000000-0005-0000-0000-00002D820000}"/>
    <cellStyle name="Separador de milhares 3 4 2 2 4 6 2" xfId="38143" xr:uid="{00000000-0005-0000-0000-00002E820000}"/>
    <cellStyle name="Separador de milhares 3 4 2 2 4 7" xfId="30061" xr:uid="{00000000-0005-0000-0000-00002F820000}"/>
    <cellStyle name="Separador de milhares 3 4 2 2 5" xfId="3517" xr:uid="{00000000-0005-0000-0000-000030820000}"/>
    <cellStyle name="Separador de milhares 3 4 2 2 5 2" xfId="7409" xr:uid="{00000000-0005-0000-0000-000031820000}"/>
    <cellStyle name="Separador de milhares 3 4 2 2 5 2 2" xfId="10553" xr:uid="{00000000-0005-0000-0000-000032820000}"/>
    <cellStyle name="Separador de milhares 3 4 2 2 5 2 2 2" xfId="28767" xr:uid="{00000000-0005-0000-0000-000033820000}"/>
    <cellStyle name="Separador de milhares 3 4 2 2 5 2 2 2 2" xfId="54948" xr:uid="{00000000-0005-0000-0000-000034820000}"/>
    <cellStyle name="Separador de milhares 3 4 2 2 5 2 2 3" xfId="22853" xr:uid="{00000000-0005-0000-0000-000035820000}"/>
    <cellStyle name="Separador de milhares 3 4 2 2 5 2 2 3 2" xfId="49040" xr:uid="{00000000-0005-0000-0000-000036820000}"/>
    <cellStyle name="Separador de milhares 3 4 2 2 5 2 2 4" xfId="16939" xr:uid="{00000000-0005-0000-0000-000037820000}"/>
    <cellStyle name="Separador de milhares 3 4 2 2 5 2 2 4 2" xfId="43132" xr:uid="{00000000-0005-0000-0000-000038820000}"/>
    <cellStyle name="Separador de milhares 3 4 2 2 5 2 2 5" xfId="36746" xr:uid="{00000000-0005-0000-0000-000039820000}"/>
    <cellStyle name="Separador de milhares 3 4 2 2 5 2 3" xfId="25810" xr:uid="{00000000-0005-0000-0000-00003A820000}"/>
    <cellStyle name="Separador de milhares 3 4 2 2 5 2 3 2" xfId="51994" xr:uid="{00000000-0005-0000-0000-00003B820000}"/>
    <cellStyle name="Separador de milhares 3 4 2 2 5 2 4" xfId="19896" xr:uid="{00000000-0005-0000-0000-00003C820000}"/>
    <cellStyle name="Separador de milhares 3 4 2 2 5 2 4 2" xfId="46086" xr:uid="{00000000-0005-0000-0000-00003D820000}"/>
    <cellStyle name="Separador de milhares 3 4 2 2 5 2 5" xfId="13798" xr:uid="{00000000-0005-0000-0000-00003E820000}"/>
    <cellStyle name="Separador de milhares 3 4 2 2 5 2 5 2" xfId="39991" xr:uid="{00000000-0005-0000-0000-00003F820000}"/>
    <cellStyle name="Separador de milhares 3 4 2 2 5 2 6" xfId="33605" xr:uid="{00000000-0005-0000-0000-000040820000}"/>
    <cellStyle name="Separador de milhares 3 4 2 2 5 3" xfId="9085" xr:uid="{00000000-0005-0000-0000-000041820000}"/>
    <cellStyle name="Separador de milhares 3 4 2 2 5 3 2" xfId="27299" xr:uid="{00000000-0005-0000-0000-000042820000}"/>
    <cellStyle name="Separador de milhares 3 4 2 2 5 3 2 2" xfId="53480" xr:uid="{00000000-0005-0000-0000-000043820000}"/>
    <cellStyle name="Separador de milhares 3 4 2 2 5 3 3" xfId="21385" xr:uid="{00000000-0005-0000-0000-000044820000}"/>
    <cellStyle name="Separador de milhares 3 4 2 2 5 3 3 2" xfId="47572" xr:uid="{00000000-0005-0000-0000-000045820000}"/>
    <cellStyle name="Separador de milhares 3 4 2 2 5 3 4" xfId="15471" xr:uid="{00000000-0005-0000-0000-000046820000}"/>
    <cellStyle name="Separador de milhares 3 4 2 2 5 3 4 2" xfId="41664" xr:uid="{00000000-0005-0000-0000-000047820000}"/>
    <cellStyle name="Separador de milhares 3 4 2 2 5 3 5" xfId="35278" xr:uid="{00000000-0005-0000-0000-000048820000}"/>
    <cellStyle name="Separador de milhares 3 4 2 2 5 4" xfId="5710" xr:uid="{00000000-0005-0000-0000-000049820000}"/>
    <cellStyle name="Separador de milhares 3 4 2 2 5 4 2" xfId="24342" xr:uid="{00000000-0005-0000-0000-00004A820000}"/>
    <cellStyle name="Separador de milhares 3 4 2 2 5 4 2 2" xfId="50526" xr:uid="{00000000-0005-0000-0000-00004B820000}"/>
    <cellStyle name="Separador de milhares 3 4 2 2 5 4 3" xfId="31906" xr:uid="{00000000-0005-0000-0000-00004C820000}"/>
    <cellStyle name="Separador de milhares 3 4 2 2 5 5" xfId="18428" xr:uid="{00000000-0005-0000-0000-00004D820000}"/>
    <cellStyle name="Separador de milhares 3 4 2 2 5 5 2" xfId="44618" xr:uid="{00000000-0005-0000-0000-00004E820000}"/>
    <cellStyle name="Separador de milhares 3 4 2 2 5 6" xfId="12097" xr:uid="{00000000-0005-0000-0000-00004F820000}"/>
    <cellStyle name="Separador de milhares 3 4 2 2 5 6 2" xfId="38290" xr:uid="{00000000-0005-0000-0000-000050820000}"/>
    <cellStyle name="Separador de milhares 3 4 2 2 5 7" xfId="30208" xr:uid="{00000000-0005-0000-0000-000051820000}"/>
    <cellStyle name="Separador de milhares 3 4 2 2 6" xfId="4044" xr:uid="{00000000-0005-0000-0000-000052820000}"/>
    <cellStyle name="Separador de milhares 3 4 2 2 6 2" xfId="7556" xr:uid="{00000000-0005-0000-0000-000053820000}"/>
    <cellStyle name="Separador de milhares 3 4 2 2 6 2 2" xfId="10700" xr:uid="{00000000-0005-0000-0000-000054820000}"/>
    <cellStyle name="Separador de milhares 3 4 2 2 6 2 2 2" xfId="28914" xr:uid="{00000000-0005-0000-0000-000055820000}"/>
    <cellStyle name="Separador de milhares 3 4 2 2 6 2 2 2 2" xfId="55095" xr:uid="{00000000-0005-0000-0000-000056820000}"/>
    <cellStyle name="Separador de milhares 3 4 2 2 6 2 2 3" xfId="23000" xr:uid="{00000000-0005-0000-0000-000057820000}"/>
    <cellStyle name="Separador de milhares 3 4 2 2 6 2 2 3 2" xfId="49187" xr:uid="{00000000-0005-0000-0000-000058820000}"/>
    <cellStyle name="Separador de milhares 3 4 2 2 6 2 2 4" xfId="17086" xr:uid="{00000000-0005-0000-0000-000059820000}"/>
    <cellStyle name="Separador de milhares 3 4 2 2 6 2 2 4 2" xfId="43279" xr:uid="{00000000-0005-0000-0000-00005A820000}"/>
    <cellStyle name="Separador de milhares 3 4 2 2 6 2 2 5" xfId="36893" xr:uid="{00000000-0005-0000-0000-00005B820000}"/>
    <cellStyle name="Separador de milhares 3 4 2 2 6 2 3" xfId="25957" xr:uid="{00000000-0005-0000-0000-00005C820000}"/>
    <cellStyle name="Separador de milhares 3 4 2 2 6 2 3 2" xfId="52141" xr:uid="{00000000-0005-0000-0000-00005D820000}"/>
    <cellStyle name="Separador de milhares 3 4 2 2 6 2 4" xfId="20043" xr:uid="{00000000-0005-0000-0000-00005E820000}"/>
    <cellStyle name="Separador de milhares 3 4 2 2 6 2 4 2" xfId="46233" xr:uid="{00000000-0005-0000-0000-00005F820000}"/>
    <cellStyle name="Separador de milhares 3 4 2 2 6 2 5" xfId="13945" xr:uid="{00000000-0005-0000-0000-000060820000}"/>
    <cellStyle name="Separador de milhares 3 4 2 2 6 2 5 2" xfId="40138" xr:uid="{00000000-0005-0000-0000-000061820000}"/>
    <cellStyle name="Separador de milhares 3 4 2 2 6 2 6" xfId="33752" xr:uid="{00000000-0005-0000-0000-000062820000}"/>
    <cellStyle name="Separador de milhares 3 4 2 2 6 3" xfId="9232" xr:uid="{00000000-0005-0000-0000-000063820000}"/>
    <cellStyle name="Separador de milhares 3 4 2 2 6 3 2" xfId="27446" xr:uid="{00000000-0005-0000-0000-000064820000}"/>
    <cellStyle name="Separador de milhares 3 4 2 2 6 3 2 2" xfId="53627" xr:uid="{00000000-0005-0000-0000-000065820000}"/>
    <cellStyle name="Separador de milhares 3 4 2 2 6 3 3" xfId="21532" xr:uid="{00000000-0005-0000-0000-000066820000}"/>
    <cellStyle name="Separador de milhares 3 4 2 2 6 3 3 2" xfId="47719" xr:uid="{00000000-0005-0000-0000-000067820000}"/>
    <cellStyle name="Separador de milhares 3 4 2 2 6 3 4" xfId="15618" xr:uid="{00000000-0005-0000-0000-000068820000}"/>
    <cellStyle name="Separador de milhares 3 4 2 2 6 3 4 2" xfId="41811" xr:uid="{00000000-0005-0000-0000-000069820000}"/>
    <cellStyle name="Separador de milhares 3 4 2 2 6 3 5" xfId="35425" xr:uid="{00000000-0005-0000-0000-00006A820000}"/>
    <cellStyle name="Separador de milhares 3 4 2 2 6 4" xfId="5857" xr:uid="{00000000-0005-0000-0000-00006B820000}"/>
    <cellStyle name="Separador de milhares 3 4 2 2 6 4 2" xfId="24489" xr:uid="{00000000-0005-0000-0000-00006C820000}"/>
    <cellStyle name="Separador de milhares 3 4 2 2 6 4 2 2" xfId="50673" xr:uid="{00000000-0005-0000-0000-00006D820000}"/>
    <cellStyle name="Separador de milhares 3 4 2 2 6 4 3" xfId="32053" xr:uid="{00000000-0005-0000-0000-00006E820000}"/>
    <cellStyle name="Separador de milhares 3 4 2 2 6 5" xfId="18575" xr:uid="{00000000-0005-0000-0000-00006F820000}"/>
    <cellStyle name="Separador de milhares 3 4 2 2 6 5 2" xfId="44765" xr:uid="{00000000-0005-0000-0000-000070820000}"/>
    <cellStyle name="Separador de milhares 3 4 2 2 6 6" xfId="12244" xr:uid="{00000000-0005-0000-0000-000071820000}"/>
    <cellStyle name="Separador de milhares 3 4 2 2 6 6 2" xfId="38437" xr:uid="{00000000-0005-0000-0000-000072820000}"/>
    <cellStyle name="Separador de milhares 3 4 2 2 6 7" xfId="30355" xr:uid="{00000000-0005-0000-0000-000073820000}"/>
    <cellStyle name="Separador de milhares 3 4 2 2 7" xfId="6527" xr:uid="{00000000-0005-0000-0000-000074820000}"/>
    <cellStyle name="Separador de milhares 3 4 2 2 7 2" xfId="9674" xr:uid="{00000000-0005-0000-0000-000075820000}"/>
    <cellStyle name="Separador de milhares 3 4 2 2 7 2 2" xfId="27888" xr:uid="{00000000-0005-0000-0000-000076820000}"/>
    <cellStyle name="Separador de milhares 3 4 2 2 7 2 2 2" xfId="54069" xr:uid="{00000000-0005-0000-0000-000077820000}"/>
    <cellStyle name="Separador de milhares 3 4 2 2 7 2 3" xfId="21974" xr:uid="{00000000-0005-0000-0000-000078820000}"/>
    <cellStyle name="Separador de milhares 3 4 2 2 7 2 3 2" xfId="48161" xr:uid="{00000000-0005-0000-0000-000079820000}"/>
    <cellStyle name="Separador de milhares 3 4 2 2 7 2 4" xfId="16060" xr:uid="{00000000-0005-0000-0000-00007A820000}"/>
    <cellStyle name="Separador de milhares 3 4 2 2 7 2 4 2" xfId="42253" xr:uid="{00000000-0005-0000-0000-00007B820000}"/>
    <cellStyle name="Separador de milhares 3 4 2 2 7 2 5" xfId="35867" xr:uid="{00000000-0005-0000-0000-00007C820000}"/>
    <cellStyle name="Separador de milhares 3 4 2 2 7 3" xfId="24931" xr:uid="{00000000-0005-0000-0000-00007D820000}"/>
    <cellStyle name="Separador de milhares 3 4 2 2 7 3 2" xfId="51115" xr:uid="{00000000-0005-0000-0000-00007E820000}"/>
    <cellStyle name="Separador de milhares 3 4 2 2 7 4" xfId="19017" xr:uid="{00000000-0005-0000-0000-00007F820000}"/>
    <cellStyle name="Separador de milhares 3 4 2 2 7 4 2" xfId="45207" xr:uid="{00000000-0005-0000-0000-000080820000}"/>
    <cellStyle name="Separador de milhares 3 4 2 2 7 5" xfId="12916" xr:uid="{00000000-0005-0000-0000-000081820000}"/>
    <cellStyle name="Separador de milhares 3 4 2 2 7 5 2" xfId="39109" xr:uid="{00000000-0005-0000-0000-000082820000}"/>
    <cellStyle name="Separador de milhares 3 4 2 2 7 6" xfId="32723" xr:uid="{00000000-0005-0000-0000-000083820000}"/>
    <cellStyle name="Separador de milhares 3 4 2 2 8" xfId="8203" xr:uid="{00000000-0005-0000-0000-000084820000}"/>
    <cellStyle name="Separador de milhares 3 4 2 2 8 2" xfId="26417" xr:uid="{00000000-0005-0000-0000-000085820000}"/>
    <cellStyle name="Separador de milhares 3 4 2 2 8 2 2" xfId="52601" xr:uid="{00000000-0005-0000-0000-000086820000}"/>
    <cellStyle name="Separador de milhares 3 4 2 2 8 3" xfId="20503" xr:uid="{00000000-0005-0000-0000-000087820000}"/>
    <cellStyle name="Separador de milhares 3 4 2 2 8 3 2" xfId="46693" xr:uid="{00000000-0005-0000-0000-000088820000}"/>
    <cellStyle name="Separador de milhares 3 4 2 2 8 4" xfId="14592" xr:uid="{00000000-0005-0000-0000-000089820000}"/>
    <cellStyle name="Separador de milhares 3 4 2 2 8 4 2" xfId="40785" xr:uid="{00000000-0005-0000-0000-00008A820000}"/>
    <cellStyle name="Separador de milhares 3 4 2 2 8 5" xfId="34399" xr:uid="{00000000-0005-0000-0000-00008B820000}"/>
    <cellStyle name="Separador de milhares 3 4 2 2 9" xfId="4826" xr:uid="{00000000-0005-0000-0000-00008C820000}"/>
    <cellStyle name="Separador de milhares 3 4 2 2 9 2" xfId="23460" xr:uid="{00000000-0005-0000-0000-00008D820000}"/>
    <cellStyle name="Separador de milhares 3 4 2 2 9 2 2" xfId="49647" xr:uid="{00000000-0005-0000-0000-00008E820000}"/>
    <cellStyle name="Separador de milhares 3 4 2 2 9 3" xfId="31024" xr:uid="{00000000-0005-0000-0000-00008F820000}"/>
    <cellStyle name="Separador de milhares 3 4 2 3" xfId="887" xr:uid="{00000000-0005-0000-0000-000090820000}"/>
    <cellStyle name="Separador de milhares 3 4 2 3 2" xfId="6678" xr:uid="{00000000-0005-0000-0000-000091820000}"/>
    <cellStyle name="Separador de milhares 3 4 2 3 2 2" xfId="9825" xr:uid="{00000000-0005-0000-0000-000092820000}"/>
    <cellStyle name="Separador de milhares 3 4 2 3 2 2 2" xfId="28039" xr:uid="{00000000-0005-0000-0000-000093820000}"/>
    <cellStyle name="Separador de milhares 3 4 2 3 2 2 2 2" xfId="54220" xr:uid="{00000000-0005-0000-0000-000094820000}"/>
    <cellStyle name="Separador de milhares 3 4 2 3 2 2 3" xfId="22125" xr:uid="{00000000-0005-0000-0000-000095820000}"/>
    <cellStyle name="Separador de milhares 3 4 2 3 2 2 3 2" xfId="48312" xr:uid="{00000000-0005-0000-0000-000096820000}"/>
    <cellStyle name="Separador de milhares 3 4 2 3 2 2 4" xfId="16211" xr:uid="{00000000-0005-0000-0000-000097820000}"/>
    <cellStyle name="Separador de milhares 3 4 2 3 2 2 4 2" xfId="42404" xr:uid="{00000000-0005-0000-0000-000098820000}"/>
    <cellStyle name="Separador de milhares 3 4 2 3 2 2 5" xfId="36018" xr:uid="{00000000-0005-0000-0000-000099820000}"/>
    <cellStyle name="Separador de milhares 3 4 2 3 2 3" xfId="25082" xr:uid="{00000000-0005-0000-0000-00009A820000}"/>
    <cellStyle name="Separador de milhares 3 4 2 3 2 3 2" xfId="51266" xr:uid="{00000000-0005-0000-0000-00009B820000}"/>
    <cellStyle name="Separador de milhares 3 4 2 3 2 4" xfId="19168" xr:uid="{00000000-0005-0000-0000-00009C820000}"/>
    <cellStyle name="Separador de milhares 3 4 2 3 2 4 2" xfId="45358" xr:uid="{00000000-0005-0000-0000-00009D820000}"/>
    <cellStyle name="Separador de milhares 3 4 2 3 2 5" xfId="13067" xr:uid="{00000000-0005-0000-0000-00009E820000}"/>
    <cellStyle name="Separador de milhares 3 4 2 3 2 5 2" xfId="39260" xr:uid="{00000000-0005-0000-0000-00009F820000}"/>
    <cellStyle name="Separador de milhares 3 4 2 3 2 6" xfId="32874" xr:uid="{00000000-0005-0000-0000-0000A0820000}"/>
    <cellStyle name="Separador de milhares 3 4 2 3 3" xfId="8357" xr:uid="{00000000-0005-0000-0000-0000A1820000}"/>
    <cellStyle name="Separador de milhares 3 4 2 3 3 2" xfId="26571" xr:uid="{00000000-0005-0000-0000-0000A2820000}"/>
    <cellStyle name="Separador de milhares 3 4 2 3 3 2 2" xfId="52752" xr:uid="{00000000-0005-0000-0000-0000A3820000}"/>
    <cellStyle name="Separador de milhares 3 4 2 3 3 3" xfId="20657" xr:uid="{00000000-0005-0000-0000-0000A4820000}"/>
    <cellStyle name="Separador de milhares 3 4 2 3 3 3 2" xfId="46844" xr:uid="{00000000-0005-0000-0000-0000A5820000}"/>
    <cellStyle name="Separador de milhares 3 4 2 3 3 4" xfId="14743" xr:uid="{00000000-0005-0000-0000-0000A6820000}"/>
    <cellStyle name="Separador de milhares 3 4 2 3 3 4 2" xfId="40936" xr:uid="{00000000-0005-0000-0000-0000A7820000}"/>
    <cellStyle name="Separador de milhares 3 4 2 3 3 5" xfId="34550" xr:uid="{00000000-0005-0000-0000-0000A8820000}"/>
    <cellStyle name="Separador de milhares 3 4 2 3 4" xfId="4979" xr:uid="{00000000-0005-0000-0000-0000A9820000}"/>
    <cellStyle name="Separador de milhares 3 4 2 3 4 2" xfId="23614" xr:uid="{00000000-0005-0000-0000-0000AA820000}"/>
    <cellStyle name="Separador de milhares 3 4 2 3 4 2 2" xfId="49798" xr:uid="{00000000-0005-0000-0000-0000AB820000}"/>
    <cellStyle name="Separador de milhares 3 4 2 3 4 3" xfId="31175" xr:uid="{00000000-0005-0000-0000-0000AC820000}"/>
    <cellStyle name="Separador de milhares 3 4 2 3 5" xfId="17700" xr:uid="{00000000-0005-0000-0000-0000AD820000}"/>
    <cellStyle name="Separador de milhares 3 4 2 3 5 2" xfId="43890" xr:uid="{00000000-0005-0000-0000-0000AE820000}"/>
    <cellStyle name="Separador de milhares 3 4 2 3 6" xfId="11366" xr:uid="{00000000-0005-0000-0000-0000AF820000}"/>
    <cellStyle name="Separador de milhares 3 4 2 3 6 2" xfId="37559" xr:uid="{00000000-0005-0000-0000-0000B0820000}"/>
    <cellStyle name="Separador de milhares 3 4 2 3 7" xfId="29477" xr:uid="{00000000-0005-0000-0000-0000B1820000}"/>
    <cellStyle name="Separador de milhares 3 4 2 4" xfId="1238" xr:uid="{00000000-0005-0000-0000-0000B2820000}"/>
    <cellStyle name="Separador de milhares 3 4 2 4 2" xfId="6776" xr:uid="{00000000-0005-0000-0000-0000B3820000}"/>
    <cellStyle name="Separador de milhares 3 4 2 4 2 2" xfId="9923" xr:uid="{00000000-0005-0000-0000-0000B4820000}"/>
    <cellStyle name="Separador de milhares 3 4 2 4 2 2 2" xfId="28137" xr:uid="{00000000-0005-0000-0000-0000B5820000}"/>
    <cellStyle name="Separador de milhares 3 4 2 4 2 2 2 2" xfId="54318" xr:uid="{00000000-0005-0000-0000-0000B6820000}"/>
    <cellStyle name="Separador de milhares 3 4 2 4 2 2 3" xfId="22223" xr:uid="{00000000-0005-0000-0000-0000B7820000}"/>
    <cellStyle name="Separador de milhares 3 4 2 4 2 2 3 2" xfId="48410" xr:uid="{00000000-0005-0000-0000-0000B8820000}"/>
    <cellStyle name="Separador de milhares 3 4 2 4 2 2 4" xfId="16309" xr:uid="{00000000-0005-0000-0000-0000B9820000}"/>
    <cellStyle name="Separador de milhares 3 4 2 4 2 2 4 2" xfId="42502" xr:uid="{00000000-0005-0000-0000-0000BA820000}"/>
    <cellStyle name="Separador de milhares 3 4 2 4 2 2 5" xfId="36116" xr:uid="{00000000-0005-0000-0000-0000BB820000}"/>
    <cellStyle name="Separador de milhares 3 4 2 4 2 3" xfId="25180" xr:uid="{00000000-0005-0000-0000-0000BC820000}"/>
    <cellStyle name="Separador de milhares 3 4 2 4 2 3 2" xfId="51364" xr:uid="{00000000-0005-0000-0000-0000BD820000}"/>
    <cellStyle name="Separador de milhares 3 4 2 4 2 4" xfId="19266" xr:uid="{00000000-0005-0000-0000-0000BE820000}"/>
    <cellStyle name="Separador de milhares 3 4 2 4 2 4 2" xfId="45456" xr:uid="{00000000-0005-0000-0000-0000BF820000}"/>
    <cellStyle name="Separador de milhares 3 4 2 4 2 5" xfId="13165" xr:uid="{00000000-0005-0000-0000-0000C0820000}"/>
    <cellStyle name="Separador de milhares 3 4 2 4 2 5 2" xfId="39358" xr:uid="{00000000-0005-0000-0000-0000C1820000}"/>
    <cellStyle name="Separador de milhares 3 4 2 4 2 6" xfId="32972" xr:uid="{00000000-0005-0000-0000-0000C2820000}"/>
    <cellStyle name="Separador de milhares 3 4 2 4 3" xfId="8455" xr:uid="{00000000-0005-0000-0000-0000C3820000}"/>
    <cellStyle name="Separador de milhares 3 4 2 4 3 2" xfId="26669" xr:uid="{00000000-0005-0000-0000-0000C4820000}"/>
    <cellStyle name="Separador de milhares 3 4 2 4 3 2 2" xfId="52850" xr:uid="{00000000-0005-0000-0000-0000C5820000}"/>
    <cellStyle name="Separador de milhares 3 4 2 4 3 3" xfId="20755" xr:uid="{00000000-0005-0000-0000-0000C6820000}"/>
    <cellStyle name="Separador de milhares 3 4 2 4 3 3 2" xfId="46942" xr:uid="{00000000-0005-0000-0000-0000C7820000}"/>
    <cellStyle name="Separador de milhares 3 4 2 4 3 4" xfId="14841" xr:uid="{00000000-0005-0000-0000-0000C8820000}"/>
    <cellStyle name="Separador de milhares 3 4 2 4 3 4 2" xfId="41034" xr:uid="{00000000-0005-0000-0000-0000C9820000}"/>
    <cellStyle name="Separador de milhares 3 4 2 4 3 5" xfId="34648" xr:uid="{00000000-0005-0000-0000-0000CA820000}"/>
    <cellStyle name="Separador de milhares 3 4 2 4 4" xfId="5077" xr:uid="{00000000-0005-0000-0000-0000CB820000}"/>
    <cellStyle name="Separador de milhares 3 4 2 4 4 2" xfId="23712" xr:uid="{00000000-0005-0000-0000-0000CC820000}"/>
    <cellStyle name="Separador de milhares 3 4 2 4 4 2 2" xfId="49896" xr:uid="{00000000-0005-0000-0000-0000CD820000}"/>
    <cellStyle name="Separador de milhares 3 4 2 4 4 3" xfId="31273" xr:uid="{00000000-0005-0000-0000-0000CE820000}"/>
    <cellStyle name="Separador de milhares 3 4 2 4 5" xfId="17798" xr:uid="{00000000-0005-0000-0000-0000CF820000}"/>
    <cellStyle name="Separador de milhares 3 4 2 4 5 2" xfId="43988" xr:uid="{00000000-0005-0000-0000-0000D0820000}"/>
    <cellStyle name="Separador de milhares 3 4 2 4 6" xfId="11464" xr:uid="{00000000-0005-0000-0000-0000D1820000}"/>
    <cellStyle name="Separador de milhares 3 4 2 4 6 2" xfId="37657" xr:uid="{00000000-0005-0000-0000-0000D2820000}"/>
    <cellStyle name="Separador de milhares 3 4 2 4 7" xfId="29575" xr:uid="{00000000-0005-0000-0000-0000D3820000}"/>
    <cellStyle name="Separador de milhares 3 4 2 5" xfId="1673" xr:uid="{00000000-0005-0000-0000-0000D4820000}"/>
    <cellStyle name="Separador de milhares 3 4 2 5 2" xfId="6895" xr:uid="{00000000-0005-0000-0000-0000D5820000}"/>
    <cellStyle name="Separador de milhares 3 4 2 5 2 2" xfId="10042" xr:uid="{00000000-0005-0000-0000-0000D6820000}"/>
    <cellStyle name="Separador de milhares 3 4 2 5 2 2 2" xfId="28256" xr:uid="{00000000-0005-0000-0000-0000D7820000}"/>
    <cellStyle name="Separador de milhares 3 4 2 5 2 2 2 2" xfId="54437" xr:uid="{00000000-0005-0000-0000-0000D8820000}"/>
    <cellStyle name="Separador de milhares 3 4 2 5 2 2 3" xfId="22342" xr:uid="{00000000-0005-0000-0000-0000D9820000}"/>
    <cellStyle name="Separador de milhares 3 4 2 5 2 2 3 2" xfId="48529" xr:uid="{00000000-0005-0000-0000-0000DA820000}"/>
    <cellStyle name="Separador de milhares 3 4 2 5 2 2 4" xfId="16428" xr:uid="{00000000-0005-0000-0000-0000DB820000}"/>
    <cellStyle name="Separador de milhares 3 4 2 5 2 2 4 2" xfId="42621" xr:uid="{00000000-0005-0000-0000-0000DC820000}"/>
    <cellStyle name="Separador de milhares 3 4 2 5 2 2 5" xfId="36235" xr:uid="{00000000-0005-0000-0000-0000DD820000}"/>
    <cellStyle name="Separador de milhares 3 4 2 5 2 3" xfId="25299" xr:uid="{00000000-0005-0000-0000-0000DE820000}"/>
    <cellStyle name="Separador de milhares 3 4 2 5 2 3 2" xfId="51483" xr:uid="{00000000-0005-0000-0000-0000DF820000}"/>
    <cellStyle name="Separador de milhares 3 4 2 5 2 4" xfId="19385" xr:uid="{00000000-0005-0000-0000-0000E0820000}"/>
    <cellStyle name="Separador de milhares 3 4 2 5 2 4 2" xfId="45575" xr:uid="{00000000-0005-0000-0000-0000E1820000}"/>
    <cellStyle name="Separador de milhares 3 4 2 5 2 5" xfId="13284" xr:uid="{00000000-0005-0000-0000-0000E2820000}"/>
    <cellStyle name="Separador de milhares 3 4 2 5 2 5 2" xfId="39477" xr:uid="{00000000-0005-0000-0000-0000E3820000}"/>
    <cellStyle name="Separador de milhares 3 4 2 5 2 6" xfId="33091" xr:uid="{00000000-0005-0000-0000-0000E4820000}"/>
    <cellStyle name="Separador de milhares 3 4 2 5 3" xfId="8574" xr:uid="{00000000-0005-0000-0000-0000E5820000}"/>
    <cellStyle name="Separador de milhares 3 4 2 5 3 2" xfId="26788" xr:uid="{00000000-0005-0000-0000-0000E6820000}"/>
    <cellStyle name="Separador de milhares 3 4 2 5 3 2 2" xfId="52969" xr:uid="{00000000-0005-0000-0000-0000E7820000}"/>
    <cellStyle name="Separador de milhares 3 4 2 5 3 3" xfId="20874" xr:uid="{00000000-0005-0000-0000-0000E8820000}"/>
    <cellStyle name="Separador de milhares 3 4 2 5 3 3 2" xfId="47061" xr:uid="{00000000-0005-0000-0000-0000E9820000}"/>
    <cellStyle name="Separador de milhares 3 4 2 5 3 4" xfId="14960" xr:uid="{00000000-0005-0000-0000-0000EA820000}"/>
    <cellStyle name="Separador de milhares 3 4 2 5 3 4 2" xfId="41153" xr:uid="{00000000-0005-0000-0000-0000EB820000}"/>
    <cellStyle name="Separador de milhares 3 4 2 5 3 5" xfId="34767" xr:uid="{00000000-0005-0000-0000-0000EC820000}"/>
    <cellStyle name="Separador de milhares 3 4 2 5 4" xfId="5196" xr:uid="{00000000-0005-0000-0000-0000ED820000}"/>
    <cellStyle name="Separador de milhares 3 4 2 5 4 2" xfId="23831" xr:uid="{00000000-0005-0000-0000-0000EE820000}"/>
    <cellStyle name="Separador de milhares 3 4 2 5 4 2 2" xfId="50015" xr:uid="{00000000-0005-0000-0000-0000EF820000}"/>
    <cellStyle name="Separador de milhares 3 4 2 5 4 3" xfId="31392" xr:uid="{00000000-0005-0000-0000-0000F0820000}"/>
    <cellStyle name="Separador de milhares 3 4 2 5 5" xfId="17917" xr:uid="{00000000-0005-0000-0000-0000F1820000}"/>
    <cellStyle name="Separador de milhares 3 4 2 5 5 2" xfId="44107" xr:uid="{00000000-0005-0000-0000-0000F2820000}"/>
    <cellStyle name="Separador de milhares 3 4 2 5 6" xfId="11583" xr:uid="{00000000-0005-0000-0000-0000F3820000}"/>
    <cellStyle name="Separador de milhares 3 4 2 5 6 2" xfId="37776" xr:uid="{00000000-0005-0000-0000-0000F4820000}"/>
    <cellStyle name="Separador de milhares 3 4 2 5 7" xfId="29694" xr:uid="{00000000-0005-0000-0000-0000F5820000}"/>
    <cellStyle name="Separador de milhares 3 4 2 6" xfId="2203" xr:uid="{00000000-0005-0000-0000-0000F6820000}"/>
    <cellStyle name="Separador de milhares 3 4 2 6 2" xfId="7045" xr:uid="{00000000-0005-0000-0000-0000F7820000}"/>
    <cellStyle name="Separador de milhares 3 4 2 6 2 2" xfId="10189" xr:uid="{00000000-0005-0000-0000-0000F8820000}"/>
    <cellStyle name="Separador de milhares 3 4 2 6 2 2 2" xfId="28403" xr:uid="{00000000-0005-0000-0000-0000F9820000}"/>
    <cellStyle name="Separador de milhares 3 4 2 6 2 2 2 2" xfId="54584" xr:uid="{00000000-0005-0000-0000-0000FA820000}"/>
    <cellStyle name="Separador de milhares 3 4 2 6 2 2 3" xfId="22489" xr:uid="{00000000-0005-0000-0000-0000FB820000}"/>
    <cellStyle name="Separador de milhares 3 4 2 6 2 2 3 2" xfId="48676" xr:uid="{00000000-0005-0000-0000-0000FC820000}"/>
    <cellStyle name="Separador de milhares 3 4 2 6 2 2 4" xfId="16575" xr:uid="{00000000-0005-0000-0000-0000FD820000}"/>
    <cellStyle name="Separador de milhares 3 4 2 6 2 2 4 2" xfId="42768" xr:uid="{00000000-0005-0000-0000-0000FE820000}"/>
    <cellStyle name="Separador de milhares 3 4 2 6 2 2 5" xfId="36382" xr:uid="{00000000-0005-0000-0000-0000FF820000}"/>
    <cellStyle name="Separador de milhares 3 4 2 6 2 3" xfId="25446" xr:uid="{00000000-0005-0000-0000-000000830000}"/>
    <cellStyle name="Separador de milhares 3 4 2 6 2 3 2" xfId="51630" xr:uid="{00000000-0005-0000-0000-000001830000}"/>
    <cellStyle name="Separador de milhares 3 4 2 6 2 4" xfId="19532" xr:uid="{00000000-0005-0000-0000-000002830000}"/>
    <cellStyle name="Separador de milhares 3 4 2 6 2 4 2" xfId="45722" xr:uid="{00000000-0005-0000-0000-000003830000}"/>
    <cellStyle name="Separador de milhares 3 4 2 6 2 5" xfId="13434" xr:uid="{00000000-0005-0000-0000-000004830000}"/>
    <cellStyle name="Separador de milhares 3 4 2 6 2 5 2" xfId="39627" xr:uid="{00000000-0005-0000-0000-000005830000}"/>
    <cellStyle name="Separador de milhares 3 4 2 6 2 6" xfId="33241" xr:uid="{00000000-0005-0000-0000-000006830000}"/>
    <cellStyle name="Separador de milhares 3 4 2 6 3" xfId="8721" xr:uid="{00000000-0005-0000-0000-000007830000}"/>
    <cellStyle name="Separador de milhares 3 4 2 6 3 2" xfId="26935" xr:uid="{00000000-0005-0000-0000-000008830000}"/>
    <cellStyle name="Separador de milhares 3 4 2 6 3 2 2" xfId="53116" xr:uid="{00000000-0005-0000-0000-000009830000}"/>
    <cellStyle name="Separador de milhares 3 4 2 6 3 3" xfId="21021" xr:uid="{00000000-0005-0000-0000-00000A830000}"/>
    <cellStyle name="Separador de milhares 3 4 2 6 3 3 2" xfId="47208" xr:uid="{00000000-0005-0000-0000-00000B830000}"/>
    <cellStyle name="Separador de milhares 3 4 2 6 3 4" xfId="15107" xr:uid="{00000000-0005-0000-0000-00000C830000}"/>
    <cellStyle name="Separador de milhares 3 4 2 6 3 4 2" xfId="41300" xr:uid="{00000000-0005-0000-0000-00000D830000}"/>
    <cellStyle name="Separador de milhares 3 4 2 6 3 5" xfId="34914" xr:uid="{00000000-0005-0000-0000-00000E830000}"/>
    <cellStyle name="Separador de milhares 3 4 2 6 4" xfId="5346" xr:uid="{00000000-0005-0000-0000-00000F830000}"/>
    <cellStyle name="Separador de milhares 3 4 2 6 4 2" xfId="23978" xr:uid="{00000000-0005-0000-0000-000010830000}"/>
    <cellStyle name="Separador de milhares 3 4 2 6 4 2 2" xfId="50162" xr:uid="{00000000-0005-0000-0000-000011830000}"/>
    <cellStyle name="Separador de milhares 3 4 2 6 4 3" xfId="31542" xr:uid="{00000000-0005-0000-0000-000012830000}"/>
    <cellStyle name="Separador de milhares 3 4 2 6 5" xfId="18064" xr:uid="{00000000-0005-0000-0000-000013830000}"/>
    <cellStyle name="Separador de milhares 3 4 2 6 5 2" xfId="44254" xr:uid="{00000000-0005-0000-0000-000014830000}"/>
    <cellStyle name="Separador de milhares 3 4 2 6 6" xfId="11733" xr:uid="{00000000-0005-0000-0000-000015830000}"/>
    <cellStyle name="Separador de milhares 3 4 2 6 6 2" xfId="37926" xr:uid="{00000000-0005-0000-0000-000016830000}"/>
    <cellStyle name="Separador de milhares 3 4 2 6 7" xfId="29844" xr:uid="{00000000-0005-0000-0000-000017830000}"/>
    <cellStyle name="Separador de milhares 3 4 2 7" xfId="2730" xr:uid="{00000000-0005-0000-0000-000018830000}"/>
    <cellStyle name="Separador de milhares 3 4 2 7 2" xfId="7192" xr:uid="{00000000-0005-0000-0000-000019830000}"/>
    <cellStyle name="Separador de milhares 3 4 2 7 2 2" xfId="10336" xr:uid="{00000000-0005-0000-0000-00001A830000}"/>
    <cellStyle name="Separador de milhares 3 4 2 7 2 2 2" xfId="28550" xr:uid="{00000000-0005-0000-0000-00001B830000}"/>
    <cellStyle name="Separador de milhares 3 4 2 7 2 2 2 2" xfId="54731" xr:uid="{00000000-0005-0000-0000-00001C830000}"/>
    <cellStyle name="Separador de milhares 3 4 2 7 2 2 3" xfId="22636" xr:uid="{00000000-0005-0000-0000-00001D830000}"/>
    <cellStyle name="Separador de milhares 3 4 2 7 2 2 3 2" xfId="48823" xr:uid="{00000000-0005-0000-0000-00001E830000}"/>
    <cellStyle name="Separador de milhares 3 4 2 7 2 2 4" xfId="16722" xr:uid="{00000000-0005-0000-0000-00001F830000}"/>
    <cellStyle name="Separador de milhares 3 4 2 7 2 2 4 2" xfId="42915" xr:uid="{00000000-0005-0000-0000-000020830000}"/>
    <cellStyle name="Separador de milhares 3 4 2 7 2 2 5" xfId="36529" xr:uid="{00000000-0005-0000-0000-000021830000}"/>
    <cellStyle name="Separador de milhares 3 4 2 7 2 3" xfId="25593" xr:uid="{00000000-0005-0000-0000-000022830000}"/>
    <cellStyle name="Separador de milhares 3 4 2 7 2 3 2" xfId="51777" xr:uid="{00000000-0005-0000-0000-000023830000}"/>
    <cellStyle name="Separador de milhares 3 4 2 7 2 4" xfId="19679" xr:uid="{00000000-0005-0000-0000-000024830000}"/>
    <cellStyle name="Separador de milhares 3 4 2 7 2 4 2" xfId="45869" xr:uid="{00000000-0005-0000-0000-000025830000}"/>
    <cellStyle name="Separador de milhares 3 4 2 7 2 5" xfId="13581" xr:uid="{00000000-0005-0000-0000-000026830000}"/>
    <cellStyle name="Separador de milhares 3 4 2 7 2 5 2" xfId="39774" xr:uid="{00000000-0005-0000-0000-000027830000}"/>
    <cellStyle name="Separador de milhares 3 4 2 7 2 6" xfId="33388" xr:uid="{00000000-0005-0000-0000-000028830000}"/>
    <cellStyle name="Separador de milhares 3 4 2 7 3" xfId="8868" xr:uid="{00000000-0005-0000-0000-000029830000}"/>
    <cellStyle name="Separador de milhares 3 4 2 7 3 2" xfId="27082" xr:uid="{00000000-0005-0000-0000-00002A830000}"/>
    <cellStyle name="Separador de milhares 3 4 2 7 3 2 2" xfId="53263" xr:uid="{00000000-0005-0000-0000-00002B830000}"/>
    <cellStyle name="Separador de milhares 3 4 2 7 3 3" xfId="21168" xr:uid="{00000000-0005-0000-0000-00002C830000}"/>
    <cellStyle name="Separador de milhares 3 4 2 7 3 3 2" xfId="47355" xr:uid="{00000000-0005-0000-0000-00002D830000}"/>
    <cellStyle name="Separador de milhares 3 4 2 7 3 4" xfId="15254" xr:uid="{00000000-0005-0000-0000-00002E830000}"/>
    <cellStyle name="Separador de milhares 3 4 2 7 3 4 2" xfId="41447" xr:uid="{00000000-0005-0000-0000-00002F830000}"/>
    <cellStyle name="Separador de milhares 3 4 2 7 3 5" xfId="35061" xr:uid="{00000000-0005-0000-0000-000030830000}"/>
    <cellStyle name="Separador de milhares 3 4 2 7 4" xfId="5493" xr:uid="{00000000-0005-0000-0000-000031830000}"/>
    <cellStyle name="Separador de milhares 3 4 2 7 4 2" xfId="24125" xr:uid="{00000000-0005-0000-0000-000032830000}"/>
    <cellStyle name="Separador de milhares 3 4 2 7 4 2 2" xfId="50309" xr:uid="{00000000-0005-0000-0000-000033830000}"/>
    <cellStyle name="Separador de milhares 3 4 2 7 4 3" xfId="31689" xr:uid="{00000000-0005-0000-0000-000034830000}"/>
    <cellStyle name="Separador de milhares 3 4 2 7 5" xfId="18211" xr:uid="{00000000-0005-0000-0000-000035830000}"/>
    <cellStyle name="Separador de milhares 3 4 2 7 5 2" xfId="44401" xr:uid="{00000000-0005-0000-0000-000036830000}"/>
    <cellStyle name="Separador de milhares 3 4 2 7 6" xfId="11880" xr:uid="{00000000-0005-0000-0000-000037830000}"/>
    <cellStyle name="Separador de milhares 3 4 2 7 6 2" xfId="38073" xr:uid="{00000000-0005-0000-0000-000038830000}"/>
    <cellStyle name="Separador de milhares 3 4 2 7 7" xfId="29991" xr:uid="{00000000-0005-0000-0000-000039830000}"/>
    <cellStyle name="Separador de milhares 3 4 2 8" xfId="3257" xr:uid="{00000000-0005-0000-0000-00003A830000}"/>
    <cellStyle name="Separador de milhares 3 4 2 8 2" xfId="7339" xr:uid="{00000000-0005-0000-0000-00003B830000}"/>
    <cellStyle name="Separador de milhares 3 4 2 8 2 2" xfId="10483" xr:uid="{00000000-0005-0000-0000-00003C830000}"/>
    <cellStyle name="Separador de milhares 3 4 2 8 2 2 2" xfId="28697" xr:uid="{00000000-0005-0000-0000-00003D830000}"/>
    <cellStyle name="Separador de milhares 3 4 2 8 2 2 2 2" xfId="54878" xr:uid="{00000000-0005-0000-0000-00003E830000}"/>
    <cellStyle name="Separador de milhares 3 4 2 8 2 2 3" xfId="22783" xr:uid="{00000000-0005-0000-0000-00003F830000}"/>
    <cellStyle name="Separador de milhares 3 4 2 8 2 2 3 2" xfId="48970" xr:uid="{00000000-0005-0000-0000-000040830000}"/>
    <cellStyle name="Separador de milhares 3 4 2 8 2 2 4" xfId="16869" xr:uid="{00000000-0005-0000-0000-000041830000}"/>
    <cellStyle name="Separador de milhares 3 4 2 8 2 2 4 2" xfId="43062" xr:uid="{00000000-0005-0000-0000-000042830000}"/>
    <cellStyle name="Separador de milhares 3 4 2 8 2 2 5" xfId="36676" xr:uid="{00000000-0005-0000-0000-000043830000}"/>
    <cellStyle name="Separador de milhares 3 4 2 8 2 3" xfId="25740" xr:uid="{00000000-0005-0000-0000-000044830000}"/>
    <cellStyle name="Separador de milhares 3 4 2 8 2 3 2" xfId="51924" xr:uid="{00000000-0005-0000-0000-000045830000}"/>
    <cellStyle name="Separador de milhares 3 4 2 8 2 4" xfId="19826" xr:uid="{00000000-0005-0000-0000-000046830000}"/>
    <cellStyle name="Separador de milhares 3 4 2 8 2 4 2" xfId="46016" xr:uid="{00000000-0005-0000-0000-000047830000}"/>
    <cellStyle name="Separador de milhares 3 4 2 8 2 5" xfId="13728" xr:uid="{00000000-0005-0000-0000-000048830000}"/>
    <cellStyle name="Separador de milhares 3 4 2 8 2 5 2" xfId="39921" xr:uid="{00000000-0005-0000-0000-000049830000}"/>
    <cellStyle name="Separador de milhares 3 4 2 8 2 6" xfId="33535" xr:uid="{00000000-0005-0000-0000-00004A830000}"/>
    <cellStyle name="Separador de milhares 3 4 2 8 3" xfId="9015" xr:uid="{00000000-0005-0000-0000-00004B830000}"/>
    <cellStyle name="Separador de milhares 3 4 2 8 3 2" xfId="27229" xr:uid="{00000000-0005-0000-0000-00004C830000}"/>
    <cellStyle name="Separador de milhares 3 4 2 8 3 2 2" xfId="53410" xr:uid="{00000000-0005-0000-0000-00004D830000}"/>
    <cellStyle name="Separador de milhares 3 4 2 8 3 3" xfId="21315" xr:uid="{00000000-0005-0000-0000-00004E830000}"/>
    <cellStyle name="Separador de milhares 3 4 2 8 3 3 2" xfId="47502" xr:uid="{00000000-0005-0000-0000-00004F830000}"/>
    <cellStyle name="Separador de milhares 3 4 2 8 3 4" xfId="15401" xr:uid="{00000000-0005-0000-0000-000050830000}"/>
    <cellStyle name="Separador de milhares 3 4 2 8 3 4 2" xfId="41594" xr:uid="{00000000-0005-0000-0000-000051830000}"/>
    <cellStyle name="Separador de milhares 3 4 2 8 3 5" xfId="35208" xr:uid="{00000000-0005-0000-0000-000052830000}"/>
    <cellStyle name="Separador de milhares 3 4 2 8 4" xfId="5640" xr:uid="{00000000-0005-0000-0000-000053830000}"/>
    <cellStyle name="Separador de milhares 3 4 2 8 4 2" xfId="24272" xr:uid="{00000000-0005-0000-0000-000054830000}"/>
    <cellStyle name="Separador de milhares 3 4 2 8 4 2 2" xfId="50456" xr:uid="{00000000-0005-0000-0000-000055830000}"/>
    <cellStyle name="Separador de milhares 3 4 2 8 4 3" xfId="31836" xr:uid="{00000000-0005-0000-0000-000056830000}"/>
    <cellStyle name="Separador de milhares 3 4 2 8 5" xfId="18358" xr:uid="{00000000-0005-0000-0000-000057830000}"/>
    <cellStyle name="Separador de milhares 3 4 2 8 5 2" xfId="44548" xr:uid="{00000000-0005-0000-0000-000058830000}"/>
    <cellStyle name="Separador de milhares 3 4 2 8 6" xfId="12027" xr:uid="{00000000-0005-0000-0000-000059830000}"/>
    <cellStyle name="Separador de milhares 3 4 2 8 6 2" xfId="38220" xr:uid="{00000000-0005-0000-0000-00005A830000}"/>
    <cellStyle name="Separador de milhares 3 4 2 8 7" xfId="30138" xr:uid="{00000000-0005-0000-0000-00005B830000}"/>
    <cellStyle name="Separador de milhares 3 4 2 9" xfId="3784" xr:uid="{00000000-0005-0000-0000-00005C830000}"/>
    <cellStyle name="Separador de milhares 3 4 2 9 2" xfId="7486" xr:uid="{00000000-0005-0000-0000-00005D830000}"/>
    <cellStyle name="Separador de milhares 3 4 2 9 2 2" xfId="10630" xr:uid="{00000000-0005-0000-0000-00005E830000}"/>
    <cellStyle name="Separador de milhares 3 4 2 9 2 2 2" xfId="28844" xr:uid="{00000000-0005-0000-0000-00005F830000}"/>
    <cellStyle name="Separador de milhares 3 4 2 9 2 2 2 2" xfId="55025" xr:uid="{00000000-0005-0000-0000-000060830000}"/>
    <cellStyle name="Separador de milhares 3 4 2 9 2 2 3" xfId="22930" xr:uid="{00000000-0005-0000-0000-000061830000}"/>
    <cellStyle name="Separador de milhares 3 4 2 9 2 2 3 2" xfId="49117" xr:uid="{00000000-0005-0000-0000-000062830000}"/>
    <cellStyle name="Separador de milhares 3 4 2 9 2 2 4" xfId="17016" xr:uid="{00000000-0005-0000-0000-000063830000}"/>
    <cellStyle name="Separador de milhares 3 4 2 9 2 2 4 2" xfId="43209" xr:uid="{00000000-0005-0000-0000-000064830000}"/>
    <cellStyle name="Separador de milhares 3 4 2 9 2 2 5" xfId="36823" xr:uid="{00000000-0005-0000-0000-000065830000}"/>
    <cellStyle name="Separador de milhares 3 4 2 9 2 3" xfId="25887" xr:uid="{00000000-0005-0000-0000-000066830000}"/>
    <cellStyle name="Separador de milhares 3 4 2 9 2 3 2" xfId="52071" xr:uid="{00000000-0005-0000-0000-000067830000}"/>
    <cellStyle name="Separador de milhares 3 4 2 9 2 4" xfId="19973" xr:uid="{00000000-0005-0000-0000-000068830000}"/>
    <cellStyle name="Separador de milhares 3 4 2 9 2 4 2" xfId="46163" xr:uid="{00000000-0005-0000-0000-000069830000}"/>
    <cellStyle name="Separador de milhares 3 4 2 9 2 5" xfId="13875" xr:uid="{00000000-0005-0000-0000-00006A830000}"/>
    <cellStyle name="Separador de milhares 3 4 2 9 2 5 2" xfId="40068" xr:uid="{00000000-0005-0000-0000-00006B830000}"/>
    <cellStyle name="Separador de milhares 3 4 2 9 2 6" xfId="33682" xr:uid="{00000000-0005-0000-0000-00006C830000}"/>
    <cellStyle name="Separador de milhares 3 4 2 9 3" xfId="9162" xr:uid="{00000000-0005-0000-0000-00006D830000}"/>
    <cellStyle name="Separador de milhares 3 4 2 9 3 2" xfId="27376" xr:uid="{00000000-0005-0000-0000-00006E830000}"/>
    <cellStyle name="Separador de milhares 3 4 2 9 3 2 2" xfId="53557" xr:uid="{00000000-0005-0000-0000-00006F830000}"/>
    <cellStyle name="Separador de milhares 3 4 2 9 3 3" xfId="21462" xr:uid="{00000000-0005-0000-0000-000070830000}"/>
    <cellStyle name="Separador de milhares 3 4 2 9 3 3 2" xfId="47649" xr:uid="{00000000-0005-0000-0000-000071830000}"/>
    <cellStyle name="Separador de milhares 3 4 2 9 3 4" xfId="15548" xr:uid="{00000000-0005-0000-0000-000072830000}"/>
    <cellStyle name="Separador de milhares 3 4 2 9 3 4 2" xfId="41741" xr:uid="{00000000-0005-0000-0000-000073830000}"/>
    <cellStyle name="Separador de milhares 3 4 2 9 3 5" xfId="35355" xr:uid="{00000000-0005-0000-0000-000074830000}"/>
    <cellStyle name="Separador de milhares 3 4 2 9 4" xfId="5787" xr:uid="{00000000-0005-0000-0000-000075830000}"/>
    <cellStyle name="Separador de milhares 3 4 2 9 4 2" xfId="24419" xr:uid="{00000000-0005-0000-0000-000076830000}"/>
    <cellStyle name="Separador de milhares 3 4 2 9 4 2 2" xfId="50603" xr:uid="{00000000-0005-0000-0000-000077830000}"/>
    <cellStyle name="Separador de milhares 3 4 2 9 4 3" xfId="31983" xr:uid="{00000000-0005-0000-0000-000078830000}"/>
    <cellStyle name="Separador de milhares 3 4 2 9 5" xfId="18505" xr:uid="{00000000-0005-0000-0000-000079830000}"/>
    <cellStyle name="Separador de milhares 3 4 2 9 5 2" xfId="44695" xr:uid="{00000000-0005-0000-0000-00007A830000}"/>
    <cellStyle name="Separador de milhares 3 4 2 9 6" xfId="12174" xr:uid="{00000000-0005-0000-0000-00007B830000}"/>
    <cellStyle name="Separador de milhares 3 4 2 9 6 2" xfId="38367" xr:uid="{00000000-0005-0000-0000-00007C830000}"/>
    <cellStyle name="Separador de milhares 3 4 2 9 7" xfId="30285" xr:uid="{00000000-0005-0000-0000-00007D830000}"/>
    <cellStyle name="Separador de milhares 3 4 3" xfId="236" xr:uid="{00000000-0005-0000-0000-00007E830000}"/>
    <cellStyle name="Separador de milhares 3 4 3 10" xfId="6477" xr:uid="{00000000-0005-0000-0000-00007F830000}"/>
    <cellStyle name="Separador de milhares 3 4 3 10 2" xfId="9628" xr:uid="{00000000-0005-0000-0000-000080830000}"/>
    <cellStyle name="Separador de milhares 3 4 3 10 2 2" xfId="27842" xr:uid="{00000000-0005-0000-0000-000081830000}"/>
    <cellStyle name="Separador de milhares 3 4 3 10 2 2 2" xfId="54023" xr:uid="{00000000-0005-0000-0000-000082830000}"/>
    <cellStyle name="Separador de milhares 3 4 3 10 2 3" xfId="21928" xr:uid="{00000000-0005-0000-0000-000083830000}"/>
    <cellStyle name="Separador de milhares 3 4 3 10 2 3 2" xfId="48115" xr:uid="{00000000-0005-0000-0000-000084830000}"/>
    <cellStyle name="Separador de milhares 3 4 3 10 2 4" xfId="16014" xr:uid="{00000000-0005-0000-0000-000085830000}"/>
    <cellStyle name="Separador de milhares 3 4 3 10 2 4 2" xfId="42207" xr:uid="{00000000-0005-0000-0000-000086830000}"/>
    <cellStyle name="Separador de milhares 3 4 3 10 2 5" xfId="35821" xr:uid="{00000000-0005-0000-0000-000087830000}"/>
    <cellStyle name="Separador de milhares 3 4 3 10 3" xfId="24885" xr:uid="{00000000-0005-0000-0000-000088830000}"/>
    <cellStyle name="Separador de milhares 3 4 3 10 3 2" xfId="51069" xr:uid="{00000000-0005-0000-0000-000089830000}"/>
    <cellStyle name="Separador de milhares 3 4 3 10 4" xfId="18971" xr:uid="{00000000-0005-0000-0000-00008A830000}"/>
    <cellStyle name="Separador de milhares 3 4 3 10 4 2" xfId="45161" xr:uid="{00000000-0005-0000-0000-00008B830000}"/>
    <cellStyle name="Separador de milhares 3 4 3 10 5" xfId="12866" xr:uid="{00000000-0005-0000-0000-00008C830000}"/>
    <cellStyle name="Separador de milhares 3 4 3 10 5 2" xfId="39059" xr:uid="{00000000-0005-0000-0000-00008D830000}"/>
    <cellStyle name="Separador de milhares 3 4 3 10 6" xfId="32673" xr:uid="{00000000-0005-0000-0000-00008E830000}"/>
    <cellStyle name="Separador de milhares 3 4 3 11" xfId="8157" xr:uid="{00000000-0005-0000-0000-00008F830000}"/>
    <cellStyle name="Separador de milhares 3 4 3 11 2" xfId="26371" xr:uid="{00000000-0005-0000-0000-000090830000}"/>
    <cellStyle name="Separador de milhares 3 4 3 11 2 2" xfId="52555" xr:uid="{00000000-0005-0000-0000-000091830000}"/>
    <cellStyle name="Separador de milhares 3 4 3 11 3" xfId="20457" xr:uid="{00000000-0005-0000-0000-000092830000}"/>
    <cellStyle name="Separador de milhares 3 4 3 11 3 2" xfId="46647" xr:uid="{00000000-0005-0000-0000-000093830000}"/>
    <cellStyle name="Separador de milhares 3 4 3 11 4" xfId="14546" xr:uid="{00000000-0005-0000-0000-000094830000}"/>
    <cellStyle name="Separador de milhares 3 4 3 11 4 2" xfId="40739" xr:uid="{00000000-0005-0000-0000-000095830000}"/>
    <cellStyle name="Separador de milhares 3 4 3 11 5" xfId="34353" xr:uid="{00000000-0005-0000-0000-000096830000}"/>
    <cellStyle name="Separador de milhares 3 4 3 12" xfId="4776" xr:uid="{00000000-0005-0000-0000-000097830000}"/>
    <cellStyle name="Separador de milhares 3 4 3 12 2" xfId="23414" xr:uid="{00000000-0005-0000-0000-000098830000}"/>
    <cellStyle name="Separador de milhares 3 4 3 12 2 2" xfId="49601" xr:uid="{00000000-0005-0000-0000-000099830000}"/>
    <cellStyle name="Separador de milhares 3 4 3 12 3" xfId="30974" xr:uid="{00000000-0005-0000-0000-00009A830000}"/>
    <cellStyle name="Separador de milhares 3 4 3 13" xfId="17500" xr:uid="{00000000-0005-0000-0000-00009B830000}"/>
    <cellStyle name="Separador de milhares 3 4 3 13 2" xfId="43693" xr:uid="{00000000-0005-0000-0000-00009C830000}"/>
    <cellStyle name="Separador de milhares 3 4 3 14" xfId="11165" xr:uid="{00000000-0005-0000-0000-00009D830000}"/>
    <cellStyle name="Separador de milhares 3 4 3 14 2" xfId="37358" xr:uid="{00000000-0005-0000-0000-00009E830000}"/>
    <cellStyle name="Separador de milhares 3 4 3 15" xfId="29276" xr:uid="{00000000-0005-0000-0000-00009F830000}"/>
    <cellStyle name="Separador de milhares 3 4 3 2" xfId="499" xr:uid="{00000000-0005-0000-0000-0000A0830000}"/>
    <cellStyle name="Separador de milhares 3 4 3 2 2" xfId="6548" xr:uid="{00000000-0005-0000-0000-0000A1830000}"/>
    <cellStyle name="Separador de milhares 3 4 3 2 2 2" xfId="9695" xr:uid="{00000000-0005-0000-0000-0000A2830000}"/>
    <cellStyle name="Separador de milhares 3 4 3 2 2 2 2" xfId="27909" xr:uid="{00000000-0005-0000-0000-0000A3830000}"/>
    <cellStyle name="Separador de milhares 3 4 3 2 2 2 2 2" xfId="54090" xr:uid="{00000000-0005-0000-0000-0000A4830000}"/>
    <cellStyle name="Separador de milhares 3 4 3 2 2 2 3" xfId="21995" xr:uid="{00000000-0005-0000-0000-0000A5830000}"/>
    <cellStyle name="Separador de milhares 3 4 3 2 2 2 3 2" xfId="48182" xr:uid="{00000000-0005-0000-0000-0000A6830000}"/>
    <cellStyle name="Separador de milhares 3 4 3 2 2 2 4" xfId="16081" xr:uid="{00000000-0005-0000-0000-0000A7830000}"/>
    <cellStyle name="Separador de milhares 3 4 3 2 2 2 4 2" xfId="42274" xr:uid="{00000000-0005-0000-0000-0000A8830000}"/>
    <cellStyle name="Separador de milhares 3 4 3 2 2 2 5" xfId="35888" xr:uid="{00000000-0005-0000-0000-0000A9830000}"/>
    <cellStyle name="Separador de milhares 3 4 3 2 2 3" xfId="24952" xr:uid="{00000000-0005-0000-0000-0000AA830000}"/>
    <cellStyle name="Separador de milhares 3 4 3 2 2 3 2" xfId="51136" xr:uid="{00000000-0005-0000-0000-0000AB830000}"/>
    <cellStyle name="Separador de milhares 3 4 3 2 2 4" xfId="19038" xr:uid="{00000000-0005-0000-0000-0000AC830000}"/>
    <cellStyle name="Separador de milhares 3 4 3 2 2 4 2" xfId="45228" xr:uid="{00000000-0005-0000-0000-0000AD830000}"/>
    <cellStyle name="Separador de milhares 3 4 3 2 2 5" xfId="12937" xr:uid="{00000000-0005-0000-0000-0000AE830000}"/>
    <cellStyle name="Separador de milhares 3 4 3 2 2 5 2" xfId="39130" xr:uid="{00000000-0005-0000-0000-0000AF830000}"/>
    <cellStyle name="Separador de milhares 3 4 3 2 2 6" xfId="32744" xr:uid="{00000000-0005-0000-0000-0000B0830000}"/>
    <cellStyle name="Separador de milhares 3 4 3 2 3" xfId="8224" xr:uid="{00000000-0005-0000-0000-0000B1830000}"/>
    <cellStyle name="Separador de milhares 3 4 3 2 3 2" xfId="26438" xr:uid="{00000000-0005-0000-0000-0000B2830000}"/>
    <cellStyle name="Separador de milhares 3 4 3 2 3 2 2" xfId="52622" xr:uid="{00000000-0005-0000-0000-0000B3830000}"/>
    <cellStyle name="Separador de milhares 3 4 3 2 3 3" xfId="20524" xr:uid="{00000000-0005-0000-0000-0000B4830000}"/>
    <cellStyle name="Separador de milhares 3 4 3 2 3 3 2" xfId="46714" xr:uid="{00000000-0005-0000-0000-0000B5830000}"/>
    <cellStyle name="Separador de milhares 3 4 3 2 3 4" xfId="14613" xr:uid="{00000000-0005-0000-0000-0000B6830000}"/>
    <cellStyle name="Separador de milhares 3 4 3 2 3 4 2" xfId="40806" xr:uid="{00000000-0005-0000-0000-0000B7830000}"/>
    <cellStyle name="Separador de milhares 3 4 3 2 3 5" xfId="34420" xr:uid="{00000000-0005-0000-0000-0000B8830000}"/>
    <cellStyle name="Separador de milhares 3 4 3 2 4" xfId="4847" xr:uid="{00000000-0005-0000-0000-0000B9830000}"/>
    <cellStyle name="Separador de milhares 3 4 3 2 4 2" xfId="23481" xr:uid="{00000000-0005-0000-0000-0000BA830000}"/>
    <cellStyle name="Separador de milhares 3 4 3 2 4 2 2" xfId="49668" xr:uid="{00000000-0005-0000-0000-0000BB830000}"/>
    <cellStyle name="Separador de milhares 3 4 3 2 4 3" xfId="31045" xr:uid="{00000000-0005-0000-0000-0000BC830000}"/>
    <cellStyle name="Separador de milhares 3 4 3 2 5" xfId="17567" xr:uid="{00000000-0005-0000-0000-0000BD830000}"/>
    <cellStyle name="Separador de milhares 3 4 3 2 5 2" xfId="43760" xr:uid="{00000000-0005-0000-0000-0000BE830000}"/>
    <cellStyle name="Separador de milhares 3 4 3 2 6" xfId="11236" xr:uid="{00000000-0005-0000-0000-0000BF830000}"/>
    <cellStyle name="Separador de milhares 3 4 3 2 6 2" xfId="37429" xr:uid="{00000000-0005-0000-0000-0000C0830000}"/>
    <cellStyle name="Separador de milhares 3 4 3 2 7" xfId="29347" xr:uid="{00000000-0005-0000-0000-0000C1830000}"/>
    <cellStyle name="Separador de milhares 3 4 3 3" xfId="796" xr:uid="{00000000-0005-0000-0000-0000C2830000}"/>
    <cellStyle name="Separador de milhares 3 4 3 3 2" xfId="6650" xr:uid="{00000000-0005-0000-0000-0000C3830000}"/>
    <cellStyle name="Separador de milhares 3 4 3 3 2 2" xfId="9797" xr:uid="{00000000-0005-0000-0000-0000C4830000}"/>
    <cellStyle name="Separador de milhares 3 4 3 3 2 2 2" xfId="28011" xr:uid="{00000000-0005-0000-0000-0000C5830000}"/>
    <cellStyle name="Separador de milhares 3 4 3 3 2 2 2 2" xfId="54192" xr:uid="{00000000-0005-0000-0000-0000C6830000}"/>
    <cellStyle name="Separador de milhares 3 4 3 3 2 2 3" xfId="22097" xr:uid="{00000000-0005-0000-0000-0000C7830000}"/>
    <cellStyle name="Separador de milhares 3 4 3 3 2 2 3 2" xfId="48284" xr:uid="{00000000-0005-0000-0000-0000C8830000}"/>
    <cellStyle name="Separador de milhares 3 4 3 3 2 2 4" xfId="16183" xr:uid="{00000000-0005-0000-0000-0000C9830000}"/>
    <cellStyle name="Separador de milhares 3 4 3 3 2 2 4 2" xfId="42376" xr:uid="{00000000-0005-0000-0000-0000CA830000}"/>
    <cellStyle name="Separador de milhares 3 4 3 3 2 2 5" xfId="35990" xr:uid="{00000000-0005-0000-0000-0000CB830000}"/>
    <cellStyle name="Separador de milhares 3 4 3 3 2 3" xfId="25054" xr:uid="{00000000-0005-0000-0000-0000CC830000}"/>
    <cellStyle name="Separador de milhares 3 4 3 3 2 3 2" xfId="51238" xr:uid="{00000000-0005-0000-0000-0000CD830000}"/>
    <cellStyle name="Separador de milhares 3 4 3 3 2 4" xfId="19140" xr:uid="{00000000-0005-0000-0000-0000CE830000}"/>
    <cellStyle name="Separador de milhares 3 4 3 3 2 4 2" xfId="45330" xr:uid="{00000000-0005-0000-0000-0000CF830000}"/>
    <cellStyle name="Separador de milhares 3 4 3 3 2 5" xfId="13039" xr:uid="{00000000-0005-0000-0000-0000D0830000}"/>
    <cellStyle name="Separador de milhares 3 4 3 3 2 5 2" xfId="39232" xr:uid="{00000000-0005-0000-0000-0000D1830000}"/>
    <cellStyle name="Separador de milhares 3 4 3 3 2 6" xfId="32846" xr:uid="{00000000-0005-0000-0000-0000D2830000}"/>
    <cellStyle name="Separador de milhares 3 4 3 3 3" xfId="8329" xr:uid="{00000000-0005-0000-0000-0000D3830000}"/>
    <cellStyle name="Separador de milhares 3 4 3 3 3 2" xfId="26543" xr:uid="{00000000-0005-0000-0000-0000D4830000}"/>
    <cellStyle name="Separador de milhares 3 4 3 3 3 2 2" xfId="52724" xr:uid="{00000000-0005-0000-0000-0000D5830000}"/>
    <cellStyle name="Separador de milhares 3 4 3 3 3 3" xfId="20629" xr:uid="{00000000-0005-0000-0000-0000D6830000}"/>
    <cellStyle name="Separador de milhares 3 4 3 3 3 3 2" xfId="46816" xr:uid="{00000000-0005-0000-0000-0000D7830000}"/>
    <cellStyle name="Separador de milhares 3 4 3 3 3 4" xfId="14715" xr:uid="{00000000-0005-0000-0000-0000D8830000}"/>
    <cellStyle name="Separador de milhares 3 4 3 3 3 4 2" xfId="40908" xr:uid="{00000000-0005-0000-0000-0000D9830000}"/>
    <cellStyle name="Separador de milhares 3 4 3 3 3 5" xfId="34522" xr:uid="{00000000-0005-0000-0000-0000DA830000}"/>
    <cellStyle name="Separador de milhares 3 4 3 3 4" xfId="4951" xr:uid="{00000000-0005-0000-0000-0000DB830000}"/>
    <cellStyle name="Separador de milhares 3 4 3 3 4 2" xfId="23586" xr:uid="{00000000-0005-0000-0000-0000DC830000}"/>
    <cellStyle name="Separador de milhares 3 4 3 3 4 2 2" xfId="49770" xr:uid="{00000000-0005-0000-0000-0000DD830000}"/>
    <cellStyle name="Separador de milhares 3 4 3 3 4 3" xfId="31147" xr:uid="{00000000-0005-0000-0000-0000DE830000}"/>
    <cellStyle name="Separador de milhares 3 4 3 3 5" xfId="17672" xr:uid="{00000000-0005-0000-0000-0000DF830000}"/>
    <cellStyle name="Separador de milhares 3 4 3 3 5 2" xfId="43862" xr:uid="{00000000-0005-0000-0000-0000E0830000}"/>
    <cellStyle name="Separador de milhares 3 4 3 3 6" xfId="11338" xr:uid="{00000000-0005-0000-0000-0000E1830000}"/>
    <cellStyle name="Separador de milhares 3 4 3 3 6 2" xfId="37531" xr:uid="{00000000-0005-0000-0000-0000E2830000}"/>
    <cellStyle name="Separador de milhares 3 4 3 3 7" xfId="29449" xr:uid="{00000000-0005-0000-0000-0000E3830000}"/>
    <cellStyle name="Separador de milhares 3 4 3 4" xfId="1147" xr:uid="{00000000-0005-0000-0000-0000E4830000}"/>
    <cellStyle name="Separador de milhares 3 4 3 4 2" xfId="6748" xr:uid="{00000000-0005-0000-0000-0000E5830000}"/>
    <cellStyle name="Separador de milhares 3 4 3 4 2 2" xfId="9895" xr:uid="{00000000-0005-0000-0000-0000E6830000}"/>
    <cellStyle name="Separador de milhares 3 4 3 4 2 2 2" xfId="28109" xr:uid="{00000000-0005-0000-0000-0000E7830000}"/>
    <cellStyle name="Separador de milhares 3 4 3 4 2 2 2 2" xfId="54290" xr:uid="{00000000-0005-0000-0000-0000E8830000}"/>
    <cellStyle name="Separador de milhares 3 4 3 4 2 2 3" xfId="22195" xr:uid="{00000000-0005-0000-0000-0000E9830000}"/>
    <cellStyle name="Separador de milhares 3 4 3 4 2 2 3 2" xfId="48382" xr:uid="{00000000-0005-0000-0000-0000EA830000}"/>
    <cellStyle name="Separador de milhares 3 4 3 4 2 2 4" xfId="16281" xr:uid="{00000000-0005-0000-0000-0000EB830000}"/>
    <cellStyle name="Separador de milhares 3 4 3 4 2 2 4 2" xfId="42474" xr:uid="{00000000-0005-0000-0000-0000EC830000}"/>
    <cellStyle name="Separador de milhares 3 4 3 4 2 2 5" xfId="36088" xr:uid="{00000000-0005-0000-0000-0000ED830000}"/>
    <cellStyle name="Separador de milhares 3 4 3 4 2 3" xfId="25152" xr:uid="{00000000-0005-0000-0000-0000EE830000}"/>
    <cellStyle name="Separador de milhares 3 4 3 4 2 3 2" xfId="51336" xr:uid="{00000000-0005-0000-0000-0000EF830000}"/>
    <cellStyle name="Separador de milhares 3 4 3 4 2 4" xfId="19238" xr:uid="{00000000-0005-0000-0000-0000F0830000}"/>
    <cellStyle name="Separador de milhares 3 4 3 4 2 4 2" xfId="45428" xr:uid="{00000000-0005-0000-0000-0000F1830000}"/>
    <cellStyle name="Separador de milhares 3 4 3 4 2 5" xfId="13137" xr:uid="{00000000-0005-0000-0000-0000F2830000}"/>
    <cellStyle name="Separador de milhares 3 4 3 4 2 5 2" xfId="39330" xr:uid="{00000000-0005-0000-0000-0000F3830000}"/>
    <cellStyle name="Separador de milhares 3 4 3 4 2 6" xfId="32944" xr:uid="{00000000-0005-0000-0000-0000F4830000}"/>
    <cellStyle name="Separador de milhares 3 4 3 4 3" xfId="8427" xr:uid="{00000000-0005-0000-0000-0000F5830000}"/>
    <cellStyle name="Separador de milhares 3 4 3 4 3 2" xfId="26641" xr:uid="{00000000-0005-0000-0000-0000F6830000}"/>
    <cellStyle name="Separador de milhares 3 4 3 4 3 2 2" xfId="52822" xr:uid="{00000000-0005-0000-0000-0000F7830000}"/>
    <cellStyle name="Separador de milhares 3 4 3 4 3 3" xfId="20727" xr:uid="{00000000-0005-0000-0000-0000F8830000}"/>
    <cellStyle name="Separador de milhares 3 4 3 4 3 3 2" xfId="46914" xr:uid="{00000000-0005-0000-0000-0000F9830000}"/>
    <cellStyle name="Separador de milhares 3 4 3 4 3 4" xfId="14813" xr:uid="{00000000-0005-0000-0000-0000FA830000}"/>
    <cellStyle name="Separador de milhares 3 4 3 4 3 4 2" xfId="41006" xr:uid="{00000000-0005-0000-0000-0000FB830000}"/>
    <cellStyle name="Separador de milhares 3 4 3 4 3 5" xfId="34620" xr:uid="{00000000-0005-0000-0000-0000FC830000}"/>
    <cellStyle name="Separador de milhares 3 4 3 4 4" xfId="5049" xr:uid="{00000000-0005-0000-0000-0000FD830000}"/>
    <cellStyle name="Separador de milhares 3 4 3 4 4 2" xfId="23684" xr:uid="{00000000-0005-0000-0000-0000FE830000}"/>
    <cellStyle name="Separador de milhares 3 4 3 4 4 2 2" xfId="49868" xr:uid="{00000000-0005-0000-0000-0000FF830000}"/>
    <cellStyle name="Separador de milhares 3 4 3 4 4 3" xfId="31245" xr:uid="{00000000-0005-0000-0000-000000840000}"/>
    <cellStyle name="Separador de milhares 3 4 3 4 5" xfId="17770" xr:uid="{00000000-0005-0000-0000-000001840000}"/>
    <cellStyle name="Separador de milhares 3 4 3 4 5 2" xfId="43960" xr:uid="{00000000-0005-0000-0000-000002840000}"/>
    <cellStyle name="Separador de milhares 3 4 3 4 6" xfId="11436" xr:uid="{00000000-0005-0000-0000-000003840000}"/>
    <cellStyle name="Separador de milhares 3 4 3 4 6 2" xfId="37629" xr:uid="{00000000-0005-0000-0000-000004840000}"/>
    <cellStyle name="Separador de milhares 3 4 3 4 7" xfId="29547" xr:uid="{00000000-0005-0000-0000-000005840000}"/>
    <cellStyle name="Separador de milhares 3 4 3 5" xfId="1582" xr:uid="{00000000-0005-0000-0000-000006840000}"/>
    <cellStyle name="Separador de milhares 3 4 3 5 2" xfId="6867" xr:uid="{00000000-0005-0000-0000-000007840000}"/>
    <cellStyle name="Separador de milhares 3 4 3 5 2 2" xfId="10014" xr:uid="{00000000-0005-0000-0000-000008840000}"/>
    <cellStyle name="Separador de milhares 3 4 3 5 2 2 2" xfId="28228" xr:uid="{00000000-0005-0000-0000-000009840000}"/>
    <cellStyle name="Separador de milhares 3 4 3 5 2 2 2 2" xfId="54409" xr:uid="{00000000-0005-0000-0000-00000A840000}"/>
    <cellStyle name="Separador de milhares 3 4 3 5 2 2 3" xfId="22314" xr:uid="{00000000-0005-0000-0000-00000B840000}"/>
    <cellStyle name="Separador de milhares 3 4 3 5 2 2 3 2" xfId="48501" xr:uid="{00000000-0005-0000-0000-00000C840000}"/>
    <cellStyle name="Separador de milhares 3 4 3 5 2 2 4" xfId="16400" xr:uid="{00000000-0005-0000-0000-00000D840000}"/>
    <cellStyle name="Separador de milhares 3 4 3 5 2 2 4 2" xfId="42593" xr:uid="{00000000-0005-0000-0000-00000E840000}"/>
    <cellStyle name="Separador de milhares 3 4 3 5 2 2 5" xfId="36207" xr:uid="{00000000-0005-0000-0000-00000F840000}"/>
    <cellStyle name="Separador de milhares 3 4 3 5 2 3" xfId="25271" xr:uid="{00000000-0005-0000-0000-000010840000}"/>
    <cellStyle name="Separador de milhares 3 4 3 5 2 3 2" xfId="51455" xr:uid="{00000000-0005-0000-0000-000011840000}"/>
    <cellStyle name="Separador de milhares 3 4 3 5 2 4" xfId="19357" xr:uid="{00000000-0005-0000-0000-000012840000}"/>
    <cellStyle name="Separador de milhares 3 4 3 5 2 4 2" xfId="45547" xr:uid="{00000000-0005-0000-0000-000013840000}"/>
    <cellStyle name="Separador de milhares 3 4 3 5 2 5" xfId="13256" xr:uid="{00000000-0005-0000-0000-000014840000}"/>
    <cellStyle name="Separador de milhares 3 4 3 5 2 5 2" xfId="39449" xr:uid="{00000000-0005-0000-0000-000015840000}"/>
    <cellStyle name="Separador de milhares 3 4 3 5 2 6" xfId="33063" xr:uid="{00000000-0005-0000-0000-000016840000}"/>
    <cellStyle name="Separador de milhares 3 4 3 5 3" xfId="8546" xr:uid="{00000000-0005-0000-0000-000017840000}"/>
    <cellStyle name="Separador de milhares 3 4 3 5 3 2" xfId="26760" xr:uid="{00000000-0005-0000-0000-000018840000}"/>
    <cellStyle name="Separador de milhares 3 4 3 5 3 2 2" xfId="52941" xr:uid="{00000000-0005-0000-0000-000019840000}"/>
    <cellStyle name="Separador de milhares 3 4 3 5 3 3" xfId="20846" xr:uid="{00000000-0005-0000-0000-00001A840000}"/>
    <cellStyle name="Separador de milhares 3 4 3 5 3 3 2" xfId="47033" xr:uid="{00000000-0005-0000-0000-00001B840000}"/>
    <cellStyle name="Separador de milhares 3 4 3 5 3 4" xfId="14932" xr:uid="{00000000-0005-0000-0000-00001C840000}"/>
    <cellStyle name="Separador de milhares 3 4 3 5 3 4 2" xfId="41125" xr:uid="{00000000-0005-0000-0000-00001D840000}"/>
    <cellStyle name="Separador de milhares 3 4 3 5 3 5" xfId="34739" xr:uid="{00000000-0005-0000-0000-00001E840000}"/>
    <cellStyle name="Separador de milhares 3 4 3 5 4" xfId="5168" xr:uid="{00000000-0005-0000-0000-00001F840000}"/>
    <cellStyle name="Separador de milhares 3 4 3 5 4 2" xfId="23803" xr:uid="{00000000-0005-0000-0000-000020840000}"/>
    <cellStyle name="Separador de milhares 3 4 3 5 4 2 2" xfId="49987" xr:uid="{00000000-0005-0000-0000-000021840000}"/>
    <cellStyle name="Separador de milhares 3 4 3 5 4 3" xfId="31364" xr:uid="{00000000-0005-0000-0000-000022840000}"/>
    <cellStyle name="Separador de milhares 3 4 3 5 5" xfId="17889" xr:uid="{00000000-0005-0000-0000-000023840000}"/>
    <cellStyle name="Separador de milhares 3 4 3 5 5 2" xfId="44079" xr:uid="{00000000-0005-0000-0000-000024840000}"/>
    <cellStyle name="Separador de milhares 3 4 3 5 6" xfId="11555" xr:uid="{00000000-0005-0000-0000-000025840000}"/>
    <cellStyle name="Separador de milhares 3 4 3 5 6 2" xfId="37748" xr:uid="{00000000-0005-0000-0000-000026840000}"/>
    <cellStyle name="Separador de milhares 3 4 3 5 7" xfId="29666" xr:uid="{00000000-0005-0000-0000-000027840000}"/>
    <cellStyle name="Separador de milhares 3 4 3 6" xfId="2112" xr:uid="{00000000-0005-0000-0000-000028840000}"/>
    <cellStyle name="Separador de milhares 3 4 3 6 2" xfId="7017" xr:uid="{00000000-0005-0000-0000-000029840000}"/>
    <cellStyle name="Separador de milhares 3 4 3 6 2 2" xfId="10161" xr:uid="{00000000-0005-0000-0000-00002A840000}"/>
    <cellStyle name="Separador de milhares 3 4 3 6 2 2 2" xfId="28375" xr:uid="{00000000-0005-0000-0000-00002B840000}"/>
    <cellStyle name="Separador de milhares 3 4 3 6 2 2 2 2" xfId="54556" xr:uid="{00000000-0005-0000-0000-00002C840000}"/>
    <cellStyle name="Separador de milhares 3 4 3 6 2 2 3" xfId="22461" xr:uid="{00000000-0005-0000-0000-00002D840000}"/>
    <cellStyle name="Separador de milhares 3 4 3 6 2 2 3 2" xfId="48648" xr:uid="{00000000-0005-0000-0000-00002E840000}"/>
    <cellStyle name="Separador de milhares 3 4 3 6 2 2 4" xfId="16547" xr:uid="{00000000-0005-0000-0000-00002F840000}"/>
    <cellStyle name="Separador de milhares 3 4 3 6 2 2 4 2" xfId="42740" xr:uid="{00000000-0005-0000-0000-000030840000}"/>
    <cellStyle name="Separador de milhares 3 4 3 6 2 2 5" xfId="36354" xr:uid="{00000000-0005-0000-0000-000031840000}"/>
    <cellStyle name="Separador de milhares 3 4 3 6 2 3" xfId="25418" xr:uid="{00000000-0005-0000-0000-000032840000}"/>
    <cellStyle name="Separador de milhares 3 4 3 6 2 3 2" xfId="51602" xr:uid="{00000000-0005-0000-0000-000033840000}"/>
    <cellStyle name="Separador de milhares 3 4 3 6 2 4" xfId="19504" xr:uid="{00000000-0005-0000-0000-000034840000}"/>
    <cellStyle name="Separador de milhares 3 4 3 6 2 4 2" xfId="45694" xr:uid="{00000000-0005-0000-0000-000035840000}"/>
    <cellStyle name="Separador de milhares 3 4 3 6 2 5" xfId="13406" xr:uid="{00000000-0005-0000-0000-000036840000}"/>
    <cellStyle name="Separador de milhares 3 4 3 6 2 5 2" xfId="39599" xr:uid="{00000000-0005-0000-0000-000037840000}"/>
    <cellStyle name="Separador de milhares 3 4 3 6 2 6" xfId="33213" xr:uid="{00000000-0005-0000-0000-000038840000}"/>
    <cellStyle name="Separador de milhares 3 4 3 6 3" xfId="8693" xr:uid="{00000000-0005-0000-0000-000039840000}"/>
    <cellStyle name="Separador de milhares 3 4 3 6 3 2" xfId="26907" xr:uid="{00000000-0005-0000-0000-00003A840000}"/>
    <cellStyle name="Separador de milhares 3 4 3 6 3 2 2" xfId="53088" xr:uid="{00000000-0005-0000-0000-00003B840000}"/>
    <cellStyle name="Separador de milhares 3 4 3 6 3 3" xfId="20993" xr:uid="{00000000-0005-0000-0000-00003C840000}"/>
    <cellStyle name="Separador de milhares 3 4 3 6 3 3 2" xfId="47180" xr:uid="{00000000-0005-0000-0000-00003D840000}"/>
    <cellStyle name="Separador de milhares 3 4 3 6 3 4" xfId="15079" xr:uid="{00000000-0005-0000-0000-00003E840000}"/>
    <cellStyle name="Separador de milhares 3 4 3 6 3 4 2" xfId="41272" xr:uid="{00000000-0005-0000-0000-00003F840000}"/>
    <cellStyle name="Separador de milhares 3 4 3 6 3 5" xfId="34886" xr:uid="{00000000-0005-0000-0000-000040840000}"/>
    <cellStyle name="Separador de milhares 3 4 3 6 4" xfId="5318" xr:uid="{00000000-0005-0000-0000-000041840000}"/>
    <cellStyle name="Separador de milhares 3 4 3 6 4 2" xfId="23950" xr:uid="{00000000-0005-0000-0000-000042840000}"/>
    <cellStyle name="Separador de milhares 3 4 3 6 4 2 2" xfId="50134" xr:uid="{00000000-0005-0000-0000-000043840000}"/>
    <cellStyle name="Separador de milhares 3 4 3 6 4 3" xfId="31514" xr:uid="{00000000-0005-0000-0000-000044840000}"/>
    <cellStyle name="Separador de milhares 3 4 3 6 5" xfId="18036" xr:uid="{00000000-0005-0000-0000-000045840000}"/>
    <cellStyle name="Separador de milhares 3 4 3 6 5 2" xfId="44226" xr:uid="{00000000-0005-0000-0000-000046840000}"/>
    <cellStyle name="Separador de milhares 3 4 3 6 6" xfId="11705" xr:uid="{00000000-0005-0000-0000-000047840000}"/>
    <cellStyle name="Separador de milhares 3 4 3 6 6 2" xfId="37898" xr:uid="{00000000-0005-0000-0000-000048840000}"/>
    <cellStyle name="Separador de milhares 3 4 3 6 7" xfId="29816" xr:uid="{00000000-0005-0000-0000-000049840000}"/>
    <cellStyle name="Separador de milhares 3 4 3 7" xfId="2639" xr:uid="{00000000-0005-0000-0000-00004A840000}"/>
    <cellStyle name="Separador de milhares 3 4 3 7 2" xfId="7164" xr:uid="{00000000-0005-0000-0000-00004B840000}"/>
    <cellStyle name="Separador de milhares 3 4 3 7 2 2" xfId="10308" xr:uid="{00000000-0005-0000-0000-00004C840000}"/>
    <cellStyle name="Separador de milhares 3 4 3 7 2 2 2" xfId="28522" xr:uid="{00000000-0005-0000-0000-00004D840000}"/>
    <cellStyle name="Separador de milhares 3 4 3 7 2 2 2 2" xfId="54703" xr:uid="{00000000-0005-0000-0000-00004E840000}"/>
    <cellStyle name="Separador de milhares 3 4 3 7 2 2 3" xfId="22608" xr:uid="{00000000-0005-0000-0000-00004F840000}"/>
    <cellStyle name="Separador de milhares 3 4 3 7 2 2 3 2" xfId="48795" xr:uid="{00000000-0005-0000-0000-000050840000}"/>
    <cellStyle name="Separador de milhares 3 4 3 7 2 2 4" xfId="16694" xr:uid="{00000000-0005-0000-0000-000051840000}"/>
    <cellStyle name="Separador de milhares 3 4 3 7 2 2 4 2" xfId="42887" xr:uid="{00000000-0005-0000-0000-000052840000}"/>
    <cellStyle name="Separador de milhares 3 4 3 7 2 2 5" xfId="36501" xr:uid="{00000000-0005-0000-0000-000053840000}"/>
    <cellStyle name="Separador de milhares 3 4 3 7 2 3" xfId="25565" xr:uid="{00000000-0005-0000-0000-000054840000}"/>
    <cellStyle name="Separador de milhares 3 4 3 7 2 3 2" xfId="51749" xr:uid="{00000000-0005-0000-0000-000055840000}"/>
    <cellStyle name="Separador de milhares 3 4 3 7 2 4" xfId="19651" xr:uid="{00000000-0005-0000-0000-000056840000}"/>
    <cellStyle name="Separador de milhares 3 4 3 7 2 4 2" xfId="45841" xr:uid="{00000000-0005-0000-0000-000057840000}"/>
    <cellStyle name="Separador de milhares 3 4 3 7 2 5" xfId="13553" xr:uid="{00000000-0005-0000-0000-000058840000}"/>
    <cellStyle name="Separador de milhares 3 4 3 7 2 5 2" xfId="39746" xr:uid="{00000000-0005-0000-0000-000059840000}"/>
    <cellStyle name="Separador de milhares 3 4 3 7 2 6" xfId="33360" xr:uid="{00000000-0005-0000-0000-00005A840000}"/>
    <cellStyle name="Separador de milhares 3 4 3 7 3" xfId="8840" xr:uid="{00000000-0005-0000-0000-00005B840000}"/>
    <cellStyle name="Separador de milhares 3 4 3 7 3 2" xfId="27054" xr:uid="{00000000-0005-0000-0000-00005C840000}"/>
    <cellStyle name="Separador de milhares 3 4 3 7 3 2 2" xfId="53235" xr:uid="{00000000-0005-0000-0000-00005D840000}"/>
    <cellStyle name="Separador de milhares 3 4 3 7 3 3" xfId="21140" xr:uid="{00000000-0005-0000-0000-00005E840000}"/>
    <cellStyle name="Separador de milhares 3 4 3 7 3 3 2" xfId="47327" xr:uid="{00000000-0005-0000-0000-00005F840000}"/>
    <cellStyle name="Separador de milhares 3 4 3 7 3 4" xfId="15226" xr:uid="{00000000-0005-0000-0000-000060840000}"/>
    <cellStyle name="Separador de milhares 3 4 3 7 3 4 2" xfId="41419" xr:uid="{00000000-0005-0000-0000-000061840000}"/>
    <cellStyle name="Separador de milhares 3 4 3 7 3 5" xfId="35033" xr:uid="{00000000-0005-0000-0000-000062840000}"/>
    <cellStyle name="Separador de milhares 3 4 3 7 4" xfId="5465" xr:uid="{00000000-0005-0000-0000-000063840000}"/>
    <cellStyle name="Separador de milhares 3 4 3 7 4 2" xfId="24097" xr:uid="{00000000-0005-0000-0000-000064840000}"/>
    <cellStyle name="Separador de milhares 3 4 3 7 4 2 2" xfId="50281" xr:uid="{00000000-0005-0000-0000-000065840000}"/>
    <cellStyle name="Separador de milhares 3 4 3 7 4 3" xfId="31661" xr:uid="{00000000-0005-0000-0000-000066840000}"/>
    <cellStyle name="Separador de milhares 3 4 3 7 5" xfId="18183" xr:uid="{00000000-0005-0000-0000-000067840000}"/>
    <cellStyle name="Separador de milhares 3 4 3 7 5 2" xfId="44373" xr:uid="{00000000-0005-0000-0000-000068840000}"/>
    <cellStyle name="Separador de milhares 3 4 3 7 6" xfId="11852" xr:uid="{00000000-0005-0000-0000-000069840000}"/>
    <cellStyle name="Separador de milhares 3 4 3 7 6 2" xfId="38045" xr:uid="{00000000-0005-0000-0000-00006A840000}"/>
    <cellStyle name="Separador de milhares 3 4 3 7 7" xfId="29963" xr:uid="{00000000-0005-0000-0000-00006B840000}"/>
    <cellStyle name="Separador de milhares 3 4 3 8" xfId="3166" xr:uid="{00000000-0005-0000-0000-00006C840000}"/>
    <cellStyle name="Separador de milhares 3 4 3 8 2" xfId="7311" xr:uid="{00000000-0005-0000-0000-00006D840000}"/>
    <cellStyle name="Separador de milhares 3 4 3 8 2 2" xfId="10455" xr:uid="{00000000-0005-0000-0000-00006E840000}"/>
    <cellStyle name="Separador de milhares 3 4 3 8 2 2 2" xfId="28669" xr:uid="{00000000-0005-0000-0000-00006F840000}"/>
    <cellStyle name="Separador de milhares 3 4 3 8 2 2 2 2" xfId="54850" xr:uid="{00000000-0005-0000-0000-000070840000}"/>
    <cellStyle name="Separador de milhares 3 4 3 8 2 2 3" xfId="22755" xr:uid="{00000000-0005-0000-0000-000071840000}"/>
    <cellStyle name="Separador de milhares 3 4 3 8 2 2 3 2" xfId="48942" xr:uid="{00000000-0005-0000-0000-000072840000}"/>
    <cellStyle name="Separador de milhares 3 4 3 8 2 2 4" xfId="16841" xr:uid="{00000000-0005-0000-0000-000073840000}"/>
    <cellStyle name="Separador de milhares 3 4 3 8 2 2 4 2" xfId="43034" xr:uid="{00000000-0005-0000-0000-000074840000}"/>
    <cellStyle name="Separador de milhares 3 4 3 8 2 2 5" xfId="36648" xr:uid="{00000000-0005-0000-0000-000075840000}"/>
    <cellStyle name="Separador de milhares 3 4 3 8 2 3" xfId="25712" xr:uid="{00000000-0005-0000-0000-000076840000}"/>
    <cellStyle name="Separador de milhares 3 4 3 8 2 3 2" xfId="51896" xr:uid="{00000000-0005-0000-0000-000077840000}"/>
    <cellStyle name="Separador de milhares 3 4 3 8 2 4" xfId="19798" xr:uid="{00000000-0005-0000-0000-000078840000}"/>
    <cellStyle name="Separador de milhares 3 4 3 8 2 4 2" xfId="45988" xr:uid="{00000000-0005-0000-0000-000079840000}"/>
    <cellStyle name="Separador de milhares 3 4 3 8 2 5" xfId="13700" xr:uid="{00000000-0005-0000-0000-00007A840000}"/>
    <cellStyle name="Separador de milhares 3 4 3 8 2 5 2" xfId="39893" xr:uid="{00000000-0005-0000-0000-00007B840000}"/>
    <cellStyle name="Separador de milhares 3 4 3 8 2 6" xfId="33507" xr:uid="{00000000-0005-0000-0000-00007C840000}"/>
    <cellStyle name="Separador de milhares 3 4 3 8 3" xfId="8987" xr:uid="{00000000-0005-0000-0000-00007D840000}"/>
    <cellStyle name="Separador de milhares 3 4 3 8 3 2" xfId="27201" xr:uid="{00000000-0005-0000-0000-00007E840000}"/>
    <cellStyle name="Separador de milhares 3 4 3 8 3 2 2" xfId="53382" xr:uid="{00000000-0005-0000-0000-00007F840000}"/>
    <cellStyle name="Separador de milhares 3 4 3 8 3 3" xfId="21287" xr:uid="{00000000-0005-0000-0000-000080840000}"/>
    <cellStyle name="Separador de milhares 3 4 3 8 3 3 2" xfId="47474" xr:uid="{00000000-0005-0000-0000-000081840000}"/>
    <cellStyle name="Separador de milhares 3 4 3 8 3 4" xfId="15373" xr:uid="{00000000-0005-0000-0000-000082840000}"/>
    <cellStyle name="Separador de milhares 3 4 3 8 3 4 2" xfId="41566" xr:uid="{00000000-0005-0000-0000-000083840000}"/>
    <cellStyle name="Separador de milhares 3 4 3 8 3 5" xfId="35180" xr:uid="{00000000-0005-0000-0000-000084840000}"/>
    <cellStyle name="Separador de milhares 3 4 3 8 4" xfId="5612" xr:uid="{00000000-0005-0000-0000-000085840000}"/>
    <cellStyle name="Separador de milhares 3 4 3 8 4 2" xfId="24244" xr:uid="{00000000-0005-0000-0000-000086840000}"/>
    <cellStyle name="Separador de milhares 3 4 3 8 4 2 2" xfId="50428" xr:uid="{00000000-0005-0000-0000-000087840000}"/>
    <cellStyle name="Separador de milhares 3 4 3 8 4 3" xfId="31808" xr:uid="{00000000-0005-0000-0000-000088840000}"/>
    <cellStyle name="Separador de milhares 3 4 3 8 5" xfId="18330" xr:uid="{00000000-0005-0000-0000-000089840000}"/>
    <cellStyle name="Separador de milhares 3 4 3 8 5 2" xfId="44520" xr:uid="{00000000-0005-0000-0000-00008A840000}"/>
    <cellStyle name="Separador de milhares 3 4 3 8 6" xfId="11999" xr:uid="{00000000-0005-0000-0000-00008B840000}"/>
    <cellStyle name="Separador de milhares 3 4 3 8 6 2" xfId="38192" xr:uid="{00000000-0005-0000-0000-00008C840000}"/>
    <cellStyle name="Separador de milhares 3 4 3 8 7" xfId="30110" xr:uid="{00000000-0005-0000-0000-00008D840000}"/>
    <cellStyle name="Separador de milhares 3 4 3 9" xfId="3693" xr:uid="{00000000-0005-0000-0000-00008E840000}"/>
    <cellStyle name="Separador de milhares 3 4 3 9 2" xfId="7458" xr:uid="{00000000-0005-0000-0000-00008F840000}"/>
    <cellStyle name="Separador de milhares 3 4 3 9 2 2" xfId="10602" xr:uid="{00000000-0005-0000-0000-000090840000}"/>
    <cellStyle name="Separador de milhares 3 4 3 9 2 2 2" xfId="28816" xr:uid="{00000000-0005-0000-0000-000091840000}"/>
    <cellStyle name="Separador de milhares 3 4 3 9 2 2 2 2" xfId="54997" xr:uid="{00000000-0005-0000-0000-000092840000}"/>
    <cellStyle name="Separador de milhares 3 4 3 9 2 2 3" xfId="22902" xr:uid="{00000000-0005-0000-0000-000093840000}"/>
    <cellStyle name="Separador de milhares 3 4 3 9 2 2 3 2" xfId="49089" xr:uid="{00000000-0005-0000-0000-000094840000}"/>
    <cellStyle name="Separador de milhares 3 4 3 9 2 2 4" xfId="16988" xr:uid="{00000000-0005-0000-0000-000095840000}"/>
    <cellStyle name="Separador de milhares 3 4 3 9 2 2 4 2" xfId="43181" xr:uid="{00000000-0005-0000-0000-000096840000}"/>
    <cellStyle name="Separador de milhares 3 4 3 9 2 2 5" xfId="36795" xr:uid="{00000000-0005-0000-0000-000097840000}"/>
    <cellStyle name="Separador de milhares 3 4 3 9 2 3" xfId="25859" xr:uid="{00000000-0005-0000-0000-000098840000}"/>
    <cellStyle name="Separador de milhares 3 4 3 9 2 3 2" xfId="52043" xr:uid="{00000000-0005-0000-0000-000099840000}"/>
    <cellStyle name="Separador de milhares 3 4 3 9 2 4" xfId="19945" xr:uid="{00000000-0005-0000-0000-00009A840000}"/>
    <cellStyle name="Separador de milhares 3 4 3 9 2 4 2" xfId="46135" xr:uid="{00000000-0005-0000-0000-00009B840000}"/>
    <cellStyle name="Separador de milhares 3 4 3 9 2 5" xfId="13847" xr:uid="{00000000-0005-0000-0000-00009C840000}"/>
    <cellStyle name="Separador de milhares 3 4 3 9 2 5 2" xfId="40040" xr:uid="{00000000-0005-0000-0000-00009D840000}"/>
    <cellStyle name="Separador de milhares 3 4 3 9 2 6" xfId="33654" xr:uid="{00000000-0005-0000-0000-00009E840000}"/>
    <cellStyle name="Separador de milhares 3 4 3 9 3" xfId="9134" xr:uid="{00000000-0005-0000-0000-00009F840000}"/>
    <cellStyle name="Separador de milhares 3 4 3 9 3 2" xfId="27348" xr:uid="{00000000-0005-0000-0000-0000A0840000}"/>
    <cellStyle name="Separador de milhares 3 4 3 9 3 2 2" xfId="53529" xr:uid="{00000000-0005-0000-0000-0000A1840000}"/>
    <cellStyle name="Separador de milhares 3 4 3 9 3 3" xfId="21434" xr:uid="{00000000-0005-0000-0000-0000A2840000}"/>
    <cellStyle name="Separador de milhares 3 4 3 9 3 3 2" xfId="47621" xr:uid="{00000000-0005-0000-0000-0000A3840000}"/>
    <cellStyle name="Separador de milhares 3 4 3 9 3 4" xfId="15520" xr:uid="{00000000-0005-0000-0000-0000A4840000}"/>
    <cellStyle name="Separador de milhares 3 4 3 9 3 4 2" xfId="41713" xr:uid="{00000000-0005-0000-0000-0000A5840000}"/>
    <cellStyle name="Separador de milhares 3 4 3 9 3 5" xfId="35327" xr:uid="{00000000-0005-0000-0000-0000A6840000}"/>
    <cellStyle name="Separador de milhares 3 4 3 9 4" xfId="5759" xr:uid="{00000000-0005-0000-0000-0000A7840000}"/>
    <cellStyle name="Separador de milhares 3 4 3 9 4 2" xfId="24391" xr:uid="{00000000-0005-0000-0000-0000A8840000}"/>
    <cellStyle name="Separador de milhares 3 4 3 9 4 2 2" xfId="50575" xr:uid="{00000000-0005-0000-0000-0000A9840000}"/>
    <cellStyle name="Separador de milhares 3 4 3 9 4 3" xfId="31955" xr:uid="{00000000-0005-0000-0000-0000AA840000}"/>
    <cellStyle name="Separador de milhares 3 4 3 9 5" xfId="18477" xr:uid="{00000000-0005-0000-0000-0000AB840000}"/>
    <cellStyle name="Separador de milhares 3 4 3 9 5 2" xfId="44667" xr:uid="{00000000-0005-0000-0000-0000AC840000}"/>
    <cellStyle name="Separador de milhares 3 4 3 9 6" xfId="12146" xr:uid="{00000000-0005-0000-0000-0000AD840000}"/>
    <cellStyle name="Separador de milhares 3 4 3 9 6 2" xfId="38339" xr:uid="{00000000-0005-0000-0000-0000AE840000}"/>
    <cellStyle name="Separador de milhares 3 4 3 9 7" xfId="30257" xr:uid="{00000000-0005-0000-0000-0000AF840000}"/>
    <cellStyle name="Separador de milhares 3 4 4" xfId="329" xr:uid="{00000000-0005-0000-0000-0000B0840000}"/>
    <cellStyle name="Separador de milhares 3 4 4 10" xfId="6505" xr:uid="{00000000-0005-0000-0000-0000B1840000}"/>
    <cellStyle name="Separador de milhares 3 4 4 10 2" xfId="9653" xr:uid="{00000000-0005-0000-0000-0000B2840000}"/>
    <cellStyle name="Separador de milhares 3 4 4 10 2 2" xfId="27867" xr:uid="{00000000-0005-0000-0000-0000B3840000}"/>
    <cellStyle name="Separador de milhares 3 4 4 10 2 2 2" xfId="54048" xr:uid="{00000000-0005-0000-0000-0000B4840000}"/>
    <cellStyle name="Separador de milhares 3 4 4 10 2 3" xfId="21953" xr:uid="{00000000-0005-0000-0000-0000B5840000}"/>
    <cellStyle name="Separador de milhares 3 4 4 10 2 3 2" xfId="48140" xr:uid="{00000000-0005-0000-0000-0000B6840000}"/>
    <cellStyle name="Separador de milhares 3 4 4 10 2 4" xfId="16039" xr:uid="{00000000-0005-0000-0000-0000B7840000}"/>
    <cellStyle name="Separador de milhares 3 4 4 10 2 4 2" xfId="42232" xr:uid="{00000000-0005-0000-0000-0000B8840000}"/>
    <cellStyle name="Separador de milhares 3 4 4 10 2 5" xfId="35846" xr:uid="{00000000-0005-0000-0000-0000B9840000}"/>
    <cellStyle name="Separador de milhares 3 4 4 10 3" xfId="24910" xr:uid="{00000000-0005-0000-0000-0000BA840000}"/>
    <cellStyle name="Separador de milhares 3 4 4 10 3 2" xfId="51094" xr:uid="{00000000-0005-0000-0000-0000BB840000}"/>
    <cellStyle name="Separador de milhares 3 4 4 10 4" xfId="18996" xr:uid="{00000000-0005-0000-0000-0000BC840000}"/>
    <cellStyle name="Separador de milhares 3 4 4 10 4 2" xfId="45186" xr:uid="{00000000-0005-0000-0000-0000BD840000}"/>
    <cellStyle name="Separador de milhares 3 4 4 10 5" xfId="12894" xr:uid="{00000000-0005-0000-0000-0000BE840000}"/>
    <cellStyle name="Separador de milhares 3 4 4 10 5 2" xfId="39087" xr:uid="{00000000-0005-0000-0000-0000BF840000}"/>
    <cellStyle name="Separador de milhares 3 4 4 10 6" xfId="32701" xr:uid="{00000000-0005-0000-0000-0000C0840000}"/>
    <cellStyle name="Separador de milhares 3 4 4 11" xfId="8182" xr:uid="{00000000-0005-0000-0000-0000C1840000}"/>
    <cellStyle name="Separador de milhares 3 4 4 11 2" xfId="26396" xr:uid="{00000000-0005-0000-0000-0000C2840000}"/>
    <cellStyle name="Separador de milhares 3 4 4 11 2 2" xfId="52580" xr:uid="{00000000-0005-0000-0000-0000C3840000}"/>
    <cellStyle name="Separador de milhares 3 4 4 11 3" xfId="20482" xr:uid="{00000000-0005-0000-0000-0000C4840000}"/>
    <cellStyle name="Separador de milhares 3 4 4 11 3 2" xfId="46672" xr:uid="{00000000-0005-0000-0000-0000C5840000}"/>
    <cellStyle name="Separador de milhares 3 4 4 11 4" xfId="14571" xr:uid="{00000000-0005-0000-0000-0000C6840000}"/>
    <cellStyle name="Separador de milhares 3 4 4 11 4 2" xfId="40764" xr:uid="{00000000-0005-0000-0000-0000C7840000}"/>
    <cellStyle name="Separador de milhares 3 4 4 11 5" xfId="34378" xr:uid="{00000000-0005-0000-0000-0000C8840000}"/>
    <cellStyle name="Separador de milhares 3 4 4 12" xfId="4804" xr:uid="{00000000-0005-0000-0000-0000C9840000}"/>
    <cellStyle name="Separador de milhares 3 4 4 12 2" xfId="23439" xr:uid="{00000000-0005-0000-0000-0000CA840000}"/>
    <cellStyle name="Separador de milhares 3 4 4 12 2 2" xfId="49626" xr:uid="{00000000-0005-0000-0000-0000CB840000}"/>
    <cellStyle name="Separador de milhares 3 4 4 12 3" xfId="31002" xr:uid="{00000000-0005-0000-0000-0000CC840000}"/>
    <cellStyle name="Separador de milhares 3 4 4 13" xfId="17525" xr:uid="{00000000-0005-0000-0000-0000CD840000}"/>
    <cellStyle name="Separador de milhares 3 4 4 13 2" xfId="43718" xr:uid="{00000000-0005-0000-0000-0000CE840000}"/>
    <cellStyle name="Separador de milhares 3 4 4 14" xfId="11193" xr:uid="{00000000-0005-0000-0000-0000CF840000}"/>
    <cellStyle name="Separador de milhares 3 4 4 14 2" xfId="37386" xr:uid="{00000000-0005-0000-0000-0000D0840000}"/>
    <cellStyle name="Separador de milhares 3 4 4 15" xfId="29304" xr:uid="{00000000-0005-0000-0000-0000D1840000}"/>
    <cellStyle name="Separador de milhares 3 4 4 2" xfId="974" xr:uid="{00000000-0005-0000-0000-0000D2840000}"/>
    <cellStyle name="Separador de milhares 3 4 4 2 2" xfId="6702" xr:uid="{00000000-0005-0000-0000-0000D3840000}"/>
    <cellStyle name="Separador de milhares 3 4 4 2 2 2" xfId="9849" xr:uid="{00000000-0005-0000-0000-0000D4840000}"/>
    <cellStyle name="Separador de milhares 3 4 4 2 2 2 2" xfId="28063" xr:uid="{00000000-0005-0000-0000-0000D5840000}"/>
    <cellStyle name="Separador de milhares 3 4 4 2 2 2 2 2" xfId="54244" xr:uid="{00000000-0005-0000-0000-0000D6840000}"/>
    <cellStyle name="Separador de milhares 3 4 4 2 2 2 3" xfId="22149" xr:uid="{00000000-0005-0000-0000-0000D7840000}"/>
    <cellStyle name="Separador de milhares 3 4 4 2 2 2 3 2" xfId="48336" xr:uid="{00000000-0005-0000-0000-0000D8840000}"/>
    <cellStyle name="Separador de milhares 3 4 4 2 2 2 4" xfId="16235" xr:uid="{00000000-0005-0000-0000-0000D9840000}"/>
    <cellStyle name="Separador de milhares 3 4 4 2 2 2 4 2" xfId="42428" xr:uid="{00000000-0005-0000-0000-0000DA840000}"/>
    <cellStyle name="Separador de milhares 3 4 4 2 2 2 5" xfId="36042" xr:uid="{00000000-0005-0000-0000-0000DB840000}"/>
    <cellStyle name="Separador de milhares 3 4 4 2 2 3" xfId="25106" xr:uid="{00000000-0005-0000-0000-0000DC840000}"/>
    <cellStyle name="Separador de milhares 3 4 4 2 2 3 2" xfId="51290" xr:uid="{00000000-0005-0000-0000-0000DD840000}"/>
    <cellStyle name="Separador de milhares 3 4 4 2 2 4" xfId="19192" xr:uid="{00000000-0005-0000-0000-0000DE840000}"/>
    <cellStyle name="Separador de milhares 3 4 4 2 2 4 2" xfId="45382" xr:uid="{00000000-0005-0000-0000-0000DF840000}"/>
    <cellStyle name="Separador de milhares 3 4 4 2 2 5" xfId="13091" xr:uid="{00000000-0005-0000-0000-0000E0840000}"/>
    <cellStyle name="Separador de milhares 3 4 4 2 2 5 2" xfId="39284" xr:uid="{00000000-0005-0000-0000-0000E1840000}"/>
    <cellStyle name="Separador de milhares 3 4 4 2 2 6" xfId="32898" xr:uid="{00000000-0005-0000-0000-0000E2840000}"/>
    <cellStyle name="Separador de milhares 3 4 4 2 3" xfId="8381" xr:uid="{00000000-0005-0000-0000-0000E3840000}"/>
    <cellStyle name="Separador de milhares 3 4 4 2 3 2" xfId="26595" xr:uid="{00000000-0005-0000-0000-0000E4840000}"/>
    <cellStyle name="Separador de milhares 3 4 4 2 3 2 2" xfId="52776" xr:uid="{00000000-0005-0000-0000-0000E5840000}"/>
    <cellStyle name="Separador de milhares 3 4 4 2 3 3" xfId="20681" xr:uid="{00000000-0005-0000-0000-0000E6840000}"/>
    <cellStyle name="Separador de milhares 3 4 4 2 3 3 2" xfId="46868" xr:uid="{00000000-0005-0000-0000-0000E7840000}"/>
    <cellStyle name="Separador de milhares 3 4 4 2 3 4" xfId="14767" xr:uid="{00000000-0005-0000-0000-0000E8840000}"/>
    <cellStyle name="Separador de milhares 3 4 4 2 3 4 2" xfId="40960" xr:uid="{00000000-0005-0000-0000-0000E9840000}"/>
    <cellStyle name="Separador de milhares 3 4 4 2 3 5" xfId="34574" xr:uid="{00000000-0005-0000-0000-0000EA840000}"/>
    <cellStyle name="Separador de milhares 3 4 4 2 4" xfId="5003" xr:uid="{00000000-0005-0000-0000-0000EB840000}"/>
    <cellStyle name="Separador de milhares 3 4 4 2 4 2" xfId="23638" xr:uid="{00000000-0005-0000-0000-0000EC840000}"/>
    <cellStyle name="Separador de milhares 3 4 4 2 4 2 2" xfId="49822" xr:uid="{00000000-0005-0000-0000-0000ED840000}"/>
    <cellStyle name="Separador de milhares 3 4 4 2 4 3" xfId="31199" xr:uid="{00000000-0005-0000-0000-0000EE840000}"/>
    <cellStyle name="Separador de milhares 3 4 4 2 5" xfId="17724" xr:uid="{00000000-0005-0000-0000-0000EF840000}"/>
    <cellStyle name="Separador de milhares 3 4 4 2 5 2" xfId="43914" xr:uid="{00000000-0005-0000-0000-0000F0840000}"/>
    <cellStyle name="Separador de milhares 3 4 4 2 6" xfId="11390" xr:uid="{00000000-0005-0000-0000-0000F1840000}"/>
    <cellStyle name="Separador de milhares 3 4 4 2 6 2" xfId="37583" xr:uid="{00000000-0005-0000-0000-0000F2840000}"/>
    <cellStyle name="Separador de milhares 3 4 4 2 7" xfId="29501" xr:uid="{00000000-0005-0000-0000-0000F3840000}"/>
    <cellStyle name="Separador de milhares 3 4 4 3" xfId="1325" xr:uid="{00000000-0005-0000-0000-0000F4840000}"/>
    <cellStyle name="Separador de milhares 3 4 4 3 2" xfId="6800" xr:uid="{00000000-0005-0000-0000-0000F5840000}"/>
    <cellStyle name="Separador de milhares 3 4 4 3 2 2" xfId="9947" xr:uid="{00000000-0005-0000-0000-0000F6840000}"/>
    <cellStyle name="Separador de milhares 3 4 4 3 2 2 2" xfId="28161" xr:uid="{00000000-0005-0000-0000-0000F7840000}"/>
    <cellStyle name="Separador de milhares 3 4 4 3 2 2 2 2" xfId="54342" xr:uid="{00000000-0005-0000-0000-0000F8840000}"/>
    <cellStyle name="Separador de milhares 3 4 4 3 2 2 3" xfId="22247" xr:uid="{00000000-0005-0000-0000-0000F9840000}"/>
    <cellStyle name="Separador de milhares 3 4 4 3 2 2 3 2" xfId="48434" xr:uid="{00000000-0005-0000-0000-0000FA840000}"/>
    <cellStyle name="Separador de milhares 3 4 4 3 2 2 4" xfId="16333" xr:uid="{00000000-0005-0000-0000-0000FB840000}"/>
    <cellStyle name="Separador de milhares 3 4 4 3 2 2 4 2" xfId="42526" xr:uid="{00000000-0005-0000-0000-0000FC840000}"/>
    <cellStyle name="Separador de milhares 3 4 4 3 2 2 5" xfId="36140" xr:uid="{00000000-0005-0000-0000-0000FD840000}"/>
    <cellStyle name="Separador de milhares 3 4 4 3 2 3" xfId="25204" xr:uid="{00000000-0005-0000-0000-0000FE840000}"/>
    <cellStyle name="Separador de milhares 3 4 4 3 2 3 2" xfId="51388" xr:uid="{00000000-0005-0000-0000-0000FF840000}"/>
    <cellStyle name="Separador de milhares 3 4 4 3 2 4" xfId="19290" xr:uid="{00000000-0005-0000-0000-000000850000}"/>
    <cellStyle name="Separador de milhares 3 4 4 3 2 4 2" xfId="45480" xr:uid="{00000000-0005-0000-0000-000001850000}"/>
    <cellStyle name="Separador de milhares 3 4 4 3 2 5" xfId="13189" xr:uid="{00000000-0005-0000-0000-000002850000}"/>
    <cellStyle name="Separador de milhares 3 4 4 3 2 5 2" xfId="39382" xr:uid="{00000000-0005-0000-0000-000003850000}"/>
    <cellStyle name="Separador de milhares 3 4 4 3 2 6" xfId="32996" xr:uid="{00000000-0005-0000-0000-000004850000}"/>
    <cellStyle name="Separador de milhares 3 4 4 3 3" xfId="8479" xr:uid="{00000000-0005-0000-0000-000005850000}"/>
    <cellStyle name="Separador de milhares 3 4 4 3 3 2" xfId="26693" xr:uid="{00000000-0005-0000-0000-000006850000}"/>
    <cellStyle name="Separador de milhares 3 4 4 3 3 2 2" xfId="52874" xr:uid="{00000000-0005-0000-0000-000007850000}"/>
    <cellStyle name="Separador de milhares 3 4 4 3 3 3" xfId="20779" xr:uid="{00000000-0005-0000-0000-000008850000}"/>
    <cellStyle name="Separador de milhares 3 4 4 3 3 3 2" xfId="46966" xr:uid="{00000000-0005-0000-0000-000009850000}"/>
    <cellStyle name="Separador de milhares 3 4 4 3 3 4" xfId="14865" xr:uid="{00000000-0005-0000-0000-00000A850000}"/>
    <cellStyle name="Separador de milhares 3 4 4 3 3 4 2" xfId="41058" xr:uid="{00000000-0005-0000-0000-00000B850000}"/>
    <cellStyle name="Separador de milhares 3 4 4 3 3 5" xfId="34672" xr:uid="{00000000-0005-0000-0000-00000C850000}"/>
    <cellStyle name="Separador de milhares 3 4 4 3 4" xfId="5101" xr:uid="{00000000-0005-0000-0000-00000D850000}"/>
    <cellStyle name="Separador de milhares 3 4 4 3 4 2" xfId="23736" xr:uid="{00000000-0005-0000-0000-00000E850000}"/>
    <cellStyle name="Separador de milhares 3 4 4 3 4 2 2" xfId="49920" xr:uid="{00000000-0005-0000-0000-00000F850000}"/>
    <cellStyle name="Separador de milhares 3 4 4 3 4 3" xfId="31297" xr:uid="{00000000-0005-0000-0000-000010850000}"/>
    <cellStyle name="Separador de milhares 3 4 4 3 5" xfId="17822" xr:uid="{00000000-0005-0000-0000-000011850000}"/>
    <cellStyle name="Separador de milhares 3 4 4 3 5 2" xfId="44012" xr:uid="{00000000-0005-0000-0000-000012850000}"/>
    <cellStyle name="Separador de milhares 3 4 4 3 6" xfId="11488" xr:uid="{00000000-0005-0000-0000-000013850000}"/>
    <cellStyle name="Separador de milhares 3 4 4 3 6 2" xfId="37681" xr:uid="{00000000-0005-0000-0000-000014850000}"/>
    <cellStyle name="Separador de milhares 3 4 4 3 7" xfId="29599" xr:uid="{00000000-0005-0000-0000-000015850000}"/>
    <cellStyle name="Separador de milhares 3 4 4 4" xfId="1760" xr:uid="{00000000-0005-0000-0000-000016850000}"/>
    <cellStyle name="Separador de milhares 3 4 4 4 2" xfId="6919" xr:uid="{00000000-0005-0000-0000-000017850000}"/>
    <cellStyle name="Separador de milhares 3 4 4 4 2 2" xfId="10066" xr:uid="{00000000-0005-0000-0000-000018850000}"/>
    <cellStyle name="Separador de milhares 3 4 4 4 2 2 2" xfId="28280" xr:uid="{00000000-0005-0000-0000-000019850000}"/>
    <cellStyle name="Separador de milhares 3 4 4 4 2 2 2 2" xfId="54461" xr:uid="{00000000-0005-0000-0000-00001A850000}"/>
    <cellStyle name="Separador de milhares 3 4 4 4 2 2 3" xfId="22366" xr:uid="{00000000-0005-0000-0000-00001B850000}"/>
    <cellStyle name="Separador de milhares 3 4 4 4 2 2 3 2" xfId="48553" xr:uid="{00000000-0005-0000-0000-00001C850000}"/>
    <cellStyle name="Separador de milhares 3 4 4 4 2 2 4" xfId="16452" xr:uid="{00000000-0005-0000-0000-00001D850000}"/>
    <cellStyle name="Separador de milhares 3 4 4 4 2 2 4 2" xfId="42645" xr:uid="{00000000-0005-0000-0000-00001E850000}"/>
    <cellStyle name="Separador de milhares 3 4 4 4 2 2 5" xfId="36259" xr:uid="{00000000-0005-0000-0000-00001F850000}"/>
    <cellStyle name="Separador de milhares 3 4 4 4 2 3" xfId="25323" xr:uid="{00000000-0005-0000-0000-000020850000}"/>
    <cellStyle name="Separador de milhares 3 4 4 4 2 3 2" xfId="51507" xr:uid="{00000000-0005-0000-0000-000021850000}"/>
    <cellStyle name="Separador de milhares 3 4 4 4 2 4" xfId="19409" xr:uid="{00000000-0005-0000-0000-000022850000}"/>
    <cellStyle name="Separador de milhares 3 4 4 4 2 4 2" xfId="45599" xr:uid="{00000000-0005-0000-0000-000023850000}"/>
    <cellStyle name="Separador de milhares 3 4 4 4 2 5" xfId="13308" xr:uid="{00000000-0005-0000-0000-000024850000}"/>
    <cellStyle name="Separador de milhares 3 4 4 4 2 5 2" xfId="39501" xr:uid="{00000000-0005-0000-0000-000025850000}"/>
    <cellStyle name="Separador de milhares 3 4 4 4 2 6" xfId="33115" xr:uid="{00000000-0005-0000-0000-000026850000}"/>
    <cellStyle name="Separador de milhares 3 4 4 4 3" xfId="8598" xr:uid="{00000000-0005-0000-0000-000027850000}"/>
    <cellStyle name="Separador de milhares 3 4 4 4 3 2" xfId="26812" xr:uid="{00000000-0005-0000-0000-000028850000}"/>
    <cellStyle name="Separador de milhares 3 4 4 4 3 2 2" xfId="52993" xr:uid="{00000000-0005-0000-0000-000029850000}"/>
    <cellStyle name="Separador de milhares 3 4 4 4 3 3" xfId="20898" xr:uid="{00000000-0005-0000-0000-00002A850000}"/>
    <cellStyle name="Separador de milhares 3 4 4 4 3 3 2" xfId="47085" xr:uid="{00000000-0005-0000-0000-00002B850000}"/>
    <cellStyle name="Separador de milhares 3 4 4 4 3 4" xfId="14984" xr:uid="{00000000-0005-0000-0000-00002C850000}"/>
    <cellStyle name="Separador de milhares 3 4 4 4 3 4 2" xfId="41177" xr:uid="{00000000-0005-0000-0000-00002D850000}"/>
    <cellStyle name="Separador de milhares 3 4 4 4 3 5" xfId="34791" xr:uid="{00000000-0005-0000-0000-00002E850000}"/>
    <cellStyle name="Separador de milhares 3 4 4 4 4" xfId="5220" xr:uid="{00000000-0005-0000-0000-00002F850000}"/>
    <cellStyle name="Separador de milhares 3 4 4 4 4 2" xfId="23855" xr:uid="{00000000-0005-0000-0000-000030850000}"/>
    <cellStyle name="Separador de milhares 3 4 4 4 4 2 2" xfId="50039" xr:uid="{00000000-0005-0000-0000-000031850000}"/>
    <cellStyle name="Separador de milhares 3 4 4 4 4 3" xfId="31416" xr:uid="{00000000-0005-0000-0000-000032850000}"/>
    <cellStyle name="Separador de milhares 3 4 4 4 5" xfId="17941" xr:uid="{00000000-0005-0000-0000-000033850000}"/>
    <cellStyle name="Separador de milhares 3 4 4 4 5 2" xfId="44131" xr:uid="{00000000-0005-0000-0000-000034850000}"/>
    <cellStyle name="Separador de milhares 3 4 4 4 6" xfId="11607" xr:uid="{00000000-0005-0000-0000-000035850000}"/>
    <cellStyle name="Separador de milhares 3 4 4 4 6 2" xfId="37800" xr:uid="{00000000-0005-0000-0000-000036850000}"/>
    <cellStyle name="Separador de milhares 3 4 4 4 7" xfId="29718" xr:uid="{00000000-0005-0000-0000-000037850000}"/>
    <cellStyle name="Separador de milhares 3 4 4 5" xfId="2290" xr:uid="{00000000-0005-0000-0000-000038850000}"/>
    <cellStyle name="Separador de milhares 3 4 4 5 2" xfId="7069" xr:uid="{00000000-0005-0000-0000-000039850000}"/>
    <cellStyle name="Separador de milhares 3 4 4 5 2 2" xfId="10213" xr:uid="{00000000-0005-0000-0000-00003A850000}"/>
    <cellStyle name="Separador de milhares 3 4 4 5 2 2 2" xfId="28427" xr:uid="{00000000-0005-0000-0000-00003B850000}"/>
    <cellStyle name="Separador de milhares 3 4 4 5 2 2 2 2" xfId="54608" xr:uid="{00000000-0005-0000-0000-00003C850000}"/>
    <cellStyle name="Separador de milhares 3 4 4 5 2 2 3" xfId="22513" xr:uid="{00000000-0005-0000-0000-00003D850000}"/>
    <cellStyle name="Separador de milhares 3 4 4 5 2 2 3 2" xfId="48700" xr:uid="{00000000-0005-0000-0000-00003E850000}"/>
    <cellStyle name="Separador de milhares 3 4 4 5 2 2 4" xfId="16599" xr:uid="{00000000-0005-0000-0000-00003F850000}"/>
    <cellStyle name="Separador de milhares 3 4 4 5 2 2 4 2" xfId="42792" xr:uid="{00000000-0005-0000-0000-000040850000}"/>
    <cellStyle name="Separador de milhares 3 4 4 5 2 2 5" xfId="36406" xr:uid="{00000000-0005-0000-0000-000041850000}"/>
    <cellStyle name="Separador de milhares 3 4 4 5 2 3" xfId="25470" xr:uid="{00000000-0005-0000-0000-000042850000}"/>
    <cellStyle name="Separador de milhares 3 4 4 5 2 3 2" xfId="51654" xr:uid="{00000000-0005-0000-0000-000043850000}"/>
    <cellStyle name="Separador de milhares 3 4 4 5 2 4" xfId="19556" xr:uid="{00000000-0005-0000-0000-000044850000}"/>
    <cellStyle name="Separador de milhares 3 4 4 5 2 4 2" xfId="45746" xr:uid="{00000000-0005-0000-0000-000045850000}"/>
    <cellStyle name="Separador de milhares 3 4 4 5 2 5" xfId="13458" xr:uid="{00000000-0005-0000-0000-000046850000}"/>
    <cellStyle name="Separador de milhares 3 4 4 5 2 5 2" xfId="39651" xr:uid="{00000000-0005-0000-0000-000047850000}"/>
    <cellStyle name="Separador de milhares 3 4 4 5 2 6" xfId="33265" xr:uid="{00000000-0005-0000-0000-000048850000}"/>
    <cellStyle name="Separador de milhares 3 4 4 5 3" xfId="8745" xr:uid="{00000000-0005-0000-0000-000049850000}"/>
    <cellStyle name="Separador de milhares 3 4 4 5 3 2" xfId="26959" xr:uid="{00000000-0005-0000-0000-00004A850000}"/>
    <cellStyle name="Separador de milhares 3 4 4 5 3 2 2" xfId="53140" xr:uid="{00000000-0005-0000-0000-00004B850000}"/>
    <cellStyle name="Separador de milhares 3 4 4 5 3 3" xfId="21045" xr:uid="{00000000-0005-0000-0000-00004C850000}"/>
    <cellStyle name="Separador de milhares 3 4 4 5 3 3 2" xfId="47232" xr:uid="{00000000-0005-0000-0000-00004D850000}"/>
    <cellStyle name="Separador de milhares 3 4 4 5 3 4" xfId="15131" xr:uid="{00000000-0005-0000-0000-00004E850000}"/>
    <cellStyle name="Separador de milhares 3 4 4 5 3 4 2" xfId="41324" xr:uid="{00000000-0005-0000-0000-00004F850000}"/>
    <cellStyle name="Separador de milhares 3 4 4 5 3 5" xfId="34938" xr:uid="{00000000-0005-0000-0000-000050850000}"/>
    <cellStyle name="Separador de milhares 3 4 4 5 4" xfId="5370" xr:uid="{00000000-0005-0000-0000-000051850000}"/>
    <cellStyle name="Separador de milhares 3 4 4 5 4 2" xfId="24002" xr:uid="{00000000-0005-0000-0000-000052850000}"/>
    <cellStyle name="Separador de milhares 3 4 4 5 4 2 2" xfId="50186" xr:uid="{00000000-0005-0000-0000-000053850000}"/>
    <cellStyle name="Separador de milhares 3 4 4 5 4 3" xfId="31566" xr:uid="{00000000-0005-0000-0000-000054850000}"/>
    <cellStyle name="Separador de milhares 3 4 4 5 5" xfId="18088" xr:uid="{00000000-0005-0000-0000-000055850000}"/>
    <cellStyle name="Separador de milhares 3 4 4 5 5 2" xfId="44278" xr:uid="{00000000-0005-0000-0000-000056850000}"/>
    <cellStyle name="Separador de milhares 3 4 4 5 6" xfId="11757" xr:uid="{00000000-0005-0000-0000-000057850000}"/>
    <cellStyle name="Separador de milhares 3 4 4 5 6 2" xfId="37950" xr:uid="{00000000-0005-0000-0000-000058850000}"/>
    <cellStyle name="Separador de milhares 3 4 4 5 7" xfId="29868" xr:uid="{00000000-0005-0000-0000-000059850000}"/>
    <cellStyle name="Separador de milhares 3 4 4 6" xfId="2817" xr:uid="{00000000-0005-0000-0000-00005A850000}"/>
    <cellStyle name="Separador de milhares 3 4 4 6 2" xfId="7216" xr:uid="{00000000-0005-0000-0000-00005B850000}"/>
    <cellStyle name="Separador de milhares 3 4 4 6 2 2" xfId="10360" xr:uid="{00000000-0005-0000-0000-00005C850000}"/>
    <cellStyle name="Separador de milhares 3 4 4 6 2 2 2" xfId="28574" xr:uid="{00000000-0005-0000-0000-00005D850000}"/>
    <cellStyle name="Separador de milhares 3 4 4 6 2 2 2 2" xfId="54755" xr:uid="{00000000-0005-0000-0000-00005E850000}"/>
    <cellStyle name="Separador de milhares 3 4 4 6 2 2 3" xfId="22660" xr:uid="{00000000-0005-0000-0000-00005F850000}"/>
    <cellStyle name="Separador de milhares 3 4 4 6 2 2 3 2" xfId="48847" xr:uid="{00000000-0005-0000-0000-000060850000}"/>
    <cellStyle name="Separador de milhares 3 4 4 6 2 2 4" xfId="16746" xr:uid="{00000000-0005-0000-0000-000061850000}"/>
    <cellStyle name="Separador de milhares 3 4 4 6 2 2 4 2" xfId="42939" xr:uid="{00000000-0005-0000-0000-000062850000}"/>
    <cellStyle name="Separador de milhares 3 4 4 6 2 2 5" xfId="36553" xr:uid="{00000000-0005-0000-0000-000063850000}"/>
    <cellStyle name="Separador de milhares 3 4 4 6 2 3" xfId="25617" xr:uid="{00000000-0005-0000-0000-000064850000}"/>
    <cellStyle name="Separador de milhares 3 4 4 6 2 3 2" xfId="51801" xr:uid="{00000000-0005-0000-0000-000065850000}"/>
    <cellStyle name="Separador de milhares 3 4 4 6 2 4" xfId="19703" xr:uid="{00000000-0005-0000-0000-000066850000}"/>
    <cellStyle name="Separador de milhares 3 4 4 6 2 4 2" xfId="45893" xr:uid="{00000000-0005-0000-0000-000067850000}"/>
    <cellStyle name="Separador de milhares 3 4 4 6 2 5" xfId="13605" xr:uid="{00000000-0005-0000-0000-000068850000}"/>
    <cellStyle name="Separador de milhares 3 4 4 6 2 5 2" xfId="39798" xr:uid="{00000000-0005-0000-0000-000069850000}"/>
    <cellStyle name="Separador de milhares 3 4 4 6 2 6" xfId="33412" xr:uid="{00000000-0005-0000-0000-00006A850000}"/>
    <cellStyle name="Separador de milhares 3 4 4 6 3" xfId="8892" xr:uid="{00000000-0005-0000-0000-00006B850000}"/>
    <cellStyle name="Separador de milhares 3 4 4 6 3 2" xfId="27106" xr:uid="{00000000-0005-0000-0000-00006C850000}"/>
    <cellStyle name="Separador de milhares 3 4 4 6 3 2 2" xfId="53287" xr:uid="{00000000-0005-0000-0000-00006D850000}"/>
    <cellStyle name="Separador de milhares 3 4 4 6 3 3" xfId="21192" xr:uid="{00000000-0005-0000-0000-00006E850000}"/>
    <cellStyle name="Separador de milhares 3 4 4 6 3 3 2" xfId="47379" xr:uid="{00000000-0005-0000-0000-00006F850000}"/>
    <cellStyle name="Separador de milhares 3 4 4 6 3 4" xfId="15278" xr:uid="{00000000-0005-0000-0000-000070850000}"/>
    <cellStyle name="Separador de milhares 3 4 4 6 3 4 2" xfId="41471" xr:uid="{00000000-0005-0000-0000-000071850000}"/>
    <cellStyle name="Separador de milhares 3 4 4 6 3 5" xfId="35085" xr:uid="{00000000-0005-0000-0000-000072850000}"/>
    <cellStyle name="Separador de milhares 3 4 4 6 4" xfId="5517" xr:uid="{00000000-0005-0000-0000-000073850000}"/>
    <cellStyle name="Separador de milhares 3 4 4 6 4 2" xfId="24149" xr:uid="{00000000-0005-0000-0000-000074850000}"/>
    <cellStyle name="Separador de milhares 3 4 4 6 4 2 2" xfId="50333" xr:uid="{00000000-0005-0000-0000-000075850000}"/>
    <cellStyle name="Separador de milhares 3 4 4 6 4 3" xfId="31713" xr:uid="{00000000-0005-0000-0000-000076850000}"/>
    <cellStyle name="Separador de milhares 3 4 4 6 5" xfId="18235" xr:uid="{00000000-0005-0000-0000-000077850000}"/>
    <cellStyle name="Separador de milhares 3 4 4 6 5 2" xfId="44425" xr:uid="{00000000-0005-0000-0000-000078850000}"/>
    <cellStyle name="Separador de milhares 3 4 4 6 6" xfId="11904" xr:uid="{00000000-0005-0000-0000-000079850000}"/>
    <cellStyle name="Separador de milhares 3 4 4 6 6 2" xfId="38097" xr:uid="{00000000-0005-0000-0000-00007A850000}"/>
    <cellStyle name="Separador de milhares 3 4 4 6 7" xfId="30015" xr:uid="{00000000-0005-0000-0000-00007B850000}"/>
    <cellStyle name="Separador de milhares 3 4 4 7" xfId="3344" xr:uid="{00000000-0005-0000-0000-00007C850000}"/>
    <cellStyle name="Separador de milhares 3 4 4 7 2" xfId="7363" xr:uid="{00000000-0005-0000-0000-00007D850000}"/>
    <cellStyle name="Separador de milhares 3 4 4 7 2 2" xfId="10507" xr:uid="{00000000-0005-0000-0000-00007E850000}"/>
    <cellStyle name="Separador de milhares 3 4 4 7 2 2 2" xfId="28721" xr:uid="{00000000-0005-0000-0000-00007F850000}"/>
    <cellStyle name="Separador de milhares 3 4 4 7 2 2 2 2" xfId="54902" xr:uid="{00000000-0005-0000-0000-000080850000}"/>
    <cellStyle name="Separador de milhares 3 4 4 7 2 2 3" xfId="22807" xr:uid="{00000000-0005-0000-0000-000081850000}"/>
    <cellStyle name="Separador de milhares 3 4 4 7 2 2 3 2" xfId="48994" xr:uid="{00000000-0005-0000-0000-000082850000}"/>
    <cellStyle name="Separador de milhares 3 4 4 7 2 2 4" xfId="16893" xr:uid="{00000000-0005-0000-0000-000083850000}"/>
    <cellStyle name="Separador de milhares 3 4 4 7 2 2 4 2" xfId="43086" xr:uid="{00000000-0005-0000-0000-000084850000}"/>
    <cellStyle name="Separador de milhares 3 4 4 7 2 2 5" xfId="36700" xr:uid="{00000000-0005-0000-0000-000085850000}"/>
    <cellStyle name="Separador de milhares 3 4 4 7 2 3" xfId="25764" xr:uid="{00000000-0005-0000-0000-000086850000}"/>
    <cellStyle name="Separador de milhares 3 4 4 7 2 3 2" xfId="51948" xr:uid="{00000000-0005-0000-0000-000087850000}"/>
    <cellStyle name="Separador de milhares 3 4 4 7 2 4" xfId="19850" xr:uid="{00000000-0005-0000-0000-000088850000}"/>
    <cellStyle name="Separador de milhares 3 4 4 7 2 4 2" xfId="46040" xr:uid="{00000000-0005-0000-0000-000089850000}"/>
    <cellStyle name="Separador de milhares 3 4 4 7 2 5" xfId="13752" xr:uid="{00000000-0005-0000-0000-00008A850000}"/>
    <cellStyle name="Separador de milhares 3 4 4 7 2 5 2" xfId="39945" xr:uid="{00000000-0005-0000-0000-00008B850000}"/>
    <cellStyle name="Separador de milhares 3 4 4 7 2 6" xfId="33559" xr:uid="{00000000-0005-0000-0000-00008C850000}"/>
    <cellStyle name="Separador de milhares 3 4 4 7 3" xfId="9039" xr:uid="{00000000-0005-0000-0000-00008D850000}"/>
    <cellStyle name="Separador de milhares 3 4 4 7 3 2" xfId="27253" xr:uid="{00000000-0005-0000-0000-00008E850000}"/>
    <cellStyle name="Separador de milhares 3 4 4 7 3 2 2" xfId="53434" xr:uid="{00000000-0005-0000-0000-00008F850000}"/>
    <cellStyle name="Separador de milhares 3 4 4 7 3 3" xfId="21339" xr:uid="{00000000-0005-0000-0000-000090850000}"/>
    <cellStyle name="Separador de milhares 3 4 4 7 3 3 2" xfId="47526" xr:uid="{00000000-0005-0000-0000-000091850000}"/>
    <cellStyle name="Separador de milhares 3 4 4 7 3 4" xfId="15425" xr:uid="{00000000-0005-0000-0000-000092850000}"/>
    <cellStyle name="Separador de milhares 3 4 4 7 3 4 2" xfId="41618" xr:uid="{00000000-0005-0000-0000-000093850000}"/>
    <cellStyle name="Separador de milhares 3 4 4 7 3 5" xfId="35232" xr:uid="{00000000-0005-0000-0000-000094850000}"/>
    <cellStyle name="Separador de milhares 3 4 4 7 4" xfId="5664" xr:uid="{00000000-0005-0000-0000-000095850000}"/>
    <cellStyle name="Separador de milhares 3 4 4 7 4 2" xfId="24296" xr:uid="{00000000-0005-0000-0000-000096850000}"/>
    <cellStyle name="Separador de milhares 3 4 4 7 4 2 2" xfId="50480" xr:uid="{00000000-0005-0000-0000-000097850000}"/>
    <cellStyle name="Separador de milhares 3 4 4 7 4 3" xfId="31860" xr:uid="{00000000-0005-0000-0000-000098850000}"/>
    <cellStyle name="Separador de milhares 3 4 4 7 5" xfId="18382" xr:uid="{00000000-0005-0000-0000-000099850000}"/>
    <cellStyle name="Separador de milhares 3 4 4 7 5 2" xfId="44572" xr:uid="{00000000-0005-0000-0000-00009A850000}"/>
    <cellStyle name="Separador de milhares 3 4 4 7 6" xfId="12051" xr:uid="{00000000-0005-0000-0000-00009B850000}"/>
    <cellStyle name="Separador de milhares 3 4 4 7 6 2" xfId="38244" xr:uid="{00000000-0005-0000-0000-00009C850000}"/>
    <cellStyle name="Separador de milhares 3 4 4 7 7" xfId="30162" xr:uid="{00000000-0005-0000-0000-00009D850000}"/>
    <cellStyle name="Separador de milhares 3 4 4 8" xfId="3871" xr:uid="{00000000-0005-0000-0000-00009E850000}"/>
    <cellStyle name="Separador de milhares 3 4 4 8 2" xfId="7510" xr:uid="{00000000-0005-0000-0000-00009F850000}"/>
    <cellStyle name="Separador de milhares 3 4 4 8 2 2" xfId="10654" xr:uid="{00000000-0005-0000-0000-0000A0850000}"/>
    <cellStyle name="Separador de milhares 3 4 4 8 2 2 2" xfId="28868" xr:uid="{00000000-0005-0000-0000-0000A1850000}"/>
    <cellStyle name="Separador de milhares 3 4 4 8 2 2 2 2" xfId="55049" xr:uid="{00000000-0005-0000-0000-0000A2850000}"/>
    <cellStyle name="Separador de milhares 3 4 4 8 2 2 3" xfId="22954" xr:uid="{00000000-0005-0000-0000-0000A3850000}"/>
    <cellStyle name="Separador de milhares 3 4 4 8 2 2 3 2" xfId="49141" xr:uid="{00000000-0005-0000-0000-0000A4850000}"/>
    <cellStyle name="Separador de milhares 3 4 4 8 2 2 4" xfId="17040" xr:uid="{00000000-0005-0000-0000-0000A5850000}"/>
    <cellStyle name="Separador de milhares 3 4 4 8 2 2 4 2" xfId="43233" xr:uid="{00000000-0005-0000-0000-0000A6850000}"/>
    <cellStyle name="Separador de milhares 3 4 4 8 2 2 5" xfId="36847" xr:uid="{00000000-0005-0000-0000-0000A7850000}"/>
    <cellStyle name="Separador de milhares 3 4 4 8 2 3" xfId="25911" xr:uid="{00000000-0005-0000-0000-0000A8850000}"/>
    <cellStyle name="Separador de milhares 3 4 4 8 2 3 2" xfId="52095" xr:uid="{00000000-0005-0000-0000-0000A9850000}"/>
    <cellStyle name="Separador de milhares 3 4 4 8 2 4" xfId="19997" xr:uid="{00000000-0005-0000-0000-0000AA850000}"/>
    <cellStyle name="Separador de milhares 3 4 4 8 2 4 2" xfId="46187" xr:uid="{00000000-0005-0000-0000-0000AB850000}"/>
    <cellStyle name="Separador de milhares 3 4 4 8 2 5" xfId="13899" xr:uid="{00000000-0005-0000-0000-0000AC850000}"/>
    <cellStyle name="Separador de milhares 3 4 4 8 2 5 2" xfId="40092" xr:uid="{00000000-0005-0000-0000-0000AD850000}"/>
    <cellStyle name="Separador de milhares 3 4 4 8 2 6" xfId="33706" xr:uid="{00000000-0005-0000-0000-0000AE850000}"/>
    <cellStyle name="Separador de milhares 3 4 4 8 3" xfId="9186" xr:uid="{00000000-0005-0000-0000-0000AF850000}"/>
    <cellStyle name="Separador de milhares 3 4 4 8 3 2" xfId="27400" xr:uid="{00000000-0005-0000-0000-0000B0850000}"/>
    <cellStyle name="Separador de milhares 3 4 4 8 3 2 2" xfId="53581" xr:uid="{00000000-0005-0000-0000-0000B1850000}"/>
    <cellStyle name="Separador de milhares 3 4 4 8 3 3" xfId="21486" xr:uid="{00000000-0005-0000-0000-0000B2850000}"/>
    <cellStyle name="Separador de milhares 3 4 4 8 3 3 2" xfId="47673" xr:uid="{00000000-0005-0000-0000-0000B3850000}"/>
    <cellStyle name="Separador de milhares 3 4 4 8 3 4" xfId="15572" xr:uid="{00000000-0005-0000-0000-0000B4850000}"/>
    <cellStyle name="Separador de milhares 3 4 4 8 3 4 2" xfId="41765" xr:uid="{00000000-0005-0000-0000-0000B5850000}"/>
    <cellStyle name="Separador de milhares 3 4 4 8 3 5" xfId="35379" xr:uid="{00000000-0005-0000-0000-0000B6850000}"/>
    <cellStyle name="Separador de milhares 3 4 4 8 4" xfId="5811" xr:uid="{00000000-0005-0000-0000-0000B7850000}"/>
    <cellStyle name="Separador de milhares 3 4 4 8 4 2" xfId="24443" xr:uid="{00000000-0005-0000-0000-0000B8850000}"/>
    <cellStyle name="Separador de milhares 3 4 4 8 4 2 2" xfId="50627" xr:uid="{00000000-0005-0000-0000-0000B9850000}"/>
    <cellStyle name="Separador de milhares 3 4 4 8 4 3" xfId="32007" xr:uid="{00000000-0005-0000-0000-0000BA850000}"/>
    <cellStyle name="Separador de milhares 3 4 4 8 5" xfId="18529" xr:uid="{00000000-0005-0000-0000-0000BB850000}"/>
    <cellStyle name="Separador de milhares 3 4 4 8 5 2" xfId="44719" xr:uid="{00000000-0005-0000-0000-0000BC850000}"/>
    <cellStyle name="Separador de milhares 3 4 4 8 6" xfId="12198" xr:uid="{00000000-0005-0000-0000-0000BD850000}"/>
    <cellStyle name="Separador de milhares 3 4 4 8 6 2" xfId="38391" xr:uid="{00000000-0005-0000-0000-0000BE850000}"/>
    <cellStyle name="Separador de milhares 3 4 4 8 7" xfId="30309" xr:uid="{00000000-0005-0000-0000-0000BF850000}"/>
    <cellStyle name="Separador de milhares 3 4 4 9" xfId="669" xr:uid="{00000000-0005-0000-0000-0000C0850000}"/>
    <cellStyle name="Separador de milhares 3 4 4 9 2" xfId="6604" xr:uid="{00000000-0005-0000-0000-0000C1850000}"/>
    <cellStyle name="Separador de milhares 3 4 4 9 2 2" xfId="9751" xr:uid="{00000000-0005-0000-0000-0000C2850000}"/>
    <cellStyle name="Separador de milhares 3 4 4 9 2 2 2" xfId="27965" xr:uid="{00000000-0005-0000-0000-0000C3850000}"/>
    <cellStyle name="Separador de milhares 3 4 4 9 2 2 2 2" xfId="54146" xr:uid="{00000000-0005-0000-0000-0000C4850000}"/>
    <cellStyle name="Separador de milhares 3 4 4 9 2 2 3" xfId="22051" xr:uid="{00000000-0005-0000-0000-0000C5850000}"/>
    <cellStyle name="Separador de milhares 3 4 4 9 2 2 3 2" xfId="48238" xr:uid="{00000000-0005-0000-0000-0000C6850000}"/>
    <cellStyle name="Separador de milhares 3 4 4 9 2 2 4" xfId="16137" xr:uid="{00000000-0005-0000-0000-0000C7850000}"/>
    <cellStyle name="Separador de milhares 3 4 4 9 2 2 4 2" xfId="42330" xr:uid="{00000000-0005-0000-0000-0000C8850000}"/>
    <cellStyle name="Separador de milhares 3 4 4 9 2 2 5" xfId="35944" xr:uid="{00000000-0005-0000-0000-0000C9850000}"/>
    <cellStyle name="Separador de milhares 3 4 4 9 2 3" xfId="25008" xr:uid="{00000000-0005-0000-0000-0000CA850000}"/>
    <cellStyle name="Separador de milhares 3 4 4 9 2 3 2" xfId="51192" xr:uid="{00000000-0005-0000-0000-0000CB850000}"/>
    <cellStyle name="Separador de milhares 3 4 4 9 2 4" xfId="19094" xr:uid="{00000000-0005-0000-0000-0000CC850000}"/>
    <cellStyle name="Separador de milhares 3 4 4 9 2 4 2" xfId="45284" xr:uid="{00000000-0005-0000-0000-0000CD850000}"/>
    <cellStyle name="Separador de milhares 3 4 4 9 2 5" xfId="12993" xr:uid="{00000000-0005-0000-0000-0000CE850000}"/>
    <cellStyle name="Separador de milhares 3 4 4 9 2 5 2" xfId="39186" xr:uid="{00000000-0005-0000-0000-0000CF850000}"/>
    <cellStyle name="Separador de milhares 3 4 4 9 2 6" xfId="32800" xr:uid="{00000000-0005-0000-0000-0000D0850000}"/>
    <cellStyle name="Separador de milhares 3 4 4 9 3" xfId="8283" xr:uid="{00000000-0005-0000-0000-0000D1850000}"/>
    <cellStyle name="Separador de milhares 3 4 4 9 3 2" xfId="26497" xr:uid="{00000000-0005-0000-0000-0000D2850000}"/>
    <cellStyle name="Separador de milhares 3 4 4 9 3 2 2" xfId="52678" xr:uid="{00000000-0005-0000-0000-0000D3850000}"/>
    <cellStyle name="Separador de milhares 3 4 4 9 3 3" xfId="20583" xr:uid="{00000000-0005-0000-0000-0000D4850000}"/>
    <cellStyle name="Separador de milhares 3 4 4 9 3 3 2" xfId="46770" xr:uid="{00000000-0005-0000-0000-0000D5850000}"/>
    <cellStyle name="Separador de milhares 3 4 4 9 3 4" xfId="14669" xr:uid="{00000000-0005-0000-0000-0000D6850000}"/>
    <cellStyle name="Separador de milhares 3 4 4 9 3 4 2" xfId="40862" xr:uid="{00000000-0005-0000-0000-0000D7850000}"/>
    <cellStyle name="Separador de milhares 3 4 4 9 3 5" xfId="34476" xr:uid="{00000000-0005-0000-0000-0000D8850000}"/>
    <cellStyle name="Separador de milhares 3 4 4 9 4" xfId="4905" xr:uid="{00000000-0005-0000-0000-0000D9850000}"/>
    <cellStyle name="Separador de milhares 3 4 4 9 4 2" xfId="23540" xr:uid="{00000000-0005-0000-0000-0000DA850000}"/>
    <cellStyle name="Separador de milhares 3 4 4 9 4 2 2" xfId="49724" xr:uid="{00000000-0005-0000-0000-0000DB850000}"/>
    <cellStyle name="Separador de milhares 3 4 4 9 4 3" xfId="31101" xr:uid="{00000000-0005-0000-0000-0000DC850000}"/>
    <cellStyle name="Separador de milhares 3 4 4 9 5" xfId="17626" xr:uid="{00000000-0005-0000-0000-0000DD850000}"/>
    <cellStyle name="Separador de milhares 3 4 4 9 5 2" xfId="43816" xr:uid="{00000000-0005-0000-0000-0000DE850000}"/>
    <cellStyle name="Separador de milhares 3 4 4 9 6" xfId="11292" xr:uid="{00000000-0005-0000-0000-0000DF850000}"/>
    <cellStyle name="Separador de milhares 3 4 4 9 6 2" xfId="37485" xr:uid="{00000000-0005-0000-0000-0000E0850000}"/>
    <cellStyle name="Separador de milhares 3 4 4 9 7" xfId="29403" xr:uid="{00000000-0005-0000-0000-0000E1850000}"/>
    <cellStyle name="Separador de milhares 3 4 5" xfId="586" xr:uid="{00000000-0005-0000-0000-0000E2850000}"/>
    <cellStyle name="Separador de milhares 3 4 5 10" xfId="4869" xr:uid="{00000000-0005-0000-0000-0000E3850000}"/>
    <cellStyle name="Separador de milhares 3 4 5 10 2" xfId="23503" xr:uid="{00000000-0005-0000-0000-0000E4850000}"/>
    <cellStyle name="Separador de milhares 3 4 5 10 2 2" xfId="49690" xr:uid="{00000000-0005-0000-0000-0000E5850000}"/>
    <cellStyle name="Separador de milhares 3 4 5 10 3" xfId="31067" xr:uid="{00000000-0005-0000-0000-0000E6850000}"/>
    <cellStyle name="Separador de milhares 3 4 5 11" xfId="17589" xr:uid="{00000000-0005-0000-0000-0000E7850000}"/>
    <cellStyle name="Separador de milhares 3 4 5 11 2" xfId="43782" xr:uid="{00000000-0005-0000-0000-0000E8850000}"/>
    <cellStyle name="Separador de milhares 3 4 5 12" xfId="11258" xr:uid="{00000000-0005-0000-0000-0000E9850000}"/>
    <cellStyle name="Separador de milhares 3 4 5 12 2" xfId="37451" xr:uid="{00000000-0005-0000-0000-0000EA850000}"/>
    <cellStyle name="Separador de milhares 3 4 5 13" xfId="29369" xr:uid="{00000000-0005-0000-0000-0000EB850000}"/>
    <cellStyle name="Separador de milhares 3 4 5 2" xfId="1409" xr:uid="{00000000-0005-0000-0000-0000EC850000}"/>
    <cellStyle name="Separador de milhares 3 4 5 2 2" xfId="6821" xr:uid="{00000000-0005-0000-0000-0000ED850000}"/>
    <cellStyle name="Separador de milhares 3 4 5 2 2 2" xfId="9968" xr:uid="{00000000-0005-0000-0000-0000EE850000}"/>
    <cellStyle name="Separador de milhares 3 4 5 2 2 2 2" xfId="28182" xr:uid="{00000000-0005-0000-0000-0000EF850000}"/>
    <cellStyle name="Separador de milhares 3 4 5 2 2 2 2 2" xfId="54363" xr:uid="{00000000-0005-0000-0000-0000F0850000}"/>
    <cellStyle name="Separador de milhares 3 4 5 2 2 2 3" xfId="22268" xr:uid="{00000000-0005-0000-0000-0000F1850000}"/>
    <cellStyle name="Separador de milhares 3 4 5 2 2 2 3 2" xfId="48455" xr:uid="{00000000-0005-0000-0000-0000F2850000}"/>
    <cellStyle name="Separador de milhares 3 4 5 2 2 2 4" xfId="16354" xr:uid="{00000000-0005-0000-0000-0000F3850000}"/>
    <cellStyle name="Separador de milhares 3 4 5 2 2 2 4 2" xfId="42547" xr:uid="{00000000-0005-0000-0000-0000F4850000}"/>
    <cellStyle name="Separador de milhares 3 4 5 2 2 2 5" xfId="36161" xr:uid="{00000000-0005-0000-0000-0000F5850000}"/>
    <cellStyle name="Separador de milhares 3 4 5 2 2 3" xfId="25225" xr:uid="{00000000-0005-0000-0000-0000F6850000}"/>
    <cellStyle name="Separador de milhares 3 4 5 2 2 3 2" xfId="51409" xr:uid="{00000000-0005-0000-0000-0000F7850000}"/>
    <cellStyle name="Separador de milhares 3 4 5 2 2 4" xfId="19311" xr:uid="{00000000-0005-0000-0000-0000F8850000}"/>
    <cellStyle name="Separador de milhares 3 4 5 2 2 4 2" xfId="45501" xr:uid="{00000000-0005-0000-0000-0000F9850000}"/>
    <cellStyle name="Separador de milhares 3 4 5 2 2 5" xfId="13210" xr:uid="{00000000-0005-0000-0000-0000FA850000}"/>
    <cellStyle name="Separador de milhares 3 4 5 2 2 5 2" xfId="39403" xr:uid="{00000000-0005-0000-0000-0000FB850000}"/>
    <cellStyle name="Separador de milhares 3 4 5 2 2 6" xfId="33017" xr:uid="{00000000-0005-0000-0000-0000FC850000}"/>
    <cellStyle name="Separador de milhares 3 4 5 2 3" xfId="8500" xr:uid="{00000000-0005-0000-0000-0000FD850000}"/>
    <cellStyle name="Separador de milhares 3 4 5 2 3 2" xfId="26714" xr:uid="{00000000-0005-0000-0000-0000FE850000}"/>
    <cellStyle name="Separador de milhares 3 4 5 2 3 2 2" xfId="52895" xr:uid="{00000000-0005-0000-0000-0000FF850000}"/>
    <cellStyle name="Separador de milhares 3 4 5 2 3 3" xfId="20800" xr:uid="{00000000-0005-0000-0000-000000860000}"/>
    <cellStyle name="Separador de milhares 3 4 5 2 3 3 2" xfId="46987" xr:uid="{00000000-0005-0000-0000-000001860000}"/>
    <cellStyle name="Separador de milhares 3 4 5 2 3 4" xfId="14886" xr:uid="{00000000-0005-0000-0000-000002860000}"/>
    <cellStyle name="Separador de milhares 3 4 5 2 3 4 2" xfId="41079" xr:uid="{00000000-0005-0000-0000-000003860000}"/>
    <cellStyle name="Separador de milhares 3 4 5 2 3 5" xfId="34693" xr:uid="{00000000-0005-0000-0000-000004860000}"/>
    <cellStyle name="Separador de milhares 3 4 5 2 4" xfId="5122" xr:uid="{00000000-0005-0000-0000-000005860000}"/>
    <cellStyle name="Separador de milhares 3 4 5 2 4 2" xfId="23757" xr:uid="{00000000-0005-0000-0000-000006860000}"/>
    <cellStyle name="Separador de milhares 3 4 5 2 4 2 2" xfId="49941" xr:uid="{00000000-0005-0000-0000-000007860000}"/>
    <cellStyle name="Separador de milhares 3 4 5 2 4 3" xfId="31318" xr:uid="{00000000-0005-0000-0000-000008860000}"/>
    <cellStyle name="Separador de milhares 3 4 5 2 5" xfId="17843" xr:uid="{00000000-0005-0000-0000-000009860000}"/>
    <cellStyle name="Separador de milhares 3 4 5 2 5 2" xfId="44033" xr:uid="{00000000-0005-0000-0000-00000A860000}"/>
    <cellStyle name="Separador de milhares 3 4 5 2 6" xfId="11509" xr:uid="{00000000-0005-0000-0000-00000B860000}"/>
    <cellStyle name="Separador de milhares 3 4 5 2 6 2" xfId="37702" xr:uid="{00000000-0005-0000-0000-00000C860000}"/>
    <cellStyle name="Separador de milhares 3 4 5 2 7" xfId="29620" xr:uid="{00000000-0005-0000-0000-00000D860000}"/>
    <cellStyle name="Separador de milhares 3 4 5 3" xfId="1844" xr:uid="{00000000-0005-0000-0000-00000E860000}"/>
    <cellStyle name="Separador de milhares 3 4 5 3 2" xfId="6940" xr:uid="{00000000-0005-0000-0000-00000F860000}"/>
    <cellStyle name="Separador de milhares 3 4 5 3 2 2" xfId="10087" xr:uid="{00000000-0005-0000-0000-000010860000}"/>
    <cellStyle name="Separador de milhares 3 4 5 3 2 2 2" xfId="28301" xr:uid="{00000000-0005-0000-0000-000011860000}"/>
    <cellStyle name="Separador de milhares 3 4 5 3 2 2 2 2" xfId="54482" xr:uid="{00000000-0005-0000-0000-000012860000}"/>
    <cellStyle name="Separador de milhares 3 4 5 3 2 2 3" xfId="22387" xr:uid="{00000000-0005-0000-0000-000013860000}"/>
    <cellStyle name="Separador de milhares 3 4 5 3 2 2 3 2" xfId="48574" xr:uid="{00000000-0005-0000-0000-000014860000}"/>
    <cellStyle name="Separador de milhares 3 4 5 3 2 2 4" xfId="16473" xr:uid="{00000000-0005-0000-0000-000015860000}"/>
    <cellStyle name="Separador de milhares 3 4 5 3 2 2 4 2" xfId="42666" xr:uid="{00000000-0005-0000-0000-000016860000}"/>
    <cellStyle name="Separador de milhares 3 4 5 3 2 2 5" xfId="36280" xr:uid="{00000000-0005-0000-0000-000017860000}"/>
    <cellStyle name="Separador de milhares 3 4 5 3 2 3" xfId="25344" xr:uid="{00000000-0005-0000-0000-000018860000}"/>
    <cellStyle name="Separador de milhares 3 4 5 3 2 3 2" xfId="51528" xr:uid="{00000000-0005-0000-0000-000019860000}"/>
    <cellStyle name="Separador de milhares 3 4 5 3 2 4" xfId="19430" xr:uid="{00000000-0005-0000-0000-00001A860000}"/>
    <cellStyle name="Separador de milhares 3 4 5 3 2 4 2" xfId="45620" xr:uid="{00000000-0005-0000-0000-00001B860000}"/>
    <cellStyle name="Separador de milhares 3 4 5 3 2 5" xfId="13329" xr:uid="{00000000-0005-0000-0000-00001C860000}"/>
    <cellStyle name="Separador de milhares 3 4 5 3 2 5 2" xfId="39522" xr:uid="{00000000-0005-0000-0000-00001D860000}"/>
    <cellStyle name="Separador de milhares 3 4 5 3 2 6" xfId="33136" xr:uid="{00000000-0005-0000-0000-00001E860000}"/>
    <cellStyle name="Separador de milhares 3 4 5 3 3" xfId="8619" xr:uid="{00000000-0005-0000-0000-00001F860000}"/>
    <cellStyle name="Separador de milhares 3 4 5 3 3 2" xfId="26833" xr:uid="{00000000-0005-0000-0000-000020860000}"/>
    <cellStyle name="Separador de milhares 3 4 5 3 3 2 2" xfId="53014" xr:uid="{00000000-0005-0000-0000-000021860000}"/>
    <cellStyle name="Separador de milhares 3 4 5 3 3 3" xfId="20919" xr:uid="{00000000-0005-0000-0000-000022860000}"/>
    <cellStyle name="Separador de milhares 3 4 5 3 3 3 2" xfId="47106" xr:uid="{00000000-0005-0000-0000-000023860000}"/>
    <cellStyle name="Separador de milhares 3 4 5 3 3 4" xfId="15005" xr:uid="{00000000-0005-0000-0000-000024860000}"/>
    <cellStyle name="Separador de milhares 3 4 5 3 3 4 2" xfId="41198" xr:uid="{00000000-0005-0000-0000-000025860000}"/>
    <cellStyle name="Separador de milhares 3 4 5 3 3 5" xfId="34812" xr:uid="{00000000-0005-0000-0000-000026860000}"/>
    <cellStyle name="Separador de milhares 3 4 5 3 4" xfId="5241" xr:uid="{00000000-0005-0000-0000-000027860000}"/>
    <cellStyle name="Separador de milhares 3 4 5 3 4 2" xfId="23876" xr:uid="{00000000-0005-0000-0000-000028860000}"/>
    <cellStyle name="Separador de milhares 3 4 5 3 4 2 2" xfId="50060" xr:uid="{00000000-0005-0000-0000-000029860000}"/>
    <cellStyle name="Separador de milhares 3 4 5 3 4 3" xfId="31437" xr:uid="{00000000-0005-0000-0000-00002A860000}"/>
    <cellStyle name="Separador de milhares 3 4 5 3 5" xfId="17962" xr:uid="{00000000-0005-0000-0000-00002B860000}"/>
    <cellStyle name="Separador de milhares 3 4 5 3 5 2" xfId="44152" xr:uid="{00000000-0005-0000-0000-00002C860000}"/>
    <cellStyle name="Separador de milhares 3 4 5 3 6" xfId="11628" xr:uid="{00000000-0005-0000-0000-00002D860000}"/>
    <cellStyle name="Separador de milhares 3 4 5 3 6 2" xfId="37821" xr:uid="{00000000-0005-0000-0000-00002E860000}"/>
    <cellStyle name="Separador de milhares 3 4 5 3 7" xfId="29739" xr:uid="{00000000-0005-0000-0000-00002F860000}"/>
    <cellStyle name="Separador de milhares 3 4 5 4" xfId="2374" xr:uid="{00000000-0005-0000-0000-000030860000}"/>
    <cellStyle name="Separador de milhares 3 4 5 4 2" xfId="7090" xr:uid="{00000000-0005-0000-0000-000031860000}"/>
    <cellStyle name="Separador de milhares 3 4 5 4 2 2" xfId="10234" xr:uid="{00000000-0005-0000-0000-000032860000}"/>
    <cellStyle name="Separador de milhares 3 4 5 4 2 2 2" xfId="28448" xr:uid="{00000000-0005-0000-0000-000033860000}"/>
    <cellStyle name="Separador de milhares 3 4 5 4 2 2 2 2" xfId="54629" xr:uid="{00000000-0005-0000-0000-000034860000}"/>
    <cellStyle name="Separador de milhares 3 4 5 4 2 2 3" xfId="22534" xr:uid="{00000000-0005-0000-0000-000035860000}"/>
    <cellStyle name="Separador de milhares 3 4 5 4 2 2 3 2" xfId="48721" xr:uid="{00000000-0005-0000-0000-000036860000}"/>
    <cellStyle name="Separador de milhares 3 4 5 4 2 2 4" xfId="16620" xr:uid="{00000000-0005-0000-0000-000037860000}"/>
    <cellStyle name="Separador de milhares 3 4 5 4 2 2 4 2" xfId="42813" xr:uid="{00000000-0005-0000-0000-000038860000}"/>
    <cellStyle name="Separador de milhares 3 4 5 4 2 2 5" xfId="36427" xr:uid="{00000000-0005-0000-0000-000039860000}"/>
    <cellStyle name="Separador de milhares 3 4 5 4 2 3" xfId="25491" xr:uid="{00000000-0005-0000-0000-00003A860000}"/>
    <cellStyle name="Separador de milhares 3 4 5 4 2 3 2" xfId="51675" xr:uid="{00000000-0005-0000-0000-00003B860000}"/>
    <cellStyle name="Separador de milhares 3 4 5 4 2 4" xfId="19577" xr:uid="{00000000-0005-0000-0000-00003C860000}"/>
    <cellStyle name="Separador de milhares 3 4 5 4 2 4 2" xfId="45767" xr:uid="{00000000-0005-0000-0000-00003D860000}"/>
    <cellStyle name="Separador de milhares 3 4 5 4 2 5" xfId="13479" xr:uid="{00000000-0005-0000-0000-00003E860000}"/>
    <cellStyle name="Separador de milhares 3 4 5 4 2 5 2" xfId="39672" xr:uid="{00000000-0005-0000-0000-00003F860000}"/>
    <cellStyle name="Separador de milhares 3 4 5 4 2 6" xfId="33286" xr:uid="{00000000-0005-0000-0000-000040860000}"/>
    <cellStyle name="Separador de milhares 3 4 5 4 3" xfId="8766" xr:uid="{00000000-0005-0000-0000-000041860000}"/>
    <cellStyle name="Separador de milhares 3 4 5 4 3 2" xfId="26980" xr:uid="{00000000-0005-0000-0000-000042860000}"/>
    <cellStyle name="Separador de milhares 3 4 5 4 3 2 2" xfId="53161" xr:uid="{00000000-0005-0000-0000-000043860000}"/>
    <cellStyle name="Separador de milhares 3 4 5 4 3 3" xfId="21066" xr:uid="{00000000-0005-0000-0000-000044860000}"/>
    <cellStyle name="Separador de milhares 3 4 5 4 3 3 2" xfId="47253" xr:uid="{00000000-0005-0000-0000-000045860000}"/>
    <cellStyle name="Separador de milhares 3 4 5 4 3 4" xfId="15152" xr:uid="{00000000-0005-0000-0000-000046860000}"/>
    <cellStyle name="Separador de milhares 3 4 5 4 3 4 2" xfId="41345" xr:uid="{00000000-0005-0000-0000-000047860000}"/>
    <cellStyle name="Separador de milhares 3 4 5 4 3 5" xfId="34959" xr:uid="{00000000-0005-0000-0000-000048860000}"/>
    <cellStyle name="Separador de milhares 3 4 5 4 4" xfId="5391" xr:uid="{00000000-0005-0000-0000-000049860000}"/>
    <cellStyle name="Separador de milhares 3 4 5 4 4 2" xfId="24023" xr:uid="{00000000-0005-0000-0000-00004A860000}"/>
    <cellStyle name="Separador de milhares 3 4 5 4 4 2 2" xfId="50207" xr:uid="{00000000-0005-0000-0000-00004B860000}"/>
    <cellStyle name="Separador de milhares 3 4 5 4 4 3" xfId="31587" xr:uid="{00000000-0005-0000-0000-00004C860000}"/>
    <cellStyle name="Separador de milhares 3 4 5 4 5" xfId="18109" xr:uid="{00000000-0005-0000-0000-00004D860000}"/>
    <cellStyle name="Separador de milhares 3 4 5 4 5 2" xfId="44299" xr:uid="{00000000-0005-0000-0000-00004E860000}"/>
    <cellStyle name="Separador de milhares 3 4 5 4 6" xfId="11778" xr:uid="{00000000-0005-0000-0000-00004F860000}"/>
    <cellStyle name="Separador de milhares 3 4 5 4 6 2" xfId="37971" xr:uid="{00000000-0005-0000-0000-000050860000}"/>
    <cellStyle name="Separador de milhares 3 4 5 4 7" xfId="29889" xr:uid="{00000000-0005-0000-0000-000051860000}"/>
    <cellStyle name="Separador de milhares 3 4 5 5" xfId="2901" xr:uid="{00000000-0005-0000-0000-000052860000}"/>
    <cellStyle name="Separador de milhares 3 4 5 5 2" xfId="7237" xr:uid="{00000000-0005-0000-0000-000053860000}"/>
    <cellStyle name="Separador de milhares 3 4 5 5 2 2" xfId="10381" xr:uid="{00000000-0005-0000-0000-000054860000}"/>
    <cellStyle name="Separador de milhares 3 4 5 5 2 2 2" xfId="28595" xr:uid="{00000000-0005-0000-0000-000055860000}"/>
    <cellStyle name="Separador de milhares 3 4 5 5 2 2 2 2" xfId="54776" xr:uid="{00000000-0005-0000-0000-000056860000}"/>
    <cellStyle name="Separador de milhares 3 4 5 5 2 2 3" xfId="22681" xr:uid="{00000000-0005-0000-0000-000057860000}"/>
    <cellStyle name="Separador de milhares 3 4 5 5 2 2 3 2" xfId="48868" xr:uid="{00000000-0005-0000-0000-000058860000}"/>
    <cellStyle name="Separador de milhares 3 4 5 5 2 2 4" xfId="16767" xr:uid="{00000000-0005-0000-0000-000059860000}"/>
    <cellStyle name="Separador de milhares 3 4 5 5 2 2 4 2" xfId="42960" xr:uid="{00000000-0005-0000-0000-00005A860000}"/>
    <cellStyle name="Separador de milhares 3 4 5 5 2 2 5" xfId="36574" xr:uid="{00000000-0005-0000-0000-00005B860000}"/>
    <cellStyle name="Separador de milhares 3 4 5 5 2 3" xfId="25638" xr:uid="{00000000-0005-0000-0000-00005C860000}"/>
    <cellStyle name="Separador de milhares 3 4 5 5 2 3 2" xfId="51822" xr:uid="{00000000-0005-0000-0000-00005D860000}"/>
    <cellStyle name="Separador de milhares 3 4 5 5 2 4" xfId="19724" xr:uid="{00000000-0005-0000-0000-00005E860000}"/>
    <cellStyle name="Separador de milhares 3 4 5 5 2 4 2" xfId="45914" xr:uid="{00000000-0005-0000-0000-00005F860000}"/>
    <cellStyle name="Separador de milhares 3 4 5 5 2 5" xfId="13626" xr:uid="{00000000-0005-0000-0000-000060860000}"/>
    <cellStyle name="Separador de milhares 3 4 5 5 2 5 2" xfId="39819" xr:uid="{00000000-0005-0000-0000-000061860000}"/>
    <cellStyle name="Separador de milhares 3 4 5 5 2 6" xfId="33433" xr:uid="{00000000-0005-0000-0000-000062860000}"/>
    <cellStyle name="Separador de milhares 3 4 5 5 3" xfId="8913" xr:uid="{00000000-0005-0000-0000-000063860000}"/>
    <cellStyle name="Separador de milhares 3 4 5 5 3 2" xfId="27127" xr:uid="{00000000-0005-0000-0000-000064860000}"/>
    <cellStyle name="Separador de milhares 3 4 5 5 3 2 2" xfId="53308" xr:uid="{00000000-0005-0000-0000-000065860000}"/>
    <cellStyle name="Separador de milhares 3 4 5 5 3 3" xfId="21213" xr:uid="{00000000-0005-0000-0000-000066860000}"/>
    <cellStyle name="Separador de milhares 3 4 5 5 3 3 2" xfId="47400" xr:uid="{00000000-0005-0000-0000-000067860000}"/>
    <cellStyle name="Separador de milhares 3 4 5 5 3 4" xfId="15299" xr:uid="{00000000-0005-0000-0000-000068860000}"/>
    <cellStyle name="Separador de milhares 3 4 5 5 3 4 2" xfId="41492" xr:uid="{00000000-0005-0000-0000-000069860000}"/>
    <cellStyle name="Separador de milhares 3 4 5 5 3 5" xfId="35106" xr:uid="{00000000-0005-0000-0000-00006A860000}"/>
    <cellStyle name="Separador de milhares 3 4 5 5 4" xfId="5538" xr:uid="{00000000-0005-0000-0000-00006B860000}"/>
    <cellStyle name="Separador de milhares 3 4 5 5 4 2" xfId="24170" xr:uid="{00000000-0005-0000-0000-00006C860000}"/>
    <cellStyle name="Separador de milhares 3 4 5 5 4 2 2" xfId="50354" xr:uid="{00000000-0005-0000-0000-00006D860000}"/>
    <cellStyle name="Separador de milhares 3 4 5 5 4 3" xfId="31734" xr:uid="{00000000-0005-0000-0000-00006E860000}"/>
    <cellStyle name="Separador de milhares 3 4 5 5 5" xfId="18256" xr:uid="{00000000-0005-0000-0000-00006F860000}"/>
    <cellStyle name="Separador de milhares 3 4 5 5 5 2" xfId="44446" xr:uid="{00000000-0005-0000-0000-000070860000}"/>
    <cellStyle name="Separador de milhares 3 4 5 5 6" xfId="11925" xr:uid="{00000000-0005-0000-0000-000071860000}"/>
    <cellStyle name="Separador de milhares 3 4 5 5 6 2" xfId="38118" xr:uid="{00000000-0005-0000-0000-000072860000}"/>
    <cellStyle name="Separador de milhares 3 4 5 5 7" xfId="30036" xr:uid="{00000000-0005-0000-0000-000073860000}"/>
    <cellStyle name="Separador de milhares 3 4 5 6" xfId="3428" xr:uid="{00000000-0005-0000-0000-000074860000}"/>
    <cellStyle name="Separador de milhares 3 4 5 6 2" xfId="7384" xr:uid="{00000000-0005-0000-0000-000075860000}"/>
    <cellStyle name="Separador de milhares 3 4 5 6 2 2" xfId="10528" xr:uid="{00000000-0005-0000-0000-000076860000}"/>
    <cellStyle name="Separador de milhares 3 4 5 6 2 2 2" xfId="28742" xr:uid="{00000000-0005-0000-0000-000077860000}"/>
    <cellStyle name="Separador de milhares 3 4 5 6 2 2 2 2" xfId="54923" xr:uid="{00000000-0005-0000-0000-000078860000}"/>
    <cellStyle name="Separador de milhares 3 4 5 6 2 2 3" xfId="22828" xr:uid="{00000000-0005-0000-0000-000079860000}"/>
    <cellStyle name="Separador de milhares 3 4 5 6 2 2 3 2" xfId="49015" xr:uid="{00000000-0005-0000-0000-00007A860000}"/>
    <cellStyle name="Separador de milhares 3 4 5 6 2 2 4" xfId="16914" xr:uid="{00000000-0005-0000-0000-00007B860000}"/>
    <cellStyle name="Separador de milhares 3 4 5 6 2 2 4 2" xfId="43107" xr:uid="{00000000-0005-0000-0000-00007C860000}"/>
    <cellStyle name="Separador de milhares 3 4 5 6 2 2 5" xfId="36721" xr:uid="{00000000-0005-0000-0000-00007D860000}"/>
    <cellStyle name="Separador de milhares 3 4 5 6 2 3" xfId="25785" xr:uid="{00000000-0005-0000-0000-00007E860000}"/>
    <cellStyle name="Separador de milhares 3 4 5 6 2 3 2" xfId="51969" xr:uid="{00000000-0005-0000-0000-00007F860000}"/>
    <cellStyle name="Separador de milhares 3 4 5 6 2 4" xfId="19871" xr:uid="{00000000-0005-0000-0000-000080860000}"/>
    <cellStyle name="Separador de milhares 3 4 5 6 2 4 2" xfId="46061" xr:uid="{00000000-0005-0000-0000-000081860000}"/>
    <cellStyle name="Separador de milhares 3 4 5 6 2 5" xfId="13773" xr:uid="{00000000-0005-0000-0000-000082860000}"/>
    <cellStyle name="Separador de milhares 3 4 5 6 2 5 2" xfId="39966" xr:uid="{00000000-0005-0000-0000-000083860000}"/>
    <cellStyle name="Separador de milhares 3 4 5 6 2 6" xfId="33580" xr:uid="{00000000-0005-0000-0000-000084860000}"/>
    <cellStyle name="Separador de milhares 3 4 5 6 3" xfId="9060" xr:uid="{00000000-0005-0000-0000-000085860000}"/>
    <cellStyle name="Separador de milhares 3 4 5 6 3 2" xfId="27274" xr:uid="{00000000-0005-0000-0000-000086860000}"/>
    <cellStyle name="Separador de milhares 3 4 5 6 3 2 2" xfId="53455" xr:uid="{00000000-0005-0000-0000-000087860000}"/>
    <cellStyle name="Separador de milhares 3 4 5 6 3 3" xfId="21360" xr:uid="{00000000-0005-0000-0000-000088860000}"/>
    <cellStyle name="Separador de milhares 3 4 5 6 3 3 2" xfId="47547" xr:uid="{00000000-0005-0000-0000-000089860000}"/>
    <cellStyle name="Separador de milhares 3 4 5 6 3 4" xfId="15446" xr:uid="{00000000-0005-0000-0000-00008A860000}"/>
    <cellStyle name="Separador de milhares 3 4 5 6 3 4 2" xfId="41639" xr:uid="{00000000-0005-0000-0000-00008B860000}"/>
    <cellStyle name="Separador de milhares 3 4 5 6 3 5" xfId="35253" xr:uid="{00000000-0005-0000-0000-00008C860000}"/>
    <cellStyle name="Separador de milhares 3 4 5 6 4" xfId="5685" xr:uid="{00000000-0005-0000-0000-00008D860000}"/>
    <cellStyle name="Separador de milhares 3 4 5 6 4 2" xfId="24317" xr:uid="{00000000-0005-0000-0000-00008E860000}"/>
    <cellStyle name="Separador de milhares 3 4 5 6 4 2 2" xfId="50501" xr:uid="{00000000-0005-0000-0000-00008F860000}"/>
    <cellStyle name="Separador de milhares 3 4 5 6 4 3" xfId="31881" xr:uid="{00000000-0005-0000-0000-000090860000}"/>
    <cellStyle name="Separador de milhares 3 4 5 6 5" xfId="18403" xr:uid="{00000000-0005-0000-0000-000091860000}"/>
    <cellStyle name="Separador de milhares 3 4 5 6 5 2" xfId="44593" xr:uid="{00000000-0005-0000-0000-000092860000}"/>
    <cellStyle name="Separador de milhares 3 4 5 6 6" xfId="12072" xr:uid="{00000000-0005-0000-0000-000093860000}"/>
    <cellStyle name="Separador de milhares 3 4 5 6 6 2" xfId="38265" xr:uid="{00000000-0005-0000-0000-000094860000}"/>
    <cellStyle name="Separador de milhares 3 4 5 6 7" xfId="30183" xr:uid="{00000000-0005-0000-0000-000095860000}"/>
    <cellStyle name="Separador de milhares 3 4 5 7" xfId="3955" xr:uid="{00000000-0005-0000-0000-000096860000}"/>
    <cellStyle name="Separador de milhares 3 4 5 7 2" xfId="7531" xr:uid="{00000000-0005-0000-0000-000097860000}"/>
    <cellStyle name="Separador de milhares 3 4 5 7 2 2" xfId="10675" xr:uid="{00000000-0005-0000-0000-000098860000}"/>
    <cellStyle name="Separador de milhares 3 4 5 7 2 2 2" xfId="28889" xr:uid="{00000000-0005-0000-0000-000099860000}"/>
    <cellStyle name="Separador de milhares 3 4 5 7 2 2 2 2" xfId="55070" xr:uid="{00000000-0005-0000-0000-00009A860000}"/>
    <cellStyle name="Separador de milhares 3 4 5 7 2 2 3" xfId="22975" xr:uid="{00000000-0005-0000-0000-00009B860000}"/>
    <cellStyle name="Separador de milhares 3 4 5 7 2 2 3 2" xfId="49162" xr:uid="{00000000-0005-0000-0000-00009C860000}"/>
    <cellStyle name="Separador de milhares 3 4 5 7 2 2 4" xfId="17061" xr:uid="{00000000-0005-0000-0000-00009D860000}"/>
    <cellStyle name="Separador de milhares 3 4 5 7 2 2 4 2" xfId="43254" xr:uid="{00000000-0005-0000-0000-00009E860000}"/>
    <cellStyle name="Separador de milhares 3 4 5 7 2 2 5" xfId="36868" xr:uid="{00000000-0005-0000-0000-00009F860000}"/>
    <cellStyle name="Separador de milhares 3 4 5 7 2 3" xfId="25932" xr:uid="{00000000-0005-0000-0000-0000A0860000}"/>
    <cellStyle name="Separador de milhares 3 4 5 7 2 3 2" xfId="52116" xr:uid="{00000000-0005-0000-0000-0000A1860000}"/>
    <cellStyle name="Separador de milhares 3 4 5 7 2 4" xfId="20018" xr:uid="{00000000-0005-0000-0000-0000A2860000}"/>
    <cellStyle name="Separador de milhares 3 4 5 7 2 4 2" xfId="46208" xr:uid="{00000000-0005-0000-0000-0000A3860000}"/>
    <cellStyle name="Separador de milhares 3 4 5 7 2 5" xfId="13920" xr:uid="{00000000-0005-0000-0000-0000A4860000}"/>
    <cellStyle name="Separador de milhares 3 4 5 7 2 5 2" xfId="40113" xr:uid="{00000000-0005-0000-0000-0000A5860000}"/>
    <cellStyle name="Separador de milhares 3 4 5 7 2 6" xfId="33727" xr:uid="{00000000-0005-0000-0000-0000A6860000}"/>
    <cellStyle name="Separador de milhares 3 4 5 7 3" xfId="9207" xr:uid="{00000000-0005-0000-0000-0000A7860000}"/>
    <cellStyle name="Separador de milhares 3 4 5 7 3 2" xfId="27421" xr:uid="{00000000-0005-0000-0000-0000A8860000}"/>
    <cellStyle name="Separador de milhares 3 4 5 7 3 2 2" xfId="53602" xr:uid="{00000000-0005-0000-0000-0000A9860000}"/>
    <cellStyle name="Separador de milhares 3 4 5 7 3 3" xfId="21507" xr:uid="{00000000-0005-0000-0000-0000AA860000}"/>
    <cellStyle name="Separador de milhares 3 4 5 7 3 3 2" xfId="47694" xr:uid="{00000000-0005-0000-0000-0000AB860000}"/>
    <cellStyle name="Separador de milhares 3 4 5 7 3 4" xfId="15593" xr:uid="{00000000-0005-0000-0000-0000AC860000}"/>
    <cellStyle name="Separador de milhares 3 4 5 7 3 4 2" xfId="41786" xr:uid="{00000000-0005-0000-0000-0000AD860000}"/>
    <cellStyle name="Separador de milhares 3 4 5 7 3 5" xfId="35400" xr:uid="{00000000-0005-0000-0000-0000AE860000}"/>
    <cellStyle name="Separador de milhares 3 4 5 7 4" xfId="5832" xr:uid="{00000000-0005-0000-0000-0000AF860000}"/>
    <cellStyle name="Separador de milhares 3 4 5 7 4 2" xfId="24464" xr:uid="{00000000-0005-0000-0000-0000B0860000}"/>
    <cellStyle name="Separador de milhares 3 4 5 7 4 2 2" xfId="50648" xr:uid="{00000000-0005-0000-0000-0000B1860000}"/>
    <cellStyle name="Separador de milhares 3 4 5 7 4 3" xfId="32028" xr:uid="{00000000-0005-0000-0000-0000B2860000}"/>
    <cellStyle name="Separador de milhares 3 4 5 7 5" xfId="18550" xr:uid="{00000000-0005-0000-0000-0000B3860000}"/>
    <cellStyle name="Separador de milhares 3 4 5 7 5 2" xfId="44740" xr:uid="{00000000-0005-0000-0000-0000B4860000}"/>
    <cellStyle name="Separador de milhares 3 4 5 7 6" xfId="12219" xr:uid="{00000000-0005-0000-0000-0000B5860000}"/>
    <cellStyle name="Separador de milhares 3 4 5 7 6 2" xfId="38412" xr:uid="{00000000-0005-0000-0000-0000B6860000}"/>
    <cellStyle name="Separador de milhares 3 4 5 7 7" xfId="30330" xr:uid="{00000000-0005-0000-0000-0000B7860000}"/>
    <cellStyle name="Separador de milhares 3 4 5 8" xfId="6570" xr:uid="{00000000-0005-0000-0000-0000B8860000}"/>
    <cellStyle name="Separador de milhares 3 4 5 8 2" xfId="9717" xr:uid="{00000000-0005-0000-0000-0000B9860000}"/>
    <cellStyle name="Separador de milhares 3 4 5 8 2 2" xfId="27931" xr:uid="{00000000-0005-0000-0000-0000BA860000}"/>
    <cellStyle name="Separador de milhares 3 4 5 8 2 2 2" xfId="54112" xr:uid="{00000000-0005-0000-0000-0000BB860000}"/>
    <cellStyle name="Separador de milhares 3 4 5 8 2 3" xfId="22017" xr:uid="{00000000-0005-0000-0000-0000BC860000}"/>
    <cellStyle name="Separador de milhares 3 4 5 8 2 3 2" xfId="48204" xr:uid="{00000000-0005-0000-0000-0000BD860000}"/>
    <cellStyle name="Separador de milhares 3 4 5 8 2 4" xfId="16103" xr:uid="{00000000-0005-0000-0000-0000BE860000}"/>
    <cellStyle name="Separador de milhares 3 4 5 8 2 4 2" xfId="42296" xr:uid="{00000000-0005-0000-0000-0000BF860000}"/>
    <cellStyle name="Separador de milhares 3 4 5 8 2 5" xfId="35910" xr:uid="{00000000-0005-0000-0000-0000C0860000}"/>
    <cellStyle name="Separador de milhares 3 4 5 8 3" xfId="24974" xr:uid="{00000000-0005-0000-0000-0000C1860000}"/>
    <cellStyle name="Separador de milhares 3 4 5 8 3 2" xfId="51158" xr:uid="{00000000-0005-0000-0000-0000C2860000}"/>
    <cellStyle name="Separador de milhares 3 4 5 8 4" xfId="19060" xr:uid="{00000000-0005-0000-0000-0000C3860000}"/>
    <cellStyle name="Separador de milhares 3 4 5 8 4 2" xfId="45250" xr:uid="{00000000-0005-0000-0000-0000C4860000}"/>
    <cellStyle name="Separador de milhares 3 4 5 8 5" xfId="12959" xr:uid="{00000000-0005-0000-0000-0000C5860000}"/>
    <cellStyle name="Separador de milhares 3 4 5 8 5 2" xfId="39152" xr:uid="{00000000-0005-0000-0000-0000C6860000}"/>
    <cellStyle name="Separador de milhares 3 4 5 8 6" xfId="32766" xr:uid="{00000000-0005-0000-0000-0000C7860000}"/>
    <cellStyle name="Separador de milhares 3 4 5 9" xfId="8246" xr:uid="{00000000-0005-0000-0000-0000C8860000}"/>
    <cellStyle name="Separador de milhares 3 4 5 9 2" xfId="26460" xr:uid="{00000000-0005-0000-0000-0000C9860000}"/>
    <cellStyle name="Separador de milhares 3 4 5 9 2 2" xfId="52644" xr:uid="{00000000-0005-0000-0000-0000CA860000}"/>
    <cellStyle name="Separador de milhares 3 4 5 9 3" xfId="20546" xr:uid="{00000000-0005-0000-0000-0000CB860000}"/>
    <cellStyle name="Separador de milhares 3 4 5 9 3 2" xfId="46736" xr:uid="{00000000-0005-0000-0000-0000CC860000}"/>
    <cellStyle name="Separador de milhares 3 4 5 9 4" xfId="14635" xr:uid="{00000000-0005-0000-0000-0000CD860000}"/>
    <cellStyle name="Separador de milhares 3 4 5 9 4 2" xfId="40828" xr:uid="{00000000-0005-0000-0000-0000CE860000}"/>
    <cellStyle name="Separador de milhares 3 4 5 9 5" xfId="34442" xr:uid="{00000000-0005-0000-0000-0000CF860000}"/>
    <cellStyle name="Separador de milhares 3 4 6" xfId="707" xr:uid="{00000000-0005-0000-0000-0000D0860000}"/>
    <cellStyle name="Separador de milhares 3 4 6 2" xfId="4131" xr:uid="{00000000-0005-0000-0000-0000D1860000}"/>
    <cellStyle name="Separador de milhares 3 4 6 2 2" xfId="7580" xr:uid="{00000000-0005-0000-0000-0000D2860000}"/>
    <cellStyle name="Separador de milhares 3 4 6 2 2 2" xfId="10724" xr:uid="{00000000-0005-0000-0000-0000D3860000}"/>
    <cellStyle name="Separador de milhares 3 4 6 2 2 2 2" xfId="28938" xr:uid="{00000000-0005-0000-0000-0000D4860000}"/>
    <cellStyle name="Separador de milhares 3 4 6 2 2 2 2 2" xfId="55119" xr:uid="{00000000-0005-0000-0000-0000D5860000}"/>
    <cellStyle name="Separador de milhares 3 4 6 2 2 2 3" xfId="23024" xr:uid="{00000000-0005-0000-0000-0000D6860000}"/>
    <cellStyle name="Separador de milhares 3 4 6 2 2 2 3 2" xfId="49211" xr:uid="{00000000-0005-0000-0000-0000D7860000}"/>
    <cellStyle name="Separador de milhares 3 4 6 2 2 2 4" xfId="17110" xr:uid="{00000000-0005-0000-0000-0000D8860000}"/>
    <cellStyle name="Separador de milhares 3 4 6 2 2 2 4 2" xfId="43303" xr:uid="{00000000-0005-0000-0000-0000D9860000}"/>
    <cellStyle name="Separador de milhares 3 4 6 2 2 2 5" xfId="36917" xr:uid="{00000000-0005-0000-0000-0000DA860000}"/>
    <cellStyle name="Separador de milhares 3 4 6 2 2 3" xfId="25981" xr:uid="{00000000-0005-0000-0000-0000DB860000}"/>
    <cellStyle name="Separador de milhares 3 4 6 2 2 3 2" xfId="52165" xr:uid="{00000000-0005-0000-0000-0000DC860000}"/>
    <cellStyle name="Separador de milhares 3 4 6 2 2 4" xfId="20067" xr:uid="{00000000-0005-0000-0000-0000DD860000}"/>
    <cellStyle name="Separador de milhares 3 4 6 2 2 4 2" xfId="46257" xr:uid="{00000000-0005-0000-0000-0000DE860000}"/>
    <cellStyle name="Separador de milhares 3 4 6 2 2 5" xfId="13969" xr:uid="{00000000-0005-0000-0000-0000DF860000}"/>
    <cellStyle name="Separador de milhares 3 4 6 2 2 5 2" xfId="40162" xr:uid="{00000000-0005-0000-0000-0000E0860000}"/>
    <cellStyle name="Separador de milhares 3 4 6 2 2 6" xfId="33776" xr:uid="{00000000-0005-0000-0000-0000E1860000}"/>
    <cellStyle name="Separador de milhares 3 4 6 2 3" xfId="9256" xr:uid="{00000000-0005-0000-0000-0000E2860000}"/>
    <cellStyle name="Separador de milhares 3 4 6 2 3 2" xfId="27470" xr:uid="{00000000-0005-0000-0000-0000E3860000}"/>
    <cellStyle name="Separador de milhares 3 4 6 2 3 2 2" xfId="53651" xr:uid="{00000000-0005-0000-0000-0000E4860000}"/>
    <cellStyle name="Separador de milhares 3 4 6 2 3 3" xfId="21556" xr:uid="{00000000-0005-0000-0000-0000E5860000}"/>
    <cellStyle name="Separador de milhares 3 4 6 2 3 3 2" xfId="47743" xr:uid="{00000000-0005-0000-0000-0000E6860000}"/>
    <cellStyle name="Separador de milhares 3 4 6 2 3 4" xfId="15642" xr:uid="{00000000-0005-0000-0000-0000E7860000}"/>
    <cellStyle name="Separador de milhares 3 4 6 2 3 4 2" xfId="41835" xr:uid="{00000000-0005-0000-0000-0000E8860000}"/>
    <cellStyle name="Separador de milhares 3 4 6 2 3 5" xfId="35449" xr:uid="{00000000-0005-0000-0000-0000E9860000}"/>
    <cellStyle name="Separador de milhares 3 4 6 2 4" xfId="5881" xr:uid="{00000000-0005-0000-0000-0000EA860000}"/>
    <cellStyle name="Separador de milhares 3 4 6 2 4 2" xfId="24513" xr:uid="{00000000-0005-0000-0000-0000EB860000}"/>
    <cellStyle name="Separador de milhares 3 4 6 2 4 2 2" xfId="50697" xr:uid="{00000000-0005-0000-0000-0000EC860000}"/>
    <cellStyle name="Separador de milhares 3 4 6 2 4 3" xfId="32077" xr:uid="{00000000-0005-0000-0000-0000ED860000}"/>
    <cellStyle name="Separador de milhares 3 4 6 2 5" xfId="18599" xr:uid="{00000000-0005-0000-0000-0000EE860000}"/>
    <cellStyle name="Separador de milhares 3 4 6 2 5 2" xfId="44789" xr:uid="{00000000-0005-0000-0000-0000EF860000}"/>
    <cellStyle name="Separador de milhares 3 4 6 2 6" xfId="12268" xr:uid="{00000000-0005-0000-0000-0000F0860000}"/>
    <cellStyle name="Separador de milhares 3 4 6 2 6 2" xfId="38461" xr:uid="{00000000-0005-0000-0000-0000F1860000}"/>
    <cellStyle name="Separador de milhares 3 4 6 2 7" xfId="30379" xr:uid="{00000000-0005-0000-0000-0000F2860000}"/>
    <cellStyle name="Separador de milhares 3 4 6 3" xfId="6625" xr:uid="{00000000-0005-0000-0000-0000F3860000}"/>
    <cellStyle name="Separador de milhares 3 4 6 3 2" xfId="9772" xr:uid="{00000000-0005-0000-0000-0000F4860000}"/>
    <cellStyle name="Separador de milhares 3 4 6 3 2 2" xfId="27986" xr:uid="{00000000-0005-0000-0000-0000F5860000}"/>
    <cellStyle name="Separador de milhares 3 4 6 3 2 2 2" xfId="54167" xr:uid="{00000000-0005-0000-0000-0000F6860000}"/>
    <cellStyle name="Separador de milhares 3 4 6 3 2 3" xfId="22072" xr:uid="{00000000-0005-0000-0000-0000F7860000}"/>
    <cellStyle name="Separador de milhares 3 4 6 3 2 3 2" xfId="48259" xr:uid="{00000000-0005-0000-0000-0000F8860000}"/>
    <cellStyle name="Separador de milhares 3 4 6 3 2 4" xfId="16158" xr:uid="{00000000-0005-0000-0000-0000F9860000}"/>
    <cellStyle name="Separador de milhares 3 4 6 3 2 4 2" xfId="42351" xr:uid="{00000000-0005-0000-0000-0000FA860000}"/>
    <cellStyle name="Separador de milhares 3 4 6 3 2 5" xfId="35965" xr:uid="{00000000-0005-0000-0000-0000FB860000}"/>
    <cellStyle name="Separador de milhares 3 4 6 3 3" xfId="25029" xr:uid="{00000000-0005-0000-0000-0000FC860000}"/>
    <cellStyle name="Separador de milhares 3 4 6 3 3 2" xfId="51213" xr:uid="{00000000-0005-0000-0000-0000FD860000}"/>
    <cellStyle name="Separador de milhares 3 4 6 3 4" xfId="19115" xr:uid="{00000000-0005-0000-0000-0000FE860000}"/>
    <cellStyle name="Separador de milhares 3 4 6 3 4 2" xfId="45305" xr:uid="{00000000-0005-0000-0000-0000FF860000}"/>
    <cellStyle name="Separador de milhares 3 4 6 3 5" xfId="13014" xr:uid="{00000000-0005-0000-0000-000000870000}"/>
    <cellStyle name="Separador de milhares 3 4 6 3 5 2" xfId="39207" xr:uid="{00000000-0005-0000-0000-000001870000}"/>
    <cellStyle name="Separador de milhares 3 4 6 3 6" xfId="32821" xr:uid="{00000000-0005-0000-0000-000002870000}"/>
    <cellStyle name="Separador de milhares 3 4 6 4" xfId="8304" xr:uid="{00000000-0005-0000-0000-000003870000}"/>
    <cellStyle name="Separador de milhares 3 4 6 4 2" xfId="26518" xr:uid="{00000000-0005-0000-0000-000004870000}"/>
    <cellStyle name="Separador de milhares 3 4 6 4 2 2" xfId="52699" xr:uid="{00000000-0005-0000-0000-000005870000}"/>
    <cellStyle name="Separador de milhares 3 4 6 4 3" xfId="20604" xr:uid="{00000000-0005-0000-0000-000006870000}"/>
    <cellStyle name="Separador de milhares 3 4 6 4 3 2" xfId="46791" xr:uid="{00000000-0005-0000-0000-000007870000}"/>
    <cellStyle name="Separador de milhares 3 4 6 4 4" xfId="14690" xr:uid="{00000000-0005-0000-0000-000008870000}"/>
    <cellStyle name="Separador de milhares 3 4 6 4 4 2" xfId="40883" xr:uid="{00000000-0005-0000-0000-000009870000}"/>
    <cellStyle name="Separador de milhares 3 4 6 4 5" xfId="34497" xr:uid="{00000000-0005-0000-0000-00000A870000}"/>
    <cellStyle name="Separador de milhares 3 4 6 5" xfId="4926" xr:uid="{00000000-0005-0000-0000-00000B870000}"/>
    <cellStyle name="Separador de milhares 3 4 6 5 2" xfId="23561" xr:uid="{00000000-0005-0000-0000-00000C870000}"/>
    <cellStyle name="Separador de milhares 3 4 6 5 2 2" xfId="49745" xr:uid="{00000000-0005-0000-0000-00000D870000}"/>
    <cellStyle name="Separador de milhares 3 4 6 5 3" xfId="31122" xr:uid="{00000000-0005-0000-0000-00000E870000}"/>
    <cellStyle name="Separador de milhares 3 4 6 6" xfId="17647" xr:uid="{00000000-0005-0000-0000-00000F870000}"/>
    <cellStyle name="Separador de milhares 3 4 6 6 2" xfId="43837" xr:uid="{00000000-0005-0000-0000-000010870000}"/>
    <cellStyle name="Separador de milhares 3 4 6 7" xfId="11313" xr:uid="{00000000-0005-0000-0000-000011870000}"/>
    <cellStyle name="Separador de milhares 3 4 6 7 2" xfId="37506" xr:uid="{00000000-0005-0000-0000-000012870000}"/>
    <cellStyle name="Separador de milhares 3 4 6 8" xfId="29424" xr:uid="{00000000-0005-0000-0000-000013870000}"/>
    <cellStyle name="Separador de milhares 3 4 7" xfId="1058" xr:uid="{00000000-0005-0000-0000-000014870000}"/>
    <cellStyle name="Separador de milhares 3 4 7 2" xfId="6723" xr:uid="{00000000-0005-0000-0000-000015870000}"/>
    <cellStyle name="Separador de milhares 3 4 7 2 2" xfId="9870" xr:uid="{00000000-0005-0000-0000-000016870000}"/>
    <cellStyle name="Separador de milhares 3 4 7 2 2 2" xfId="28084" xr:uid="{00000000-0005-0000-0000-000017870000}"/>
    <cellStyle name="Separador de milhares 3 4 7 2 2 2 2" xfId="54265" xr:uid="{00000000-0005-0000-0000-000018870000}"/>
    <cellStyle name="Separador de milhares 3 4 7 2 2 3" xfId="22170" xr:uid="{00000000-0005-0000-0000-000019870000}"/>
    <cellStyle name="Separador de milhares 3 4 7 2 2 3 2" xfId="48357" xr:uid="{00000000-0005-0000-0000-00001A870000}"/>
    <cellStyle name="Separador de milhares 3 4 7 2 2 4" xfId="16256" xr:uid="{00000000-0005-0000-0000-00001B870000}"/>
    <cellStyle name="Separador de milhares 3 4 7 2 2 4 2" xfId="42449" xr:uid="{00000000-0005-0000-0000-00001C870000}"/>
    <cellStyle name="Separador de milhares 3 4 7 2 2 5" xfId="36063" xr:uid="{00000000-0005-0000-0000-00001D870000}"/>
    <cellStyle name="Separador de milhares 3 4 7 2 3" xfId="25127" xr:uid="{00000000-0005-0000-0000-00001E870000}"/>
    <cellStyle name="Separador de milhares 3 4 7 2 3 2" xfId="51311" xr:uid="{00000000-0005-0000-0000-00001F870000}"/>
    <cellStyle name="Separador de milhares 3 4 7 2 4" xfId="19213" xr:uid="{00000000-0005-0000-0000-000020870000}"/>
    <cellStyle name="Separador de milhares 3 4 7 2 4 2" xfId="45403" xr:uid="{00000000-0005-0000-0000-000021870000}"/>
    <cellStyle name="Separador de milhares 3 4 7 2 5" xfId="13112" xr:uid="{00000000-0005-0000-0000-000022870000}"/>
    <cellStyle name="Separador de milhares 3 4 7 2 5 2" xfId="39305" xr:uid="{00000000-0005-0000-0000-000023870000}"/>
    <cellStyle name="Separador de milhares 3 4 7 2 6" xfId="32919" xr:uid="{00000000-0005-0000-0000-000024870000}"/>
    <cellStyle name="Separador de milhares 3 4 7 3" xfId="8402" xr:uid="{00000000-0005-0000-0000-000025870000}"/>
    <cellStyle name="Separador de milhares 3 4 7 3 2" xfId="26616" xr:uid="{00000000-0005-0000-0000-000026870000}"/>
    <cellStyle name="Separador de milhares 3 4 7 3 2 2" xfId="52797" xr:uid="{00000000-0005-0000-0000-000027870000}"/>
    <cellStyle name="Separador de milhares 3 4 7 3 3" xfId="20702" xr:uid="{00000000-0005-0000-0000-000028870000}"/>
    <cellStyle name="Separador de milhares 3 4 7 3 3 2" xfId="46889" xr:uid="{00000000-0005-0000-0000-000029870000}"/>
    <cellStyle name="Separador de milhares 3 4 7 3 4" xfId="14788" xr:uid="{00000000-0005-0000-0000-00002A870000}"/>
    <cellStyle name="Separador de milhares 3 4 7 3 4 2" xfId="40981" xr:uid="{00000000-0005-0000-0000-00002B870000}"/>
    <cellStyle name="Separador de milhares 3 4 7 3 5" xfId="34595" xr:uid="{00000000-0005-0000-0000-00002C870000}"/>
    <cellStyle name="Separador de milhares 3 4 7 4" xfId="5024" xr:uid="{00000000-0005-0000-0000-00002D870000}"/>
    <cellStyle name="Separador de milhares 3 4 7 4 2" xfId="23659" xr:uid="{00000000-0005-0000-0000-00002E870000}"/>
    <cellStyle name="Separador de milhares 3 4 7 4 2 2" xfId="49843" xr:uid="{00000000-0005-0000-0000-00002F870000}"/>
    <cellStyle name="Separador de milhares 3 4 7 4 3" xfId="31220" xr:uid="{00000000-0005-0000-0000-000030870000}"/>
    <cellStyle name="Separador de milhares 3 4 7 5" xfId="17745" xr:uid="{00000000-0005-0000-0000-000031870000}"/>
    <cellStyle name="Separador de milhares 3 4 7 5 2" xfId="43935" xr:uid="{00000000-0005-0000-0000-000032870000}"/>
    <cellStyle name="Separador de milhares 3 4 7 6" xfId="11411" xr:uid="{00000000-0005-0000-0000-000033870000}"/>
    <cellStyle name="Separador de milhares 3 4 7 6 2" xfId="37604" xr:uid="{00000000-0005-0000-0000-000034870000}"/>
    <cellStyle name="Separador de milhares 3 4 7 7" xfId="29522" xr:uid="{00000000-0005-0000-0000-000035870000}"/>
    <cellStyle name="Separador de milhares 3 4 8" xfId="1493" xr:uid="{00000000-0005-0000-0000-000036870000}"/>
    <cellStyle name="Separador de milhares 3 4 8 2" xfId="6842" xr:uid="{00000000-0005-0000-0000-000037870000}"/>
    <cellStyle name="Separador de milhares 3 4 8 2 2" xfId="9989" xr:uid="{00000000-0005-0000-0000-000038870000}"/>
    <cellStyle name="Separador de milhares 3 4 8 2 2 2" xfId="28203" xr:uid="{00000000-0005-0000-0000-000039870000}"/>
    <cellStyle name="Separador de milhares 3 4 8 2 2 2 2" xfId="54384" xr:uid="{00000000-0005-0000-0000-00003A870000}"/>
    <cellStyle name="Separador de milhares 3 4 8 2 2 3" xfId="22289" xr:uid="{00000000-0005-0000-0000-00003B870000}"/>
    <cellStyle name="Separador de milhares 3 4 8 2 2 3 2" xfId="48476" xr:uid="{00000000-0005-0000-0000-00003C870000}"/>
    <cellStyle name="Separador de milhares 3 4 8 2 2 4" xfId="16375" xr:uid="{00000000-0005-0000-0000-00003D870000}"/>
    <cellStyle name="Separador de milhares 3 4 8 2 2 4 2" xfId="42568" xr:uid="{00000000-0005-0000-0000-00003E870000}"/>
    <cellStyle name="Separador de milhares 3 4 8 2 2 5" xfId="36182" xr:uid="{00000000-0005-0000-0000-00003F870000}"/>
    <cellStyle name="Separador de milhares 3 4 8 2 3" xfId="25246" xr:uid="{00000000-0005-0000-0000-000040870000}"/>
    <cellStyle name="Separador de milhares 3 4 8 2 3 2" xfId="51430" xr:uid="{00000000-0005-0000-0000-000041870000}"/>
    <cellStyle name="Separador de milhares 3 4 8 2 4" xfId="19332" xr:uid="{00000000-0005-0000-0000-000042870000}"/>
    <cellStyle name="Separador de milhares 3 4 8 2 4 2" xfId="45522" xr:uid="{00000000-0005-0000-0000-000043870000}"/>
    <cellStyle name="Separador de milhares 3 4 8 2 5" xfId="13231" xr:uid="{00000000-0005-0000-0000-000044870000}"/>
    <cellStyle name="Separador de milhares 3 4 8 2 5 2" xfId="39424" xr:uid="{00000000-0005-0000-0000-000045870000}"/>
    <cellStyle name="Separador de milhares 3 4 8 2 6" xfId="33038" xr:uid="{00000000-0005-0000-0000-000046870000}"/>
    <cellStyle name="Separador de milhares 3 4 8 3" xfId="8521" xr:uid="{00000000-0005-0000-0000-000047870000}"/>
    <cellStyle name="Separador de milhares 3 4 8 3 2" xfId="26735" xr:uid="{00000000-0005-0000-0000-000048870000}"/>
    <cellStyle name="Separador de milhares 3 4 8 3 2 2" xfId="52916" xr:uid="{00000000-0005-0000-0000-000049870000}"/>
    <cellStyle name="Separador de milhares 3 4 8 3 3" xfId="20821" xr:uid="{00000000-0005-0000-0000-00004A870000}"/>
    <cellStyle name="Separador de milhares 3 4 8 3 3 2" xfId="47008" xr:uid="{00000000-0005-0000-0000-00004B870000}"/>
    <cellStyle name="Separador de milhares 3 4 8 3 4" xfId="14907" xr:uid="{00000000-0005-0000-0000-00004C870000}"/>
    <cellStyle name="Separador de milhares 3 4 8 3 4 2" xfId="41100" xr:uid="{00000000-0005-0000-0000-00004D870000}"/>
    <cellStyle name="Separador de milhares 3 4 8 3 5" xfId="34714" xr:uid="{00000000-0005-0000-0000-00004E870000}"/>
    <cellStyle name="Separador de milhares 3 4 8 4" xfId="5143" xr:uid="{00000000-0005-0000-0000-00004F870000}"/>
    <cellStyle name="Separador de milhares 3 4 8 4 2" xfId="23778" xr:uid="{00000000-0005-0000-0000-000050870000}"/>
    <cellStyle name="Separador de milhares 3 4 8 4 2 2" xfId="49962" xr:uid="{00000000-0005-0000-0000-000051870000}"/>
    <cellStyle name="Separador de milhares 3 4 8 4 3" xfId="31339" xr:uid="{00000000-0005-0000-0000-000052870000}"/>
    <cellStyle name="Separador de milhares 3 4 8 5" xfId="17864" xr:uid="{00000000-0005-0000-0000-000053870000}"/>
    <cellStyle name="Separador de milhares 3 4 8 5 2" xfId="44054" xr:uid="{00000000-0005-0000-0000-000054870000}"/>
    <cellStyle name="Separador de milhares 3 4 8 6" xfId="11530" xr:uid="{00000000-0005-0000-0000-000055870000}"/>
    <cellStyle name="Separador de milhares 3 4 8 6 2" xfId="37723" xr:uid="{00000000-0005-0000-0000-000056870000}"/>
    <cellStyle name="Separador de milhares 3 4 8 7" xfId="29641" xr:uid="{00000000-0005-0000-0000-000057870000}"/>
    <cellStyle name="Separador de milhares 3 4 9" xfId="2023" xr:uid="{00000000-0005-0000-0000-000058870000}"/>
    <cellStyle name="Separador de milhares 3 4 9 2" xfId="6992" xr:uid="{00000000-0005-0000-0000-000059870000}"/>
    <cellStyle name="Separador de milhares 3 4 9 2 2" xfId="10136" xr:uid="{00000000-0005-0000-0000-00005A870000}"/>
    <cellStyle name="Separador de milhares 3 4 9 2 2 2" xfId="28350" xr:uid="{00000000-0005-0000-0000-00005B870000}"/>
    <cellStyle name="Separador de milhares 3 4 9 2 2 2 2" xfId="54531" xr:uid="{00000000-0005-0000-0000-00005C870000}"/>
    <cellStyle name="Separador de milhares 3 4 9 2 2 3" xfId="22436" xr:uid="{00000000-0005-0000-0000-00005D870000}"/>
    <cellStyle name="Separador de milhares 3 4 9 2 2 3 2" xfId="48623" xr:uid="{00000000-0005-0000-0000-00005E870000}"/>
    <cellStyle name="Separador de milhares 3 4 9 2 2 4" xfId="16522" xr:uid="{00000000-0005-0000-0000-00005F870000}"/>
    <cellStyle name="Separador de milhares 3 4 9 2 2 4 2" xfId="42715" xr:uid="{00000000-0005-0000-0000-000060870000}"/>
    <cellStyle name="Separador de milhares 3 4 9 2 2 5" xfId="36329" xr:uid="{00000000-0005-0000-0000-000061870000}"/>
    <cellStyle name="Separador de milhares 3 4 9 2 3" xfId="25393" xr:uid="{00000000-0005-0000-0000-000062870000}"/>
    <cellStyle name="Separador de milhares 3 4 9 2 3 2" xfId="51577" xr:uid="{00000000-0005-0000-0000-000063870000}"/>
    <cellStyle name="Separador de milhares 3 4 9 2 4" xfId="19479" xr:uid="{00000000-0005-0000-0000-000064870000}"/>
    <cellStyle name="Separador de milhares 3 4 9 2 4 2" xfId="45669" xr:uid="{00000000-0005-0000-0000-000065870000}"/>
    <cellStyle name="Separador de milhares 3 4 9 2 5" xfId="13381" xr:uid="{00000000-0005-0000-0000-000066870000}"/>
    <cellStyle name="Separador de milhares 3 4 9 2 5 2" xfId="39574" xr:uid="{00000000-0005-0000-0000-000067870000}"/>
    <cellStyle name="Separador de milhares 3 4 9 2 6" xfId="33188" xr:uid="{00000000-0005-0000-0000-000068870000}"/>
    <cellStyle name="Separador de milhares 3 4 9 3" xfId="8668" xr:uid="{00000000-0005-0000-0000-000069870000}"/>
    <cellStyle name="Separador de milhares 3 4 9 3 2" xfId="26882" xr:uid="{00000000-0005-0000-0000-00006A870000}"/>
    <cellStyle name="Separador de milhares 3 4 9 3 2 2" xfId="53063" xr:uid="{00000000-0005-0000-0000-00006B870000}"/>
    <cellStyle name="Separador de milhares 3 4 9 3 3" xfId="20968" xr:uid="{00000000-0005-0000-0000-00006C870000}"/>
    <cellStyle name="Separador de milhares 3 4 9 3 3 2" xfId="47155" xr:uid="{00000000-0005-0000-0000-00006D870000}"/>
    <cellStyle name="Separador de milhares 3 4 9 3 4" xfId="15054" xr:uid="{00000000-0005-0000-0000-00006E870000}"/>
    <cellStyle name="Separador de milhares 3 4 9 3 4 2" xfId="41247" xr:uid="{00000000-0005-0000-0000-00006F870000}"/>
    <cellStyle name="Separador de milhares 3 4 9 3 5" xfId="34861" xr:uid="{00000000-0005-0000-0000-000070870000}"/>
    <cellStyle name="Separador de milhares 3 4 9 4" xfId="5293" xr:uid="{00000000-0005-0000-0000-000071870000}"/>
    <cellStyle name="Separador de milhares 3 4 9 4 2" xfId="23925" xr:uid="{00000000-0005-0000-0000-000072870000}"/>
    <cellStyle name="Separador de milhares 3 4 9 4 2 2" xfId="50109" xr:uid="{00000000-0005-0000-0000-000073870000}"/>
    <cellStyle name="Separador de milhares 3 4 9 4 3" xfId="31489" xr:uid="{00000000-0005-0000-0000-000074870000}"/>
    <cellStyle name="Separador de milhares 3 4 9 5" xfId="18011" xr:uid="{00000000-0005-0000-0000-000075870000}"/>
    <cellStyle name="Separador de milhares 3 4 9 5 2" xfId="44201" xr:uid="{00000000-0005-0000-0000-000076870000}"/>
    <cellStyle name="Separador de milhares 3 4 9 6" xfId="11680" xr:uid="{00000000-0005-0000-0000-000077870000}"/>
    <cellStyle name="Separador de milhares 3 4 9 6 2" xfId="37873" xr:uid="{00000000-0005-0000-0000-000078870000}"/>
    <cellStyle name="Separador de milhares 3 4 9 7" xfId="29791" xr:uid="{00000000-0005-0000-0000-000079870000}"/>
    <cellStyle name="Separador de milhares 3 5" xfId="51" xr:uid="{00000000-0005-0000-0000-00007A870000}"/>
    <cellStyle name="Separador de milhares 3 5 10" xfId="2554" xr:uid="{00000000-0005-0000-0000-00007B870000}"/>
    <cellStyle name="Separador de milhares 3 5 10 2" xfId="7140" xr:uid="{00000000-0005-0000-0000-00007C870000}"/>
    <cellStyle name="Separador de milhares 3 5 10 2 2" xfId="10284" xr:uid="{00000000-0005-0000-0000-00007D870000}"/>
    <cellStyle name="Separador de milhares 3 5 10 2 2 2" xfId="28498" xr:uid="{00000000-0005-0000-0000-00007E870000}"/>
    <cellStyle name="Separador de milhares 3 5 10 2 2 2 2" xfId="54679" xr:uid="{00000000-0005-0000-0000-00007F870000}"/>
    <cellStyle name="Separador de milhares 3 5 10 2 2 3" xfId="22584" xr:uid="{00000000-0005-0000-0000-000080870000}"/>
    <cellStyle name="Separador de milhares 3 5 10 2 2 3 2" xfId="48771" xr:uid="{00000000-0005-0000-0000-000081870000}"/>
    <cellStyle name="Separador de milhares 3 5 10 2 2 4" xfId="16670" xr:uid="{00000000-0005-0000-0000-000082870000}"/>
    <cellStyle name="Separador de milhares 3 5 10 2 2 4 2" xfId="42863" xr:uid="{00000000-0005-0000-0000-000083870000}"/>
    <cellStyle name="Separador de milhares 3 5 10 2 2 5" xfId="36477" xr:uid="{00000000-0005-0000-0000-000084870000}"/>
    <cellStyle name="Separador de milhares 3 5 10 2 3" xfId="25541" xr:uid="{00000000-0005-0000-0000-000085870000}"/>
    <cellStyle name="Separador de milhares 3 5 10 2 3 2" xfId="51725" xr:uid="{00000000-0005-0000-0000-000086870000}"/>
    <cellStyle name="Separador de milhares 3 5 10 2 4" xfId="19627" xr:uid="{00000000-0005-0000-0000-000087870000}"/>
    <cellStyle name="Separador de milhares 3 5 10 2 4 2" xfId="45817" xr:uid="{00000000-0005-0000-0000-000088870000}"/>
    <cellStyle name="Separador de milhares 3 5 10 2 5" xfId="13529" xr:uid="{00000000-0005-0000-0000-000089870000}"/>
    <cellStyle name="Separador de milhares 3 5 10 2 5 2" xfId="39722" xr:uid="{00000000-0005-0000-0000-00008A870000}"/>
    <cellStyle name="Separador de milhares 3 5 10 2 6" xfId="33336" xr:uid="{00000000-0005-0000-0000-00008B870000}"/>
    <cellStyle name="Separador de milhares 3 5 10 3" xfId="8816" xr:uid="{00000000-0005-0000-0000-00008C870000}"/>
    <cellStyle name="Separador de milhares 3 5 10 3 2" xfId="27030" xr:uid="{00000000-0005-0000-0000-00008D870000}"/>
    <cellStyle name="Separador de milhares 3 5 10 3 2 2" xfId="53211" xr:uid="{00000000-0005-0000-0000-00008E870000}"/>
    <cellStyle name="Separador de milhares 3 5 10 3 3" xfId="21116" xr:uid="{00000000-0005-0000-0000-00008F870000}"/>
    <cellStyle name="Separador de milhares 3 5 10 3 3 2" xfId="47303" xr:uid="{00000000-0005-0000-0000-000090870000}"/>
    <cellStyle name="Separador de milhares 3 5 10 3 4" xfId="15202" xr:uid="{00000000-0005-0000-0000-000091870000}"/>
    <cellStyle name="Separador de milhares 3 5 10 3 4 2" xfId="41395" xr:uid="{00000000-0005-0000-0000-000092870000}"/>
    <cellStyle name="Separador de milhares 3 5 10 3 5" xfId="35009" xr:uid="{00000000-0005-0000-0000-000093870000}"/>
    <cellStyle name="Separador de milhares 3 5 10 4" xfId="5441" xr:uid="{00000000-0005-0000-0000-000094870000}"/>
    <cellStyle name="Separador de milhares 3 5 10 4 2" xfId="24073" xr:uid="{00000000-0005-0000-0000-000095870000}"/>
    <cellStyle name="Separador de milhares 3 5 10 4 2 2" xfId="50257" xr:uid="{00000000-0005-0000-0000-000096870000}"/>
    <cellStyle name="Separador de milhares 3 5 10 4 3" xfId="31637" xr:uid="{00000000-0005-0000-0000-000097870000}"/>
    <cellStyle name="Separador de milhares 3 5 10 5" xfId="18159" xr:uid="{00000000-0005-0000-0000-000098870000}"/>
    <cellStyle name="Separador de milhares 3 5 10 5 2" xfId="44349" xr:uid="{00000000-0005-0000-0000-000099870000}"/>
    <cellStyle name="Separador de milhares 3 5 10 6" xfId="11828" xr:uid="{00000000-0005-0000-0000-00009A870000}"/>
    <cellStyle name="Separador de milhares 3 5 10 6 2" xfId="38021" xr:uid="{00000000-0005-0000-0000-00009B870000}"/>
    <cellStyle name="Separador de milhares 3 5 10 7" xfId="29939" xr:uid="{00000000-0005-0000-0000-00009C870000}"/>
    <cellStyle name="Separador de milhares 3 5 11" xfId="3081" xr:uid="{00000000-0005-0000-0000-00009D870000}"/>
    <cellStyle name="Separador de milhares 3 5 11 2" xfId="7287" xr:uid="{00000000-0005-0000-0000-00009E870000}"/>
    <cellStyle name="Separador de milhares 3 5 11 2 2" xfId="10431" xr:uid="{00000000-0005-0000-0000-00009F870000}"/>
    <cellStyle name="Separador de milhares 3 5 11 2 2 2" xfId="28645" xr:uid="{00000000-0005-0000-0000-0000A0870000}"/>
    <cellStyle name="Separador de milhares 3 5 11 2 2 2 2" xfId="54826" xr:uid="{00000000-0005-0000-0000-0000A1870000}"/>
    <cellStyle name="Separador de milhares 3 5 11 2 2 3" xfId="22731" xr:uid="{00000000-0005-0000-0000-0000A2870000}"/>
    <cellStyle name="Separador de milhares 3 5 11 2 2 3 2" xfId="48918" xr:uid="{00000000-0005-0000-0000-0000A3870000}"/>
    <cellStyle name="Separador de milhares 3 5 11 2 2 4" xfId="16817" xr:uid="{00000000-0005-0000-0000-0000A4870000}"/>
    <cellStyle name="Separador de milhares 3 5 11 2 2 4 2" xfId="43010" xr:uid="{00000000-0005-0000-0000-0000A5870000}"/>
    <cellStyle name="Separador de milhares 3 5 11 2 2 5" xfId="36624" xr:uid="{00000000-0005-0000-0000-0000A6870000}"/>
    <cellStyle name="Separador de milhares 3 5 11 2 3" xfId="25688" xr:uid="{00000000-0005-0000-0000-0000A7870000}"/>
    <cellStyle name="Separador de milhares 3 5 11 2 3 2" xfId="51872" xr:uid="{00000000-0005-0000-0000-0000A8870000}"/>
    <cellStyle name="Separador de milhares 3 5 11 2 4" xfId="19774" xr:uid="{00000000-0005-0000-0000-0000A9870000}"/>
    <cellStyle name="Separador de milhares 3 5 11 2 4 2" xfId="45964" xr:uid="{00000000-0005-0000-0000-0000AA870000}"/>
    <cellStyle name="Separador de milhares 3 5 11 2 5" xfId="13676" xr:uid="{00000000-0005-0000-0000-0000AB870000}"/>
    <cellStyle name="Separador de milhares 3 5 11 2 5 2" xfId="39869" xr:uid="{00000000-0005-0000-0000-0000AC870000}"/>
    <cellStyle name="Separador de milhares 3 5 11 2 6" xfId="33483" xr:uid="{00000000-0005-0000-0000-0000AD870000}"/>
    <cellStyle name="Separador de milhares 3 5 11 3" xfId="8963" xr:uid="{00000000-0005-0000-0000-0000AE870000}"/>
    <cellStyle name="Separador de milhares 3 5 11 3 2" xfId="27177" xr:uid="{00000000-0005-0000-0000-0000AF870000}"/>
    <cellStyle name="Separador de milhares 3 5 11 3 2 2" xfId="53358" xr:uid="{00000000-0005-0000-0000-0000B0870000}"/>
    <cellStyle name="Separador de milhares 3 5 11 3 3" xfId="21263" xr:uid="{00000000-0005-0000-0000-0000B1870000}"/>
    <cellStyle name="Separador de milhares 3 5 11 3 3 2" xfId="47450" xr:uid="{00000000-0005-0000-0000-0000B2870000}"/>
    <cellStyle name="Separador de milhares 3 5 11 3 4" xfId="15349" xr:uid="{00000000-0005-0000-0000-0000B3870000}"/>
    <cellStyle name="Separador de milhares 3 5 11 3 4 2" xfId="41542" xr:uid="{00000000-0005-0000-0000-0000B4870000}"/>
    <cellStyle name="Separador de milhares 3 5 11 3 5" xfId="35156" xr:uid="{00000000-0005-0000-0000-0000B5870000}"/>
    <cellStyle name="Separador de milhares 3 5 11 4" xfId="5588" xr:uid="{00000000-0005-0000-0000-0000B6870000}"/>
    <cellStyle name="Separador de milhares 3 5 11 4 2" xfId="24220" xr:uid="{00000000-0005-0000-0000-0000B7870000}"/>
    <cellStyle name="Separador de milhares 3 5 11 4 2 2" xfId="50404" xr:uid="{00000000-0005-0000-0000-0000B8870000}"/>
    <cellStyle name="Separador de milhares 3 5 11 4 3" xfId="31784" xr:uid="{00000000-0005-0000-0000-0000B9870000}"/>
    <cellStyle name="Separador de milhares 3 5 11 5" xfId="18306" xr:uid="{00000000-0005-0000-0000-0000BA870000}"/>
    <cellStyle name="Separador de milhares 3 5 11 5 2" xfId="44496" xr:uid="{00000000-0005-0000-0000-0000BB870000}"/>
    <cellStyle name="Separador de milhares 3 5 11 6" xfId="11975" xr:uid="{00000000-0005-0000-0000-0000BC870000}"/>
    <cellStyle name="Separador de milhares 3 5 11 6 2" xfId="38168" xr:uid="{00000000-0005-0000-0000-0000BD870000}"/>
    <cellStyle name="Separador de milhares 3 5 11 7" xfId="30086" xr:uid="{00000000-0005-0000-0000-0000BE870000}"/>
    <cellStyle name="Separador de milhares 3 5 12" xfId="3608" xr:uid="{00000000-0005-0000-0000-0000BF870000}"/>
    <cellStyle name="Separador de milhares 3 5 12 2" xfId="7434" xr:uid="{00000000-0005-0000-0000-0000C0870000}"/>
    <cellStyle name="Separador de milhares 3 5 12 2 2" xfId="10578" xr:uid="{00000000-0005-0000-0000-0000C1870000}"/>
    <cellStyle name="Separador de milhares 3 5 12 2 2 2" xfId="28792" xr:uid="{00000000-0005-0000-0000-0000C2870000}"/>
    <cellStyle name="Separador de milhares 3 5 12 2 2 2 2" xfId="54973" xr:uid="{00000000-0005-0000-0000-0000C3870000}"/>
    <cellStyle name="Separador de milhares 3 5 12 2 2 3" xfId="22878" xr:uid="{00000000-0005-0000-0000-0000C4870000}"/>
    <cellStyle name="Separador de milhares 3 5 12 2 2 3 2" xfId="49065" xr:uid="{00000000-0005-0000-0000-0000C5870000}"/>
    <cellStyle name="Separador de milhares 3 5 12 2 2 4" xfId="16964" xr:uid="{00000000-0005-0000-0000-0000C6870000}"/>
    <cellStyle name="Separador de milhares 3 5 12 2 2 4 2" xfId="43157" xr:uid="{00000000-0005-0000-0000-0000C7870000}"/>
    <cellStyle name="Separador de milhares 3 5 12 2 2 5" xfId="36771" xr:uid="{00000000-0005-0000-0000-0000C8870000}"/>
    <cellStyle name="Separador de milhares 3 5 12 2 3" xfId="25835" xr:uid="{00000000-0005-0000-0000-0000C9870000}"/>
    <cellStyle name="Separador de milhares 3 5 12 2 3 2" xfId="52019" xr:uid="{00000000-0005-0000-0000-0000CA870000}"/>
    <cellStyle name="Separador de milhares 3 5 12 2 4" xfId="19921" xr:uid="{00000000-0005-0000-0000-0000CB870000}"/>
    <cellStyle name="Separador de milhares 3 5 12 2 4 2" xfId="46111" xr:uid="{00000000-0005-0000-0000-0000CC870000}"/>
    <cellStyle name="Separador de milhares 3 5 12 2 5" xfId="13823" xr:uid="{00000000-0005-0000-0000-0000CD870000}"/>
    <cellStyle name="Separador de milhares 3 5 12 2 5 2" xfId="40016" xr:uid="{00000000-0005-0000-0000-0000CE870000}"/>
    <cellStyle name="Separador de milhares 3 5 12 2 6" xfId="33630" xr:uid="{00000000-0005-0000-0000-0000CF870000}"/>
    <cellStyle name="Separador de milhares 3 5 12 3" xfId="9110" xr:uid="{00000000-0005-0000-0000-0000D0870000}"/>
    <cellStyle name="Separador de milhares 3 5 12 3 2" xfId="27324" xr:uid="{00000000-0005-0000-0000-0000D1870000}"/>
    <cellStyle name="Separador de milhares 3 5 12 3 2 2" xfId="53505" xr:uid="{00000000-0005-0000-0000-0000D2870000}"/>
    <cellStyle name="Separador de milhares 3 5 12 3 3" xfId="21410" xr:uid="{00000000-0005-0000-0000-0000D3870000}"/>
    <cellStyle name="Separador de milhares 3 5 12 3 3 2" xfId="47597" xr:uid="{00000000-0005-0000-0000-0000D4870000}"/>
    <cellStyle name="Separador de milhares 3 5 12 3 4" xfId="15496" xr:uid="{00000000-0005-0000-0000-0000D5870000}"/>
    <cellStyle name="Separador de milhares 3 5 12 3 4 2" xfId="41689" xr:uid="{00000000-0005-0000-0000-0000D6870000}"/>
    <cellStyle name="Separador de milhares 3 5 12 3 5" xfId="35303" xr:uid="{00000000-0005-0000-0000-0000D7870000}"/>
    <cellStyle name="Separador de milhares 3 5 12 4" xfId="5735" xr:uid="{00000000-0005-0000-0000-0000D8870000}"/>
    <cellStyle name="Separador de milhares 3 5 12 4 2" xfId="24367" xr:uid="{00000000-0005-0000-0000-0000D9870000}"/>
    <cellStyle name="Separador de milhares 3 5 12 4 2 2" xfId="50551" xr:uid="{00000000-0005-0000-0000-0000DA870000}"/>
    <cellStyle name="Separador de milhares 3 5 12 4 3" xfId="31931" xr:uid="{00000000-0005-0000-0000-0000DB870000}"/>
    <cellStyle name="Separador de milhares 3 5 12 5" xfId="18453" xr:uid="{00000000-0005-0000-0000-0000DC870000}"/>
    <cellStyle name="Separador de milhares 3 5 12 5 2" xfId="44643" xr:uid="{00000000-0005-0000-0000-0000DD870000}"/>
    <cellStyle name="Separador de milhares 3 5 12 6" xfId="12122" xr:uid="{00000000-0005-0000-0000-0000DE870000}"/>
    <cellStyle name="Separador de milhares 3 5 12 6 2" xfId="38315" xr:uid="{00000000-0005-0000-0000-0000DF870000}"/>
    <cellStyle name="Separador de milhares 3 5 12 7" xfId="30233" xr:uid="{00000000-0005-0000-0000-0000E0870000}"/>
    <cellStyle name="Separador de milhares 3 5 13" xfId="6418" xr:uid="{00000000-0005-0000-0000-0000E1870000}"/>
    <cellStyle name="Separador de milhares 3 5 13 2" xfId="9574" xr:uid="{00000000-0005-0000-0000-0000E2870000}"/>
    <cellStyle name="Separador de milhares 3 5 13 2 2" xfId="27788" xr:uid="{00000000-0005-0000-0000-0000E3870000}"/>
    <cellStyle name="Separador de milhares 3 5 13 2 2 2" xfId="53969" xr:uid="{00000000-0005-0000-0000-0000E4870000}"/>
    <cellStyle name="Separador de milhares 3 5 13 2 3" xfId="21874" xr:uid="{00000000-0005-0000-0000-0000E5870000}"/>
    <cellStyle name="Separador de milhares 3 5 13 2 3 2" xfId="48061" xr:uid="{00000000-0005-0000-0000-0000E6870000}"/>
    <cellStyle name="Separador de milhares 3 5 13 2 4" xfId="15960" xr:uid="{00000000-0005-0000-0000-0000E7870000}"/>
    <cellStyle name="Separador de milhares 3 5 13 2 4 2" xfId="42153" xr:uid="{00000000-0005-0000-0000-0000E8870000}"/>
    <cellStyle name="Separador de milhares 3 5 13 2 5" xfId="35767" xr:uid="{00000000-0005-0000-0000-0000E9870000}"/>
    <cellStyle name="Separador de milhares 3 5 13 3" xfId="24831" xr:uid="{00000000-0005-0000-0000-0000EA870000}"/>
    <cellStyle name="Separador de milhares 3 5 13 3 2" xfId="51015" xr:uid="{00000000-0005-0000-0000-0000EB870000}"/>
    <cellStyle name="Separador de milhares 3 5 13 4" xfId="18917" xr:uid="{00000000-0005-0000-0000-0000EC870000}"/>
    <cellStyle name="Separador de milhares 3 5 13 4 2" xfId="45107" xr:uid="{00000000-0005-0000-0000-0000ED870000}"/>
    <cellStyle name="Separador de milhares 3 5 13 5" xfId="12807" xr:uid="{00000000-0005-0000-0000-0000EE870000}"/>
    <cellStyle name="Separador de milhares 3 5 13 5 2" xfId="39000" xr:uid="{00000000-0005-0000-0000-0000EF870000}"/>
    <cellStyle name="Separador de milhares 3 5 13 6" xfId="32614" xr:uid="{00000000-0005-0000-0000-0000F0870000}"/>
    <cellStyle name="Separador de milhares 3 5 14" xfId="8103" xr:uid="{00000000-0005-0000-0000-0000F1870000}"/>
    <cellStyle name="Separador de milhares 3 5 14 2" xfId="26317" xr:uid="{00000000-0005-0000-0000-0000F2870000}"/>
    <cellStyle name="Separador de milhares 3 5 14 2 2" xfId="52501" xr:uid="{00000000-0005-0000-0000-0000F3870000}"/>
    <cellStyle name="Separador de milhares 3 5 14 3" xfId="20403" xr:uid="{00000000-0005-0000-0000-0000F4870000}"/>
    <cellStyle name="Separador de milhares 3 5 14 3 2" xfId="46593" xr:uid="{00000000-0005-0000-0000-0000F5870000}"/>
    <cellStyle name="Separador de milhares 3 5 14 4" xfId="14492" xr:uid="{00000000-0005-0000-0000-0000F6870000}"/>
    <cellStyle name="Separador de milhares 3 5 14 4 2" xfId="40685" xr:uid="{00000000-0005-0000-0000-0000F7870000}"/>
    <cellStyle name="Separador de milhares 3 5 14 5" xfId="34299" xr:uid="{00000000-0005-0000-0000-0000F8870000}"/>
    <cellStyle name="Separador de milhares 3 5 15" xfId="4716" xr:uid="{00000000-0005-0000-0000-0000F9870000}"/>
    <cellStyle name="Separador de milhares 3 5 15 2" xfId="23360" xr:uid="{00000000-0005-0000-0000-0000FA870000}"/>
    <cellStyle name="Separador de milhares 3 5 15 2 2" xfId="49547" xr:uid="{00000000-0005-0000-0000-0000FB870000}"/>
    <cellStyle name="Separador de milhares 3 5 15 3" xfId="30915" xr:uid="{00000000-0005-0000-0000-0000FC870000}"/>
    <cellStyle name="Separador de milhares 3 5 16" xfId="17446" xr:uid="{00000000-0005-0000-0000-0000FD870000}"/>
    <cellStyle name="Separador de milhares 3 5 16 2" xfId="43639" xr:uid="{00000000-0005-0000-0000-0000FE870000}"/>
    <cellStyle name="Separador de milhares 3 5 17" xfId="11106" xr:uid="{00000000-0005-0000-0000-0000FF870000}"/>
    <cellStyle name="Separador de milhares 3 5 17 2" xfId="37299" xr:uid="{00000000-0005-0000-0000-000000880000}"/>
    <cellStyle name="Separador de milhares 3 5 18" xfId="29217" xr:uid="{00000000-0005-0000-0000-000001880000}"/>
    <cellStyle name="Separador de milhares 3 5 2" xfId="145" xr:uid="{00000000-0005-0000-0000-000002880000}"/>
    <cellStyle name="Separador de milhares 3 5 2 10" xfId="6447" xr:uid="{00000000-0005-0000-0000-000003880000}"/>
    <cellStyle name="Separador de milhares 3 5 2 10 2" xfId="9601" xr:uid="{00000000-0005-0000-0000-000004880000}"/>
    <cellStyle name="Separador de milhares 3 5 2 10 2 2" xfId="27815" xr:uid="{00000000-0005-0000-0000-000005880000}"/>
    <cellStyle name="Separador de milhares 3 5 2 10 2 2 2" xfId="53996" xr:uid="{00000000-0005-0000-0000-000006880000}"/>
    <cellStyle name="Separador de milhares 3 5 2 10 2 3" xfId="21901" xr:uid="{00000000-0005-0000-0000-000007880000}"/>
    <cellStyle name="Separador de milhares 3 5 2 10 2 3 2" xfId="48088" xr:uid="{00000000-0005-0000-0000-000008880000}"/>
    <cellStyle name="Separador de milhares 3 5 2 10 2 4" xfId="15987" xr:uid="{00000000-0005-0000-0000-000009880000}"/>
    <cellStyle name="Separador de milhares 3 5 2 10 2 4 2" xfId="42180" xr:uid="{00000000-0005-0000-0000-00000A880000}"/>
    <cellStyle name="Separador de milhares 3 5 2 10 2 5" xfId="35794" xr:uid="{00000000-0005-0000-0000-00000B880000}"/>
    <cellStyle name="Separador de milhares 3 5 2 10 3" xfId="24858" xr:uid="{00000000-0005-0000-0000-00000C880000}"/>
    <cellStyle name="Separador de milhares 3 5 2 10 3 2" xfId="51042" xr:uid="{00000000-0005-0000-0000-00000D880000}"/>
    <cellStyle name="Separador de milhares 3 5 2 10 4" xfId="18944" xr:uid="{00000000-0005-0000-0000-00000E880000}"/>
    <cellStyle name="Separador de milhares 3 5 2 10 4 2" xfId="45134" xr:uid="{00000000-0005-0000-0000-00000F880000}"/>
    <cellStyle name="Separador de milhares 3 5 2 10 5" xfId="12836" xr:uid="{00000000-0005-0000-0000-000010880000}"/>
    <cellStyle name="Separador de milhares 3 5 2 10 5 2" xfId="39029" xr:uid="{00000000-0005-0000-0000-000011880000}"/>
    <cellStyle name="Separador de milhares 3 5 2 10 6" xfId="32643" xr:uid="{00000000-0005-0000-0000-000012880000}"/>
    <cellStyle name="Separador de milhares 3 5 2 11" xfId="8130" xr:uid="{00000000-0005-0000-0000-000013880000}"/>
    <cellStyle name="Separador de milhares 3 5 2 11 2" xfId="26344" xr:uid="{00000000-0005-0000-0000-000014880000}"/>
    <cellStyle name="Separador de milhares 3 5 2 11 2 2" xfId="52528" xr:uid="{00000000-0005-0000-0000-000015880000}"/>
    <cellStyle name="Separador de milhares 3 5 2 11 3" xfId="20430" xr:uid="{00000000-0005-0000-0000-000016880000}"/>
    <cellStyle name="Separador de milhares 3 5 2 11 3 2" xfId="46620" xr:uid="{00000000-0005-0000-0000-000017880000}"/>
    <cellStyle name="Separador de milhares 3 5 2 11 4" xfId="14519" xr:uid="{00000000-0005-0000-0000-000018880000}"/>
    <cellStyle name="Separador de milhares 3 5 2 11 4 2" xfId="40712" xr:uid="{00000000-0005-0000-0000-000019880000}"/>
    <cellStyle name="Separador de milhares 3 5 2 11 5" xfId="34326" xr:uid="{00000000-0005-0000-0000-00001A880000}"/>
    <cellStyle name="Separador de milhares 3 5 2 12" xfId="4746" xr:uid="{00000000-0005-0000-0000-00001B880000}"/>
    <cellStyle name="Separador de milhares 3 5 2 12 2" xfId="23387" xr:uid="{00000000-0005-0000-0000-00001C880000}"/>
    <cellStyle name="Separador de milhares 3 5 2 12 2 2" xfId="49574" xr:uid="{00000000-0005-0000-0000-00001D880000}"/>
    <cellStyle name="Separador de milhares 3 5 2 12 3" xfId="30944" xr:uid="{00000000-0005-0000-0000-00001E880000}"/>
    <cellStyle name="Separador de milhares 3 5 2 13" xfId="17473" xr:uid="{00000000-0005-0000-0000-00001F880000}"/>
    <cellStyle name="Separador de milhares 3 5 2 13 2" xfId="43666" xr:uid="{00000000-0005-0000-0000-000020880000}"/>
    <cellStyle name="Separador de milhares 3 5 2 14" xfId="11135" xr:uid="{00000000-0005-0000-0000-000021880000}"/>
    <cellStyle name="Separador de milhares 3 5 2 14 2" xfId="37328" xr:uid="{00000000-0005-0000-0000-000022880000}"/>
    <cellStyle name="Separador de milhares 3 5 2 15" xfId="29247" xr:uid="{00000000-0005-0000-0000-000023880000}"/>
    <cellStyle name="Separador de milhares 3 5 2 2" xfId="418" xr:uid="{00000000-0005-0000-0000-000024880000}"/>
    <cellStyle name="Separador de milhares 3 5 2 2 10" xfId="17547" xr:uid="{00000000-0005-0000-0000-000025880000}"/>
    <cellStyle name="Separador de milhares 3 5 2 2 10 2" xfId="43740" xr:uid="{00000000-0005-0000-0000-000026880000}"/>
    <cellStyle name="Separador de milhares 3 5 2 2 11" xfId="11216" xr:uid="{00000000-0005-0000-0000-000027880000}"/>
    <cellStyle name="Separador de milhares 3 5 2 2 11 2" xfId="37409" xr:uid="{00000000-0005-0000-0000-000028880000}"/>
    <cellStyle name="Separador de milhares 3 5 2 2 12" xfId="29327" xr:uid="{00000000-0005-0000-0000-000029880000}"/>
    <cellStyle name="Separador de milhares 3 5 2 2 2" xfId="1937" xr:uid="{00000000-0005-0000-0000-00002A880000}"/>
    <cellStyle name="Separador de milhares 3 5 2 2 2 2" xfId="6966" xr:uid="{00000000-0005-0000-0000-00002B880000}"/>
    <cellStyle name="Separador de milhares 3 5 2 2 2 2 2" xfId="10113" xr:uid="{00000000-0005-0000-0000-00002C880000}"/>
    <cellStyle name="Separador de milhares 3 5 2 2 2 2 2 2" xfId="28327" xr:uid="{00000000-0005-0000-0000-00002D880000}"/>
    <cellStyle name="Separador de milhares 3 5 2 2 2 2 2 2 2" xfId="54508" xr:uid="{00000000-0005-0000-0000-00002E880000}"/>
    <cellStyle name="Separador de milhares 3 5 2 2 2 2 2 3" xfId="22413" xr:uid="{00000000-0005-0000-0000-00002F880000}"/>
    <cellStyle name="Separador de milhares 3 5 2 2 2 2 2 3 2" xfId="48600" xr:uid="{00000000-0005-0000-0000-000030880000}"/>
    <cellStyle name="Separador de milhares 3 5 2 2 2 2 2 4" xfId="16499" xr:uid="{00000000-0005-0000-0000-000031880000}"/>
    <cellStyle name="Separador de milhares 3 5 2 2 2 2 2 4 2" xfId="42692" xr:uid="{00000000-0005-0000-0000-000032880000}"/>
    <cellStyle name="Separador de milhares 3 5 2 2 2 2 2 5" xfId="36306" xr:uid="{00000000-0005-0000-0000-000033880000}"/>
    <cellStyle name="Separador de milhares 3 5 2 2 2 2 3" xfId="25370" xr:uid="{00000000-0005-0000-0000-000034880000}"/>
    <cellStyle name="Separador de milhares 3 5 2 2 2 2 3 2" xfId="51554" xr:uid="{00000000-0005-0000-0000-000035880000}"/>
    <cellStyle name="Separador de milhares 3 5 2 2 2 2 4" xfId="19456" xr:uid="{00000000-0005-0000-0000-000036880000}"/>
    <cellStyle name="Separador de milhares 3 5 2 2 2 2 4 2" xfId="45646" xr:uid="{00000000-0005-0000-0000-000037880000}"/>
    <cellStyle name="Separador de milhares 3 5 2 2 2 2 5" xfId="13355" xr:uid="{00000000-0005-0000-0000-000038880000}"/>
    <cellStyle name="Separador de milhares 3 5 2 2 2 2 5 2" xfId="39548" xr:uid="{00000000-0005-0000-0000-000039880000}"/>
    <cellStyle name="Separador de milhares 3 5 2 2 2 2 6" xfId="33162" xr:uid="{00000000-0005-0000-0000-00003A880000}"/>
    <cellStyle name="Separador de milhares 3 5 2 2 2 3" xfId="8645" xr:uid="{00000000-0005-0000-0000-00003B880000}"/>
    <cellStyle name="Separador de milhares 3 5 2 2 2 3 2" xfId="26859" xr:uid="{00000000-0005-0000-0000-00003C880000}"/>
    <cellStyle name="Separador de milhares 3 5 2 2 2 3 2 2" xfId="53040" xr:uid="{00000000-0005-0000-0000-00003D880000}"/>
    <cellStyle name="Separador de milhares 3 5 2 2 2 3 3" xfId="20945" xr:uid="{00000000-0005-0000-0000-00003E880000}"/>
    <cellStyle name="Separador de milhares 3 5 2 2 2 3 3 2" xfId="47132" xr:uid="{00000000-0005-0000-0000-00003F880000}"/>
    <cellStyle name="Separador de milhares 3 5 2 2 2 3 4" xfId="15031" xr:uid="{00000000-0005-0000-0000-000040880000}"/>
    <cellStyle name="Separador de milhares 3 5 2 2 2 3 4 2" xfId="41224" xr:uid="{00000000-0005-0000-0000-000041880000}"/>
    <cellStyle name="Separador de milhares 3 5 2 2 2 3 5" xfId="34838" xr:uid="{00000000-0005-0000-0000-000042880000}"/>
    <cellStyle name="Separador de milhares 3 5 2 2 2 4" xfId="5267" xr:uid="{00000000-0005-0000-0000-000043880000}"/>
    <cellStyle name="Separador de milhares 3 5 2 2 2 4 2" xfId="23902" xr:uid="{00000000-0005-0000-0000-000044880000}"/>
    <cellStyle name="Separador de milhares 3 5 2 2 2 4 2 2" xfId="50086" xr:uid="{00000000-0005-0000-0000-000045880000}"/>
    <cellStyle name="Separador de milhares 3 5 2 2 2 4 3" xfId="31463" xr:uid="{00000000-0005-0000-0000-000046880000}"/>
    <cellStyle name="Separador de milhares 3 5 2 2 2 5" xfId="17988" xr:uid="{00000000-0005-0000-0000-000047880000}"/>
    <cellStyle name="Separador de milhares 3 5 2 2 2 5 2" xfId="44178" xr:uid="{00000000-0005-0000-0000-000048880000}"/>
    <cellStyle name="Separador de milhares 3 5 2 2 2 6" xfId="11654" xr:uid="{00000000-0005-0000-0000-000049880000}"/>
    <cellStyle name="Separador de milhares 3 5 2 2 2 6 2" xfId="37847" xr:uid="{00000000-0005-0000-0000-00004A880000}"/>
    <cellStyle name="Separador de milhares 3 5 2 2 2 7" xfId="29765" xr:uid="{00000000-0005-0000-0000-00004B880000}"/>
    <cellStyle name="Separador de milhares 3 5 2 2 3" xfId="2467" xr:uid="{00000000-0005-0000-0000-00004C880000}"/>
    <cellStyle name="Separador de milhares 3 5 2 2 3 2" xfId="7116" xr:uid="{00000000-0005-0000-0000-00004D880000}"/>
    <cellStyle name="Separador de milhares 3 5 2 2 3 2 2" xfId="10260" xr:uid="{00000000-0005-0000-0000-00004E880000}"/>
    <cellStyle name="Separador de milhares 3 5 2 2 3 2 2 2" xfId="28474" xr:uid="{00000000-0005-0000-0000-00004F880000}"/>
    <cellStyle name="Separador de milhares 3 5 2 2 3 2 2 2 2" xfId="54655" xr:uid="{00000000-0005-0000-0000-000050880000}"/>
    <cellStyle name="Separador de milhares 3 5 2 2 3 2 2 3" xfId="22560" xr:uid="{00000000-0005-0000-0000-000051880000}"/>
    <cellStyle name="Separador de milhares 3 5 2 2 3 2 2 3 2" xfId="48747" xr:uid="{00000000-0005-0000-0000-000052880000}"/>
    <cellStyle name="Separador de milhares 3 5 2 2 3 2 2 4" xfId="16646" xr:uid="{00000000-0005-0000-0000-000053880000}"/>
    <cellStyle name="Separador de milhares 3 5 2 2 3 2 2 4 2" xfId="42839" xr:uid="{00000000-0005-0000-0000-000054880000}"/>
    <cellStyle name="Separador de milhares 3 5 2 2 3 2 2 5" xfId="36453" xr:uid="{00000000-0005-0000-0000-000055880000}"/>
    <cellStyle name="Separador de milhares 3 5 2 2 3 2 3" xfId="25517" xr:uid="{00000000-0005-0000-0000-000056880000}"/>
    <cellStyle name="Separador de milhares 3 5 2 2 3 2 3 2" xfId="51701" xr:uid="{00000000-0005-0000-0000-000057880000}"/>
    <cellStyle name="Separador de milhares 3 5 2 2 3 2 4" xfId="19603" xr:uid="{00000000-0005-0000-0000-000058880000}"/>
    <cellStyle name="Separador de milhares 3 5 2 2 3 2 4 2" xfId="45793" xr:uid="{00000000-0005-0000-0000-000059880000}"/>
    <cellStyle name="Separador de milhares 3 5 2 2 3 2 5" xfId="13505" xr:uid="{00000000-0005-0000-0000-00005A880000}"/>
    <cellStyle name="Separador de milhares 3 5 2 2 3 2 5 2" xfId="39698" xr:uid="{00000000-0005-0000-0000-00005B880000}"/>
    <cellStyle name="Separador de milhares 3 5 2 2 3 2 6" xfId="33312" xr:uid="{00000000-0005-0000-0000-00005C880000}"/>
    <cellStyle name="Separador de milhares 3 5 2 2 3 3" xfId="8792" xr:uid="{00000000-0005-0000-0000-00005D880000}"/>
    <cellStyle name="Separador de milhares 3 5 2 2 3 3 2" xfId="27006" xr:uid="{00000000-0005-0000-0000-00005E880000}"/>
    <cellStyle name="Separador de milhares 3 5 2 2 3 3 2 2" xfId="53187" xr:uid="{00000000-0005-0000-0000-00005F880000}"/>
    <cellStyle name="Separador de milhares 3 5 2 2 3 3 3" xfId="21092" xr:uid="{00000000-0005-0000-0000-000060880000}"/>
    <cellStyle name="Separador de milhares 3 5 2 2 3 3 3 2" xfId="47279" xr:uid="{00000000-0005-0000-0000-000061880000}"/>
    <cellStyle name="Separador de milhares 3 5 2 2 3 3 4" xfId="15178" xr:uid="{00000000-0005-0000-0000-000062880000}"/>
    <cellStyle name="Separador de milhares 3 5 2 2 3 3 4 2" xfId="41371" xr:uid="{00000000-0005-0000-0000-000063880000}"/>
    <cellStyle name="Separador de milhares 3 5 2 2 3 3 5" xfId="34985" xr:uid="{00000000-0005-0000-0000-000064880000}"/>
    <cellStyle name="Separador de milhares 3 5 2 2 3 4" xfId="5417" xr:uid="{00000000-0005-0000-0000-000065880000}"/>
    <cellStyle name="Separador de milhares 3 5 2 2 3 4 2" xfId="24049" xr:uid="{00000000-0005-0000-0000-000066880000}"/>
    <cellStyle name="Separador de milhares 3 5 2 2 3 4 2 2" xfId="50233" xr:uid="{00000000-0005-0000-0000-000067880000}"/>
    <cellStyle name="Separador de milhares 3 5 2 2 3 4 3" xfId="31613" xr:uid="{00000000-0005-0000-0000-000068880000}"/>
    <cellStyle name="Separador de milhares 3 5 2 2 3 5" xfId="18135" xr:uid="{00000000-0005-0000-0000-000069880000}"/>
    <cellStyle name="Separador de milhares 3 5 2 2 3 5 2" xfId="44325" xr:uid="{00000000-0005-0000-0000-00006A880000}"/>
    <cellStyle name="Separador de milhares 3 5 2 2 3 6" xfId="11804" xr:uid="{00000000-0005-0000-0000-00006B880000}"/>
    <cellStyle name="Separador de milhares 3 5 2 2 3 6 2" xfId="37997" xr:uid="{00000000-0005-0000-0000-00006C880000}"/>
    <cellStyle name="Separador de milhares 3 5 2 2 3 7" xfId="29915" xr:uid="{00000000-0005-0000-0000-00006D880000}"/>
    <cellStyle name="Separador de milhares 3 5 2 2 4" xfId="2994" xr:uid="{00000000-0005-0000-0000-00006E880000}"/>
    <cellStyle name="Separador de milhares 3 5 2 2 4 2" xfId="7263" xr:uid="{00000000-0005-0000-0000-00006F880000}"/>
    <cellStyle name="Separador de milhares 3 5 2 2 4 2 2" xfId="10407" xr:uid="{00000000-0005-0000-0000-000070880000}"/>
    <cellStyle name="Separador de milhares 3 5 2 2 4 2 2 2" xfId="28621" xr:uid="{00000000-0005-0000-0000-000071880000}"/>
    <cellStyle name="Separador de milhares 3 5 2 2 4 2 2 2 2" xfId="54802" xr:uid="{00000000-0005-0000-0000-000072880000}"/>
    <cellStyle name="Separador de milhares 3 5 2 2 4 2 2 3" xfId="22707" xr:uid="{00000000-0005-0000-0000-000073880000}"/>
    <cellStyle name="Separador de milhares 3 5 2 2 4 2 2 3 2" xfId="48894" xr:uid="{00000000-0005-0000-0000-000074880000}"/>
    <cellStyle name="Separador de milhares 3 5 2 2 4 2 2 4" xfId="16793" xr:uid="{00000000-0005-0000-0000-000075880000}"/>
    <cellStyle name="Separador de milhares 3 5 2 2 4 2 2 4 2" xfId="42986" xr:uid="{00000000-0005-0000-0000-000076880000}"/>
    <cellStyle name="Separador de milhares 3 5 2 2 4 2 2 5" xfId="36600" xr:uid="{00000000-0005-0000-0000-000077880000}"/>
    <cellStyle name="Separador de milhares 3 5 2 2 4 2 3" xfId="25664" xr:uid="{00000000-0005-0000-0000-000078880000}"/>
    <cellStyle name="Separador de milhares 3 5 2 2 4 2 3 2" xfId="51848" xr:uid="{00000000-0005-0000-0000-000079880000}"/>
    <cellStyle name="Separador de milhares 3 5 2 2 4 2 4" xfId="19750" xr:uid="{00000000-0005-0000-0000-00007A880000}"/>
    <cellStyle name="Separador de milhares 3 5 2 2 4 2 4 2" xfId="45940" xr:uid="{00000000-0005-0000-0000-00007B880000}"/>
    <cellStyle name="Separador de milhares 3 5 2 2 4 2 5" xfId="13652" xr:uid="{00000000-0005-0000-0000-00007C880000}"/>
    <cellStyle name="Separador de milhares 3 5 2 2 4 2 5 2" xfId="39845" xr:uid="{00000000-0005-0000-0000-00007D880000}"/>
    <cellStyle name="Separador de milhares 3 5 2 2 4 2 6" xfId="33459" xr:uid="{00000000-0005-0000-0000-00007E880000}"/>
    <cellStyle name="Separador de milhares 3 5 2 2 4 3" xfId="8939" xr:uid="{00000000-0005-0000-0000-00007F880000}"/>
    <cellStyle name="Separador de milhares 3 5 2 2 4 3 2" xfId="27153" xr:uid="{00000000-0005-0000-0000-000080880000}"/>
    <cellStyle name="Separador de milhares 3 5 2 2 4 3 2 2" xfId="53334" xr:uid="{00000000-0005-0000-0000-000081880000}"/>
    <cellStyle name="Separador de milhares 3 5 2 2 4 3 3" xfId="21239" xr:uid="{00000000-0005-0000-0000-000082880000}"/>
    <cellStyle name="Separador de milhares 3 5 2 2 4 3 3 2" xfId="47426" xr:uid="{00000000-0005-0000-0000-000083880000}"/>
    <cellStyle name="Separador de milhares 3 5 2 2 4 3 4" xfId="15325" xr:uid="{00000000-0005-0000-0000-000084880000}"/>
    <cellStyle name="Separador de milhares 3 5 2 2 4 3 4 2" xfId="41518" xr:uid="{00000000-0005-0000-0000-000085880000}"/>
    <cellStyle name="Separador de milhares 3 5 2 2 4 3 5" xfId="35132" xr:uid="{00000000-0005-0000-0000-000086880000}"/>
    <cellStyle name="Separador de milhares 3 5 2 2 4 4" xfId="5564" xr:uid="{00000000-0005-0000-0000-000087880000}"/>
    <cellStyle name="Separador de milhares 3 5 2 2 4 4 2" xfId="24196" xr:uid="{00000000-0005-0000-0000-000088880000}"/>
    <cellStyle name="Separador de milhares 3 5 2 2 4 4 2 2" xfId="50380" xr:uid="{00000000-0005-0000-0000-000089880000}"/>
    <cellStyle name="Separador de milhares 3 5 2 2 4 4 3" xfId="31760" xr:uid="{00000000-0005-0000-0000-00008A880000}"/>
    <cellStyle name="Separador de milhares 3 5 2 2 4 5" xfId="18282" xr:uid="{00000000-0005-0000-0000-00008B880000}"/>
    <cellStyle name="Separador de milhares 3 5 2 2 4 5 2" xfId="44472" xr:uid="{00000000-0005-0000-0000-00008C880000}"/>
    <cellStyle name="Separador de milhares 3 5 2 2 4 6" xfId="11951" xr:uid="{00000000-0005-0000-0000-00008D880000}"/>
    <cellStyle name="Separador de milhares 3 5 2 2 4 6 2" xfId="38144" xr:uid="{00000000-0005-0000-0000-00008E880000}"/>
    <cellStyle name="Separador de milhares 3 5 2 2 4 7" xfId="30062" xr:uid="{00000000-0005-0000-0000-00008F880000}"/>
    <cellStyle name="Separador de milhares 3 5 2 2 5" xfId="3521" xr:uid="{00000000-0005-0000-0000-000090880000}"/>
    <cellStyle name="Separador de milhares 3 5 2 2 5 2" xfId="7410" xr:uid="{00000000-0005-0000-0000-000091880000}"/>
    <cellStyle name="Separador de milhares 3 5 2 2 5 2 2" xfId="10554" xr:uid="{00000000-0005-0000-0000-000092880000}"/>
    <cellStyle name="Separador de milhares 3 5 2 2 5 2 2 2" xfId="28768" xr:uid="{00000000-0005-0000-0000-000093880000}"/>
    <cellStyle name="Separador de milhares 3 5 2 2 5 2 2 2 2" xfId="54949" xr:uid="{00000000-0005-0000-0000-000094880000}"/>
    <cellStyle name="Separador de milhares 3 5 2 2 5 2 2 3" xfId="22854" xr:uid="{00000000-0005-0000-0000-000095880000}"/>
    <cellStyle name="Separador de milhares 3 5 2 2 5 2 2 3 2" xfId="49041" xr:uid="{00000000-0005-0000-0000-000096880000}"/>
    <cellStyle name="Separador de milhares 3 5 2 2 5 2 2 4" xfId="16940" xr:uid="{00000000-0005-0000-0000-000097880000}"/>
    <cellStyle name="Separador de milhares 3 5 2 2 5 2 2 4 2" xfId="43133" xr:uid="{00000000-0005-0000-0000-000098880000}"/>
    <cellStyle name="Separador de milhares 3 5 2 2 5 2 2 5" xfId="36747" xr:uid="{00000000-0005-0000-0000-000099880000}"/>
    <cellStyle name="Separador de milhares 3 5 2 2 5 2 3" xfId="25811" xr:uid="{00000000-0005-0000-0000-00009A880000}"/>
    <cellStyle name="Separador de milhares 3 5 2 2 5 2 3 2" xfId="51995" xr:uid="{00000000-0005-0000-0000-00009B880000}"/>
    <cellStyle name="Separador de milhares 3 5 2 2 5 2 4" xfId="19897" xr:uid="{00000000-0005-0000-0000-00009C880000}"/>
    <cellStyle name="Separador de milhares 3 5 2 2 5 2 4 2" xfId="46087" xr:uid="{00000000-0005-0000-0000-00009D880000}"/>
    <cellStyle name="Separador de milhares 3 5 2 2 5 2 5" xfId="13799" xr:uid="{00000000-0005-0000-0000-00009E880000}"/>
    <cellStyle name="Separador de milhares 3 5 2 2 5 2 5 2" xfId="39992" xr:uid="{00000000-0005-0000-0000-00009F880000}"/>
    <cellStyle name="Separador de milhares 3 5 2 2 5 2 6" xfId="33606" xr:uid="{00000000-0005-0000-0000-0000A0880000}"/>
    <cellStyle name="Separador de milhares 3 5 2 2 5 3" xfId="9086" xr:uid="{00000000-0005-0000-0000-0000A1880000}"/>
    <cellStyle name="Separador de milhares 3 5 2 2 5 3 2" xfId="27300" xr:uid="{00000000-0005-0000-0000-0000A2880000}"/>
    <cellStyle name="Separador de milhares 3 5 2 2 5 3 2 2" xfId="53481" xr:uid="{00000000-0005-0000-0000-0000A3880000}"/>
    <cellStyle name="Separador de milhares 3 5 2 2 5 3 3" xfId="21386" xr:uid="{00000000-0005-0000-0000-0000A4880000}"/>
    <cellStyle name="Separador de milhares 3 5 2 2 5 3 3 2" xfId="47573" xr:uid="{00000000-0005-0000-0000-0000A5880000}"/>
    <cellStyle name="Separador de milhares 3 5 2 2 5 3 4" xfId="15472" xr:uid="{00000000-0005-0000-0000-0000A6880000}"/>
    <cellStyle name="Separador de milhares 3 5 2 2 5 3 4 2" xfId="41665" xr:uid="{00000000-0005-0000-0000-0000A7880000}"/>
    <cellStyle name="Separador de milhares 3 5 2 2 5 3 5" xfId="35279" xr:uid="{00000000-0005-0000-0000-0000A8880000}"/>
    <cellStyle name="Separador de milhares 3 5 2 2 5 4" xfId="5711" xr:uid="{00000000-0005-0000-0000-0000A9880000}"/>
    <cellStyle name="Separador de milhares 3 5 2 2 5 4 2" xfId="24343" xr:uid="{00000000-0005-0000-0000-0000AA880000}"/>
    <cellStyle name="Separador de milhares 3 5 2 2 5 4 2 2" xfId="50527" xr:uid="{00000000-0005-0000-0000-0000AB880000}"/>
    <cellStyle name="Separador de milhares 3 5 2 2 5 4 3" xfId="31907" xr:uid="{00000000-0005-0000-0000-0000AC880000}"/>
    <cellStyle name="Separador de milhares 3 5 2 2 5 5" xfId="18429" xr:uid="{00000000-0005-0000-0000-0000AD880000}"/>
    <cellStyle name="Separador de milhares 3 5 2 2 5 5 2" xfId="44619" xr:uid="{00000000-0005-0000-0000-0000AE880000}"/>
    <cellStyle name="Separador de milhares 3 5 2 2 5 6" xfId="12098" xr:uid="{00000000-0005-0000-0000-0000AF880000}"/>
    <cellStyle name="Separador de milhares 3 5 2 2 5 6 2" xfId="38291" xr:uid="{00000000-0005-0000-0000-0000B0880000}"/>
    <cellStyle name="Separador de milhares 3 5 2 2 5 7" xfId="30209" xr:uid="{00000000-0005-0000-0000-0000B1880000}"/>
    <cellStyle name="Separador de milhares 3 5 2 2 6" xfId="4048" xr:uid="{00000000-0005-0000-0000-0000B2880000}"/>
    <cellStyle name="Separador de milhares 3 5 2 2 6 2" xfId="7557" xr:uid="{00000000-0005-0000-0000-0000B3880000}"/>
    <cellStyle name="Separador de milhares 3 5 2 2 6 2 2" xfId="10701" xr:uid="{00000000-0005-0000-0000-0000B4880000}"/>
    <cellStyle name="Separador de milhares 3 5 2 2 6 2 2 2" xfId="28915" xr:uid="{00000000-0005-0000-0000-0000B5880000}"/>
    <cellStyle name="Separador de milhares 3 5 2 2 6 2 2 2 2" xfId="55096" xr:uid="{00000000-0005-0000-0000-0000B6880000}"/>
    <cellStyle name="Separador de milhares 3 5 2 2 6 2 2 3" xfId="23001" xr:uid="{00000000-0005-0000-0000-0000B7880000}"/>
    <cellStyle name="Separador de milhares 3 5 2 2 6 2 2 3 2" xfId="49188" xr:uid="{00000000-0005-0000-0000-0000B8880000}"/>
    <cellStyle name="Separador de milhares 3 5 2 2 6 2 2 4" xfId="17087" xr:uid="{00000000-0005-0000-0000-0000B9880000}"/>
    <cellStyle name="Separador de milhares 3 5 2 2 6 2 2 4 2" xfId="43280" xr:uid="{00000000-0005-0000-0000-0000BA880000}"/>
    <cellStyle name="Separador de milhares 3 5 2 2 6 2 2 5" xfId="36894" xr:uid="{00000000-0005-0000-0000-0000BB880000}"/>
    <cellStyle name="Separador de milhares 3 5 2 2 6 2 3" xfId="25958" xr:uid="{00000000-0005-0000-0000-0000BC880000}"/>
    <cellStyle name="Separador de milhares 3 5 2 2 6 2 3 2" xfId="52142" xr:uid="{00000000-0005-0000-0000-0000BD880000}"/>
    <cellStyle name="Separador de milhares 3 5 2 2 6 2 4" xfId="20044" xr:uid="{00000000-0005-0000-0000-0000BE880000}"/>
    <cellStyle name="Separador de milhares 3 5 2 2 6 2 4 2" xfId="46234" xr:uid="{00000000-0005-0000-0000-0000BF880000}"/>
    <cellStyle name="Separador de milhares 3 5 2 2 6 2 5" xfId="13946" xr:uid="{00000000-0005-0000-0000-0000C0880000}"/>
    <cellStyle name="Separador de milhares 3 5 2 2 6 2 5 2" xfId="40139" xr:uid="{00000000-0005-0000-0000-0000C1880000}"/>
    <cellStyle name="Separador de milhares 3 5 2 2 6 2 6" xfId="33753" xr:uid="{00000000-0005-0000-0000-0000C2880000}"/>
    <cellStyle name="Separador de milhares 3 5 2 2 6 3" xfId="9233" xr:uid="{00000000-0005-0000-0000-0000C3880000}"/>
    <cellStyle name="Separador de milhares 3 5 2 2 6 3 2" xfId="27447" xr:uid="{00000000-0005-0000-0000-0000C4880000}"/>
    <cellStyle name="Separador de milhares 3 5 2 2 6 3 2 2" xfId="53628" xr:uid="{00000000-0005-0000-0000-0000C5880000}"/>
    <cellStyle name="Separador de milhares 3 5 2 2 6 3 3" xfId="21533" xr:uid="{00000000-0005-0000-0000-0000C6880000}"/>
    <cellStyle name="Separador de milhares 3 5 2 2 6 3 3 2" xfId="47720" xr:uid="{00000000-0005-0000-0000-0000C7880000}"/>
    <cellStyle name="Separador de milhares 3 5 2 2 6 3 4" xfId="15619" xr:uid="{00000000-0005-0000-0000-0000C8880000}"/>
    <cellStyle name="Separador de milhares 3 5 2 2 6 3 4 2" xfId="41812" xr:uid="{00000000-0005-0000-0000-0000C9880000}"/>
    <cellStyle name="Separador de milhares 3 5 2 2 6 3 5" xfId="35426" xr:uid="{00000000-0005-0000-0000-0000CA880000}"/>
    <cellStyle name="Separador de milhares 3 5 2 2 6 4" xfId="5858" xr:uid="{00000000-0005-0000-0000-0000CB880000}"/>
    <cellStyle name="Separador de milhares 3 5 2 2 6 4 2" xfId="24490" xr:uid="{00000000-0005-0000-0000-0000CC880000}"/>
    <cellStyle name="Separador de milhares 3 5 2 2 6 4 2 2" xfId="50674" xr:uid="{00000000-0005-0000-0000-0000CD880000}"/>
    <cellStyle name="Separador de milhares 3 5 2 2 6 4 3" xfId="32054" xr:uid="{00000000-0005-0000-0000-0000CE880000}"/>
    <cellStyle name="Separador de milhares 3 5 2 2 6 5" xfId="18576" xr:uid="{00000000-0005-0000-0000-0000CF880000}"/>
    <cellStyle name="Separador de milhares 3 5 2 2 6 5 2" xfId="44766" xr:uid="{00000000-0005-0000-0000-0000D0880000}"/>
    <cellStyle name="Separador de milhares 3 5 2 2 6 6" xfId="12245" xr:uid="{00000000-0005-0000-0000-0000D1880000}"/>
    <cellStyle name="Separador de milhares 3 5 2 2 6 6 2" xfId="38438" xr:uid="{00000000-0005-0000-0000-0000D2880000}"/>
    <cellStyle name="Separador de milhares 3 5 2 2 6 7" xfId="30356" xr:uid="{00000000-0005-0000-0000-0000D3880000}"/>
    <cellStyle name="Separador de milhares 3 5 2 2 7" xfId="6528" xr:uid="{00000000-0005-0000-0000-0000D4880000}"/>
    <cellStyle name="Separador de milhares 3 5 2 2 7 2" xfId="9675" xr:uid="{00000000-0005-0000-0000-0000D5880000}"/>
    <cellStyle name="Separador de milhares 3 5 2 2 7 2 2" xfId="27889" xr:uid="{00000000-0005-0000-0000-0000D6880000}"/>
    <cellStyle name="Separador de milhares 3 5 2 2 7 2 2 2" xfId="54070" xr:uid="{00000000-0005-0000-0000-0000D7880000}"/>
    <cellStyle name="Separador de milhares 3 5 2 2 7 2 3" xfId="21975" xr:uid="{00000000-0005-0000-0000-0000D8880000}"/>
    <cellStyle name="Separador de milhares 3 5 2 2 7 2 3 2" xfId="48162" xr:uid="{00000000-0005-0000-0000-0000D9880000}"/>
    <cellStyle name="Separador de milhares 3 5 2 2 7 2 4" xfId="16061" xr:uid="{00000000-0005-0000-0000-0000DA880000}"/>
    <cellStyle name="Separador de milhares 3 5 2 2 7 2 4 2" xfId="42254" xr:uid="{00000000-0005-0000-0000-0000DB880000}"/>
    <cellStyle name="Separador de milhares 3 5 2 2 7 2 5" xfId="35868" xr:uid="{00000000-0005-0000-0000-0000DC880000}"/>
    <cellStyle name="Separador de milhares 3 5 2 2 7 3" xfId="24932" xr:uid="{00000000-0005-0000-0000-0000DD880000}"/>
    <cellStyle name="Separador de milhares 3 5 2 2 7 3 2" xfId="51116" xr:uid="{00000000-0005-0000-0000-0000DE880000}"/>
    <cellStyle name="Separador de milhares 3 5 2 2 7 4" xfId="19018" xr:uid="{00000000-0005-0000-0000-0000DF880000}"/>
    <cellStyle name="Separador de milhares 3 5 2 2 7 4 2" xfId="45208" xr:uid="{00000000-0005-0000-0000-0000E0880000}"/>
    <cellStyle name="Separador de milhares 3 5 2 2 7 5" xfId="12917" xr:uid="{00000000-0005-0000-0000-0000E1880000}"/>
    <cellStyle name="Separador de milhares 3 5 2 2 7 5 2" xfId="39110" xr:uid="{00000000-0005-0000-0000-0000E2880000}"/>
    <cellStyle name="Separador de milhares 3 5 2 2 7 6" xfId="32724" xr:uid="{00000000-0005-0000-0000-0000E3880000}"/>
    <cellStyle name="Separador de milhares 3 5 2 2 8" xfId="8204" xr:uid="{00000000-0005-0000-0000-0000E4880000}"/>
    <cellStyle name="Separador de milhares 3 5 2 2 8 2" xfId="26418" xr:uid="{00000000-0005-0000-0000-0000E5880000}"/>
    <cellStyle name="Separador de milhares 3 5 2 2 8 2 2" xfId="52602" xr:uid="{00000000-0005-0000-0000-0000E6880000}"/>
    <cellStyle name="Separador de milhares 3 5 2 2 8 3" xfId="20504" xr:uid="{00000000-0005-0000-0000-0000E7880000}"/>
    <cellStyle name="Separador de milhares 3 5 2 2 8 3 2" xfId="46694" xr:uid="{00000000-0005-0000-0000-0000E8880000}"/>
    <cellStyle name="Separador de milhares 3 5 2 2 8 4" xfId="14593" xr:uid="{00000000-0005-0000-0000-0000E9880000}"/>
    <cellStyle name="Separador de milhares 3 5 2 2 8 4 2" xfId="40786" xr:uid="{00000000-0005-0000-0000-0000EA880000}"/>
    <cellStyle name="Separador de milhares 3 5 2 2 8 5" xfId="34400" xr:uid="{00000000-0005-0000-0000-0000EB880000}"/>
    <cellStyle name="Separador de milhares 3 5 2 2 9" xfId="4827" xr:uid="{00000000-0005-0000-0000-0000EC880000}"/>
    <cellStyle name="Separador de milhares 3 5 2 2 9 2" xfId="23461" xr:uid="{00000000-0005-0000-0000-0000ED880000}"/>
    <cellStyle name="Separador de milhares 3 5 2 2 9 2 2" xfId="49648" xr:uid="{00000000-0005-0000-0000-0000EE880000}"/>
    <cellStyle name="Separador de milhares 3 5 2 2 9 3" xfId="31025" xr:uid="{00000000-0005-0000-0000-0000EF880000}"/>
    <cellStyle name="Separador de milhares 3 5 2 3" xfId="891" xr:uid="{00000000-0005-0000-0000-0000F0880000}"/>
    <cellStyle name="Separador de milhares 3 5 2 3 2" xfId="6679" xr:uid="{00000000-0005-0000-0000-0000F1880000}"/>
    <cellStyle name="Separador de milhares 3 5 2 3 2 2" xfId="9826" xr:uid="{00000000-0005-0000-0000-0000F2880000}"/>
    <cellStyle name="Separador de milhares 3 5 2 3 2 2 2" xfId="28040" xr:uid="{00000000-0005-0000-0000-0000F3880000}"/>
    <cellStyle name="Separador de milhares 3 5 2 3 2 2 2 2" xfId="54221" xr:uid="{00000000-0005-0000-0000-0000F4880000}"/>
    <cellStyle name="Separador de milhares 3 5 2 3 2 2 3" xfId="22126" xr:uid="{00000000-0005-0000-0000-0000F5880000}"/>
    <cellStyle name="Separador de milhares 3 5 2 3 2 2 3 2" xfId="48313" xr:uid="{00000000-0005-0000-0000-0000F6880000}"/>
    <cellStyle name="Separador de milhares 3 5 2 3 2 2 4" xfId="16212" xr:uid="{00000000-0005-0000-0000-0000F7880000}"/>
    <cellStyle name="Separador de milhares 3 5 2 3 2 2 4 2" xfId="42405" xr:uid="{00000000-0005-0000-0000-0000F8880000}"/>
    <cellStyle name="Separador de milhares 3 5 2 3 2 2 5" xfId="36019" xr:uid="{00000000-0005-0000-0000-0000F9880000}"/>
    <cellStyle name="Separador de milhares 3 5 2 3 2 3" xfId="25083" xr:uid="{00000000-0005-0000-0000-0000FA880000}"/>
    <cellStyle name="Separador de milhares 3 5 2 3 2 3 2" xfId="51267" xr:uid="{00000000-0005-0000-0000-0000FB880000}"/>
    <cellStyle name="Separador de milhares 3 5 2 3 2 4" xfId="19169" xr:uid="{00000000-0005-0000-0000-0000FC880000}"/>
    <cellStyle name="Separador de milhares 3 5 2 3 2 4 2" xfId="45359" xr:uid="{00000000-0005-0000-0000-0000FD880000}"/>
    <cellStyle name="Separador de milhares 3 5 2 3 2 5" xfId="13068" xr:uid="{00000000-0005-0000-0000-0000FE880000}"/>
    <cellStyle name="Separador de milhares 3 5 2 3 2 5 2" xfId="39261" xr:uid="{00000000-0005-0000-0000-0000FF880000}"/>
    <cellStyle name="Separador de milhares 3 5 2 3 2 6" xfId="32875" xr:uid="{00000000-0005-0000-0000-000000890000}"/>
    <cellStyle name="Separador de milhares 3 5 2 3 3" xfId="8358" xr:uid="{00000000-0005-0000-0000-000001890000}"/>
    <cellStyle name="Separador de milhares 3 5 2 3 3 2" xfId="26572" xr:uid="{00000000-0005-0000-0000-000002890000}"/>
    <cellStyle name="Separador de milhares 3 5 2 3 3 2 2" xfId="52753" xr:uid="{00000000-0005-0000-0000-000003890000}"/>
    <cellStyle name="Separador de milhares 3 5 2 3 3 3" xfId="20658" xr:uid="{00000000-0005-0000-0000-000004890000}"/>
    <cellStyle name="Separador de milhares 3 5 2 3 3 3 2" xfId="46845" xr:uid="{00000000-0005-0000-0000-000005890000}"/>
    <cellStyle name="Separador de milhares 3 5 2 3 3 4" xfId="14744" xr:uid="{00000000-0005-0000-0000-000006890000}"/>
    <cellStyle name="Separador de milhares 3 5 2 3 3 4 2" xfId="40937" xr:uid="{00000000-0005-0000-0000-000007890000}"/>
    <cellStyle name="Separador de milhares 3 5 2 3 3 5" xfId="34551" xr:uid="{00000000-0005-0000-0000-000008890000}"/>
    <cellStyle name="Separador de milhares 3 5 2 3 4" xfId="4980" xr:uid="{00000000-0005-0000-0000-000009890000}"/>
    <cellStyle name="Separador de milhares 3 5 2 3 4 2" xfId="23615" xr:uid="{00000000-0005-0000-0000-00000A890000}"/>
    <cellStyle name="Separador de milhares 3 5 2 3 4 2 2" xfId="49799" xr:uid="{00000000-0005-0000-0000-00000B890000}"/>
    <cellStyle name="Separador de milhares 3 5 2 3 4 3" xfId="31176" xr:uid="{00000000-0005-0000-0000-00000C890000}"/>
    <cellStyle name="Separador de milhares 3 5 2 3 5" xfId="17701" xr:uid="{00000000-0005-0000-0000-00000D890000}"/>
    <cellStyle name="Separador de milhares 3 5 2 3 5 2" xfId="43891" xr:uid="{00000000-0005-0000-0000-00000E890000}"/>
    <cellStyle name="Separador de milhares 3 5 2 3 6" xfId="11367" xr:uid="{00000000-0005-0000-0000-00000F890000}"/>
    <cellStyle name="Separador de milhares 3 5 2 3 6 2" xfId="37560" xr:uid="{00000000-0005-0000-0000-000010890000}"/>
    <cellStyle name="Separador de milhares 3 5 2 3 7" xfId="29478" xr:uid="{00000000-0005-0000-0000-000011890000}"/>
    <cellStyle name="Separador de milhares 3 5 2 4" xfId="1242" xr:uid="{00000000-0005-0000-0000-000012890000}"/>
    <cellStyle name="Separador de milhares 3 5 2 4 2" xfId="6777" xr:uid="{00000000-0005-0000-0000-000013890000}"/>
    <cellStyle name="Separador de milhares 3 5 2 4 2 2" xfId="9924" xr:uid="{00000000-0005-0000-0000-000014890000}"/>
    <cellStyle name="Separador de milhares 3 5 2 4 2 2 2" xfId="28138" xr:uid="{00000000-0005-0000-0000-000015890000}"/>
    <cellStyle name="Separador de milhares 3 5 2 4 2 2 2 2" xfId="54319" xr:uid="{00000000-0005-0000-0000-000016890000}"/>
    <cellStyle name="Separador de milhares 3 5 2 4 2 2 3" xfId="22224" xr:uid="{00000000-0005-0000-0000-000017890000}"/>
    <cellStyle name="Separador de milhares 3 5 2 4 2 2 3 2" xfId="48411" xr:uid="{00000000-0005-0000-0000-000018890000}"/>
    <cellStyle name="Separador de milhares 3 5 2 4 2 2 4" xfId="16310" xr:uid="{00000000-0005-0000-0000-000019890000}"/>
    <cellStyle name="Separador de milhares 3 5 2 4 2 2 4 2" xfId="42503" xr:uid="{00000000-0005-0000-0000-00001A890000}"/>
    <cellStyle name="Separador de milhares 3 5 2 4 2 2 5" xfId="36117" xr:uid="{00000000-0005-0000-0000-00001B890000}"/>
    <cellStyle name="Separador de milhares 3 5 2 4 2 3" xfId="25181" xr:uid="{00000000-0005-0000-0000-00001C890000}"/>
    <cellStyle name="Separador de milhares 3 5 2 4 2 3 2" xfId="51365" xr:uid="{00000000-0005-0000-0000-00001D890000}"/>
    <cellStyle name="Separador de milhares 3 5 2 4 2 4" xfId="19267" xr:uid="{00000000-0005-0000-0000-00001E890000}"/>
    <cellStyle name="Separador de milhares 3 5 2 4 2 4 2" xfId="45457" xr:uid="{00000000-0005-0000-0000-00001F890000}"/>
    <cellStyle name="Separador de milhares 3 5 2 4 2 5" xfId="13166" xr:uid="{00000000-0005-0000-0000-000020890000}"/>
    <cellStyle name="Separador de milhares 3 5 2 4 2 5 2" xfId="39359" xr:uid="{00000000-0005-0000-0000-000021890000}"/>
    <cellStyle name="Separador de milhares 3 5 2 4 2 6" xfId="32973" xr:uid="{00000000-0005-0000-0000-000022890000}"/>
    <cellStyle name="Separador de milhares 3 5 2 4 3" xfId="8456" xr:uid="{00000000-0005-0000-0000-000023890000}"/>
    <cellStyle name="Separador de milhares 3 5 2 4 3 2" xfId="26670" xr:uid="{00000000-0005-0000-0000-000024890000}"/>
    <cellStyle name="Separador de milhares 3 5 2 4 3 2 2" xfId="52851" xr:uid="{00000000-0005-0000-0000-000025890000}"/>
    <cellStyle name="Separador de milhares 3 5 2 4 3 3" xfId="20756" xr:uid="{00000000-0005-0000-0000-000026890000}"/>
    <cellStyle name="Separador de milhares 3 5 2 4 3 3 2" xfId="46943" xr:uid="{00000000-0005-0000-0000-000027890000}"/>
    <cellStyle name="Separador de milhares 3 5 2 4 3 4" xfId="14842" xr:uid="{00000000-0005-0000-0000-000028890000}"/>
    <cellStyle name="Separador de milhares 3 5 2 4 3 4 2" xfId="41035" xr:uid="{00000000-0005-0000-0000-000029890000}"/>
    <cellStyle name="Separador de milhares 3 5 2 4 3 5" xfId="34649" xr:uid="{00000000-0005-0000-0000-00002A890000}"/>
    <cellStyle name="Separador de milhares 3 5 2 4 4" xfId="5078" xr:uid="{00000000-0005-0000-0000-00002B890000}"/>
    <cellStyle name="Separador de milhares 3 5 2 4 4 2" xfId="23713" xr:uid="{00000000-0005-0000-0000-00002C890000}"/>
    <cellStyle name="Separador de milhares 3 5 2 4 4 2 2" xfId="49897" xr:uid="{00000000-0005-0000-0000-00002D890000}"/>
    <cellStyle name="Separador de milhares 3 5 2 4 4 3" xfId="31274" xr:uid="{00000000-0005-0000-0000-00002E890000}"/>
    <cellStyle name="Separador de milhares 3 5 2 4 5" xfId="17799" xr:uid="{00000000-0005-0000-0000-00002F890000}"/>
    <cellStyle name="Separador de milhares 3 5 2 4 5 2" xfId="43989" xr:uid="{00000000-0005-0000-0000-000030890000}"/>
    <cellStyle name="Separador de milhares 3 5 2 4 6" xfId="11465" xr:uid="{00000000-0005-0000-0000-000031890000}"/>
    <cellStyle name="Separador de milhares 3 5 2 4 6 2" xfId="37658" xr:uid="{00000000-0005-0000-0000-000032890000}"/>
    <cellStyle name="Separador de milhares 3 5 2 4 7" xfId="29576" xr:uid="{00000000-0005-0000-0000-000033890000}"/>
    <cellStyle name="Separador de milhares 3 5 2 5" xfId="1677" xr:uid="{00000000-0005-0000-0000-000034890000}"/>
    <cellStyle name="Separador de milhares 3 5 2 5 2" xfId="6896" xr:uid="{00000000-0005-0000-0000-000035890000}"/>
    <cellStyle name="Separador de milhares 3 5 2 5 2 2" xfId="10043" xr:uid="{00000000-0005-0000-0000-000036890000}"/>
    <cellStyle name="Separador de milhares 3 5 2 5 2 2 2" xfId="28257" xr:uid="{00000000-0005-0000-0000-000037890000}"/>
    <cellStyle name="Separador de milhares 3 5 2 5 2 2 2 2" xfId="54438" xr:uid="{00000000-0005-0000-0000-000038890000}"/>
    <cellStyle name="Separador de milhares 3 5 2 5 2 2 3" xfId="22343" xr:uid="{00000000-0005-0000-0000-000039890000}"/>
    <cellStyle name="Separador de milhares 3 5 2 5 2 2 3 2" xfId="48530" xr:uid="{00000000-0005-0000-0000-00003A890000}"/>
    <cellStyle name="Separador de milhares 3 5 2 5 2 2 4" xfId="16429" xr:uid="{00000000-0005-0000-0000-00003B890000}"/>
    <cellStyle name="Separador de milhares 3 5 2 5 2 2 4 2" xfId="42622" xr:uid="{00000000-0005-0000-0000-00003C890000}"/>
    <cellStyle name="Separador de milhares 3 5 2 5 2 2 5" xfId="36236" xr:uid="{00000000-0005-0000-0000-00003D890000}"/>
    <cellStyle name="Separador de milhares 3 5 2 5 2 3" xfId="25300" xr:uid="{00000000-0005-0000-0000-00003E890000}"/>
    <cellStyle name="Separador de milhares 3 5 2 5 2 3 2" xfId="51484" xr:uid="{00000000-0005-0000-0000-00003F890000}"/>
    <cellStyle name="Separador de milhares 3 5 2 5 2 4" xfId="19386" xr:uid="{00000000-0005-0000-0000-000040890000}"/>
    <cellStyle name="Separador de milhares 3 5 2 5 2 4 2" xfId="45576" xr:uid="{00000000-0005-0000-0000-000041890000}"/>
    <cellStyle name="Separador de milhares 3 5 2 5 2 5" xfId="13285" xr:uid="{00000000-0005-0000-0000-000042890000}"/>
    <cellStyle name="Separador de milhares 3 5 2 5 2 5 2" xfId="39478" xr:uid="{00000000-0005-0000-0000-000043890000}"/>
    <cellStyle name="Separador de milhares 3 5 2 5 2 6" xfId="33092" xr:uid="{00000000-0005-0000-0000-000044890000}"/>
    <cellStyle name="Separador de milhares 3 5 2 5 3" xfId="8575" xr:uid="{00000000-0005-0000-0000-000045890000}"/>
    <cellStyle name="Separador de milhares 3 5 2 5 3 2" xfId="26789" xr:uid="{00000000-0005-0000-0000-000046890000}"/>
    <cellStyle name="Separador de milhares 3 5 2 5 3 2 2" xfId="52970" xr:uid="{00000000-0005-0000-0000-000047890000}"/>
    <cellStyle name="Separador de milhares 3 5 2 5 3 3" xfId="20875" xr:uid="{00000000-0005-0000-0000-000048890000}"/>
    <cellStyle name="Separador de milhares 3 5 2 5 3 3 2" xfId="47062" xr:uid="{00000000-0005-0000-0000-000049890000}"/>
    <cellStyle name="Separador de milhares 3 5 2 5 3 4" xfId="14961" xr:uid="{00000000-0005-0000-0000-00004A890000}"/>
    <cellStyle name="Separador de milhares 3 5 2 5 3 4 2" xfId="41154" xr:uid="{00000000-0005-0000-0000-00004B890000}"/>
    <cellStyle name="Separador de milhares 3 5 2 5 3 5" xfId="34768" xr:uid="{00000000-0005-0000-0000-00004C890000}"/>
    <cellStyle name="Separador de milhares 3 5 2 5 4" xfId="5197" xr:uid="{00000000-0005-0000-0000-00004D890000}"/>
    <cellStyle name="Separador de milhares 3 5 2 5 4 2" xfId="23832" xr:uid="{00000000-0005-0000-0000-00004E890000}"/>
    <cellStyle name="Separador de milhares 3 5 2 5 4 2 2" xfId="50016" xr:uid="{00000000-0005-0000-0000-00004F890000}"/>
    <cellStyle name="Separador de milhares 3 5 2 5 4 3" xfId="31393" xr:uid="{00000000-0005-0000-0000-000050890000}"/>
    <cellStyle name="Separador de milhares 3 5 2 5 5" xfId="17918" xr:uid="{00000000-0005-0000-0000-000051890000}"/>
    <cellStyle name="Separador de milhares 3 5 2 5 5 2" xfId="44108" xr:uid="{00000000-0005-0000-0000-000052890000}"/>
    <cellStyle name="Separador de milhares 3 5 2 5 6" xfId="11584" xr:uid="{00000000-0005-0000-0000-000053890000}"/>
    <cellStyle name="Separador de milhares 3 5 2 5 6 2" xfId="37777" xr:uid="{00000000-0005-0000-0000-000054890000}"/>
    <cellStyle name="Separador de milhares 3 5 2 5 7" xfId="29695" xr:uid="{00000000-0005-0000-0000-000055890000}"/>
    <cellStyle name="Separador de milhares 3 5 2 6" xfId="2207" xr:uid="{00000000-0005-0000-0000-000056890000}"/>
    <cellStyle name="Separador de milhares 3 5 2 6 2" xfId="7046" xr:uid="{00000000-0005-0000-0000-000057890000}"/>
    <cellStyle name="Separador de milhares 3 5 2 6 2 2" xfId="10190" xr:uid="{00000000-0005-0000-0000-000058890000}"/>
    <cellStyle name="Separador de milhares 3 5 2 6 2 2 2" xfId="28404" xr:uid="{00000000-0005-0000-0000-000059890000}"/>
    <cellStyle name="Separador de milhares 3 5 2 6 2 2 2 2" xfId="54585" xr:uid="{00000000-0005-0000-0000-00005A890000}"/>
    <cellStyle name="Separador de milhares 3 5 2 6 2 2 3" xfId="22490" xr:uid="{00000000-0005-0000-0000-00005B890000}"/>
    <cellStyle name="Separador de milhares 3 5 2 6 2 2 3 2" xfId="48677" xr:uid="{00000000-0005-0000-0000-00005C890000}"/>
    <cellStyle name="Separador de milhares 3 5 2 6 2 2 4" xfId="16576" xr:uid="{00000000-0005-0000-0000-00005D890000}"/>
    <cellStyle name="Separador de milhares 3 5 2 6 2 2 4 2" xfId="42769" xr:uid="{00000000-0005-0000-0000-00005E890000}"/>
    <cellStyle name="Separador de milhares 3 5 2 6 2 2 5" xfId="36383" xr:uid="{00000000-0005-0000-0000-00005F890000}"/>
    <cellStyle name="Separador de milhares 3 5 2 6 2 3" xfId="25447" xr:uid="{00000000-0005-0000-0000-000060890000}"/>
    <cellStyle name="Separador de milhares 3 5 2 6 2 3 2" xfId="51631" xr:uid="{00000000-0005-0000-0000-000061890000}"/>
    <cellStyle name="Separador de milhares 3 5 2 6 2 4" xfId="19533" xr:uid="{00000000-0005-0000-0000-000062890000}"/>
    <cellStyle name="Separador de milhares 3 5 2 6 2 4 2" xfId="45723" xr:uid="{00000000-0005-0000-0000-000063890000}"/>
    <cellStyle name="Separador de milhares 3 5 2 6 2 5" xfId="13435" xr:uid="{00000000-0005-0000-0000-000064890000}"/>
    <cellStyle name="Separador de milhares 3 5 2 6 2 5 2" xfId="39628" xr:uid="{00000000-0005-0000-0000-000065890000}"/>
    <cellStyle name="Separador de milhares 3 5 2 6 2 6" xfId="33242" xr:uid="{00000000-0005-0000-0000-000066890000}"/>
    <cellStyle name="Separador de milhares 3 5 2 6 3" xfId="8722" xr:uid="{00000000-0005-0000-0000-000067890000}"/>
    <cellStyle name="Separador de milhares 3 5 2 6 3 2" xfId="26936" xr:uid="{00000000-0005-0000-0000-000068890000}"/>
    <cellStyle name="Separador de milhares 3 5 2 6 3 2 2" xfId="53117" xr:uid="{00000000-0005-0000-0000-000069890000}"/>
    <cellStyle name="Separador de milhares 3 5 2 6 3 3" xfId="21022" xr:uid="{00000000-0005-0000-0000-00006A890000}"/>
    <cellStyle name="Separador de milhares 3 5 2 6 3 3 2" xfId="47209" xr:uid="{00000000-0005-0000-0000-00006B890000}"/>
    <cellStyle name="Separador de milhares 3 5 2 6 3 4" xfId="15108" xr:uid="{00000000-0005-0000-0000-00006C890000}"/>
    <cellStyle name="Separador de milhares 3 5 2 6 3 4 2" xfId="41301" xr:uid="{00000000-0005-0000-0000-00006D890000}"/>
    <cellStyle name="Separador de milhares 3 5 2 6 3 5" xfId="34915" xr:uid="{00000000-0005-0000-0000-00006E890000}"/>
    <cellStyle name="Separador de milhares 3 5 2 6 4" xfId="5347" xr:uid="{00000000-0005-0000-0000-00006F890000}"/>
    <cellStyle name="Separador de milhares 3 5 2 6 4 2" xfId="23979" xr:uid="{00000000-0005-0000-0000-000070890000}"/>
    <cellStyle name="Separador de milhares 3 5 2 6 4 2 2" xfId="50163" xr:uid="{00000000-0005-0000-0000-000071890000}"/>
    <cellStyle name="Separador de milhares 3 5 2 6 4 3" xfId="31543" xr:uid="{00000000-0005-0000-0000-000072890000}"/>
    <cellStyle name="Separador de milhares 3 5 2 6 5" xfId="18065" xr:uid="{00000000-0005-0000-0000-000073890000}"/>
    <cellStyle name="Separador de milhares 3 5 2 6 5 2" xfId="44255" xr:uid="{00000000-0005-0000-0000-000074890000}"/>
    <cellStyle name="Separador de milhares 3 5 2 6 6" xfId="11734" xr:uid="{00000000-0005-0000-0000-000075890000}"/>
    <cellStyle name="Separador de milhares 3 5 2 6 6 2" xfId="37927" xr:uid="{00000000-0005-0000-0000-000076890000}"/>
    <cellStyle name="Separador de milhares 3 5 2 6 7" xfId="29845" xr:uid="{00000000-0005-0000-0000-000077890000}"/>
    <cellStyle name="Separador de milhares 3 5 2 7" xfId="2734" xr:uid="{00000000-0005-0000-0000-000078890000}"/>
    <cellStyle name="Separador de milhares 3 5 2 7 2" xfId="7193" xr:uid="{00000000-0005-0000-0000-000079890000}"/>
    <cellStyle name="Separador de milhares 3 5 2 7 2 2" xfId="10337" xr:uid="{00000000-0005-0000-0000-00007A890000}"/>
    <cellStyle name="Separador de milhares 3 5 2 7 2 2 2" xfId="28551" xr:uid="{00000000-0005-0000-0000-00007B890000}"/>
    <cellStyle name="Separador de milhares 3 5 2 7 2 2 2 2" xfId="54732" xr:uid="{00000000-0005-0000-0000-00007C890000}"/>
    <cellStyle name="Separador de milhares 3 5 2 7 2 2 3" xfId="22637" xr:uid="{00000000-0005-0000-0000-00007D890000}"/>
    <cellStyle name="Separador de milhares 3 5 2 7 2 2 3 2" xfId="48824" xr:uid="{00000000-0005-0000-0000-00007E890000}"/>
    <cellStyle name="Separador de milhares 3 5 2 7 2 2 4" xfId="16723" xr:uid="{00000000-0005-0000-0000-00007F890000}"/>
    <cellStyle name="Separador de milhares 3 5 2 7 2 2 4 2" xfId="42916" xr:uid="{00000000-0005-0000-0000-000080890000}"/>
    <cellStyle name="Separador de milhares 3 5 2 7 2 2 5" xfId="36530" xr:uid="{00000000-0005-0000-0000-000081890000}"/>
    <cellStyle name="Separador de milhares 3 5 2 7 2 3" xfId="25594" xr:uid="{00000000-0005-0000-0000-000082890000}"/>
    <cellStyle name="Separador de milhares 3 5 2 7 2 3 2" xfId="51778" xr:uid="{00000000-0005-0000-0000-000083890000}"/>
    <cellStyle name="Separador de milhares 3 5 2 7 2 4" xfId="19680" xr:uid="{00000000-0005-0000-0000-000084890000}"/>
    <cellStyle name="Separador de milhares 3 5 2 7 2 4 2" xfId="45870" xr:uid="{00000000-0005-0000-0000-000085890000}"/>
    <cellStyle name="Separador de milhares 3 5 2 7 2 5" xfId="13582" xr:uid="{00000000-0005-0000-0000-000086890000}"/>
    <cellStyle name="Separador de milhares 3 5 2 7 2 5 2" xfId="39775" xr:uid="{00000000-0005-0000-0000-000087890000}"/>
    <cellStyle name="Separador de milhares 3 5 2 7 2 6" xfId="33389" xr:uid="{00000000-0005-0000-0000-000088890000}"/>
    <cellStyle name="Separador de milhares 3 5 2 7 3" xfId="8869" xr:uid="{00000000-0005-0000-0000-000089890000}"/>
    <cellStyle name="Separador de milhares 3 5 2 7 3 2" xfId="27083" xr:uid="{00000000-0005-0000-0000-00008A890000}"/>
    <cellStyle name="Separador de milhares 3 5 2 7 3 2 2" xfId="53264" xr:uid="{00000000-0005-0000-0000-00008B890000}"/>
    <cellStyle name="Separador de milhares 3 5 2 7 3 3" xfId="21169" xr:uid="{00000000-0005-0000-0000-00008C890000}"/>
    <cellStyle name="Separador de milhares 3 5 2 7 3 3 2" xfId="47356" xr:uid="{00000000-0005-0000-0000-00008D890000}"/>
    <cellStyle name="Separador de milhares 3 5 2 7 3 4" xfId="15255" xr:uid="{00000000-0005-0000-0000-00008E890000}"/>
    <cellStyle name="Separador de milhares 3 5 2 7 3 4 2" xfId="41448" xr:uid="{00000000-0005-0000-0000-00008F890000}"/>
    <cellStyle name="Separador de milhares 3 5 2 7 3 5" xfId="35062" xr:uid="{00000000-0005-0000-0000-000090890000}"/>
    <cellStyle name="Separador de milhares 3 5 2 7 4" xfId="5494" xr:uid="{00000000-0005-0000-0000-000091890000}"/>
    <cellStyle name="Separador de milhares 3 5 2 7 4 2" xfId="24126" xr:uid="{00000000-0005-0000-0000-000092890000}"/>
    <cellStyle name="Separador de milhares 3 5 2 7 4 2 2" xfId="50310" xr:uid="{00000000-0005-0000-0000-000093890000}"/>
    <cellStyle name="Separador de milhares 3 5 2 7 4 3" xfId="31690" xr:uid="{00000000-0005-0000-0000-000094890000}"/>
    <cellStyle name="Separador de milhares 3 5 2 7 5" xfId="18212" xr:uid="{00000000-0005-0000-0000-000095890000}"/>
    <cellStyle name="Separador de milhares 3 5 2 7 5 2" xfId="44402" xr:uid="{00000000-0005-0000-0000-000096890000}"/>
    <cellStyle name="Separador de milhares 3 5 2 7 6" xfId="11881" xr:uid="{00000000-0005-0000-0000-000097890000}"/>
    <cellStyle name="Separador de milhares 3 5 2 7 6 2" xfId="38074" xr:uid="{00000000-0005-0000-0000-000098890000}"/>
    <cellStyle name="Separador de milhares 3 5 2 7 7" xfId="29992" xr:uid="{00000000-0005-0000-0000-000099890000}"/>
    <cellStyle name="Separador de milhares 3 5 2 8" xfId="3261" xr:uid="{00000000-0005-0000-0000-00009A890000}"/>
    <cellStyle name="Separador de milhares 3 5 2 8 2" xfId="7340" xr:uid="{00000000-0005-0000-0000-00009B890000}"/>
    <cellStyle name="Separador de milhares 3 5 2 8 2 2" xfId="10484" xr:uid="{00000000-0005-0000-0000-00009C890000}"/>
    <cellStyle name="Separador de milhares 3 5 2 8 2 2 2" xfId="28698" xr:uid="{00000000-0005-0000-0000-00009D890000}"/>
    <cellStyle name="Separador de milhares 3 5 2 8 2 2 2 2" xfId="54879" xr:uid="{00000000-0005-0000-0000-00009E890000}"/>
    <cellStyle name="Separador de milhares 3 5 2 8 2 2 3" xfId="22784" xr:uid="{00000000-0005-0000-0000-00009F890000}"/>
    <cellStyle name="Separador de milhares 3 5 2 8 2 2 3 2" xfId="48971" xr:uid="{00000000-0005-0000-0000-0000A0890000}"/>
    <cellStyle name="Separador de milhares 3 5 2 8 2 2 4" xfId="16870" xr:uid="{00000000-0005-0000-0000-0000A1890000}"/>
    <cellStyle name="Separador de milhares 3 5 2 8 2 2 4 2" xfId="43063" xr:uid="{00000000-0005-0000-0000-0000A2890000}"/>
    <cellStyle name="Separador de milhares 3 5 2 8 2 2 5" xfId="36677" xr:uid="{00000000-0005-0000-0000-0000A3890000}"/>
    <cellStyle name="Separador de milhares 3 5 2 8 2 3" xfId="25741" xr:uid="{00000000-0005-0000-0000-0000A4890000}"/>
    <cellStyle name="Separador de milhares 3 5 2 8 2 3 2" xfId="51925" xr:uid="{00000000-0005-0000-0000-0000A5890000}"/>
    <cellStyle name="Separador de milhares 3 5 2 8 2 4" xfId="19827" xr:uid="{00000000-0005-0000-0000-0000A6890000}"/>
    <cellStyle name="Separador de milhares 3 5 2 8 2 4 2" xfId="46017" xr:uid="{00000000-0005-0000-0000-0000A7890000}"/>
    <cellStyle name="Separador de milhares 3 5 2 8 2 5" xfId="13729" xr:uid="{00000000-0005-0000-0000-0000A8890000}"/>
    <cellStyle name="Separador de milhares 3 5 2 8 2 5 2" xfId="39922" xr:uid="{00000000-0005-0000-0000-0000A9890000}"/>
    <cellStyle name="Separador de milhares 3 5 2 8 2 6" xfId="33536" xr:uid="{00000000-0005-0000-0000-0000AA890000}"/>
    <cellStyle name="Separador de milhares 3 5 2 8 3" xfId="9016" xr:uid="{00000000-0005-0000-0000-0000AB890000}"/>
    <cellStyle name="Separador de milhares 3 5 2 8 3 2" xfId="27230" xr:uid="{00000000-0005-0000-0000-0000AC890000}"/>
    <cellStyle name="Separador de milhares 3 5 2 8 3 2 2" xfId="53411" xr:uid="{00000000-0005-0000-0000-0000AD890000}"/>
    <cellStyle name="Separador de milhares 3 5 2 8 3 3" xfId="21316" xr:uid="{00000000-0005-0000-0000-0000AE890000}"/>
    <cellStyle name="Separador de milhares 3 5 2 8 3 3 2" xfId="47503" xr:uid="{00000000-0005-0000-0000-0000AF890000}"/>
    <cellStyle name="Separador de milhares 3 5 2 8 3 4" xfId="15402" xr:uid="{00000000-0005-0000-0000-0000B0890000}"/>
    <cellStyle name="Separador de milhares 3 5 2 8 3 4 2" xfId="41595" xr:uid="{00000000-0005-0000-0000-0000B1890000}"/>
    <cellStyle name="Separador de milhares 3 5 2 8 3 5" xfId="35209" xr:uid="{00000000-0005-0000-0000-0000B2890000}"/>
    <cellStyle name="Separador de milhares 3 5 2 8 4" xfId="5641" xr:uid="{00000000-0005-0000-0000-0000B3890000}"/>
    <cellStyle name="Separador de milhares 3 5 2 8 4 2" xfId="24273" xr:uid="{00000000-0005-0000-0000-0000B4890000}"/>
    <cellStyle name="Separador de milhares 3 5 2 8 4 2 2" xfId="50457" xr:uid="{00000000-0005-0000-0000-0000B5890000}"/>
    <cellStyle name="Separador de milhares 3 5 2 8 4 3" xfId="31837" xr:uid="{00000000-0005-0000-0000-0000B6890000}"/>
    <cellStyle name="Separador de milhares 3 5 2 8 5" xfId="18359" xr:uid="{00000000-0005-0000-0000-0000B7890000}"/>
    <cellStyle name="Separador de milhares 3 5 2 8 5 2" xfId="44549" xr:uid="{00000000-0005-0000-0000-0000B8890000}"/>
    <cellStyle name="Separador de milhares 3 5 2 8 6" xfId="12028" xr:uid="{00000000-0005-0000-0000-0000B9890000}"/>
    <cellStyle name="Separador de milhares 3 5 2 8 6 2" xfId="38221" xr:uid="{00000000-0005-0000-0000-0000BA890000}"/>
    <cellStyle name="Separador de milhares 3 5 2 8 7" xfId="30139" xr:uid="{00000000-0005-0000-0000-0000BB890000}"/>
    <cellStyle name="Separador de milhares 3 5 2 9" xfId="3788" xr:uid="{00000000-0005-0000-0000-0000BC890000}"/>
    <cellStyle name="Separador de milhares 3 5 2 9 2" xfId="7487" xr:uid="{00000000-0005-0000-0000-0000BD890000}"/>
    <cellStyle name="Separador de milhares 3 5 2 9 2 2" xfId="10631" xr:uid="{00000000-0005-0000-0000-0000BE890000}"/>
    <cellStyle name="Separador de milhares 3 5 2 9 2 2 2" xfId="28845" xr:uid="{00000000-0005-0000-0000-0000BF890000}"/>
    <cellStyle name="Separador de milhares 3 5 2 9 2 2 2 2" xfId="55026" xr:uid="{00000000-0005-0000-0000-0000C0890000}"/>
    <cellStyle name="Separador de milhares 3 5 2 9 2 2 3" xfId="22931" xr:uid="{00000000-0005-0000-0000-0000C1890000}"/>
    <cellStyle name="Separador de milhares 3 5 2 9 2 2 3 2" xfId="49118" xr:uid="{00000000-0005-0000-0000-0000C2890000}"/>
    <cellStyle name="Separador de milhares 3 5 2 9 2 2 4" xfId="17017" xr:uid="{00000000-0005-0000-0000-0000C3890000}"/>
    <cellStyle name="Separador de milhares 3 5 2 9 2 2 4 2" xfId="43210" xr:uid="{00000000-0005-0000-0000-0000C4890000}"/>
    <cellStyle name="Separador de milhares 3 5 2 9 2 2 5" xfId="36824" xr:uid="{00000000-0005-0000-0000-0000C5890000}"/>
    <cellStyle name="Separador de milhares 3 5 2 9 2 3" xfId="25888" xr:uid="{00000000-0005-0000-0000-0000C6890000}"/>
    <cellStyle name="Separador de milhares 3 5 2 9 2 3 2" xfId="52072" xr:uid="{00000000-0005-0000-0000-0000C7890000}"/>
    <cellStyle name="Separador de milhares 3 5 2 9 2 4" xfId="19974" xr:uid="{00000000-0005-0000-0000-0000C8890000}"/>
    <cellStyle name="Separador de milhares 3 5 2 9 2 4 2" xfId="46164" xr:uid="{00000000-0005-0000-0000-0000C9890000}"/>
    <cellStyle name="Separador de milhares 3 5 2 9 2 5" xfId="13876" xr:uid="{00000000-0005-0000-0000-0000CA890000}"/>
    <cellStyle name="Separador de milhares 3 5 2 9 2 5 2" xfId="40069" xr:uid="{00000000-0005-0000-0000-0000CB890000}"/>
    <cellStyle name="Separador de milhares 3 5 2 9 2 6" xfId="33683" xr:uid="{00000000-0005-0000-0000-0000CC890000}"/>
    <cellStyle name="Separador de milhares 3 5 2 9 3" xfId="9163" xr:uid="{00000000-0005-0000-0000-0000CD890000}"/>
    <cellStyle name="Separador de milhares 3 5 2 9 3 2" xfId="27377" xr:uid="{00000000-0005-0000-0000-0000CE890000}"/>
    <cellStyle name="Separador de milhares 3 5 2 9 3 2 2" xfId="53558" xr:uid="{00000000-0005-0000-0000-0000CF890000}"/>
    <cellStyle name="Separador de milhares 3 5 2 9 3 3" xfId="21463" xr:uid="{00000000-0005-0000-0000-0000D0890000}"/>
    <cellStyle name="Separador de milhares 3 5 2 9 3 3 2" xfId="47650" xr:uid="{00000000-0005-0000-0000-0000D1890000}"/>
    <cellStyle name="Separador de milhares 3 5 2 9 3 4" xfId="15549" xr:uid="{00000000-0005-0000-0000-0000D2890000}"/>
    <cellStyle name="Separador de milhares 3 5 2 9 3 4 2" xfId="41742" xr:uid="{00000000-0005-0000-0000-0000D3890000}"/>
    <cellStyle name="Separador de milhares 3 5 2 9 3 5" xfId="35356" xr:uid="{00000000-0005-0000-0000-0000D4890000}"/>
    <cellStyle name="Separador de milhares 3 5 2 9 4" xfId="5788" xr:uid="{00000000-0005-0000-0000-0000D5890000}"/>
    <cellStyle name="Separador de milhares 3 5 2 9 4 2" xfId="24420" xr:uid="{00000000-0005-0000-0000-0000D6890000}"/>
    <cellStyle name="Separador de milhares 3 5 2 9 4 2 2" xfId="50604" xr:uid="{00000000-0005-0000-0000-0000D7890000}"/>
    <cellStyle name="Separador de milhares 3 5 2 9 4 3" xfId="31984" xr:uid="{00000000-0005-0000-0000-0000D8890000}"/>
    <cellStyle name="Separador de milhares 3 5 2 9 5" xfId="18506" xr:uid="{00000000-0005-0000-0000-0000D9890000}"/>
    <cellStyle name="Separador de milhares 3 5 2 9 5 2" xfId="44696" xr:uid="{00000000-0005-0000-0000-0000DA890000}"/>
    <cellStyle name="Separador de milhares 3 5 2 9 6" xfId="12175" xr:uid="{00000000-0005-0000-0000-0000DB890000}"/>
    <cellStyle name="Separador de milhares 3 5 2 9 6 2" xfId="38368" xr:uid="{00000000-0005-0000-0000-0000DC890000}"/>
    <cellStyle name="Separador de milhares 3 5 2 9 7" xfId="30286" xr:uid="{00000000-0005-0000-0000-0000DD890000}"/>
    <cellStyle name="Separador de milhares 3 5 3" xfId="240" xr:uid="{00000000-0005-0000-0000-0000DE890000}"/>
    <cellStyle name="Separador de milhares 3 5 3 10" xfId="6478" xr:uid="{00000000-0005-0000-0000-0000DF890000}"/>
    <cellStyle name="Separador de milhares 3 5 3 10 2" xfId="9629" xr:uid="{00000000-0005-0000-0000-0000E0890000}"/>
    <cellStyle name="Separador de milhares 3 5 3 10 2 2" xfId="27843" xr:uid="{00000000-0005-0000-0000-0000E1890000}"/>
    <cellStyle name="Separador de milhares 3 5 3 10 2 2 2" xfId="54024" xr:uid="{00000000-0005-0000-0000-0000E2890000}"/>
    <cellStyle name="Separador de milhares 3 5 3 10 2 3" xfId="21929" xr:uid="{00000000-0005-0000-0000-0000E3890000}"/>
    <cellStyle name="Separador de milhares 3 5 3 10 2 3 2" xfId="48116" xr:uid="{00000000-0005-0000-0000-0000E4890000}"/>
    <cellStyle name="Separador de milhares 3 5 3 10 2 4" xfId="16015" xr:uid="{00000000-0005-0000-0000-0000E5890000}"/>
    <cellStyle name="Separador de milhares 3 5 3 10 2 4 2" xfId="42208" xr:uid="{00000000-0005-0000-0000-0000E6890000}"/>
    <cellStyle name="Separador de milhares 3 5 3 10 2 5" xfId="35822" xr:uid="{00000000-0005-0000-0000-0000E7890000}"/>
    <cellStyle name="Separador de milhares 3 5 3 10 3" xfId="24886" xr:uid="{00000000-0005-0000-0000-0000E8890000}"/>
    <cellStyle name="Separador de milhares 3 5 3 10 3 2" xfId="51070" xr:uid="{00000000-0005-0000-0000-0000E9890000}"/>
    <cellStyle name="Separador de milhares 3 5 3 10 4" xfId="18972" xr:uid="{00000000-0005-0000-0000-0000EA890000}"/>
    <cellStyle name="Separador de milhares 3 5 3 10 4 2" xfId="45162" xr:uid="{00000000-0005-0000-0000-0000EB890000}"/>
    <cellStyle name="Separador de milhares 3 5 3 10 5" xfId="12867" xr:uid="{00000000-0005-0000-0000-0000EC890000}"/>
    <cellStyle name="Separador de milhares 3 5 3 10 5 2" xfId="39060" xr:uid="{00000000-0005-0000-0000-0000ED890000}"/>
    <cellStyle name="Separador de milhares 3 5 3 10 6" xfId="32674" xr:uid="{00000000-0005-0000-0000-0000EE890000}"/>
    <cellStyle name="Separador de milhares 3 5 3 11" xfId="8158" xr:uid="{00000000-0005-0000-0000-0000EF890000}"/>
    <cellStyle name="Separador de milhares 3 5 3 11 2" xfId="26372" xr:uid="{00000000-0005-0000-0000-0000F0890000}"/>
    <cellStyle name="Separador de milhares 3 5 3 11 2 2" xfId="52556" xr:uid="{00000000-0005-0000-0000-0000F1890000}"/>
    <cellStyle name="Separador de milhares 3 5 3 11 3" xfId="20458" xr:uid="{00000000-0005-0000-0000-0000F2890000}"/>
    <cellStyle name="Separador de milhares 3 5 3 11 3 2" xfId="46648" xr:uid="{00000000-0005-0000-0000-0000F3890000}"/>
    <cellStyle name="Separador de milhares 3 5 3 11 4" xfId="14547" xr:uid="{00000000-0005-0000-0000-0000F4890000}"/>
    <cellStyle name="Separador de milhares 3 5 3 11 4 2" xfId="40740" xr:uid="{00000000-0005-0000-0000-0000F5890000}"/>
    <cellStyle name="Separador de milhares 3 5 3 11 5" xfId="34354" xr:uid="{00000000-0005-0000-0000-0000F6890000}"/>
    <cellStyle name="Separador de milhares 3 5 3 12" xfId="4777" xr:uid="{00000000-0005-0000-0000-0000F7890000}"/>
    <cellStyle name="Separador de milhares 3 5 3 12 2" xfId="23415" xr:uid="{00000000-0005-0000-0000-0000F8890000}"/>
    <cellStyle name="Separador de milhares 3 5 3 12 2 2" xfId="49602" xr:uid="{00000000-0005-0000-0000-0000F9890000}"/>
    <cellStyle name="Separador de milhares 3 5 3 12 3" xfId="30975" xr:uid="{00000000-0005-0000-0000-0000FA890000}"/>
    <cellStyle name="Separador de milhares 3 5 3 13" xfId="17501" xr:uid="{00000000-0005-0000-0000-0000FB890000}"/>
    <cellStyle name="Separador de milhares 3 5 3 13 2" xfId="43694" xr:uid="{00000000-0005-0000-0000-0000FC890000}"/>
    <cellStyle name="Separador de milhares 3 5 3 14" xfId="11166" xr:uid="{00000000-0005-0000-0000-0000FD890000}"/>
    <cellStyle name="Separador de milhares 3 5 3 14 2" xfId="37359" xr:uid="{00000000-0005-0000-0000-0000FE890000}"/>
    <cellStyle name="Separador de milhares 3 5 3 15" xfId="29277" xr:uid="{00000000-0005-0000-0000-0000FF890000}"/>
    <cellStyle name="Separador de milhares 3 5 3 2" xfId="503" xr:uid="{00000000-0005-0000-0000-0000008A0000}"/>
    <cellStyle name="Separador de milhares 3 5 3 2 2" xfId="6549" xr:uid="{00000000-0005-0000-0000-0000018A0000}"/>
    <cellStyle name="Separador de milhares 3 5 3 2 2 2" xfId="9696" xr:uid="{00000000-0005-0000-0000-0000028A0000}"/>
    <cellStyle name="Separador de milhares 3 5 3 2 2 2 2" xfId="27910" xr:uid="{00000000-0005-0000-0000-0000038A0000}"/>
    <cellStyle name="Separador de milhares 3 5 3 2 2 2 2 2" xfId="54091" xr:uid="{00000000-0005-0000-0000-0000048A0000}"/>
    <cellStyle name="Separador de milhares 3 5 3 2 2 2 3" xfId="21996" xr:uid="{00000000-0005-0000-0000-0000058A0000}"/>
    <cellStyle name="Separador de milhares 3 5 3 2 2 2 3 2" xfId="48183" xr:uid="{00000000-0005-0000-0000-0000068A0000}"/>
    <cellStyle name="Separador de milhares 3 5 3 2 2 2 4" xfId="16082" xr:uid="{00000000-0005-0000-0000-0000078A0000}"/>
    <cellStyle name="Separador de milhares 3 5 3 2 2 2 4 2" xfId="42275" xr:uid="{00000000-0005-0000-0000-0000088A0000}"/>
    <cellStyle name="Separador de milhares 3 5 3 2 2 2 5" xfId="35889" xr:uid="{00000000-0005-0000-0000-0000098A0000}"/>
    <cellStyle name="Separador de milhares 3 5 3 2 2 3" xfId="24953" xr:uid="{00000000-0005-0000-0000-00000A8A0000}"/>
    <cellStyle name="Separador de milhares 3 5 3 2 2 3 2" xfId="51137" xr:uid="{00000000-0005-0000-0000-00000B8A0000}"/>
    <cellStyle name="Separador de milhares 3 5 3 2 2 4" xfId="19039" xr:uid="{00000000-0005-0000-0000-00000C8A0000}"/>
    <cellStyle name="Separador de milhares 3 5 3 2 2 4 2" xfId="45229" xr:uid="{00000000-0005-0000-0000-00000D8A0000}"/>
    <cellStyle name="Separador de milhares 3 5 3 2 2 5" xfId="12938" xr:uid="{00000000-0005-0000-0000-00000E8A0000}"/>
    <cellStyle name="Separador de milhares 3 5 3 2 2 5 2" xfId="39131" xr:uid="{00000000-0005-0000-0000-00000F8A0000}"/>
    <cellStyle name="Separador de milhares 3 5 3 2 2 6" xfId="32745" xr:uid="{00000000-0005-0000-0000-0000108A0000}"/>
    <cellStyle name="Separador de milhares 3 5 3 2 3" xfId="8225" xr:uid="{00000000-0005-0000-0000-0000118A0000}"/>
    <cellStyle name="Separador de milhares 3 5 3 2 3 2" xfId="26439" xr:uid="{00000000-0005-0000-0000-0000128A0000}"/>
    <cellStyle name="Separador de milhares 3 5 3 2 3 2 2" xfId="52623" xr:uid="{00000000-0005-0000-0000-0000138A0000}"/>
    <cellStyle name="Separador de milhares 3 5 3 2 3 3" xfId="20525" xr:uid="{00000000-0005-0000-0000-0000148A0000}"/>
    <cellStyle name="Separador de milhares 3 5 3 2 3 3 2" xfId="46715" xr:uid="{00000000-0005-0000-0000-0000158A0000}"/>
    <cellStyle name="Separador de milhares 3 5 3 2 3 4" xfId="14614" xr:uid="{00000000-0005-0000-0000-0000168A0000}"/>
    <cellStyle name="Separador de milhares 3 5 3 2 3 4 2" xfId="40807" xr:uid="{00000000-0005-0000-0000-0000178A0000}"/>
    <cellStyle name="Separador de milhares 3 5 3 2 3 5" xfId="34421" xr:uid="{00000000-0005-0000-0000-0000188A0000}"/>
    <cellStyle name="Separador de milhares 3 5 3 2 4" xfId="4848" xr:uid="{00000000-0005-0000-0000-0000198A0000}"/>
    <cellStyle name="Separador de milhares 3 5 3 2 4 2" xfId="23482" xr:uid="{00000000-0005-0000-0000-00001A8A0000}"/>
    <cellStyle name="Separador de milhares 3 5 3 2 4 2 2" xfId="49669" xr:uid="{00000000-0005-0000-0000-00001B8A0000}"/>
    <cellStyle name="Separador de milhares 3 5 3 2 4 3" xfId="31046" xr:uid="{00000000-0005-0000-0000-00001C8A0000}"/>
    <cellStyle name="Separador de milhares 3 5 3 2 5" xfId="17568" xr:uid="{00000000-0005-0000-0000-00001D8A0000}"/>
    <cellStyle name="Separador de milhares 3 5 3 2 5 2" xfId="43761" xr:uid="{00000000-0005-0000-0000-00001E8A0000}"/>
    <cellStyle name="Separador de milhares 3 5 3 2 6" xfId="11237" xr:uid="{00000000-0005-0000-0000-00001F8A0000}"/>
    <cellStyle name="Separador de milhares 3 5 3 2 6 2" xfId="37430" xr:uid="{00000000-0005-0000-0000-0000208A0000}"/>
    <cellStyle name="Separador de milhares 3 5 3 2 7" xfId="29348" xr:uid="{00000000-0005-0000-0000-0000218A0000}"/>
    <cellStyle name="Separador de milhares 3 5 3 3" xfId="800" xr:uid="{00000000-0005-0000-0000-0000228A0000}"/>
    <cellStyle name="Separador de milhares 3 5 3 3 2" xfId="6651" xr:uid="{00000000-0005-0000-0000-0000238A0000}"/>
    <cellStyle name="Separador de milhares 3 5 3 3 2 2" xfId="9798" xr:uid="{00000000-0005-0000-0000-0000248A0000}"/>
    <cellStyle name="Separador de milhares 3 5 3 3 2 2 2" xfId="28012" xr:uid="{00000000-0005-0000-0000-0000258A0000}"/>
    <cellStyle name="Separador de milhares 3 5 3 3 2 2 2 2" xfId="54193" xr:uid="{00000000-0005-0000-0000-0000268A0000}"/>
    <cellStyle name="Separador de milhares 3 5 3 3 2 2 3" xfId="22098" xr:uid="{00000000-0005-0000-0000-0000278A0000}"/>
    <cellStyle name="Separador de milhares 3 5 3 3 2 2 3 2" xfId="48285" xr:uid="{00000000-0005-0000-0000-0000288A0000}"/>
    <cellStyle name="Separador de milhares 3 5 3 3 2 2 4" xfId="16184" xr:uid="{00000000-0005-0000-0000-0000298A0000}"/>
    <cellStyle name="Separador de milhares 3 5 3 3 2 2 4 2" xfId="42377" xr:uid="{00000000-0005-0000-0000-00002A8A0000}"/>
    <cellStyle name="Separador de milhares 3 5 3 3 2 2 5" xfId="35991" xr:uid="{00000000-0005-0000-0000-00002B8A0000}"/>
    <cellStyle name="Separador de milhares 3 5 3 3 2 3" xfId="25055" xr:uid="{00000000-0005-0000-0000-00002C8A0000}"/>
    <cellStyle name="Separador de milhares 3 5 3 3 2 3 2" xfId="51239" xr:uid="{00000000-0005-0000-0000-00002D8A0000}"/>
    <cellStyle name="Separador de milhares 3 5 3 3 2 4" xfId="19141" xr:uid="{00000000-0005-0000-0000-00002E8A0000}"/>
    <cellStyle name="Separador de milhares 3 5 3 3 2 4 2" xfId="45331" xr:uid="{00000000-0005-0000-0000-00002F8A0000}"/>
    <cellStyle name="Separador de milhares 3 5 3 3 2 5" xfId="13040" xr:uid="{00000000-0005-0000-0000-0000308A0000}"/>
    <cellStyle name="Separador de milhares 3 5 3 3 2 5 2" xfId="39233" xr:uid="{00000000-0005-0000-0000-0000318A0000}"/>
    <cellStyle name="Separador de milhares 3 5 3 3 2 6" xfId="32847" xr:uid="{00000000-0005-0000-0000-0000328A0000}"/>
    <cellStyle name="Separador de milhares 3 5 3 3 3" xfId="8330" xr:uid="{00000000-0005-0000-0000-0000338A0000}"/>
    <cellStyle name="Separador de milhares 3 5 3 3 3 2" xfId="26544" xr:uid="{00000000-0005-0000-0000-0000348A0000}"/>
    <cellStyle name="Separador de milhares 3 5 3 3 3 2 2" xfId="52725" xr:uid="{00000000-0005-0000-0000-0000358A0000}"/>
    <cellStyle name="Separador de milhares 3 5 3 3 3 3" xfId="20630" xr:uid="{00000000-0005-0000-0000-0000368A0000}"/>
    <cellStyle name="Separador de milhares 3 5 3 3 3 3 2" xfId="46817" xr:uid="{00000000-0005-0000-0000-0000378A0000}"/>
    <cellStyle name="Separador de milhares 3 5 3 3 3 4" xfId="14716" xr:uid="{00000000-0005-0000-0000-0000388A0000}"/>
    <cellStyle name="Separador de milhares 3 5 3 3 3 4 2" xfId="40909" xr:uid="{00000000-0005-0000-0000-0000398A0000}"/>
    <cellStyle name="Separador de milhares 3 5 3 3 3 5" xfId="34523" xr:uid="{00000000-0005-0000-0000-00003A8A0000}"/>
    <cellStyle name="Separador de milhares 3 5 3 3 4" xfId="4952" xr:uid="{00000000-0005-0000-0000-00003B8A0000}"/>
    <cellStyle name="Separador de milhares 3 5 3 3 4 2" xfId="23587" xr:uid="{00000000-0005-0000-0000-00003C8A0000}"/>
    <cellStyle name="Separador de milhares 3 5 3 3 4 2 2" xfId="49771" xr:uid="{00000000-0005-0000-0000-00003D8A0000}"/>
    <cellStyle name="Separador de milhares 3 5 3 3 4 3" xfId="31148" xr:uid="{00000000-0005-0000-0000-00003E8A0000}"/>
    <cellStyle name="Separador de milhares 3 5 3 3 5" xfId="17673" xr:uid="{00000000-0005-0000-0000-00003F8A0000}"/>
    <cellStyle name="Separador de milhares 3 5 3 3 5 2" xfId="43863" xr:uid="{00000000-0005-0000-0000-0000408A0000}"/>
    <cellStyle name="Separador de milhares 3 5 3 3 6" xfId="11339" xr:uid="{00000000-0005-0000-0000-0000418A0000}"/>
    <cellStyle name="Separador de milhares 3 5 3 3 6 2" xfId="37532" xr:uid="{00000000-0005-0000-0000-0000428A0000}"/>
    <cellStyle name="Separador de milhares 3 5 3 3 7" xfId="29450" xr:uid="{00000000-0005-0000-0000-0000438A0000}"/>
    <cellStyle name="Separador de milhares 3 5 3 4" xfId="1151" xr:uid="{00000000-0005-0000-0000-0000448A0000}"/>
    <cellStyle name="Separador de milhares 3 5 3 4 2" xfId="6749" xr:uid="{00000000-0005-0000-0000-0000458A0000}"/>
    <cellStyle name="Separador de milhares 3 5 3 4 2 2" xfId="9896" xr:uid="{00000000-0005-0000-0000-0000468A0000}"/>
    <cellStyle name="Separador de milhares 3 5 3 4 2 2 2" xfId="28110" xr:uid="{00000000-0005-0000-0000-0000478A0000}"/>
    <cellStyle name="Separador de milhares 3 5 3 4 2 2 2 2" xfId="54291" xr:uid="{00000000-0005-0000-0000-0000488A0000}"/>
    <cellStyle name="Separador de milhares 3 5 3 4 2 2 3" xfId="22196" xr:uid="{00000000-0005-0000-0000-0000498A0000}"/>
    <cellStyle name="Separador de milhares 3 5 3 4 2 2 3 2" xfId="48383" xr:uid="{00000000-0005-0000-0000-00004A8A0000}"/>
    <cellStyle name="Separador de milhares 3 5 3 4 2 2 4" xfId="16282" xr:uid="{00000000-0005-0000-0000-00004B8A0000}"/>
    <cellStyle name="Separador de milhares 3 5 3 4 2 2 4 2" xfId="42475" xr:uid="{00000000-0005-0000-0000-00004C8A0000}"/>
    <cellStyle name="Separador de milhares 3 5 3 4 2 2 5" xfId="36089" xr:uid="{00000000-0005-0000-0000-00004D8A0000}"/>
    <cellStyle name="Separador de milhares 3 5 3 4 2 3" xfId="25153" xr:uid="{00000000-0005-0000-0000-00004E8A0000}"/>
    <cellStyle name="Separador de milhares 3 5 3 4 2 3 2" xfId="51337" xr:uid="{00000000-0005-0000-0000-00004F8A0000}"/>
    <cellStyle name="Separador de milhares 3 5 3 4 2 4" xfId="19239" xr:uid="{00000000-0005-0000-0000-0000508A0000}"/>
    <cellStyle name="Separador de milhares 3 5 3 4 2 4 2" xfId="45429" xr:uid="{00000000-0005-0000-0000-0000518A0000}"/>
    <cellStyle name="Separador de milhares 3 5 3 4 2 5" xfId="13138" xr:uid="{00000000-0005-0000-0000-0000528A0000}"/>
    <cellStyle name="Separador de milhares 3 5 3 4 2 5 2" xfId="39331" xr:uid="{00000000-0005-0000-0000-0000538A0000}"/>
    <cellStyle name="Separador de milhares 3 5 3 4 2 6" xfId="32945" xr:uid="{00000000-0005-0000-0000-0000548A0000}"/>
    <cellStyle name="Separador de milhares 3 5 3 4 3" xfId="8428" xr:uid="{00000000-0005-0000-0000-0000558A0000}"/>
    <cellStyle name="Separador de milhares 3 5 3 4 3 2" xfId="26642" xr:uid="{00000000-0005-0000-0000-0000568A0000}"/>
    <cellStyle name="Separador de milhares 3 5 3 4 3 2 2" xfId="52823" xr:uid="{00000000-0005-0000-0000-0000578A0000}"/>
    <cellStyle name="Separador de milhares 3 5 3 4 3 3" xfId="20728" xr:uid="{00000000-0005-0000-0000-0000588A0000}"/>
    <cellStyle name="Separador de milhares 3 5 3 4 3 3 2" xfId="46915" xr:uid="{00000000-0005-0000-0000-0000598A0000}"/>
    <cellStyle name="Separador de milhares 3 5 3 4 3 4" xfId="14814" xr:uid="{00000000-0005-0000-0000-00005A8A0000}"/>
    <cellStyle name="Separador de milhares 3 5 3 4 3 4 2" xfId="41007" xr:uid="{00000000-0005-0000-0000-00005B8A0000}"/>
    <cellStyle name="Separador de milhares 3 5 3 4 3 5" xfId="34621" xr:uid="{00000000-0005-0000-0000-00005C8A0000}"/>
    <cellStyle name="Separador de milhares 3 5 3 4 4" xfId="5050" xr:uid="{00000000-0005-0000-0000-00005D8A0000}"/>
    <cellStyle name="Separador de milhares 3 5 3 4 4 2" xfId="23685" xr:uid="{00000000-0005-0000-0000-00005E8A0000}"/>
    <cellStyle name="Separador de milhares 3 5 3 4 4 2 2" xfId="49869" xr:uid="{00000000-0005-0000-0000-00005F8A0000}"/>
    <cellStyle name="Separador de milhares 3 5 3 4 4 3" xfId="31246" xr:uid="{00000000-0005-0000-0000-0000608A0000}"/>
    <cellStyle name="Separador de milhares 3 5 3 4 5" xfId="17771" xr:uid="{00000000-0005-0000-0000-0000618A0000}"/>
    <cellStyle name="Separador de milhares 3 5 3 4 5 2" xfId="43961" xr:uid="{00000000-0005-0000-0000-0000628A0000}"/>
    <cellStyle name="Separador de milhares 3 5 3 4 6" xfId="11437" xr:uid="{00000000-0005-0000-0000-0000638A0000}"/>
    <cellStyle name="Separador de milhares 3 5 3 4 6 2" xfId="37630" xr:uid="{00000000-0005-0000-0000-0000648A0000}"/>
    <cellStyle name="Separador de milhares 3 5 3 4 7" xfId="29548" xr:uid="{00000000-0005-0000-0000-0000658A0000}"/>
    <cellStyle name="Separador de milhares 3 5 3 5" xfId="1586" xr:uid="{00000000-0005-0000-0000-0000668A0000}"/>
    <cellStyle name="Separador de milhares 3 5 3 5 2" xfId="6868" xr:uid="{00000000-0005-0000-0000-0000678A0000}"/>
    <cellStyle name="Separador de milhares 3 5 3 5 2 2" xfId="10015" xr:uid="{00000000-0005-0000-0000-0000688A0000}"/>
    <cellStyle name="Separador de milhares 3 5 3 5 2 2 2" xfId="28229" xr:uid="{00000000-0005-0000-0000-0000698A0000}"/>
    <cellStyle name="Separador de milhares 3 5 3 5 2 2 2 2" xfId="54410" xr:uid="{00000000-0005-0000-0000-00006A8A0000}"/>
    <cellStyle name="Separador de milhares 3 5 3 5 2 2 3" xfId="22315" xr:uid="{00000000-0005-0000-0000-00006B8A0000}"/>
    <cellStyle name="Separador de milhares 3 5 3 5 2 2 3 2" xfId="48502" xr:uid="{00000000-0005-0000-0000-00006C8A0000}"/>
    <cellStyle name="Separador de milhares 3 5 3 5 2 2 4" xfId="16401" xr:uid="{00000000-0005-0000-0000-00006D8A0000}"/>
    <cellStyle name="Separador de milhares 3 5 3 5 2 2 4 2" xfId="42594" xr:uid="{00000000-0005-0000-0000-00006E8A0000}"/>
    <cellStyle name="Separador de milhares 3 5 3 5 2 2 5" xfId="36208" xr:uid="{00000000-0005-0000-0000-00006F8A0000}"/>
    <cellStyle name="Separador de milhares 3 5 3 5 2 3" xfId="25272" xr:uid="{00000000-0005-0000-0000-0000708A0000}"/>
    <cellStyle name="Separador de milhares 3 5 3 5 2 3 2" xfId="51456" xr:uid="{00000000-0005-0000-0000-0000718A0000}"/>
    <cellStyle name="Separador de milhares 3 5 3 5 2 4" xfId="19358" xr:uid="{00000000-0005-0000-0000-0000728A0000}"/>
    <cellStyle name="Separador de milhares 3 5 3 5 2 4 2" xfId="45548" xr:uid="{00000000-0005-0000-0000-0000738A0000}"/>
    <cellStyle name="Separador de milhares 3 5 3 5 2 5" xfId="13257" xr:uid="{00000000-0005-0000-0000-0000748A0000}"/>
    <cellStyle name="Separador de milhares 3 5 3 5 2 5 2" xfId="39450" xr:uid="{00000000-0005-0000-0000-0000758A0000}"/>
    <cellStyle name="Separador de milhares 3 5 3 5 2 6" xfId="33064" xr:uid="{00000000-0005-0000-0000-0000768A0000}"/>
    <cellStyle name="Separador de milhares 3 5 3 5 3" xfId="8547" xr:uid="{00000000-0005-0000-0000-0000778A0000}"/>
    <cellStyle name="Separador de milhares 3 5 3 5 3 2" xfId="26761" xr:uid="{00000000-0005-0000-0000-0000788A0000}"/>
    <cellStyle name="Separador de milhares 3 5 3 5 3 2 2" xfId="52942" xr:uid="{00000000-0005-0000-0000-0000798A0000}"/>
    <cellStyle name="Separador de milhares 3 5 3 5 3 3" xfId="20847" xr:uid="{00000000-0005-0000-0000-00007A8A0000}"/>
    <cellStyle name="Separador de milhares 3 5 3 5 3 3 2" xfId="47034" xr:uid="{00000000-0005-0000-0000-00007B8A0000}"/>
    <cellStyle name="Separador de milhares 3 5 3 5 3 4" xfId="14933" xr:uid="{00000000-0005-0000-0000-00007C8A0000}"/>
    <cellStyle name="Separador de milhares 3 5 3 5 3 4 2" xfId="41126" xr:uid="{00000000-0005-0000-0000-00007D8A0000}"/>
    <cellStyle name="Separador de milhares 3 5 3 5 3 5" xfId="34740" xr:uid="{00000000-0005-0000-0000-00007E8A0000}"/>
    <cellStyle name="Separador de milhares 3 5 3 5 4" xfId="5169" xr:uid="{00000000-0005-0000-0000-00007F8A0000}"/>
    <cellStyle name="Separador de milhares 3 5 3 5 4 2" xfId="23804" xr:uid="{00000000-0005-0000-0000-0000808A0000}"/>
    <cellStyle name="Separador de milhares 3 5 3 5 4 2 2" xfId="49988" xr:uid="{00000000-0005-0000-0000-0000818A0000}"/>
    <cellStyle name="Separador de milhares 3 5 3 5 4 3" xfId="31365" xr:uid="{00000000-0005-0000-0000-0000828A0000}"/>
    <cellStyle name="Separador de milhares 3 5 3 5 5" xfId="17890" xr:uid="{00000000-0005-0000-0000-0000838A0000}"/>
    <cellStyle name="Separador de milhares 3 5 3 5 5 2" xfId="44080" xr:uid="{00000000-0005-0000-0000-0000848A0000}"/>
    <cellStyle name="Separador de milhares 3 5 3 5 6" xfId="11556" xr:uid="{00000000-0005-0000-0000-0000858A0000}"/>
    <cellStyle name="Separador de milhares 3 5 3 5 6 2" xfId="37749" xr:uid="{00000000-0005-0000-0000-0000868A0000}"/>
    <cellStyle name="Separador de milhares 3 5 3 5 7" xfId="29667" xr:uid="{00000000-0005-0000-0000-0000878A0000}"/>
    <cellStyle name="Separador de milhares 3 5 3 6" xfId="2116" xr:uid="{00000000-0005-0000-0000-0000888A0000}"/>
    <cellStyle name="Separador de milhares 3 5 3 6 2" xfId="7018" xr:uid="{00000000-0005-0000-0000-0000898A0000}"/>
    <cellStyle name="Separador de milhares 3 5 3 6 2 2" xfId="10162" xr:uid="{00000000-0005-0000-0000-00008A8A0000}"/>
    <cellStyle name="Separador de milhares 3 5 3 6 2 2 2" xfId="28376" xr:uid="{00000000-0005-0000-0000-00008B8A0000}"/>
    <cellStyle name="Separador de milhares 3 5 3 6 2 2 2 2" xfId="54557" xr:uid="{00000000-0005-0000-0000-00008C8A0000}"/>
    <cellStyle name="Separador de milhares 3 5 3 6 2 2 3" xfId="22462" xr:uid="{00000000-0005-0000-0000-00008D8A0000}"/>
    <cellStyle name="Separador de milhares 3 5 3 6 2 2 3 2" xfId="48649" xr:uid="{00000000-0005-0000-0000-00008E8A0000}"/>
    <cellStyle name="Separador de milhares 3 5 3 6 2 2 4" xfId="16548" xr:uid="{00000000-0005-0000-0000-00008F8A0000}"/>
    <cellStyle name="Separador de milhares 3 5 3 6 2 2 4 2" xfId="42741" xr:uid="{00000000-0005-0000-0000-0000908A0000}"/>
    <cellStyle name="Separador de milhares 3 5 3 6 2 2 5" xfId="36355" xr:uid="{00000000-0005-0000-0000-0000918A0000}"/>
    <cellStyle name="Separador de milhares 3 5 3 6 2 3" xfId="25419" xr:uid="{00000000-0005-0000-0000-0000928A0000}"/>
    <cellStyle name="Separador de milhares 3 5 3 6 2 3 2" xfId="51603" xr:uid="{00000000-0005-0000-0000-0000938A0000}"/>
    <cellStyle name="Separador de milhares 3 5 3 6 2 4" xfId="19505" xr:uid="{00000000-0005-0000-0000-0000948A0000}"/>
    <cellStyle name="Separador de milhares 3 5 3 6 2 4 2" xfId="45695" xr:uid="{00000000-0005-0000-0000-0000958A0000}"/>
    <cellStyle name="Separador de milhares 3 5 3 6 2 5" xfId="13407" xr:uid="{00000000-0005-0000-0000-0000968A0000}"/>
    <cellStyle name="Separador de milhares 3 5 3 6 2 5 2" xfId="39600" xr:uid="{00000000-0005-0000-0000-0000978A0000}"/>
    <cellStyle name="Separador de milhares 3 5 3 6 2 6" xfId="33214" xr:uid="{00000000-0005-0000-0000-0000988A0000}"/>
    <cellStyle name="Separador de milhares 3 5 3 6 3" xfId="8694" xr:uid="{00000000-0005-0000-0000-0000998A0000}"/>
    <cellStyle name="Separador de milhares 3 5 3 6 3 2" xfId="26908" xr:uid="{00000000-0005-0000-0000-00009A8A0000}"/>
    <cellStyle name="Separador de milhares 3 5 3 6 3 2 2" xfId="53089" xr:uid="{00000000-0005-0000-0000-00009B8A0000}"/>
    <cellStyle name="Separador de milhares 3 5 3 6 3 3" xfId="20994" xr:uid="{00000000-0005-0000-0000-00009C8A0000}"/>
    <cellStyle name="Separador de milhares 3 5 3 6 3 3 2" xfId="47181" xr:uid="{00000000-0005-0000-0000-00009D8A0000}"/>
    <cellStyle name="Separador de milhares 3 5 3 6 3 4" xfId="15080" xr:uid="{00000000-0005-0000-0000-00009E8A0000}"/>
    <cellStyle name="Separador de milhares 3 5 3 6 3 4 2" xfId="41273" xr:uid="{00000000-0005-0000-0000-00009F8A0000}"/>
    <cellStyle name="Separador de milhares 3 5 3 6 3 5" xfId="34887" xr:uid="{00000000-0005-0000-0000-0000A08A0000}"/>
    <cellStyle name="Separador de milhares 3 5 3 6 4" xfId="5319" xr:uid="{00000000-0005-0000-0000-0000A18A0000}"/>
    <cellStyle name="Separador de milhares 3 5 3 6 4 2" xfId="23951" xr:uid="{00000000-0005-0000-0000-0000A28A0000}"/>
    <cellStyle name="Separador de milhares 3 5 3 6 4 2 2" xfId="50135" xr:uid="{00000000-0005-0000-0000-0000A38A0000}"/>
    <cellStyle name="Separador de milhares 3 5 3 6 4 3" xfId="31515" xr:uid="{00000000-0005-0000-0000-0000A48A0000}"/>
    <cellStyle name="Separador de milhares 3 5 3 6 5" xfId="18037" xr:uid="{00000000-0005-0000-0000-0000A58A0000}"/>
    <cellStyle name="Separador de milhares 3 5 3 6 5 2" xfId="44227" xr:uid="{00000000-0005-0000-0000-0000A68A0000}"/>
    <cellStyle name="Separador de milhares 3 5 3 6 6" xfId="11706" xr:uid="{00000000-0005-0000-0000-0000A78A0000}"/>
    <cellStyle name="Separador de milhares 3 5 3 6 6 2" xfId="37899" xr:uid="{00000000-0005-0000-0000-0000A88A0000}"/>
    <cellStyle name="Separador de milhares 3 5 3 6 7" xfId="29817" xr:uid="{00000000-0005-0000-0000-0000A98A0000}"/>
    <cellStyle name="Separador de milhares 3 5 3 7" xfId="2643" xr:uid="{00000000-0005-0000-0000-0000AA8A0000}"/>
    <cellStyle name="Separador de milhares 3 5 3 7 2" xfId="7165" xr:uid="{00000000-0005-0000-0000-0000AB8A0000}"/>
    <cellStyle name="Separador de milhares 3 5 3 7 2 2" xfId="10309" xr:uid="{00000000-0005-0000-0000-0000AC8A0000}"/>
    <cellStyle name="Separador de milhares 3 5 3 7 2 2 2" xfId="28523" xr:uid="{00000000-0005-0000-0000-0000AD8A0000}"/>
    <cellStyle name="Separador de milhares 3 5 3 7 2 2 2 2" xfId="54704" xr:uid="{00000000-0005-0000-0000-0000AE8A0000}"/>
    <cellStyle name="Separador de milhares 3 5 3 7 2 2 3" xfId="22609" xr:uid="{00000000-0005-0000-0000-0000AF8A0000}"/>
    <cellStyle name="Separador de milhares 3 5 3 7 2 2 3 2" xfId="48796" xr:uid="{00000000-0005-0000-0000-0000B08A0000}"/>
    <cellStyle name="Separador de milhares 3 5 3 7 2 2 4" xfId="16695" xr:uid="{00000000-0005-0000-0000-0000B18A0000}"/>
    <cellStyle name="Separador de milhares 3 5 3 7 2 2 4 2" xfId="42888" xr:uid="{00000000-0005-0000-0000-0000B28A0000}"/>
    <cellStyle name="Separador de milhares 3 5 3 7 2 2 5" xfId="36502" xr:uid="{00000000-0005-0000-0000-0000B38A0000}"/>
    <cellStyle name="Separador de milhares 3 5 3 7 2 3" xfId="25566" xr:uid="{00000000-0005-0000-0000-0000B48A0000}"/>
    <cellStyle name="Separador de milhares 3 5 3 7 2 3 2" xfId="51750" xr:uid="{00000000-0005-0000-0000-0000B58A0000}"/>
    <cellStyle name="Separador de milhares 3 5 3 7 2 4" xfId="19652" xr:uid="{00000000-0005-0000-0000-0000B68A0000}"/>
    <cellStyle name="Separador de milhares 3 5 3 7 2 4 2" xfId="45842" xr:uid="{00000000-0005-0000-0000-0000B78A0000}"/>
    <cellStyle name="Separador de milhares 3 5 3 7 2 5" xfId="13554" xr:uid="{00000000-0005-0000-0000-0000B88A0000}"/>
    <cellStyle name="Separador de milhares 3 5 3 7 2 5 2" xfId="39747" xr:uid="{00000000-0005-0000-0000-0000B98A0000}"/>
    <cellStyle name="Separador de milhares 3 5 3 7 2 6" xfId="33361" xr:uid="{00000000-0005-0000-0000-0000BA8A0000}"/>
    <cellStyle name="Separador de milhares 3 5 3 7 3" xfId="8841" xr:uid="{00000000-0005-0000-0000-0000BB8A0000}"/>
    <cellStyle name="Separador de milhares 3 5 3 7 3 2" xfId="27055" xr:uid="{00000000-0005-0000-0000-0000BC8A0000}"/>
    <cellStyle name="Separador de milhares 3 5 3 7 3 2 2" xfId="53236" xr:uid="{00000000-0005-0000-0000-0000BD8A0000}"/>
    <cellStyle name="Separador de milhares 3 5 3 7 3 3" xfId="21141" xr:uid="{00000000-0005-0000-0000-0000BE8A0000}"/>
    <cellStyle name="Separador de milhares 3 5 3 7 3 3 2" xfId="47328" xr:uid="{00000000-0005-0000-0000-0000BF8A0000}"/>
    <cellStyle name="Separador de milhares 3 5 3 7 3 4" xfId="15227" xr:uid="{00000000-0005-0000-0000-0000C08A0000}"/>
    <cellStyle name="Separador de milhares 3 5 3 7 3 4 2" xfId="41420" xr:uid="{00000000-0005-0000-0000-0000C18A0000}"/>
    <cellStyle name="Separador de milhares 3 5 3 7 3 5" xfId="35034" xr:uid="{00000000-0005-0000-0000-0000C28A0000}"/>
    <cellStyle name="Separador de milhares 3 5 3 7 4" xfId="5466" xr:uid="{00000000-0005-0000-0000-0000C38A0000}"/>
    <cellStyle name="Separador de milhares 3 5 3 7 4 2" xfId="24098" xr:uid="{00000000-0005-0000-0000-0000C48A0000}"/>
    <cellStyle name="Separador de milhares 3 5 3 7 4 2 2" xfId="50282" xr:uid="{00000000-0005-0000-0000-0000C58A0000}"/>
    <cellStyle name="Separador de milhares 3 5 3 7 4 3" xfId="31662" xr:uid="{00000000-0005-0000-0000-0000C68A0000}"/>
    <cellStyle name="Separador de milhares 3 5 3 7 5" xfId="18184" xr:uid="{00000000-0005-0000-0000-0000C78A0000}"/>
    <cellStyle name="Separador de milhares 3 5 3 7 5 2" xfId="44374" xr:uid="{00000000-0005-0000-0000-0000C88A0000}"/>
    <cellStyle name="Separador de milhares 3 5 3 7 6" xfId="11853" xr:uid="{00000000-0005-0000-0000-0000C98A0000}"/>
    <cellStyle name="Separador de milhares 3 5 3 7 6 2" xfId="38046" xr:uid="{00000000-0005-0000-0000-0000CA8A0000}"/>
    <cellStyle name="Separador de milhares 3 5 3 7 7" xfId="29964" xr:uid="{00000000-0005-0000-0000-0000CB8A0000}"/>
    <cellStyle name="Separador de milhares 3 5 3 8" xfId="3170" xr:uid="{00000000-0005-0000-0000-0000CC8A0000}"/>
    <cellStyle name="Separador de milhares 3 5 3 8 2" xfId="7312" xr:uid="{00000000-0005-0000-0000-0000CD8A0000}"/>
    <cellStyle name="Separador de milhares 3 5 3 8 2 2" xfId="10456" xr:uid="{00000000-0005-0000-0000-0000CE8A0000}"/>
    <cellStyle name="Separador de milhares 3 5 3 8 2 2 2" xfId="28670" xr:uid="{00000000-0005-0000-0000-0000CF8A0000}"/>
    <cellStyle name="Separador de milhares 3 5 3 8 2 2 2 2" xfId="54851" xr:uid="{00000000-0005-0000-0000-0000D08A0000}"/>
    <cellStyle name="Separador de milhares 3 5 3 8 2 2 3" xfId="22756" xr:uid="{00000000-0005-0000-0000-0000D18A0000}"/>
    <cellStyle name="Separador de milhares 3 5 3 8 2 2 3 2" xfId="48943" xr:uid="{00000000-0005-0000-0000-0000D28A0000}"/>
    <cellStyle name="Separador de milhares 3 5 3 8 2 2 4" xfId="16842" xr:uid="{00000000-0005-0000-0000-0000D38A0000}"/>
    <cellStyle name="Separador de milhares 3 5 3 8 2 2 4 2" xfId="43035" xr:uid="{00000000-0005-0000-0000-0000D48A0000}"/>
    <cellStyle name="Separador de milhares 3 5 3 8 2 2 5" xfId="36649" xr:uid="{00000000-0005-0000-0000-0000D58A0000}"/>
    <cellStyle name="Separador de milhares 3 5 3 8 2 3" xfId="25713" xr:uid="{00000000-0005-0000-0000-0000D68A0000}"/>
    <cellStyle name="Separador de milhares 3 5 3 8 2 3 2" xfId="51897" xr:uid="{00000000-0005-0000-0000-0000D78A0000}"/>
    <cellStyle name="Separador de milhares 3 5 3 8 2 4" xfId="19799" xr:uid="{00000000-0005-0000-0000-0000D88A0000}"/>
    <cellStyle name="Separador de milhares 3 5 3 8 2 4 2" xfId="45989" xr:uid="{00000000-0005-0000-0000-0000D98A0000}"/>
    <cellStyle name="Separador de milhares 3 5 3 8 2 5" xfId="13701" xr:uid="{00000000-0005-0000-0000-0000DA8A0000}"/>
    <cellStyle name="Separador de milhares 3 5 3 8 2 5 2" xfId="39894" xr:uid="{00000000-0005-0000-0000-0000DB8A0000}"/>
    <cellStyle name="Separador de milhares 3 5 3 8 2 6" xfId="33508" xr:uid="{00000000-0005-0000-0000-0000DC8A0000}"/>
    <cellStyle name="Separador de milhares 3 5 3 8 3" xfId="8988" xr:uid="{00000000-0005-0000-0000-0000DD8A0000}"/>
    <cellStyle name="Separador de milhares 3 5 3 8 3 2" xfId="27202" xr:uid="{00000000-0005-0000-0000-0000DE8A0000}"/>
    <cellStyle name="Separador de milhares 3 5 3 8 3 2 2" xfId="53383" xr:uid="{00000000-0005-0000-0000-0000DF8A0000}"/>
    <cellStyle name="Separador de milhares 3 5 3 8 3 3" xfId="21288" xr:uid="{00000000-0005-0000-0000-0000E08A0000}"/>
    <cellStyle name="Separador de milhares 3 5 3 8 3 3 2" xfId="47475" xr:uid="{00000000-0005-0000-0000-0000E18A0000}"/>
    <cellStyle name="Separador de milhares 3 5 3 8 3 4" xfId="15374" xr:uid="{00000000-0005-0000-0000-0000E28A0000}"/>
    <cellStyle name="Separador de milhares 3 5 3 8 3 4 2" xfId="41567" xr:uid="{00000000-0005-0000-0000-0000E38A0000}"/>
    <cellStyle name="Separador de milhares 3 5 3 8 3 5" xfId="35181" xr:uid="{00000000-0005-0000-0000-0000E48A0000}"/>
    <cellStyle name="Separador de milhares 3 5 3 8 4" xfId="5613" xr:uid="{00000000-0005-0000-0000-0000E58A0000}"/>
    <cellStyle name="Separador de milhares 3 5 3 8 4 2" xfId="24245" xr:uid="{00000000-0005-0000-0000-0000E68A0000}"/>
    <cellStyle name="Separador de milhares 3 5 3 8 4 2 2" xfId="50429" xr:uid="{00000000-0005-0000-0000-0000E78A0000}"/>
    <cellStyle name="Separador de milhares 3 5 3 8 4 3" xfId="31809" xr:uid="{00000000-0005-0000-0000-0000E88A0000}"/>
    <cellStyle name="Separador de milhares 3 5 3 8 5" xfId="18331" xr:uid="{00000000-0005-0000-0000-0000E98A0000}"/>
    <cellStyle name="Separador de milhares 3 5 3 8 5 2" xfId="44521" xr:uid="{00000000-0005-0000-0000-0000EA8A0000}"/>
    <cellStyle name="Separador de milhares 3 5 3 8 6" xfId="12000" xr:uid="{00000000-0005-0000-0000-0000EB8A0000}"/>
    <cellStyle name="Separador de milhares 3 5 3 8 6 2" xfId="38193" xr:uid="{00000000-0005-0000-0000-0000EC8A0000}"/>
    <cellStyle name="Separador de milhares 3 5 3 8 7" xfId="30111" xr:uid="{00000000-0005-0000-0000-0000ED8A0000}"/>
    <cellStyle name="Separador de milhares 3 5 3 9" xfId="3697" xr:uid="{00000000-0005-0000-0000-0000EE8A0000}"/>
    <cellStyle name="Separador de milhares 3 5 3 9 2" xfId="7459" xr:uid="{00000000-0005-0000-0000-0000EF8A0000}"/>
    <cellStyle name="Separador de milhares 3 5 3 9 2 2" xfId="10603" xr:uid="{00000000-0005-0000-0000-0000F08A0000}"/>
    <cellStyle name="Separador de milhares 3 5 3 9 2 2 2" xfId="28817" xr:uid="{00000000-0005-0000-0000-0000F18A0000}"/>
    <cellStyle name="Separador de milhares 3 5 3 9 2 2 2 2" xfId="54998" xr:uid="{00000000-0005-0000-0000-0000F28A0000}"/>
    <cellStyle name="Separador de milhares 3 5 3 9 2 2 3" xfId="22903" xr:uid="{00000000-0005-0000-0000-0000F38A0000}"/>
    <cellStyle name="Separador de milhares 3 5 3 9 2 2 3 2" xfId="49090" xr:uid="{00000000-0005-0000-0000-0000F48A0000}"/>
    <cellStyle name="Separador de milhares 3 5 3 9 2 2 4" xfId="16989" xr:uid="{00000000-0005-0000-0000-0000F58A0000}"/>
    <cellStyle name="Separador de milhares 3 5 3 9 2 2 4 2" xfId="43182" xr:uid="{00000000-0005-0000-0000-0000F68A0000}"/>
    <cellStyle name="Separador de milhares 3 5 3 9 2 2 5" xfId="36796" xr:uid="{00000000-0005-0000-0000-0000F78A0000}"/>
    <cellStyle name="Separador de milhares 3 5 3 9 2 3" xfId="25860" xr:uid="{00000000-0005-0000-0000-0000F88A0000}"/>
    <cellStyle name="Separador de milhares 3 5 3 9 2 3 2" xfId="52044" xr:uid="{00000000-0005-0000-0000-0000F98A0000}"/>
    <cellStyle name="Separador de milhares 3 5 3 9 2 4" xfId="19946" xr:uid="{00000000-0005-0000-0000-0000FA8A0000}"/>
    <cellStyle name="Separador de milhares 3 5 3 9 2 4 2" xfId="46136" xr:uid="{00000000-0005-0000-0000-0000FB8A0000}"/>
    <cellStyle name="Separador de milhares 3 5 3 9 2 5" xfId="13848" xr:uid="{00000000-0005-0000-0000-0000FC8A0000}"/>
    <cellStyle name="Separador de milhares 3 5 3 9 2 5 2" xfId="40041" xr:uid="{00000000-0005-0000-0000-0000FD8A0000}"/>
    <cellStyle name="Separador de milhares 3 5 3 9 2 6" xfId="33655" xr:uid="{00000000-0005-0000-0000-0000FE8A0000}"/>
    <cellStyle name="Separador de milhares 3 5 3 9 3" xfId="9135" xr:uid="{00000000-0005-0000-0000-0000FF8A0000}"/>
    <cellStyle name="Separador de milhares 3 5 3 9 3 2" xfId="27349" xr:uid="{00000000-0005-0000-0000-0000008B0000}"/>
    <cellStyle name="Separador de milhares 3 5 3 9 3 2 2" xfId="53530" xr:uid="{00000000-0005-0000-0000-0000018B0000}"/>
    <cellStyle name="Separador de milhares 3 5 3 9 3 3" xfId="21435" xr:uid="{00000000-0005-0000-0000-0000028B0000}"/>
    <cellStyle name="Separador de milhares 3 5 3 9 3 3 2" xfId="47622" xr:uid="{00000000-0005-0000-0000-0000038B0000}"/>
    <cellStyle name="Separador de milhares 3 5 3 9 3 4" xfId="15521" xr:uid="{00000000-0005-0000-0000-0000048B0000}"/>
    <cellStyle name="Separador de milhares 3 5 3 9 3 4 2" xfId="41714" xr:uid="{00000000-0005-0000-0000-0000058B0000}"/>
    <cellStyle name="Separador de milhares 3 5 3 9 3 5" xfId="35328" xr:uid="{00000000-0005-0000-0000-0000068B0000}"/>
    <cellStyle name="Separador de milhares 3 5 3 9 4" xfId="5760" xr:uid="{00000000-0005-0000-0000-0000078B0000}"/>
    <cellStyle name="Separador de milhares 3 5 3 9 4 2" xfId="24392" xr:uid="{00000000-0005-0000-0000-0000088B0000}"/>
    <cellStyle name="Separador de milhares 3 5 3 9 4 2 2" xfId="50576" xr:uid="{00000000-0005-0000-0000-0000098B0000}"/>
    <cellStyle name="Separador de milhares 3 5 3 9 4 3" xfId="31956" xr:uid="{00000000-0005-0000-0000-00000A8B0000}"/>
    <cellStyle name="Separador de milhares 3 5 3 9 5" xfId="18478" xr:uid="{00000000-0005-0000-0000-00000B8B0000}"/>
    <cellStyle name="Separador de milhares 3 5 3 9 5 2" xfId="44668" xr:uid="{00000000-0005-0000-0000-00000C8B0000}"/>
    <cellStyle name="Separador de milhares 3 5 3 9 6" xfId="12147" xr:uid="{00000000-0005-0000-0000-00000D8B0000}"/>
    <cellStyle name="Separador de milhares 3 5 3 9 6 2" xfId="38340" xr:uid="{00000000-0005-0000-0000-00000E8B0000}"/>
    <cellStyle name="Separador de milhares 3 5 3 9 7" xfId="30258" xr:uid="{00000000-0005-0000-0000-00000F8B0000}"/>
    <cellStyle name="Separador de milhares 3 5 4" xfId="333" xr:uid="{00000000-0005-0000-0000-0000108B0000}"/>
    <cellStyle name="Separador de milhares 3 5 4 10" xfId="6506" xr:uid="{00000000-0005-0000-0000-0000118B0000}"/>
    <cellStyle name="Separador de milhares 3 5 4 10 2" xfId="9654" xr:uid="{00000000-0005-0000-0000-0000128B0000}"/>
    <cellStyle name="Separador de milhares 3 5 4 10 2 2" xfId="27868" xr:uid="{00000000-0005-0000-0000-0000138B0000}"/>
    <cellStyle name="Separador de milhares 3 5 4 10 2 2 2" xfId="54049" xr:uid="{00000000-0005-0000-0000-0000148B0000}"/>
    <cellStyle name="Separador de milhares 3 5 4 10 2 3" xfId="21954" xr:uid="{00000000-0005-0000-0000-0000158B0000}"/>
    <cellStyle name="Separador de milhares 3 5 4 10 2 3 2" xfId="48141" xr:uid="{00000000-0005-0000-0000-0000168B0000}"/>
    <cellStyle name="Separador de milhares 3 5 4 10 2 4" xfId="16040" xr:uid="{00000000-0005-0000-0000-0000178B0000}"/>
    <cellStyle name="Separador de milhares 3 5 4 10 2 4 2" xfId="42233" xr:uid="{00000000-0005-0000-0000-0000188B0000}"/>
    <cellStyle name="Separador de milhares 3 5 4 10 2 5" xfId="35847" xr:uid="{00000000-0005-0000-0000-0000198B0000}"/>
    <cellStyle name="Separador de milhares 3 5 4 10 3" xfId="24911" xr:uid="{00000000-0005-0000-0000-00001A8B0000}"/>
    <cellStyle name="Separador de milhares 3 5 4 10 3 2" xfId="51095" xr:uid="{00000000-0005-0000-0000-00001B8B0000}"/>
    <cellStyle name="Separador de milhares 3 5 4 10 4" xfId="18997" xr:uid="{00000000-0005-0000-0000-00001C8B0000}"/>
    <cellStyle name="Separador de milhares 3 5 4 10 4 2" xfId="45187" xr:uid="{00000000-0005-0000-0000-00001D8B0000}"/>
    <cellStyle name="Separador de milhares 3 5 4 10 5" xfId="12895" xr:uid="{00000000-0005-0000-0000-00001E8B0000}"/>
    <cellStyle name="Separador de milhares 3 5 4 10 5 2" xfId="39088" xr:uid="{00000000-0005-0000-0000-00001F8B0000}"/>
    <cellStyle name="Separador de milhares 3 5 4 10 6" xfId="32702" xr:uid="{00000000-0005-0000-0000-0000208B0000}"/>
    <cellStyle name="Separador de milhares 3 5 4 11" xfId="8183" xr:uid="{00000000-0005-0000-0000-0000218B0000}"/>
    <cellStyle name="Separador de milhares 3 5 4 11 2" xfId="26397" xr:uid="{00000000-0005-0000-0000-0000228B0000}"/>
    <cellStyle name="Separador de milhares 3 5 4 11 2 2" xfId="52581" xr:uid="{00000000-0005-0000-0000-0000238B0000}"/>
    <cellStyle name="Separador de milhares 3 5 4 11 3" xfId="20483" xr:uid="{00000000-0005-0000-0000-0000248B0000}"/>
    <cellStyle name="Separador de milhares 3 5 4 11 3 2" xfId="46673" xr:uid="{00000000-0005-0000-0000-0000258B0000}"/>
    <cellStyle name="Separador de milhares 3 5 4 11 4" xfId="14572" xr:uid="{00000000-0005-0000-0000-0000268B0000}"/>
    <cellStyle name="Separador de milhares 3 5 4 11 4 2" xfId="40765" xr:uid="{00000000-0005-0000-0000-0000278B0000}"/>
    <cellStyle name="Separador de milhares 3 5 4 11 5" xfId="34379" xr:uid="{00000000-0005-0000-0000-0000288B0000}"/>
    <cellStyle name="Separador de milhares 3 5 4 12" xfId="4805" xr:uid="{00000000-0005-0000-0000-0000298B0000}"/>
    <cellStyle name="Separador de milhares 3 5 4 12 2" xfId="23440" xr:uid="{00000000-0005-0000-0000-00002A8B0000}"/>
    <cellStyle name="Separador de milhares 3 5 4 12 2 2" xfId="49627" xr:uid="{00000000-0005-0000-0000-00002B8B0000}"/>
    <cellStyle name="Separador de milhares 3 5 4 12 3" xfId="31003" xr:uid="{00000000-0005-0000-0000-00002C8B0000}"/>
    <cellStyle name="Separador de milhares 3 5 4 13" xfId="17526" xr:uid="{00000000-0005-0000-0000-00002D8B0000}"/>
    <cellStyle name="Separador de milhares 3 5 4 13 2" xfId="43719" xr:uid="{00000000-0005-0000-0000-00002E8B0000}"/>
    <cellStyle name="Separador de milhares 3 5 4 14" xfId="11194" xr:uid="{00000000-0005-0000-0000-00002F8B0000}"/>
    <cellStyle name="Separador de milhares 3 5 4 14 2" xfId="37387" xr:uid="{00000000-0005-0000-0000-0000308B0000}"/>
    <cellStyle name="Separador de milhares 3 5 4 15" xfId="29305" xr:uid="{00000000-0005-0000-0000-0000318B0000}"/>
    <cellStyle name="Separador de milhares 3 5 4 2" xfId="978" xr:uid="{00000000-0005-0000-0000-0000328B0000}"/>
    <cellStyle name="Separador de milhares 3 5 4 2 2" xfId="6703" xr:uid="{00000000-0005-0000-0000-0000338B0000}"/>
    <cellStyle name="Separador de milhares 3 5 4 2 2 2" xfId="9850" xr:uid="{00000000-0005-0000-0000-0000348B0000}"/>
    <cellStyle name="Separador de milhares 3 5 4 2 2 2 2" xfId="28064" xr:uid="{00000000-0005-0000-0000-0000358B0000}"/>
    <cellStyle name="Separador de milhares 3 5 4 2 2 2 2 2" xfId="54245" xr:uid="{00000000-0005-0000-0000-0000368B0000}"/>
    <cellStyle name="Separador de milhares 3 5 4 2 2 2 3" xfId="22150" xr:uid="{00000000-0005-0000-0000-0000378B0000}"/>
    <cellStyle name="Separador de milhares 3 5 4 2 2 2 3 2" xfId="48337" xr:uid="{00000000-0005-0000-0000-0000388B0000}"/>
    <cellStyle name="Separador de milhares 3 5 4 2 2 2 4" xfId="16236" xr:uid="{00000000-0005-0000-0000-0000398B0000}"/>
    <cellStyle name="Separador de milhares 3 5 4 2 2 2 4 2" xfId="42429" xr:uid="{00000000-0005-0000-0000-00003A8B0000}"/>
    <cellStyle name="Separador de milhares 3 5 4 2 2 2 5" xfId="36043" xr:uid="{00000000-0005-0000-0000-00003B8B0000}"/>
    <cellStyle name="Separador de milhares 3 5 4 2 2 3" xfId="25107" xr:uid="{00000000-0005-0000-0000-00003C8B0000}"/>
    <cellStyle name="Separador de milhares 3 5 4 2 2 3 2" xfId="51291" xr:uid="{00000000-0005-0000-0000-00003D8B0000}"/>
    <cellStyle name="Separador de milhares 3 5 4 2 2 4" xfId="19193" xr:uid="{00000000-0005-0000-0000-00003E8B0000}"/>
    <cellStyle name="Separador de milhares 3 5 4 2 2 4 2" xfId="45383" xr:uid="{00000000-0005-0000-0000-00003F8B0000}"/>
    <cellStyle name="Separador de milhares 3 5 4 2 2 5" xfId="13092" xr:uid="{00000000-0005-0000-0000-0000408B0000}"/>
    <cellStyle name="Separador de milhares 3 5 4 2 2 5 2" xfId="39285" xr:uid="{00000000-0005-0000-0000-0000418B0000}"/>
    <cellStyle name="Separador de milhares 3 5 4 2 2 6" xfId="32899" xr:uid="{00000000-0005-0000-0000-0000428B0000}"/>
    <cellStyle name="Separador de milhares 3 5 4 2 3" xfId="8382" xr:uid="{00000000-0005-0000-0000-0000438B0000}"/>
    <cellStyle name="Separador de milhares 3 5 4 2 3 2" xfId="26596" xr:uid="{00000000-0005-0000-0000-0000448B0000}"/>
    <cellStyle name="Separador de milhares 3 5 4 2 3 2 2" xfId="52777" xr:uid="{00000000-0005-0000-0000-0000458B0000}"/>
    <cellStyle name="Separador de milhares 3 5 4 2 3 3" xfId="20682" xr:uid="{00000000-0005-0000-0000-0000468B0000}"/>
    <cellStyle name="Separador de milhares 3 5 4 2 3 3 2" xfId="46869" xr:uid="{00000000-0005-0000-0000-0000478B0000}"/>
    <cellStyle name="Separador de milhares 3 5 4 2 3 4" xfId="14768" xr:uid="{00000000-0005-0000-0000-0000488B0000}"/>
    <cellStyle name="Separador de milhares 3 5 4 2 3 4 2" xfId="40961" xr:uid="{00000000-0005-0000-0000-0000498B0000}"/>
    <cellStyle name="Separador de milhares 3 5 4 2 3 5" xfId="34575" xr:uid="{00000000-0005-0000-0000-00004A8B0000}"/>
    <cellStyle name="Separador de milhares 3 5 4 2 4" xfId="5004" xr:uid="{00000000-0005-0000-0000-00004B8B0000}"/>
    <cellStyle name="Separador de milhares 3 5 4 2 4 2" xfId="23639" xr:uid="{00000000-0005-0000-0000-00004C8B0000}"/>
    <cellStyle name="Separador de milhares 3 5 4 2 4 2 2" xfId="49823" xr:uid="{00000000-0005-0000-0000-00004D8B0000}"/>
    <cellStyle name="Separador de milhares 3 5 4 2 4 3" xfId="31200" xr:uid="{00000000-0005-0000-0000-00004E8B0000}"/>
    <cellStyle name="Separador de milhares 3 5 4 2 5" xfId="17725" xr:uid="{00000000-0005-0000-0000-00004F8B0000}"/>
    <cellStyle name="Separador de milhares 3 5 4 2 5 2" xfId="43915" xr:uid="{00000000-0005-0000-0000-0000508B0000}"/>
    <cellStyle name="Separador de milhares 3 5 4 2 6" xfId="11391" xr:uid="{00000000-0005-0000-0000-0000518B0000}"/>
    <cellStyle name="Separador de milhares 3 5 4 2 6 2" xfId="37584" xr:uid="{00000000-0005-0000-0000-0000528B0000}"/>
    <cellStyle name="Separador de milhares 3 5 4 2 7" xfId="29502" xr:uid="{00000000-0005-0000-0000-0000538B0000}"/>
    <cellStyle name="Separador de milhares 3 5 4 3" xfId="1329" xr:uid="{00000000-0005-0000-0000-0000548B0000}"/>
    <cellStyle name="Separador de milhares 3 5 4 3 2" xfId="6801" xr:uid="{00000000-0005-0000-0000-0000558B0000}"/>
    <cellStyle name="Separador de milhares 3 5 4 3 2 2" xfId="9948" xr:uid="{00000000-0005-0000-0000-0000568B0000}"/>
    <cellStyle name="Separador de milhares 3 5 4 3 2 2 2" xfId="28162" xr:uid="{00000000-0005-0000-0000-0000578B0000}"/>
    <cellStyle name="Separador de milhares 3 5 4 3 2 2 2 2" xfId="54343" xr:uid="{00000000-0005-0000-0000-0000588B0000}"/>
    <cellStyle name="Separador de milhares 3 5 4 3 2 2 3" xfId="22248" xr:uid="{00000000-0005-0000-0000-0000598B0000}"/>
    <cellStyle name="Separador de milhares 3 5 4 3 2 2 3 2" xfId="48435" xr:uid="{00000000-0005-0000-0000-00005A8B0000}"/>
    <cellStyle name="Separador de milhares 3 5 4 3 2 2 4" xfId="16334" xr:uid="{00000000-0005-0000-0000-00005B8B0000}"/>
    <cellStyle name="Separador de milhares 3 5 4 3 2 2 4 2" xfId="42527" xr:uid="{00000000-0005-0000-0000-00005C8B0000}"/>
    <cellStyle name="Separador de milhares 3 5 4 3 2 2 5" xfId="36141" xr:uid="{00000000-0005-0000-0000-00005D8B0000}"/>
    <cellStyle name="Separador de milhares 3 5 4 3 2 3" xfId="25205" xr:uid="{00000000-0005-0000-0000-00005E8B0000}"/>
    <cellStyle name="Separador de milhares 3 5 4 3 2 3 2" xfId="51389" xr:uid="{00000000-0005-0000-0000-00005F8B0000}"/>
    <cellStyle name="Separador de milhares 3 5 4 3 2 4" xfId="19291" xr:uid="{00000000-0005-0000-0000-0000608B0000}"/>
    <cellStyle name="Separador de milhares 3 5 4 3 2 4 2" xfId="45481" xr:uid="{00000000-0005-0000-0000-0000618B0000}"/>
    <cellStyle name="Separador de milhares 3 5 4 3 2 5" xfId="13190" xr:uid="{00000000-0005-0000-0000-0000628B0000}"/>
    <cellStyle name="Separador de milhares 3 5 4 3 2 5 2" xfId="39383" xr:uid="{00000000-0005-0000-0000-0000638B0000}"/>
    <cellStyle name="Separador de milhares 3 5 4 3 2 6" xfId="32997" xr:uid="{00000000-0005-0000-0000-0000648B0000}"/>
    <cellStyle name="Separador de milhares 3 5 4 3 3" xfId="8480" xr:uid="{00000000-0005-0000-0000-0000658B0000}"/>
    <cellStyle name="Separador de milhares 3 5 4 3 3 2" xfId="26694" xr:uid="{00000000-0005-0000-0000-0000668B0000}"/>
    <cellStyle name="Separador de milhares 3 5 4 3 3 2 2" xfId="52875" xr:uid="{00000000-0005-0000-0000-0000678B0000}"/>
    <cellStyle name="Separador de milhares 3 5 4 3 3 3" xfId="20780" xr:uid="{00000000-0005-0000-0000-0000688B0000}"/>
    <cellStyle name="Separador de milhares 3 5 4 3 3 3 2" xfId="46967" xr:uid="{00000000-0005-0000-0000-0000698B0000}"/>
    <cellStyle name="Separador de milhares 3 5 4 3 3 4" xfId="14866" xr:uid="{00000000-0005-0000-0000-00006A8B0000}"/>
    <cellStyle name="Separador de milhares 3 5 4 3 3 4 2" xfId="41059" xr:uid="{00000000-0005-0000-0000-00006B8B0000}"/>
    <cellStyle name="Separador de milhares 3 5 4 3 3 5" xfId="34673" xr:uid="{00000000-0005-0000-0000-00006C8B0000}"/>
    <cellStyle name="Separador de milhares 3 5 4 3 4" xfId="5102" xr:uid="{00000000-0005-0000-0000-00006D8B0000}"/>
    <cellStyle name="Separador de milhares 3 5 4 3 4 2" xfId="23737" xr:uid="{00000000-0005-0000-0000-00006E8B0000}"/>
    <cellStyle name="Separador de milhares 3 5 4 3 4 2 2" xfId="49921" xr:uid="{00000000-0005-0000-0000-00006F8B0000}"/>
    <cellStyle name="Separador de milhares 3 5 4 3 4 3" xfId="31298" xr:uid="{00000000-0005-0000-0000-0000708B0000}"/>
    <cellStyle name="Separador de milhares 3 5 4 3 5" xfId="17823" xr:uid="{00000000-0005-0000-0000-0000718B0000}"/>
    <cellStyle name="Separador de milhares 3 5 4 3 5 2" xfId="44013" xr:uid="{00000000-0005-0000-0000-0000728B0000}"/>
    <cellStyle name="Separador de milhares 3 5 4 3 6" xfId="11489" xr:uid="{00000000-0005-0000-0000-0000738B0000}"/>
    <cellStyle name="Separador de milhares 3 5 4 3 6 2" xfId="37682" xr:uid="{00000000-0005-0000-0000-0000748B0000}"/>
    <cellStyle name="Separador de milhares 3 5 4 3 7" xfId="29600" xr:uid="{00000000-0005-0000-0000-0000758B0000}"/>
    <cellStyle name="Separador de milhares 3 5 4 4" xfId="1764" xr:uid="{00000000-0005-0000-0000-0000768B0000}"/>
    <cellStyle name="Separador de milhares 3 5 4 4 2" xfId="6920" xr:uid="{00000000-0005-0000-0000-0000778B0000}"/>
    <cellStyle name="Separador de milhares 3 5 4 4 2 2" xfId="10067" xr:uid="{00000000-0005-0000-0000-0000788B0000}"/>
    <cellStyle name="Separador de milhares 3 5 4 4 2 2 2" xfId="28281" xr:uid="{00000000-0005-0000-0000-0000798B0000}"/>
    <cellStyle name="Separador de milhares 3 5 4 4 2 2 2 2" xfId="54462" xr:uid="{00000000-0005-0000-0000-00007A8B0000}"/>
    <cellStyle name="Separador de milhares 3 5 4 4 2 2 3" xfId="22367" xr:uid="{00000000-0005-0000-0000-00007B8B0000}"/>
    <cellStyle name="Separador de milhares 3 5 4 4 2 2 3 2" xfId="48554" xr:uid="{00000000-0005-0000-0000-00007C8B0000}"/>
    <cellStyle name="Separador de milhares 3 5 4 4 2 2 4" xfId="16453" xr:uid="{00000000-0005-0000-0000-00007D8B0000}"/>
    <cellStyle name="Separador de milhares 3 5 4 4 2 2 4 2" xfId="42646" xr:uid="{00000000-0005-0000-0000-00007E8B0000}"/>
    <cellStyle name="Separador de milhares 3 5 4 4 2 2 5" xfId="36260" xr:uid="{00000000-0005-0000-0000-00007F8B0000}"/>
    <cellStyle name="Separador de milhares 3 5 4 4 2 3" xfId="25324" xr:uid="{00000000-0005-0000-0000-0000808B0000}"/>
    <cellStyle name="Separador de milhares 3 5 4 4 2 3 2" xfId="51508" xr:uid="{00000000-0005-0000-0000-0000818B0000}"/>
    <cellStyle name="Separador de milhares 3 5 4 4 2 4" xfId="19410" xr:uid="{00000000-0005-0000-0000-0000828B0000}"/>
    <cellStyle name="Separador de milhares 3 5 4 4 2 4 2" xfId="45600" xr:uid="{00000000-0005-0000-0000-0000838B0000}"/>
    <cellStyle name="Separador de milhares 3 5 4 4 2 5" xfId="13309" xr:uid="{00000000-0005-0000-0000-0000848B0000}"/>
    <cellStyle name="Separador de milhares 3 5 4 4 2 5 2" xfId="39502" xr:uid="{00000000-0005-0000-0000-0000858B0000}"/>
    <cellStyle name="Separador de milhares 3 5 4 4 2 6" xfId="33116" xr:uid="{00000000-0005-0000-0000-0000868B0000}"/>
    <cellStyle name="Separador de milhares 3 5 4 4 3" xfId="8599" xr:uid="{00000000-0005-0000-0000-0000878B0000}"/>
    <cellStyle name="Separador de milhares 3 5 4 4 3 2" xfId="26813" xr:uid="{00000000-0005-0000-0000-0000888B0000}"/>
    <cellStyle name="Separador de milhares 3 5 4 4 3 2 2" xfId="52994" xr:uid="{00000000-0005-0000-0000-0000898B0000}"/>
    <cellStyle name="Separador de milhares 3 5 4 4 3 3" xfId="20899" xr:uid="{00000000-0005-0000-0000-00008A8B0000}"/>
    <cellStyle name="Separador de milhares 3 5 4 4 3 3 2" xfId="47086" xr:uid="{00000000-0005-0000-0000-00008B8B0000}"/>
    <cellStyle name="Separador de milhares 3 5 4 4 3 4" xfId="14985" xr:uid="{00000000-0005-0000-0000-00008C8B0000}"/>
    <cellStyle name="Separador de milhares 3 5 4 4 3 4 2" xfId="41178" xr:uid="{00000000-0005-0000-0000-00008D8B0000}"/>
    <cellStyle name="Separador de milhares 3 5 4 4 3 5" xfId="34792" xr:uid="{00000000-0005-0000-0000-00008E8B0000}"/>
    <cellStyle name="Separador de milhares 3 5 4 4 4" xfId="5221" xr:uid="{00000000-0005-0000-0000-00008F8B0000}"/>
    <cellStyle name="Separador de milhares 3 5 4 4 4 2" xfId="23856" xr:uid="{00000000-0005-0000-0000-0000908B0000}"/>
    <cellStyle name="Separador de milhares 3 5 4 4 4 2 2" xfId="50040" xr:uid="{00000000-0005-0000-0000-0000918B0000}"/>
    <cellStyle name="Separador de milhares 3 5 4 4 4 3" xfId="31417" xr:uid="{00000000-0005-0000-0000-0000928B0000}"/>
    <cellStyle name="Separador de milhares 3 5 4 4 5" xfId="17942" xr:uid="{00000000-0005-0000-0000-0000938B0000}"/>
    <cellStyle name="Separador de milhares 3 5 4 4 5 2" xfId="44132" xr:uid="{00000000-0005-0000-0000-0000948B0000}"/>
    <cellStyle name="Separador de milhares 3 5 4 4 6" xfId="11608" xr:uid="{00000000-0005-0000-0000-0000958B0000}"/>
    <cellStyle name="Separador de milhares 3 5 4 4 6 2" xfId="37801" xr:uid="{00000000-0005-0000-0000-0000968B0000}"/>
    <cellStyle name="Separador de milhares 3 5 4 4 7" xfId="29719" xr:uid="{00000000-0005-0000-0000-0000978B0000}"/>
    <cellStyle name="Separador de milhares 3 5 4 5" xfId="2294" xr:uid="{00000000-0005-0000-0000-0000988B0000}"/>
    <cellStyle name="Separador de milhares 3 5 4 5 2" xfId="7070" xr:uid="{00000000-0005-0000-0000-0000998B0000}"/>
    <cellStyle name="Separador de milhares 3 5 4 5 2 2" xfId="10214" xr:uid="{00000000-0005-0000-0000-00009A8B0000}"/>
    <cellStyle name="Separador de milhares 3 5 4 5 2 2 2" xfId="28428" xr:uid="{00000000-0005-0000-0000-00009B8B0000}"/>
    <cellStyle name="Separador de milhares 3 5 4 5 2 2 2 2" xfId="54609" xr:uid="{00000000-0005-0000-0000-00009C8B0000}"/>
    <cellStyle name="Separador de milhares 3 5 4 5 2 2 3" xfId="22514" xr:uid="{00000000-0005-0000-0000-00009D8B0000}"/>
    <cellStyle name="Separador de milhares 3 5 4 5 2 2 3 2" xfId="48701" xr:uid="{00000000-0005-0000-0000-00009E8B0000}"/>
    <cellStyle name="Separador de milhares 3 5 4 5 2 2 4" xfId="16600" xr:uid="{00000000-0005-0000-0000-00009F8B0000}"/>
    <cellStyle name="Separador de milhares 3 5 4 5 2 2 4 2" xfId="42793" xr:uid="{00000000-0005-0000-0000-0000A08B0000}"/>
    <cellStyle name="Separador de milhares 3 5 4 5 2 2 5" xfId="36407" xr:uid="{00000000-0005-0000-0000-0000A18B0000}"/>
    <cellStyle name="Separador de milhares 3 5 4 5 2 3" xfId="25471" xr:uid="{00000000-0005-0000-0000-0000A28B0000}"/>
    <cellStyle name="Separador de milhares 3 5 4 5 2 3 2" xfId="51655" xr:uid="{00000000-0005-0000-0000-0000A38B0000}"/>
    <cellStyle name="Separador de milhares 3 5 4 5 2 4" xfId="19557" xr:uid="{00000000-0005-0000-0000-0000A48B0000}"/>
    <cellStyle name="Separador de milhares 3 5 4 5 2 4 2" xfId="45747" xr:uid="{00000000-0005-0000-0000-0000A58B0000}"/>
    <cellStyle name="Separador de milhares 3 5 4 5 2 5" xfId="13459" xr:uid="{00000000-0005-0000-0000-0000A68B0000}"/>
    <cellStyle name="Separador de milhares 3 5 4 5 2 5 2" xfId="39652" xr:uid="{00000000-0005-0000-0000-0000A78B0000}"/>
    <cellStyle name="Separador de milhares 3 5 4 5 2 6" xfId="33266" xr:uid="{00000000-0005-0000-0000-0000A88B0000}"/>
    <cellStyle name="Separador de milhares 3 5 4 5 3" xfId="8746" xr:uid="{00000000-0005-0000-0000-0000A98B0000}"/>
    <cellStyle name="Separador de milhares 3 5 4 5 3 2" xfId="26960" xr:uid="{00000000-0005-0000-0000-0000AA8B0000}"/>
    <cellStyle name="Separador de milhares 3 5 4 5 3 2 2" xfId="53141" xr:uid="{00000000-0005-0000-0000-0000AB8B0000}"/>
    <cellStyle name="Separador de milhares 3 5 4 5 3 3" xfId="21046" xr:uid="{00000000-0005-0000-0000-0000AC8B0000}"/>
    <cellStyle name="Separador de milhares 3 5 4 5 3 3 2" xfId="47233" xr:uid="{00000000-0005-0000-0000-0000AD8B0000}"/>
    <cellStyle name="Separador de milhares 3 5 4 5 3 4" xfId="15132" xr:uid="{00000000-0005-0000-0000-0000AE8B0000}"/>
    <cellStyle name="Separador de milhares 3 5 4 5 3 4 2" xfId="41325" xr:uid="{00000000-0005-0000-0000-0000AF8B0000}"/>
    <cellStyle name="Separador de milhares 3 5 4 5 3 5" xfId="34939" xr:uid="{00000000-0005-0000-0000-0000B08B0000}"/>
    <cellStyle name="Separador de milhares 3 5 4 5 4" xfId="5371" xr:uid="{00000000-0005-0000-0000-0000B18B0000}"/>
    <cellStyle name="Separador de milhares 3 5 4 5 4 2" xfId="24003" xr:uid="{00000000-0005-0000-0000-0000B28B0000}"/>
    <cellStyle name="Separador de milhares 3 5 4 5 4 2 2" xfId="50187" xr:uid="{00000000-0005-0000-0000-0000B38B0000}"/>
    <cellStyle name="Separador de milhares 3 5 4 5 4 3" xfId="31567" xr:uid="{00000000-0005-0000-0000-0000B48B0000}"/>
    <cellStyle name="Separador de milhares 3 5 4 5 5" xfId="18089" xr:uid="{00000000-0005-0000-0000-0000B58B0000}"/>
    <cellStyle name="Separador de milhares 3 5 4 5 5 2" xfId="44279" xr:uid="{00000000-0005-0000-0000-0000B68B0000}"/>
    <cellStyle name="Separador de milhares 3 5 4 5 6" xfId="11758" xr:uid="{00000000-0005-0000-0000-0000B78B0000}"/>
    <cellStyle name="Separador de milhares 3 5 4 5 6 2" xfId="37951" xr:uid="{00000000-0005-0000-0000-0000B88B0000}"/>
    <cellStyle name="Separador de milhares 3 5 4 5 7" xfId="29869" xr:uid="{00000000-0005-0000-0000-0000B98B0000}"/>
    <cellStyle name="Separador de milhares 3 5 4 6" xfId="2821" xr:uid="{00000000-0005-0000-0000-0000BA8B0000}"/>
    <cellStyle name="Separador de milhares 3 5 4 6 2" xfId="7217" xr:uid="{00000000-0005-0000-0000-0000BB8B0000}"/>
    <cellStyle name="Separador de milhares 3 5 4 6 2 2" xfId="10361" xr:uid="{00000000-0005-0000-0000-0000BC8B0000}"/>
    <cellStyle name="Separador de milhares 3 5 4 6 2 2 2" xfId="28575" xr:uid="{00000000-0005-0000-0000-0000BD8B0000}"/>
    <cellStyle name="Separador de milhares 3 5 4 6 2 2 2 2" xfId="54756" xr:uid="{00000000-0005-0000-0000-0000BE8B0000}"/>
    <cellStyle name="Separador de milhares 3 5 4 6 2 2 3" xfId="22661" xr:uid="{00000000-0005-0000-0000-0000BF8B0000}"/>
    <cellStyle name="Separador de milhares 3 5 4 6 2 2 3 2" xfId="48848" xr:uid="{00000000-0005-0000-0000-0000C08B0000}"/>
    <cellStyle name="Separador de milhares 3 5 4 6 2 2 4" xfId="16747" xr:uid="{00000000-0005-0000-0000-0000C18B0000}"/>
    <cellStyle name="Separador de milhares 3 5 4 6 2 2 4 2" xfId="42940" xr:uid="{00000000-0005-0000-0000-0000C28B0000}"/>
    <cellStyle name="Separador de milhares 3 5 4 6 2 2 5" xfId="36554" xr:uid="{00000000-0005-0000-0000-0000C38B0000}"/>
    <cellStyle name="Separador de milhares 3 5 4 6 2 3" xfId="25618" xr:uid="{00000000-0005-0000-0000-0000C48B0000}"/>
    <cellStyle name="Separador de milhares 3 5 4 6 2 3 2" xfId="51802" xr:uid="{00000000-0005-0000-0000-0000C58B0000}"/>
    <cellStyle name="Separador de milhares 3 5 4 6 2 4" xfId="19704" xr:uid="{00000000-0005-0000-0000-0000C68B0000}"/>
    <cellStyle name="Separador de milhares 3 5 4 6 2 4 2" xfId="45894" xr:uid="{00000000-0005-0000-0000-0000C78B0000}"/>
    <cellStyle name="Separador de milhares 3 5 4 6 2 5" xfId="13606" xr:uid="{00000000-0005-0000-0000-0000C88B0000}"/>
    <cellStyle name="Separador de milhares 3 5 4 6 2 5 2" xfId="39799" xr:uid="{00000000-0005-0000-0000-0000C98B0000}"/>
    <cellStyle name="Separador de milhares 3 5 4 6 2 6" xfId="33413" xr:uid="{00000000-0005-0000-0000-0000CA8B0000}"/>
    <cellStyle name="Separador de milhares 3 5 4 6 3" xfId="8893" xr:uid="{00000000-0005-0000-0000-0000CB8B0000}"/>
    <cellStyle name="Separador de milhares 3 5 4 6 3 2" xfId="27107" xr:uid="{00000000-0005-0000-0000-0000CC8B0000}"/>
    <cellStyle name="Separador de milhares 3 5 4 6 3 2 2" xfId="53288" xr:uid="{00000000-0005-0000-0000-0000CD8B0000}"/>
    <cellStyle name="Separador de milhares 3 5 4 6 3 3" xfId="21193" xr:uid="{00000000-0005-0000-0000-0000CE8B0000}"/>
    <cellStyle name="Separador de milhares 3 5 4 6 3 3 2" xfId="47380" xr:uid="{00000000-0005-0000-0000-0000CF8B0000}"/>
    <cellStyle name="Separador de milhares 3 5 4 6 3 4" xfId="15279" xr:uid="{00000000-0005-0000-0000-0000D08B0000}"/>
    <cellStyle name="Separador de milhares 3 5 4 6 3 4 2" xfId="41472" xr:uid="{00000000-0005-0000-0000-0000D18B0000}"/>
    <cellStyle name="Separador de milhares 3 5 4 6 3 5" xfId="35086" xr:uid="{00000000-0005-0000-0000-0000D28B0000}"/>
    <cellStyle name="Separador de milhares 3 5 4 6 4" xfId="5518" xr:uid="{00000000-0005-0000-0000-0000D38B0000}"/>
    <cellStyle name="Separador de milhares 3 5 4 6 4 2" xfId="24150" xr:uid="{00000000-0005-0000-0000-0000D48B0000}"/>
    <cellStyle name="Separador de milhares 3 5 4 6 4 2 2" xfId="50334" xr:uid="{00000000-0005-0000-0000-0000D58B0000}"/>
    <cellStyle name="Separador de milhares 3 5 4 6 4 3" xfId="31714" xr:uid="{00000000-0005-0000-0000-0000D68B0000}"/>
    <cellStyle name="Separador de milhares 3 5 4 6 5" xfId="18236" xr:uid="{00000000-0005-0000-0000-0000D78B0000}"/>
    <cellStyle name="Separador de milhares 3 5 4 6 5 2" xfId="44426" xr:uid="{00000000-0005-0000-0000-0000D88B0000}"/>
    <cellStyle name="Separador de milhares 3 5 4 6 6" xfId="11905" xr:uid="{00000000-0005-0000-0000-0000D98B0000}"/>
    <cellStyle name="Separador de milhares 3 5 4 6 6 2" xfId="38098" xr:uid="{00000000-0005-0000-0000-0000DA8B0000}"/>
    <cellStyle name="Separador de milhares 3 5 4 6 7" xfId="30016" xr:uid="{00000000-0005-0000-0000-0000DB8B0000}"/>
    <cellStyle name="Separador de milhares 3 5 4 7" xfId="3348" xr:uid="{00000000-0005-0000-0000-0000DC8B0000}"/>
    <cellStyle name="Separador de milhares 3 5 4 7 2" xfId="7364" xr:uid="{00000000-0005-0000-0000-0000DD8B0000}"/>
    <cellStyle name="Separador de milhares 3 5 4 7 2 2" xfId="10508" xr:uid="{00000000-0005-0000-0000-0000DE8B0000}"/>
    <cellStyle name="Separador de milhares 3 5 4 7 2 2 2" xfId="28722" xr:uid="{00000000-0005-0000-0000-0000DF8B0000}"/>
    <cellStyle name="Separador de milhares 3 5 4 7 2 2 2 2" xfId="54903" xr:uid="{00000000-0005-0000-0000-0000E08B0000}"/>
    <cellStyle name="Separador de milhares 3 5 4 7 2 2 3" xfId="22808" xr:uid="{00000000-0005-0000-0000-0000E18B0000}"/>
    <cellStyle name="Separador de milhares 3 5 4 7 2 2 3 2" xfId="48995" xr:uid="{00000000-0005-0000-0000-0000E28B0000}"/>
    <cellStyle name="Separador de milhares 3 5 4 7 2 2 4" xfId="16894" xr:uid="{00000000-0005-0000-0000-0000E38B0000}"/>
    <cellStyle name="Separador de milhares 3 5 4 7 2 2 4 2" xfId="43087" xr:uid="{00000000-0005-0000-0000-0000E48B0000}"/>
    <cellStyle name="Separador de milhares 3 5 4 7 2 2 5" xfId="36701" xr:uid="{00000000-0005-0000-0000-0000E58B0000}"/>
    <cellStyle name="Separador de milhares 3 5 4 7 2 3" xfId="25765" xr:uid="{00000000-0005-0000-0000-0000E68B0000}"/>
    <cellStyle name="Separador de milhares 3 5 4 7 2 3 2" xfId="51949" xr:uid="{00000000-0005-0000-0000-0000E78B0000}"/>
    <cellStyle name="Separador de milhares 3 5 4 7 2 4" xfId="19851" xr:uid="{00000000-0005-0000-0000-0000E88B0000}"/>
    <cellStyle name="Separador de milhares 3 5 4 7 2 4 2" xfId="46041" xr:uid="{00000000-0005-0000-0000-0000E98B0000}"/>
    <cellStyle name="Separador de milhares 3 5 4 7 2 5" xfId="13753" xr:uid="{00000000-0005-0000-0000-0000EA8B0000}"/>
    <cellStyle name="Separador de milhares 3 5 4 7 2 5 2" xfId="39946" xr:uid="{00000000-0005-0000-0000-0000EB8B0000}"/>
    <cellStyle name="Separador de milhares 3 5 4 7 2 6" xfId="33560" xr:uid="{00000000-0005-0000-0000-0000EC8B0000}"/>
    <cellStyle name="Separador de milhares 3 5 4 7 3" xfId="9040" xr:uid="{00000000-0005-0000-0000-0000ED8B0000}"/>
    <cellStyle name="Separador de milhares 3 5 4 7 3 2" xfId="27254" xr:uid="{00000000-0005-0000-0000-0000EE8B0000}"/>
    <cellStyle name="Separador de milhares 3 5 4 7 3 2 2" xfId="53435" xr:uid="{00000000-0005-0000-0000-0000EF8B0000}"/>
    <cellStyle name="Separador de milhares 3 5 4 7 3 3" xfId="21340" xr:uid="{00000000-0005-0000-0000-0000F08B0000}"/>
    <cellStyle name="Separador de milhares 3 5 4 7 3 3 2" xfId="47527" xr:uid="{00000000-0005-0000-0000-0000F18B0000}"/>
    <cellStyle name="Separador de milhares 3 5 4 7 3 4" xfId="15426" xr:uid="{00000000-0005-0000-0000-0000F28B0000}"/>
    <cellStyle name="Separador de milhares 3 5 4 7 3 4 2" xfId="41619" xr:uid="{00000000-0005-0000-0000-0000F38B0000}"/>
    <cellStyle name="Separador de milhares 3 5 4 7 3 5" xfId="35233" xr:uid="{00000000-0005-0000-0000-0000F48B0000}"/>
    <cellStyle name="Separador de milhares 3 5 4 7 4" xfId="5665" xr:uid="{00000000-0005-0000-0000-0000F58B0000}"/>
    <cellStyle name="Separador de milhares 3 5 4 7 4 2" xfId="24297" xr:uid="{00000000-0005-0000-0000-0000F68B0000}"/>
    <cellStyle name="Separador de milhares 3 5 4 7 4 2 2" xfId="50481" xr:uid="{00000000-0005-0000-0000-0000F78B0000}"/>
    <cellStyle name="Separador de milhares 3 5 4 7 4 3" xfId="31861" xr:uid="{00000000-0005-0000-0000-0000F88B0000}"/>
    <cellStyle name="Separador de milhares 3 5 4 7 5" xfId="18383" xr:uid="{00000000-0005-0000-0000-0000F98B0000}"/>
    <cellStyle name="Separador de milhares 3 5 4 7 5 2" xfId="44573" xr:uid="{00000000-0005-0000-0000-0000FA8B0000}"/>
    <cellStyle name="Separador de milhares 3 5 4 7 6" xfId="12052" xr:uid="{00000000-0005-0000-0000-0000FB8B0000}"/>
    <cellStyle name="Separador de milhares 3 5 4 7 6 2" xfId="38245" xr:uid="{00000000-0005-0000-0000-0000FC8B0000}"/>
    <cellStyle name="Separador de milhares 3 5 4 7 7" xfId="30163" xr:uid="{00000000-0005-0000-0000-0000FD8B0000}"/>
    <cellStyle name="Separador de milhares 3 5 4 8" xfId="3875" xr:uid="{00000000-0005-0000-0000-0000FE8B0000}"/>
    <cellStyle name="Separador de milhares 3 5 4 8 2" xfId="7511" xr:uid="{00000000-0005-0000-0000-0000FF8B0000}"/>
    <cellStyle name="Separador de milhares 3 5 4 8 2 2" xfId="10655" xr:uid="{00000000-0005-0000-0000-0000008C0000}"/>
    <cellStyle name="Separador de milhares 3 5 4 8 2 2 2" xfId="28869" xr:uid="{00000000-0005-0000-0000-0000018C0000}"/>
    <cellStyle name="Separador de milhares 3 5 4 8 2 2 2 2" xfId="55050" xr:uid="{00000000-0005-0000-0000-0000028C0000}"/>
    <cellStyle name="Separador de milhares 3 5 4 8 2 2 3" xfId="22955" xr:uid="{00000000-0005-0000-0000-0000038C0000}"/>
    <cellStyle name="Separador de milhares 3 5 4 8 2 2 3 2" xfId="49142" xr:uid="{00000000-0005-0000-0000-0000048C0000}"/>
    <cellStyle name="Separador de milhares 3 5 4 8 2 2 4" xfId="17041" xr:uid="{00000000-0005-0000-0000-0000058C0000}"/>
    <cellStyle name="Separador de milhares 3 5 4 8 2 2 4 2" xfId="43234" xr:uid="{00000000-0005-0000-0000-0000068C0000}"/>
    <cellStyle name="Separador de milhares 3 5 4 8 2 2 5" xfId="36848" xr:uid="{00000000-0005-0000-0000-0000078C0000}"/>
    <cellStyle name="Separador de milhares 3 5 4 8 2 3" xfId="25912" xr:uid="{00000000-0005-0000-0000-0000088C0000}"/>
    <cellStyle name="Separador de milhares 3 5 4 8 2 3 2" xfId="52096" xr:uid="{00000000-0005-0000-0000-0000098C0000}"/>
    <cellStyle name="Separador de milhares 3 5 4 8 2 4" xfId="19998" xr:uid="{00000000-0005-0000-0000-00000A8C0000}"/>
    <cellStyle name="Separador de milhares 3 5 4 8 2 4 2" xfId="46188" xr:uid="{00000000-0005-0000-0000-00000B8C0000}"/>
    <cellStyle name="Separador de milhares 3 5 4 8 2 5" xfId="13900" xr:uid="{00000000-0005-0000-0000-00000C8C0000}"/>
    <cellStyle name="Separador de milhares 3 5 4 8 2 5 2" xfId="40093" xr:uid="{00000000-0005-0000-0000-00000D8C0000}"/>
    <cellStyle name="Separador de milhares 3 5 4 8 2 6" xfId="33707" xr:uid="{00000000-0005-0000-0000-00000E8C0000}"/>
    <cellStyle name="Separador de milhares 3 5 4 8 3" xfId="9187" xr:uid="{00000000-0005-0000-0000-00000F8C0000}"/>
    <cellStyle name="Separador de milhares 3 5 4 8 3 2" xfId="27401" xr:uid="{00000000-0005-0000-0000-0000108C0000}"/>
    <cellStyle name="Separador de milhares 3 5 4 8 3 2 2" xfId="53582" xr:uid="{00000000-0005-0000-0000-0000118C0000}"/>
    <cellStyle name="Separador de milhares 3 5 4 8 3 3" xfId="21487" xr:uid="{00000000-0005-0000-0000-0000128C0000}"/>
    <cellStyle name="Separador de milhares 3 5 4 8 3 3 2" xfId="47674" xr:uid="{00000000-0005-0000-0000-0000138C0000}"/>
    <cellStyle name="Separador de milhares 3 5 4 8 3 4" xfId="15573" xr:uid="{00000000-0005-0000-0000-0000148C0000}"/>
    <cellStyle name="Separador de milhares 3 5 4 8 3 4 2" xfId="41766" xr:uid="{00000000-0005-0000-0000-0000158C0000}"/>
    <cellStyle name="Separador de milhares 3 5 4 8 3 5" xfId="35380" xr:uid="{00000000-0005-0000-0000-0000168C0000}"/>
    <cellStyle name="Separador de milhares 3 5 4 8 4" xfId="5812" xr:uid="{00000000-0005-0000-0000-0000178C0000}"/>
    <cellStyle name="Separador de milhares 3 5 4 8 4 2" xfId="24444" xr:uid="{00000000-0005-0000-0000-0000188C0000}"/>
    <cellStyle name="Separador de milhares 3 5 4 8 4 2 2" xfId="50628" xr:uid="{00000000-0005-0000-0000-0000198C0000}"/>
    <cellStyle name="Separador de milhares 3 5 4 8 4 3" xfId="32008" xr:uid="{00000000-0005-0000-0000-00001A8C0000}"/>
    <cellStyle name="Separador de milhares 3 5 4 8 5" xfId="18530" xr:uid="{00000000-0005-0000-0000-00001B8C0000}"/>
    <cellStyle name="Separador de milhares 3 5 4 8 5 2" xfId="44720" xr:uid="{00000000-0005-0000-0000-00001C8C0000}"/>
    <cellStyle name="Separador de milhares 3 5 4 8 6" xfId="12199" xr:uid="{00000000-0005-0000-0000-00001D8C0000}"/>
    <cellStyle name="Separador de milhares 3 5 4 8 6 2" xfId="38392" xr:uid="{00000000-0005-0000-0000-00001E8C0000}"/>
    <cellStyle name="Separador de milhares 3 5 4 8 7" xfId="30310" xr:uid="{00000000-0005-0000-0000-00001F8C0000}"/>
    <cellStyle name="Separador de milhares 3 5 4 9" xfId="670" xr:uid="{00000000-0005-0000-0000-0000208C0000}"/>
    <cellStyle name="Separador de milhares 3 5 4 9 2" xfId="6605" xr:uid="{00000000-0005-0000-0000-0000218C0000}"/>
    <cellStyle name="Separador de milhares 3 5 4 9 2 2" xfId="9752" xr:uid="{00000000-0005-0000-0000-0000228C0000}"/>
    <cellStyle name="Separador de milhares 3 5 4 9 2 2 2" xfId="27966" xr:uid="{00000000-0005-0000-0000-0000238C0000}"/>
    <cellStyle name="Separador de milhares 3 5 4 9 2 2 2 2" xfId="54147" xr:uid="{00000000-0005-0000-0000-0000248C0000}"/>
    <cellStyle name="Separador de milhares 3 5 4 9 2 2 3" xfId="22052" xr:uid="{00000000-0005-0000-0000-0000258C0000}"/>
    <cellStyle name="Separador de milhares 3 5 4 9 2 2 3 2" xfId="48239" xr:uid="{00000000-0005-0000-0000-0000268C0000}"/>
    <cellStyle name="Separador de milhares 3 5 4 9 2 2 4" xfId="16138" xr:uid="{00000000-0005-0000-0000-0000278C0000}"/>
    <cellStyle name="Separador de milhares 3 5 4 9 2 2 4 2" xfId="42331" xr:uid="{00000000-0005-0000-0000-0000288C0000}"/>
    <cellStyle name="Separador de milhares 3 5 4 9 2 2 5" xfId="35945" xr:uid="{00000000-0005-0000-0000-0000298C0000}"/>
    <cellStyle name="Separador de milhares 3 5 4 9 2 3" xfId="25009" xr:uid="{00000000-0005-0000-0000-00002A8C0000}"/>
    <cellStyle name="Separador de milhares 3 5 4 9 2 3 2" xfId="51193" xr:uid="{00000000-0005-0000-0000-00002B8C0000}"/>
    <cellStyle name="Separador de milhares 3 5 4 9 2 4" xfId="19095" xr:uid="{00000000-0005-0000-0000-00002C8C0000}"/>
    <cellStyle name="Separador de milhares 3 5 4 9 2 4 2" xfId="45285" xr:uid="{00000000-0005-0000-0000-00002D8C0000}"/>
    <cellStyle name="Separador de milhares 3 5 4 9 2 5" xfId="12994" xr:uid="{00000000-0005-0000-0000-00002E8C0000}"/>
    <cellStyle name="Separador de milhares 3 5 4 9 2 5 2" xfId="39187" xr:uid="{00000000-0005-0000-0000-00002F8C0000}"/>
    <cellStyle name="Separador de milhares 3 5 4 9 2 6" xfId="32801" xr:uid="{00000000-0005-0000-0000-0000308C0000}"/>
    <cellStyle name="Separador de milhares 3 5 4 9 3" xfId="8284" xr:uid="{00000000-0005-0000-0000-0000318C0000}"/>
    <cellStyle name="Separador de milhares 3 5 4 9 3 2" xfId="26498" xr:uid="{00000000-0005-0000-0000-0000328C0000}"/>
    <cellStyle name="Separador de milhares 3 5 4 9 3 2 2" xfId="52679" xr:uid="{00000000-0005-0000-0000-0000338C0000}"/>
    <cellStyle name="Separador de milhares 3 5 4 9 3 3" xfId="20584" xr:uid="{00000000-0005-0000-0000-0000348C0000}"/>
    <cellStyle name="Separador de milhares 3 5 4 9 3 3 2" xfId="46771" xr:uid="{00000000-0005-0000-0000-0000358C0000}"/>
    <cellStyle name="Separador de milhares 3 5 4 9 3 4" xfId="14670" xr:uid="{00000000-0005-0000-0000-0000368C0000}"/>
    <cellStyle name="Separador de milhares 3 5 4 9 3 4 2" xfId="40863" xr:uid="{00000000-0005-0000-0000-0000378C0000}"/>
    <cellStyle name="Separador de milhares 3 5 4 9 3 5" xfId="34477" xr:uid="{00000000-0005-0000-0000-0000388C0000}"/>
    <cellStyle name="Separador de milhares 3 5 4 9 4" xfId="4906" xr:uid="{00000000-0005-0000-0000-0000398C0000}"/>
    <cellStyle name="Separador de milhares 3 5 4 9 4 2" xfId="23541" xr:uid="{00000000-0005-0000-0000-00003A8C0000}"/>
    <cellStyle name="Separador de milhares 3 5 4 9 4 2 2" xfId="49725" xr:uid="{00000000-0005-0000-0000-00003B8C0000}"/>
    <cellStyle name="Separador de milhares 3 5 4 9 4 3" xfId="31102" xr:uid="{00000000-0005-0000-0000-00003C8C0000}"/>
    <cellStyle name="Separador de milhares 3 5 4 9 5" xfId="17627" xr:uid="{00000000-0005-0000-0000-00003D8C0000}"/>
    <cellStyle name="Separador de milhares 3 5 4 9 5 2" xfId="43817" xr:uid="{00000000-0005-0000-0000-00003E8C0000}"/>
    <cellStyle name="Separador de milhares 3 5 4 9 6" xfId="11293" xr:uid="{00000000-0005-0000-0000-00003F8C0000}"/>
    <cellStyle name="Separador de milhares 3 5 4 9 6 2" xfId="37486" xr:uid="{00000000-0005-0000-0000-0000408C0000}"/>
    <cellStyle name="Separador de milhares 3 5 4 9 7" xfId="29404" xr:uid="{00000000-0005-0000-0000-0000418C0000}"/>
    <cellStyle name="Separador de milhares 3 5 5" xfId="590" xr:uid="{00000000-0005-0000-0000-0000428C0000}"/>
    <cellStyle name="Separador de milhares 3 5 5 10" xfId="4870" xr:uid="{00000000-0005-0000-0000-0000438C0000}"/>
    <cellStyle name="Separador de milhares 3 5 5 10 2" xfId="23504" xr:uid="{00000000-0005-0000-0000-0000448C0000}"/>
    <cellStyle name="Separador de milhares 3 5 5 10 2 2" xfId="49691" xr:uid="{00000000-0005-0000-0000-0000458C0000}"/>
    <cellStyle name="Separador de milhares 3 5 5 10 3" xfId="31068" xr:uid="{00000000-0005-0000-0000-0000468C0000}"/>
    <cellStyle name="Separador de milhares 3 5 5 11" xfId="17590" xr:uid="{00000000-0005-0000-0000-0000478C0000}"/>
    <cellStyle name="Separador de milhares 3 5 5 11 2" xfId="43783" xr:uid="{00000000-0005-0000-0000-0000488C0000}"/>
    <cellStyle name="Separador de milhares 3 5 5 12" xfId="11259" xr:uid="{00000000-0005-0000-0000-0000498C0000}"/>
    <cellStyle name="Separador de milhares 3 5 5 12 2" xfId="37452" xr:uid="{00000000-0005-0000-0000-00004A8C0000}"/>
    <cellStyle name="Separador de milhares 3 5 5 13" xfId="29370" xr:uid="{00000000-0005-0000-0000-00004B8C0000}"/>
    <cellStyle name="Separador de milhares 3 5 5 2" xfId="1413" xr:uid="{00000000-0005-0000-0000-00004C8C0000}"/>
    <cellStyle name="Separador de milhares 3 5 5 2 2" xfId="6822" xr:uid="{00000000-0005-0000-0000-00004D8C0000}"/>
    <cellStyle name="Separador de milhares 3 5 5 2 2 2" xfId="9969" xr:uid="{00000000-0005-0000-0000-00004E8C0000}"/>
    <cellStyle name="Separador de milhares 3 5 5 2 2 2 2" xfId="28183" xr:uid="{00000000-0005-0000-0000-00004F8C0000}"/>
    <cellStyle name="Separador de milhares 3 5 5 2 2 2 2 2" xfId="54364" xr:uid="{00000000-0005-0000-0000-0000508C0000}"/>
    <cellStyle name="Separador de milhares 3 5 5 2 2 2 3" xfId="22269" xr:uid="{00000000-0005-0000-0000-0000518C0000}"/>
    <cellStyle name="Separador de milhares 3 5 5 2 2 2 3 2" xfId="48456" xr:uid="{00000000-0005-0000-0000-0000528C0000}"/>
    <cellStyle name="Separador de milhares 3 5 5 2 2 2 4" xfId="16355" xr:uid="{00000000-0005-0000-0000-0000538C0000}"/>
    <cellStyle name="Separador de milhares 3 5 5 2 2 2 4 2" xfId="42548" xr:uid="{00000000-0005-0000-0000-0000548C0000}"/>
    <cellStyle name="Separador de milhares 3 5 5 2 2 2 5" xfId="36162" xr:uid="{00000000-0005-0000-0000-0000558C0000}"/>
    <cellStyle name="Separador de milhares 3 5 5 2 2 3" xfId="25226" xr:uid="{00000000-0005-0000-0000-0000568C0000}"/>
    <cellStyle name="Separador de milhares 3 5 5 2 2 3 2" xfId="51410" xr:uid="{00000000-0005-0000-0000-0000578C0000}"/>
    <cellStyle name="Separador de milhares 3 5 5 2 2 4" xfId="19312" xr:uid="{00000000-0005-0000-0000-0000588C0000}"/>
    <cellStyle name="Separador de milhares 3 5 5 2 2 4 2" xfId="45502" xr:uid="{00000000-0005-0000-0000-0000598C0000}"/>
    <cellStyle name="Separador de milhares 3 5 5 2 2 5" xfId="13211" xr:uid="{00000000-0005-0000-0000-00005A8C0000}"/>
    <cellStyle name="Separador de milhares 3 5 5 2 2 5 2" xfId="39404" xr:uid="{00000000-0005-0000-0000-00005B8C0000}"/>
    <cellStyle name="Separador de milhares 3 5 5 2 2 6" xfId="33018" xr:uid="{00000000-0005-0000-0000-00005C8C0000}"/>
    <cellStyle name="Separador de milhares 3 5 5 2 3" xfId="8501" xr:uid="{00000000-0005-0000-0000-00005D8C0000}"/>
    <cellStyle name="Separador de milhares 3 5 5 2 3 2" xfId="26715" xr:uid="{00000000-0005-0000-0000-00005E8C0000}"/>
    <cellStyle name="Separador de milhares 3 5 5 2 3 2 2" xfId="52896" xr:uid="{00000000-0005-0000-0000-00005F8C0000}"/>
    <cellStyle name="Separador de milhares 3 5 5 2 3 3" xfId="20801" xr:uid="{00000000-0005-0000-0000-0000608C0000}"/>
    <cellStyle name="Separador de milhares 3 5 5 2 3 3 2" xfId="46988" xr:uid="{00000000-0005-0000-0000-0000618C0000}"/>
    <cellStyle name="Separador de milhares 3 5 5 2 3 4" xfId="14887" xr:uid="{00000000-0005-0000-0000-0000628C0000}"/>
    <cellStyle name="Separador de milhares 3 5 5 2 3 4 2" xfId="41080" xr:uid="{00000000-0005-0000-0000-0000638C0000}"/>
    <cellStyle name="Separador de milhares 3 5 5 2 3 5" xfId="34694" xr:uid="{00000000-0005-0000-0000-0000648C0000}"/>
    <cellStyle name="Separador de milhares 3 5 5 2 4" xfId="5123" xr:uid="{00000000-0005-0000-0000-0000658C0000}"/>
    <cellStyle name="Separador de milhares 3 5 5 2 4 2" xfId="23758" xr:uid="{00000000-0005-0000-0000-0000668C0000}"/>
    <cellStyle name="Separador de milhares 3 5 5 2 4 2 2" xfId="49942" xr:uid="{00000000-0005-0000-0000-0000678C0000}"/>
    <cellStyle name="Separador de milhares 3 5 5 2 4 3" xfId="31319" xr:uid="{00000000-0005-0000-0000-0000688C0000}"/>
    <cellStyle name="Separador de milhares 3 5 5 2 5" xfId="17844" xr:uid="{00000000-0005-0000-0000-0000698C0000}"/>
    <cellStyle name="Separador de milhares 3 5 5 2 5 2" xfId="44034" xr:uid="{00000000-0005-0000-0000-00006A8C0000}"/>
    <cellStyle name="Separador de milhares 3 5 5 2 6" xfId="11510" xr:uid="{00000000-0005-0000-0000-00006B8C0000}"/>
    <cellStyle name="Separador de milhares 3 5 5 2 6 2" xfId="37703" xr:uid="{00000000-0005-0000-0000-00006C8C0000}"/>
    <cellStyle name="Separador de milhares 3 5 5 2 7" xfId="29621" xr:uid="{00000000-0005-0000-0000-00006D8C0000}"/>
    <cellStyle name="Separador de milhares 3 5 5 3" xfId="1848" xr:uid="{00000000-0005-0000-0000-00006E8C0000}"/>
    <cellStyle name="Separador de milhares 3 5 5 3 2" xfId="6941" xr:uid="{00000000-0005-0000-0000-00006F8C0000}"/>
    <cellStyle name="Separador de milhares 3 5 5 3 2 2" xfId="10088" xr:uid="{00000000-0005-0000-0000-0000708C0000}"/>
    <cellStyle name="Separador de milhares 3 5 5 3 2 2 2" xfId="28302" xr:uid="{00000000-0005-0000-0000-0000718C0000}"/>
    <cellStyle name="Separador de milhares 3 5 5 3 2 2 2 2" xfId="54483" xr:uid="{00000000-0005-0000-0000-0000728C0000}"/>
    <cellStyle name="Separador de milhares 3 5 5 3 2 2 3" xfId="22388" xr:uid="{00000000-0005-0000-0000-0000738C0000}"/>
    <cellStyle name="Separador de milhares 3 5 5 3 2 2 3 2" xfId="48575" xr:uid="{00000000-0005-0000-0000-0000748C0000}"/>
    <cellStyle name="Separador de milhares 3 5 5 3 2 2 4" xfId="16474" xr:uid="{00000000-0005-0000-0000-0000758C0000}"/>
    <cellStyle name="Separador de milhares 3 5 5 3 2 2 4 2" xfId="42667" xr:uid="{00000000-0005-0000-0000-0000768C0000}"/>
    <cellStyle name="Separador de milhares 3 5 5 3 2 2 5" xfId="36281" xr:uid="{00000000-0005-0000-0000-0000778C0000}"/>
    <cellStyle name="Separador de milhares 3 5 5 3 2 3" xfId="25345" xr:uid="{00000000-0005-0000-0000-0000788C0000}"/>
    <cellStyle name="Separador de milhares 3 5 5 3 2 3 2" xfId="51529" xr:uid="{00000000-0005-0000-0000-0000798C0000}"/>
    <cellStyle name="Separador de milhares 3 5 5 3 2 4" xfId="19431" xr:uid="{00000000-0005-0000-0000-00007A8C0000}"/>
    <cellStyle name="Separador de milhares 3 5 5 3 2 4 2" xfId="45621" xr:uid="{00000000-0005-0000-0000-00007B8C0000}"/>
    <cellStyle name="Separador de milhares 3 5 5 3 2 5" xfId="13330" xr:uid="{00000000-0005-0000-0000-00007C8C0000}"/>
    <cellStyle name="Separador de milhares 3 5 5 3 2 5 2" xfId="39523" xr:uid="{00000000-0005-0000-0000-00007D8C0000}"/>
    <cellStyle name="Separador de milhares 3 5 5 3 2 6" xfId="33137" xr:uid="{00000000-0005-0000-0000-00007E8C0000}"/>
    <cellStyle name="Separador de milhares 3 5 5 3 3" xfId="8620" xr:uid="{00000000-0005-0000-0000-00007F8C0000}"/>
    <cellStyle name="Separador de milhares 3 5 5 3 3 2" xfId="26834" xr:uid="{00000000-0005-0000-0000-0000808C0000}"/>
    <cellStyle name="Separador de milhares 3 5 5 3 3 2 2" xfId="53015" xr:uid="{00000000-0005-0000-0000-0000818C0000}"/>
    <cellStyle name="Separador de milhares 3 5 5 3 3 3" xfId="20920" xr:uid="{00000000-0005-0000-0000-0000828C0000}"/>
    <cellStyle name="Separador de milhares 3 5 5 3 3 3 2" xfId="47107" xr:uid="{00000000-0005-0000-0000-0000838C0000}"/>
    <cellStyle name="Separador de milhares 3 5 5 3 3 4" xfId="15006" xr:uid="{00000000-0005-0000-0000-0000848C0000}"/>
    <cellStyle name="Separador de milhares 3 5 5 3 3 4 2" xfId="41199" xr:uid="{00000000-0005-0000-0000-0000858C0000}"/>
    <cellStyle name="Separador de milhares 3 5 5 3 3 5" xfId="34813" xr:uid="{00000000-0005-0000-0000-0000868C0000}"/>
    <cellStyle name="Separador de milhares 3 5 5 3 4" xfId="5242" xr:uid="{00000000-0005-0000-0000-0000878C0000}"/>
    <cellStyle name="Separador de milhares 3 5 5 3 4 2" xfId="23877" xr:uid="{00000000-0005-0000-0000-0000888C0000}"/>
    <cellStyle name="Separador de milhares 3 5 5 3 4 2 2" xfId="50061" xr:uid="{00000000-0005-0000-0000-0000898C0000}"/>
    <cellStyle name="Separador de milhares 3 5 5 3 4 3" xfId="31438" xr:uid="{00000000-0005-0000-0000-00008A8C0000}"/>
    <cellStyle name="Separador de milhares 3 5 5 3 5" xfId="17963" xr:uid="{00000000-0005-0000-0000-00008B8C0000}"/>
    <cellStyle name="Separador de milhares 3 5 5 3 5 2" xfId="44153" xr:uid="{00000000-0005-0000-0000-00008C8C0000}"/>
    <cellStyle name="Separador de milhares 3 5 5 3 6" xfId="11629" xr:uid="{00000000-0005-0000-0000-00008D8C0000}"/>
    <cellStyle name="Separador de milhares 3 5 5 3 6 2" xfId="37822" xr:uid="{00000000-0005-0000-0000-00008E8C0000}"/>
    <cellStyle name="Separador de milhares 3 5 5 3 7" xfId="29740" xr:uid="{00000000-0005-0000-0000-00008F8C0000}"/>
    <cellStyle name="Separador de milhares 3 5 5 4" xfId="2378" xr:uid="{00000000-0005-0000-0000-0000908C0000}"/>
    <cellStyle name="Separador de milhares 3 5 5 4 2" xfId="7091" xr:uid="{00000000-0005-0000-0000-0000918C0000}"/>
    <cellStyle name="Separador de milhares 3 5 5 4 2 2" xfId="10235" xr:uid="{00000000-0005-0000-0000-0000928C0000}"/>
    <cellStyle name="Separador de milhares 3 5 5 4 2 2 2" xfId="28449" xr:uid="{00000000-0005-0000-0000-0000938C0000}"/>
    <cellStyle name="Separador de milhares 3 5 5 4 2 2 2 2" xfId="54630" xr:uid="{00000000-0005-0000-0000-0000948C0000}"/>
    <cellStyle name="Separador de milhares 3 5 5 4 2 2 3" xfId="22535" xr:uid="{00000000-0005-0000-0000-0000958C0000}"/>
    <cellStyle name="Separador de milhares 3 5 5 4 2 2 3 2" xfId="48722" xr:uid="{00000000-0005-0000-0000-0000968C0000}"/>
    <cellStyle name="Separador de milhares 3 5 5 4 2 2 4" xfId="16621" xr:uid="{00000000-0005-0000-0000-0000978C0000}"/>
    <cellStyle name="Separador de milhares 3 5 5 4 2 2 4 2" xfId="42814" xr:uid="{00000000-0005-0000-0000-0000988C0000}"/>
    <cellStyle name="Separador de milhares 3 5 5 4 2 2 5" xfId="36428" xr:uid="{00000000-0005-0000-0000-0000998C0000}"/>
    <cellStyle name="Separador de milhares 3 5 5 4 2 3" xfId="25492" xr:uid="{00000000-0005-0000-0000-00009A8C0000}"/>
    <cellStyle name="Separador de milhares 3 5 5 4 2 3 2" xfId="51676" xr:uid="{00000000-0005-0000-0000-00009B8C0000}"/>
    <cellStyle name="Separador de milhares 3 5 5 4 2 4" xfId="19578" xr:uid="{00000000-0005-0000-0000-00009C8C0000}"/>
    <cellStyle name="Separador de milhares 3 5 5 4 2 4 2" xfId="45768" xr:uid="{00000000-0005-0000-0000-00009D8C0000}"/>
    <cellStyle name="Separador de milhares 3 5 5 4 2 5" xfId="13480" xr:uid="{00000000-0005-0000-0000-00009E8C0000}"/>
    <cellStyle name="Separador de milhares 3 5 5 4 2 5 2" xfId="39673" xr:uid="{00000000-0005-0000-0000-00009F8C0000}"/>
    <cellStyle name="Separador de milhares 3 5 5 4 2 6" xfId="33287" xr:uid="{00000000-0005-0000-0000-0000A08C0000}"/>
    <cellStyle name="Separador de milhares 3 5 5 4 3" xfId="8767" xr:uid="{00000000-0005-0000-0000-0000A18C0000}"/>
    <cellStyle name="Separador de milhares 3 5 5 4 3 2" xfId="26981" xr:uid="{00000000-0005-0000-0000-0000A28C0000}"/>
    <cellStyle name="Separador de milhares 3 5 5 4 3 2 2" xfId="53162" xr:uid="{00000000-0005-0000-0000-0000A38C0000}"/>
    <cellStyle name="Separador de milhares 3 5 5 4 3 3" xfId="21067" xr:uid="{00000000-0005-0000-0000-0000A48C0000}"/>
    <cellStyle name="Separador de milhares 3 5 5 4 3 3 2" xfId="47254" xr:uid="{00000000-0005-0000-0000-0000A58C0000}"/>
    <cellStyle name="Separador de milhares 3 5 5 4 3 4" xfId="15153" xr:uid="{00000000-0005-0000-0000-0000A68C0000}"/>
    <cellStyle name="Separador de milhares 3 5 5 4 3 4 2" xfId="41346" xr:uid="{00000000-0005-0000-0000-0000A78C0000}"/>
    <cellStyle name="Separador de milhares 3 5 5 4 3 5" xfId="34960" xr:uid="{00000000-0005-0000-0000-0000A88C0000}"/>
    <cellStyle name="Separador de milhares 3 5 5 4 4" xfId="5392" xr:uid="{00000000-0005-0000-0000-0000A98C0000}"/>
    <cellStyle name="Separador de milhares 3 5 5 4 4 2" xfId="24024" xr:uid="{00000000-0005-0000-0000-0000AA8C0000}"/>
    <cellStyle name="Separador de milhares 3 5 5 4 4 2 2" xfId="50208" xr:uid="{00000000-0005-0000-0000-0000AB8C0000}"/>
    <cellStyle name="Separador de milhares 3 5 5 4 4 3" xfId="31588" xr:uid="{00000000-0005-0000-0000-0000AC8C0000}"/>
    <cellStyle name="Separador de milhares 3 5 5 4 5" xfId="18110" xr:uid="{00000000-0005-0000-0000-0000AD8C0000}"/>
    <cellStyle name="Separador de milhares 3 5 5 4 5 2" xfId="44300" xr:uid="{00000000-0005-0000-0000-0000AE8C0000}"/>
    <cellStyle name="Separador de milhares 3 5 5 4 6" xfId="11779" xr:uid="{00000000-0005-0000-0000-0000AF8C0000}"/>
    <cellStyle name="Separador de milhares 3 5 5 4 6 2" xfId="37972" xr:uid="{00000000-0005-0000-0000-0000B08C0000}"/>
    <cellStyle name="Separador de milhares 3 5 5 4 7" xfId="29890" xr:uid="{00000000-0005-0000-0000-0000B18C0000}"/>
    <cellStyle name="Separador de milhares 3 5 5 5" xfId="2905" xr:uid="{00000000-0005-0000-0000-0000B28C0000}"/>
    <cellStyle name="Separador de milhares 3 5 5 5 2" xfId="7238" xr:uid="{00000000-0005-0000-0000-0000B38C0000}"/>
    <cellStyle name="Separador de milhares 3 5 5 5 2 2" xfId="10382" xr:uid="{00000000-0005-0000-0000-0000B48C0000}"/>
    <cellStyle name="Separador de milhares 3 5 5 5 2 2 2" xfId="28596" xr:uid="{00000000-0005-0000-0000-0000B58C0000}"/>
    <cellStyle name="Separador de milhares 3 5 5 5 2 2 2 2" xfId="54777" xr:uid="{00000000-0005-0000-0000-0000B68C0000}"/>
    <cellStyle name="Separador de milhares 3 5 5 5 2 2 3" xfId="22682" xr:uid="{00000000-0005-0000-0000-0000B78C0000}"/>
    <cellStyle name="Separador de milhares 3 5 5 5 2 2 3 2" xfId="48869" xr:uid="{00000000-0005-0000-0000-0000B88C0000}"/>
    <cellStyle name="Separador de milhares 3 5 5 5 2 2 4" xfId="16768" xr:uid="{00000000-0005-0000-0000-0000B98C0000}"/>
    <cellStyle name="Separador de milhares 3 5 5 5 2 2 4 2" xfId="42961" xr:uid="{00000000-0005-0000-0000-0000BA8C0000}"/>
    <cellStyle name="Separador de milhares 3 5 5 5 2 2 5" xfId="36575" xr:uid="{00000000-0005-0000-0000-0000BB8C0000}"/>
    <cellStyle name="Separador de milhares 3 5 5 5 2 3" xfId="25639" xr:uid="{00000000-0005-0000-0000-0000BC8C0000}"/>
    <cellStyle name="Separador de milhares 3 5 5 5 2 3 2" xfId="51823" xr:uid="{00000000-0005-0000-0000-0000BD8C0000}"/>
    <cellStyle name="Separador de milhares 3 5 5 5 2 4" xfId="19725" xr:uid="{00000000-0005-0000-0000-0000BE8C0000}"/>
    <cellStyle name="Separador de milhares 3 5 5 5 2 4 2" xfId="45915" xr:uid="{00000000-0005-0000-0000-0000BF8C0000}"/>
    <cellStyle name="Separador de milhares 3 5 5 5 2 5" xfId="13627" xr:uid="{00000000-0005-0000-0000-0000C08C0000}"/>
    <cellStyle name="Separador de milhares 3 5 5 5 2 5 2" xfId="39820" xr:uid="{00000000-0005-0000-0000-0000C18C0000}"/>
    <cellStyle name="Separador de milhares 3 5 5 5 2 6" xfId="33434" xr:uid="{00000000-0005-0000-0000-0000C28C0000}"/>
    <cellStyle name="Separador de milhares 3 5 5 5 3" xfId="8914" xr:uid="{00000000-0005-0000-0000-0000C38C0000}"/>
    <cellStyle name="Separador de milhares 3 5 5 5 3 2" xfId="27128" xr:uid="{00000000-0005-0000-0000-0000C48C0000}"/>
    <cellStyle name="Separador de milhares 3 5 5 5 3 2 2" xfId="53309" xr:uid="{00000000-0005-0000-0000-0000C58C0000}"/>
    <cellStyle name="Separador de milhares 3 5 5 5 3 3" xfId="21214" xr:uid="{00000000-0005-0000-0000-0000C68C0000}"/>
    <cellStyle name="Separador de milhares 3 5 5 5 3 3 2" xfId="47401" xr:uid="{00000000-0005-0000-0000-0000C78C0000}"/>
    <cellStyle name="Separador de milhares 3 5 5 5 3 4" xfId="15300" xr:uid="{00000000-0005-0000-0000-0000C88C0000}"/>
    <cellStyle name="Separador de milhares 3 5 5 5 3 4 2" xfId="41493" xr:uid="{00000000-0005-0000-0000-0000C98C0000}"/>
    <cellStyle name="Separador de milhares 3 5 5 5 3 5" xfId="35107" xr:uid="{00000000-0005-0000-0000-0000CA8C0000}"/>
    <cellStyle name="Separador de milhares 3 5 5 5 4" xfId="5539" xr:uid="{00000000-0005-0000-0000-0000CB8C0000}"/>
    <cellStyle name="Separador de milhares 3 5 5 5 4 2" xfId="24171" xr:uid="{00000000-0005-0000-0000-0000CC8C0000}"/>
    <cellStyle name="Separador de milhares 3 5 5 5 4 2 2" xfId="50355" xr:uid="{00000000-0005-0000-0000-0000CD8C0000}"/>
    <cellStyle name="Separador de milhares 3 5 5 5 4 3" xfId="31735" xr:uid="{00000000-0005-0000-0000-0000CE8C0000}"/>
    <cellStyle name="Separador de milhares 3 5 5 5 5" xfId="18257" xr:uid="{00000000-0005-0000-0000-0000CF8C0000}"/>
    <cellStyle name="Separador de milhares 3 5 5 5 5 2" xfId="44447" xr:uid="{00000000-0005-0000-0000-0000D08C0000}"/>
    <cellStyle name="Separador de milhares 3 5 5 5 6" xfId="11926" xr:uid="{00000000-0005-0000-0000-0000D18C0000}"/>
    <cellStyle name="Separador de milhares 3 5 5 5 6 2" xfId="38119" xr:uid="{00000000-0005-0000-0000-0000D28C0000}"/>
    <cellStyle name="Separador de milhares 3 5 5 5 7" xfId="30037" xr:uid="{00000000-0005-0000-0000-0000D38C0000}"/>
    <cellStyle name="Separador de milhares 3 5 5 6" xfId="3432" xr:uid="{00000000-0005-0000-0000-0000D48C0000}"/>
    <cellStyle name="Separador de milhares 3 5 5 6 2" xfId="7385" xr:uid="{00000000-0005-0000-0000-0000D58C0000}"/>
    <cellStyle name="Separador de milhares 3 5 5 6 2 2" xfId="10529" xr:uid="{00000000-0005-0000-0000-0000D68C0000}"/>
    <cellStyle name="Separador de milhares 3 5 5 6 2 2 2" xfId="28743" xr:uid="{00000000-0005-0000-0000-0000D78C0000}"/>
    <cellStyle name="Separador de milhares 3 5 5 6 2 2 2 2" xfId="54924" xr:uid="{00000000-0005-0000-0000-0000D88C0000}"/>
    <cellStyle name="Separador de milhares 3 5 5 6 2 2 3" xfId="22829" xr:uid="{00000000-0005-0000-0000-0000D98C0000}"/>
    <cellStyle name="Separador de milhares 3 5 5 6 2 2 3 2" xfId="49016" xr:uid="{00000000-0005-0000-0000-0000DA8C0000}"/>
    <cellStyle name="Separador de milhares 3 5 5 6 2 2 4" xfId="16915" xr:uid="{00000000-0005-0000-0000-0000DB8C0000}"/>
    <cellStyle name="Separador de milhares 3 5 5 6 2 2 4 2" xfId="43108" xr:uid="{00000000-0005-0000-0000-0000DC8C0000}"/>
    <cellStyle name="Separador de milhares 3 5 5 6 2 2 5" xfId="36722" xr:uid="{00000000-0005-0000-0000-0000DD8C0000}"/>
    <cellStyle name="Separador de milhares 3 5 5 6 2 3" xfId="25786" xr:uid="{00000000-0005-0000-0000-0000DE8C0000}"/>
    <cellStyle name="Separador de milhares 3 5 5 6 2 3 2" xfId="51970" xr:uid="{00000000-0005-0000-0000-0000DF8C0000}"/>
    <cellStyle name="Separador de milhares 3 5 5 6 2 4" xfId="19872" xr:uid="{00000000-0005-0000-0000-0000E08C0000}"/>
    <cellStyle name="Separador de milhares 3 5 5 6 2 4 2" xfId="46062" xr:uid="{00000000-0005-0000-0000-0000E18C0000}"/>
    <cellStyle name="Separador de milhares 3 5 5 6 2 5" xfId="13774" xr:uid="{00000000-0005-0000-0000-0000E28C0000}"/>
    <cellStyle name="Separador de milhares 3 5 5 6 2 5 2" xfId="39967" xr:uid="{00000000-0005-0000-0000-0000E38C0000}"/>
    <cellStyle name="Separador de milhares 3 5 5 6 2 6" xfId="33581" xr:uid="{00000000-0005-0000-0000-0000E48C0000}"/>
    <cellStyle name="Separador de milhares 3 5 5 6 3" xfId="9061" xr:uid="{00000000-0005-0000-0000-0000E58C0000}"/>
    <cellStyle name="Separador de milhares 3 5 5 6 3 2" xfId="27275" xr:uid="{00000000-0005-0000-0000-0000E68C0000}"/>
    <cellStyle name="Separador de milhares 3 5 5 6 3 2 2" xfId="53456" xr:uid="{00000000-0005-0000-0000-0000E78C0000}"/>
    <cellStyle name="Separador de milhares 3 5 5 6 3 3" xfId="21361" xr:uid="{00000000-0005-0000-0000-0000E88C0000}"/>
    <cellStyle name="Separador de milhares 3 5 5 6 3 3 2" xfId="47548" xr:uid="{00000000-0005-0000-0000-0000E98C0000}"/>
    <cellStyle name="Separador de milhares 3 5 5 6 3 4" xfId="15447" xr:uid="{00000000-0005-0000-0000-0000EA8C0000}"/>
    <cellStyle name="Separador de milhares 3 5 5 6 3 4 2" xfId="41640" xr:uid="{00000000-0005-0000-0000-0000EB8C0000}"/>
    <cellStyle name="Separador de milhares 3 5 5 6 3 5" xfId="35254" xr:uid="{00000000-0005-0000-0000-0000EC8C0000}"/>
    <cellStyle name="Separador de milhares 3 5 5 6 4" xfId="5686" xr:uid="{00000000-0005-0000-0000-0000ED8C0000}"/>
    <cellStyle name="Separador de milhares 3 5 5 6 4 2" xfId="24318" xr:uid="{00000000-0005-0000-0000-0000EE8C0000}"/>
    <cellStyle name="Separador de milhares 3 5 5 6 4 2 2" xfId="50502" xr:uid="{00000000-0005-0000-0000-0000EF8C0000}"/>
    <cellStyle name="Separador de milhares 3 5 5 6 4 3" xfId="31882" xr:uid="{00000000-0005-0000-0000-0000F08C0000}"/>
    <cellStyle name="Separador de milhares 3 5 5 6 5" xfId="18404" xr:uid="{00000000-0005-0000-0000-0000F18C0000}"/>
    <cellStyle name="Separador de milhares 3 5 5 6 5 2" xfId="44594" xr:uid="{00000000-0005-0000-0000-0000F28C0000}"/>
    <cellStyle name="Separador de milhares 3 5 5 6 6" xfId="12073" xr:uid="{00000000-0005-0000-0000-0000F38C0000}"/>
    <cellStyle name="Separador de milhares 3 5 5 6 6 2" xfId="38266" xr:uid="{00000000-0005-0000-0000-0000F48C0000}"/>
    <cellStyle name="Separador de milhares 3 5 5 6 7" xfId="30184" xr:uid="{00000000-0005-0000-0000-0000F58C0000}"/>
    <cellStyle name="Separador de milhares 3 5 5 7" xfId="3959" xr:uid="{00000000-0005-0000-0000-0000F68C0000}"/>
    <cellStyle name="Separador de milhares 3 5 5 7 2" xfId="7532" xr:uid="{00000000-0005-0000-0000-0000F78C0000}"/>
    <cellStyle name="Separador de milhares 3 5 5 7 2 2" xfId="10676" xr:uid="{00000000-0005-0000-0000-0000F88C0000}"/>
    <cellStyle name="Separador de milhares 3 5 5 7 2 2 2" xfId="28890" xr:uid="{00000000-0005-0000-0000-0000F98C0000}"/>
    <cellStyle name="Separador de milhares 3 5 5 7 2 2 2 2" xfId="55071" xr:uid="{00000000-0005-0000-0000-0000FA8C0000}"/>
    <cellStyle name="Separador de milhares 3 5 5 7 2 2 3" xfId="22976" xr:uid="{00000000-0005-0000-0000-0000FB8C0000}"/>
    <cellStyle name="Separador de milhares 3 5 5 7 2 2 3 2" xfId="49163" xr:uid="{00000000-0005-0000-0000-0000FC8C0000}"/>
    <cellStyle name="Separador de milhares 3 5 5 7 2 2 4" xfId="17062" xr:uid="{00000000-0005-0000-0000-0000FD8C0000}"/>
    <cellStyle name="Separador de milhares 3 5 5 7 2 2 4 2" xfId="43255" xr:uid="{00000000-0005-0000-0000-0000FE8C0000}"/>
    <cellStyle name="Separador de milhares 3 5 5 7 2 2 5" xfId="36869" xr:uid="{00000000-0005-0000-0000-0000FF8C0000}"/>
    <cellStyle name="Separador de milhares 3 5 5 7 2 3" xfId="25933" xr:uid="{00000000-0005-0000-0000-0000008D0000}"/>
    <cellStyle name="Separador de milhares 3 5 5 7 2 3 2" xfId="52117" xr:uid="{00000000-0005-0000-0000-0000018D0000}"/>
    <cellStyle name="Separador de milhares 3 5 5 7 2 4" xfId="20019" xr:uid="{00000000-0005-0000-0000-0000028D0000}"/>
    <cellStyle name="Separador de milhares 3 5 5 7 2 4 2" xfId="46209" xr:uid="{00000000-0005-0000-0000-0000038D0000}"/>
    <cellStyle name="Separador de milhares 3 5 5 7 2 5" xfId="13921" xr:uid="{00000000-0005-0000-0000-0000048D0000}"/>
    <cellStyle name="Separador de milhares 3 5 5 7 2 5 2" xfId="40114" xr:uid="{00000000-0005-0000-0000-0000058D0000}"/>
    <cellStyle name="Separador de milhares 3 5 5 7 2 6" xfId="33728" xr:uid="{00000000-0005-0000-0000-0000068D0000}"/>
    <cellStyle name="Separador de milhares 3 5 5 7 3" xfId="9208" xr:uid="{00000000-0005-0000-0000-0000078D0000}"/>
    <cellStyle name="Separador de milhares 3 5 5 7 3 2" xfId="27422" xr:uid="{00000000-0005-0000-0000-0000088D0000}"/>
    <cellStyle name="Separador de milhares 3 5 5 7 3 2 2" xfId="53603" xr:uid="{00000000-0005-0000-0000-0000098D0000}"/>
    <cellStyle name="Separador de milhares 3 5 5 7 3 3" xfId="21508" xr:uid="{00000000-0005-0000-0000-00000A8D0000}"/>
    <cellStyle name="Separador de milhares 3 5 5 7 3 3 2" xfId="47695" xr:uid="{00000000-0005-0000-0000-00000B8D0000}"/>
    <cellStyle name="Separador de milhares 3 5 5 7 3 4" xfId="15594" xr:uid="{00000000-0005-0000-0000-00000C8D0000}"/>
    <cellStyle name="Separador de milhares 3 5 5 7 3 4 2" xfId="41787" xr:uid="{00000000-0005-0000-0000-00000D8D0000}"/>
    <cellStyle name="Separador de milhares 3 5 5 7 3 5" xfId="35401" xr:uid="{00000000-0005-0000-0000-00000E8D0000}"/>
    <cellStyle name="Separador de milhares 3 5 5 7 4" xfId="5833" xr:uid="{00000000-0005-0000-0000-00000F8D0000}"/>
    <cellStyle name="Separador de milhares 3 5 5 7 4 2" xfId="24465" xr:uid="{00000000-0005-0000-0000-0000108D0000}"/>
    <cellStyle name="Separador de milhares 3 5 5 7 4 2 2" xfId="50649" xr:uid="{00000000-0005-0000-0000-0000118D0000}"/>
    <cellStyle name="Separador de milhares 3 5 5 7 4 3" xfId="32029" xr:uid="{00000000-0005-0000-0000-0000128D0000}"/>
    <cellStyle name="Separador de milhares 3 5 5 7 5" xfId="18551" xr:uid="{00000000-0005-0000-0000-0000138D0000}"/>
    <cellStyle name="Separador de milhares 3 5 5 7 5 2" xfId="44741" xr:uid="{00000000-0005-0000-0000-0000148D0000}"/>
    <cellStyle name="Separador de milhares 3 5 5 7 6" xfId="12220" xr:uid="{00000000-0005-0000-0000-0000158D0000}"/>
    <cellStyle name="Separador de milhares 3 5 5 7 6 2" xfId="38413" xr:uid="{00000000-0005-0000-0000-0000168D0000}"/>
    <cellStyle name="Separador de milhares 3 5 5 7 7" xfId="30331" xr:uid="{00000000-0005-0000-0000-0000178D0000}"/>
    <cellStyle name="Separador de milhares 3 5 5 8" xfId="6571" xr:uid="{00000000-0005-0000-0000-0000188D0000}"/>
    <cellStyle name="Separador de milhares 3 5 5 8 2" xfId="9718" xr:uid="{00000000-0005-0000-0000-0000198D0000}"/>
    <cellStyle name="Separador de milhares 3 5 5 8 2 2" xfId="27932" xr:uid="{00000000-0005-0000-0000-00001A8D0000}"/>
    <cellStyle name="Separador de milhares 3 5 5 8 2 2 2" xfId="54113" xr:uid="{00000000-0005-0000-0000-00001B8D0000}"/>
    <cellStyle name="Separador de milhares 3 5 5 8 2 3" xfId="22018" xr:uid="{00000000-0005-0000-0000-00001C8D0000}"/>
    <cellStyle name="Separador de milhares 3 5 5 8 2 3 2" xfId="48205" xr:uid="{00000000-0005-0000-0000-00001D8D0000}"/>
    <cellStyle name="Separador de milhares 3 5 5 8 2 4" xfId="16104" xr:uid="{00000000-0005-0000-0000-00001E8D0000}"/>
    <cellStyle name="Separador de milhares 3 5 5 8 2 4 2" xfId="42297" xr:uid="{00000000-0005-0000-0000-00001F8D0000}"/>
    <cellStyle name="Separador de milhares 3 5 5 8 2 5" xfId="35911" xr:uid="{00000000-0005-0000-0000-0000208D0000}"/>
    <cellStyle name="Separador de milhares 3 5 5 8 3" xfId="24975" xr:uid="{00000000-0005-0000-0000-0000218D0000}"/>
    <cellStyle name="Separador de milhares 3 5 5 8 3 2" xfId="51159" xr:uid="{00000000-0005-0000-0000-0000228D0000}"/>
    <cellStyle name="Separador de milhares 3 5 5 8 4" xfId="19061" xr:uid="{00000000-0005-0000-0000-0000238D0000}"/>
    <cellStyle name="Separador de milhares 3 5 5 8 4 2" xfId="45251" xr:uid="{00000000-0005-0000-0000-0000248D0000}"/>
    <cellStyle name="Separador de milhares 3 5 5 8 5" xfId="12960" xr:uid="{00000000-0005-0000-0000-0000258D0000}"/>
    <cellStyle name="Separador de milhares 3 5 5 8 5 2" xfId="39153" xr:uid="{00000000-0005-0000-0000-0000268D0000}"/>
    <cellStyle name="Separador de milhares 3 5 5 8 6" xfId="32767" xr:uid="{00000000-0005-0000-0000-0000278D0000}"/>
    <cellStyle name="Separador de milhares 3 5 5 9" xfId="8247" xr:uid="{00000000-0005-0000-0000-0000288D0000}"/>
    <cellStyle name="Separador de milhares 3 5 5 9 2" xfId="26461" xr:uid="{00000000-0005-0000-0000-0000298D0000}"/>
    <cellStyle name="Separador de milhares 3 5 5 9 2 2" xfId="52645" xr:uid="{00000000-0005-0000-0000-00002A8D0000}"/>
    <cellStyle name="Separador de milhares 3 5 5 9 3" xfId="20547" xr:uid="{00000000-0005-0000-0000-00002B8D0000}"/>
    <cellStyle name="Separador de milhares 3 5 5 9 3 2" xfId="46737" xr:uid="{00000000-0005-0000-0000-00002C8D0000}"/>
    <cellStyle name="Separador de milhares 3 5 5 9 4" xfId="14636" xr:uid="{00000000-0005-0000-0000-00002D8D0000}"/>
    <cellStyle name="Separador de milhares 3 5 5 9 4 2" xfId="40829" xr:uid="{00000000-0005-0000-0000-00002E8D0000}"/>
    <cellStyle name="Separador de milhares 3 5 5 9 5" xfId="34443" xr:uid="{00000000-0005-0000-0000-00002F8D0000}"/>
    <cellStyle name="Separador de milhares 3 5 6" xfId="711" xr:uid="{00000000-0005-0000-0000-0000308D0000}"/>
    <cellStyle name="Separador de milhares 3 5 6 2" xfId="4135" xr:uid="{00000000-0005-0000-0000-0000318D0000}"/>
    <cellStyle name="Separador de milhares 3 5 6 2 2" xfId="7581" xr:uid="{00000000-0005-0000-0000-0000328D0000}"/>
    <cellStyle name="Separador de milhares 3 5 6 2 2 2" xfId="10725" xr:uid="{00000000-0005-0000-0000-0000338D0000}"/>
    <cellStyle name="Separador de milhares 3 5 6 2 2 2 2" xfId="28939" xr:uid="{00000000-0005-0000-0000-0000348D0000}"/>
    <cellStyle name="Separador de milhares 3 5 6 2 2 2 2 2" xfId="55120" xr:uid="{00000000-0005-0000-0000-0000358D0000}"/>
    <cellStyle name="Separador de milhares 3 5 6 2 2 2 3" xfId="23025" xr:uid="{00000000-0005-0000-0000-0000368D0000}"/>
    <cellStyle name="Separador de milhares 3 5 6 2 2 2 3 2" xfId="49212" xr:uid="{00000000-0005-0000-0000-0000378D0000}"/>
    <cellStyle name="Separador de milhares 3 5 6 2 2 2 4" xfId="17111" xr:uid="{00000000-0005-0000-0000-0000388D0000}"/>
    <cellStyle name="Separador de milhares 3 5 6 2 2 2 4 2" xfId="43304" xr:uid="{00000000-0005-0000-0000-0000398D0000}"/>
    <cellStyle name="Separador de milhares 3 5 6 2 2 2 5" xfId="36918" xr:uid="{00000000-0005-0000-0000-00003A8D0000}"/>
    <cellStyle name="Separador de milhares 3 5 6 2 2 3" xfId="25982" xr:uid="{00000000-0005-0000-0000-00003B8D0000}"/>
    <cellStyle name="Separador de milhares 3 5 6 2 2 3 2" xfId="52166" xr:uid="{00000000-0005-0000-0000-00003C8D0000}"/>
    <cellStyle name="Separador de milhares 3 5 6 2 2 4" xfId="20068" xr:uid="{00000000-0005-0000-0000-00003D8D0000}"/>
    <cellStyle name="Separador de milhares 3 5 6 2 2 4 2" xfId="46258" xr:uid="{00000000-0005-0000-0000-00003E8D0000}"/>
    <cellStyle name="Separador de milhares 3 5 6 2 2 5" xfId="13970" xr:uid="{00000000-0005-0000-0000-00003F8D0000}"/>
    <cellStyle name="Separador de milhares 3 5 6 2 2 5 2" xfId="40163" xr:uid="{00000000-0005-0000-0000-0000408D0000}"/>
    <cellStyle name="Separador de milhares 3 5 6 2 2 6" xfId="33777" xr:uid="{00000000-0005-0000-0000-0000418D0000}"/>
    <cellStyle name="Separador de milhares 3 5 6 2 3" xfId="9257" xr:uid="{00000000-0005-0000-0000-0000428D0000}"/>
    <cellStyle name="Separador de milhares 3 5 6 2 3 2" xfId="27471" xr:uid="{00000000-0005-0000-0000-0000438D0000}"/>
    <cellStyle name="Separador de milhares 3 5 6 2 3 2 2" xfId="53652" xr:uid="{00000000-0005-0000-0000-0000448D0000}"/>
    <cellStyle name="Separador de milhares 3 5 6 2 3 3" xfId="21557" xr:uid="{00000000-0005-0000-0000-0000458D0000}"/>
    <cellStyle name="Separador de milhares 3 5 6 2 3 3 2" xfId="47744" xr:uid="{00000000-0005-0000-0000-0000468D0000}"/>
    <cellStyle name="Separador de milhares 3 5 6 2 3 4" xfId="15643" xr:uid="{00000000-0005-0000-0000-0000478D0000}"/>
    <cellStyle name="Separador de milhares 3 5 6 2 3 4 2" xfId="41836" xr:uid="{00000000-0005-0000-0000-0000488D0000}"/>
    <cellStyle name="Separador de milhares 3 5 6 2 3 5" xfId="35450" xr:uid="{00000000-0005-0000-0000-0000498D0000}"/>
    <cellStyle name="Separador de milhares 3 5 6 2 4" xfId="5882" xr:uid="{00000000-0005-0000-0000-00004A8D0000}"/>
    <cellStyle name="Separador de milhares 3 5 6 2 4 2" xfId="24514" xr:uid="{00000000-0005-0000-0000-00004B8D0000}"/>
    <cellStyle name="Separador de milhares 3 5 6 2 4 2 2" xfId="50698" xr:uid="{00000000-0005-0000-0000-00004C8D0000}"/>
    <cellStyle name="Separador de milhares 3 5 6 2 4 3" xfId="32078" xr:uid="{00000000-0005-0000-0000-00004D8D0000}"/>
    <cellStyle name="Separador de milhares 3 5 6 2 5" xfId="18600" xr:uid="{00000000-0005-0000-0000-00004E8D0000}"/>
    <cellStyle name="Separador de milhares 3 5 6 2 5 2" xfId="44790" xr:uid="{00000000-0005-0000-0000-00004F8D0000}"/>
    <cellStyle name="Separador de milhares 3 5 6 2 6" xfId="12269" xr:uid="{00000000-0005-0000-0000-0000508D0000}"/>
    <cellStyle name="Separador de milhares 3 5 6 2 6 2" xfId="38462" xr:uid="{00000000-0005-0000-0000-0000518D0000}"/>
    <cellStyle name="Separador de milhares 3 5 6 2 7" xfId="30380" xr:uid="{00000000-0005-0000-0000-0000528D0000}"/>
    <cellStyle name="Separador de milhares 3 5 6 3" xfId="6626" xr:uid="{00000000-0005-0000-0000-0000538D0000}"/>
    <cellStyle name="Separador de milhares 3 5 6 3 2" xfId="9773" xr:uid="{00000000-0005-0000-0000-0000548D0000}"/>
    <cellStyle name="Separador de milhares 3 5 6 3 2 2" xfId="27987" xr:uid="{00000000-0005-0000-0000-0000558D0000}"/>
    <cellStyle name="Separador de milhares 3 5 6 3 2 2 2" xfId="54168" xr:uid="{00000000-0005-0000-0000-0000568D0000}"/>
    <cellStyle name="Separador de milhares 3 5 6 3 2 3" xfId="22073" xr:uid="{00000000-0005-0000-0000-0000578D0000}"/>
    <cellStyle name="Separador de milhares 3 5 6 3 2 3 2" xfId="48260" xr:uid="{00000000-0005-0000-0000-0000588D0000}"/>
    <cellStyle name="Separador de milhares 3 5 6 3 2 4" xfId="16159" xr:uid="{00000000-0005-0000-0000-0000598D0000}"/>
    <cellStyle name="Separador de milhares 3 5 6 3 2 4 2" xfId="42352" xr:uid="{00000000-0005-0000-0000-00005A8D0000}"/>
    <cellStyle name="Separador de milhares 3 5 6 3 2 5" xfId="35966" xr:uid="{00000000-0005-0000-0000-00005B8D0000}"/>
    <cellStyle name="Separador de milhares 3 5 6 3 3" xfId="25030" xr:uid="{00000000-0005-0000-0000-00005C8D0000}"/>
    <cellStyle name="Separador de milhares 3 5 6 3 3 2" xfId="51214" xr:uid="{00000000-0005-0000-0000-00005D8D0000}"/>
    <cellStyle name="Separador de milhares 3 5 6 3 4" xfId="19116" xr:uid="{00000000-0005-0000-0000-00005E8D0000}"/>
    <cellStyle name="Separador de milhares 3 5 6 3 4 2" xfId="45306" xr:uid="{00000000-0005-0000-0000-00005F8D0000}"/>
    <cellStyle name="Separador de milhares 3 5 6 3 5" xfId="13015" xr:uid="{00000000-0005-0000-0000-0000608D0000}"/>
    <cellStyle name="Separador de milhares 3 5 6 3 5 2" xfId="39208" xr:uid="{00000000-0005-0000-0000-0000618D0000}"/>
    <cellStyle name="Separador de milhares 3 5 6 3 6" xfId="32822" xr:uid="{00000000-0005-0000-0000-0000628D0000}"/>
    <cellStyle name="Separador de milhares 3 5 6 4" xfId="8305" xr:uid="{00000000-0005-0000-0000-0000638D0000}"/>
    <cellStyle name="Separador de milhares 3 5 6 4 2" xfId="26519" xr:uid="{00000000-0005-0000-0000-0000648D0000}"/>
    <cellStyle name="Separador de milhares 3 5 6 4 2 2" xfId="52700" xr:uid="{00000000-0005-0000-0000-0000658D0000}"/>
    <cellStyle name="Separador de milhares 3 5 6 4 3" xfId="20605" xr:uid="{00000000-0005-0000-0000-0000668D0000}"/>
    <cellStyle name="Separador de milhares 3 5 6 4 3 2" xfId="46792" xr:uid="{00000000-0005-0000-0000-0000678D0000}"/>
    <cellStyle name="Separador de milhares 3 5 6 4 4" xfId="14691" xr:uid="{00000000-0005-0000-0000-0000688D0000}"/>
    <cellStyle name="Separador de milhares 3 5 6 4 4 2" xfId="40884" xr:uid="{00000000-0005-0000-0000-0000698D0000}"/>
    <cellStyle name="Separador de milhares 3 5 6 4 5" xfId="34498" xr:uid="{00000000-0005-0000-0000-00006A8D0000}"/>
    <cellStyle name="Separador de milhares 3 5 6 5" xfId="4927" xr:uid="{00000000-0005-0000-0000-00006B8D0000}"/>
    <cellStyle name="Separador de milhares 3 5 6 5 2" xfId="23562" xr:uid="{00000000-0005-0000-0000-00006C8D0000}"/>
    <cellStyle name="Separador de milhares 3 5 6 5 2 2" xfId="49746" xr:uid="{00000000-0005-0000-0000-00006D8D0000}"/>
    <cellStyle name="Separador de milhares 3 5 6 5 3" xfId="31123" xr:uid="{00000000-0005-0000-0000-00006E8D0000}"/>
    <cellStyle name="Separador de milhares 3 5 6 6" xfId="17648" xr:uid="{00000000-0005-0000-0000-00006F8D0000}"/>
    <cellStyle name="Separador de milhares 3 5 6 6 2" xfId="43838" xr:uid="{00000000-0005-0000-0000-0000708D0000}"/>
    <cellStyle name="Separador de milhares 3 5 6 7" xfId="11314" xr:uid="{00000000-0005-0000-0000-0000718D0000}"/>
    <cellStyle name="Separador de milhares 3 5 6 7 2" xfId="37507" xr:uid="{00000000-0005-0000-0000-0000728D0000}"/>
    <cellStyle name="Separador de milhares 3 5 6 8" xfId="29425" xr:uid="{00000000-0005-0000-0000-0000738D0000}"/>
    <cellStyle name="Separador de milhares 3 5 7" xfId="1062" xr:uid="{00000000-0005-0000-0000-0000748D0000}"/>
    <cellStyle name="Separador de milhares 3 5 7 2" xfId="6724" xr:uid="{00000000-0005-0000-0000-0000758D0000}"/>
    <cellStyle name="Separador de milhares 3 5 7 2 2" xfId="9871" xr:uid="{00000000-0005-0000-0000-0000768D0000}"/>
    <cellStyle name="Separador de milhares 3 5 7 2 2 2" xfId="28085" xr:uid="{00000000-0005-0000-0000-0000778D0000}"/>
    <cellStyle name="Separador de milhares 3 5 7 2 2 2 2" xfId="54266" xr:uid="{00000000-0005-0000-0000-0000788D0000}"/>
    <cellStyle name="Separador de milhares 3 5 7 2 2 3" xfId="22171" xr:uid="{00000000-0005-0000-0000-0000798D0000}"/>
    <cellStyle name="Separador de milhares 3 5 7 2 2 3 2" xfId="48358" xr:uid="{00000000-0005-0000-0000-00007A8D0000}"/>
    <cellStyle name="Separador de milhares 3 5 7 2 2 4" xfId="16257" xr:uid="{00000000-0005-0000-0000-00007B8D0000}"/>
    <cellStyle name="Separador de milhares 3 5 7 2 2 4 2" xfId="42450" xr:uid="{00000000-0005-0000-0000-00007C8D0000}"/>
    <cellStyle name="Separador de milhares 3 5 7 2 2 5" xfId="36064" xr:uid="{00000000-0005-0000-0000-00007D8D0000}"/>
    <cellStyle name="Separador de milhares 3 5 7 2 3" xfId="25128" xr:uid="{00000000-0005-0000-0000-00007E8D0000}"/>
    <cellStyle name="Separador de milhares 3 5 7 2 3 2" xfId="51312" xr:uid="{00000000-0005-0000-0000-00007F8D0000}"/>
    <cellStyle name="Separador de milhares 3 5 7 2 4" xfId="19214" xr:uid="{00000000-0005-0000-0000-0000808D0000}"/>
    <cellStyle name="Separador de milhares 3 5 7 2 4 2" xfId="45404" xr:uid="{00000000-0005-0000-0000-0000818D0000}"/>
    <cellStyle name="Separador de milhares 3 5 7 2 5" xfId="13113" xr:uid="{00000000-0005-0000-0000-0000828D0000}"/>
    <cellStyle name="Separador de milhares 3 5 7 2 5 2" xfId="39306" xr:uid="{00000000-0005-0000-0000-0000838D0000}"/>
    <cellStyle name="Separador de milhares 3 5 7 2 6" xfId="32920" xr:uid="{00000000-0005-0000-0000-0000848D0000}"/>
    <cellStyle name="Separador de milhares 3 5 7 3" xfId="8403" xr:uid="{00000000-0005-0000-0000-0000858D0000}"/>
    <cellStyle name="Separador de milhares 3 5 7 3 2" xfId="26617" xr:uid="{00000000-0005-0000-0000-0000868D0000}"/>
    <cellStyle name="Separador de milhares 3 5 7 3 2 2" xfId="52798" xr:uid="{00000000-0005-0000-0000-0000878D0000}"/>
    <cellStyle name="Separador de milhares 3 5 7 3 3" xfId="20703" xr:uid="{00000000-0005-0000-0000-0000888D0000}"/>
    <cellStyle name="Separador de milhares 3 5 7 3 3 2" xfId="46890" xr:uid="{00000000-0005-0000-0000-0000898D0000}"/>
    <cellStyle name="Separador de milhares 3 5 7 3 4" xfId="14789" xr:uid="{00000000-0005-0000-0000-00008A8D0000}"/>
    <cellStyle name="Separador de milhares 3 5 7 3 4 2" xfId="40982" xr:uid="{00000000-0005-0000-0000-00008B8D0000}"/>
    <cellStyle name="Separador de milhares 3 5 7 3 5" xfId="34596" xr:uid="{00000000-0005-0000-0000-00008C8D0000}"/>
    <cellStyle name="Separador de milhares 3 5 7 4" xfId="5025" xr:uid="{00000000-0005-0000-0000-00008D8D0000}"/>
    <cellStyle name="Separador de milhares 3 5 7 4 2" xfId="23660" xr:uid="{00000000-0005-0000-0000-00008E8D0000}"/>
    <cellStyle name="Separador de milhares 3 5 7 4 2 2" xfId="49844" xr:uid="{00000000-0005-0000-0000-00008F8D0000}"/>
    <cellStyle name="Separador de milhares 3 5 7 4 3" xfId="31221" xr:uid="{00000000-0005-0000-0000-0000908D0000}"/>
    <cellStyle name="Separador de milhares 3 5 7 5" xfId="17746" xr:uid="{00000000-0005-0000-0000-0000918D0000}"/>
    <cellStyle name="Separador de milhares 3 5 7 5 2" xfId="43936" xr:uid="{00000000-0005-0000-0000-0000928D0000}"/>
    <cellStyle name="Separador de milhares 3 5 7 6" xfId="11412" xr:uid="{00000000-0005-0000-0000-0000938D0000}"/>
    <cellStyle name="Separador de milhares 3 5 7 6 2" xfId="37605" xr:uid="{00000000-0005-0000-0000-0000948D0000}"/>
    <cellStyle name="Separador de milhares 3 5 7 7" xfId="29523" xr:uid="{00000000-0005-0000-0000-0000958D0000}"/>
    <cellStyle name="Separador de milhares 3 5 8" xfId="1497" xr:uid="{00000000-0005-0000-0000-0000968D0000}"/>
    <cellStyle name="Separador de milhares 3 5 8 2" xfId="6843" xr:uid="{00000000-0005-0000-0000-0000978D0000}"/>
    <cellStyle name="Separador de milhares 3 5 8 2 2" xfId="9990" xr:uid="{00000000-0005-0000-0000-0000988D0000}"/>
    <cellStyle name="Separador de milhares 3 5 8 2 2 2" xfId="28204" xr:uid="{00000000-0005-0000-0000-0000998D0000}"/>
    <cellStyle name="Separador de milhares 3 5 8 2 2 2 2" xfId="54385" xr:uid="{00000000-0005-0000-0000-00009A8D0000}"/>
    <cellStyle name="Separador de milhares 3 5 8 2 2 3" xfId="22290" xr:uid="{00000000-0005-0000-0000-00009B8D0000}"/>
    <cellStyle name="Separador de milhares 3 5 8 2 2 3 2" xfId="48477" xr:uid="{00000000-0005-0000-0000-00009C8D0000}"/>
    <cellStyle name="Separador de milhares 3 5 8 2 2 4" xfId="16376" xr:uid="{00000000-0005-0000-0000-00009D8D0000}"/>
    <cellStyle name="Separador de milhares 3 5 8 2 2 4 2" xfId="42569" xr:uid="{00000000-0005-0000-0000-00009E8D0000}"/>
    <cellStyle name="Separador de milhares 3 5 8 2 2 5" xfId="36183" xr:uid="{00000000-0005-0000-0000-00009F8D0000}"/>
    <cellStyle name="Separador de milhares 3 5 8 2 3" xfId="25247" xr:uid="{00000000-0005-0000-0000-0000A08D0000}"/>
    <cellStyle name="Separador de milhares 3 5 8 2 3 2" xfId="51431" xr:uid="{00000000-0005-0000-0000-0000A18D0000}"/>
    <cellStyle name="Separador de milhares 3 5 8 2 4" xfId="19333" xr:uid="{00000000-0005-0000-0000-0000A28D0000}"/>
    <cellStyle name="Separador de milhares 3 5 8 2 4 2" xfId="45523" xr:uid="{00000000-0005-0000-0000-0000A38D0000}"/>
    <cellStyle name="Separador de milhares 3 5 8 2 5" xfId="13232" xr:uid="{00000000-0005-0000-0000-0000A48D0000}"/>
    <cellStyle name="Separador de milhares 3 5 8 2 5 2" xfId="39425" xr:uid="{00000000-0005-0000-0000-0000A58D0000}"/>
    <cellStyle name="Separador de milhares 3 5 8 2 6" xfId="33039" xr:uid="{00000000-0005-0000-0000-0000A68D0000}"/>
    <cellStyle name="Separador de milhares 3 5 8 3" xfId="8522" xr:uid="{00000000-0005-0000-0000-0000A78D0000}"/>
    <cellStyle name="Separador de milhares 3 5 8 3 2" xfId="26736" xr:uid="{00000000-0005-0000-0000-0000A88D0000}"/>
    <cellStyle name="Separador de milhares 3 5 8 3 2 2" xfId="52917" xr:uid="{00000000-0005-0000-0000-0000A98D0000}"/>
    <cellStyle name="Separador de milhares 3 5 8 3 3" xfId="20822" xr:uid="{00000000-0005-0000-0000-0000AA8D0000}"/>
    <cellStyle name="Separador de milhares 3 5 8 3 3 2" xfId="47009" xr:uid="{00000000-0005-0000-0000-0000AB8D0000}"/>
    <cellStyle name="Separador de milhares 3 5 8 3 4" xfId="14908" xr:uid="{00000000-0005-0000-0000-0000AC8D0000}"/>
    <cellStyle name="Separador de milhares 3 5 8 3 4 2" xfId="41101" xr:uid="{00000000-0005-0000-0000-0000AD8D0000}"/>
    <cellStyle name="Separador de milhares 3 5 8 3 5" xfId="34715" xr:uid="{00000000-0005-0000-0000-0000AE8D0000}"/>
    <cellStyle name="Separador de milhares 3 5 8 4" xfId="5144" xr:uid="{00000000-0005-0000-0000-0000AF8D0000}"/>
    <cellStyle name="Separador de milhares 3 5 8 4 2" xfId="23779" xr:uid="{00000000-0005-0000-0000-0000B08D0000}"/>
    <cellStyle name="Separador de milhares 3 5 8 4 2 2" xfId="49963" xr:uid="{00000000-0005-0000-0000-0000B18D0000}"/>
    <cellStyle name="Separador de milhares 3 5 8 4 3" xfId="31340" xr:uid="{00000000-0005-0000-0000-0000B28D0000}"/>
    <cellStyle name="Separador de milhares 3 5 8 5" xfId="17865" xr:uid="{00000000-0005-0000-0000-0000B38D0000}"/>
    <cellStyle name="Separador de milhares 3 5 8 5 2" xfId="44055" xr:uid="{00000000-0005-0000-0000-0000B48D0000}"/>
    <cellStyle name="Separador de milhares 3 5 8 6" xfId="11531" xr:uid="{00000000-0005-0000-0000-0000B58D0000}"/>
    <cellStyle name="Separador de milhares 3 5 8 6 2" xfId="37724" xr:uid="{00000000-0005-0000-0000-0000B68D0000}"/>
    <cellStyle name="Separador de milhares 3 5 8 7" xfId="29642" xr:uid="{00000000-0005-0000-0000-0000B78D0000}"/>
    <cellStyle name="Separador de milhares 3 5 9" xfId="2027" xr:uid="{00000000-0005-0000-0000-0000B88D0000}"/>
    <cellStyle name="Separador de milhares 3 5 9 2" xfId="6993" xr:uid="{00000000-0005-0000-0000-0000B98D0000}"/>
    <cellStyle name="Separador de milhares 3 5 9 2 2" xfId="10137" xr:uid="{00000000-0005-0000-0000-0000BA8D0000}"/>
    <cellStyle name="Separador de milhares 3 5 9 2 2 2" xfId="28351" xr:uid="{00000000-0005-0000-0000-0000BB8D0000}"/>
    <cellStyle name="Separador de milhares 3 5 9 2 2 2 2" xfId="54532" xr:uid="{00000000-0005-0000-0000-0000BC8D0000}"/>
    <cellStyle name="Separador de milhares 3 5 9 2 2 3" xfId="22437" xr:uid="{00000000-0005-0000-0000-0000BD8D0000}"/>
    <cellStyle name="Separador de milhares 3 5 9 2 2 3 2" xfId="48624" xr:uid="{00000000-0005-0000-0000-0000BE8D0000}"/>
    <cellStyle name="Separador de milhares 3 5 9 2 2 4" xfId="16523" xr:uid="{00000000-0005-0000-0000-0000BF8D0000}"/>
    <cellStyle name="Separador de milhares 3 5 9 2 2 4 2" xfId="42716" xr:uid="{00000000-0005-0000-0000-0000C08D0000}"/>
    <cellStyle name="Separador de milhares 3 5 9 2 2 5" xfId="36330" xr:uid="{00000000-0005-0000-0000-0000C18D0000}"/>
    <cellStyle name="Separador de milhares 3 5 9 2 3" xfId="25394" xr:uid="{00000000-0005-0000-0000-0000C28D0000}"/>
    <cellStyle name="Separador de milhares 3 5 9 2 3 2" xfId="51578" xr:uid="{00000000-0005-0000-0000-0000C38D0000}"/>
    <cellStyle name="Separador de milhares 3 5 9 2 4" xfId="19480" xr:uid="{00000000-0005-0000-0000-0000C48D0000}"/>
    <cellStyle name="Separador de milhares 3 5 9 2 4 2" xfId="45670" xr:uid="{00000000-0005-0000-0000-0000C58D0000}"/>
    <cellStyle name="Separador de milhares 3 5 9 2 5" xfId="13382" xr:uid="{00000000-0005-0000-0000-0000C68D0000}"/>
    <cellStyle name="Separador de milhares 3 5 9 2 5 2" xfId="39575" xr:uid="{00000000-0005-0000-0000-0000C78D0000}"/>
    <cellStyle name="Separador de milhares 3 5 9 2 6" xfId="33189" xr:uid="{00000000-0005-0000-0000-0000C88D0000}"/>
    <cellStyle name="Separador de milhares 3 5 9 3" xfId="8669" xr:uid="{00000000-0005-0000-0000-0000C98D0000}"/>
    <cellStyle name="Separador de milhares 3 5 9 3 2" xfId="26883" xr:uid="{00000000-0005-0000-0000-0000CA8D0000}"/>
    <cellStyle name="Separador de milhares 3 5 9 3 2 2" xfId="53064" xr:uid="{00000000-0005-0000-0000-0000CB8D0000}"/>
    <cellStyle name="Separador de milhares 3 5 9 3 3" xfId="20969" xr:uid="{00000000-0005-0000-0000-0000CC8D0000}"/>
    <cellStyle name="Separador de milhares 3 5 9 3 3 2" xfId="47156" xr:uid="{00000000-0005-0000-0000-0000CD8D0000}"/>
    <cellStyle name="Separador de milhares 3 5 9 3 4" xfId="15055" xr:uid="{00000000-0005-0000-0000-0000CE8D0000}"/>
    <cellStyle name="Separador de milhares 3 5 9 3 4 2" xfId="41248" xr:uid="{00000000-0005-0000-0000-0000CF8D0000}"/>
    <cellStyle name="Separador de milhares 3 5 9 3 5" xfId="34862" xr:uid="{00000000-0005-0000-0000-0000D08D0000}"/>
    <cellStyle name="Separador de milhares 3 5 9 4" xfId="5294" xr:uid="{00000000-0005-0000-0000-0000D18D0000}"/>
    <cellStyle name="Separador de milhares 3 5 9 4 2" xfId="23926" xr:uid="{00000000-0005-0000-0000-0000D28D0000}"/>
    <cellStyle name="Separador de milhares 3 5 9 4 2 2" xfId="50110" xr:uid="{00000000-0005-0000-0000-0000D38D0000}"/>
    <cellStyle name="Separador de milhares 3 5 9 4 3" xfId="31490" xr:uid="{00000000-0005-0000-0000-0000D48D0000}"/>
    <cellStyle name="Separador de milhares 3 5 9 5" xfId="18012" xr:uid="{00000000-0005-0000-0000-0000D58D0000}"/>
    <cellStyle name="Separador de milhares 3 5 9 5 2" xfId="44202" xr:uid="{00000000-0005-0000-0000-0000D68D0000}"/>
    <cellStyle name="Separador de milhares 3 5 9 6" xfId="11681" xr:uid="{00000000-0005-0000-0000-0000D78D0000}"/>
    <cellStyle name="Separador de milhares 3 5 9 6 2" xfId="37874" xr:uid="{00000000-0005-0000-0000-0000D88D0000}"/>
    <cellStyle name="Separador de milhares 3 5 9 7" xfId="29792" xr:uid="{00000000-0005-0000-0000-0000D98D0000}"/>
    <cellStyle name="Separador de milhares 3 6" xfId="55" xr:uid="{00000000-0005-0000-0000-0000DA8D0000}"/>
    <cellStyle name="Separador de milhares 3 6 10" xfId="2558" xr:uid="{00000000-0005-0000-0000-0000DB8D0000}"/>
    <cellStyle name="Separador de milhares 3 6 10 2" xfId="7141" xr:uid="{00000000-0005-0000-0000-0000DC8D0000}"/>
    <cellStyle name="Separador de milhares 3 6 10 2 2" xfId="10285" xr:uid="{00000000-0005-0000-0000-0000DD8D0000}"/>
    <cellStyle name="Separador de milhares 3 6 10 2 2 2" xfId="28499" xr:uid="{00000000-0005-0000-0000-0000DE8D0000}"/>
    <cellStyle name="Separador de milhares 3 6 10 2 2 2 2" xfId="54680" xr:uid="{00000000-0005-0000-0000-0000DF8D0000}"/>
    <cellStyle name="Separador de milhares 3 6 10 2 2 3" xfId="22585" xr:uid="{00000000-0005-0000-0000-0000E08D0000}"/>
    <cellStyle name="Separador de milhares 3 6 10 2 2 3 2" xfId="48772" xr:uid="{00000000-0005-0000-0000-0000E18D0000}"/>
    <cellStyle name="Separador de milhares 3 6 10 2 2 4" xfId="16671" xr:uid="{00000000-0005-0000-0000-0000E28D0000}"/>
    <cellStyle name="Separador de milhares 3 6 10 2 2 4 2" xfId="42864" xr:uid="{00000000-0005-0000-0000-0000E38D0000}"/>
    <cellStyle name="Separador de milhares 3 6 10 2 2 5" xfId="36478" xr:uid="{00000000-0005-0000-0000-0000E48D0000}"/>
    <cellStyle name="Separador de milhares 3 6 10 2 3" xfId="25542" xr:uid="{00000000-0005-0000-0000-0000E58D0000}"/>
    <cellStyle name="Separador de milhares 3 6 10 2 3 2" xfId="51726" xr:uid="{00000000-0005-0000-0000-0000E68D0000}"/>
    <cellStyle name="Separador de milhares 3 6 10 2 4" xfId="19628" xr:uid="{00000000-0005-0000-0000-0000E78D0000}"/>
    <cellStyle name="Separador de milhares 3 6 10 2 4 2" xfId="45818" xr:uid="{00000000-0005-0000-0000-0000E88D0000}"/>
    <cellStyle name="Separador de milhares 3 6 10 2 5" xfId="13530" xr:uid="{00000000-0005-0000-0000-0000E98D0000}"/>
    <cellStyle name="Separador de milhares 3 6 10 2 5 2" xfId="39723" xr:uid="{00000000-0005-0000-0000-0000EA8D0000}"/>
    <cellStyle name="Separador de milhares 3 6 10 2 6" xfId="33337" xr:uid="{00000000-0005-0000-0000-0000EB8D0000}"/>
    <cellStyle name="Separador de milhares 3 6 10 3" xfId="8817" xr:uid="{00000000-0005-0000-0000-0000EC8D0000}"/>
    <cellStyle name="Separador de milhares 3 6 10 3 2" xfId="27031" xr:uid="{00000000-0005-0000-0000-0000ED8D0000}"/>
    <cellStyle name="Separador de milhares 3 6 10 3 2 2" xfId="53212" xr:uid="{00000000-0005-0000-0000-0000EE8D0000}"/>
    <cellStyle name="Separador de milhares 3 6 10 3 3" xfId="21117" xr:uid="{00000000-0005-0000-0000-0000EF8D0000}"/>
    <cellStyle name="Separador de milhares 3 6 10 3 3 2" xfId="47304" xr:uid="{00000000-0005-0000-0000-0000F08D0000}"/>
    <cellStyle name="Separador de milhares 3 6 10 3 4" xfId="15203" xr:uid="{00000000-0005-0000-0000-0000F18D0000}"/>
    <cellStyle name="Separador de milhares 3 6 10 3 4 2" xfId="41396" xr:uid="{00000000-0005-0000-0000-0000F28D0000}"/>
    <cellStyle name="Separador de milhares 3 6 10 3 5" xfId="35010" xr:uid="{00000000-0005-0000-0000-0000F38D0000}"/>
    <cellStyle name="Separador de milhares 3 6 10 4" xfId="5442" xr:uid="{00000000-0005-0000-0000-0000F48D0000}"/>
    <cellStyle name="Separador de milhares 3 6 10 4 2" xfId="24074" xr:uid="{00000000-0005-0000-0000-0000F58D0000}"/>
    <cellStyle name="Separador de milhares 3 6 10 4 2 2" xfId="50258" xr:uid="{00000000-0005-0000-0000-0000F68D0000}"/>
    <cellStyle name="Separador de milhares 3 6 10 4 3" xfId="31638" xr:uid="{00000000-0005-0000-0000-0000F78D0000}"/>
    <cellStyle name="Separador de milhares 3 6 10 5" xfId="18160" xr:uid="{00000000-0005-0000-0000-0000F88D0000}"/>
    <cellStyle name="Separador de milhares 3 6 10 5 2" xfId="44350" xr:uid="{00000000-0005-0000-0000-0000F98D0000}"/>
    <cellStyle name="Separador de milhares 3 6 10 6" xfId="11829" xr:uid="{00000000-0005-0000-0000-0000FA8D0000}"/>
    <cellStyle name="Separador de milhares 3 6 10 6 2" xfId="38022" xr:uid="{00000000-0005-0000-0000-0000FB8D0000}"/>
    <cellStyle name="Separador de milhares 3 6 10 7" xfId="29940" xr:uid="{00000000-0005-0000-0000-0000FC8D0000}"/>
    <cellStyle name="Separador de milhares 3 6 11" xfId="3085" xr:uid="{00000000-0005-0000-0000-0000FD8D0000}"/>
    <cellStyle name="Separador de milhares 3 6 11 2" xfId="7288" xr:uid="{00000000-0005-0000-0000-0000FE8D0000}"/>
    <cellStyle name="Separador de milhares 3 6 11 2 2" xfId="10432" xr:uid="{00000000-0005-0000-0000-0000FF8D0000}"/>
    <cellStyle name="Separador de milhares 3 6 11 2 2 2" xfId="28646" xr:uid="{00000000-0005-0000-0000-0000008E0000}"/>
    <cellStyle name="Separador de milhares 3 6 11 2 2 2 2" xfId="54827" xr:uid="{00000000-0005-0000-0000-0000018E0000}"/>
    <cellStyle name="Separador de milhares 3 6 11 2 2 3" xfId="22732" xr:uid="{00000000-0005-0000-0000-0000028E0000}"/>
    <cellStyle name="Separador de milhares 3 6 11 2 2 3 2" xfId="48919" xr:uid="{00000000-0005-0000-0000-0000038E0000}"/>
    <cellStyle name="Separador de milhares 3 6 11 2 2 4" xfId="16818" xr:uid="{00000000-0005-0000-0000-0000048E0000}"/>
    <cellStyle name="Separador de milhares 3 6 11 2 2 4 2" xfId="43011" xr:uid="{00000000-0005-0000-0000-0000058E0000}"/>
    <cellStyle name="Separador de milhares 3 6 11 2 2 5" xfId="36625" xr:uid="{00000000-0005-0000-0000-0000068E0000}"/>
    <cellStyle name="Separador de milhares 3 6 11 2 3" xfId="25689" xr:uid="{00000000-0005-0000-0000-0000078E0000}"/>
    <cellStyle name="Separador de milhares 3 6 11 2 3 2" xfId="51873" xr:uid="{00000000-0005-0000-0000-0000088E0000}"/>
    <cellStyle name="Separador de milhares 3 6 11 2 4" xfId="19775" xr:uid="{00000000-0005-0000-0000-0000098E0000}"/>
    <cellStyle name="Separador de milhares 3 6 11 2 4 2" xfId="45965" xr:uid="{00000000-0005-0000-0000-00000A8E0000}"/>
    <cellStyle name="Separador de milhares 3 6 11 2 5" xfId="13677" xr:uid="{00000000-0005-0000-0000-00000B8E0000}"/>
    <cellStyle name="Separador de milhares 3 6 11 2 5 2" xfId="39870" xr:uid="{00000000-0005-0000-0000-00000C8E0000}"/>
    <cellStyle name="Separador de milhares 3 6 11 2 6" xfId="33484" xr:uid="{00000000-0005-0000-0000-00000D8E0000}"/>
    <cellStyle name="Separador de milhares 3 6 11 3" xfId="8964" xr:uid="{00000000-0005-0000-0000-00000E8E0000}"/>
    <cellStyle name="Separador de milhares 3 6 11 3 2" xfId="27178" xr:uid="{00000000-0005-0000-0000-00000F8E0000}"/>
    <cellStyle name="Separador de milhares 3 6 11 3 2 2" xfId="53359" xr:uid="{00000000-0005-0000-0000-0000108E0000}"/>
    <cellStyle name="Separador de milhares 3 6 11 3 3" xfId="21264" xr:uid="{00000000-0005-0000-0000-0000118E0000}"/>
    <cellStyle name="Separador de milhares 3 6 11 3 3 2" xfId="47451" xr:uid="{00000000-0005-0000-0000-0000128E0000}"/>
    <cellStyle name="Separador de milhares 3 6 11 3 4" xfId="15350" xr:uid="{00000000-0005-0000-0000-0000138E0000}"/>
    <cellStyle name="Separador de milhares 3 6 11 3 4 2" xfId="41543" xr:uid="{00000000-0005-0000-0000-0000148E0000}"/>
    <cellStyle name="Separador de milhares 3 6 11 3 5" xfId="35157" xr:uid="{00000000-0005-0000-0000-0000158E0000}"/>
    <cellStyle name="Separador de milhares 3 6 11 4" xfId="5589" xr:uid="{00000000-0005-0000-0000-0000168E0000}"/>
    <cellStyle name="Separador de milhares 3 6 11 4 2" xfId="24221" xr:uid="{00000000-0005-0000-0000-0000178E0000}"/>
    <cellStyle name="Separador de milhares 3 6 11 4 2 2" xfId="50405" xr:uid="{00000000-0005-0000-0000-0000188E0000}"/>
    <cellStyle name="Separador de milhares 3 6 11 4 3" xfId="31785" xr:uid="{00000000-0005-0000-0000-0000198E0000}"/>
    <cellStyle name="Separador de milhares 3 6 11 5" xfId="18307" xr:uid="{00000000-0005-0000-0000-00001A8E0000}"/>
    <cellStyle name="Separador de milhares 3 6 11 5 2" xfId="44497" xr:uid="{00000000-0005-0000-0000-00001B8E0000}"/>
    <cellStyle name="Separador de milhares 3 6 11 6" xfId="11976" xr:uid="{00000000-0005-0000-0000-00001C8E0000}"/>
    <cellStyle name="Separador de milhares 3 6 11 6 2" xfId="38169" xr:uid="{00000000-0005-0000-0000-00001D8E0000}"/>
    <cellStyle name="Separador de milhares 3 6 11 7" xfId="30087" xr:uid="{00000000-0005-0000-0000-00001E8E0000}"/>
    <cellStyle name="Separador de milhares 3 6 12" xfId="3612" xr:uid="{00000000-0005-0000-0000-00001F8E0000}"/>
    <cellStyle name="Separador de milhares 3 6 12 2" xfId="7435" xr:uid="{00000000-0005-0000-0000-0000208E0000}"/>
    <cellStyle name="Separador de milhares 3 6 12 2 2" xfId="10579" xr:uid="{00000000-0005-0000-0000-0000218E0000}"/>
    <cellStyle name="Separador de milhares 3 6 12 2 2 2" xfId="28793" xr:uid="{00000000-0005-0000-0000-0000228E0000}"/>
    <cellStyle name="Separador de milhares 3 6 12 2 2 2 2" xfId="54974" xr:uid="{00000000-0005-0000-0000-0000238E0000}"/>
    <cellStyle name="Separador de milhares 3 6 12 2 2 3" xfId="22879" xr:uid="{00000000-0005-0000-0000-0000248E0000}"/>
    <cellStyle name="Separador de milhares 3 6 12 2 2 3 2" xfId="49066" xr:uid="{00000000-0005-0000-0000-0000258E0000}"/>
    <cellStyle name="Separador de milhares 3 6 12 2 2 4" xfId="16965" xr:uid="{00000000-0005-0000-0000-0000268E0000}"/>
    <cellStyle name="Separador de milhares 3 6 12 2 2 4 2" xfId="43158" xr:uid="{00000000-0005-0000-0000-0000278E0000}"/>
    <cellStyle name="Separador de milhares 3 6 12 2 2 5" xfId="36772" xr:uid="{00000000-0005-0000-0000-0000288E0000}"/>
    <cellStyle name="Separador de milhares 3 6 12 2 3" xfId="25836" xr:uid="{00000000-0005-0000-0000-0000298E0000}"/>
    <cellStyle name="Separador de milhares 3 6 12 2 3 2" xfId="52020" xr:uid="{00000000-0005-0000-0000-00002A8E0000}"/>
    <cellStyle name="Separador de milhares 3 6 12 2 4" xfId="19922" xr:uid="{00000000-0005-0000-0000-00002B8E0000}"/>
    <cellStyle name="Separador de milhares 3 6 12 2 4 2" xfId="46112" xr:uid="{00000000-0005-0000-0000-00002C8E0000}"/>
    <cellStyle name="Separador de milhares 3 6 12 2 5" xfId="13824" xr:uid="{00000000-0005-0000-0000-00002D8E0000}"/>
    <cellStyle name="Separador de milhares 3 6 12 2 5 2" xfId="40017" xr:uid="{00000000-0005-0000-0000-00002E8E0000}"/>
    <cellStyle name="Separador de milhares 3 6 12 2 6" xfId="33631" xr:uid="{00000000-0005-0000-0000-00002F8E0000}"/>
    <cellStyle name="Separador de milhares 3 6 12 3" xfId="9111" xr:uid="{00000000-0005-0000-0000-0000308E0000}"/>
    <cellStyle name="Separador de milhares 3 6 12 3 2" xfId="27325" xr:uid="{00000000-0005-0000-0000-0000318E0000}"/>
    <cellStyle name="Separador de milhares 3 6 12 3 2 2" xfId="53506" xr:uid="{00000000-0005-0000-0000-0000328E0000}"/>
    <cellStyle name="Separador de milhares 3 6 12 3 3" xfId="21411" xr:uid="{00000000-0005-0000-0000-0000338E0000}"/>
    <cellStyle name="Separador de milhares 3 6 12 3 3 2" xfId="47598" xr:uid="{00000000-0005-0000-0000-0000348E0000}"/>
    <cellStyle name="Separador de milhares 3 6 12 3 4" xfId="15497" xr:uid="{00000000-0005-0000-0000-0000358E0000}"/>
    <cellStyle name="Separador de milhares 3 6 12 3 4 2" xfId="41690" xr:uid="{00000000-0005-0000-0000-0000368E0000}"/>
    <cellStyle name="Separador de milhares 3 6 12 3 5" xfId="35304" xr:uid="{00000000-0005-0000-0000-0000378E0000}"/>
    <cellStyle name="Separador de milhares 3 6 12 4" xfId="5736" xr:uid="{00000000-0005-0000-0000-0000388E0000}"/>
    <cellStyle name="Separador de milhares 3 6 12 4 2" xfId="24368" xr:uid="{00000000-0005-0000-0000-0000398E0000}"/>
    <cellStyle name="Separador de milhares 3 6 12 4 2 2" xfId="50552" xr:uid="{00000000-0005-0000-0000-00003A8E0000}"/>
    <cellStyle name="Separador de milhares 3 6 12 4 3" xfId="31932" xr:uid="{00000000-0005-0000-0000-00003B8E0000}"/>
    <cellStyle name="Separador de milhares 3 6 12 5" xfId="18454" xr:uid="{00000000-0005-0000-0000-00003C8E0000}"/>
    <cellStyle name="Separador de milhares 3 6 12 5 2" xfId="44644" xr:uid="{00000000-0005-0000-0000-00003D8E0000}"/>
    <cellStyle name="Separador de milhares 3 6 12 6" xfId="12123" xr:uid="{00000000-0005-0000-0000-00003E8E0000}"/>
    <cellStyle name="Separador de milhares 3 6 12 6 2" xfId="38316" xr:uid="{00000000-0005-0000-0000-00003F8E0000}"/>
    <cellStyle name="Separador de milhares 3 6 12 7" xfId="30234" xr:uid="{00000000-0005-0000-0000-0000408E0000}"/>
    <cellStyle name="Separador de milhares 3 6 13" xfId="6419" xr:uid="{00000000-0005-0000-0000-0000418E0000}"/>
    <cellStyle name="Separador de milhares 3 6 13 2" xfId="9575" xr:uid="{00000000-0005-0000-0000-0000428E0000}"/>
    <cellStyle name="Separador de milhares 3 6 13 2 2" xfId="27789" xr:uid="{00000000-0005-0000-0000-0000438E0000}"/>
    <cellStyle name="Separador de milhares 3 6 13 2 2 2" xfId="53970" xr:uid="{00000000-0005-0000-0000-0000448E0000}"/>
    <cellStyle name="Separador de milhares 3 6 13 2 3" xfId="21875" xr:uid="{00000000-0005-0000-0000-0000458E0000}"/>
    <cellStyle name="Separador de milhares 3 6 13 2 3 2" xfId="48062" xr:uid="{00000000-0005-0000-0000-0000468E0000}"/>
    <cellStyle name="Separador de milhares 3 6 13 2 4" xfId="15961" xr:uid="{00000000-0005-0000-0000-0000478E0000}"/>
    <cellStyle name="Separador de milhares 3 6 13 2 4 2" xfId="42154" xr:uid="{00000000-0005-0000-0000-0000488E0000}"/>
    <cellStyle name="Separador de milhares 3 6 13 2 5" xfId="35768" xr:uid="{00000000-0005-0000-0000-0000498E0000}"/>
    <cellStyle name="Separador de milhares 3 6 13 3" xfId="24832" xr:uid="{00000000-0005-0000-0000-00004A8E0000}"/>
    <cellStyle name="Separador de milhares 3 6 13 3 2" xfId="51016" xr:uid="{00000000-0005-0000-0000-00004B8E0000}"/>
    <cellStyle name="Separador de milhares 3 6 13 4" xfId="18918" xr:uid="{00000000-0005-0000-0000-00004C8E0000}"/>
    <cellStyle name="Separador de milhares 3 6 13 4 2" xfId="45108" xr:uid="{00000000-0005-0000-0000-00004D8E0000}"/>
    <cellStyle name="Separador de milhares 3 6 13 5" xfId="12808" xr:uid="{00000000-0005-0000-0000-00004E8E0000}"/>
    <cellStyle name="Separador de milhares 3 6 13 5 2" xfId="39001" xr:uid="{00000000-0005-0000-0000-00004F8E0000}"/>
    <cellStyle name="Separador de milhares 3 6 13 6" xfId="32615" xr:uid="{00000000-0005-0000-0000-0000508E0000}"/>
    <cellStyle name="Separador de milhares 3 6 14" xfId="8104" xr:uid="{00000000-0005-0000-0000-0000518E0000}"/>
    <cellStyle name="Separador de milhares 3 6 14 2" xfId="26318" xr:uid="{00000000-0005-0000-0000-0000528E0000}"/>
    <cellStyle name="Separador de milhares 3 6 14 2 2" xfId="52502" xr:uid="{00000000-0005-0000-0000-0000538E0000}"/>
    <cellStyle name="Separador de milhares 3 6 14 3" xfId="20404" xr:uid="{00000000-0005-0000-0000-0000548E0000}"/>
    <cellStyle name="Separador de milhares 3 6 14 3 2" xfId="46594" xr:uid="{00000000-0005-0000-0000-0000558E0000}"/>
    <cellStyle name="Separador de milhares 3 6 14 4" xfId="14493" xr:uid="{00000000-0005-0000-0000-0000568E0000}"/>
    <cellStyle name="Separador de milhares 3 6 14 4 2" xfId="40686" xr:uid="{00000000-0005-0000-0000-0000578E0000}"/>
    <cellStyle name="Separador de milhares 3 6 14 5" xfId="34300" xr:uid="{00000000-0005-0000-0000-0000588E0000}"/>
    <cellStyle name="Separador de milhares 3 6 15" xfId="4717" xr:uid="{00000000-0005-0000-0000-0000598E0000}"/>
    <cellStyle name="Separador de milhares 3 6 15 2" xfId="23361" xr:uid="{00000000-0005-0000-0000-00005A8E0000}"/>
    <cellStyle name="Separador de milhares 3 6 15 2 2" xfId="49548" xr:uid="{00000000-0005-0000-0000-00005B8E0000}"/>
    <cellStyle name="Separador de milhares 3 6 15 3" xfId="30916" xr:uid="{00000000-0005-0000-0000-00005C8E0000}"/>
    <cellStyle name="Separador de milhares 3 6 16" xfId="17447" xr:uid="{00000000-0005-0000-0000-00005D8E0000}"/>
    <cellStyle name="Separador de milhares 3 6 16 2" xfId="43640" xr:uid="{00000000-0005-0000-0000-00005E8E0000}"/>
    <cellStyle name="Separador de milhares 3 6 17" xfId="11107" xr:uid="{00000000-0005-0000-0000-00005F8E0000}"/>
    <cellStyle name="Separador de milhares 3 6 17 2" xfId="37300" xr:uid="{00000000-0005-0000-0000-0000608E0000}"/>
    <cellStyle name="Separador de milhares 3 6 18" xfId="29218" xr:uid="{00000000-0005-0000-0000-0000618E0000}"/>
    <cellStyle name="Separador de milhares 3 6 2" xfId="149" xr:uid="{00000000-0005-0000-0000-0000628E0000}"/>
    <cellStyle name="Separador de milhares 3 6 2 10" xfId="6448" xr:uid="{00000000-0005-0000-0000-0000638E0000}"/>
    <cellStyle name="Separador de milhares 3 6 2 10 2" xfId="9602" xr:uid="{00000000-0005-0000-0000-0000648E0000}"/>
    <cellStyle name="Separador de milhares 3 6 2 10 2 2" xfId="27816" xr:uid="{00000000-0005-0000-0000-0000658E0000}"/>
    <cellStyle name="Separador de milhares 3 6 2 10 2 2 2" xfId="53997" xr:uid="{00000000-0005-0000-0000-0000668E0000}"/>
    <cellStyle name="Separador de milhares 3 6 2 10 2 3" xfId="21902" xr:uid="{00000000-0005-0000-0000-0000678E0000}"/>
    <cellStyle name="Separador de milhares 3 6 2 10 2 3 2" xfId="48089" xr:uid="{00000000-0005-0000-0000-0000688E0000}"/>
    <cellStyle name="Separador de milhares 3 6 2 10 2 4" xfId="15988" xr:uid="{00000000-0005-0000-0000-0000698E0000}"/>
    <cellStyle name="Separador de milhares 3 6 2 10 2 4 2" xfId="42181" xr:uid="{00000000-0005-0000-0000-00006A8E0000}"/>
    <cellStyle name="Separador de milhares 3 6 2 10 2 5" xfId="35795" xr:uid="{00000000-0005-0000-0000-00006B8E0000}"/>
    <cellStyle name="Separador de milhares 3 6 2 10 3" xfId="24859" xr:uid="{00000000-0005-0000-0000-00006C8E0000}"/>
    <cellStyle name="Separador de milhares 3 6 2 10 3 2" xfId="51043" xr:uid="{00000000-0005-0000-0000-00006D8E0000}"/>
    <cellStyle name="Separador de milhares 3 6 2 10 4" xfId="18945" xr:uid="{00000000-0005-0000-0000-00006E8E0000}"/>
    <cellStyle name="Separador de milhares 3 6 2 10 4 2" xfId="45135" xr:uid="{00000000-0005-0000-0000-00006F8E0000}"/>
    <cellStyle name="Separador de milhares 3 6 2 10 5" xfId="12837" xr:uid="{00000000-0005-0000-0000-0000708E0000}"/>
    <cellStyle name="Separador de milhares 3 6 2 10 5 2" xfId="39030" xr:uid="{00000000-0005-0000-0000-0000718E0000}"/>
    <cellStyle name="Separador de milhares 3 6 2 10 6" xfId="32644" xr:uid="{00000000-0005-0000-0000-0000728E0000}"/>
    <cellStyle name="Separador de milhares 3 6 2 11" xfId="8131" xr:uid="{00000000-0005-0000-0000-0000738E0000}"/>
    <cellStyle name="Separador de milhares 3 6 2 11 2" xfId="26345" xr:uid="{00000000-0005-0000-0000-0000748E0000}"/>
    <cellStyle name="Separador de milhares 3 6 2 11 2 2" xfId="52529" xr:uid="{00000000-0005-0000-0000-0000758E0000}"/>
    <cellStyle name="Separador de milhares 3 6 2 11 3" xfId="20431" xr:uid="{00000000-0005-0000-0000-0000768E0000}"/>
    <cellStyle name="Separador de milhares 3 6 2 11 3 2" xfId="46621" xr:uid="{00000000-0005-0000-0000-0000778E0000}"/>
    <cellStyle name="Separador de milhares 3 6 2 11 4" xfId="14520" xr:uid="{00000000-0005-0000-0000-0000788E0000}"/>
    <cellStyle name="Separador de milhares 3 6 2 11 4 2" xfId="40713" xr:uid="{00000000-0005-0000-0000-0000798E0000}"/>
    <cellStyle name="Separador de milhares 3 6 2 11 5" xfId="34327" xr:uid="{00000000-0005-0000-0000-00007A8E0000}"/>
    <cellStyle name="Separador de milhares 3 6 2 12" xfId="4747" xr:uid="{00000000-0005-0000-0000-00007B8E0000}"/>
    <cellStyle name="Separador de milhares 3 6 2 12 2" xfId="23388" xr:uid="{00000000-0005-0000-0000-00007C8E0000}"/>
    <cellStyle name="Separador de milhares 3 6 2 12 2 2" xfId="49575" xr:uid="{00000000-0005-0000-0000-00007D8E0000}"/>
    <cellStyle name="Separador de milhares 3 6 2 12 3" xfId="30945" xr:uid="{00000000-0005-0000-0000-00007E8E0000}"/>
    <cellStyle name="Separador de milhares 3 6 2 13" xfId="17474" xr:uid="{00000000-0005-0000-0000-00007F8E0000}"/>
    <cellStyle name="Separador de milhares 3 6 2 13 2" xfId="43667" xr:uid="{00000000-0005-0000-0000-0000808E0000}"/>
    <cellStyle name="Separador de milhares 3 6 2 14" xfId="11136" xr:uid="{00000000-0005-0000-0000-0000818E0000}"/>
    <cellStyle name="Separador de milhares 3 6 2 14 2" xfId="37329" xr:uid="{00000000-0005-0000-0000-0000828E0000}"/>
    <cellStyle name="Separador de milhares 3 6 2 15" xfId="29248" xr:uid="{00000000-0005-0000-0000-0000838E0000}"/>
    <cellStyle name="Separador de milhares 3 6 2 2" xfId="422" xr:uid="{00000000-0005-0000-0000-0000848E0000}"/>
    <cellStyle name="Separador de milhares 3 6 2 2 10" xfId="17548" xr:uid="{00000000-0005-0000-0000-0000858E0000}"/>
    <cellStyle name="Separador de milhares 3 6 2 2 10 2" xfId="43741" xr:uid="{00000000-0005-0000-0000-0000868E0000}"/>
    <cellStyle name="Separador de milhares 3 6 2 2 11" xfId="11217" xr:uid="{00000000-0005-0000-0000-0000878E0000}"/>
    <cellStyle name="Separador de milhares 3 6 2 2 11 2" xfId="37410" xr:uid="{00000000-0005-0000-0000-0000888E0000}"/>
    <cellStyle name="Separador de milhares 3 6 2 2 12" xfId="29328" xr:uid="{00000000-0005-0000-0000-0000898E0000}"/>
    <cellStyle name="Separador de milhares 3 6 2 2 2" xfId="1941" xr:uid="{00000000-0005-0000-0000-00008A8E0000}"/>
    <cellStyle name="Separador de milhares 3 6 2 2 2 2" xfId="6967" xr:uid="{00000000-0005-0000-0000-00008B8E0000}"/>
    <cellStyle name="Separador de milhares 3 6 2 2 2 2 2" xfId="10114" xr:uid="{00000000-0005-0000-0000-00008C8E0000}"/>
    <cellStyle name="Separador de milhares 3 6 2 2 2 2 2 2" xfId="28328" xr:uid="{00000000-0005-0000-0000-00008D8E0000}"/>
    <cellStyle name="Separador de milhares 3 6 2 2 2 2 2 2 2" xfId="54509" xr:uid="{00000000-0005-0000-0000-00008E8E0000}"/>
    <cellStyle name="Separador de milhares 3 6 2 2 2 2 2 3" xfId="22414" xr:uid="{00000000-0005-0000-0000-00008F8E0000}"/>
    <cellStyle name="Separador de milhares 3 6 2 2 2 2 2 3 2" xfId="48601" xr:uid="{00000000-0005-0000-0000-0000908E0000}"/>
    <cellStyle name="Separador de milhares 3 6 2 2 2 2 2 4" xfId="16500" xr:uid="{00000000-0005-0000-0000-0000918E0000}"/>
    <cellStyle name="Separador de milhares 3 6 2 2 2 2 2 4 2" xfId="42693" xr:uid="{00000000-0005-0000-0000-0000928E0000}"/>
    <cellStyle name="Separador de milhares 3 6 2 2 2 2 2 5" xfId="36307" xr:uid="{00000000-0005-0000-0000-0000938E0000}"/>
    <cellStyle name="Separador de milhares 3 6 2 2 2 2 3" xfId="25371" xr:uid="{00000000-0005-0000-0000-0000948E0000}"/>
    <cellStyle name="Separador de milhares 3 6 2 2 2 2 3 2" xfId="51555" xr:uid="{00000000-0005-0000-0000-0000958E0000}"/>
    <cellStyle name="Separador de milhares 3 6 2 2 2 2 4" xfId="19457" xr:uid="{00000000-0005-0000-0000-0000968E0000}"/>
    <cellStyle name="Separador de milhares 3 6 2 2 2 2 4 2" xfId="45647" xr:uid="{00000000-0005-0000-0000-0000978E0000}"/>
    <cellStyle name="Separador de milhares 3 6 2 2 2 2 5" xfId="13356" xr:uid="{00000000-0005-0000-0000-0000988E0000}"/>
    <cellStyle name="Separador de milhares 3 6 2 2 2 2 5 2" xfId="39549" xr:uid="{00000000-0005-0000-0000-0000998E0000}"/>
    <cellStyle name="Separador de milhares 3 6 2 2 2 2 6" xfId="33163" xr:uid="{00000000-0005-0000-0000-00009A8E0000}"/>
    <cellStyle name="Separador de milhares 3 6 2 2 2 3" xfId="8646" xr:uid="{00000000-0005-0000-0000-00009B8E0000}"/>
    <cellStyle name="Separador de milhares 3 6 2 2 2 3 2" xfId="26860" xr:uid="{00000000-0005-0000-0000-00009C8E0000}"/>
    <cellStyle name="Separador de milhares 3 6 2 2 2 3 2 2" xfId="53041" xr:uid="{00000000-0005-0000-0000-00009D8E0000}"/>
    <cellStyle name="Separador de milhares 3 6 2 2 2 3 3" xfId="20946" xr:uid="{00000000-0005-0000-0000-00009E8E0000}"/>
    <cellStyle name="Separador de milhares 3 6 2 2 2 3 3 2" xfId="47133" xr:uid="{00000000-0005-0000-0000-00009F8E0000}"/>
    <cellStyle name="Separador de milhares 3 6 2 2 2 3 4" xfId="15032" xr:uid="{00000000-0005-0000-0000-0000A08E0000}"/>
    <cellStyle name="Separador de milhares 3 6 2 2 2 3 4 2" xfId="41225" xr:uid="{00000000-0005-0000-0000-0000A18E0000}"/>
    <cellStyle name="Separador de milhares 3 6 2 2 2 3 5" xfId="34839" xr:uid="{00000000-0005-0000-0000-0000A28E0000}"/>
    <cellStyle name="Separador de milhares 3 6 2 2 2 4" xfId="5268" xr:uid="{00000000-0005-0000-0000-0000A38E0000}"/>
    <cellStyle name="Separador de milhares 3 6 2 2 2 4 2" xfId="23903" xr:uid="{00000000-0005-0000-0000-0000A48E0000}"/>
    <cellStyle name="Separador de milhares 3 6 2 2 2 4 2 2" xfId="50087" xr:uid="{00000000-0005-0000-0000-0000A58E0000}"/>
    <cellStyle name="Separador de milhares 3 6 2 2 2 4 3" xfId="31464" xr:uid="{00000000-0005-0000-0000-0000A68E0000}"/>
    <cellStyle name="Separador de milhares 3 6 2 2 2 5" xfId="17989" xr:uid="{00000000-0005-0000-0000-0000A78E0000}"/>
    <cellStyle name="Separador de milhares 3 6 2 2 2 5 2" xfId="44179" xr:uid="{00000000-0005-0000-0000-0000A88E0000}"/>
    <cellStyle name="Separador de milhares 3 6 2 2 2 6" xfId="11655" xr:uid="{00000000-0005-0000-0000-0000A98E0000}"/>
    <cellStyle name="Separador de milhares 3 6 2 2 2 6 2" xfId="37848" xr:uid="{00000000-0005-0000-0000-0000AA8E0000}"/>
    <cellStyle name="Separador de milhares 3 6 2 2 2 7" xfId="29766" xr:uid="{00000000-0005-0000-0000-0000AB8E0000}"/>
    <cellStyle name="Separador de milhares 3 6 2 2 3" xfId="2471" xr:uid="{00000000-0005-0000-0000-0000AC8E0000}"/>
    <cellStyle name="Separador de milhares 3 6 2 2 3 2" xfId="7117" xr:uid="{00000000-0005-0000-0000-0000AD8E0000}"/>
    <cellStyle name="Separador de milhares 3 6 2 2 3 2 2" xfId="10261" xr:uid="{00000000-0005-0000-0000-0000AE8E0000}"/>
    <cellStyle name="Separador de milhares 3 6 2 2 3 2 2 2" xfId="28475" xr:uid="{00000000-0005-0000-0000-0000AF8E0000}"/>
    <cellStyle name="Separador de milhares 3 6 2 2 3 2 2 2 2" xfId="54656" xr:uid="{00000000-0005-0000-0000-0000B08E0000}"/>
    <cellStyle name="Separador de milhares 3 6 2 2 3 2 2 3" xfId="22561" xr:uid="{00000000-0005-0000-0000-0000B18E0000}"/>
    <cellStyle name="Separador de milhares 3 6 2 2 3 2 2 3 2" xfId="48748" xr:uid="{00000000-0005-0000-0000-0000B28E0000}"/>
    <cellStyle name="Separador de milhares 3 6 2 2 3 2 2 4" xfId="16647" xr:uid="{00000000-0005-0000-0000-0000B38E0000}"/>
    <cellStyle name="Separador de milhares 3 6 2 2 3 2 2 4 2" xfId="42840" xr:uid="{00000000-0005-0000-0000-0000B48E0000}"/>
    <cellStyle name="Separador de milhares 3 6 2 2 3 2 2 5" xfId="36454" xr:uid="{00000000-0005-0000-0000-0000B58E0000}"/>
    <cellStyle name="Separador de milhares 3 6 2 2 3 2 3" xfId="25518" xr:uid="{00000000-0005-0000-0000-0000B68E0000}"/>
    <cellStyle name="Separador de milhares 3 6 2 2 3 2 3 2" xfId="51702" xr:uid="{00000000-0005-0000-0000-0000B78E0000}"/>
    <cellStyle name="Separador de milhares 3 6 2 2 3 2 4" xfId="19604" xr:uid="{00000000-0005-0000-0000-0000B88E0000}"/>
    <cellStyle name="Separador de milhares 3 6 2 2 3 2 4 2" xfId="45794" xr:uid="{00000000-0005-0000-0000-0000B98E0000}"/>
    <cellStyle name="Separador de milhares 3 6 2 2 3 2 5" xfId="13506" xr:uid="{00000000-0005-0000-0000-0000BA8E0000}"/>
    <cellStyle name="Separador de milhares 3 6 2 2 3 2 5 2" xfId="39699" xr:uid="{00000000-0005-0000-0000-0000BB8E0000}"/>
    <cellStyle name="Separador de milhares 3 6 2 2 3 2 6" xfId="33313" xr:uid="{00000000-0005-0000-0000-0000BC8E0000}"/>
    <cellStyle name="Separador de milhares 3 6 2 2 3 3" xfId="8793" xr:uid="{00000000-0005-0000-0000-0000BD8E0000}"/>
    <cellStyle name="Separador de milhares 3 6 2 2 3 3 2" xfId="27007" xr:uid="{00000000-0005-0000-0000-0000BE8E0000}"/>
    <cellStyle name="Separador de milhares 3 6 2 2 3 3 2 2" xfId="53188" xr:uid="{00000000-0005-0000-0000-0000BF8E0000}"/>
    <cellStyle name="Separador de milhares 3 6 2 2 3 3 3" xfId="21093" xr:uid="{00000000-0005-0000-0000-0000C08E0000}"/>
    <cellStyle name="Separador de milhares 3 6 2 2 3 3 3 2" xfId="47280" xr:uid="{00000000-0005-0000-0000-0000C18E0000}"/>
    <cellStyle name="Separador de milhares 3 6 2 2 3 3 4" xfId="15179" xr:uid="{00000000-0005-0000-0000-0000C28E0000}"/>
    <cellStyle name="Separador de milhares 3 6 2 2 3 3 4 2" xfId="41372" xr:uid="{00000000-0005-0000-0000-0000C38E0000}"/>
    <cellStyle name="Separador de milhares 3 6 2 2 3 3 5" xfId="34986" xr:uid="{00000000-0005-0000-0000-0000C48E0000}"/>
    <cellStyle name="Separador de milhares 3 6 2 2 3 4" xfId="5418" xr:uid="{00000000-0005-0000-0000-0000C58E0000}"/>
    <cellStyle name="Separador de milhares 3 6 2 2 3 4 2" xfId="24050" xr:uid="{00000000-0005-0000-0000-0000C68E0000}"/>
    <cellStyle name="Separador de milhares 3 6 2 2 3 4 2 2" xfId="50234" xr:uid="{00000000-0005-0000-0000-0000C78E0000}"/>
    <cellStyle name="Separador de milhares 3 6 2 2 3 4 3" xfId="31614" xr:uid="{00000000-0005-0000-0000-0000C88E0000}"/>
    <cellStyle name="Separador de milhares 3 6 2 2 3 5" xfId="18136" xr:uid="{00000000-0005-0000-0000-0000C98E0000}"/>
    <cellStyle name="Separador de milhares 3 6 2 2 3 5 2" xfId="44326" xr:uid="{00000000-0005-0000-0000-0000CA8E0000}"/>
    <cellStyle name="Separador de milhares 3 6 2 2 3 6" xfId="11805" xr:uid="{00000000-0005-0000-0000-0000CB8E0000}"/>
    <cellStyle name="Separador de milhares 3 6 2 2 3 6 2" xfId="37998" xr:uid="{00000000-0005-0000-0000-0000CC8E0000}"/>
    <cellStyle name="Separador de milhares 3 6 2 2 3 7" xfId="29916" xr:uid="{00000000-0005-0000-0000-0000CD8E0000}"/>
    <cellStyle name="Separador de milhares 3 6 2 2 4" xfId="2998" xr:uid="{00000000-0005-0000-0000-0000CE8E0000}"/>
    <cellStyle name="Separador de milhares 3 6 2 2 4 2" xfId="7264" xr:uid="{00000000-0005-0000-0000-0000CF8E0000}"/>
    <cellStyle name="Separador de milhares 3 6 2 2 4 2 2" xfId="10408" xr:uid="{00000000-0005-0000-0000-0000D08E0000}"/>
    <cellStyle name="Separador de milhares 3 6 2 2 4 2 2 2" xfId="28622" xr:uid="{00000000-0005-0000-0000-0000D18E0000}"/>
    <cellStyle name="Separador de milhares 3 6 2 2 4 2 2 2 2" xfId="54803" xr:uid="{00000000-0005-0000-0000-0000D28E0000}"/>
    <cellStyle name="Separador de milhares 3 6 2 2 4 2 2 3" xfId="22708" xr:uid="{00000000-0005-0000-0000-0000D38E0000}"/>
    <cellStyle name="Separador de milhares 3 6 2 2 4 2 2 3 2" xfId="48895" xr:uid="{00000000-0005-0000-0000-0000D48E0000}"/>
    <cellStyle name="Separador de milhares 3 6 2 2 4 2 2 4" xfId="16794" xr:uid="{00000000-0005-0000-0000-0000D58E0000}"/>
    <cellStyle name="Separador de milhares 3 6 2 2 4 2 2 4 2" xfId="42987" xr:uid="{00000000-0005-0000-0000-0000D68E0000}"/>
    <cellStyle name="Separador de milhares 3 6 2 2 4 2 2 5" xfId="36601" xr:uid="{00000000-0005-0000-0000-0000D78E0000}"/>
    <cellStyle name="Separador de milhares 3 6 2 2 4 2 3" xfId="25665" xr:uid="{00000000-0005-0000-0000-0000D88E0000}"/>
    <cellStyle name="Separador de milhares 3 6 2 2 4 2 3 2" xfId="51849" xr:uid="{00000000-0005-0000-0000-0000D98E0000}"/>
    <cellStyle name="Separador de milhares 3 6 2 2 4 2 4" xfId="19751" xr:uid="{00000000-0005-0000-0000-0000DA8E0000}"/>
    <cellStyle name="Separador de milhares 3 6 2 2 4 2 4 2" xfId="45941" xr:uid="{00000000-0005-0000-0000-0000DB8E0000}"/>
    <cellStyle name="Separador de milhares 3 6 2 2 4 2 5" xfId="13653" xr:uid="{00000000-0005-0000-0000-0000DC8E0000}"/>
    <cellStyle name="Separador de milhares 3 6 2 2 4 2 5 2" xfId="39846" xr:uid="{00000000-0005-0000-0000-0000DD8E0000}"/>
    <cellStyle name="Separador de milhares 3 6 2 2 4 2 6" xfId="33460" xr:uid="{00000000-0005-0000-0000-0000DE8E0000}"/>
    <cellStyle name="Separador de milhares 3 6 2 2 4 3" xfId="8940" xr:uid="{00000000-0005-0000-0000-0000DF8E0000}"/>
    <cellStyle name="Separador de milhares 3 6 2 2 4 3 2" xfId="27154" xr:uid="{00000000-0005-0000-0000-0000E08E0000}"/>
    <cellStyle name="Separador de milhares 3 6 2 2 4 3 2 2" xfId="53335" xr:uid="{00000000-0005-0000-0000-0000E18E0000}"/>
    <cellStyle name="Separador de milhares 3 6 2 2 4 3 3" xfId="21240" xr:uid="{00000000-0005-0000-0000-0000E28E0000}"/>
    <cellStyle name="Separador de milhares 3 6 2 2 4 3 3 2" xfId="47427" xr:uid="{00000000-0005-0000-0000-0000E38E0000}"/>
    <cellStyle name="Separador de milhares 3 6 2 2 4 3 4" xfId="15326" xr:uid="{00000000-0005-0000-0000-0000E48E0000}"/>
    <cellStyle name="Separador de milhares 3 6 2 2 4 3 4 2" xfId="41519" xr:uid="{00000000-0005-0000-0000-0000E58E0000}"/>
    <cellStyle name="Separador de milhares 3 6 2 2 4 3 5" xfId="35133" xr:uid="{00000000-0005-0000-0000-0000E68E0000}"/>
    <cellStyle name="Separador de milhares 3 6 2 2 4 4" xfId="5565" xr:uid="{00000000-0005-0000-0000-0000E78E0000}"/>
    <cellStyle name="Separador de milhares 3 6 2 2 4 4 2" xfId="24197" xr:uid="{00000000-0005-0000-0000-0000E88E0000}"/>
    <cellStyle name="Separador de milhares 3 6 2 2 4 4 2 2" xfId="50381" xr:uid="{00000000-0005-0000-0000-0000E98E0000}"/>
    <cellStyle name="Separador de milhares 3 6 2 2 4 4 3" xfId="31761" xr:uid="{00000000-0005-0000-0000-0000EA8E0000}"/>
    <cellStyle name="Separador de milhares 3 6 2 2 4 5" xfId="18283" xr:uid="{00000000-0005-0000-0000-0000EB8E0000}"/>
    <cellStyle name="Separador de milhares 3 6 2 2 4 5 2" xfId="44473" xr:uid="{00000000-0005-0000-0000-0000EC8E0000}"/>
    <cellStyle name="Separador de milhares 3 6 2 2 4 6" xfId="11952" xr:uid="{00000000-0005-0000-0000-0000ED8E0000}"/>
    <cellStyle name="Separador de milhares 3 6 2 2 4 6 2" xfId="38145" xr:uid="{00000000-0005-0000-0000-0000EE8E0000}"/>
    <cellStyle name="Separador de milhares 3 6 2 2 4 7" xfId="30063" xr:uid="{00000000-0005-0000-0000-0000EF8E0000}"/>
    <cellStyle name="Separador de milhares 3 6 2 2 5" xfId="3525" xr:uid="{00000000-0005-0000-0000-0000F08E0000}"/>
    <cellStyle name="Separador de milhares 3 6 2 2 5 2" xfId="7411" xr:uid="{00000000-0005-0000-0000-0000F18E0000}"/>
    <cellStyle name="Separador de milhares 3 6 2 2 5 2 2" xfId="10555" xr:uid="{00000000-0005-0000-0000-0000F28E0000}"/>
    <cellStyle name="Separador de milhares 3 6 2 2 5 2 2 2" xfId="28769" xr:uid="{00000000-0005-0000-0000-0000F38E0000}"/>
    <cellStyle name="Separador de milhares 3 6 2 2 5 2 2 2 2" xfId="54950" xr:uid="{00000000-0005-0000-0000-0000F48E0000}"/>
    <cellStyle name="Separador de milhares 3 6 2 2 5 2 2 3" xfId="22855" xr:uid="{00000000-0005-0000-0000-0000F58E0000}"/>
    <cellStyle name="Separador de milhares 3 6 2 2 5 2 2 3 2" xfId="49042" xr:uid="{00000000-0005-0000-0000-0000F68E0000}"/>
    <cellStyle name="Separador de milhares 3 6 2 2 5 2 2 4" xfId="16941" xr:uid="{00000000-0005-0000-0000-0000F78E0000}"/>
    <cellStyle name="Separador de milhares 3 6 2 2 5 2 2 4 2" xfId="43134" xr:uid="{00000000-0005-0000-0000-0000F88E0000}"/>
    <cellStyle name="Separador de milhares 3 6 2 2 5 2 2 5" xfId="36748" xr:uid="{00000000-0005-0000-0000-0000F98E0000}"/>
    <cellStyle name="Separador de milhares 3 6 2 2 5 2 3" xfId="25812" xr:uid="{00000000-0005-0000-0000-0000FA8E0000}"/>
    <cellStyle name="Separador de milhares 3 6 2 2 5 2 3 2" xfId="51996" xr:uid="{00000000-0005-0000-0000-0000FB8E0000}"/>
    <cellStyle name="Separador de milhares 3 6 2 2 5 2 4" xfId="19898" xr:uid="{00000000-0005-0000-0000-0000FC8E0000}"/>
    <cellStyle name="Separador de milhares 3 6 2 2 5 2 4 2" xfId="46088" xr:uid="{00000000-0005-0000-0000-0000FD8E0000}"/>
    <cellStyle name="Separador de milhares 3 6 2 2 5 2 5" xfId="13800" xr:uid="{00000000-0005-0000-0000-0000FE8E0000}"/>
    <cellStyle name="Separador de milhares 3 6 2 2 5 2 5 2" xfId="39993" xr:uid="{00000000-0005-0000-0000-0000FF8E0000}"/>
    <cellStyle name="Separador de milhares 3 6 2 2 5 2 6" xfId="33607" xr:uid="{00000000-0005-0000-0000-0000008F0000}"/>
    <cellStyle name="Separador de milhares 3 6 2 2 5 3" xfId="9087" xr:uid="{00000000-0005-0000-0000-0000018F0000}"/>
    <cellStyle name="Separador de milhares 3 6 2 2 5 3 2" xfId="27301" xr:uid="{00000000-0005-0000-0000-0000028F0000}"/>
    <cellStyle name="Separador de milhares 3 6 2 2 5 3 2 2" xfId="53482" xr:uid="{00000000-0005-0000-0000-0000038F0000}"/>
    <cellStyle name="Separador de milhares 3 6 2 2 5 3 3" xfId="21387" xr:uid="{00000000-0005-0000-0000-0000048F0000}"/>
    <cellStyle name="Separador de milhares 3 6 2 2 5 3 3 2" xfId="47574" xr:uid="{00000000-0005-0000-0000-0000058F0000}"/>
    <cellStyle name="Separador de milhares 3 6 2 2 5 3 4" xfId="15473" xr:uid="{00000000-0005-0000-0000-0000068F0000}"/>
    <cellStyle name="Separador de milhares 3 6 2 2 5 3 4 2" xfId="41666" xr:uid="{00000000-0005-0000-0000-0000078F0000}"/>
    <cellStyle name="Separador de milhares 3 6 2 2 5 3 5" xfId="35280" xr:uid="{00000000-0005-0000-0000-0000088F0000}"/>
    <cellStyle name="Separador de milhares 3 6 2 2 5 4" xfId="5712" xr:uid="{00000000-0005-0000-0000-0000098F0000}"/>
    <cellStyle name="Separador de milhares 3 6 2 2 5 4 2" xfId="24344" xr:uid="{00000000-0005-0000-0000-00000A8F0000}"/>
    <cellStyle name="Separador de milhares 3 6 2 2 5 4 2 2" xfId="50528" xr:uid="{00000000-0005-0000-0000-00000B8F0000}"/>
    <cellStyle name="Separador de milhares 3 6 2 2 5 4 3" xfId="31908" xr:uid="{00000000-0005-0000-0000-00000C8F0000}"/>
    <cellStyle name="Separador de milhares 3 6 2 2 5 5" xfId="18430" xr:uid="{00000000-0005-0000-0000-00000D8F0000}"/>
    <cellStyle name="Separador de milhares 3 6 2 2 5 5 2" xfId="44620" xr:uid="{00000000-0005-0000-0000-00000E8F0000}"/>
    <cellStyle name="Separador de milhares 3 6 2 2 5 6" xfId="12099" xr:uid="{00000000-0005-0000-0000-00000F8F0000}"/>
    <cellStyle name="Separador de milhares 3 6 2 2 5 6 2" xfId="38292" xr:uid="{00000000-0005-0000-0000-0000108F0000}"/>
    <cellStyle name="Separador de milhares 3 6 2 2 5 7" xfId="30210" xr:uid="{00000000-0005-0000-0000-0000118F0000}"/>
    <cellStyle name="Separador de milhares 3 6 2 2 6" xfId="4052" xr:uid="{00000000-0005-0000-0000-0000128F0000}"/>
    <cellStyle name="Separador de milhares 3 6 2 2 6 2" xfId="7558" xr:uid="{00000000-0005-0000-0000-0000138F0000}"/>
    <cellStyle name="Separador de milhares 3 6 2 2 6 2 2" xfId="10702" xr:uid="{00000000-0005-0000-0000-0000148F0000}"/>
    <cellStyle name="Separador de milhares 3 6 2 2 6 2 2 2" xfId="28916" xr:uid="{00000000-0005-0000-0000-0000158F0000}"/>
    <cellStyle name="Separador de milhares 3 6 2 2 6 2 2 2 2" xfId="55097" xr:uid="{00000000-0005-0000-0000-0000168F0000}"/>
    <cellStyle name="Separador de milhares 3 6 2 2 6 2 2 3" xfId="23002" xr:uid="{00000000-0005-0000-0000-0000178F0000}"/>
    <cellStyle name="Separador de milhares 3 6 2 2 6 2 2 3 2" xfId="49189" xr:uid="{00000000-0005-0000-0000-0000188F0000}"/>
    <cellStyle name="Separador de milhares 3 6 2 2 6 2 2 4" xfId="17088" xr:uid="{00000000-0005-0000-0000-0000198F0000}"/>
    <cellStyle name="Separador de milhares 3 6 2 2 6 2 2 4 2" xfId="43281" xr:uid="{00000000-0005-0000-0000-00001A8F0000}"/>
    <cellStyle name="Separador de milhares 3 6 2 2 6 2 2 5" xfId="36895" xr:uid="{00000000-0005-0000-0000-00001B8F0000}"/>
    <cellStyle name="Separador de milhares 3 6 2 2 6 2 3" xfId="25959" xr:uid="{00000000-0005-0000-0000-00001C8F0000}"/>
    <cellStyle name="Separador de milhares 3 6 2 2 6 2 3 2" xfId="52143" xr:uid="{00000000-0005-0000-0000-00001D8F0000}"/>
    <cellStyle name="Separador de milhares 3 6 2 2 6 2 4" xfId="20045" xr:uid="{00000000-0005-0000-0000-00001E8F0000}"/>
    <cellStyle name="Separador de milhares 3 6 2 2 6 2 4 2" xfId="46235" xr:uid="{00000000-0005-0000-0000-00001F8F0000}"/>
    <cellStyle name="Separador de milhares 3 6 2 2 6 2 5" xfId="13947" xr:uid="{00000000-0005-0000-0000-0000208F0000}"/>
    <cellStyle name="Separador de milhares 3 6 2 2 6 2 5 2" xfId="40140" xr:uid="{00000000-0005-0000-0000-0000218F0000}"/>
    <cellStyle name="Separador de milhares 3 6 2 2 6 2 6" xfId="33754" xr:uid="{00000000-0005-0000-0000-0000228F0000}"/>
    <cellStyle name="Separador de milhares 3 6 2 2 6 3" xfId="9234" xr:uid="{00000000-0005-0000-0000-0000238F0000}"/>
    <cellStyle name="Separador de milhares 3 6 2 2 6 3 2" xfId="27448" xr:uid="{00000000-0005-0000-0000-0000248F0000}"/>
    <cellStyle name="Separador de milhares 3 6 2 2 6 3 2 2" xfId="53629" xr:uid="{00000000-0005-0000-0000-0000258F0000}"/>
    <cellStyle name="Separador de milhares 3 6 2 2 6 3 3" xfId="21534" xr:uid="{00000000-0005-0000-0000-0000268F0000}"/>
    <cellStyle name="Separador de milhares 3 6 2 2 6 3 3 2" xfId="47721" xr:uid="{00000000-0005-0000-0000-0000278F0000}"/>
    <cellStyle name="Separador de milhares 3 6 2 2 6 3 4" xfId="15620" xr:uid="{00000000-0005-0000-0000-0000288F0000}"/>
    <cellStyle name="Separador de milhares 3 6 2 2 6 3 4 2" xfId="41813" xr:uid="{00000000-0005-0000-0000-0000298F0000}"/>
    <cellStyle name="Separador de milhares 3 6 2 2 6 3 5" xfId="35427" xr:uid="{00000000-0005-0000-0000-00002A8F0000}"/>
    <cellStyle name="Separador de milhares 3 6 2 2 6 4" xfId="5859" xr:uid="{00000000-0005-0000-0000-00002B8F0000}"/>
    <cellStyle name="Separador de milhares 3 6 2 2 6 4 2" xfId="24491" xr:uid="{00000000-0005-0000-0000-00002C8F0000}"/>
    <cellStyle name="Separador de milhares 3 6 2 2 6 4 2 2" xfId="50675" xr:uid="{00000000-0005-0000-0000-00002D8F0000}"/>
    <cellStyle name="Separador de milhares 3 6 2 2 6 4 3" xfId="32055" xr:uid="{00000000-0005-0000-0000-00002E8F0000}"/>
    <cellStyle name="Separador de milhares 3 6 2 2 6 5" xfId="18577" xr:uid="{00000000-0005-0000-0000-00002F8F0000}"/>
    <cellStyle name="Separador de milhares 3 6 2 2 6 5 2" xfId="44767" xr:uid="{00000000-0005-0000-0000-0000308F0000}"/>
    <cellStyle name="Separador de milhares 3 6 2 2 6 6" xfId="12246" xr:uid="{00000000-0005-0000-0000-0000318F0000}"/>
    <cellStyle name="Separador de milhares 3 6 2 2 6 6 2" xfId="38439" xr:uid="{00000000-0005-0000-0000-0000328F0000}"/>
    <cellStyle name="Separador de milhares 3 6 2 2 6 7" xfId="30357" xr:uid="{00000000-0005-0000-0000-0000338F0000}"/>
    <cellStyle name="Separador de milhares 3 6 2 2 7" xfId="6529" xr:uid="{00000000-0005-0000-0000-0000348F0000}"/>
    <cellStyle name="Separador de milhares 3 6 2 2 7 2" xfId="9676" xr:uid="{00000000-0005-0000-0000-0000358F0000}"/>
    <cellStyle name="Separador de milhares 3 6 2 2 7 2 2" xfId="27890" xr:uid="{00000000-0005-0000-0000-0000368F0000}"/>
    <cellStyle name="Separador de milhares 3 6 2 2 7 2 2 2" xfId="54071" xr:uid="{00000000-0005-0000-0000-0000378F0000}"/>
    <cellStyle name="Separador de milhares 3 6 2 2 7 2 3" xfId="21976" xr:uid="{00000000-0005-0000-0000-0000388F0000}"/>
    <cellStyle name="Separador de milhares 3 6 2 2 7 2 3 2" xfId="48163" xr:uid="{00000000-0005-0000-0000-0000398F0000}"/>
    <cellStyle name="Separador de milhares 3 6 2 2 7 2 4" xfId="16062" xr:uid="{00000000-0005-0000-0000-00003A8F0000}"/>
    <cellStyle name="Separador de milhares 3 6 2 2 7 2 4 2" xfId="42255" xr:uid="{00000000-0005-0000-0000-00003B8F0000}"/>
    <cellStyle name="Separador de milhares 3 6 2 2 7 2 5" xfId="35869" xr:uid="{00000000-0005-0000-0000-00003C8F0000}"/>
    <cellStyle name="Separador de milhares 3 6 2 2 7 3" xfId="24933" xr:uid="{00000000-0005-0000-0000-00003D8F0000}"/>
    <cellStyle name="Separador de milhares 3 6 2 2 7 3 2" xfId="51117" xr:uid="{00000000-0005-0000-0000-00003E8F0000}"/>
    <cellStyle name="Separador de milhares 3 6 2 2 7 4" xfId="19019" xr:uid="{00000000-0005-0000-0000-00003F8F0000}"/>
    <cellStyle name="Separador de milhares 3 6 2 2 7 4 2" xfId="45209" xr:uid="{00000000-0005-0000-0000-0000408F0000}"/>
    <cellStyle name="Separador de milhares 3 6 2 2 7 5" xfId="12918" xr:uid="{00000000-0005-0000-0000-0000418F0000}"/>
    <cellStyle name="Separador de milhares 3 6 2 2 7 5 2" xfId="39111" xr:uid="{00000000-0005-0000-0000-0000428F0000}"/>
    <cellStyle name="Separador de milhares 3 6 2 2 7 6" xfId="32725" xr:uid="{00000000-0005-0000-0000-0000438F0000}"/>
    <cellStyle name="Separador de milhares 3 6 2 2 8" xfId="8205" xr:uid="{00000000-0005-0000-0000-0000448F0000}"/>
    <cellStyle name="Separador de milhares 3 6 2 2 8 2" xfId="26419" xr:uid="{00000000-0005-0000-0000-0000458F0000}"/>
    <cellStyle name="Separador de milhares 3 6 2 2 8 2 2" xfId="52603" xr:uid="{00000000-0005-0000-0000-0000468F0000}"/>
    <cellStyle name="Separador de milhares 3 6 2 2 8 3" xfId="20505" xr:uid="{00000000-0005-0000-0000-0000478F0000}"/>
    <cellStyle name="Separador de milhares 3 6 2 2 8 3 2" xfId="46695" xr:uid="{00000000-0005-0000-0000-0000488F0000}"/>
    <cellStyle name="Separador de milhares 3 6 2 2 8 4" xfId="14594" xr:uid="{00000000-0005-0000-0000-0000498F0000}"/>
    <cellStyle name="Separador de milhares 3 6 2 2 8 4 2" xfId="40787" xr:uid="{00000000-0005-0000-0000-00004A8F0000}"/>
    <cellStyle name="Separador de milhares 3 6 2 2 8 5" xfId="34401" xr:uid="{00000000-0005-0000-0000-00004B8F0000}"/>
    <cellStyle name="Separador de milhares 3 6 2 2 9" xfId="4828" xr:uid="{00000000-0005-0000-0000-00004C8F0000}"/>
    <cellStyle name="Separador de milhares 3 6 2 2 9 2" xfId="23462" xr:uid="{00000000-0005-0000-0000-00004D8F0000}"/>
    <cellStyle name="Separador de milhares 3 6 2 2 9 2 2" xfId="49649" xr:uid="{00000000-0005-0000-0000-00004E8F0000}"/>
    <cellStyle name="Separador de milhares 3 6 2 2 9 3" xfId="31026" xr:uid="{00000000-0005-0000-0000-00004F8F0000}"/>
    <cellStyle name="Separador de milhares 3 6 2 3" xfId="895" xr:uid="{00000000-0005-0000-0000-0000508F0000}"/>
    <cellStyle name="Separador de milhares 3 6 2 3 2" xfId="6680" xr:uid="{00000000-0005-0000-0000-0000518F0000}"/>
    <cellStyle name="Separador de milhares 3 6 2 3 2 2" xfId="9827" xr:uid="{00000000-0005-0000-0000-0000528F0000}"/>
    <cellStyle name="Separador de milhares 3 6 2 3 2 2 2" xfId="28041" xr:uid="{00000000-0005-0000-0000-0000538F0000}"/>
    <cellStyle name="Separador de milhares 3 6 2 3 2 2 2 2" xfId="54222" xr:uid="{00000000-0005-0000-0000-0000548F0000}"/>
    <cellStyle name="Separador de milhares 3 6 2 3 2 2 3" xfId="22127" xr:uid="{00000000-0005-0000-0000-0000558F0000}"/>
    <cellStyle name="Separador de milhares 3 6 2 3 2 2 3 2" xfId="48314" xr:uid="{00000000-0005-0000-0000-0000568F0000}"/>
    <cellStyle name="Separador de milhares 3 6 2 3 2 2 4" xfId="16213" xr:uid="{00000000-0005-0000-0000-0000578F0000}"/>
    <cellStyle name="Separador de milhares 3 6 2 3 2 2 4 2" xfId="42406" xr:uid="{00000000-0005-0000-0000-0000588F0000}"/>
    <cellStyle name="Separador de milhares 3 6 2 3 2 2 5" xfId="36020" xr:uid="{00000000-0005-0000-0000-0000598F0000}"/>
    <cellStyle name="Separador de milhares 3 6 2 3 2 3" xfId="25084" xr:uid="{00000000-0005-0000-0000-00005A8F0000}"/>
    <cellStyle name="Separador de milhares 3 6 2 3 2 3 2" xfId="51268" xr:uid="{00000000-0005-0000-0000-00005B8F0000}"/>
    <cellStyle name="Separador de milhares 3 6 2 3 2 4" xfId="19170" xr:uid="{00000000-0005-0000-0000-00005C8F0000}"/>
    <cellStyle name="Separador de milhares 3 6 2 3 2 4 2" xfId="45360" xr:uid="{00000000-0005-0000-0000-00005D8F0000}"/>
    <cellStyle name="Separador de milhares 3 6 2 3 2 5" xfId="13069" xr:uid="{00000000-0005-0000-0000-00005E8F0000}"/>
    <cellStyle name="Separador de milhares 3 6 2 3 2 5 2" xfId="39262" xr:uid="{00000000-0005-0000-0000-00005F8F0000}"/>
    <cellStyle name="Separador de milhares 3 6 2 3 2 6" xfId="32876" xr:uid="{00000000-0005-0000-0000-0000608F0000}"/>
    <cellStyle name="Separador de milhares 3 6 2 3 3" xfId="8359" xr:uid="{00000000-0005-0000-0000-0000618F0000}"/>
    <cellStyle name="Separador de milhares 3 6 2 3 3 2" xfId="26573" xr:uid="{00000000-0005-0000-0000-0000628F0000}"/>
    <cellStyle name="Separador de milhares 3 6 2 3 3 2 2" xfId="52754" xr:uid="{00000000-0005-0000-0000-0000638F0000}"/>
    <cellStyle name="Separador de milhares 3 6 2 3 3 3" xfId="20659" xr:uid="{00000000-0005-0000-0000-0000648F0000}"/>
    <cellStyle name="Separador de milhares 3 6 2 3 3 3 2" xfId="46846" xr:uid="{00000000-0005-0000-0000-0000658F0000}"/>
    <cellStyle name="Separador de milhares 3 6 2 3 3 4" xfId="14745" xr:uid="{00000000-0005-0000-0000-0000668F0000}"/>
    <cellStyle name="Separador de milhares 3 6 2 3 3 4 2" xfId="40938" xr:uid="{00000000-0005-0000-0000-0000678F0000}"/>
    <cellStyle name="Separador de milhares 3 6 2 3 3 5" xfId="34552" xr:uid="{00000000-0005-0000-0000-0000688F0000}"/>
    <cellStyle name="Separador de milhares 3 6 2 3 4" xfId="4981" xr:uid="{00000000-0005-0000-0000-0000698F0000}"/>
    <cellStyle name="Separador de milhares 3 6 2 3 4 2" xfId="23616" xr:uid="{00000000-0005-0000-0000-00006A8F0000}"/>
    <cellStyle name="Separador de milhares 3 6 2 3 4 2 2" xfId="49800" xr:uid="{00000000-0005-0000-0000-00006B8F0000}"/>
    <cellStyle name="Separador de milhares 3 6 2 3 4 3" xfId="31177" xr:uid="{00000000-0005-0000-0000-00006C8F0000}"/>
    <cellStyle name="Separador de milhares 3 6 2 3 5" xfId="17702" xr:uid="{00000000-0005-0000-0000-00006D8F0000}"/>
    <cellStyle name="Separador de milhares 3 6 2 3 5 2" xfId="43892" xr:uid="{00000000-0005-0000-0000-00006E8F0000}"/>
    <cellStyle name="Separador de milhares 3 6 2 3 6" xfId="11368" xr:uid="{00000000-0005-0000-0000-00006F8F0000}"/>
    <cellStyle name="Separador de milhares 3 6 2 3 6 2" xfId="37561" xr:uid="{00000000-0005-0000-0000-0000708F0000}"/>
    <cellStyle name="Separador de milhares 3 6 2 3 7" xfId="29479" xr:uid="{00000000-0005-0000-0000-0000718F0000}"/>
    <cellStyle name="Separador de milhares 3 6 2 4" xfId="1246" xr:uid="{00000000-0005-0000-0000-0000728F0000}"/>
    <cellStyle name="Separador de milhares 3 6 2 4 2" xfId="6778" xr:uid="{00000000-0005-0000-0000-0000738F0000}"/>
    <cellStyle name="Separador de milhares 3 6 2 4 2 2" xfId="9925" xr:uid="{00000000-0005-0000-0000-0000748F0000}"/>
    <cellStyle name="Separador de milhares 3 6 2 4 2 2 2" xfId="28139" xr:uid="{00000000-0005-0000-0000-0000758F0000}"/>
    <cellStyle name="Separador de milhares 3 6 2 4 2 2 2 2" xfId="54320" xr:uid="{00000000-0005-0000-0000-0000768F0000}"/>
    <cellStyle name="Separador de milhares 3 6 2 4 2 2 3" xfId="22225" xr:uid="{00000000-0005-0000-0000-0000778F0000}"/>
    <cellStyle name="Separador de milhares 3 6 2 4 2 2 3 2" xfId="48412" xr:uid="{00000000-0005-0000-0000-0000788F0000}"/>
    <cellStyle name="Separador de milhares 3 6 2 4 2 2 4" xfId="16311" xr:uid="{00000000-0005-0000-0000-0000798F0000}"/>
    <cellStyle name="Separador de milhares 3 6 2 4 2 2 4 2" xfId="42504" xr:uid="{00000000-0005-0000-0000-00007A8F0000}"/>
    <cellStyle name="Separador de milhares 3 6 2 4 2 2 5" xfId="36118" xr:uid="{00000000-0005-0000-0000-00007B8F0000}"/>
    <cellStyle name="Separador de milhares 3 6 2 4 2 3" xfId="25182" xr:uid="{00000000-0005-0000-0000-00007C8F0000}"/>
    <cellStyle name="Separador de milhares 3 6 2 4 2 3 2" xfId="51366" xr:uid="{00000000-0005-0000-0000-00007D8F0000}"/>
    <cellStyle name="Separador de milhares 3 6 2 4 2 4" xfId="19268" xr:uid="{00000000-0005-0000-0000-00007E8F0000}"/>
    <cellStyle name="Separador de milhares 3 6 2 4 2 4 2" xfId="45458" xr:uid="{00000000-0005-0000-0000-00007F8F0000}"/>
    <cellStyle name="Separador de milhares 3 6 2 4 2 5" xfId="13167" xr:uid="{00000000-0005-0000-0000-0000808F0000}"/>
    <cellStyle name="Separador de milhares 3 6 2 4 2 5 2" xfId="39360" xr:uid="{00000000-0005-0000-0000-0000818F0000}"/>
    <cellStyle name="Separador de milhares 3 6 2 4 2 6" xfId="32974" xr:uid="{00000000-0005-0000-0000-0000828F0000}"/>
    <cellStyle name="Separador de milhares 3 6 2 4 3" xfId="8457" xr:uid="{00000000-0005-0000-0000-0000838F0000}"/>
    <cellStyle name="Separador de milhares 3 6 2 4 3 2" xfId="26671" xr:uid="{00000000-0005-0000-0000-0000848F0000}"/>
    <cellStyle name="Separador de milhares 3 6 2 4 3 2 2" xfId="52852" xr:uid="{00000000-0005-0000-0000-0000858F0000}"/>
    <cellStyle name="Separador de milhares 3 6 2 4 3 3" xfId="20757" xr:uid="{00000000-0005-0000-0000-0000868F0000}"/>
    <cellStyle name="Separador de milhares 3 6 2 4 3 3 2" xfId="46944" xr:uid="{00000000-0005-0000-0000-0000878F0000}"/>
    <cellStyle name="Separador de milhares 3 6 2 4 3 4" xfId="14843" xr:uid="{00000000-0005-0000-0000-0000888F0000}"/>
    <cellStyle name="Separador de milhares 3 6 2 4 3 4 2" xfId="41036" xr:uid="{00000000-0005-0000-0000-0000898F0000}"/>
    <cellStyle name="Separador de milhares 3 6 2 4 3 5" xfId="34650" xr:uid="{00000000-0005-0000-0000-00008A8F0000}"/>
    <cellStyle name="Separador de milhares 3 6 2 4 4" xfId="5079" xr:uid="{00000000-0005-0000-0000-00008B8F0000}"/>
    <cellStyle name="Separador de milhares 3 6 2 4 4 2" xfId="23714" xr:uid="{00000000-0005-0000-0000-00008C8F0000}"/>
    <cellStyle name="Separador de milhares 3 6 2 4 4 2 2" xfId="49898" xr:uid="{00000000-0005-0000-0000-00008D8F0000}"/>
    <cellStyle name="Separador de milhares 3 6 2 4 4 3" xfId="31275" xr:uid="{00000000-0005-0000-0000-00008E8F0000}"/>
    <cellStyle name="Separador de milhares 3 6 2 4 5" xfId="17800" xr:uid="{00000000-0005-0000-0000-00008F8F0000}"/>
    <cellStyle name="Separador de milhares 3 6 2 4 5 2" xfId="43990" xr:uid="{00000000-0005-0000-0000-0000908F0000}"/>
    <cellStyle name="Separador de milhares 3 6 2 4 6" xfId="11466" xr:uid="{00000000-0005-0000-0000-0000918F0000}"/>
    <cellStyle name="Separador de milhares 3 6 2 4 6 2" xfId="37659" xr:uid="{00000000-0005-0000-0000-0000928F0000}"/>
    <cellStyle name="Separador de milhares 3 6 2 4 7" xfId="29577" xr:uid="{00000000-0005-0000-0000-0000938F0000}"/>
    <cellStyle name="Separador de milhares 3 6 2 5" xfId="1681" xr:uid="{00000000-0005-0000-0000-0000948F0000}"/>
    <cellStyle name="Separador de milhares 3 6 2 5 2" xfId="6897" xr:uid="{00000000-0005-0000-0000-0000958F0000}"/>
    <cellStyle name="Separador de milhares 3 6 2 5 2 2" xfId="10044" xr:uid="{00000000-0005-0000-0000-0000968F0000}"/>
    <cellStyle name="Separador de milhares 3 6 2 5 2 2 2" xfId="28258" xr:uid="{00000000-0005-0000-0000-0000978F0000}"/>
    <cellStyle name="Separador de milhares 3 6 2 5 2 2 2 2" xfId="54439" xr:uid="{00000000-0005-0000-0000-0000988F0000}"/>
    <cellStyle name="Separador de milhares 3 6 2 5 2 2 3" xfId="22344" xr:uid="{00000000-0005-0000-0000-0000998F0000}"/>
    <cellStyle name="Separador de milhares 3 6 2 5 2 2 3 2" xfId="48531" xr:uid="{00000000-0005-0000-0000-00009A8F0000}"/>
    <cellStyle name="Separador de milhares 3 6 2 5 2 2 4" xfId="16430" xr:uid="{00000000-0005-0000-0000-00009B8F0000}"/>
    <cellStyle name="Separador de milhares 3 6 2 5 2 2 4 2" xfId="42623" xr:uid="{00000000-0005-0000-0000-00009C8F0000}"/>
    <cellStyle name="Separador de milhares 3 6 2 5 2 2 5" xfId="36237" xr:uid="{00000000-0005-0000-0000-00009D8F0000}"/>
    <cellStyle name="Separador de milhares 3 6 2 5 2 3" xfId="25301" xr:uid="{00000000-0005-0000-0000-00009E8F0000}"/>
    <cellStyle name="Separador de milhares 3 6 2 5 2 3 2" xfId="51485" xr:uid="{00000000-0005-0000-0000-00009F8F0000}"/>
    <cellStyle name="Separador de milhares 3 6 2 5 2 4" xfId="19387" xr:uid="{00000000-0005-0000-0000-0000A08F0000}"/>
    <cellStyle name="Separador de milhares 3 6 2 5 2 4 2" xfId="45577" xr:uid="{00000000-0005-0000-0000-0000A18F0000}"/>
    <cellStyle name="Separador de milhares 3 6 2 5 2 5" xfId="13286" xr:uid="{00000000-0005-0000-0000-0000A28F0000}"/>
    <cellStyle name="Separador de milhares 3 6 2 5 2 5 2" xfId="39479" xr:uid="{00000000-0005-0000-0000-0000A38F0000}"/>
    <cellStyle name="Separador de milhares 3 6 2 5 2 6" xfId="33093" xr:uid="{00000000-0005-0000-0000-0000A48F0000}"/>
    <cellStyle name="Separador de milhares 3 6 2 5 3" xfId="8576" xr:uid="{00000000-0005-0000-0000-0000A58F0000}"/>
    <cellStyle name="Separador de milhares 3 6 2 5 3 2" xfId="26790" xr:uid="{00000000-0005-0000-0000-0000A68F0000}"/>
    <cellStyle name="Separador de milhares 3 6 2 5 3 2 2" xfId="52971" xr:uid="{00000000-0005-0000-0000-0000A78F0000}"/>
    <cellStyle name="Separador de milhares 3 6 2 5 3 3" xfId="20876" xr:uid="{00000000-0005-0000-0000-0000A88F0000}"/>
    <cellStyle name="Separador de milhares 3 6 2 5 3 3 2" xfId="47063" xr:uid="{00000000-0005-0000-0000-0000A98F0000}"/>
    <cellStyle name="Separador de milhares 3 6 2 5 3 4" xfId="14962" xr:uid="{00000000-0005-0000-0000-0000AA8F0000}"/>
    <cellStyle name="Separador de milhares 3 6 2 5 3 4 2" xfId="41155" xr:uid="{00000000-0005-0000-0000-0000AB8F0000}"/>
    <cellStyle name="Separador de milhares 3 6 2 5 3 5" xfId="34769" xr:uid="{00000000-0005-0000-0000-0000AC8F0000}"/>
    <cellStyle name="Separador de milhares 3 6 2 5 4" xfId="5198" xr:uid="{00000000-0005-0000-0000-0000AD8F0000}"/>
    <cellStyle name="Separador de milhares 3 6 2 5 4 2" xfId="23833" xr:uid="{00000000-0005-0000-0000-0000AE8F0000}"/>
    <cellStyle name="Separador de milhares 3 6 2 5 4 2 2" xfId="50017" xr:uid="{00000000-0005-0000-0000-0000AF8F0000}"/>
    <cellStyle name="Separador de milhares 3 6 2 5 4 3" xfId="31394" xr:uid="{00000000-0005-0000-0000-0000B08F0000}"/>
    <cellStyle name="Separador de milhares 3 6 2 5 5" xfId="17919" xr:uid="{00000000-0005-0000-0000-0000B18F0000}"/>
    <cellStyle name="Separador de milhares 3 6 2 5 5 2" xfId="44109" xr:uid="{00000000-0005-0000-0000-0000B28F0000}"/>
    <cellStyle name="Separador de milhares 3 6 2 5 6" xfId="11585" xr:uid="{00000000-0005-0000-0000-0000B38F0000}"/>
    <cellStyle name="Separador de milhares 3 6 2 5 6 2" xfId="37778" xr:uid="{00000000-0005-0000-0000-0000B48F0000}"/>
    <cellStyle name="Separador de milhares 3 6 2 5 7" xfId="29696" xr:uid="{00000000-0005-0000-0000-0000B58F0000}"/>
    <cellStyle name="Separador de milhares 3 6 2 6" xfId="2211" xr:uid="{00000000-0005-0000-0000-0000B68F0000}"/>
    <cellStyle name="Separador de milhares 3 6 2 6 2" xfId="7047" xr:uid="{00000000-0005-0000-0000-0000B78F0000}"/>
    <cellStyle name="Separador de milhares 3 6 2 6 2 2" xfId="10191" xr:uid="{00000000-0005-0000-0000-0000B88F0000}"/>
    <cellStyle name="Separador de milhares 3 6 2 6 2 2 2" xfId="28405" xr:uid="{00000000-0005-0000-0000-0000B98F0000}"/>
    <cellStyle name="Separador de milhares 3 6 2 6 2 2 2 2" xfId="54586" xr:uid="{00000000-0005-0000-0000-0000BA8F0000}"/>
    <cellStyle name="Separador de milhares 3 6 2 6 2 2 3" xfId="22491" xr:uid="{00000000-0005-0000-0000-0000BB8F0000}"/>
    <cellStyle name="Separador de milhares 3 6 2 6 2 2 3 2" xfId="48678" xr:uid="{00000000-0005-0000-0000-0000BC8F0000}"/>
    <cellStyle name="Separador de milhares 3 6 2 6 2 2 4" xfId="16577" xr:uid="{00000000-0005-0000-0000-0000BD8F0000}"/>
    <cellStyle name="Separador de milhares 3 6 2 6 2 2 4 2" xfId="42770" xr:uid="{00000000-0005-0000-0000-0000BE8F0000}"/>
    <cellStyle name="Separador de milhares 3 6 2 6 2 2 5" xfId="36384" xr:uid="{00000000-0005-0000-0000-0000BF8F0000}"/>
    <cellStyle name="Separador de milhares 3 6 2 6 2 3" xfId="25448" xr:uid="{00000000-0005-0000-0000-0000C08F0000}"/>
    <cellStyle name="Separador de milhares 3 6 2 6 2 3 2" xfId="51632" xr:uid="{00000000-0005-0000-0000-0000C18F0000}"/>
    <cellStyle name="Separador de milhares 3 6 2 6 2 4" xfId="19534" xr:uid="{00000000-0005-0000-0000-0000C28F0000}"/>
    <cellStyle name="Separador de milhares 3 6 2 6 2 4 2" xfId="45724" xr:uid="{00000000-0005-0000-0000-0000C38F0000}"/>
    <cellStyle name="Separador de milhares 3 6 2 6 2 5" xfId="13436" xr:uid="{00000000-0005-0000-0000-0000C48F0000}"/>
    <cellStyle name="Separador de milhares 3 6 2 6 2 5 2" xfId="39629" xr:uid="{00000000-0005-0000-0000-0000C58F0000}"/>
    <cellStyle name="Separador de milhares 3 6 2 6 2 6" xfId="33243" xr:uid="{00000000-0005-0000-0000-0000C68F0000}"/>
    <cellStyle name="Separador de milhares 3 6 2 6 3" xfId="8723" xr:uid="{00000000-0005-0000-0000-0000C78F0000}"/>
    <cellStyle name="Separador de milhares 3 6 2 6 3 2" xfId="26937" xr:uid="{00000000-0005-0000-0000-0000C88F0000}"/>
    <cellStyle name="Separador de milhares 3 6 2 6 3 2 2" xfId="53118" xr:uid="{00000000-0005-0000-0000-0000C98F0000}"/>
    <cellStyle name="Separador de milhares 3 6 2 6 3 3" xfId="21023" xr:uid="{00000000-0005-0000-0000-0000CA8F0000}"/>
    <cellStyle name="Separador de milhares 3 6 2 6 3 3 2" xfId="47210" xr:uid="{00000000-0005-0000-0000-0000CB8F0000}"/>
    <cellStyle name="Separador de milhares 3 6 2 6 3 4" xfId="15109" xr:uid="{00000000-0005-0000-0000-0000CC8F0000}"/>
    <cellStyle name="Separador de milhares 3 6 2 6 3 4 2" xfId="41302" xr:uid="{00000000-0005-0000-0000-0000CD8F0000}"/>
    <cellStyle name="Separador de milhares 3 6 2 6 3 5" xfId="34916" xr:uid="{00000000-0005-0000-0000-0000CE8F0000}"/>
    <cellStyle name="Separador de milhares 3 6 2 6 4" xfId="5348" xr:uid="{00000000-0005-0000-0000-0000CF8F0000}"/>
    <cellStyle name="Separador de milhares 3 6 2 6 4 2" xfId="23980" xr:uid="{00000000-0005-0000-0000-0000D08F0000}"/>
    <cellStyle name="Separador de milhares 3 6 2 6 4 2 2" xfId="50164" xr:uid="{00000000-0005-0000-0000-0000D18F0000}"/>
    <cellStyle name="Separador de milhares 3 6 2 6 4 3" xfId="31544" xr:uid="{00000000-0005-0000-0000-0000D28F0000}"/>
    <cellStyle name="Separador de milhares 3 6 2 6 5" xfId="18066" xr:uid="{00000000-0005-0000-0000-0000D38F0000}"/>
    <cellStyle name="Separador de milhares 3 6 2 6 5 2" xfId="44256" xr:uid="{00000000-0005-0000-0000-0000D48F0000}"/>
    <cellStyle name="Separador de milhares 3 6 2 6 6" xfId="11735" xr:uid="{00000000-0005-0000-0000-0000D58F0000}"/>
    <cellStyle name="Separador de milhares 3 6 2 6 6 2" xfId="37928" xr:uid="{00000000-0005-0000-0000-0000D68F0000}"/>
    <cellStyle name="Separador de milhares 3 6 2 6 7" xfId="29846" xr:uid="{00000000-0005-0000-0000-0000D78F0000}"/>
    <cellStyle name="Separador de milhares 3 6 2 7" xfId="2738" xr:uid="{00000000-0005-0000-0000-0000D88F0000}"/>
    <cellStyle name="Separador de milhares 3 6 2 7 2" xfId="7194" xr:uid="{00000000-0005-0000-0000-0000D98F0000}"/>
    <cellStyle name="Separador de milhares 3 6 2 7 2 2" xfId="10338" xr:uid="{00000000-0005-0000-0000-0000DA8F0000}"/>
    <cellStyle name="Separador de milhares 3 6 2 7 2 2 2" xfId="28552" xr:uid="{00000000-0005-0000-0000-0000DB8F0000}"/>
    <cellStyle name="Separador de milhares 3 6 2 7 2 2 2 2" xfId="54733" xr:uid="{00000000-0005-0000-0000-0000DC8F0000}"/>
    <cellStyle name="Separador de milhares 3 6 2 7 2 2 3" xfId="22638" xr:uid="{00000000-0005-0000-0000-0000DD8F0000}"/>
    <cellStyle name="Separador de milhares 3 6 2 7 2 2 3 2" xfId="48825" xr:uid="{00000000-0005-0000-0000-0000DE8F0000}"/>
    <cellStyle name="Separador de milhares 3 6 2 7 2 2 4" xfId="16724" xr:uid="{00000000-0005-0000-0000-0000DF8F0000}"/>
    <cellStyle name="Separador de milhares 3 6 2 7 2 2 4 2" xfId="42917" xr:uid="{00000000-0005-0000-0000-0000E08F0000}"/>
    <cellStyle name="Separador de milhares 3 6 2 7 2 2 5" xfId="36531" xr:uid="{00000000-0005-0000-0000-0000E18F0000}"/>
    <cellStyle name="Separador de milhares 3 6 2 7 2 3" xfId="25595" xr:uid="{00000000-0005-0000-0000-0000E28F0000}"/>
    <cellStyle name="Separador de milhares 3 6 2 7 2 3 2" xfId="51779" xr:uid="{00000000-0005-0000-0000-0000E38F0000}"/>
    <cellStyle name="Separador de milhares 3 6 2 7 2 4" xfId="19681" xr:uid="{00000000-0005-0000-0000-0000E48F0000}"/>
    <cellStyle name="Separador de milhares 3 6 2 7 2 4 2" xfId="45871" xr:uid="{00000000-0005-0000-0000-0000E58F0000}"/>
    <cellStyle name="Separador de milhares 3 6 2 7 2 5" xfId="13583" xr:uid="{00000000-0005-0000-0000-0000E68F0000}"/>
    <cellStyle name="Separador de milhares 3 6 2 7 2 5 2" xfId="39776" xr:uid="{00000000-0005-0000-0000-0000E78F0000}"/>
    <cellStyle name="Separador de milhares 3 6 2 7 2 6" xfId="33390" xr:uid="{00000000-0005-0000-0000-0000E88F0000}"/>
    <cellStyle name="Separador de milhares 3 6 2 7 3" xfId="8870" xr:uid="{00000000-0005-0000-0000-0000E98F0000}"/>
    <cellStyle name="Separador de milhares 3 6 2 7 3 2" xfId="27084" xr:uid="{00000000-0005-0000-0000-0000EA8F0000}"/>
    <cellStyle name="Separador de milhares 3 6 2 7 3 2 2" xfId="53265" xr:uid="{00000000-0005-0000-0000-0000EB8F0000}"/>
    <cellStyle name="Separador de milhares 3 6 2 7 3 3" xfId="21170" xr:uid="{00000000-0005-0000-0000-0000EC8F0000}"/>
    <cellStyle name="Separador de milhares 3 6 2 7 3 3 2" xfId="47357" xr:uid="{00000000-0005-0000-0000-0000ED8F0000}"/>
    <cellStyle name="Separador de milhares 3 6 2 7 3 4" xfId="15256" xr:uid="{00000000-0005-0000-0000-0000EE8F0000}"/>
    <cellStyle name="Separador de milhares 3 6 2 7 3 4 2" xfId="41449" xr:uid="{00000000-0005-0000-0000-0000EF8F0000}"/>
    <cellStyle name="Separador de milhares 3 6 2 7 3 5" xfId="35063" xr:uid="{00000000-0005-0000-0000-0000F08F0000}"/>
    <cellStyle name="Separador de milhares 3 6 2 7 4" xfId="5495" xr:uid="{00000000-0005-0000-0000-0000F18F0000}"/>
    <cellStyle name="Separador de milhares 3 6 2 7 4 2" xfId="24127" xr:uid="{00000000-0005-0000-0000-0000F28F0000}"/>
    <cellStyle name="Separador de milhares 3 6 2 7 4 2 2" xfId="50311" xr:uid="{00000000-0005-0000-0000-0000F38F0000}"/>
    <cellStyle name="Separador de milhares 3 6 2 7 4 3" xfId="31691" xr:uid="{00000000-0005-0000-0000-0000F48F0000}"/>
    <cellStyle name="Separador de milhares 3 6 2 7 5" xfId="18213" xr:uid="{00000000-0005-0000-0000-0000F58F0000}"/>
    <cellStyle name="Separador de milhares 3 6 2 7 5 2" xfId="44403" xr:uid="{00000000-0005-0000-0000-0000F68F0000}"/>
    <cellStyle name="Separador de milhares 3 6 2 7 6" xfId="11882" xr:uid="{00000000-0005-0000-0000-0000F78F0000}"/>
    <cellStyle name="Separador de milhares 3 6 2 7 6 2" xfId="38075" xr:uid="{00000000-0005-0000-0000-0000F88F0000}"/>
    <cellStyle name="Separador de milhares 3 6 2 7 7" xfId="29993" xr:uid="{00000000-0005-0000-0000-0000F98F0000}"/>
    <cellStyle name="Separador de milhares 3 6 2 8" xfId="3265" xr:uid="{00000000-0005-0000-0000-0000FA8F0000}"/>
    <cellStyle name="Separador de milhares 3 6 2 8 2" xfId="7341" xr:uid="{00000000-0005-0000-0000-0000FB8F0000}"/>
    <cellStyle name="Separador de milhares 3 6 2 8 2 2" xfId="10485" xr:uid="{00000000-0005-0000-0000-0000FC8F0000}"/>
    <cellStyle name="Separador de milhares 3 6 2 8 2 2 2" xfId="28699" xr:uid="{00000000-0005-0000-0000-0000FD8F0000}"/>
    <cellStyle name="Separador de milhares 3 6 2 8 2 2 2 2" xfId="54880" xr:uid="{00000000-0005-0000-0000-0000FE8F0000}"/>
    <cellStyle name="Separador de milhares 3 6 2 8 2 2 3" xfId="22785" xr:uid="{00000000-0005-0000-0000-0000FF8F0000}"/>
    <cellStyle name="Separador de milhares 3 6 2 8 2 2 3 2" xfId="48972" xr:uid="{00000000-0005-0000-0000-000000900000}"/>
    <cellStyle name="Separador de milhares 3 6 2 8 2 2 4" xfId="16871" xr:uid="{00000000-0005-0000-0000-000001900000}"/>
    <cellStyle name="Separador de milhares 3 6 2 8 2 2 4 2" xfId="43064" xr:uid="{00000000-0005-0000-0000-000002900000}"/>
    <cellStyle name="Separador de milhares 3 6 2 8 2 2 5" xfId="36678" xr:uid="{00000000-0005-0000-0000-000003900000}"/>
    <cellStyle name="Separador de milhares 3 6 2 8 2 3" xfId="25742" xr:uid="{00000000-0005-0000-0000-000004900000}"/>
    <cellStyle name="Separador de milhares 3 6 2 8 2 3 2" xfId="51926" xr:uid="{00000000-0005-0000-0000-000005900000}"/>
    <cellStyle name="Separador de milhares 3 6 2 8 2 4" xfId="19828" xr:uid="{00000000-0005-0000-0000-000006900000}"/>
    <cellStyle name="Separador de milhares 3 6 2 8 2 4 2" xfId="46018" xr:uid="{00000000-0005-0000-0000-000007900000}"/>
    <cellStyle name="Separador de milhares 3 6 2 8 2 5" xfId="13730" xr:uid="{00000000-0005-0000-0000-000008900000}"/>
    <cellStyle name="Separador de milhares 3 6 2 8 2 5 2" xfId="39923" xr:uid="{00000000-0005-0000-0000-000009900000}"/>
    <cellStyle name="Separador de milhares 3 6 2 8 2 6" xfId="33537" xr:uid="{00000000-0005-0000-0000-00000A900000}"/>
    <cellStyle name="Separador de milhares 3 6 2 8 3" xfId="9017" xr:uid="{00000000-0005-0000-0000-00000B900000}"/>
    <cellStyle name="Separador de milhares 3 6 2 8 3 2" xfId="27231" xr:uid="{00000000-0005-0000-0000-00000C900000}"/>
    <cellStyle name="Separador de milhares 3 6 2 8 3 2 2" xfId="53412" xr:uid="{00000000-0005-0000-0000-00000D900000}"/>
    <cellStyle name="Separador de milhares 3 6 2 8 3 3" xfId="21317" xr:uid="{00000000-0005-0000-0000-00000E900000}"/>
    <cellStyle name="Separador de milhares 3 6 2 8 3 3 2" xfId="47504" xr:uid="{00000000-0005-0000-0000-00000F900000}"/>
    <cellStyle name="Separador de milhares 3 6 2 8 3 4" xfId="15403" xr:uid="{00000000-0005-0000-0000-000010900000}"/>
    <cellStyle name="Separador de milhares 3 6 2 8 3 4 2" xfId="41596" xr:uid="{00000000-0005-0000-0000-000011900000}"/>
    <cellStyle name="Separador de milhares 3 6 2 8 3 5" xfId="35210" xr:uid="{00000000-0005-0000-0000-000012900000}"/>
    <cellStyle name="Separador de milhares 3 6 2 8 4" xfId="5642" xr:uid="{00000000-0005-0000-0000-000013900000}"/>
    <cellStyle name="Separador de milhares 3 6 2 8 4 2" xfId="24274" xr:uid="{00000000-0005-0000-0000-000014900000}"/>
    <cellStyle name="Separador de milhares 3 6 2 8 4 2 2" xfId="50458" xr:uid="{00000000-0005-0000-0000-000015900000}"/>
    <cellStyle name="Separador de milhares 3 6 2 8 4 3" xfId="31838" xr:uid="{00000000-0005-0000-0000-000016900000}"/>
    <cellStyle name="Separador de milhares 3 6 2 8 5" xfId="18360" xr:uid="{00000000-0005-0000-0000-000017900000}"/>
    <cellStyle name="Separador de milhares 3 6 2 8 5 2" xfId="44550" xr:uid="{00000000-0005-0000-0000-000018900000}"/>
    <cellStyle name="Separador de milhares 3 6 2 8 6" xfId="12029" xr:uid="{00000000-0005-0000-0000-000019900000}"/>
    <cellStyle name="Separador de milhares 3 6 2 8 6 2" xfId="38222" xr:uid="{00000000-0005-0000-0000-00001A900000}"/>
    <cellStyle name="Separador de milhares 3 6 2 8 7" xfId="30140" xr:uid="{00000000-0005-0000-0000-00001B900000}"/>
    <cellStyle name="Separador de milhares 3 6 2 9" xfId="3792" xr:uid="{00000000-0005-0000-0000-00001C900000}"/>
    <cellStyle name="Separador de milhares 3 6 2 9 2" xfId="7488" xr:uid="{00000000-0005-0000-0000-00001D900000}"/>
    <cellStyle name="Separador de milhares 3 6 2 9 2 2" xfId="10632" xr:uid="{00000000-0005-0000-0000-00001E900000}"/>
    <cellStyle name="Separador de milhares 3 6 2 9 2 2 2" xfId="28846" xr:uid="{00000000-0005-0000-0000-00001F900000}"/>
    <cellStyle name="Separador de milhares 3 6 2 9 2 2 2 2" xfId="55027" xr:uid="{00000000-0005-0000-0000-000020900000}"/>
    <cellStyle name="Separador de milhares 3 6 2 9 2 2 3" xfId="22932" xr:uid="{00000000-0005-0000-0000-000021900000}"/>
    <cellStyle name="Separador de milhares 3 6 2 9 2 2 3 2" xfId="49119" xr:uid="{00000000-0005-0000-0000-000022900000}"/>
    <cellStyle name="Separador de milhares 3 6 2 9 2 2 4" xfId="17018" xr:uid="{00000000-0005-0000-0000-000023900000}"/>
    <cellStyle name="Separador de milhares 3 6 2 9 2 2 4 2" xfId="43211" xr:uid="{00000000-0005-0000-0000-000024900000}"/>
    <cellStyle name="Separador de milhares 3 6 2 9 2 2 5" xfId="36825" xr:uid="{00000000-0005-0000-0000-000025900000}"/>
    <cellStyle name="Separador de milhares 3 6 2 9 2 3" xfId="25889" xr:uid="{00000000-0005-0000-0000-000026900000}"/>
    <cellStyle name="Separador de milhares 3 6 2 9 2 3 2" xfId="52073" xr:uid="{00000000-0005-0000-0000-000027900000}"/>
    <cellStyle name="Separador de milhares 3 6 2 9 2 4" xfId="19975" xr:uid="{00000000-0005-0000-0000-000028900000}"/>
    <cellStyle name="Separador de milhares 3 6 2 9 2 4 2" xfId="46165" xr:uid="{00000000-0005-0000-0000-000029900000}"/>
    <cellStyle name="Separador de milhares 3 6 2 9 2 5" xfId="13877" xr:uid="{00000000-0005-0000-0000-00002A900000}"/>
    <cellStyle name="Separador de milhares 3 6 2 9 2 5 2" xfId="40070" xr:uid="{00000000-0005-0000-0000-00002B900000}"/>
    <cellStyle name="Separador de milhares 3 6 2 9 2 6" xfId="33684" xr:uid="{00000000-0005-0000-0000-00002C900000}"/>
    <cellStyle name="Separador de milhares 3 6 2 9 3" xfId="9164" xr:uid="{00000000-0005-0000-0000-00002D900000}"/>
    <cellStyle name="Separador de milhares 3 6 2 9 3 2" xfId="27378" xr:uid="{00000000-0005-0000-0000-00002E900000}"/>
    <cellStyle name="Separador de milhares 3 6 2 9 3 2 2" xfId="53559" xr:uid="{00000000-0005-0000-0000-00002F900000}"/>
    <cellStyle name="Separador de milhares 3 6 2 9 3 3" xfId="21464" xr:uid="{00000000-0005-0000-0000-000030900000}"/>
    <cellStyle name="Separador de milhares 3 6 2 9 3 3 2" xfId="47651" xr:uid="{00000000-0005-0000-0000-000031900000}"/>
    <cellStyle name="Separador de milhares 3 6 2 9 3 4" xfId="15550" xr:uid="{00000000-0005-0000-0000-000032900000}"/>
    <cellStyle name="Separador de milhares 3 6 2 9 3 4 2" xfId="41743" xr:uid="{00000000-0005-0000-0000-000033900000}"/>
    <cellStyle name="Separador de milhares 3 6 2 9 3 5" xfId="35357" xr:uid="{00000000-0005-0000-0000-000034900000}"/>
    <cellStyle name="Separador de milhares 3 6 2 9 4" xfId="5789" xr:uid="{00000000-0005-0000-0000-000035900000}"/>
    <cellStyle name="Separador de milhares 3 6 2 9 4 2" xfId="24421" xr:uid="{00000000-0005-0000-0000-000036900000}"/>
    <cellStyle name="Separador de milhares 3 6 2 9 4 2 2" xfId="50605" xr:uid="{00000000-0005-0000-0000-000037900000}"/>
    <cellStyle name="Separador de milhares 3 6 2 9 4 3" xfId="31985" xr:uid="{00000000-0005-0000-0000-000038900000}"/>
    <cellStyle name="Separador de milhares 3 6 2 9 5" xfId="18507" xr:uid="{00000000-0005-0000-0000-000039900000}"/>
    <cellStyle name="Separador de milhares 3 6 2 9 5 2" xfId="44697" xr:uid="{00000000-0005-0000-0000-00003A900000}"/>
    <cellStyle name="Separador de milhares 3 6 2 9 6" xfId="12176" xr:uid="{00000000-0005-0000-0000-00003B900000}"/>
    <cellStyle name="Separador de milhares 3 6 2 9 6 2" xfId="38369" xr:uid="{00000000-0005-0000-0000-00003C900000}"/>
    <cellStyle name="Separador de milhares 3 6 2 9 7" xfId="30287" xr:uid="{00000000-0005-0000-0000-00003D900000}"/>
    <cellStyle name="Separador de milhares 3 6 3" xfId="244" xr:uid="{00000000-0005-0000-0000-00003E900000}"/>
    <cellStyle name="Separador de milhares 3 6 3 10" xfId="6479" xr:uid="{00000000-0005-0000-0000-00003F900000}"/>
    <cellStyle name="Separador de milhares 3 6 3 10 2" xfId="9630" xr:uid="{00000000-0005-0000-0000-000040900000}"/>
    <cellStyle name="Separador de milhares 3 6 3 10 2 2" xfId="27844" xr:uid="{00000000-0005-0000-0000-000041900000}"/>
    <cellStyle name="Separador de milhares 3 6 3 10 2 2 2" xfId="54025" xr:uid="{00000000-0005-0000-0000-000042900000}"/>
    <cellStyle name="Separador de milhares 3 6 3 10 2 3" xfId="21930" xr:uid="{00000000-0005-0000-0000-000043900000}"/>
    <cellStyle name="Separador de milhares 3 6 3 10 2 3 2" xfId="48117" xr:uid="{00000000-0005-0000-0000-000044900000}"/>
    <cellStyle name="Separador de milhares 3 6 3 10 2 4" xfId="16016" xr:uid="{00000000-0005-0000-0000-000045900000}"/>
    <cellStyle name="Separador de milhares 3 6 3 10 2 4 2" xfId="42209" xr:uid="{00000000-0005-0000-0000-000046900000}"/>
    <cellStyle name="Separador de milhares 3 6 3 10 2 5" xfId="35823" xr:uid="{00000000-0005-0000-0000-000047900000}"/>
    <cellStyle name="Separador de milhares 3 6 3 10 3" xfId="24887" xr:uid="{00000000-0005-0000-0000-000048900000}"/>
    <cellStyle name="Separador de milhares 3 6 3 10 3 2" xfId="51071" xr:uid="{00000000-0005-0000-0000-000049900000}"/>
    <cellStyle name="Separador de milhares 3 6 3 10 4" xfId="18973" xr:uid="{00000000-0005-0000-0000-00004A900000}"/>
    <cellStyle name="Separador de milhares 3 6 3 10 4 2" xfId="45163" xr:uid="{00000000-0005-0000-0000-00004B900000}"/>
    <cellStyle name="Separador de milhares 3 6 3 10 5" xfId="12868" xr:uid="{00000000-0005-0000-0000-00004C900000}"/>
    <cellStyle name="Separador de milhares 3 6 3 10 5 2" xfId="39061" xr:uid="{00000000-0005-0000-0000-00004D900000}"/>
    <cellStyle name="Separador de milhares 3 6 3 10 6" xfId="32675" xr:uid="{00000000-0005-0000-0000-00004E900000}"/>
    <cellStyle name="Separador de milhares 3 6 3 11" xfId="8159" xr:uid="{00000000-0005-0000-0000-00004F900000}"/>
    <cellStyle name="Separador de milhares 3 6 3 11 2" xfId="26373" xr:uid="{00000000-0005-0000-0000-000050900000}"/>
    <cellStyle name="Separador de milhares 3 6 3 11 2 2" xfId="52557" xr:uid="{00000000-0005-0000-0000-000051900000}"/>
    <cellStyle name="Separador de milhares 3 6 3 11 3" xfId="20459" xr:uid="{00000000-0005-0000-0000-000052900000}"/>
    <cellStyle name="Separador de milhares 3 6 3 11 3 2" xfId="46649" xr:uid="{00000000-0005-0000-0000-000053900000}"/>
    <cellStyle name="Separador de milhares 3 6 3 11 4" xfId="14548" xr:uid="{00000000-0005-0000-0000-000054900000}"/>
    <cellStyle name="Separador de milhares 3 6 3 11 4 2" xfId="40741" xr:uid="{00000000-0005-0000-0000-000055900000}"/>
    <cellStyle name="Separador de milhares 3 6 3 11 5" xfId="34355" xr:uid="{00000000-0005-0000-0000-000056900000}"/>
    <cellStyle name="Separador de milhares 3 6 3 12" xfId="4778" xr:uid="{00000000-0005-0000-0000-000057900000}"/>
    <cellStyle name="Separador de milhares 3 6 3 12 2" xfId="23416" xr:uid="{00000000-0005-0000-0000-000058900000}"/>
    <cellStyle name="Separador de milhares 3 6 3 12 2 2" xfId="49603" xr:uid="{00000000-0005-0000-0000-000059900000}"/>
    <cellStyle name="Separador de milhares 3 6 3 12 3" xfId="30976" xr:uid="{00000000-0005-0000-0000-00005A900000}"/>
    <cellStyle name="Separador de milhares 3 6 3 13" xfId="17502" xr:uid="{00000000-0005-0000-0000-00005B900000}"/>
    <cellStyle name="Separador de milhares 3 6 3 13 2" xfId="43695" xr:uid="{00000000-0005-0000-0000-00005C900000}"/>
    <cellStyle name="Separador de milhares 3 6 3 14" xfId="11167" xr:uid="{00000000-0005-0000-0000-00005D900000}"/>
    <cellStyle name="Separador de milhares 3 6 3 14 2" xfId="37360" xr:uid="{00000000-0005-0000-0000-00005E900000}"/>
    <cellStyle name="Separador de milhares 3 6 3 15" xfId="29278" xr:uid="{00000000-0005-0000-0000-00005F900000}"/>
    <cellStyle name="Separador de milhares 3 6 3 2" xfId="507" xr:uid="{00000000-0005-0000-0000-000060900000}"/>
    <cellStyle name="Separador de milhares 3 6 3 2 2" xfId="6550" xr:uid="{00000000-0005-0000-0000-000061900000}"/>
    <cellStyle name="Separador de milhares 3 6 3 2 2 2" xfId="9697" xr:uid="{00000000-0005-0000-0000-000062900000}"/>
    <cellStyle name="Separador de milhares 3 6 3 2 2 2 2" xfId="27911" xr:uid="{00000000-0005-0000-0000-000063900000}"/>
    <cellStyle name="Separador de milhares 3 6 3 2 2 2 2 2" xfId="54092" xr:uid="{00000000-0005-0000-0000-000064900000}"/>
    <cellStyle name="Separador de milhares 3 6 3 2 2 2 3" xfId="21997" xr:uid="{00000000-0005-0000-0000-000065900000}"/>
    <cellStyle name="Separador de milhares 3 6 3 2 2 2 3 2" xfId="48184" xr:uid="{00000000-0005-0000-0000-000066900000}"/>
    <cellStyle name="Separador de milhares 3 6 3 2 2 2 4" xfId="16083" xr:uid="{00000000-0005-0000-0000-000067900000}"/>
    <cellStyle name="Separador de milhares 3 6 3 2 2 2 4 2" xfId="42276" xr:uid="{00000000-0005-0000-0000-000068900000}"/>
    <cellStyle name="Separador de milhares 3 6 3 2 2 2 5" xfId="35890" xr:uid="{00000000-0005-0000-0000-000069900000}"/>
    <cellStyle name="Separador de milhares 3 6 3 2 2 3" xfId="24954" xr:uid="{00000000-0005-0000-0000-00006A900000}"/>
    <cellStyle name="Separador de milhares 3 6 3 2 2 3 2" xfId="51138" xr:uid="{00000000-0005-0000-0000-00006B900000}"/>
    <cellStyle name="Separador de milhares 3 6 3 2 2 4" xfId="19040" xr:uid="{00000000-0005-0000-0000-00006C900000}"/>
    <cellStyle name="Separador de milhares 3 6 3 2 2 4 2" xfId="45230" xr:uid="{00000000-0005-0000-0000-00006D900000}"/>
    <cellStyle name="Separador de milhares 3 6 3 2 2 5" xfId="12939" xr:uid="{00000000-0005-0000-0000-00006E900000}"/>
    <cellStyle name="Separador de milhares 3 6 3 2 2 5 2" xfId="39132" xr:uid="{00000000-0005-0000-0000-00006F900000}"/>
    <cellStyle name="Separador de milhares 3 6 3 2 2 6" xfId="32746" xr:uid="{00000000-0005-0000-0000-000070900000}"/>
    <cellStyle name="Separador de milhares 3 6 3 2 3" xfId="8226" xr:uid="{00000000-0005-0000-0000-000071900000}"/>
    <cellStyle name="Separador de milhares 3 6 3 2 3 2" xfId="26440" xr:uid="{00000000-0005-0000-0000-000072900000}"/>
    <cellStyle name="Separador de milhares 3 6 3 2 3 2 2" xfId="52624" xr:uid="{00000000-0005-0000-0000-000073900000}"/>
    <cellStyle name="Separador de milhares 3 6 3 2 3 3" xfId="20526" xr:uid="{00000000-0005-0000-0000-000074900000}"/>
    <cellStyle name="Separador de milhares 3 6 3 2 3 3 2" xfId="46716" xr:uid="{00000000-0005-0000-0000-000075900000}"/>
    <cellStyle name="Separador de milhares 3 6 3 2 3 4" xfId="14615" xr:uid="{00000000-0005-0000-0000-000076900000}"/>
    <cellStyle name="Separador de milhares 3 6 3 2 3 4 2" xfId="40808" xr:uid="{00000000-0005-0000-0000-000077900000}"/>
    <cellStyle name="Separador de milhares 3 6 3 2 3 5" xfId="34422" xr:uid="{00000000-0005-0000-0000-000078900000}"/>
    <cellStyle name="Separador de milhares 3 6 3 2 4" xfId="4849" xr:uid="{00000000-0005-0000-0000-000079900000}"/>
    <cellStyle name="Separador de milhares 3 6 3 2 4 2" xfId="23483" xr:uid="{00000000-0005-0000-0000-00007A900000}"/>
    <cellStyle name="Separador de milhares 3 6 3 2 4 2 2" xfId="49670" xr:uid="{00000000-0005-0000-0000-00007B900000}"/>
    <cellStyle name="Separador de milhares 3 6 3 2 4 3" xfId="31047" xr:uid="{00000000-0005-0000-0000-00007C900000}"/>
    <cellStyle name="Separador de milhares 3 6 3 2 5" xfId="17569" xr:uid="{00000000-0005-0000-0000-00007D900000}"/>
    <cellStyle name="Separador de milhares 3 6 3 2 5 2" xfId="43762" xr:uid="{00000000-0005-0000-0000-00007E900000}"/>
    <cellStyle name="Separador de milhares 3 6 3 2 6" xfId="11238" xr:uid="{00000000-0005-0000-0000-00007F900000}"/>
    <cellStyle name="Separador de milhares 3 6 3 2 6 2" xfId="37431" xr:uid="{00000000-0005-0000-0000-000080900000}"/>
    <cellStyle name="Separador de milhares 3 6 3 2 7" xfId="29349" xr:uid="{00000000-0005-0000-0000-000081900000}"/>
    <cellStyle name="Separador de milhares 3 6 3 3" xfId="804" xr:uid="{00000000-0005-0000-0000-000082900000}"/>
    <cellStyle name="Separador de milhares 3 6 3 3 2" xfId="6652" xr:uid="{00000000-0005-0000-0000-000083900000}"/>
    <cellStyle name="Separador de milhares 3 6 3 3 2 2" xfId="9799" xr:uid="{00000000-0005-0000-0000-000084900000}"/>
    <cellStyle name="Separador de milhares 3 6 3 3 2 2 2" xfId="28013" xr:uid="{00000000-0005-0000-0000-000085900000}"/>
    <cellStyle name="Separador de milhares 3 6 3 3 2 2 2 2" xfId="54194" xr:uid="{00000000-0005-0000-0000-000086900000}"/>
    <cellStyle name="Separador de milhares 3 6 3 3 2 2 3" xfId="22099" xr:uid="{00000000-0005-0000-0000-000087900000}"/>
    <cellStyle name="Separador de milhares 3 6 3 3 2 2 3 2" xfId="48286" xr:uid="{00000000-0005-0000-0000-000088900000}"/>
    <cellStyle name="Separador de milhares 3 6 3 3 2 2 4" xfId="16185" xr:uid="{00000000-0005-0000-0000-000089900000}"/>
    <cellStyle name="Separador de milhares 3 6 3 3 2 2 4 2" xfId="42378" xr:uid="{00000000-0005-0000-0000-00008A900000}"/>
    <cellStyle name="Separador de milhares 3 6 3 3 2 2 5" xfId="35992" xr:uid="{00000000-0005-0000-0000-00008B900000}"/>
    <cellStyle name="Separador de milhares 3 6 3 3 2 3" xfId="25056" xr:uid="{00000000-0005-0000-0000-00008C900000}"/>
    <cellStyle name="Separador de milhares 3 6 3 3 2 3 2" xfId="51240" xr:uid="{00000000-0005-0000-0000-00008D900000}"/>
    <cellStyle name="Separador de milhares 3 6 3 3 2 4" xfId="19142" xr:uid="{00000000-0005-0000-0000-00008E900000}"/>
    <cellStyle name="Separador de milhares 3 6 3 3 2 4 2" xfId="45332" xr:uid="{00000000-0005-0000-0000-00008F900000}"/>
    <cellStyle name="Separador de milhares 3 6 3 3 2 5" xfId="13041" xr:uid="{00000000-0005-0000-0000-000090900000}"/>
    <cellStyle name="Separador de milhares 3 6 3 3 2 5 2" xfId="39234" xr:uid="{00000000-0005-0000-0000-000091900000}"/>
    <cellStyle name="Separador de milhares 3 6 3 3 2 6" xfId="32848" xr:uid="{00000000-0005-0000-0000-000092900000}"/>
    <cellStyle name="Separador de milhares 3 6 3 3 3" xfId="8331" xr:uid="{00000000-0005-0000-0000-000093900000}"/>
    <cellStyle name="Separador de milhares 3 6 3 3 3 2" xfId="26545" xr:uid="{00000000-0005-0000-0000-000094900000}"/>
    <cellStyle name="Separador de milhares 3 6 3 3 3 2 2" xfId="52726" xr:uid="{00000000-0005-0000-0000-000095900000}"/>
    <cellStyle name="Separador de milhares 3 6 3 3 3 3" xfId="20631" xr:uid="{00000000-0005-0000-0000-000096900000}"/>
    <cellStyle name="Separador de milhares 3 6 3 3 3 3 2" xfId="46818" xr:uid="{00000000-0005-0000-0000-000097900000}"/>
    <cellStyle name="Separador de milhares 3 6 3 3 3 4" xfId="14717" xr:uid="{00000000-0005-0000-0000-000098900000}"/>
    <cellStyle name="Separador de milhares 3 6 3 3 3 4 2" xfId="40910" xr:uid="{00000000-0005-0000-0000-000099900000}"/>
    <cellStyle name="Separador de milhares 3 6 3 3 3 5" xfId="34524" xr:uid="{00000000-0005-0000-0000-00009A900000}"/>
    <cellStyle name="Separador de milhares 3 6 3 3 4" xfId="4953" xr:uid="{00000000-0005-0000-0000-00009B900000}"/>
    <cellStyle name="Separador de milhares 3 6 3 3 4 2" xfId="23588" xr:uid="{00000000-0005-0000-0000-00009C900000}"/>
    <cellStyle name="Separador de milhares 3 6 3 3 4 2 2" xfId="49772" xr:uid="{00000000-0005-0000-0000-00009D900000}"/>
    <cellStyle name="Separador de milhares 3 6 3 3 4 3" xfId="31149" xr:uid="{00000000-0005-0000-0000-00009E900000}"/>
    <cellStyle name="Separador de milhares 3 6 3 3 5" xfId="17674" xr:uid="{00000000-0005-0000-0000-00009F900000}"/>
    <cellStyle name="Separador de milhares 3 6 3 3 5 2" xfId="43864" xr:uid="{00000000-0005-0000-0000-0000A0900000}"/>
    <cellStyle name="Separador de milhares 3 6 3 3 6" xfId="11340" xr:uid="{00000000-0005-0000-0000-0000A1900000}"/>
    <cellStyle name="Separador de milhares 3 6 3 3 6 2" xfId="37533" xr:uid="{00000000-0005-0000-0000-0000A2900000}"/>
    <cellStyle name="Separador de milhares 3 6 3 3 7" xfId="29451" xr:uid="{00000000-0005-0000-0000-0000A3900000}"/>
    <cellStyle name="Separador de milhares 3 6 3 4" xfId="1155" xr:uid="{00000000-0005-0000-0000-0000A4900000}"/>
    <cellStyle name="Separador de milhares 3 6 3 4 2" xfId="6750" xr:uid="{00000000-0005-0000-0000-0000A5900000}"/>
    <cellStyle name="Separador de milhares 3 6 3 4 2 2" xfId="9897" xr:uid="{00000000-0005-0000-0000-0000A6900000}"/>
    <cellStyle name="Separador de milhares 3 6 3 4 2 2 2" xfId="28111" xr:uid="{00000000-0005-0000-0000-0000A7900000}"/>
    <cellStyle name="Separador de milhares 3 6 3 4 2 2 2 2" xfId="54292" xr:uid="{00000000-0005-0000-0000-0000A8900000}"/>
    <cellStyle name="Separador de milhares 3 6 3 4 2 2 3" xfId="22197" xr:uid="{00000000-0005-0000-0000-0000A9900000}"/>
    <cellStyle name="Separador de milhares 3 6 3 4 2 2 3 2" xfId="48384" xr:uid="{00000000-0005-0000-0000-0000AA900000}"/>
    <cellStyle name="Separador de milhares 3 6 3 4 2 2 4" xfId="16283" xr:uid="{00000000-0005-0000-0000-0000AB900000}"/>
    <cellStyle name="Separador de milhares 3 6 3 4 2 2 4 2" xfId="42476" xr:uid="{00000000-0005-0000-0000-0000AC900000}"/>
    <cellStyle name="Separador de milhares 3 6 3 4 2 2 5" xfId="36090" xr:uid="{00000000-0005-0000-0000-0000AD900000}"/>
    <cellStyle name="Separador de milhares 3 6 3 4 2 3" xfId="25154" xr:uid="{00000000-0005-0000-0000-0000AE900000}"/>
    <cellStyle name="Separador de milhares 3 6 3 4 2 3 2" xfId="51338" xr:uid="{00000000-0005-0000-0000-0000AF900000}"/>
    <cellStyle name="Separador de milhares 3 6 3 4 2 4" xfId="19240" xr:uid="{00000000-0005-0000-0000-0000B0900000}"/>
    <cellStyle name="Separador de milhares 3 6 3 4 2 4 2" xfId="45430" xr:uid="{00000000-0005-0000-0000-0000B1900000}"/>
    <cellStyle name="Separador de milhares 3 6 3 4 2 5" xfId="13139" xr:uid="{00000000-0005-0000-0000-0000B2900000}"/>
    <cellStyle name="Separador de milhares 3 6 3 4 2 5 2" xfId="39332" xr:uid="{00000000-0005-0000-0000-0000B3900000}"/>
    <cellStyle name="Separador de milhares 3 6 3 4 2 6" xfId="32946" xr:uid="{00000000-0005-0000-0000-0000B4900000}"/>
    <cellStyle name="Separador de milhares 3 6 3 4 3" xfId="8429" xr:uid="{00000000-0005-0000-0000-0000B5900000}"/>
    <cellStyle name="Separador de milhares 3 6 3 4 3 2" xfId="26643" xr:uid="{00000000-0005-0000-0000-0000B6900000}"/>
    <cellStyle name="Separador de milhares 3 6 3 4 3 2 2" xfId="52824" xr:uid="{00000000-0005-0000-0000-0000B7900000}"/>
    <cellStyle name="Separador de milhares 3 6 3 4 3 3" xfId="20729" xr:uid="{00000000-0005-0000-0000-0000B8900000}"/>
    <cellStyle name="Separador de milhares 3 6 3 4 3 3 2" xfId="46916" xr:uid="{00000000-0005-0000-0000-0000B9900000}"/>
    <cellStyle name="Separador de milhares 3 6 3 4 3 4" xfId="14815" xr:uid="{00000000-0005-0000-0000-0000BA900000}"/>
    <cellStyle name="Separador de milhares 3 6 3 4 3 4 2" xfId="41008" xr:uid="{00000000-0005-0000-0000-0000BB900000}"/>
    <cellStyle name="Separador de milhares 3 6 3 4 3 5" xfId="34622" xr:uid="{00000000-0005-0000-0000-0000BC900000}"/>
    <cellStyle name="Separador de milhares 3 6 3 4 4" xfId="5051" xr:uid="{00000000-0005-0000-0000-0000BD900000}"/>
    <cellStyle name="Separador de milhares 3 6 3 4 4 2" xfId="23686" xr:uid="{00000000-0005-0000-0000-0000BE900000}"/>
    <cellStyle name="Separador de milhares 3 6 3 4 4 2 2" xfId="49870" xr:uid="{00000000-0005-0000-0000-0000BF900000}"/>
    <cellStyle name="Separador de milhares 3 6 3 4 4 3" xfId="31247" xr:uid="{00000000-0005-0000-0000-0000C0900000}"/>
    <cellStyle name="Separador de milhares 3 6 3 4 5" xfId="17772" xr:uid="{00000000-0005-0000-0000-0000C1900000}"/>
    <cellStyle name="Separador de milhares 3 6 3 4 5 2" xfId="43962" xr:uid="{00000000-0005-0000-0000-0000C2900000}"/>
    <cellStyle name="Separador de milhares 3 6 3 4 6" xfId="11438" xr:uid="{00000000-0005-0000-0000-0000C3900000}"/>
    <cellStyle name="Separador de milhares 3 6 3 4 6 2" xfId="37631" xr:uid="{00000000-0005-0000-0000-0000C4900000}"/>
    <cellStyle name="Separador de milhares 3 6 3 4 7" xfId="29549" xr:uid="{00000000-0005-0000-0000-0000C5900000}"/>
    <cellStyle name="Separador de milhares 3 6 3 5" xfId="1590" xr:uid="{00000000-0005-0000-0000-0000C6900000}"/>
    <cellStyle name="Separador de milhares 3 6 3 5 2" xfId="6869" xr:uid="{00000000-0005-0000-0000-0000C7900000}"/>
    <cellStyle name="Separador de milhares 3 6 3 5 2 2" xfId="10016" xr:uid="{00000000-0005-0000-0000-0000C8900000}"/>
    <cellStyle name="Separador de milhares 3 6 3 5 2 2 2" xfId="28230" xr:uid="{00000000-0005-0000-0000-0000C9900000}"/>
    <cellStyle name="Separador de milhares 3 6 3 5 2 2 2 2" xfId="54411" xr:uid="{00000000-0005-0000-0000-0000CA900000}"/>
    <cellStyle name="Separador de milhares 3 6 3 5 2 2 3" xfId="22316" xr:uid="{00000000-0005-0000-0000-0000CB900000}"/>
    <cellStyle name="Separador de milhares 3 6 3 5 2 2 3 2" xfId="48503" xr:uid="{00000000-0005-0000-0000-0000CC900000}"/>
    <cellStyle name="Separador de milhares 3 6 3 5 2 2 4" xfId="16402" xr:uid="{00000000-0005-0000-0000-0000CD900000}"/>
    <cellStyle name="Separador de milhares 3 6 3 5 2 2 4 2" xfId="42595" xr:uid="{00000000-0005-0000-0000-0000CE900000}"/>
    <cellStyle name="Separador de milhares 3 6 3 5 2 2 5" xfId="36209" xr:uid="{00000000-0005-0000-0000-0000CF900000}"/>
    <cellStyle name="Separador de milhares 3 6 3 5 2 3" xfId="25273" xr:uid="{00000000-0005-0000-0000-0000D0900000}"/>
    <cellStyle name="Separador de milhares 3 6 3 5 2 3 2" xfId="51457" xr:uid="{00000000-0005-0000-0000-0000D1900000}"/>
    <cellStyle name="Separador de milhares 3 6 3 5 2 4" xfId="19359" xr:uid="{00000000-0005-0000-0000-0000D2900000}"/>
    <cellStyle name="Separador de milhares 3 6 3 5 2 4 2" xfId="45549" xr:uid="{00000000-0005-0000-0000-0000D3900000}"/>
    <cellStyle name="Separador de milhares 3 6 3 5 2 5" xfId="13258" xr:uid="{00000000-0005-0000-0000-0000D4900000}"/>
    <cellStyle name="Separador de milhares 3 6 3 5 2 5 2" xfId="39451" xr:uid="{00000000-0005-0000-0000-0000D5900000}"/>
    <cellStyle name="Separador de milhares 3 6 3 5 2 6" xfId="33065" xr:uid="{00000000-0005-0000-0000-0000D6900000}"/>
    <cellStyle name="Separador de milhares 3 6 3 5 3" xfId="8548" xr:uid="{00000000-0005-0000-0000-0000D7900000}"/>
    <cellStyle name="Separador de milhares 3 6 3 5 3 2" xfId="26762" xr:uid="{00000000-0005-0000-0000-0000D8900000}"/>
    <cellStyle name="Separador de milhares 3 6 3 5 3 2 2" xfId="52943" xr:uid="{00000000-0005-0000-0000-0000D9900000}"/>
    <cellStyle name="Separador de milhares 3 6 3 5 3 3" xfId="20848" xr:uid="{00000000-0005-0000-0000-0000DA900000}"/>
    <cellStyle name="Separador de milhares 3 6 3 5 3 3 2" xfId="47035" xr:uid="{00000000-0005-0000-0000-0000DB900000}"/>
    <cellStyle name="Separador de milhares 3 6 3 5 3 4" xfId="14934" xr:uid="{00000000-0005-0000-0000-0000DC900000}"/>
    <cellStyle name="Separador de milhares 3 6 3 5 3 4 2" xfId="41127" xr:uid="{00000000-0005-0000-0000-0000DD900000}"/>
    <cellStyle name="Separador de milhares 3 6 3 5 3 5" xfId="34741" xr:uid="{00000000-0005-0000-0000-0000DE900000}"/>
    <cellStyle name="Separador de milhares 3 6 3 5 4" xfId="5170" xr:uid="{00000000-0005-0000-0000-0000DF900000}"/>
    <cellStyle name="Separador de milhares 3 6 3 5 4 2" xfId="23805" xr:uid="{00000000-0005-0000-0000-0000E0900000}"/>
    <cellStyle name="Separador de milhares 3 6 3 5 4 2 2" xfId="49989" xr:uid="{00000000-0005-0000-0000-0000E1900000}"/>
    <cellStyle name="Separador de milhares 3 6 3 5 4 3" xfId="31366" xr:uid="{00000000-0005-0000-0000-0000E2900000}"/>
    <cellStyle name="Separador de milhares 3 6 3 5 5" xfId="17891" xr:uid="{00000000-0005-0000-0000-0000E3900000}"/>
    <cellStyle name="Separador de milhares 3 6 3 5 5 2" xfId="44081" xr:uid="{00000000-0005-0000-0000-0000E4900000}"/>
    <cellStyle name="Separador de milhares 3 6 3 5 6" xfId="11557" xr:uid="{00000000-0005-0000-0000-0000E5900000}"/>
    <cellStyle name="Separador de milhares 3 6 3 5 6 2" xfId="37750" xr:uid="{00000000-0005-0000-0000-0000E6900000}"/>
    <cellStyle name="Separador de milhares 3 6 3 5 7" xfId="29668" xr:uid="{00000000-0005-0000-0000-0000E7900000}"/>
    <cellStyle name="Separador de milhares 3 6 3 6" xfId="2120" xr:uid="{00000000-0005-0000-0000-0000E8900000}"/>
    <cellStyle name="Separador de milhares 3 6 3 6 2" xfId="7019" xr:uid="{00000000-0005-0000-0000-0000E9900000}"/>
    <cellStyle name="Separador de milhares 3 6 3 6 2 2" xfId="10163" xr:uid="{00000000-0005-0000-0000-0000EA900000}"/>
    <cellStyle name="Separador de milhares 3 6 3 6 2 2 2" xfId="28377" xr:uid="{00000000-0005-0000-0000-0000EB900000}"/>
    <cellStyle name="Separador de milhares 3 6 3 6 2 2 2 2" xfId="54558" xr:uid="{00000000-0005-0000-0000-0000EC900000}"/>
    <cellStyle name="Separador de milhares 3 6 3 6 2 2 3" xfId="22463" xr:uid="{00000000-0005-0000-0000-0000ED900000}"/>
    <cellStyle name="Separador de milhares 3 6 3 6 2 2 3 2" xfId="48650" xr:uid="{00000000-0005-0000-0000-0000EE900000}"/>
    <cellStyle name="Separador de milhares 3 6 3 6 2 2 4" xfId="16549" xr:uid="{00000000-0005-0000-0000-0000EF900000}"/>
    <cellStyle name="Separador de milhares 3 6 3 6 2 2 4 2" xfId="42742" xr:uid="{00000000-0005-0000-0000-0000F0900000}"/>
    <cellStyle name="Separador de milhares 3 6 3 6 2 2 5" xfId="36356" xr:uid="{00000000-0005-0000-0000-0000F1900000}"/>
    <cellStyle name="Separador de milhares 3 6 3 6 2 3" xfId="25420" xr:uid="{00000000-0005-0000-0000-0000F2900000}"/>
    <cellStyle name="Separador de milhares 3 6 3 6 2 3 2" xfId="51604" xr:uid="{00000000-0005-0000-0000-0000F3900000}"/>
    <cellStyle name="Separador de milhares 3 6 3 6 2 4" xfId="19506" xr:uid="{00000000-0005-0000-0000-0000F4900000}"/>
    <cellStyle name="Separador de milhares 3 6 3 6 2 4 2" xfId="45696" xr:uid="{00000000-0005-0000-0000-0000F5900000}"/>
    <cellStyle name="Separador de milhares 3 6 3 6 2 5" xfId="13408" xr:uid="{00000000-0005-0000-0000-0000F6900000}"/>
    <cellStyle name="Separador de milhares 3 6 3 6 2 5 2" xfId="39601" xr:uid="{00000000-0005-0000-0000-0000F7900000}"/>
    <cellStyle name="Separador de milhares 3 6 3 6 2 6" xfId="33215" xr:uid="{00000000-0005-0000-0000-0000F8900000}"/>
    <cellStyle name="Separador de milhares 3 6 3 6 3" xfId="8695" xr:uid="{00000000-0005-0000-0000-0000F9900000}"/>
    <cellStyle name="Separador de milhares 3 6 3 6 3 2" xfId="26909" xr:uid="{00000000-0005-0000-0000-0000FA900000}"/>
    <cellStyle name="Separador de milhares 3 6 3 6 3 2 2" xfId="53090" xr:uid="{00000000-0005-0000-0000-0000FB900000}"/>
    <cellStyle name="Separador de milhares 3 6 3 6 3 3" xfId="20995" xr:uid="{00000000-0005-0000-0000-0000FC900000}"/>
    <cellStyle name="Separador de milhares 3 6 3 6 3 3 2" xfId="47182" xr:uid="{00000000-0005-0000-0000-0000FD900000}"/>
    <cellStyle name="Separador de milhares 3 6 3 6 3 4" xfId="15081" xr:uid="{00000000-0005-0000-0000-0000FE900000}"/>
    <cellStyle name="Separador de milhares 3 6 3 6 3 4 2" xfId="41274" xr:uid="{00000000-0005-0000-0000-0000FF900000}"/>
    <cellStyle name="Separador de milhares 3 6 3 6 3 5" xfId="34888" xr:uid="{00000000-0005-0000-0000-000000910000}"/>
    <cellStyle name="Separador de milhares 3 6 3 6 4" xfId="5320" xr:uid="{00000000-0005-0000-0000-000001910000}"/>
    <cellStyle name="Separador de milhares 3 6 3 6 4 2" xfId="23952" xr:uid="{00000000-0005-0000-0000-000002910000}"/>
    <cellStyle name="Separador de milhares 3 6 3 6 4 2 2" xfId="50136" xr:uid="{00000000-0005-0000-0000-000003910000}"/>
    <cellStyle name="Separador de milhares 3 6 3 6 4 3" xfId="31516" xr:uid="{00000000-0005-0000-0000-000004910000}"/>
    <cellStyle name="Separador de milhares 3 6 3 6 5" xfId="18038" xr:uid="{00000000-0005-0000-0000-000005910000}"/>
    <cellStyle name="Separador de milhares 3 6 3 6 5 2" xfId="44228" xr:uid="{00000000-0005-0000-0000-000006910000}"/>
    <cellStyle name="Separador de milhares 3 6 3 6 6" xfId="11707" xr:uid="{00000000-0005-0000-0000-000007910000}"/>
    <cellStyle name="Separador de milhares 3 6 3 6 6 2" xfId="37900" xr:uid="{00000000-0005-0000-0000-000008910000}"/>
    <cellStyle name="Separador de milhares 3 6 3 6 7" xfId="29818" xr:uid="{00000000-0005-0000-0000-000009910000}"/>
    <cellStyle name="Separador de milhares 3 6 3 7" xfId="2647" xr:uid="{00000000-0005-0000-0000-00000A910000}"/>
    <cellStyle name="Separador de milhares 3 6 3 7 2" xfId="7166" xr:uid="{00000000-0005-0000-0000-00000B910000}"/>
    <cellStyle name="Separador de milhares 3 6 3 7 2 2" xfId="10310" xr:uid="{00000000-0005-0000-0000-00000C910000}"/>
    <cellStyle name="Separador de milhares 3 6 3 7 2 2 2" xfId="28524" xr:uid="{00000000-0005-0000-0000-00000D910000}"/>
    <cellStyle name="Separador de milhares 3 6 3 7 2 2 2 2" xfId="54705" xr:uid="{00000000-0005-0000-0000-00000E910000}"/>
    <cellStyle name="Separador de milhares 3 6 3 7 2 2 3" xfId="22610" xr:uid="{00000000-0005-0000-0000-00000F910000}"/>
    <cellStyle name="Separador de milhares 3 6 3 7 2 2 3 2" xfId="48797" xr:uid="{00000000-0005-0000-0000-000010910000}"/>
    <cellStyle name="Separador de milhares 3 6 3 7 2 2 4" xfId="16696" xr:uid="{00000000-0005-0000-0000-000011910000}"/>
    <cellStyle name="Separador de milhares 3 6 3 7 2 2 4 2" xfId="42889" xr:uid="{00000000-0005-0000-0000-000012910000}"/>
    <cellStyle name="Separador de milhares 3 6 3 7 2 2 5" xfId="36503" xr:uid="{00000000-0005-0000-0000-000013910000}"/>
    <cellStyle name="Separador de milhares 3 6 3 7 2 3" xfId="25567" xr:uid="{00000000-0005-0000-0000-000014910000}"/>
    <cellStyle name="Separador de milhares 3 6 3 7 2 3 2" xfId="51751" xr:uid="{00000000-0005-0000-0000-000015910000}"/>
    <cellStyle name="Separador de milhares 3 6 3 7 2 4" xfId="19653" xr:uid="{00000000-0005-0000-0000-000016910000}"/>
    <cellStyle name="Separador de milhares 3 6 3 7 2 4 2" xfId="45843" xr:uid="{00000000-0005-0000-0000-000017910000}"/>
    <cellStyle name="Separador de milhares 3 6 3 7 2 5" xfId="13555" xr:uid="{00000000-0005-0000-0000-000018910000}"/>
    <cellStyle name="Separador de milhares 3 6 3 7 2 5 2" xfId="39748" xr:uid="{00000000-0005-0000-0000-000019910000}"/>
    <cellStyle name="Separador de milhares 3 6 3 7 2 6" xfId="33362" xr:uid="{00000000-0005-0000-0000-00001A910000}"/>
    <cellStyle name="Separador de milhares 3 6 3 7 3" xfId="8842" xr:uid="{00000000-0005-0000-0000-00001B910000}"/>
    <cellStyle name="Separador de milhares 3 6 3 7 3 2" xfId="27056" xr:uid="{00000000-0005-0000-0000-00001C910000}"/>
    <cellStyle name="Separador de milhares 3 6 3 7 3 2 2" xfId="53237" xr:uid="{00000000-0005-0000-0000-00001D910000}"/>
    <cellStyle name="Separador de milhares 3 6 3 7 3 3" xfId="21142" xr:uid="{00000000-0005-0000-0000-00001E910000}"/>
    <cellStyle name="Separador de milhares 3 6 3 7 3 3 2" xfId="47329" xr:uid="{00000000-0005-0000-0000-00001F910000}"/>
    <cellStyle name="Separador de milhares 3 6 3 7 3 4" xfId="15228" xr:uid="{00000000-0005-0000-0000-000020910000}"/>
    <cellStyle name="Separador de milhares 3 6 3 7 3 4 2" xfId="41421" xr:uid="{00000000-0005-0000-0000-000021910000}"/>
    <cellStyle name="Separador de milhares 3 6 3 7 3 5" xfId="35035" xr:uid="{00000000-0005-0000-0000-000022910000}"/>
    <cellStyle name="Separador de milhares 3 6 3 7 4" xfId="5467" xr:uid="{00000000-0005-0000-0000-000023910000}"/>
    <cellStyle name="Separador de milhares 3 6 3 7 4 2" xfId="24099" xr:uid="{00000000-0005-0000-0000-000024910000}"/>
    <cellStyle name="Separador de milhares 3 6 3 7 4 2 2" xfId="50283" xr:uid="{00000000-0005-0000-0000-000025910000}"/>
    <cellStyle name="Separador de milhares 3 6 3 7 4 3" xfId="31663" xr:uid="{00000000-0005-0000-0000-000026910000}"/>
    <cellStyle name="Separador de milhares 3 6 3 7 5" xfId="18185" xr:uid="{00000000-0005-0000-0000-000027910000}"/>
    <cellStyle name="Separador de milhares 3 6 3 7 5 2" xfId="44375" xr:uid="{00000000-0005-0000-0000-000028910000}"/>
    <cellStyle name="Separador de milhares 3 6 3 7 6" xfId="11854" xr:uid="{00000000-0005-0000-0000-000029910000}"/>
    <cellStyle name="Separador de milhares 3 6 3 7 6 2" xfId="38047" xr:uid="{00000000-0005-0000-0000-00002A910000}"/>
    <cellStyle name="Separador de milhares 3 6 3 7 7" xfId="29965" xr:uid="{00000000-0005-0000-0000-00002B910000}"/>
    <cellStyle name="Separador de milhares 3 6 3 8" xfId="3174" xr:uid="{00000000-0005-0000-0000-00002C910000}"/>
    <cellStyle name="Separador de milhares 3 6 3 8 2" xfId="7313" xr:uid="{00000000-0005-0000-0000-00002D910000}"/>
    <cellStyle name="Separador de milhares 3 6 3 8 2 2" xfId="10457" xr:uid="{00000000-0005-0000-0000-00002E910000}"/>
    <cellStyle name="Separador de milhares 3 6 3 8 2 2 2" xfId="28671" xr:uid="{00000000-0005-0000-0000-00002F910000}"/>
    <cellStyle name="Separador de milhares 3 6 3 8 2 2 2 2" xfId="54852" xr:uid="{00000000-0005-0000-0000-000030910000}"/>
    <cellStyle name="Separador de milhares 3 6 3 8 2 2 3" xfId="22757" xr:uid="{00000000-0005-0000-0000-000031910000}"/>
    <cellStyle name="Separador de milhares 3 6 3 8 2 2 3 2" xfId="48944" xr:uid="{00000000-0005-0000-0000-000032910000}"/>
    <cellStyle name="Separador de milhares 3 6 3 8 2 2 4" xfId="16843" xr:uid="{00000000-0005-0000-0000-000033910000}"/>
    <cellStyle name="Separador de milhares 3 6 3 8 2 2 4 2" xfId="43036" xr:uid="{00000000-0005-0000-0000-000034910000}"/>
    <cellStyle name="Separador de milhares 3 6 3 8 2 2 5" xfId="36650" xr:uid="{00000000-0005-0000-0000-000035910000}"/>
    <cellStyle name="Separador de milhares 3 6 3 8 2 3" xfId="25714" xr:uid="{00000000-0005-0000-0000-000036910000}"/>
    <cellStyle name="Separador de milhares 3 6 3 8 2 3 2" xfId="51898" xr:uid="{00000000-0005-0000-0000-000037910000}"/>
    <cellStyle name="Separador de milhares 3 6 3 8 2 4" xfId="19800" xr:uid="{00000000-0005-0000-0000-000038910000}"/>
    <cellStyle name="Separador de milhares 3 6 3 8 2 4 2" xfId="45990" xr:uid="{00000000-0005-0000-0000-000039910000}"/>
    <cellStyle name="Separador de milhares 3 6 3 8 2 5" xfId="13702" xr:uid="{00000000-0005-0000-0000-00003A910000}"/>
    <cellStyle name="Separador de milhares 3 6 3 8 2 5 2" xfId="39895" xr:uid="{00000000-0005-0000-0000-00003B910000}"/>
    <cellStyle name="Separador de milhares 3 6 3 8 2 6" xfId="33509" xr:uid="{00000000-0005-0000-0000-00003C910000}"/>
    <cellStyle name="Separador de milhares 3 6 3 8 3" xfId="8989" xr:uid="{00000000-0005-0000-0000-00003D910000}"/>
    <cellStyle name="Separador de milhares 3 6 3 8 3 2" xfId="27203" xr:uid="{00000000-0005-0000-0000-00003E910000}"/>
    <cellStyle name="Separador de milhares 3 6 3 8 3 2 2" xfId="53384" xr:uid="{00000000-0005-0000-0000-00003F910000}"/>
    <cellStyle name="Separador de milhares 3 6 3 8 3 3" xfId="21289" xr:uid="{00000000-0005-0000-0000-000040910000}"/>
    <cellStyle name="Separador de milhares 3 6 3 8 3 3 2" xfId="47476" xr:uid="{00000000-0005-0000-0000-000041910000}"/>
    <cellStyle name="Separador de milhares 3 6 3 8 3 4" xfId="15375" xr:uid="{00000000-0005-0000-0000-000042910000}"/>
    <cellStyle name="Separador de milhares 3 6 3 8 3 4 2" xfId="41568" xr:uid="{00000000-0005-0000-0000-000043910000}"/>
    <cellStyle name="Separador de milhares 3 6 3 8 3 5" xfId="35182" xr:uid="{00000000-0005-0000-0000-000044910000}"/>
    <cellStyle name="Separador de milhares 3 6 3 8 4" xfId="5614" xr:uid="{00000000-0005-0000-0000-000045910000}"/>
    <cellStyle name="Separador de milhares 3 6 3 8 4 2" xfId="24246" xr:uid="{00000000-0005-0000-0000-000046910000}"/>
    <cellStyle name="Separador de milhares 3 6 3 8 4 2 2" xfId="50430" xr:uid="{00000000-0005-0000-0000-000047910000}"/>
    <cellStyle name="Separador de milhares 3 6 3 8 4 3" xfId="31810" xr:uid="{00000000-0005-0000-0000-000048910000}"/>
    <cellStyle name="Separador de milhares 3 6 3 8 5" xfId="18332" xr:uid="{00000000-0005-0000-0000-000049910000}"/>
    <cellStyle name="Separador de milhares 3 6 3 8 5 2" xfId="44522" xr:uid="{00000000-0005-0000-0000-00004A910000}"/>
    <cellStyle name="Separador de milhares 3 6 3 8 6" xfId="12001" xr:uid="{00000000-0005-0000-0000-00004B910000}"/>
    <cellStyle name="Separador de milhares 3 6 3 8 6 2" xfId="38194" xr:uid="{00000000-0005-0000-0000-00004C910000}"/>
    <cellStyle name="Separador de milhares 3 6 3 8 7" xfId="30112" xr:uid="{00000000-0005-0000-0000-00004D910000}"/>
    <cellStyle name="Separador de milhares 3 6 3 9" xfId="3701" xr:uid="{00000000-0005-0000-0000-00004E910000}"/>
    <cellStyle name="Separador de milhares 3 6 3 9 2" xfId="7460" xr:uid="{00000000-0005-0000-0000-00004F910000}"/>
    <cellStyle name="Separador de milhares 3 6 3 9 2 2" xfId="10604" xr:uid="{00000000-0005-0000-0000-000050910000}"/>
    <cellStyle name="Separador de milhares 3 6 3 9 2 2 2" xfId="28818" xr:uid="{00000000-0005-0000-0000-000051910000}"/>
    <cellStyle name="Separador de milhares 3 6 3 9 2 2 2 2" xfId="54999" xr:uid="{00000000-0005-0000-0000-000052910000}"/>
    <cellStyle name="Separador de milhares 3 6 3 9 2 2 3" xfId="22904" xr:uid="{00000000-0005-0000-0000-000053910000}"/>
    <cellStyle name="Separador de milhares 3 6 3 9 2 2 3 2" xfId="49091" xr:uid="{00000000-0005-0000-0000-000054910000}"/>
    <cellStyle name="Separador de milhares 3 6 3 9 2 2 4" xfId="16990" xr:uid="{00000000-0005-0000-0000-000055910000}"/>
    <cellStyle name="Separador de milhares 3 6 3 9 2 2 4 2" xfId="43183" xr:uid="{00000000-0005-0000-0000-000056910000}"/>
    <cellStyle name="Separador de milhares 3 6 3 9 2 2 5" xfId="36797" xr:uid="{00000000-0005-0000-0000-000057910000}"/>
    <cellStyle name="Separador de milhares 3 6 3 9 2 3" xfId="25861" xr:uid="{00000000-0005-0000-0000-000058910000}"/>
    <cellStyle name="Separador de milhares 3 6 3 9 2 3 2" xfId="52045" xr:uid="{00000000-0005-0000-0000-000059910000}"/>
    <cellStyle name="Separador de milhares 3 6 3 9 2 4" xfId="19947" xr:uid="{00000000-0005-0000-0000-00005A910000}"/>
    <cellStyle name="Separador de milhares 3 6 3 9 2 4 2" xfId="46137" xr:uid="{00000000-0005-0000-0000-00005B910000}"/>
    <cellStyle name="Separador de milhares 3 6 3 9 2 5" xfId="13849" xr:uid="{00000000-0005-0000-0000-00005C910000}"/>
    <cellStyle name="Separador de milhares 3 6 3 9 2 5 2" xfId="40042" xr:uid="{00000000-0005-0000-0000-00005D910000}"/>
    <cellStyle name="Separador de milhares 3 6 3 9 2 6" xfId="33656" xr:uid="{00000000-0005-0000-0000-00005E910000}"/>
    <cellStyle name="Separador de milhares 3 6 3 9 3" xfId="9136" xr:uid="{00000000-0005-0000-0000-00005F910000}"/>
    <cellStyle name="Separador de milhares 3 6 3 9 3 2" xfId="27350" xr:uid="{00000000-0005-0000-0000-000060910000}"/>
    <cellStyle name="Separador de milhares 3 6 3 9 3 2 2" xfId="53531" xr:uid="{00000000-0005-0000-0000-000061910000}"/>
    <cellStyle name="Separador de milhares 3 6 3 9 3 3" xfId="21436" xr:uid="{00000000-0005-0000-0000-000062910000}"/>
    <cellStyle name="Separador de milhares 3 6 3 9 3 3 2" xfId="47623" xr:uid="{00000000-0005-0000-0000-000063910000}"/>
    <cellStyle name="Separador de milhares 3 6 3 9 3 4" xfId="15522" xr:uid="{00000000-0005-0000-0000-000064910000}"/>
    <cellStyle name="Separador de milhares 3 6 3 9 3 4 2" xfId="41715" xr:uid="{00000000-0005-0000-0000-000065910000}"/>
    <cellStyle name="Separador de milhares 3 6 3 9 3 5" xfId="35329" xr:uid="{00000000-0005-0000-0000-000066910000}"/>
    <cellStyle name="Separador de milhares 3 6 3 9 4" xfId="5761" xr:uid="{00000000-0005-0000-0000-000067910000}"/>
    <cellStyle name="Separador de milhares 3 6 3 9 4 2" xfId="24393" xr:uid="{00000000-0005-0000-0000-000068910000}"/>
    <cellStyle name="Separador de milhares 3 6 3 9 4 2 2" xfId="50577" xr:uid="{00000000-0005-0000-0000-000069910000}"/>
    <cellStyle name="Separador de milhares 3 6 3 9 4 3" xfId="31957" xr:uid="{00000000-0005-0000-0000-00006A910000}"/>
    <cellStyle name="Separador de milhares 3 6 3 9 5" xfId="18479" xr:uid="{00000000-0005-0000-0000-00006B910000}"/>
    <cellStyle name="Separador de milhares 3 6 3 9 5 2" xfId="44669" xr:uid="{00000000-0005-0000-0000-00006C910000}"/>
    <cellStyle name="Separador de milhares 3 6 3 9 6" xfId="12148" xr:uid="{00000000-0005-0000-0000-00006D910000}"/>
    <cellStyle name="Separador de milhares 3 6 3 9 6 2" xfId="38341" xr:uid="{00000000-0005-0000-0000-00006E910000}"/>
    <cellStyle name="Separador de milhares 3 6 3 9 7" xfId="30259" xr:uid="{00000000-0005-0000-0000-00006F910000}"/>
    <cellStyle name="Separador de milhares 3 6 4" xfId="337" xr:uid="{00000000-0005-0000-0000-000070910000}"/>
    <cellStyle name="Separador de milhares 3 6 4 10" xfId="6507" xr:uid="{00000000-0005-0000-0000-000071910000}"/>
    <cellStyle name="Separador de milhares 3 6 4 10 2" xfId="9655" xr:uid="{00000000-0005-0000-0000-000072910000}"/>
    <cellStyle name="Separador de milhares 3 6 4 10 2 2" xfId="27869" xr:uid="{00000000-0005-0000-0000-000073910000}"/>
    <cellStyle name="Separador de milhares 3 6 4 10 2 2 2" xfId="54050" xr:uid="{00000000-0005-0000-0000-000074910000}"/>
    <cellStyle name="Separador de milhares 3 6 4 10 2 3" xfId="21955" xr:uid="{00000000-0005-0000-0000-000075910000}"/>
    <cellStyle name="Separador de milhares 3 6 4 10 2 3 2" xfId="48142" xr:uid="{00000000-0005-0000-0000-000076910000}"/>
    <cellStyle name="Separador de milhares 3 6 4 10 2 4" xfId="16041" xr:uid="{00000000-0005-0000-0000-000077910000}"/>
    <cellStyle name="Separador de milhares 3 6 4 10 2 4 2" xfId="42234" xr:uid="{00000000-0005-0000-0000-000078910000}"/>
    <cellStyle name="Separador de milhares 3 6 4 10 2 5" xfId="35848" xr:uid="{00000000-0005-0000-0000-000079910000}"/>
    <cellStyle name="Separador de milhares 3 6 4 10 3" xfId="24912" xr:uid="{00000000-0005-0000-0000-00007A910000}"/>
    <cellStyle name="Separador de milhares 3 6 4 10 3 2" xfId="51096" xr:uid="{00000000-0005-0000-0000-00007B910000}"/>
    <cellStyle name="Separador de milhares 3 6 4 10 4" xfId="18998" xr:uid="{00000000-0005-0000-0000-00007C910000}"/>
    <cellStyle name="Separador de milhares 3 6 4 10 4 2" xfId="45188" xr:uid="{00000000-0005-0000-0000-00007D910000}"/>
    <cellStyle name="Separador de milhares 3 6 4 10 5" xfId="12896" xr:uid="{00000000-0005-0000-0000-00007E910000}"/>
    <cellStyle name="Separador de milhares 3 6 4 10 5 2" xfId="39089" xr:uid="{00000000-0005-0000-0000-00007F910000}"/>
    <cellStyle name="Separador de milhares 3 6 4 10 6" xfId="32703" xr:uid="{00000000-0005-0000-0000-000080910000}"/>
    <cellStyle name="Separador de milhares 3 6 4 11" xfId="8184" xr:uid="{00000000-0005-0000-0000-000081910000}"/>
    <cellStyle name="Separador de milhares 3 6 4 11 2" xfId="26398" xr:uid="{00000000-0005-0000-0000-000082910000}"/>
    <cellStyle name="Separador de milhares 3 6 4 11 2 2" xfId="52582" xr:uid="{00000000-0005-0000-0000-000083910000}"/>
    <cellStyle name="Separador de milhares 3 6 4 11 3" xfId="20484" xr:uid="{00000000-0005-0000-0000-000084910000}"/>
    <cellStyle name="Separador de milhares 3 6 4 11 3 2" xfId="46674" xr:uid="{00000000-0005-0000-0000-000085910000}"/>
    <cellStyle name="Separador de milhares 3 6 4 11 4" xfId="14573" xr:uid="{00000000-0005-0000-0000-000086910000}"/>
    <cellStyle name="Separador de milhares 3 6 4 11 4 2" xfId="40766" xr:uid="{00000000-0005-0000-0000-000087910000}"/>
    <cellStyle name="Separador de milhares 3 6 4 11 5" xfId="34380" xr:uid="{00000000-0005-0000-0000-000088910000}"/>
    <cellStyle name="Separador de milhares 3 6 4 12" xfId="4806" xr:uid="{00000000-0005-0000-0000-000089910000}"/>
    <cellStyle name="Separador de milhares 3 6 4 12 2" xfId="23441" xr:uid="{00000000-0005-0000-0000-00008A910000}"/>
    <cellStyle name="Separador de milhares 3 6 4 12 2 2" xfId="49628" xr:uid="{00000000-0005-0000-0000-00008B910000}"/>
    <cellStyle name="Separador de milhares 3 6 4 12 3" xfId="31004" xr:uid="{00000000-0005-0000-0000-00008C910000}"/>
    <cellStyle name="Separador de milhares 3 6 4 13" xfId="17527" xr:uid="{00000000-0005-0000-0000-00008D910000}"/>
    <cellStyle name="Separador de milhares 3 6 4 13 2" xfId="43720" xr:uid="{00000000-0005-0000-0000-00008E910000}"/>
    <cellStyle name="Separador de milhares 3 6 4 14" xfId="11195" xr:uid="{00000000-0005-0000-0000-00008F910000}"/>
    <cellStyle name="Separador de milhares 3 6 4 14 2" xfId="37388" xr:uid="{00000000-0005-0000-0000-000090910000}"/>
    <cellStyle name="Separador de milhares 3 6 4 15" xfId="29306" xr:uid="{00000000-0005-0000-0000-000091910000}"/>
    <cellStyle name="Separador de milhares 3 6 4 2" xfId="982" xr:uid="{00000000-0005-0000-0000-000092910000}"/>
    <cellStyle name="Separador de milhares 3 6 4 2 2" xfId="6704" xr:uid="{00000000-0005-0000-0000-000093910000}"/>
    <cellStyle name="Separador de milhares 3 6 4 2 2 2" xfId="9851" xr:uid="{00000000-0005-0000-0000-000094910000}"/>
    <cellStyle name="Separador de milhares 3 6 4 2 2 2 2" xfId="28065" xr:uid="{00000000-0005-0000-0000-000095910000}"/>
    <cellStyle name="Separador de milhares 3 6 4 2 2 2 2 2" xfId="54246" xr:uid="{00000000-0005-0000-0000-000096910000}"/>
    <cellStyle name="Separador de milhares 3 6 4 2 2 2 3" xfId="22151" xr:uid="{00000000-0005-0000-0000-000097910000}"/>
    <cellStyle name="Separador de milhares 3 6 4 2 2 2 3 2" xfId="48338" xr:uid="{00000000-0005-0000-0000-000098910000}"/>
    <cellStyle name="Separador de milhares 3 6 4 2 2 2 4" xfId="16237" xr:uid="{00000000-0005-0000-0000-000099910000}"/>
    <cellStyle name="Separador de milhares 3 6 4 2 2 2 4 2" xfId="42430" xr:uid="{00000000-0005-0000-0000-00009A910000}"/>
    <cellStyle name="Separador de milhares 3 6 4 2 2 2 5" xfId="36044" xr:uid="{00000000-0005-0000-0000-00009B910000}"/>
    <cellStyle name="Separador de milhares 3 6 4 2 2 3" xfId="25108" xr:uid="{00000000-0005-0000-0000-00009C910000}"/>
    <cellStyle name="Separador de milhares 3 6 4 2 2 3 2" xfId="51292" xr:uid="{00000000-0005-0000-0000-00009D910000}"/>
    <cellStyle name="Separador de milhares 3 6 4 2 2 4" xfId="19194" xr:uid="{00000000-0005-0000-0000-00009E910000}"/>
    <cellStyle name="Separador de milhares 3 6 4 2 2 4 2" xfId="45384" xr:uid="{00000000-0005-0000-0000-00009F910000}"/>
    <cellStyle name="Separador de milhares 3 6 4 2 2 5" xfId="13093" xr:uid="{00000000-0005-0000-0000-0000A0910000}"/>
    <cellStyle name="Separador de milhares 3 6 4 2 2 5 2" xfId="39286" xr:uid="{00000000-0005-0000-0000-0000A1910000}"/>
    <cellStyle name="Separador de milhares 3 6 4 2 2 6" xfId="32900" xr:uid="{00000000-0005-0000-0000-0000A2910000}"/>
    <cellStyle name="Separador de milhares 3 6 4 2 3" xfId="8383" xr:uid="{00000000-0005-0000-0000-0000A3910000}"/>
    <cellStyle name="Separador de milhares 3 6 4 2 3 2" xfId="26597" xr:uid="{00000000-0005-0000-0000-0000A4910000}"/>
    <cellStyle name="Separador de milhares 3 6 4 2 3 2 2" xfId="52778" xr:uid="{00000000-0005-0000-0000-0000A5910000}"/>
    <cellStyle name="Separador de milhares 3 6 4 2 3 3" xfId="20683" xr:uid="{00000000-0005-0000-0000-0000A6910000}"/>
    <cellStyle name="Separador de milhares 3 6 4 2 3 3 2" xfId="46870" xr:uid="{00000000-0005-0000-0000-0000A7910000}"/>
    <cellStyle name="Separador de milhares 3 6 4 2 3 4" xfId="14769" xr:uid="{00000000-0005-0000-0000-0000A8910000}"/>
    <cellStyle name="Separador de milhares 3 6 4 2 3 4 2" xfId="40962" xr:uid="{00000000-0005-0000-0000-0000A9910000}"/>
    <cellStyle name="Separador de milhares 3 6 4 2 3 5" xfId="34576" xr:uid="{00000000-0005-0000-0000-0000AA910000}"/>
    <cellStyle name="Separador de milhares 3 6 4 2 4" xfId="5005" xr:uid="{00000000-0005-0000-0000-0000AB910000}"/>
    <cellStyle name="Separador de milhares 3 6 4 2 4 2" xfId="23640" xr:uid="{00000000-0005-0000-0000-0000AC910000}"/>
    <cellStyle name="Separador de milhares 3 6 4 2 4 2 2" xfId="49824" xr:uid="{00000000-0005-0000-0000-0000AD910000}"/>
    <cellStyle name="Separador de milhares 3 6 4 2 4 3" xfId="31201" xr:uid="{00000000-0005-0000-0000-0000AE910000}"/>
    <cellStyle name="Separador de milhares 3 6 4 2 5" xfId="17726" xr:uid="{00000000-0005-0000-0000-0000AF910000}"/>
    <cellStyle name="Separador de milhares 3 6 4 2 5 2" xfId="43916" xr:uid="{00000000-0005-0000-0000-0000B0910000}"/>
    <cellStyle name="Separador de milhares 3 6 4 2 6" xfId="11392" xr:uid="{00000000-0005-0000-0000-0000B1910000}"/>
    <cellStyle name="Separador de milhares 3 6 4 2 6 2" xfId="37585" xr:uid="{00000000-0005-0000-0000-0000B2910000}"/>
    <cellStyle name="Separador de milhares 3 6 4 2 7" xfId="29503" xr:uid="{00000000-0005-0000-0000-0000B3910000}"/>
    <cellStyle name="Separador de milhares 3 6 4 3" xfId="1333" xr:uid="{00000000-0005-0000-0000-0000B4910000}"/>
    <cellStyle name="Separador de milhares 3 6 4 3 2" xfId="6802" xr:uid="{00000000-0005-0000-0000-0000B5910000}"/>
    <cellStyle name="Separador de milhares 3 6 4 3 2 2" xfId="9949" xr:uid="{00000000-0005-0000-0000-0000B6910000}"/>
    <cellStyle name="Separador de milhares 3 6 4 3 2 2 2" xfId="28163" xr:uid="{00000000-0005-0000-0000-0000B7910000}"/>
    <cellStyle name="Separador de milhares 3 6 4 3 2 2 2 2" xfId="54344" xr:uid="{00000000-0005-0000-0000-0000B8910000}"/>
    <cellStyle name="Separador de milhares 3 6 4 3 2 2 3" xfId="22249" xr:uid="{00000000-0005-0000-0000-0000B9910000}"/>
    <cellStyle name="Separador de milhares 3 6 4 3 2 2 3 2" xfId="48436" xr:uid="{00000000-0005-0000-0000-0000BA910000}"/>
    <cellStyle name="Separador de milhares 3 6 4 3 2 2 4" xfId="16335" xr:uid="{00000000-0005-0000-0000-0000BB910000}"/>
    <cellStyle name="Separador de milhares 3 6 4 3 2 2 4 2" xfId="42528" xr:uid="{00000000-0005-0000-0000-0000BC910000}"/>
    <cellStyle name="Separador de milhares 3 6 4 3 2 2 5" xfId="36142" xr:uid="{00000000-0005-0000-0000-0000BD910000}"/>
    <cellStyle name="Separador de milhares 3 6 4 3 2 3" xfId="25206" xr:uid="{00000000-0005-0000-0000-0000BE910000}"/>
    <cellStyle name="Separador de milhares 3 6 4 3 2 3 2" xfId="51390" xr:uid="{00000000-0005-0000-0000-0000BF910000}"/>
    <cellStyle name="Separador de milhares 3 6 4 3 2 4" xfId="19292" xr:uid="{00000000-0005-0000-0000-0000C0910000}"/>
    <cellStyle name="Separador de milhares 3 6 4 3 2 4 2" xfId="45482" xr:uid="{00000000-0005-0000-0000-0000C1910000}"/>
    <cellStyle name="Separador de milhares 3 6 4 3 2 5" xfId="13191" xr:uid="{00000000-0005-0000-0000-0000C2910000}"/>
    <cellStyle name="Separador de milhares 3 6 4 3 2 5 2" xfId="39384" xr:uid="{00000000-0005-0000-0000-0000C3910000}"/>
    <cellStyle name="Separador de milhares 3 6 4 3 2 6" xfId="32998" xr:uid="{00000000-0005-0000-0000-0000C4910000}"/>
    <cellStyle name="Separador de milhares 3 6 4 3 3" xfId="8481" xr:uid="{00000000-0005-0000-0000-0000C5910000}"/>
    <cellStyle name="Separador de milhares 3 6 4 3 3 2" xfId="26695" xr:uid="{00000000-0005-0000-0000-0000C6910000}"/>
    <cellStyle name="Separador de milhares 3 6 4 3 3 2 2" xfId="52876" xr:uid="{00000000-0005-0000-0000-0000C7910000}"/>
    <cellStyle name="Separador de milhares 3 6 4 3 3 3" xfId="20781" xr:uid="{00000000-0005-0000-0000-0000C8910000}"/>
    <cellStyle name="Separador de milhares 3 6 4 3 3 3 2" xfId="46968" xr:uid="{00000000-0005-0000-0000-0000C9910000}"/>
    <cellStyle name="Separador de milhares 3 6 4 3 3 4" xfId="14867" xr:uid="{00000000-0005-0000-0000-0000CA910000}"/>
    <cellStyle name="Separador de milhares 3 6 4 3 3 4 2" xfId="41060" xr:uid="{00000000-0005-0000-0000-0000CB910000}"/>
    <cellStyle name="Separador de milhares 3 6 4 3 3 5" xfId="34674" xr:uid="{00000000-0005-0000-0000-0000CC910000}"/>
    <cellStyle name="Separador de milhares 3 6 4 3 4" xfId="5103" xr:uid="{00000000-0005-0000-0000-0000CD910000}"/>
    <cellStyle name="Separador de milhares 3 6 4 3 4 2" xfId="23738" xr:uid="{00000000-0005-0000-0000-0000CE910000}"/>
    <cellStyle name="Separador de milhares 3 6 4 3 4 2 2" xfId="49922" xr:uid="{00000000-0005-0000-0000-0000CF910000}"/>
    <cellStyle name="Separador de milhares 3 6 4 3 4 3" xfId="31299" xr:uid="{00000000-0005-0000-0000-0000D0910000}"/>
    <cellStyle name="Separador de milhares 3 6 4 3 5" xfId="17824" xr:uid="{00000000-0005-0000-0000-0000D1910000}"/>
    <cellStyle name="Separador de milhares 3 6 4 3 5 2" xfId="44014" xr:uid="{00000000-0005-0000-0000-0000D2910000}"/>
    <cellStyle name="Separador de milhares 3 6 4 3 6" xfId="11490" xr:uid="{00000000-0005-0000-0000-0000D3910000}"/>
    <cellStyle name="Separador de milhares 3 6 4 3 6 2" xfId="37683" xr:uid="{00000000-0005-0000-0000-0000D4910000}"/>
    <cellStyle name="Separador de milhares 3 6 4 3 7" xfId="29601" xr:uid="{00000000-0005-0000-0000-0000D5910000}"/>
    <cellStyle name="Separador de milhares 3 6 4 4" xfId="1768" xr:uid="{00000000-0005-0000-0000-0000D6910000}"/>
    <cellStyle name="Separador de milhares 3 6 4 4 2" xfId="6921" xr:uid="{00000000-0005-0000-0000-0000D7910000}"/>
    <cellStyle name="Separador de milhares 3 6 4 4 2 2" xfId="10068" xr:uid="{00000000-0005-0000-0000-0000D8910000}"/>
    <cellStyle name="Separador de milhares 3 6 4 4 2 2 2" xfId="28282" xr:uid="{00000000-0005-0000-0000-0000D9910000}"/>
    <cellStyle name="Separador de milhares 3 6 4 4 2 2 2 2" xfId="54463" xr:uid="{00000000-0005-0000-0000-0000DA910000}"/>
    <cellStyle name="Separador de milhares 3 6 4 4 2 2 3" xfId="22368" xr:uid="{00000000-0005-0000-0000-0000DB910000}"/>
    <cellStyle name="Separador de milhares 3 6 4 4 2 2 3 2" xfId="48555" xr:uid="{00000000-0005-0000-0000-0000DC910000}"/>
    <cellStyle name="Separador de milhares 3 6 4 4 2 2 4" xfId="16454" xr:uid="{00000000-0005-0000-0000-0000DD910000}"/>
    <cellStyle name="Separador de milhares 3 6 4 4 2 2 4 2" xfId="42647" xr:uid="{00000000-0005-0000-0000-0000DE910000}"/>
    <cellStyle name="Separador de milhares 3 6 4 4 2 2 5" xfId="36261" xr:uid="{00000000-0005-0000-0000-0000DF910000}"/>
    <cellStyle name="Separador de milhares 3 6 4 4 2 3" xfId="25325" xr:uid="{00000000-0005-0000-0000-0000E0910000}"/>
    <cellStyle name="Separador de milhares 3 6 4 4 2 3 2" xfId="51509" xr:uid="{00000000-0005-0000-0000-0000E1910000}"/>
    <cellStyle name="Separador de milhares 3 6 4 4 2 4" xfId="19411" xr:uid="{00000000-0005-0000-0000-0000E2910000}"/>
    <cellStyle name="Separador de milhares 3 6 4 4 2 4 2" xfId="45601" xr:uid="{00000000-0005-0000-0000-0000E3910000}"/>
    <cellStyle name="Separador de milhares 3 6 4 4 2 5" xfId="13310" xr:uid="{00000000-0005-0000-0000-0000E4910000}"/>
    <cellStyle name="Separador de milhares 3 6 4 4 2 5 2" xfId="39503" xr:uid="{00000000-0005-0000-0000-0000E5910000}"/>
    <cellStyle name="Separador de milhares 3 6 4 4 2 6" xfId="33117" xr:uid="{00000000-0005-0000-0000-0000E6910000}"/>
    <cellStyle name="Separador de milhares 3 6 4 4 3" xfId="8600" xr:uid="{00000000-0005-0000-0000-0000E7910000}"/>
    <cellStyle name="Separador de milhares 3 6 4 4 3 2" xfId="26814" xr:uid="{00000000-0005-0000-0000-0000E8910000}"/>
    <cellStyle name="Separador de milhares 3 6 4 4 3 2 2" xfId="52995" xr:uid="{00000000-0005-0000-0000-0000E9910000}"/>
    <cellStyle name="Separador de milhares 3 6 4 4 3 3" xfId="20900" xr:uid="{00000000-0005-0000-0000-0000EA910000}"/>
    <cellStyle name="Separador de milhares 3 6 4 4 3 3 2" xfId="47087" xr:uid="{00000000-0005-0000-0000-0000EB910000}"/>
    <cellStyle name="Separador de milhares 3 6 4 4 3 4" xfId="14986" xr:uid="{00000000-0005-0000-0000-0000EC910000}"/>
    <cellStyle name="Separador de milhares 3 6 4 4 3 4 2" xfId="41179" xr:uid="{00000000-0005-0000-0000-0000ED910000}"/>
    <cellStyle name="Separador de milhares 3 6 4 4 3 5" xfId="34793" xr:uid="{00000000-0005-0000-0000-0000EE910000}"/>
    <cellStyle name="Separador de milhares 3 6 4 4 4" xfId="5222" xr:uid="{00000000-0005-0000-0000-0000EF910000}"/>
    <cellStyle name="Separador de milhares 3 6 4 4 4 2" xfId="23857" xr:uid="{00000000-0005-0000-0000-0000F0910000}"/>
    <cellStyle name="Separador de milhares 3 6 4 4 4 2 2" xfId="50041" xr:uid="{00000000-0005-0000-0000-0000F1910000}"/>
    <cellStyle name="Separador de milhares 3 6 4 4 4 3" xfId="31418" xr:uid="{00000000-0005-0000-0000-0000F2910000}"/>
    <cellStyle name="Separador de milhares 3 6 4 4 5" xfId="17943" xr:uid="{00000000-0005-0000-0000-0000F3910000}"/>
    <cellStyle name="Separador de milhares 3 6 4 4 5 2" xfId="44133" xr:uid="{00000000-0005-0000-0000-0000F4910000}"/>
    <cellStyle name="Separador de milhares 3 6 4 4 6" xfId="11609" xr:uid="{00000000-0005-0000-0000-0000F5910000}"/>
    <cellStyle name="Separador de milhares 3 6 4 4 6 2" xfId="37802" xr:uid="{00000000-0005-0000-0000-0000F6910000}"/>
    <cellStyle name="Separador de milhares 3 6 4 4 7" xfId="29720" xr:uid="{00000000-0005-0000-0000-0000F7910000}"/>
    <cellStyle name="Separador de milhares 3 6 4 5" xfId="2298" xr:uid="{00000000-0005-0000-0000-0000F8910000}"/>
    <cellStyle name="Separador de milhares 3 6 4 5 2" xfId="7071" xr:uid="{00000000-0005-0000-0000-0000F9910000}"/>
    <cellStyle name="Separador de milhares 3 6 4 5 2 2" xfId="10215" xr:uid="{00000000-0005-0000-0000-0000FA910000}"/>
    <cellStyle name="Separador de milhares 3 6 4 5 2 2 2" xfId="28429" xr:uid="{00000000-0005-0000-0000-0000FB910000}"/>
    <cellStyle name="Separador de milhares 3 6 4 5 2 2 2 2" xfId="54610" xr:uid="{00000000-0005-0000-0000-0000FC910000}"/>
    <cellStyle name="Separador de milhares 3 6 4 5 2 2 3" xfId="22515" xr:uid="{00000000-0005-0000-0000-0000FD910000}"/>
    <cellStyle name="Separador de milhares 3 6 4 5 2 2 3 2" xfId="48702" xr:uid="{00000000-0005-0000-0000-0000FE910000}"/>
    <cellStyle name="Separador de milhares 3 6 4 5 2 2 4" xfId="16601" xr:uid="{00000000-0005-0000-0000-0000FF910000}"/>
    <cellStyle name="Separador de milhares 3 6 4 5 2 2 4 2" xfId="42794" xr:uid="{00000000-0005-0000-0000-000000920000}"/>
    <cellStyle name="Separador de milhares 3 6 4 5 2 2 5" xfId="36408" xr:uid="{00000000-0005-0000-0000-000001920000}"/>
    <cellStyle name="Separador de milhares 3 6 4 5 2 3" xfId="25472" xr:uid="{00000000-0005-0000-0000-000002920000}"/>
    <cellStyle name="Separador de milhares 3 6 4 5 2 3 2" xfId="51656" xr:uid="{00000000-0005-0000-0000-000003920000}"/>
    <cellStyle name="Separador de milhares 3 6 4 5 2 4" xfId="19558" xr:uid="{00000000-0005-0000-0000-000004920000}"/>
    <cellStyle name="Separador de milhares 3 6 4 5 2 4 2" xfId="45748" xr:uid="{00000000-0005-0000-0000-000005920000}"/>
    <cellStyle name="Separador de milhares 3 6 4 5 2 5" xfId="13460" xr:uid="{00000000-0005-0000-0000-000006920000}"/>
    <cellStyle name="Separador de milhares 3 6 4 5 2 5 2" xfId="39653" xr:uid="{00000000-0005-0000-0000-000007920000}"/>
    <cellStyle name="Separador de milhares 3 6 4 5 2 6" xfId="33267" xr:uid="{00000000-0005-0000-0000-000008920000}"/>
    <cellStyle name="Separador de milhares 3 6 4 5 3" xfId="8747" xr:uid="{00000000-0005-0000-0000-000009920000}"/>
    <cellStyle name="Separador de milhares 3 6 4 5 3 2" xfId="26961" xr:uid="{00000000-0005-0000-0000-00000A920000}"/>
    <cellStyle name="Separador de milhares 3 6 4 5 3 2 2" xfId="53142" xr:uid="{00000000-0005-0000-0000-00000B920000}"/>
    <cellStyle name="Separador de milhares 3 6 4 5 3 3" xfId="21047" xr:uid="{00000000-0005-0000-0000-00000C920000}"/>
    <cellStyle name="Separador de milhares 3 6 4 5 3 3 2" xfId="47234" xr:uid="{00000000-0005-0000-0000-00000D920000}"/>
    <cellStyle name="Separador de milhares 3 6 4 5 3 4" xfId="15133" xr:uid="{00000000-0005-0000-0000-00000E920000}"/>
    <cellStyle name="Separador de milhares 3 6 4 5 3 4 2" xfId="41326" xr:uid="{00000000-0005-0000-0000-00000F920000}"/>
    <cellStyle name="Separador de milhares 3 6 4 5 3 5" xfId="34940" xr:uid="{00000000-0005-0000-0000-000010920000}"/>
    <cellStyle name="Separador de milhares 3 6 4 5 4" xfId="5372" xr:uid="{00000000-0005-0000-0000-000011920000}"/>
    <cellStyle name="Separador de milhares 3 6 4 5 4 2" xfId="24004" xr:uid="{00000000-0005-0000-0000-000012920000}"/>
    <cellStyle name="Separador de milhares 3 6 4 5 4 2 2" xfId="50188" xr:uid="{00000000-0005-0000-0000-000013920000}"/>
    <cellStyle name="Separador de milhares 3 6 4 5 4 3" xfId="31568" xr:uid="{00000000-0005-0000-0000-000014920000}"/>
    <cellStyle name="Separador de milhares 3 6 4 5 5" xfId="18090" xr:uid="{00000000-0005-0000-0000-000015920000}"/>
    <cellStyle name="Separador de milhares 3 6 4 5 5 2" xfId="44280" xr:uid="{00000000-0005-0000-0000-000016920000}"/>
    <cellStyle name="Separador de milhares 3 6 4 5 6" xfId="11759" xr:uid="{00000000-0005-0000-0000-000017920000}"/>
    <cellStyle name="Separador de milhares 3 6 4 5 6 2" xfId="37952" xr:uid="{00000000-0005-0000-0000-000018920000}"/>
    <cellStyle name="Separador de milhares 3 6 4 5 7" xfId="29870" xr:uid="{00000000-0005-0000-0000-000019920000}"/>
    <cellStyle name="Separador de milhares 3 6 4 6" xfId="2825" xr:uid="{00000000-0005-0000-0000-00001A920000}"/>
    <cellStyle name="Separador de milhares 3 6 4 6 2" xfId="7218" xr:uid="{00000000-0005-0000-0000-00001B920000}"/>
    <cellStyle name="Separador de milhares 3 6 4 6 2 2" xfId="10362" xr:uid="{00000000-0005-0000-0000-00001C920000}"/>
    <cellStyle name="Separador de milhares 3 6 4 6 2 2 2" xfId="28576" xr:uid="{00000000-0005-0000-0000-00001D920000}"/>
    <cellStyle name="Separador de milhares 3 6 4 6 2 2 2 2" xfId="54757" xr:uid="{00000000-0005-0000-0000-00001E920000}"/>
    <cellStyle name="Separador de milhares 3 6 4 6 2 2 3" xfId="22662" xr:uid="{00000000-0005-0000-0000-00001F920000}"/>
    <cellStyle name="Separador de milhares 3 6 4 6 2 2 3 2" xfId="48849" xr:uid="{00000000-0005-0000-0000-000020920000}"/>
    <cellStyle name="Separador de milhares 3 6 4 6 2 2 4" xfId="16748" xr:uid="{00000000-0005-0000-0000-000021920000}"/>
    <cellStyle name="Separador de milhares 3 6 4 6 2 2 4 2" xfId="42941" xr:uid="{00000000-0005-0000-0000-000022920000}"/>
    <cellStyle name="Separador de milhares 3 6 4 6 2 2 5" xfId="36555" xr:uid="{00000000-0005-0000-0000-000023920000}"/>
    <cellStyle name="Separador de milhares 3 6 4 6 2 3" xfId="25619" xr:uid="{00000000-0005-0000-0000-000024920000}"/>
    <cellStyle name="Separador de milhares 3 6 4 6 2 3 2" xfId="51803" xr:uid="{00000000-0005-0000-0000-000025920000}"/>
    <cellStyle name="Separador de milhares 3 6 4 6 2 4" xfId="19705" xr:uid="{00000000-0005-0000-0000-000026920000}"/>
    <cellStyle name="Separador de milhares 3 6 4 6 2 4 2" xfId="45895" xr:uid="{00000000-0005-0000-0000-000027920000}"/>
    <cellStyle name="Separador de milhares 3 6 4 6 2 5" xfId="13607" xr:uid="{00000000-0005-0000-0000-000028920000}"/>
    <cellStyle name="Separador de milhares 3 6 4 6 2 5 2" xfId="39800" xr:uid="{00000000-0005-0000-0000-000029920000}"/>
    <cellStyle name="Separador de milhares 3 6 4 6 2 6" xfId="33414" xr:uid="{00000000-0005-0000-0000-00002A920000}"/>
    <cellStyle name="Separador de milhares 3 6 4 6 3" xfId="8894" xr:uid="{00000000-0005-0000-0000-00002B920000}"/>
    <cellStyle name="Separador de milhares 3 6 4 6 3 2" xfId="27108" xr:uid="{00000000-0005-0000-0000-00002C920000}"/>
    <cellStyle name="Separador de milhares 3 6 4 6 3 2 2" xfId="53289" xr:uid="{00000000-0005-0000-0000-00002D920000}"/>
    <cellStyle name="Separador de milhares 3 6 4 6 3 3" xfId="21194" xr:uid="{00000000-0005-0000-0000-00002E920000}"/>
    <cellStyle name="Separador de milhares 3 6 4 6 3 3 2" xfId="47381" xr:uid="{00000000-0005-0000-0000-00002F920000}"/>
    <cellStyle name="Separador de milhares 3 6 4 6 3 4" xfId="15280" xr:uid="{00000000-0005-0000-0000-000030920000}"/>
    <cellStyle name="Separador de milhares 3 6 4 6 3 4 2" xfId="41473" xr:uid="{00000000-0005-0000-0000-000031920000}"/>
    <cellStyle name="Separador de milhares 3 6 4 6 3 5" xfId="35087" xr:uid="{00000000-0005-0000-0000-000032920000}"/>
    <cellStyle name="Separador de milhares 3 6 4 6 4" xfId="5519" xr:uid="{00000000-0005-0000-0000-000033920000}"/>
    <cellStyle name="Separador de milhares 3 6 4 6 4 2" xfId="24151" xr:uid="{00000000-0005-0000-0000-000034920000}"/>
    <cellStyle name="Separador de milhares 3 6 4 6 4 2 2" xfId="50335" xr:uid="{00000000-0005-0000-0000-000035920000}"/>
    <cellStyle name="Separador de milhares 3 6 4 6 4 3" xfId="31715" xr:uid="{00000000-0005-0000-0000-000036920000}"/>
    <cellStyle name="Separador de milhares 3 6 4 6 5" xfId="18237" xr:uid="{00000000-0005-0000-0000-000037920000}"/>
    <cellStyle name="Separador de milhares 3 6 4 6 5 2" xfId="44427" xr:uid="{00000000-0005-0000-0000-000038920000}"/>
    <cellStyle name="Separador de milhares 3 6 4 6 6" xfId="11906" xr:uid="{00000000-0005-0000-0000-000039920000}"/>
    <cellStyle name="Separador de milhares 3 6 4 6 6 2" xfId="38099" xr:uid="{00000000-0005-0000-0000-00003A920000}"/>
    <cellStyle name="Separador de milhares 3 6 4 6 7" xfId="30017" xr:uid="{00000000-0005-0000-0000-00003B920000}"/>
    <cellStyle name="Separador de milhares 3 6 4 7" xfId="3352" xr:uid="{00000000-0005-0000-0000-00003C920000}"/>
    <cellStyle name="Separador de milhares 3 6 4 7 2" xfId="7365" xr:uid="{00000000-0005-0000-0000-00003D920000}"/>
    <cellStyle name="Separador de milhares 3 6 4 7 2 2" xfId="10509" xr:uid="{00000000-0005-0000-0000-00003E920000}"/>
    <cellStyle name="Separador de milhares 3 6 4 7 2 2 2" xfId="28723" xr:uid="{00000000-0005-0000-0000-00003F920000}"/>
    <cellStyle name="Separador de milhares 3 6 4 7 2 2 2 2" xfId="54904" xr:uid="{00000000-0005-0000-0000-000040920000}"/>
    <cellStyle name="Separador de milhares 3 6 4 7 2 2 3" xfId="22809" xr:uid="{00000000-0005-0000-0000-000041920000}"/>
    <cellStyle name="Separador de milhares 3 6 4 7 2 2 3 2" xfId="48996" xr:uid="{00000000-0005-0000-0000-000042920000}"/>
    <cellStyle name="Separador de milhares 3 6 4 7 2 2 4" xfId="16895" xr:uid="{00000000-0005-0000-0000-000043920000}"/>
    <cellStyle name="Separador de milhares 3 6 4 7 2 2 4 2" xfId="43088" xr:uid="{00000000-0005-0000-0000-000044920000}"/>
    <cellStyle name="Separador de milhares 3 6 4 7 2 2 5" xfId="36702" xr:uid="{00000000-0005-0000-0000-000045920000}"/>
    <cellStyle name="Separador de milhares 3 6 4 7 2 3" xfId="25766" xr:uid="{00000000-0005-0000-0000-000046920000}"/>
    <cellStyle name="Separador de milhares 3 6 4 7 2 3 2" xfId="51950" xr:uid="{00000000-0005-0000-0000-000047920000}"/>
    <cellStyle name="Separador de milhares 3 6 4 7 2 4" xfId="19852" xr:uid="{00000000-0005-0000-0000-000048920000}"/>
    <cellStyle name="Separador de milhares 3 6 4 7 2 4 2" xfId="46042" xr:uid="{00000000-0005-0000-0000-000049920000}"/>
    <cellStyle name="Separador de milhares 3 6 4 7 2 5" xfId="13754" xr:uid="{00000000-0005-0000-0000-00004A920000}"/>
    <cellStyle name="Separador de milhares 3 6 4 7 2 5 2" xfId="39947" xr:uid="{00000000-0005-0000-0000-00004B920000}"/>
    <cellStyle name="Separador de milhares 3 6 4 7 2 6" xfId="33561" xr:uid="{00000000-0005-0000-0000-00004C920000}"/>
    <cellStyle name="Separador de milhares 3 6 4 7 3" xfId="9041" xr:uid="{00000000-0005-0000-0000-00004D920000}"/>
    <cellStyle name="Separador de milhares 3 6 4 7 3 2" xfId="27255" xr:uid="{00000000-0005-0000-0000-00004E920000}"/>
    <cellStyle name="Separador de milhares 3 6 4 7 3 2 2" xfId="53436" xr:uid="{00000000-0005-0000-0000-00004F920000}"/>
    <cellStyle name="Separador de milhares 3 6 4 7 3 3" xfId="21341" xr:uid="{00000000-0005-0000-0000-000050920000}"/>
    <cellStyle name="Separador de milhares 3 6 4 7 3 3 2" xfId="47528" xr:uid="{00000000-0005-0000-0000-000051920000}"/>
    <cellStyle name="Separador de milhares 3 6 4 7 3 4" xfId="15427" xr:uid="{00000000-0005-0000-0000-000052920000}"/>
    <cellStyle name="Separador de milhares 3 6 4 7 3 4 2" xfId="41620" xr:uid="{00000000-0005-0000-0000-000053920000}"/>
    <cellStyle name="Separador de milhares 3 6 4 7 3 5" xfId="35234" xr:uid="{00000000-0005-0000-0000-000054920000}"/>
    <cellStyle name="Separador de milhares 3 6 4 7 4" xfId="5666" xr:uid="{00000000-0005-0000-0000-000055920000}"/>
    <cellStyle name="Separador de milhares 3 6 4 7 4 2" xfId="24298" xr:uid="{00000000-0005-0000-0000-000056920000}"/>
    <cellStyle name="Separador de milhares 3 6 4 7 4 2 2" xfId="50482" xr:uid="{00000000-0005-0000-0000-000057920000}"/>
    <cellStyle name="Separador de milhares 3 6 4 7 4 3" xfId="31862" xr:uid="{00000000-0005-0000-0000-000058920000}"/>
    <cellStyle name="Separador de milhares 3 6 4 7 5" xfId="18384" xr:uid="{00000000-0005-0000-0000-000059920000}"/>
    <cellStyle name="Separador de milhares 3 6 4 7 5 2" xfId="44574" xr:uid="{00000000-0005-0000-0000-00005A920000}"/>
    <cellStyle name="Separador de milhares 3 6 4 7 6" xfId="12053" xr:uid="{00000000-0005-0000-0000-00005B920000}"/>
    <cellStyle name="Separador de milhares 3 6 4 7 6 2" xfId="38246" xr:uid="{00000000-0005-0000-0000-00005C920000}"/>
    <cellStyle name="Separador de milhares 3 6 4 7 7" xfId="30164" xr:uid="{00000000-0005-0000-0000-00005D920000}"/>
    <cellStyle name="Separador de milhares 3 6 4 8" xfId="3879" xr:uid="{00000000-0005-0000-0000-00005E920000}"/>
    <cellStyle name="Separador de milhares 3 6 4 8 2" xfId="7512" xr:uid="{00000000-0005-0000-0000-00005F920000}"/>
    <cellStyle name="Separador de milhares 3 6 4 8 2 2" xfId="10656" xr:uid="{00000000-0005-0000-0000-000060920000}"/>
    <cellStyle name="Separador de milhares 3 6 4 8 2 2 2" xfId="28870" xr:uid="{00000000-0005-0000-0000-000061920000}"/>
    <cellStyle name="Separador de milhares 3 6 4 8 2 2 2 2" xfId="55051" xr:uid="{00000000-0005-0000-0000-000062920000}"/>
    <cellStyle name="Separador de milhares 3 6 4 8 2 2 3" xfId="22956" xr:uid="{00000000-0005-0000-0000-000063920000}"/>
    <cellStyle name="Separador de milhares 3 6 4 8 2 2 3 2" xfId="49143" xr:uid="{00000000-0005-0000-0000-000064920000}"/>
    <cellStyle name="Separador de milhares 3 6 4 8 2 2 4" xfId="17042" xr:uid="{00000000-0005-0000-0000-000065920000}"/>
    <cellStyle name="Separador de milhares 3 6 4 8 2 2 4 2" xfId="43235" xr:uid="{00000000-0005-0000-0000-000066920000}"/>
    <cellStyle name="Separador de milhares 3 6 4 8 2 2 5" xfId="36849" xr:uid="{00000000-0005-0000-0000-000067920000}"/>
    <cellStyle name="Separador de milhares 3 6 4 8 2 3" xfId="25913" xr:uid="{00000000-0005-0000-0000-000068920000}"/>
    <cellStyle name="Separador de milhares 3 6 4 8 2 3 2" xfId="52097" xr:uid="{00000000-0005-0000-0000-000069920000}"/>
    <cellStyle name="Separador de milhares 3 6 4 8 2 4" xfId="19999" xr:uid="{00000000-0005-0000-0000-00006A920000}"/>
    <cellStyle name="Separador de milhares 3 6 4 8 2 4 2" xfId="46189" xr:uid="{00000000-0005-0000-0000-00006B920000}"/>
    <cellStyle name="Separador de milhares 3 6 4 8 2 5" xfId="13901" xr:uid="{00000000-0005-0000-0000-00006C920000}"/>
    <cellStyle name="Separador de milhares 3 6 4 8 2 5 2" xfId="40094" xr:uid="{00000000-0005-0000-0000-00006D920000}"/>
    <cellStyle name="Separador de milhares 3 6 4 8 2 6" xfId="33708" xr:uid="{00000000-0005-0000-0000-00006E920000}"/>
    <cellStyle name="Separador de milhares 3 6 4 8 3" xfId="9188" xr:uid="{00000000-0005-0000-0000-00006F920000}"/>
    <cellStyle name="Separador de milhares 3 6 4 8 3 2" xfId="27402" xr:uid="{00000000-0005-0000-0000-000070920000}"/>
    <cellStyle name="Separador de milhares 3 6 4 8 3 2 2" xfId="53583" xr:uid="{00000000-0005-0000-0000-000071920000}"/>
    <cellStyle name="Separador de milhares 3 6 4 8 3 3" xfId="21488" xr:uid="{00000000-0005-0000-0000-000072920000}"/>
    <cellStyle name="Separador de milhares 3 6 4 8 3 3 2" xfId="47675" xr:uid="{00000000-0005-0000-0000-000073920000}"/>
    <cellStyle name="Separador de milhares 3 6 4 8 3 4" xfId="15574" xr:uid="{00000000-0005-0000-0000-000074920000}"/>
    <cellStyle name="Separador de milhares 3 6 4 8 3 4 2" xfId="41767" xr:uid="{00000000-0005-0000-0000-000075920000}"/>
    <cellStyle name="Separador de milhares 3 6 4 8 3 5" xfId="35381" xr:uid="{00000000-0005-0000-0000-000076920000}"/>
    <cellStyle name="Separador de milhares 3 6 4 8 4" xfId="5813" xr:uid="{00000000-0005-0000-0000-000077920000}"/>
    <cellStyle name="Separador de milhares 3 6 4 8 4 2" xfId="24445" xr:uid="{00000000-0005-0000-0000-000078920000}"/>
    <cellStyle name="Separador de milhares 3 6 4 8 4 2 2" xfId="50629" xr:uid="{00000000-0005-0000-0000-000079920000}"/>
    <cellStyle name="Separador de milhares 3 6 4 8 4 3" xfId="32009" xr:uid="{00000000-0005-0000-0000-00007A920000}"/>
    <cellStyle name="Separador de milhares 3 6 4 8 5" xfId="18531" xr:uid="{00000000-0005-0000-0000-00007B920000}"/>
    <cellStyle name="Separador de milhares 3 6 4 8 5 2" xfId="44721" xr:uid="{00000000-0005-0000-0000-00007C920000}"/>
    <cellStyle name="Separador de milhares 3 6 4 8 6" xfId="12200" xr:uid="{00000000-0005-0000-0000-00007D920000}"/>
    <cellStyle name="Separador de milhares 3 6 4 8 6 2" xfId="38393" xr:uid="{00000000-0005-0000-0000-00007E920000}"/>
    <cellStyle name="Separador de milhares 3 6 4 8 7" xfId="30311" xr:uid="{00000000-0005-0000-0000-00007F920000}"/>
    <cellStyle name="Separador de milhares 3 6 4 9" xfId="671" xr:uid="{00000000-0005-0000-0000-000080920000}"/>
    <cellStyle name="Separador de milhares 3 6 4 9 2" xfId="6606" xr:uid="{00000000-0005-0000-0000-000081920000}"/>
    <cellStyle name="Separador de milhares 3 6 4 9 2 2" xfId="9753" xr:uid="{00000000-0005-0000-0000-000082920000}"/>
    <cellStyle name="Separador de milhares 3 6 4 9 2 2 2" xfId="27967" xr:uid="{00000000-0005-0000-0000-000083920000}"/>
    <cellStyle name="Separador de milhares 3 6 4 9 2 2 2 2" xfId="54148" xr:uid="{00000000-0005-0000-0000-000084920000}"/>
    <cellStyle name="Separador de milhares 3 6 4 9 2 2 3" xfId="22053" xr:uid="{00000000-0005-0000-0000-000085920000}"/>
    <cellStyle name="Separador de milhares 3 6 4 9 2 2 3 2" xfId="48240" xr:uid="{00000000-0005-0000-0000-000086920000}"/>
    <cellStyle name="Separador de milhares 3 6 4 9 2 2 4" xfId="16139" xr:uid="{00000000-0005-0000-0000-000087920000}"/>
    <cellStyle name="Separador de milhares 3 6 4 9 2 2 4 2" xfId="42332" xr:uid="{00000000-0005-0000-0000-000088920000}"/>
    <cellStyle name="Separador de milhares 3 6 4 9 2 2 5" xfId="35946" xr:uid="{00000000-0005-0000-0000-000089920000}"/>
    <cellStyle name="Separador de milhares 3 6 4 9 2 3" xfId="25010" xr:uid="{00000000-0005-0000-0000-00008A920000}"/>
    <cellStyle name="Separador de milhares 3 6 4 9 2 3 2" xfId="51194" xr:uid="{00000000-0005-0000-0000-00008B920000}"/>
    <cellStyle name="Separador de milhares 3 6 4 9 2 4" xfId="19096" xr:uid="{00000000-0005-0000-0000-00008C920000}"/>
    <cellStyle name="Separador de milhares 3 6 4 9 2 4 2" xfId="45286" xr:uid="{00000000-0005-0000-0000-00008D920000}"/>
    <cellStyle name="Separador de milhares 3 6 4 9 2 5" xfId="12995" xr:uid="{00000000-0005-0000-0000-00008E920000}"/>
    <cellStyle name="Separador de milhares 3 6 4 9 2 5 2" xfId="39188" xr:uid="{00000000-0005-0000-0000-00008F920000}"/>
    <cellStyle name="Separador de milhares 3 6 4 9 2 6" xfId="32802" xr:uid="{00000000-0005-0000-0000-000090920000}"/>
    <cellStyle name="Separador de milhares 3 6 4 9 3" xfId="8285" xr:uid="{00000000-0005-0000-0000-000091920000}"/>
    <cellStyle name="Separador de milhares 3 6 4 9 3 2" xfId="26499" xr:uid="{00000000-0005-0000-0000-000092920000}"/>
    <cellStyle name="Separador de milhares 3 6 4 9 3 2 2" xfId="52680" xr:uid="{00000000-0005-0000-0000-000093920000}"/>
    <cellStyle name="Separador de milhares 3 6 4 9 3 3" xfId="20585" xr:uid="{00000000-0005-0000-0000-000094920000}"/>
    <cellStyle name="Separador de milhares 3 6 4 9 3 3 2" xfId="46772" xr:uid="{00000000-0005-0000-0000-000095920000}"/>
    <cellStyle name="Separador de milhares 3 6 4 9 3 4" xfId="14671" xr:uid="{00000000-0005-0000-0000-000096920000}"/>
    <cellStyle name="Separador de milhares 3 6 4 9 3 4 2" xfId="40864" xr:uid="{00000000-0005-0000-0000-000097920000}"/>
    <cellStyle name="Separador de milhares 3 6 4 9 3 5" xfId="34478" xr:uid="{00000000-0005-0000-0000-000098920000}"/>
    <cellStyle name="Separador de milhares 3 6 4 9 4" xfId="4907" xr:uid="{00000000-0005-0000-0000-000099920000}"/>
    <cellStyle name="Separador de milhares 3 6 4 9 4 2" xfId="23542" xr:uid="{00000000-0005-0000-0000-00009A920000}"/>
    <cellStyle name="Separador de milhares 3 6 4 9 4 2 2" xfId="49726" xr:uid="{00000000-0005-0000-0000-00009B920000}"/>
    <cellStyle name="Separador de milhares 3 6 4 9 4 3" xfId="31103" xr:uid="{00000000-0005-0000-0000-00009C920000}"/>
    <cellStyle name="Separador de milhares 3 6 4 9 5" xfId="17628" xr:uid="{00000000-0005-0000-0000-00009D920000}"/>
    <cellStyle name="Separador de milhares 3 6 4 9 5 2" xfId="43818" xr:uid="{00000000-0005-0000-0000-00009E920000}"/>
    <cellStyle name="Separador de milhares 3 6 4 9 6" xfId="11294" xr:uid="{00000000-0005-0000-0000-00009F920000}"/>
    <cellStyle name="Separador de milhares 3 6 4 9 6 2" xfId="37487" xr:uid="{00000000-0005-0000-0000-0000A0920000}"/>
    <cellStyle name="Separador de milhares 3 6 4 9 7" xfId="29405" xr:uid="{00000000-0005-0000-0000-0000A1920000}"/>
    <cellStyle name="Separador de milhares 3 6 5" xfId="594" xr:uid="{00000000-0005-0000-0000-0000A2920000}"/>
    <cellStyle name="Separador de milhares 3 6 5 10" xfId="4871" xr:uid="{00000000-0005-0000-0000-0000A3920000}"/>
    <cellStyle name="Separador de milhares 3 6 5 10 2" xfId="23505" xr:uid="{00000000-0005-0000-0000-0000A4920000}"/>
    <cellStyle name="Separador de milhares 3 6 5 10 2 2" xfId="49692" xr:uid="{00000000-0005-0000-0000-0000A5920000}"/>
    <cellStyle name="Separador de milhares 3 6 5 10 3" xfId="31069" xr:uid="{00000000-0005-0000-0000-0000A6920000}"/>
    <cellStyle name="Separador de milhares 3 6 5 11" xfId="17591" xr:uid="{00000000-0005-0000-0000-0000A7920000}"/>
    <cellStyle name="Separador de milhares 3 6 5 11 2" xfId="43784" xr:uid="{00000000-0005-0000-0000-0000A8920000}"/>
    <cellStyle name="Separador de milhares 3 6 5 12" xfId="11260" xr:uid="{00000000-0005-0000-0000-0000A9920000}"/>
    <cellStyle name="Separador de milhares 3 6 5 12 2" xfId="37453" xr:uid="{00000000-0005-0000-0000-0000AA920000}"/>
    <cellStyle name="Separador de milhares 3 6 5 13" xfId="29371" xr:uid="{00000000-0005-0000-0000-0000AB920000}"/>
    <cellStyle name="Separador de milhares 3 6 5 2" xfId="1417" xr:uid="{00000000-0005-0000-0000-0000AC920000}"/>
    <cellStyle name="Separador de milhares 3 6 5 2 2" xfId="6823" xr:uid="{00000000-0005-0000-0000-0000AD920000}"/>
    <cellStyle name="Separador de milhares 3 6 5 2 2 2" xfId="9970" xr:uid="{00000000-0005-0000-0000-0000AE920000}"/>
    <cellStyle name="Separador de milhares 3 6 5 2 2 2 2" xfId="28184" xr:uid="{00000000-0005-0000-0000-0000AF920000}"/>
    <cellStyle name="Separador de milhares 3 6 5 2 2 2 2 2" xfId="54365" xr:uid="{00000000-0005-0000-0000-0000B0920000}"/>
    <cellStyle name="Separador de milhares 3 6 5 2 2 2 3" xfId="22270" xr:uid="{00000000-0005-0000-0000-0000B1920000}"/>
    <cellStyle name="Separador de milhares 3 6 5 2 2 2 3 2" xfId="48457" xr:uid="{00000000-0005-0000-0000-0000B2920000}"/>
    <cellStyle name="Separador de milhares 3 6 5 2 2 2 4" xfId="16356" xr:uid="{00000000-0005-0000-0000-0000B3920000}"/>
    <cellStyle name="Separador de milhares 3 6 5 2 2 2 4 2" xfId="42549" xr:uid="{00000000-0005-0000-0000-0000B4920000}"/>
    <cellStyle name="Separador de milhares 3 6 5 2 2 2 5" xfId="36163" xr:uid="{00000000-0005-0000-0000-0000B5920000}"/>
    <cellStyle name="Separador de milhares 3 6 5 2 2 3" xfId="25227" xr:uid="{00000000-0005-0000-0000-0000B6920000}"/>
    <cellStyle name="Separador de milhares 3 6 5 2 2 3 2" xfId="51411" xr:uid="{00000000-0005-0000-0000-0000B7920000}"/>
    <cellStyle name="Separador de milhares 3 6 5 2 2 4" xfId="19313" xr:uid="{00000000-0005-0000-0000-0000B8920000}"/>
    <cellStyle name="Separador de milhares 3 6 5 2 2 4 2" xfId="45503" xr:uid="{00000000-0005-0000-0000-0000B9920000}"/>
    <cellStyle name="Separador de milhares 3 6 5 2 2 5" xfId="13212" xr:uid="{00000000-0005-0000-0000-0000BA920000}"/>
    <cellStyle name="Separador de milhares 3 6 5 2 2 5 2" xfId="39405" xr:uid="{00000000-0005-0000-0000-0000BB920000}"/>
    <cellStyle name="Separador de milhares 3 6 5 2 2 6" xfId="33019" xr:uid="{00000000-0005-0000-0000-0000BC920000}"/>
    <cellStyle name="Separador de milhares 3 6 5 2 3" xfId="8502" xr:uid="{00000000-0005-0000-0000-0000BD920000}"/>
    <cellStyle name="Separador de milhares 3 6 5 2 3 2" xfId="26716" xr:uid="{00000000-0005-0000-0000-0000BE920000}"/>
    <cellStyle name="Separador de milhares 3 6 5 2 3 2 2" xfId="52897" xr:uid="{00000000-0005-0000-0000-0000BF920000}"/>
    <cellStyle name="Separador de milhares 3 6 5 2 3 3" xfId="20802" xr:uid="{00000000-0005-0000-0000-0000C0920000}"/>
    <cellStyle name="Separador de milhares 3 6 5 2 3 3 2" xfId="46989" xr:uid="{00000000-0005-0000-0000-0000C1920000}"/>
    <cellStyle name="Separador de milhares 3 6 5 2 3 4" xfId="14888" xr:uid="{00000000-0005-0000-0000-0000C2920000}"/>
    <cellStyle name="Separador de milhares 3 6 5 2 3 4 2" xfId="41081" xr:uid="{00000000-0005-0000-0000-0000C3920000}"/>
    <cellStyle name="Separador de milhares 3 6 5 2 3 5" xfId="34695" xr:uid="{00000000-0005-0000-0000-0000C4920000}"/>
    <cellStyle name="Separador de milhares 3 6 5 2 4" xfId="5124" xr:uid="{00000000-0005-0000-0000-0000C5920000}"/>
    <cellStyle name="Separador de milhares 3 6 5 2 4 2" xfId="23759" xr:uid="{00000000-0005-0000-0000-0000C6920000}"/>
    <cellStyle name="Separador de milhares 3 6 5 2 4 2 2" xfId="49943" xr:uid="{00000000-0005-0000-0000-0000C7920000}"/>
    <cellStyle name="Separador de milhares 3 6 5 2 4 3" xfId="31320" xr:uid="{00000000-0005-0000-0000-0000C8920000}"/>
    <cellStyle name="Separador de milhares 3 6 5 2 5" xfId="17845" xr:uid="{00000000-0005-0000-0000-0000C9920000}"/>
    <cellStyle name="Separador de milhares 3 6 5 2 5 2" xfId="44035" xr:uid="{00000000-0005-0000-0000-0000CA920000}"/>
    <cellStyle name="Separador de milhares 3 6 5 2 6" xfId="11511" xr:uid="{00000000-0005-0000-0000-0000CB920000}"/>
    <cellStyle name="Separador de milhares 3 6 5 2 6 2" xfId="37704" xr:uid="{00000000-0005-0000-0000-0000CC920000}"/>
    <cellStyle name="Separador de milhares 3 6 5 2 7" xfId="29622" xr:uid="{00000000-0005-0000-0000-0000CD920000}"/>
    <cellStyle name="Separador de milhares 3 6 5 3" xfId="1852" xr:uid="{00000000-0005-0000-0000-0000CE920000}"/>
    <cellStyle name="Separador de milhares 3 6 5 3 2" xfId="6942" xr:uid="{00000000-0005-0000-0000-0000CF920000}"/>
    <cellStyle name="Separador de milhares 3 6 5 3 2 2" xfId="10089" xr:uid="{00000000-0005-0000-0000-0000D0920000}"/>
    <cellStyle name="Separador de milhares 3 6 5 3 2 2 2" xfId="28303" xr:uid="{00000000-0005-0000-0000-0000D1920000}"/>
    <cellStyle name="Separador de milhares 3 6 5 3 2 2 2 2" xfId="54484" xr:uid="{00000000-0005-0000-0000-0000D2920000}"/>
    <cellStyle name="Separador de milhares 3 6 5 3 2 2 3" xfId="22389" xr:uid="{00000000-0005-0000-0000-0000D3920000}"/>
    <cellStyle name="Separador de milhares 3 6 5 3 2 2 3 2" xfId="48576" xr:uid="{00000000-0005-0000-0000-0000D4920000}"/>
    <cellStyle name="Separador de milhares 3 6 5 3 2 2 4" xfId="16475" xr:uid="{00000000-0005-0000-0000-0000D5920000}"/>
    <cellStyle name="Separador de milhares 3 6 5 3 2 2 4 2" xfId="42668" xr:uid="{00000000-0005-0000-0000-0000D6920000}"/>
    <cellStyle name="Separador de milhares 3 6 5 3 2 2 5" xfId="36282" xr:uid="{00000000-0005-0000-0000-0000D7920000}"/>
    <cellStyle name="Separador de milhares 3 6 5 3 2 3" xfId="25346" xr:uid="{00000000-0005-0000-0000-0000D8920000}"/>
    <cellStyle name="Separador de milhares 3 6 5 3 2 3 2" xfId="51530" xr:uid="{00000000-0005-0000-0000-0000D9920000}"/>
    <cellStyle name="Separador de milhares 3 6 5 3 2 4" xfId="19432" xr:uid="{00000000-0005-0000-0000-0000DA920000}"/>
    <cellStyle name="Separador de milhares 3 6 5 3 2 4 2" xfId="45622" xr:uid="{00000000-0005-0000-0000-0000DB920000}"/>
    <cellStyle name="Separador de milhares 3 6 5 3 2 5" xfId="13331" xr:uid="{00000000-0005-0000-0000-0000DC920000}"/>
    <cellStyle name="Separador de milhares 3 6 5 3 2 5 2" xfId="39524" xr:uid="{00000000-0005-0000-0000-0000DD920000}"/>
    <cellStyle name="Separador de milhares 3 6 5 3 2 6" xfId="33138" xr:uid="{00000000-0005-0000-0000-0000DE920000}"/>
    <cellStyle name="Separador de milhares 3 6 5 3 3" xfId="8621" xr:uid="{00000000-0005-0000-0000-0000DF920000}"/>
    <cellStyle name="Separador de milhares 3 6 5 3 3 2" xfId="26835" xr:uid="{00000000-0005-0000-0000-0000E0920000}"/>
    <cellStyle name="Separador de milhares 3 6 5 3 3 2 2" xfId="53016" xr:uid="{00000000-0005-0000-0000-0000E1920000}"/>
    <cellStyle name="Separador de milhares 3 6 5 3 3 3" xfId="20921" xr:uid="{00000000-0005-0000-0000-0000E2920000}"/>
    <cellStyle name="Separador de milhares 3 6 5 3 3 3 2" xfId="47108" xr:uid="{00000000-0005-0000-0000-0000E3920000}"/>
    <cellStyle name="Separador de milhares 3 6 5 3 3 4" xfId="15007" xr:uid="{00000000-0005-0000-0000-0000E4920000}"/>
    <cellStyle name="Separador de milhares 3 6 5 3 3 4 2" xfId="41200" xr:uid="{00000000-0005-0000-0000-0000E5920000}"/>
    <cellStyle name="Separador de milhares 3 6 5 3 3 5" xfId="34814" xr:uid="{00000000-0005-0000-0000-0000E6920000}"/>
    <cellStyle name="Separador de milhares 3 6 5 3 4" xfId="5243" xr:uid="{00000000-0005-0000-0000-0000E7920000}"/>
    <cellStyle name="Separador de milhares 3 6 5 3 4 2" xfId="23878" xr:uid="{00000000-0005-0000-0000-0000E8920000}"/>
    <cellStyle name="Separador de milhares 3 6 5 3 4 2 2" xfId="50062" xr:uid="{00000000-0005-0000-0000-0000E9920000}"/>
    <cellStyle name="Separador de milhares 3 6 5 3 4 3" xfId="31439" xr:uid="{00000000-0005-0000-0000-0000EA920000}"/>
    <cellStyle name="Separador de milhares 3 6 5 3 5" xfId="17964" xr:uid="{00000000-0005-0000-0000-0000EB920000}"/>
    <cellStyle name="Separador de milhares 3 6 5 3 5 2" xfId="44154" xr:uid="{00000000-0005-0000-0000-0000EC920000}"/>
    <cellStyle name="Separador de milhares 3 6 5 3 6" xfId="11630" xr:uid="{00000000-0005-0000-0000-0000ED920000}"/>
    <cellStyle name="Separador de milhares 3 6 5 3 6 2" xfId="37823" xr:uid="{00000000-0005-0000-0000-0000EE920000}"/>
    <cellStyle name="Separador de milhares 3 6 5 3 7" xfId="29741" xr:uid="{00000000-0005-0000-0000-0000EF920000}"/>
    <cellStyle name="Separador de milhares 3 6 5 4" xfId="2382" xr:uid="{00000000-0005-0000-0000-0000F0920000}"/>
    <cellStyle name="Separador de milhares 3 6 5 4 2" xfId="7092" xr:uid="{00000000-0005-0000-0000-0000F1920000}"/>
    <cellStyle name="Separador de milhares 3 6 5 4 2 2" xfId="10236" xr:uid="{00000000-0005-0000-0000-0000F2920000}"/>
    <cellStyle name="Separador de milhares 3 6 5 4 2 2 2" xfId="28450" xr:uid="{00000000-0005-0000-0000-0000F3920000}"/>
    <cellStyle name="Separador de milhares 3 6 5 4 2 2 2 2" xfId="54631" xr:uid="{00000000-0005-0000-0000-0000F4920000}"/>
    <cellStyle name="Separador de milhares 3 6 5 4 2 2 3" xfId="22536" xr:uid="{00000000-0005-0000-0000-0000F5920000}"/>
    <cellStyle name="Separador de milhares 3 6 5 4 2 2 3 2" xfId="48723" xr:uid="{00000000-0005-0000-0000-0000F6920000}"/>
    <cellStyle name="Separador de milhares 3 6 5 4 2 2 4" xfId="16622" xr:uid="{00000000-0005-0000-0000-0000F7920000}"/>
    <cellStyle name="Separador de milhares 3 6 5 4 2 2 4 2" xfId="42815" xr:uid="{00000000-0005-0000-0000-0000F8920000}"/>
    <cellStyle name="Separador de milhares 3 6 5 4 2 2 5" xfId="36429" xr:uid="{00000000-0005-0000-0000-0000F9920000}"/>
    <cellStyle name="Separador de milhares 3 6 5 4 2 3" xfId="25493" xr:uid="{00000000-0005-0000-0000-0000FA920000}"/>
    <cellStyle name="Separador de milhares 3 6 5 4 2 3 2" xfId="51677" xr:uid="{00000000-0005-0000-0000-0000FB920000}"/>
    <cellStyle name="Separador de milhares 3 6 5 4 2 4" xfId="19579" xr:uid="{00000000-0005-0000-0000-0000FC920000}"/>
    <cellStyle name="Separador de milhares 3 6 5 4 2 4 2" xfId="45769" xr:uid="{00000000-0005-0000-0000-0000FD920000}"/>
    <cellStyle name="Separador de milhares 3 6 5 4 2 5" xfId="13481" xr:uid="{00000000-0005-0000-0000-0000FE920000}"/>
    <cellStyle name="Separador de milhares 3 6 5 4 2 5 2" xfId="39674" xr:uid="{00000000-0005-0000-0000-0000FF920000}"/>
    <cellStyle name="Separador de milhares 3 6 5 4 2 6" xfId="33288" xr:uid="{00000000-0005-0000-0000-000000930000}"/>
    <cellStyle name="Separador de milhares 3 6 5 4 3" xfId="8768" xr:uid="{00000000-0005-0000-0000-000001930000}"/>
    <cellStyle name="Separador de milhares 3 6 5 4 3 2" xfId="26982" xr:uid="{00000000-0005-0000-0000-000002930000}"/>
    <cellStyle name="Separador de milhares 3 6 5 4 3 2 2" xfId="53163" xr:uid="{00000000-0005-0000-0000-000003930000}"/>
    <cellStyle name="Separador de milhares 3 6 5 4 3 3" xfId="21068" xr:uid="{00000000-0005-0000-0000-000004930000}"/>
    <cellStyle name="Separador de milhares 3 6 5 4 3 3 2" xfId="47255" xr:uid="{00000000-0005-0000-0000-000005930000}"/>
    <cellStyle name="Separador de milhares 3 6 5 4 3 4" xfId="15154" xr:uid="{00000000-0005-0000-0000-000006930000}"/>
    <cellStyle name="Separador de milhares 3 6 5 4 3 4 2" xfId="41347" xr:uid="{00000000-0005-0000-0000-000007930000}"/>
    <cellStyle name="Separador de milhares 3 6 5 4 3 5" xfId="34961" xr:uid="{00000000-0005-0000-0000-000008930000}"/>
    <cellStyle name="Separador de milhares 3 6 5 4 4" xfId="5393" xr:uid="{00000000-0005-0000-0000-000009930000}"/>
    <cellStyle name="Separador de milhares 3 6 5 4 4 2" xfId="24025" xr:uid="{00000000-0005-0000-0000-00000A930000}"/>
    <cellStyle name="Separador de milhares 3 6 5 4 4 2 2" xfId="50209" xr:uid="{00000000-0005-0000-0000-00000B930000}"/>
    <cellStyle name="Separador de milhares 3 6 5 4 4 3" xfId="31589" xr:uid="{00000000-0005-0000-0000-00000C930000}"/>
    <cellStyle name="Separador de milhares 3 6 5 4 5" xfId="18111" xr:uid="{00000000-0005-0000-0000-00000D930000}"/>
    <cellStyle name="Separador de milhares 3 6 5 4 5 2" xfId="44301" xr:uid="{00000000-0005-0000-0000-00000E930000}"/>
    <cellStyle name="Separador de milhares 3 6 5 4 6" xfId="11780" xr:uid="{00000000-0005-0000-0000-00000F930000}"/>
    <cellStyle name="Separador de milhares 3 6 5 4 6 2" xfId="37973" xr:uid="{00000000-0005-0000-0000-000010930000}"/>
    <cellStyle name="Separador de milhares 3 6 5 4 7" xfId="29891" xr:uid="{00000000-0005-0000-0000-000011930000}"/>
    <cellStyle name="Separador de milhares 3 6 5 5" xfId="2909" xr:uid="{00000000-0005-0000-0000-000012930000}"/>
    <cellStyle name="Separador de milhares 3 6 5 5 2" xfId="7239" xr:uid="{00000000-0005-0000-0000-000013930000}"/>
    <cellStyle name="Separador de milhares 3 6 5 5 2 2" xfId="10383" xr:uid="{00000000-0005-0000-0000-000014930000}"/>
    <cellStyle name="Separador de milhares 3 6 5 5 2 2 2" xfId="28597" xr:uid="{00000000-0005-0000-0000-000015930000}"/>
    <cellStyle name="Separador de milhares 3 6 5 5 2 2 2 2" xfId="54778" xr:uid="{00000000-0005-0000-0000-000016930000}"/>
    <cellStyle name="Separador de milhares 3 6 5 5 2 2 3" xfId="22683" xr:uid="{00000000-0005-0000-0000-000017930000}"/>
    <cellStyle name="Separador de milhares 3 6 5 5 2 2 3 2" xfId="48870" xr:uid="{00000000-0005-0000-0000-000018930000}"/>
    <cellStyle name="Separador de milhares 3 6 5 5 2 2 4" xfId="16769" xr:uid="{00000000-0005-0000-0000-000019930000}"/>
    <cellStyle name="Separador de milhares 3 6 5 5 2 2 4 2" xfId="42962" xr:uid="{00000000-0005-0000-0000-00001A930000}"/>
    <cellStyle name="Separador de milhares 3 6 5 5 2 2 5" xfId="36576" xr:uid="{00000000-0005-0000-0000-00001B930000}"/>
    <cellStyle name="Separador de milhares 3 6 5 5 2 3" xfId="25640" xr:uid="{00000000-0005-0000-0000-00001C930000}"/>
    <cellStyle name="Separador de milhares 3 6 5 5 2 3 2" xfId="51824" xr:uid="{00000000-0005-0000-0000-00001D930000}"/>
    <cellStyle name="Separador de milhares 3 6 5 5 2 4" xfId="19726" xr:uid="{00000000-0005-0000-0000-00001E930000}"/>
    <cellStyle name="Separador de milhares 3 6 5 5 2 4 2" xfId="45916" xr:uid="{00000000-0005-0000-0000-00001F930000}"/>
    <cellStyle name="Separador de milhares 3 6 5 5 2 5" xfId="13628" xr:uid="{00000000-0005-0000-0000-000020930000}"/>
    <cellStyle name="Separador de milhares 3 6 5 5 2 5 2" xfId="39821" xr:uid="{00000000-0005-0000-0000-000021930000}"/>
    <cellStyle name="Separador de milhares 3 6 5 5 2 6" xfId="33435" xr:uid="{00000000-0005-0000-0000-000022930000}"/>
    <cellStyle name="Separador de milhares 3 6 5 5 3" xfId="8915" xr:uid="{00000000-0005-0000-0000-000023930000}"/>
    <cellStyle name="Separador de milhares 3 6 5 5 3 2" xfId="27129" xr:uid="{00000000-0005-0000-0000-000024930000}"/>
    <cellStyle name="Separador de milhares 3 6 5 5 3 2 2" xfId="53310" xr:uid="{00000000-0005-0000-0000-000025930000}"/>
    <cellStyle name="Separador de milhares 3 6 5 5 3 3" xfId="21215" xr:uid="{00000000-0005-0000-0000-000026930000}"/>
    <cellStyle name="Separador de milhares 3 6 5 5 3 3 2" xfId="47402" xr:uid="{00000000-0005-0000-0000-000027930000}"/>
    <cellStyle name="Separador de milhares 3 6 5 5 3 4" xfId="15301" xr:uid="{00000000-0005-0000-0000-000028930000}"/>
    <cellStyle name="Separador de milhares 3 6 5 5 3 4 2" xfId="41494" xr:uid="{00000000-0005-0000-0000-000029930000}"/>
    <cellStyle name="Separador de milhares 3 6 5 5 3 5" xfId="35108" xr:uid="{00000000-0005-0000-0000-00002A930000}"/>
    <cellStyle name="Separador de milhares 3 6 5 5 4" xfId="5540" xr:uid="{00000000-0005-0000-0000-00002B930000}"/>
    <cellStyle name="Separador de milhares 3 6 5 5 4 2" xfId="24172" xr:uid="{00000000-0005-0000-0000-00002C930000}"/>
    <cellStyle name="Separador de milhares 3 6 5 5 4 2 2" xfId="50356" xr:uid="{00000000-0005-0000-0000-00002D930000}"/>
    <cellStyle name="Separador de milhares 3 6 5 5 4 3" xfId="31736" xr:uid="{00000000-0005-0000-0000-00002E930000}"/>
    <cellStyle name="Separador de milhares 3 6 5 5 5" xfId="18258" xr:uid="{00000000-0005-0000-0000-00002F930000}"/>
    <cellStyle name="Separador de milhares 3 6 5 5 5 2" xfId="44448" xr:uid="{00000000-0005-0000-0000-000030930000}"/>
    <cellStyle name="Separador de milhares 3 6 5 5 6" xfId="11927" xr:uid="{00000000-0005-0000-0000-000031930000}"/>
    <cellStyle name="Separador de milhares 3 6 5 5 6 2" xfId="38120" xr:uid="{00000000-0005-0000-0000-000032930000}"/>
    <cellStyle name="Separador de milhares 3 6 5 5 7" xfId="30038" xr:uid="{00000000-0005-0000-0000-000033930000}"/>
    <cellStyle name="Separador de milhares 3 6 5 6" xfId="3436" xr:uid="{00000000-0005-0000-0000-000034930000}"/>
    <cellStyle name="Separador de milhares 3 6 5 6 2" xfId="7386" xr:uid="{00000000-0005-0000-0000-000035930000}"/>
    <cellStyle name="Separador de milhares 3 6 5 6 2 2" xfId="10530" xr:uid="{00000000-0005-0000-0000-000036930000}"/>
    <cellStyle name="Separador de milhares 3 6 5 6 2 2 2" xfId="28744" xr:uid="{00000000-0005-0000-0000-000037930000}"/>
    <cellStyle name="Separador de milhares 3 6 5 6 2 2 2 2" xfId="54925" xr:uid="{00000000-0005-0000-0000-000038930000}"/>
    <cellStyle name="Separador de milhares 3 6 5 6 2 2 3" xfId="22830" xr:uid="{00000000-0005-0000-0000-000039930000}"/>
    <cellStyle name="Separador de milhares 3 6 5 6 2 2 3 2" xfId="49017" xr:uid="{00000000-0005-0000-0000-00003A930000}"/>
    <cellStyle name="Separador de milhares 3 6 5 6 2 2 4" xfId="16916" xr:uid="{00000000-0005-0000-0000-00003B930000}"/>
    <cellStyle name="Separador de milhares 3 6 5 6 2 2 4 2" xfId="43109" xr:uid="{00000000-0005-0000-0000-00003C930000}"/>
    <cellStyle name="Separador de milhares 3 6 5 6 2 2 5" xfId="36723" xr:uid="{00000000-0005-0000-0000-00003D930000}"/>
    <cellStyle name="Separador de milhares 3 6 5 6 2 3" xfId="25787" xr:uid="{00000000-0005-0000-0000-00003E930000}"/>
    <cellStyle name="Separador de milhares 3 6 5 6 2 3 2" xfId="51971" xr:uid="{00000000-0005-0000-0000-00003F930000}"/>
    <cellStyle name="Separador de milhares 3 6 5 6 2 4" xfId="19873" xr:uid="{00000000-0005-0000-0000-000040930000}"/>
    <cellStyle name="Separador de milhares 3 6 5 6 2 4 2" xfId="46063" xr:uid="{00000000-0005-0000-0000-000041930000}"/>
    <cellStyle name="Separador de milhares 3 6 5 6 2 5" xfId="13775" xr:uid="{00000000-0005-0000-0000-000042930000}"/>
    <cellStyle name="Separador de milhares 3 6 5 6 2 5 2" xfId="39968" xr:uid="{00000000-0005-0000-0000-000043930000}"/>
    <cellStyle name="Separador de milhares 3 6 5 6 2 6" xfId="33582" xr:uid="{00000000-0005-0000-0000-000044930000}"/>
    <cellStyle name="Separador de milhares 3 6 5 6 3" xfId="9062" xr:uid="{00000000-0005-0000-0000-000045930000}"/>
    <cellStyle name="Separador de milhares 3 6 5 6 3 2" xfId="27276" xr:uid="{00000000-0005-0000-0000-000046930000}"/>
    <cellStyle name="Separador de milhares 3 6 5 6 3 2 2" xfId="53457" xr:uid="{00000000-0005-0000-0000-000047930000}"/>
    <cellStyle name="Separador de milhares 3 6 5 6 3 3" xfId="21362" xr:uid="{00000000-0005-0000-0000-000048930000}"/>
    <cellStyle name="Separador de milhares 3 6 5 6 3 3 2" xfId="47549" xr:uid="{00000000-0005-0000-0000-000049930000}"/>
    <cellStyle name="Separador de milhares 3 6 5 6 3 4" xfId="15448" xr:uid="{00000000-0005-0000-0000-00004A930000}"/>
    <cellStyle name="Separador de milhares 3 6 5 6 3 4 2" xfId="41641" xr:uid="{00000000-0005-0000-0000-00004B930000}"/>
    <cellStyle name="Separador de milhares 3 6 5 6 3 5" xfId="35255" xr:uid="{00000000-0005-0000-0000-00004C930000}"/>
    <cellStyle name="Separador de milhares 3 6 5 6 4" xfId="5687" xr:uid="{00000000-0005-0000-0000-00004D930000}"/>
    <cellStyle name="Separador de milhares 3 6 5 6 4 2" xfId="24319" xr:uid="{00000000-0005-0000-0000-00004E930000}"/>
    <cellStyle name="Separador de milhares 3 6 5 6 4 2 2" xfId="50503" xr:uid="{00000000-0005-0000-0000-00004F930000}"/>
    <cellStyle name="Separador de milhares 3 6 5 6 4 3" xfId="31883" xr:uid="{00000000-0005-0000-0000-000050930000}"/>
    <cellStyle name="Separador de milhares 3 6 5 6 5" xfId="18405" xr:uid="{00000000-0005-0000-0000-000051930000}"/>
    <cellStyle name="Separador de milhares 3 6 5 6 5 2" xfId="44595" xr:uid="{00000000-0005-0000-0000-000052930000}"/>
    <cellStyle name="Separador de milhares 3 6 5 6 6" xfId="12074" xr:uid="{00000000-0005-0000-0000-000053930000}"/>
    <cellStyle name="Separador de milhares 3 6 5 6 6 2" xfId="38267" xr:uid="{00000000-0005-0000-0000-000054930000}"/>
    <cellStyle name="Separador de milhares 3 6 5 6 7" xfId="30185" xr:uid="{00000000-0005-0000-0000-000055930000}"/>
    <cellStyle name="Separador de milhares 3 6 5 7" xfId="3963" xr:uid="{00000000-0005-0000-0000-000056930000}"/>
    <cellStyle name="Separador de milhares 3 6 5 7 2" xfId="7533" xr:uid="{00000000-0005-0000-0000-000057930000}"/>
    <cellStyle name="Separador de milhares 3 6 5 7 2 2" xfId="10677" xr:uid="{00000000-0005-0000-0000-000058930000}"/>
    <cellStyle name="Separador de milhares 3 6 5 7 2 2 2" xfId="28891" xr:uid="{00000000-0005-0000-0000-000059930000}"/>
    <cellStyle name="Separador de milhares 3 6 5 7 2 2 2 2" xfId="55072" xr:uid="{00000000-0005-0000-0000-00005A930000}"/>
    <cellStyle name="Separador de milhares 3 6 5 7 2 2 3" xfId="22977" xr:uid="{00000000-0005-0000-0000-00005B930000}"/>
    <cellStyle name="Separador de milhares 3 6 5 7 2 2 3 2" xfId="49164" xr:uid="{00000000-0005-0000-0000-00005C930000}"/>
    <cellStyle name="Separador de milhares 3 6 5 7 2 2 4" xfId="17063" xr:uid="{00000000-0005-0000-0000-00005D930000}"/>
    <cellStyle name="Separador de milhares 3 6 5 7 2 2 4 2" xfId="43256" xr:uid="{00000000-0005-0000-0000-00005E930000}"/>
    <cellStyle name="Separador de milhares 3 6 5 7 2 2 5" xfId="36870" xr:uid="{00000000-0005-0000-0000-00005F930000}"/>
    <cellStyle name="Separador de milhares 3 6 5 7 2 3" xfId="25934" xr:uid="{00000000-0005-0000-0000-000060930000}"/>
    <cellStyle name="Separador de milhares 3 6 5 7 2 3 2" xfId="52118" xr:uid="{00000000-0005-0000-0000-000061930000}"/>
    <cellStyle name="Separador de milhares 3 6 5 7 2 4" xfId="20020" xr:uid="{00000000-0005-0000-0000-000062930000}"/>
    <cellStyle name="Separador de milhares 3 6 5 7 2 4 2" xfId="46210" xr:uid="{00000000-0005-0000-0000-000063930000}"/>
    <cellStyle name="Separador de milhares 3 6 5 7 2 5" xfId="13922" xr:uid="{00000000-0005-0000-0000-000064930000}"/>
    <cellStyle name="Separador de milhares 3 6 5 7 2 5 2" xfId="40115" xr:uid="{00000000-0005-0000-0000-000065930000}"/>
    <cellStyle name="Separador de milhares 3 6 5 7 2 6" xfId="33729" xr:uid="{00000000-0005-0000-0000-000066930000}"/>
    <cellStyle name="Separador de milhares 3 6 5 7 3" xfId="9209" xr:uid="{00000000-0005-0000-0000-000067930000}"/>
    <cellStyle name="Separador de milhares 3 6 5 7 3 2" xfId="27423" xr:uid="{00000000-0005-0000-0000-000068930000}"/>
    <cellStyle name="Separador de milhares 3 6 5 7 3 2 2" xfId="53604" xr:uid="{00000000-0005-0000-0000-000069930000}"/>
    <cellStyle name="Separador de milhares 3 6 5 7 3 3" xfId="21509" xr:uid="{00000000-0005-0000-0000-00006A930000}"/>
    <cellStyle name="Separador de milhares 3 6 5 7 3 3 2" xfId="47696" xr:uid="{00000000-0005-0000-0000-00006B930000}"/>
    <cellStyle name="Separador de milhares 3 6 5 7 3 4" xfId="15595" xr:uid="{00000000-0005-0000-0000-00006C930000}"/>
    <cellStyle name="Separador de milhares 3 6 5 7 3 4 2" xfId="41788" xr:uid="{00000000-0005-0000-0000-00006D930000}"/>
    <cellStyle name="Separador de milhares 3 6 5 7 3 5" xfId="35402" xr:uid="{00000000-0005-0000-0000-00006E930000}"/>
    <cellStyle name="Separador de milhares 3 6 5 7 4" xfId="5834" xr:uid="{00000000-0005-0000-0000-00006F930000}"/>
    <cellStyle name="Separador de milhares 3 6 5 7 4 2" xfId="24466" xr:uid="{00000000-0005-0000-0000-000070930000}"/>
    <cellStyle name="Separador de milhares 3 6 5 7 4 2 2" xfId="50650" xr:uid="{00000000-0005-0000-0000-000071930000}"/>
    <cellStyle name="Separador de milhares 3 6 5 7 4 3" xfId="32030" xr:uid="{00000000-0005-0000-0000-000072930000}"/>
    <cellStyle name="Separador de milhares 3 6 5 7 5" xfId="18552" xr:uid="{00000000-0005-0000-0000-000073930000}"/>
    <cellStyle name="Separador de milhares 3 6 5 7 5 2" xfId="44742" xr:uid="{00000000-0005-0000-0000-000074930000}"/>
    <cellStyle name="Separador de milhares 3 6 5 7 6" xfId="12221" xr:uid="{00000000-0005-0000-0000-000075930000}"/>
    <cellStyle name="Separador de milhares 3 6 5 7 6 2" xfId="38414" xr:uid="{00000000-0005-0000-0000-000076930000}"/>
    <cellStyle name="Separador de milhares 3 6 5 7 7" xfId="30332" xr:uid="{00000000-0005-0000-0000-000077930000}"/>
    <cellStyle name="Separador de milhares 3 6 5 8" xfId="6572" xr:uid="{00000000-0005-0000-0000-000078930000}"/>
    <cellStyle name="Separador de milhares 3 6 5 8 2" xfId="9719" xr:uid="{00000000-0005-0000-0000-000079930000}"/>
    <cellStyle name="Separador de milhares 3 6 5 8 2 2" xfId="27933" xr:uid="{00000000-0005-0000-0000-00007A930000}"/>
    <cellStyle name="Separador de milhares 3 6 5 8 2 2 2" xfId="54114" xr:uid="{00000000-0005-0000-0000-00007B930000}"/>
    <cellStyle name="Separador de milhares 3 6 5 8 2 3" xfId="22019" xr:uid="{00000000-0005-0000-0000-00007C930000}"/>
    <cellStyle name="Separador de milhares 3 6 5 8 2 3 2" xfId="48206" xr:uid="{00000000-0005-0000-0000-00007D930000}"/>
    <cellStyle name="Separador de milhares 3 6 5 8 2 4" xfId="16105" xr:uid="{00000000-0005-0000-0000-00007E930000}"/>
    <cellStyle name="Separador de milhares 3 6 5 8 2 4 2" xfId="42298" xr:uid="{00000000-0005-0000-0000-00007F930000}"/>
    <cellStyle name="Separador de milhares 3 6 5 8 2 5" xfId="35912" xr:uid="{00000000-0005-0000-0000-000080930000}"/>
    <cellStyle name="Separador de milhares 3 6 5 8 3" xfId="24976" xr:uid="{00000000-0005-0000-0000-000081930000}"/>
    <cellStyle name="Separador de milhares 3 6 5 8 3 2" xfId="51160" xr:uid="{00000000-0005-0000-0000-000082930000}"/>
    <cellStyle name="Separador de milhares 3 6 5 8 4" xfId="19062" xr:uid="{00000000-0005-0000-0000-000083930000}"/>
    <cellStyle name="Separador de milhares 3 6 5 8 4 2" xfId="45252" xr:uid="{00000000-0005-0000-0000-000084930000}"/>
    <cellStyle name="Separador de milhares 3 6 5 8 5" xfId="12961" xr:uid="{00000000-0005-0000-0000-000085930000}"/>
    <cellStyle name="Separador de milhares 3 6 5 8 5 2" xfId="39154" xr:uid="{00000000-0005-0000-0000-000086930000}"/>
    <cellStyle name="Separador de milhares 3 6 5 8 6" xfId="32768" xr:uid="{00000000-0005-0000-0000-000087930000}"/>
    <cellStyle name="Separador de milhares 3 6 5 9" xfId="8248" xr:uid="{00000000-0005-0000-0000-000088930000}"/>
    <cellStyle name="Separador de milhares 3 6 5 9 2" xfId="26462" xr:uid="{00000000-0005-0000-0000-000089930000}"/>
    <cellStyle name="Separador de milhares 3 6 5 9 2 2" xfId="52646" xr:uid="{00000000-0005-0000-0000-00008A930000}"/>
    <cellStyle name="Separador de milhares 3 6 5 9 3" xfId="20548" xr:uid="{00000000-0005-0000-0000-00008B930000}"/>
    <cellStyle name="Separador de milhares 3 6 5 9 3 2" xfId="46738" xr:uid="{00000000-0005-0000-0000-00008C930000}"/>
    <cellStyle name="Separador de milhares 3 6 5 9 4" xfId="14637" xr:uid="{00000000-0005-0000-0000-00008D930000}"/>
    <cellStyle name="Separador de milhares 3 6 5 9 4 2" xfId="40830" xr:uid="{00000000-0005-0000-0000-00008E930000}"/>
    <cellStyle name="Separador de milhares 3 6 5 9 5" xfId="34444" xr:uid="{00000000-0005-0000-0000-00008F930000}"/>
    <cellStyle name="Separador de milhares 3 6 6" xfId="715" xr:uid="{00000000-0005-0000-0000-000090930000}"/>
    <cellStyle name="Separador de milhares 3 6 6 2" xfId="4139" xr:uid="{00000000-0005-0000-0000-000091930000}"/>
    <cellStyle name="Separador de milhares 3 6 6 2 2" xfId="7582" xr:uid="{00000000-0005-0000-0000-000092930000}"/>
    <cellStyle name="Separador de milhares 3 6 6 2 2 2" xfId="10726" xr:uid="{00000000-0005-0000-0000-000093930000}"/>
    <cellStyle name="Separador de milhares 3 6 6 2 2 2 2" xfId="28940" xr:uid="{00000000-0005-0000-0000-000094930000}"/>
    <cellStyle name="Separador de milhares 3 6 6 2 2 2 2 2" xfId="55121" xr:uid="{00000000-0005-0000-0000-000095930000}"/>
    <cellStyle name="Separador de milhares 3 6 6 2 2 2 3" xfId="23026" xr:uid="{00000000-0005-0000-0000-000096930000}"/>
    <cellStyle name="Separador de milhares 3 6 6 2 2 2 3 2" xfId="49213" xr:uid="{00000000-0005-0000-0000-000097930000}"/>
    <cellStyle name="Separador de milhares 3 6 6 2 2 2 4" xfId="17112" xr:uid="{00000000-0005-0000-0000-000098930000}"/>
    <cellStyle name="Separador de milhares 3 6 6 2 2 2 4 2" xfId="43305" xr:uid="{00000000-0005-0000-0000-000099930000}"/>
    <cellStyle name="Separador de milhares 3 6 6 2 2 2 5" xfId="36919" xr:uid="{00000000-0005-0000-0000-00009A930000}"/>
    <cellStyle name="Separador de milhares 3 6 6 2 2 3" xfId="25983" xr:uid="{00000000-0005-0000-0000-00009B930000}"/>
    <cellStyle name="Separador de milhares 3 6 6 2 2 3 2" xfId="52167" xr:uid="{00000000-0005-0000-0000-00009C930000}"/>
    <cellStyle name="Separador de milhares 3 6 6 2 2 4" xfId="20069" xr:uid="{00000000-0005-0000-0000-00009D930000}"/>
    <cellStyle name="Separador de milhares 3 6 6 2 2 4 2" xfId="46259" xr:uid="{00000000-0005-0000-0000-00009E930000}"/>
    <cellStyle name="Separador de milhares 3 6 6 2 2 5" xfId="13971" xr:uid="{00000000-0005-0000-0000-00009F930000}"/>
    <cellStyle name="Separador de milhares 3 6 6 2 2 5 2" xfId="40164" xr:uid="{00000000-0005-0000-0000-0000A0930000}"/>
    <cellStyle name="Separador de milhares 3 6 6 2 2 6" xfId="33778" xr:uid="{00000000-0005-0000-0000-0000A1930000}"/>
    <cellStyle name="Separador de milhares 3 6 6 2 3" xfId="9258" xr:uid="{00000000-0005-0000-0000-0000A2930000}"/>
    <cellStyle name="Separador de milhares 3 6 6 2 3 2" xfId="27472" xr:uid="{00000000-0005-0000-0000-0000A3930000}"/>
    <cellStyle name="Separador de milhares 3 6 6 2 3 2 2" xfId="53653" xr:uid="{00000000-0005-0000-0000-0000A4930000}"/>
    <cellStyle name="Separador de milhares 3 6 6 2 3 3" xfId="21558" xr:uid="{00000000-0005-0000-0000-0000A5930000}"/>
    <cellStyle name="Separador de milhares 3 6 6 2 3 3 2" xfId="47745" xr:uid="{00000000-0005-0000-0000-0000A6930000}"/>
    <cellStyle name="Separador de milhares 3 6 6 2 3 4" xfId="15644" xr:uid="{00000000-0005-0000-0000-0000A7930000}"/>
    <cellStyle name="Separador de milhares 3 6 6 2 3 4 2" xfId="41837" xr:uid="{00000000-0005-0000-0000-0000A8930000}"/>
    <cellStyle name="Separador de milhares 3 6 6 2 3 5" xfId="35451" xr:uid="{00000000-0005-0000-0000-0000A9930000}"/>
    <cellStyle name="Separador de milhares 3 6 6 2 4" xfId="5883" xr:uid="{00000000-0005-0000-0000-0000AA930000}"/>
    <cellStyle name="Separador de milhares 3 6 6 2 4 2" xfId="24515" xr:uid="{00000000-0005-0000-0000-0000AB930000}"/>
    <cellStyle name="Separador de milhares 3 6 6 2 4 2 2" xfId="50699" xr:uid="{00000000-0005-0000-0000-0000AC930000}"/>
    <cellStyle name="Separador de milhares 3 6 6 2 4 3" xfId="32079" xr:uid="{00000000-0005-0000-0000-0000AD930000}"/>
    <cellStyle name="Separador de milhares 3 6 6 2 5" xfId="18601" xr:uid="{00000000-0005-0000-0000-0000AE930000}"/>
    <cellStyle name="Separador de milhares 3 6 6 2 5 2" xfId="44791" xr:uid="{00000000-0005-0000-0000-0000AF930000}"/>
    <cellStyle name="Separador de milhares 3 6 6 2 6" xfId="12270" xr:uid="{00000000-0005-0000-0000-0000B0930000}"/>
    <cellStyle name="Separador de milhares 3 6 6 2 6 2" xfId="38463" xr:uid="{00000000-0005-0000-0000-0000B1930000}"/>
    <cellStyle name="Separador de milhares 3 6 6 2 7" xfId="30381" xr:uid="{00000000-0005-0000-0000-0000B2930000}"/>
    <cellStyle name="Separador de milhares 3 6 6 3" xfId="6627" xr:uid="{00000000-0005-0000-0000-0000B3930000}"/>
    <cellStyle name="Separador de milhares 3 6 6 3 2" xfId="9774" xr:uid="{00000000-0005-0000-0000-0000B4930000}"/>
    <cellStyle name="Separador de milhares 3 6 6 3 2 2" xfId="27988" xr:uid="{00000000-0005-0000-0000-0000B5930000}"/>
    <cellStyle name="Separador de milhares 3 6 6 3 2 2 2" xfId="54169" xr:uid="{00000000-0005-0000-0000-0000B6930000}"/>
    <cellStyle name="Separador de milhares 3 6 6 3 2 3" xfId="22074" xr:uid="{00000000-0005-0000-0000-0000B7930000}"/>
    <cellStyle name="Separador de milhares 3 6 6 3 2 3 2" xfId="48261" xr:uid="{00000000-0005-0000-0000-0000B8930000}"/>
    <cellStyle name="Separador de milhares 3 6 6 3 2 4" xfId="16160" xr:uid="{00000000-0005-0000-0000-0000B9930000}"/>
    <cellStyle name="Separador de milhares 3 6 6 3 2 4 2" xfId="42353" xr:uid="{00000000-0005-0000-0000-0000BA930000}"/>
    <cellStyle name="Separador de milhares 3 6 6 3 2 5" xfId="35967" xr:uid="{00000000-0005-0000-0000-0000BB930000}"/>
    <cellStyle name="Separador de milhares 3 6 6 3 3" xfId="25031" xr:uid="{00000000-0005-0000-0000-0000BC930000}"/>
    <cellStyle name="Separador de milhares 3 6 6 3 3 2" xfId="51215" xr:uid="{00000000-0005-0000-0000-0000BD930000}"/>
    <cellStyle name="Separador de milhares 3 6 6 3 4" xfId="19117" xr:uid="{00000000-0005-0000-0000-0000BE930000}"/>
    <cellStyle name="Separador de milhares 3 6 6 3 4 2" xfId="45307" xr:uid="{00000000-0005-0000-0000-0000BF930000}"/>
    <cellStyle name="Separador de milhares 3 6 6 3 5" xfId="13016" xr:uid="{00000000-0005-0000-0000-0000C0930000}"/>
    <cellStyle name="Separador de milhares 3 6 6 3 5 2" xfId="39209" xr:uid="{00000000-0005-0000-0000-0000C1930000}"/>
    <cellStyle name="Separador de milhares 3 6 6 3 6" xfId="32823" xr:uid="{00000000-0005-0000-0000-0000C2930000}"/>
    <cellStyle name="Separador de milhares 3 6 6 4" xfId="8306" xr:uid="{00000000-0005-0000-0000-0000C3930000}"/>
    <cellStyle name="Separador de milhares 3 6 6 4 2" xfId="26520" xr:uid="{00000000-0005-0000-0000-0000C4930000}"/>
    <cellStyle name="Separador de milhares 3 6 6 4 2 2" xfId="52701" xr:uid="{00000000-0005-0000-0000-0000C5930000}"/>
    <cellStyle name="Separador de milhares 3 6 6 4 3" xfId="20606" xr:uid="{00000000-0005-0000-0000-0000C6930000}"/>
    <cellStyle name="Separador de milhares 3 6 6 4 3 2" xfId="46793" xr:uid="{00000000-0005-0000-0000-0000C7930000}"/>
    <cellStyle name="Separador de milhares 3 6 6 4 4" xfId="14692" xr:uid="{00000000-0005-0000-0000-0000C8930000}"/>
    <cellStyle name="Separador de milhares 3 6 6 4 4 2" xfId="40885" xr:uid="{00000000-0005-0000-0000-0000C9930000}"/>
    <cellStyle name="Separador de milhares 3 6 6 4 5" xfId="34499" xr:uid="{00000000-0005-0000-0000-0000CA930000}"/>
    <cellStyle name="Separador de milhares 3 6 6 5" xfId="4928" xr:uid="{00000000-0005-0000-0000-0000CB930000}"/>
    <cellStyle name="Separador de milhares 3 6 6 5 2" xfId="23563" xr:uid="{00000000-0005-0000-0000-0000CC930000}"/>
    <cellStyle name="Separador de milhares 3 6 6 5 2 2" xfId="49747" xr:uid="{00000000-0005-0000-0000-0000CD930000}"/>
    <cellStyle name="Separador de milhares 3 6 6 5 3" xfId="31124" xr:uid="{00000000-0005-0000-0000-0000CE930000}"/>
    <cellStyle name="Separador de milhares 3 6 6 6" xfId="17649" xr:uid="{00000000-0005-0000-0000-0000CF930000}"/>
    <cellStyle name="Separador de milhares 3 6 6 6 2" xfId="43839" xr:uid="{00000000-0005-0000-0000-0000D0930000}"/>
    <cellStyle name="Separador de milhares 3 6 6 7" xfId="11315" xr:uid="{00000000-0005-0000-0000-0000D1930000}"/>
    <cellStyle name="Separador de milhares 3 6 6 7 2" xfId="37508" xr:uid="{00000000-0005-0000-0000-0000D2930000}"/>
    <cellStyle name="Separador de milhares 3 6 6 8" xfId="29426" xr:uid="{00000000-0005-0000-0000-0000D3930000}"/>
    <cellStyle name="Separador de milhares 3 6 7" xfId="1066" xr:uid="{00000000-0005-0000-0000-0000D4930000}"/>
    <cellStyle name="Separador de milhares 3 6 7 2" xfId="6725" xr:uid="{00000000-0005-0000-0000-0000D5930000}"/>
    <cellStyle name="Separador de milhares 3 6 7 2 2" xfId="9872" xr:uid="{00000000-0005-0000-0000-0000D6930000}"/>
    <cellStyle name="Separador de milhares 3 6 7 2 2 2" xfId="28086" xr:uid="{00000000-0005-0000-0000-0000D7930000}"/>
    <cellStyle name="Separador de milhares 3 6 7 2 2 2 2" xfId="54267" xr:uid="{00000000-0005-0000-0000-0000D8930000}"/>
    <cellStyle name="Separador de milhares 3 6 7 2 2 3" xfId="22172" xr:uid="{00000000-0005-0000-0000-0000D9930000}"/>
    <cellStyle name="Separador de milhares 3 6 7 2 2 3 2" xfId="48359" xr:uid="{00000000-0005-0000-0000-0000DA930000}"/>
    <cellStyle name="Separador de milhares 3 6 7 2 2 4" xfId="16258" xr:uid="{00000000-0005-0000-0000-0000DB930000}"/>
    <cellStyle name="Separador de milhares 3 6 7 2 2 4 2" xfId="42451" xr:uid="{00000000-0005-0000-0000-0000DC930000}"/>
    <cellStyle name="Separador de milhares 3 6 7 2 2 5" xfId="36065" xr:uid="{00000000-0005-0000-0000-0000DD930000}"/>
    <cellStyle name="Separador de milhares 3 6 7 2 3" xfId="25129" xr:uid="{00000000-0005-0000-0000-0000DE930000}"/>
    <cellStyle name="Separador de milhares 3 6 7 2 3 2" xfId="51313" xr:uid="{00000000-0005-0000-0000-0000DF930000}"/>
    <cellStyle name="Separador de milhares 3 6 7 2 4" xfId="19215" xr:uid="{00000000-0005-0000-0000-0000E0930000}"/>
    <cellStyle name="Separador de milhares 3 6 7 2 4 2" xfId="45405" xr:uid="{00000000-0005-0000-0000-0000E1930000}"/>
    <cellStyle name="Separador de milhares 3 6 7 2 5" xfId="13114" xr:uid="{00000000-0005-0000-0000-0000E2930000}"/>
    <cellStyle name="Separador de milhares 3 6 7 2 5 2" xfId="39307" xr:uid="{00000000-0005-0000-0000-0000E3930000}"/>
    <cellStyle name="Separador de milhares 3 6 7 2 6" xfId="32921" xr:uid="{00000000-0005-0000-0000-0000E4930000}"/>
    <cellStyle name="Separador de milhares 3 6 7 3" xfId="8404" xr:uid="{00000000-0005-0000-0000-0000E5930000}"/>
    <cellStyle name="Separador de milhares 3 6 7 3 2" xfId="26618" xr:uid="{00000000-0005-0000-0000-0000E6930000}"/>
    <cellStyle name="Separador de milhares 3 6 7 3 2 2" xfId="52799" xr:uid="{00000000-0005-0000-0000-0000E7930000}"/>
    <cellStyle name="Separador de milhares 3 6 7 3 3" xfId="20704" xr:uid="{00000000-0005-0000-0000-0000E8930000}"/>
    <cellStyle name="Separador de milhares 3 6 7 3 3 2" xfId="46891" xr:uid="{00000000-0005-0000-0000-0000E9930000}"/>
    <cellStyle name="Separador de milhares 3 6 7 3 4" xfId="14790" xr:uid="{00000000-0005-0000-0000-0000EA930000}"/>
    <cellStyle name="Separador de milhares 3 6 7 3 4 2" xfId="40983" xr:uid="{00000000-0005-0000-0000-0000EB930000}"/>
    <cellStyle name="Separador de milhares 3 6 7 3 5" xfId="34597" xr:uid="{00000000-0005-0000-0000-0000EC930000}"/>
    <cellStyle name="Separador de milhares 3 6 7 4" xfId="5026" xr:uid="{00000000-0005-0000-0000-0000ED930000}"/>
    <cellStyle name="Separador de milhares 3 6 7 4 2" xfId="23661" xr:uid="{00000000-0005-0000-0000-0000EE930000}"/>
    <cellStyle name="Separador de milhares 3 6 7 4 2 2" xfId="49845" xr:uid="{00000000-0005-0000-0000-0000EF930000}"/>
    <cellStyle name="Separador de milhares 3 6 7 4 3" xfId="31222" xr:uid="{00000000-0005-0000-0000-0000F0930000}"/>
    <cellStyle name="Separador de milhares 3 6 7 5" xfId="17747" xr:uid="{00000000-0005-0000-0000-0000F1930000}"/>
    <cellStyle name="Separador de milhares 3 6 7 5 2" xfId="43937" xr:uid="{00000000-0005-0000-0000-0000F2930000}"/>
    <cellStyle name="Separador de milhares 3 6 7 6" xfId="11413" xr:uid="{00000000-0005-0000-0000-0000F3930000}"/>
    <cellStyle name="Separador de milhares 3 6 7 6 2" xfId="37606" xr:uid="{00000000-0005-0000-0000-0000F4930000}"/>
    <cellStyle name="Separador de milhares 3 6 7 7" xfId="29524" xr:uid="{00000000-0005-0000-0000-0000F5930000}"/>
    <cellStyle name="Separador de milhares 3 6 8" xfId="1501" xr:uid="{00000000-0005-0000-0000-0000F6930000}"/>
    <cellStyle name="Separador de milhares 3 6 8 2" xfId="6844" xr:uid="{00000000-0005-0000-0000-0000F7930000}"/>
    <cellStyle name="Separador de milhares 3 6 8 2 2" xfId="9991" xr:uid="{00000000-0005-0000-0000-0000F8930000}"/>
    <cellStyle name="Separador de milhares 3 6 8 2 2 2" xfId="28205" xr:uid="{00000000-0005-0000-0000-0000F9930000}"/>
    <cellStyle name="Separador de milhares 3 6 8 2 2 2 2" xfId="54386" xr:uid="{00000000-0005-0000-0000-0000FA930000}"/>
    <cellStyle name="Separador de milhares 3 6 8 2 2 3" xfId="22291" xr:uid="{00000000-0005-0000-0000-0000FB930000}"/>
    <cellStyle name="Separador de milhares 3 6 8 2 2 3 2" xfId="48478" xr:uid="{00000000-0005-0000-0000-0000FC930000}"/>
    <cellStyle name="Separador de milhares 3 6 8 2 2 4" xfId="16377" xr:uid="{00000000-0005-0000-0000-0000FD930000}"/>
    <cellStyle name="Separador de milhares 3 6 8 2 2 4 2" xfId="42570" xr:uid="{00000000-0005-0000-0000-0000FE930000}"/>
    <cellStyle name="Separador de milhares 3 6 8 2 2 5" xfId="36184" xr:uid="{00000000-0005-0000-0000-0000FF930000}"/>
    <cellStyle name="Separador de milhares 3 6 8 2 3" xfId="25248" xr:uid="{00000000-0005-0000-0000-000000940000}"/>
    <cellStyle name="Separador de milhares 3 6 8 2 3 2" xfId="51432" xr:uid="{00000000-0005-0000-0000-000001940000}"/>
    <cellStyle name="Separador de milhares 3 6 8 2 4" xfId="19334" xr:uid="{00000000-0005-0000-0000-000002940000}"/>
    <cellStyle name="Separador de milhares 3 6 8 2 4 2" xfId="45524" xr:uid="{00000000-0005-0000-0000-000003940000}"/>
    <cellStyle name="Separador de milhares 3 6 8 2 5" xfId="13233" xr:uid="{00000000-0005-0000-0000-000004940000}"/>
    <cellStyle name="Separador de milhares 3 6 8 2 5 2" xfId="39426" xr:uid="{00000000-0005-0000-0000-000005940000}"/>
    <cellStyle name="Separador de milhares 3 6 8 2 6" xfId="33040" xr:uid="{00000000-0005-0000-0000-000006940000}"/>
    <cellStyle name="Separador de milhares 3 6 8 3" xfId="8523" xr:uid="{00000000-0005-0000-0000-000007940000}"/>
    <cellStyle name="Separador de milhares 3 6 8 3 2" xfId="26737" xr:uid="{00000000-0005-0000-0000-000008940000}"/>
    <cellStyle name="Separador de milhares 3 6 8 3 2 2" xfId="52918" xr:uid="{00000000-0005-0000-0000-000009940000}"/>
    <cellStyle name="Separador de milhares 3 6 8 3 3" xfId="20823" xr:uid="{00000000-0005-0000-0000-00000A940000}"/>
    <cellStyle name="Separador de milhares 3 6 8 3 3 2" xfId="47010" xr:uid="{00000000-0005-0000-0000-00000B940000}"/>
    <cellStyle name="Separador de milhares 3 6 8 3 4" xfId="14909" xr:uid="{00000000-0005-0000-0000-00000C940000}"/>
    <cellStyle name="Separador de milhares 3 6 8 3 4 2" xfId="41102" xr:uid="{00000000-0005-0000-0000-00000D940000}"/>
    <cellStyle name="Separador de milhares 3 6 8 3 5" xfId="34716" xr:uid="{00000000-0005-0000-0000-00000E940000}"/>
    <cellStyle name="Separador de milhares 3 6 8 4" xfId="5145" xr:uid="{00000000-0005-0000-0000-00000F940000}"/>
    <cellStyle name="Separador de milhares 3 6 8 4 2" xfId="23780" xr:uid="{00000000-0005-0000-0000-000010940000}"/>
    <cellStyle name="Separador de milhares 3 6 8 4 2 2" xfId="49964" xr:uid="{00000000-0005-0000-0000-000011940000}"/>
    <cellStyle name="Separador de milhares 3 6 8 4 3" xfId="31341" xr:uid="{00000000-0005-0000-0000-000012940000}"/>
    <cellStyle name="Separador de milhares 3 6 8 5" xfId="17866" xr:uid="{00000000-0005-0000-0000-000013940000}"/>
    <cellStyle name="Separador de milhares 3 6 8 5 2" xfId="44056" xr:uid="{00000000-0005-0000-0000-000014940000}"/>
    <cellStyle name="Separador de milhares 3 6 8 6" xfId="11532" xr:uid="{00000000-0005-0000-0000-000015940000}"/>
    <cellStyle name="Separador de milhares 3 6 8 6 2" xfId="37725" xr:uid="{00000000-0005-0000-0000-000016940000}"/>
    <cellStyle name="Separador de milhares 3 6 8 7" xfId="29643" xr:uid="{00000000-0005-0000-0000-000017940000}"/>
    <cellStyle name="Separador de milhares 3 6 9" xfId="2031" xr:uid="{00000000-0005-0000-0000-000018940000}"/>
    <cellStyle name="Separador de milhares 3 6 9 2" xfId="6994" xr:uid="{00000000-0005-0000-0000-000019940000}"/>
    <cellStyle name="Separador de milhares 3 6 9 2 2" xfId="10138" xr:uid="{00000000-0005-0000-0000-00001A940000}"/>
    <cellStyle name="Separador de milhares 3 6 9 2 2 2" xfId="28352" xr:uid="{00000000-0005-0000-0000-00001B940000}"/>
    <cellStyle name="Separador de milhares 3 6 9 2 2 2 2" xfId="54533" xr:uid="{00000000-0005-0000-0000-00001C940000}"/>
    <cellStyle name="Separador de milhares 3 6 9 2 2 3" xfId="22438" xr:uid="{00000000-0005-0000-0000-00001D940000}"/>
    <cellStyle name="Separador de milhares 3 6 9 2 2 3 2" xfId="48625" xr:uid="{00000000-0005-0000-0000-00001E940000}"/>
    <cellStyle name="Separador de milhares 3 6 9 2 2 4" xfId="16524" xr:uid="{00000000-0005-0000-0000-00001F940000}"/>
    <cellStyle name="Separador de milhares 3 6 9 2 2 4 2" xfId="42717" xr:uid="{00000000-0005-0000-0000-000020940000}"/>
    <cellStyle name="Separador de milhares 3 6 9 2 2 5" xfId="36331" xr:uid="{00000000-0005-0000-0000-000021940000}"/>
    <cellStyle name="Separador de milhares 3 6 9 2 3" xfId="25395" xr:uid="{00000000-0005-0000-0000-000022940000}"/>
    <cellStyle name="Separador de milhares 3 6 9 2 3 2" xfId="51579" xr:uid="{00000000-0005-0000-0000-000023940000}"/>
    <cellStyle name="Separador de milhares 3 6 9 2 4" xfId="19481" xr:uid="{00000000-0005-0000-0000-000024940000}"/>
    <cellStyle name="Separador de milhares 3 6 9 2 4 2" xfId="45671" xr:uid="{00000000-0005-0000-0000-000025940000}"/>
    <cellStyle name="Separador de milhares 3 6 9 2 5" xfId="13383" xr:uid="{00000000-0005-0000-0000-000026940000}"/>
    <cellStyle name="Separador de milhares 3 6 9 2 5 2" xfId="39576" xr:uid="{00000000-0005-0000-0000-000027940000}"/>
    <cellStyle name="Separador de milhares 3 6 9 2 6" xfId="33190" xr:uid="{00000000-0005-0000-0000-000028940000}"/>
    <cellStyle name="Separador de milhares 3 6 9 3" xfId="8670" xr:uid="{00000000-0005-0000-0000-000029940000}"/>
    <cellStyle name="Separador de milhares 3 6 9 3 2" xfId="26884" xr:uid="{00000000-0005-0000-0000-00002A940000}"/>
    <cellStyle name="Separador de milhares 3 6 9 3 2 2" xfId="53065" xr:uid="{00000000-0005-0000-0000-00002B940000}"/>
    <cellStyle name="Separador de milhares 3 6 9 3 3" xfId="20970" xr:uid="{00000000-0005-0000-0000-00002C940000}"/>
    <cellStyle name="Separador de milhares 3 6 9 3 3 2" xfId="47157" xr:uid="{00000000-0005-0000-0000-00002D940000}"/>
    <cellStyle name="Separador de milhares 3 6 9 3 4" xfId="15056" xr:uid="{00000000-0005-0000-0000-00002E940000}"/>
    <cellStyle name="Separador de milhares 3 6 9 3 4 2" xfId="41249" xr:uid="{00000000-0005-0000-0000-00002F940000}"/>
    <cellStyle name="Separador de milhares 3 6 9 3 5" xfId="34863" xr:uid="{00000000-0005-0000-0000-000030940000}"/>
    <cellStyle name="Separador de milhares 3 6 9 4" xfId="5295" xr:uid="{00000000-0005-0000-0000-000031940000}"/>
    <cellStyle name="Separador de milhares 3 6 9 4 2" xfId="23927" xr:uid="{00000000-0005-0000-0000-000032940000}"/>
    <cellStyle name="Separador de milhares 3 6 9 4 2 2" xfId="50111" xr:uid="{00000000-0005-0000-0000-000033940000}"/>
    <cellStyle name="Separador de milhares 3 6 9 4 3" xfId="31491" xr:uid="{00000000-0005-0000-0000-000034940000}"/>
    <cellStyle name="Separador de milhares 3 6 9 5" xfId="18013" xr:uid="{00000000-0005-0000-0000-000035940000}"/>
    <cellStyle name="Separador de milhares 3 6 9 5 2" xfId="44203" xr:uid="{00000000-0005-0000-0000-000036940000}"/>
    <cellStyle name="Separador de milhares 3 6 9 6" xfId="11682" xr:uid="{00000000-0005-0000-0000-000037940000}"/>
    <cellStyle name="Separador de milhares 3 6 9 6 2" xfId="37875" xr:uid="{00000000-0005-0000-0000-000038940000}"/>
    <cellStyle name="Separador de milhares 3 6 9 7" xfId="29793" xr:uid="{00000000-0005-0000-0000-000039940000}"/>
    <cellStyle name="Separador de milhares 3 7" xfId="59" xr:uid="{00000000-0005-0000-0000-00003A940000}"/>
    <cellStyle name="Separador de milhares 3 7 10" xfId="2562" xr:uid="{00000000-0005-0000-0000-00003B940000}"/>
    <cellStyle name="Separador de milhares 3 7 10 2" xfId="7142" xr:uid="{00000000-0005-0000-0000-00003C940000}"/>
    <cellStyle name="Separador de milhares 3 7 10 2 2" xfId="10286" xr:uid="{00000000-0005-0000-0000-00003D940000}"/>
    <cellStyle name="Separador de milhares 3 7 10 2 2 2" xfId="28500" xr:uid="{00000000-0005-0000-0000-00003E940000}"/>
    <cellStyle name="Separador de milhares 3 7 10 2 2 2 2" xfId="54681" xr:uid="{00000000-0005-0000-0000-00003F940000}"/>
    <cellStyle name="Separador de milhares 3 7 10 2 2 3" xfId="22586" xr:uid="{00000000-0005-0000-0000-000040940000}"/>
    <cellStyle name="Separador de milhares 3 7 10 2 2 3 2" xfId="48773" xr:uid="{00000000-0005-0000-0000-000041940000}"/>
    <cellStyle name="Separador de milhares 3 7 10 2 2 4" xfId="16672" xr:uid="{00000000-0005-0000-0000-000042940000}"/>
    <cellStyle name="Separador de milhares 3 7 10 2 2 4 2" xfId="42865" xr:uid="{00000000-0005-0000-0000-000043940000}"/>
    <cellStyle name="Separador de milhares 3 7 10 2 2 5" xfId="36479" xr:uid="{00000000-0005-0000-0000-000044940000}"/>
    <cellStyle name="Separador de milhares 3 7 10 2 3" xfId="25543" xr:uid="{00000000-0005-0000-0000-000045940000}"/>
    <cellStyle name="Separador de milhares 3 7 10 2 3 2" xfId="51727" xr:uid="{00000000-0005-0000-0000-000046940000}"/>
    <cellStyle name="Separador de milhares 3 7 10 2 4" xfId="19629" xr:uid="{00000000-0005-0000-0000-000047940000}"/>
    <cellStyle name="Separador de milhares 3 7 10 2 4 2" xfId="45819" xr:uid="{00000000-0005-0000-0000-000048940000}"/>
    <cellStyle name="Separador de milhares 3 7 10 2 5" xfId="13531" xr:uid="{00000000-0005-0000-0000-000049940000}"/>
    <cellStyle name="Separador de milhares 3 7 10 2 5 2" xfId="39724" xr:uid="{00000000-0005-0000-0000-00004A940000}"/>
    <cellStyle name="Separador de milhares 3 7 10 2 6" xfId="33338" xr:uid="{00000000-0005-0000-0000-00004B940000}"/>
    <cellStyle name="Separador de milhares 3 7 10 3" xfId="8818" xr:uid="{00000000-0005-0000-0000-00004C940000}"/>
    <cellStyle name="Separador de milhares 3 7 10 3 2" xfId="27032" xr:uid="{00000000-0005-0000-0000-00004D940000}"/>
    <cellStyle name="Separador de milhares 3 7 10 3 2 2" xfId="53213" xr:uid="{00000000-0005-0000-0000-00004E940000}"/>
    <cellStyle name="Separador de milhares 3 7 10 3 3" xfId="21118" xr:uid="{00000000-0005-0000-0000-00004F940000}"/>
    <cellStyle name="Separador de milhares 3 7 10 3 3 2" xfId="47305" xr:uid="{00000000-0005-0000-0000-000050940000}"/>
    <cellStyle name="Separador de milhares 3 7 10 3 4" xfId="15204" xr:uid="{00000000-0005-0000-0000-000051940000}"/>
    <cellStyle name="Separador de milhares 3 7 10 3 4 2" xfId="41397" xr:uid="{00000000-0005-0000-0000-000052940000}"/>
    <cellStyle name="Separador de milhares 3 7 10 3 5" xfId="35011" xr:uid="{00000000-0005-0000-0000-000053940000}"/>
    <cellStyle name="Separador de milhares 3 7 10 4" xfId="5443" xr:uid="{00000000-0005-0000-0000-000054940000}"/>
    <cellStyle name="Separador de milhares 3 7 10 4 2" xfId="24075" xr:uid="{00000000-0005-0000-0000-000055940000}"/>
    <cellStyle name="Separador de milhares 3 7 10 4 2 2" xfId="50259" xr:uid="{00000000-0005-0000-0000-000056940000}"/>
    <cellStyle name="Separador de milhares 3 7 10 4 3" xfId="31639" xr:uid="{00000000-0005-0000-0000-000057940000}"/>
    <cellStyle name="Separador de milhares 3 7 10 5" xfId="18161" xr:uid="{00000000-0005-0000-0000-000058940000}"/>
    <cellStyle name="Separador de milhares 3 7 10 5 2" xfId="44351" xr:uid="{00000000-0005-0000-0000-000059940000}"/>
    <cellStyle name="Separador de milhares 3 7 10 6" xfId="11830" xr:uid="{00000000-0005-0000-0000-00005A940000}"/>
    <cellStyle name="Separador de milhares 3 7 10 6 2" xfId="38023" xr:uid="{00000000-0005-0000-0000-00005B940000}"/>
    <cellStyle name="Separador de milhares 3 7 10 7" xfId="29941" xr:uid="{00000000-0005-0000-0000-00005C940000}"/>
    <cellStyle name="Separador de milhares 3 7 11" xfId="3089" xr:uid="{00000000-0005-0000-0000-00005D940000}"/>
    <cellStyle name="Separador de milhares 3 7 11 2" xfId="7289" xr:uid="{00000000-0005-0000-0000-00005E940000}"/>
    <cellStyle name="Separador de milhares 3 7 11 2 2" xfId="10433" xr:uid="{00000000-0005-0000-0000-00005F940000}"/>
    <cellStyle name="Separador de milhares 3 7 11 2 2 2" xfId="28647" xr:uid="{00000000-0005-0000-0000-000060940000}"/>
    <cellStyle name="Separador de milhares 3 7 11 2 2 2 2" xfId="54828" xr:uid="{00000000-0005-0000-0000-000061940000}"/>
    <cellStyle name="Separador de milhares 3 7 11 2 2 3" xfId="22733" xr:uid="{00000000-0005-0000-0000-000062940000}"/>
    <cellStyle name="Separador de milhares 3 7 11 2 2 3 2" xfId="48920" xr:uid="{00000000-0005-0000-0000-000063940000}"/>
    <cellStyle name="Separador de milhares 3 7 11 2 2 4" xfId="16819" xr:uid="{00000000-0005-0000-0000-000064940000}"/>
    <cellStyle name="Separador de milhares 3 7 11 2 2 4 2" xfId="43012" xr:uid="{00000000-0005-0000-0000-000065940000}"/>
    <cellStyle name="Separador de milhares 3 7 11 2 2 5" xfId="36626" xr:uid="{00000000-0005-0000-0000-000066940000}"/>
    <cellStyle name="Separador de milhares 3 7 11 2 3" xfId="25690" xr:uid="{00000000-0005-0000-0000-000067940000}"/>
    <cellStyle name="Separador de milhares 3 7 11 2 3 2" xfId="51874" xr:uid="{00000000-0005-0000-0000-000068940000}"/>
    <cellStyle name="Separador de milhares 3 7 11 2 4" xfId="19776" xr:uid="{00000000-0005-0000-0000-000069940000}"/>
    <cellStyle name="Separador de milhares 3 7 11 2 4 2" xfId="45966" xr:uid="{00000000-0005-0000-0000-00006A940000}"/>
    <cellStyle name="Separador de milhares 3 7 11 2 5" xfId="13678" xr:uid="{00000000-0005-0000-0000-00006B940000}"/>
    <cellStyle name="Separador de milhares 3 7 11 2 5 2" xfId="39871" xr:uid="{00000000-0005-0000-0000-00006C940000}"/>
    <cellStyle name="Separador de milhares 3 7 11 2 6" xfId="33485" xr:uid="{00000000-0005-0000-0000-00006D940000}"/>
    <cellStyle name="Separador de milhares 3 7 11 3" xfId="8965" xr:uid="{00000000-0005-0000-0000-00006E940000}"/>
    <cellStyle name="Separador de milhares 3 7 11 3 2" xfId="27179" xr:uid="{00000000-0005-0000-0000-00006F940000}"/>
    <cellStyle name="Separador de milhares 3 7 11 3 2 2" xfId="53360" xr:uid="{00000000-0005-0000-0000-000070940000}"/>
    <cellStyle name="Separador de milhares 3 7 11 3 3" xfId="21265" xr:uid="{00000000-0005-0000-0000-000071940000}"/>
    <cellStyle name="Separador de milhares 3 7 11 3 3 2" xfId="47452" xr:uid="{00000000-0005-0000-0000-000072940000}"/>
    <cellStyle name="Separador de milhares 3 7 11 3 4" xfId="15351" xr:uid="{00000000-0005-0000-0000-000073940000}"/>
    <cellStyle name="Separador de milhares 3 7 11 3 4 2" xfId="41544" xr:uid="{00000000-0005-0000-0000-000074940000}"/>
    <cellStyle name="Separador de milhares 3 7 11 3 5" xfId="35158" xr:uid="{00000000-0005-0000-0000-000075940000}"/>
    <cellStyle name="Separador de milhares 3 7 11 4" xfId="5590" xr:uid="{00000000-0005-0000-0000-000076940000}"/>
    <cellStyle name="Separador de milhares 3 7 11 4 2" xfId="24222" xr:uid="{00000000-0005-0000-0000-000077940000}"/>
    <cellStyle name="Separador de milhares 3 7 11 4 2 2" xfId="50406" xr:uid="{00000000-0005-0000-0000-000078940000}"/>
    <cellStyle name="Separador de milhares 3 7 11 4 3" xfId="31786" xr:uid="{00000000-0005-0000-0000-000079940000}"/>
    <cellStyle name="Separador de milhares 3 7 11 5" xfId="18308" xr:uid="{00000000-0005-0000-0000-00007A940000}"/>
    <cellStyle name="Separador de milhares 3 7 11 5 2" xfId="44498" xr:uid="{00000000-0005-0000-0000-00007B940000}"/>
    <cellStyle name="Separador de milhares 3 7 11 6" xfId="11977" xr:uid="{00000000-0005-0000-0000-00007C940000}"/>
    <cellStyle name="Separador de milhares 3 7 11 6 2" xfId="38170" xr:uid="{00000000-0005-0000-0000-00007D940000}"/>
    <cellStyle name="Separador de milhares 3 7 11 7" xfId="30088" xr:uid="{00000000-0005-0000-0000-00007E940000}"/>
    <cellStyle name="Separador de milhares 3 7 12" xfId="3616" xr:uid="{00000000-0005-0000-0000-00007F940000}"/>
    <cellStyle name="Separador de milhares 3 7 12 2" xfId="7436" xr:uid="{00000000-0005-0000-0000-000080940000}"/>
    <cellStyle name="Separador de milhares 3 7 12 2 2" xfId="10580" xr:uid="{00000000-0005-0000-0000-000081940000}"/>
    <cellStyle name="Separador de milhares 3 7 12 2 2 2" xfId="28794" xr:uid="{00000000-0005-0000-0000-000082940000}"/>
    <cellStyle name="Separador de milhares 3 7 12 2 2 2 2" xfId="54975" xr:uid="{00000000-0005-0000-0000-000083940000}"/>
    <cellStyle name="Separador de milhares 3 7 12 2 2 3" xfId="22880" xr:uid="{00000000-0005-0000-0000-000084940000}"/>
    <cellStyle name="Separador de milhares 3 7 12 2 2 3 2" xfId="49067" xr:uid="{00000000-0005-0000-0000-000085940000}"/>
    <cellStyle name="Separador de milhares 3 7 12 2 2 4" xfId="16966" xr:uid="{00000000-0005-0000-0000-000086940000}"/>
    <cellStyle name="Separador de milhares 3 7 12 2 2 4 2" xfId="43159" xr:uid="{00000000-0005-0000-0000-000087940000}"/>
    <cellStyle name="Separador de milhares 3 7 12 2 2 5" xfId="36773" xr:uid="{00000000-0005-0000-0000-000088940000}"/>
    <cellStyle name="Separador de milhares 3 7 12 2 3" xfId="25837" xr:uid="{00000000-0005-0000-0000-000089940000}"/>
    <cellStyle name="Separador de milhares 3 7 12 2 3 2" xfId="52021" xr:uid="{00000000-0005-0000-0000-00008A940000}"/>
    <cellStyle name="Separador de milhares 3 7 12 2 4" xfId="19923" xr:uid="{00000000-0005-0000-0000-00008B940000}"/>
    <cellStyle name="Separador de milhares 3 7 12 2 4 2" xfId="46113" xr:uid="{00000000-0005-0000-0000-00008C940000}"/>
    <cellStyle name="Separador de milhares 3 7 12 2 5" xfId="13825" xr:uid="{00000000-0005-0000-0000-00008D940000}"/>
    <cellStyle name="Separador de milhares 3 7 12 2 5 2" xfId="40018" xr:uid="{00000000-0005-0000-0000-00008E940000}"/>
    <cellStyle name="Separador de milhares 3 7 12 2 6" xfId="33632" xr:uid="{00000000-0005-0000-0000-00008F940000}"/>
    <cellStyle name="Separador de milhares 3 7 12 3" xfId="9112" xr:uid="{00000000-0005-0000-0000-000090940000}"/>
    <cellStyle name="Separador de milhares 3 7 12 3 2" xfId="27326" xr:uid="{00000000-0005-0000-0000-000091940000}"/>
    <cellStyle name="Separador de milhares 3 7 12 3 2 2" xfId="53507" xr:uid="{00000000-0005-0000-0000-000092940000}"/>
    <cellStyle name="Separador de milhares 3 7 12 3 3" xfId="21412" xr:uid="{00000000-0005-0000-0000-000093940000}"/>
    <cellStyle name="Separador de milhares 3 7 12 3 3 2" xfId="47599" xr:uid="{00000000-0005-0000-0000-000094940000}"/>
    <cellStyle name="Separador de milhares 3 7 12 3 4" xfId="15498" xr:uid="{00000000-0005-0000-0000-000095940000}"/>
    <cellStyle name="Separador de milhares 3 7 12 3 4 2" xfId="41691" xr:uid="{00000000-0005-0000-0000-000096940000}"/>
    <cellStyle name="Separador de milhares 3 7 12 3 5" xfId="35305" xr:uid="{00000000-0005-0000-0000-000097940000}"/>
    <cellStyle name="Separador de milhares 3 7 12 4" xfId="5737" xr:uid="{00000000-0005-0000-0000-000098940000}"/>
    <cellStyle name="Separador de milhares 3 7 12 4 2" xfId="24369" xr:uid="{00000000-0005-0000-0000-000099940000}"/>
    <cellStyle name="Separador de milhares 3 7 12 4 2 2" xfId="50553" xr:uid="{00000000-0005-0000-0000-00009A940000}"/>
    <cellStyle name="Separador de milhares 3 7 12 4 3" xfId="31933" xr:uid="{00000000-0005-0000-0000-00009B940000}"/>
    <cellStyle name="Separador de milhares 3 7 12 5" xfId="18455" xr:uid="{00000000-0005-0000-0000-00009C940000}"/>
    <cellStyle name="Separador de milhares 3 7 12 5 2" xfId="44645" xr:uid="{00000000-0005-0000-0000-00009D940000}"/>
    <cellStyle name="Separador de milhares 3 7 12 6" xfId="12124" xr:uid="{00000000-0005-0000-0000-00009E940000}"/>
    <cellStyle name="Separador de milhares 3 7 12 6 2" xfId="38317" xr:uid="{00000000-0005-0000-0000-00009F940000}"/>
    <cellStyle name="Separador de milhares 3 7 12 7" xfId="30235" xr:uid="{00000000-0005-0000-0000-0000A0940000}"/>
    <cellStyle name="Separador de milhares 3 7 13" xfId="6420" xr:uid="{00000000-0005-0000-0000-0000A1940000}"/>
    <cellStyle name="Separador de milhares 3 7 13 2" xfId="9576" xr:uid="{00000000-0005-0000-0000-0000A2940000}"/>
    <cellStyle name="Separador de milhares 3 7 13 2 2" xfId="27790" xr:uid="{00000000-0005-0000-0000-0000A3940000}"/>
    <cellStyle name="Separador de milhares 3 7 13 2 2 2" xfId="53971" xr:uid="{00000000-0005-0000-0000-0000A4940000}"/>
    <cellStyle name="Separador de milhares 3 7 13 2 3" xfId="21876" xr:uid="{00000000-0005-0000-0000-0000A5940000}"/>
    <cellStyle name="Separador de milhares 3 7 13 2 3 2" xfId="48063" xr:uid="{00000000-0005-0000-0000-0000A6940000}"/>
    <cellStyle name="Separador de milhares 3 7 13 2 4" xfId="15962" xr:uid="{00000000-0005-0000-0000-0000A7940000}"/>
    <cellStyle name="Separador de milhares 3 7 13 2 4 2" xfId="42155" xr:uid="{00000000-0005-0000-0000-0000A8940000}"/>
    <cellStyle name="Separador de milhares 3 7 13 2 5" xfId="35769" xr:uid="{00000000-0005-0000-0000-0000A9940000}"/>
    <cellStyle name="Separador de milhares 3 7 13 3" xfId="24833" xr:uid="{00000000-0005-0000-0000-0000AA940000}"/>
    <cellStyle name="Separador de milhares 3 7 13 3 2" xfId="51017" xr:uid="{00000000-0005-0000-0000-0000AB940000}"/>
    <cellStyle name="Separador de milhares 3 7 13 4" xfId="18919" xr:uid="{00000000-0005-0000-0000-0000AC940000}"/>
    <cellStyle name="Separador de milhares 3 7 13 4 2" xfId="45109" xr:uid="{00000000-0005-0000-0000-0000AD940000}"/>
    <cellStyle name="Separador de milhares 3 7 13 5" xfId="12809" xr:uid="{00000000-0005-0000-0000-0000AE940000}"/>
    <cellStyle name="Separador de milhares 3 7 13 5 2" xfId="39002" xr:uid="{00000000-0005-0000-0000-0000AF940000}"/>
    <cellStyle name="Separador de milhares 3 7 13 6" xfId="32616" xr:uid="{00000000-0005-0000-0000-0000B0940000}"/>
    <cellStyle name="Separador de milhares 3 7 14" xfId="8105" xr:uid="{00000000-0005-0000-0000-0000B1940000}"/>
    <cellStyle name="Separador de milhares 3 7 14 2" xfId="26319" xr:uid="{00000000-0005-0000-0000-0000B2940000}"/>
    <cellStyle name="Separador de milhares 3 7 14 2 2" xfId="52503" xr:uid="{00000000-0005-0000-0000-0000B3940000}"/>
    <cellStyle name="Separador de milhares 3 7 14 3" xfId="20405" xr:uid="{00000000-0005-0000-0000-0000B4940000}"/>
    <cellStyle name="Separador de milhares 3 7 14 3 2" xfId="46595" xr:uid="{00000000-0005-0000-0000-0000B5940000}"/>
    <cellStyle name="Separador de milhares 3 7 14 4" xfId="14494" xr:uid="{00000000-0005-0000-0000-0000B6940000}"/>
    <cellStyle name="Separador de milhares 3 7 14 4 2" xfId="40687" xr:uid="{00000000-0005-0000-0000-0000B7940000}"/>
    <cellStyle name="Separador de milhares 3 7 14 5" xfId="34301" xr:uid="{00000000-0005-0000-0000-0000B8940000}"/>
    <cellStyle name="Separador de milhares 3 7 15" xfId="4718" xr:uid="{00000000-0005-0000-0000-0000B9940000}"/>
    <cellStyle name="Separador de milhares 3 7 15 2" xfId="23362" xr:uid="{00000000-0005-0000-0000-0000BA940000}"/>
    <cellStyle name="Separador de milhares 3 7 15 2 2" xfId="49549" xr:uid="{00000000-0005-0000-0000-0000BB940000}"/>
    <cellStyle name="Separador de milhares 3 7 15 3" xfId="30917" xr:uid="{00000000-0005-0000-0000-0000BC940000}"/>
    <cellStyle name="Separador de milhares 3 7 16" xfId="17448" xr:uid="{00000000-0005-0000-0000-0000BD940000}"/>
    <cellStyle name="Separador de milhares 3 7 16 2" xfId="43641" xr:uid="{00000000-0005-0000-0000-0000BE940000}"/>
    <cellStyle name="Separador de milhares 3 7 17" xfId="11108" xr:uid="{00000000-0005-0000-0000-0000BF940000}"/>
    <cellStyle name="Separador de milhares 3 7 17 2" xfId="37301" xr:uid="{00000000-0005-0000-0000-0000C0940000}"/>
    <cellStyle name="Separador de milhares 3 7 18" xfId="29219" xr:uid="{00000000-0005-0000-0000-0000C1940000}"/>
    <cellStyle name="Separador de milhares 3 7 2" xfId="153" xr:uid="{00000000-0005-0000-0000-0000C2940000}"/>
    <cellStyle name="Separador de milhares 3 7 2 10" xfId="6449" xr:uid="{00000000-0005-0000-0000-0000C3940000}"/>
    <cellStyle name="Separador de milhares 3 7 2 10 2" xfId="9603" xr:uid="{00000000-0005-0000-0000-0000C4940000}"/>
    <cellStyle name="Separador de milhares 3 7 2 10 2 2" xfId="27817" xr:uid="{00000000-0005-0000-0000-0000C5940000}"/>
    <cellStyle name="Separador de milhares 3 7 2 10 2 2 2" xfId="53998" xr:uid="{00000000-0005-0000-0000-0000C6940000}"/>
    <cellStyle name="Separador de milhares 3 7 2 10 2 3" xfId="21903" xr:uid="{00000000-0005-0000-0000-0000C7940000}"/>
    <cellStyle name="Separador de milhares 3 7 2 10 2 3 2" xfId="48090" xr:uid="{00000000-0005-0000-0000-0000C8940000}"/>
    <cellStyle name="Separador de milhares 3 7 2 10 2 4" xfId="15989" xr:uid="{00000000-0005-0000-0000-0000C9940000}"/>
    <cellStyle name="Separador de milhares 3 7 2 10 2 4 2" xfId="42182" xr:uid="{00000000-0005-0000-0000-0000CA940000}"/>
    <cellStyle name="Separador de milhares 3 7 2 10 2 5" xfId="35796" xr:uid="{00000000-0005-0000-0000-0000CB940000}"/>
    <cellStyle name="Separador de milhares 3 7 2 10 3" xfId="24860" xr:uid="{00000000-0005-0000-0000-0000CC940000}"/>
    <cellStyle name="Separador de milhares 3 7 2 10 3 2" xfId="51044" xr:uid="{00000000-0005-0000-0000-0000CD940000}"/>
    <cellStyle name="Separador de milhares 3 7 2 10 4" xfId="18946" xr:uid="{00000000-0005-0000-0000-0000CE940000}"/>
    <cellStyle name="Separador de milhares 3 7 2 10 4 2" xfId="45136" xr:uid="{00000000-0005-0000-0000-0000CF940000}"/>
    <cellStyle name="Separador de milhares 3 7 2 10 5" xfId="12838" xr:uid="{00000000-0005-0000-0000-0000D0940000}"/>
    <cellStyle name="Separador de milhares 3 7 2 10 5 2" xfId="39031" xr:uid="{00000000-0005-0000-0000-0000D1940000}"/>
    <cellStyle name="Separador de milhares 3 7 2 10 6" xfId="32645" xr:uid="{00000000-0005-0000-0000-0000D2940000}"/>
    <cellStyle name="Separador de milhares 3 7 2 11" xfId="8132" xr:uid="{00000000-0005-0000-0000-0000D3940000}"/>
    <cellStyle name="Separador de milhares 3 7 2 11 2" xfId="26346" xr:uid="{00000000-0005-0000-0000-0000D4940000}"/>
    <cellStyle name="Separador de milhares 3 7 2 11 2 2" xfId="52530" xr:uid="{00000000-0005-0000-0000-0000D5940000}"/>
    <cellStyle name="Separador de milhares 3 7 2 11 3" xfId="20432" xr:uid="{00000000-0005-0000-0000-0000D6940000}"/>
    <cellStyle name="Separador de milhares 3 7 2 11 3 2" xfId="46622" xr:uid="{00000000-0005-0000-0000-0000D7940000}"/>
    <cellStyle name="Separador de milhares 3 7 2 11 4" xfId="14521" xr:uid="{00000000-0005-0000-0000-0000D8940000}"/>
    <cellStyle name="Separador de milhares 3 7 2 11 4 2" xfId="40714" xr:uid="{00000000-0005-0000-0000-0000D9940000}"/>
    <cellStyle name="Separador de milhares 3 7 2 11 5" xfId="34328" xr:uid="{00000000-0005-0000-0000-0000DA940000}"/>
    <cellStyle name="Separador de milhares 3 7 2 12" xfId="4748" xr:uid="{00000000-0005-0000-0000-0000DB940000}"/>
    <cellStyle name="Separador de milhares 3 7 2 12 2" xfId="23389" xr:uid="{00000000-0005-0000-0000-0000DC940000}"/>
    <cellStyle name="Separador de milhares 3 7 2 12 2 2" xfId="49576" xr:uid="{00000000-0005-0000-0000-0000DD940000}"/>
    <cellStyle name="Separador de milhares 3 7 2 12 3" xfId="30946" xr:uid="{00000000-0005-0000-0000-0000DE940000}"/>
    <cellStyle name="Separador de milhares 3 7 2 13" xfId="17475" xr:uid="{00000000-0005-0000-0000-0000DF940000}"/>
    <cellStyle name="Separador de milhares 3 7 2 13 2" xfId="43668" xr:uid="{00000000-0005-0000-0000-0000E0940000}"/>
    <cellStyle name="Separador de milhares 3 7 2 14" xfId="11137" xr:uid="{00000000-0005-0000-0000-0000E1940000}"/>
    <cellStyle name="Separador de milhares 3 7 2 14 2" xfId="37330" xr:uid="{00000000-0005-0000-0000-0000E2940000}"/>
    <cellStyle name="Separador de milhares 3 7 2 15" xfId="29249" xr:uid="{00000000-0005-0000-0000-0000E3940000}"/>
    <cellStyle name="Separador de milhares 3 7 2 2" xfId="426" xr:uid="{00000000-0005-0000-0000-0000E4940000}"/>
    <cellStyle name="Separador de milhares 3 7 2 2 10" xfId="17549" xr:uid="{00000000-0005-0000-0000-0000E5940000}"/>
    <cellStyle name="Separador de milhares 3 7 2 2 10 2" xfId="43742" xr:uid="{00000000-0005-0000-0000-0000E6940000}"/>
    <cellStyle name="Separador de milhares 3 7 2 2 11" xfId="11218" xr:uid="{00000000-0005-0000-0000-0000E7940000}"/>
    <cellStyle name="Separador de milhares 3 7 2 2 11 2" xfId="37411" xr:uid="{00000000-0005-0000-0000-0000E8940000}"/>
    <cellStyle name="Separador de milhares 3 7 2 2 12" xfId="29329" xr:uid="{00000000-0005-0000-0000-0000E9940000}"/>
    <cellStyle name="Separador de milhares 3 7 2 2 2" xfId="1945" xr:uid="{00000000-0005-0000-0000-0000EA940000}"/>
    <cellStyle name="Separador de milhares 3 7 2 2 2 2" xfId="6968" xr:uid="{00000000-0005-0000-0000-0000EB940000}"/>
    <cellStyle name="Separador de milhares 3 7 2 2 2 2 2" xfId="10115" xr:uid="{00000000-0005-0000-0000-0000EC940000}"/>
    <cellStyle name="Separador de milhares 3 7 2 2 2 2 2 2" xfId="28329" xr:uid="{00000000-0005-0000-0000-0000ED940000}"/>
    <cellStyle name="Separador de milhares 3 7 2 2 2 2 2 2 2" xfId="54510" xr:uid="{00000000-0005-0000-0000-0000EE940000}"/>
    <cellStyle name="Separador de milhares 3 7 2 2 2 2 2 3" xfId="22415" xr:uid="{00000000-0005-0000-0000-0000EF940000}"/>
    <cellStyle name="Separador de milhares 3 7 2 2 2 2 2 3 2" xfId="48602" xr:uid="{00000000-0005-0000-0000-0000F0940000}"/>
    <cellStyle name="Separador de milhares 3 7 2 2 2 2 2 4" xfId="16501" xr:uid="{00000000-0005-0000-0000-0000F1940000}"/>
    <cellStyle name="Separador de milhares 3 7 2 2 2 2 2 4 2" xfId="42694" xr:uid="{00000000-0005-0000-0000-0000F2940000}"/>
    <cellStyle name="Separador de milhares 3 7 2 2 2 2 2 5" xfId="36308" xr:uid="{00000000-0005-0000-0000-0000F3940000}"/>
    <cellStyle name="Separador de milhares 3 7 2 2 2 2 3" xfId="25372" xr:uid="{00000000-0005-0000-0000-0000F4940000}"/>
    <cellStyle name="Separador de milhares 3 7 2 2 2 2 3 2" xfId="51556" xr:uid="{00000000-0005-0000-0000-0000F5940000}"/>
    <cellStyle name="Separador de milhares 3 7 2 2 2 2 4" xfId="19458" xr:uid="{00000000-0005-0000-0000-0000F6940000}"/>
    <cellStyle name="Separador de milhares 3 7 2 2 2 2 4 2" xfId="45648" xr:uid="{00000000-0005-0000-0000-0000F7940000}"/>
    <cellStyle name="Separador de milhares 3 7 2 2 2 2 5" xfId="13357" xr:uid="{00000000-0005-0000-0000-0000F8940000}"/>
    <cellStyle name="Separador de milhares 3 7 2 2 2 2 5 2" xfId="39550" xr:uid="{00000000-0005-0000-0000-0000F9940000}"/>
    <cellStyle name="Separador de milhares 3 7 2 2 2 2 6" xfId="33164" xr:uid="{00000000-0005-0000-0000-0000FA940000}"/>
    <cellStyle name="Separador de milhares 3 7 2 2 2 3" xfId="8647" xr:uid="{00000000-0005-0000-0000-0000FB940000}"/>
    <cellStyle name="Separador de milhares 3 7 2 2 2 3 2" xfId="26861" xr:uid="{00000000-0005-0000-0000-0000FC940000}"/>
    <cellStyle name="Separador de milhares 3 7 2 2 2 3 2 2" xfId="53042" xr:uid="{00000000-0005-0000-0000-0000FD940000}"/>
    <cellStyle name="Separador de milhares 3 7 2 2 2 3 3" xfId="20947" xr:uid="{00000000-0005-0000-0000-0000FE940000}"/>
    <cellStyle name="Separador de milhares 3 7 2 2 2 3 3 2" xfId="47134" xr:uid="{00000000-0005-0000-0000-0000FF940000}"/>
    <cellStyle name="Separador de milhares 3 7 2 2 2 3 4" xfId="15033" xr:uid="{00000000-0005-0000-0000-000000950000}"/>
    <cellStyle name="Separador de milhares 3 7 2 2 2 3 4 2" xfId="41226" xr:uid="{00000000-0005-0000-0000-000001950000}"/>
    <cellStyle name="Separador de milhares 3 7 2 2 2 3 5" xfId="34840" xr:uid="{00000000-0005-0000-0000-000002950000}"/>
    <cellStyle name="Separador de milhares 3 7 2 2 2 4" xfId="5269" xr:uid="{00000000-0005-0000-0000-000003950000}"/>
    <cellStyle name="Separador de milhares 3 7 2 2 2 4 2" xfId="23904" xr:uid="{00000000-0005-0000-0000-000004950000}"/>
    <cellStyle name="Separador de milhares 3 7 2 2 2 4 2 2" xfId="50088" xr:uid="{00000000-0005-0000-0000-000005950000}"/>
    <cellStyle name="Separador de milhares 3 7 2 2 2 4 3" xfId="31465" xr:uid="{00000000-0005-0000-0000-000006950000}"/>
    <cellStyle name="Separador de milhares 3 7 2 2 2 5" xfId="17990" xr:uid="{00000000-0005-0000-0000-000007950000}"/>
    <cellStyle name="Separador de milhares 3 7 2 2 2 5 2" xfId="44180" xr:uid="{00000000-0005-0000-0000-000008950000}"/>
    <cellStyle name="Separador de milhares 3 7 2 2 2 6" xfId="11656" xr:uid="{00000000-0005-0000-0000-000009950000}"/>
    <cellStyle name="Separador de milhares 3 7 2 2 2 6 2" xfId="37849" xr:uid="{00000000-0005-0000-0000-00000A950000}"/>
    <cellStyle name="Separador de milhares 3 7 2 2 2 7" xfId="29767" xr:uid="{00000000-0005-0000-0000-00000B950000}"/>
    <cellStyle name="Separador de milhares 3 7 2 2 3" xfId="2475" xr:uid="{00000000-0005-0000-0000-00000C950000}"/>
    <cellStyle name="Separador de milhares 3 7 2 2 3 2" xfId="7118" xr:uid="{00000000-0005-0000-0000-00000D950000}"/>
    <cellStyle name="Separador de milhares 3 7 2 2 3 2 2" xfId="10262" xr:uid="{00000000-0005-0000-0000-00000E950000}"/>
    <cellStyle name="Separador de milhares 3 7 2 2 3 2 2 2" xfId="28476" xr:uid="{00000000-0005-0000-0000-00000F950000}"/>
    <cellStyle name="Separador de milhares 3 7 2 2 3 2 2 2 2" xfId="54657" xr:uid="{00000000-0005-0000-0000-000010950000}"/>
    <cellStyle name="Separador de milhares 3 7 2 2 3 2 2 3" xfId="22562" xr:uid="{00000000-0005-0000-0000-000011950000}"/>
    <cellStyle name="Separador de milhares 3 7 2 2 3 2 2 3 2" xfId="48749" xr:uid="{00000000-0005-0000-0000-000012950000}"/>
    <cellStyle name="Separador de milhares 3 7 2 2 3 2 2 4" xfId="16648" xr:uid="{00000000-0005-0000-0000-000013950000}"/>
    <cellStyle name="Separador de milhares 3 7 2 2 3 2 2 4 2" xfId="42841" xr:uid="{00000000-0005-0000-0000-000014950000}"/>
    <cellStyle name="Separador de milhares 3 7 2 2 3 2 2 5" xfId="36455" xr:uid="{00000000-0005-0000-0000-000015950000}"/>
    <cellStyle name="Separador de milhares 3 7 2 2 3 2 3" xfId="25519" xr:uid="{00000000-0005-0000-0000-000016950000}"/>
    <cellStyle name="Separador de milhares 3 7 2 2 3 2 3 2" xfId="51703" xr:uid="{00000000-0005-0000-0000-000017950000}"/>
    <cellStyle name="Separador de milhares 3 7 2 2 3 2 4" xfId="19605" xr:uid="{00000000-0005-0000-0000-000018950000}"/>
    <cellStyle name="Separador de milhares 3 7 2 2 3 2 4 2" xfId="45795" xr:uid="{00000000-0005-0000-0000-000019950000}"/>
    <cellStyle name="Separador de milhares 3 7 2 2 3 2 5" xfId="13507" xr:uid="{00000000-0005-0000-0000-00001A950000}"/>
    <cellStyle name="Separador de milhares 3 7 2 2 3 2 5 2" xfId="39700" xr:uid="{00000000-0005-0000-0000-00001B950000}"/>
    <cellStyle name="Separador de milhares 3 7 2 2 3 2 6" xfId="33314" xr:uid="{00000000-0005-0000-0000-00001C950000}"/>
    <cellStyle name="Separador de milhares 3 7 2 2 3 3" xfId="8794" xr:uid="{00000000-0005-0000-0000-00001D950000}"/>
    <cellStyle name="Separador de milhares 3 7 2 2 3 3 2" xfId="27008" xr:uid="{00000000-0005-0000-0000-00001E950000}"/>
    <cellStyle name="Separador de milhares 3 7 2 2 3 3 2 2" xfId="53189" xr:uid="{00000000-0005-0000-0000-00001F950000}"/>
    <cellStyle name="Separador de milhares 3 7 2 2 3 3 3" xfId="21094" xr:uid="{00000000-0005-0000-0000-000020950000}"/>
    <cellStyle name="Separador de milhares 3 7 2 2 3 3 3 2" xfId="47281" xr:uid="{00000000-0005-0000-0000-000021950000}"/>
    <cellStyle name="Separador de milhares 3 7 2 2 3 3 4" xfId="15180" xr:uid="{00000000-0005-0000-0000-000022950000}"/>
    <cellStyle name="Separador de milhares 3 7 2 2 3 3 4 2" xfId="41373" xr:uid="{00000000-0005-0000-0000-000023950000}"/>
    <cellStyle name="Separador de milhares 3 7 2 2 3 3 5" xfId="34987" xr:uid="{00000000-0005-0000-0000-000024950000}"/>
    <cellStyle name="Separador de milhares 3 7 2 2 3 4" xfId="5419" xr:uid="{00000000-0005-0000-0000-000025950000}"/>
    <cellStyle name="Separador de milhares 3 7 2 2 3 4 2" xfId="24051" xr:uid="{00000000-0005-0000-0000-000026950000}"/>
    <cellStyle name="Separador de milhares 3 7 2 2 3 4 2 2" xfId="50235" xr:uid="{00000000-0005-0000-0000-000027950000}"/>
    <cellStyle name="Separador de milhares 3 7 2 2 3 4 3" xfId="31615" xr:uid="{00000000-0005-0000-0000-000028950000}"/>
    <cellStyle name="Separador de milhares 3 7 2 2 3 5" xfId="18137" xr:uid="{00000000-0005-0000-0000-000029950000}"/>
    <cellStyle name="Separador de milhares 3 7 2 2 3 5 2" xfId="44327" xr:uid="{00000000-0005-0000-0000-00002A950000}"/>
    <cellStyle name="Separador de milhares 3 7 2 2 3 6" xfId="11806" xr:uid="{00000000-0005-0000-0000-00002B950000}"/>
    <cellStyle name="Separador de milhares 3 7 2 2 3 6 2" xfId="37999" xr:uid="{00000000-0005-0000-0000-00002C950000}"/>
    <cellStyle name="Separador de milhares 3 7 2 2 3 7" xfId="29917" xr:uid="{00000000-0005-0000-0000-00002D950000}"/>
    <cellStyle name="Separador de milhares 3 7 2 2 4" xfId="3002" xr:uid="{00000000-0005-0000-0000-00002E950000}"/>
    <cellStyle name="Separador de milhares 3 7 2 2 4 2" xfId="7265" xr:uid="{00000000-0005-0000-0000-00002F950000}"/>
    <cellStyle name="Separador de milhares 3 7 2 2 4 2 2" xfId="10409" xr:uid="{00000000-0005-0000-0000-000030950000}"/>
    <cellStyle name="Separador de milhares 3 7 2 2 4 2 2 2" xfId="28623" xr:uid="{00000000-0005-0000-0000-000031950000}"/>
    <cellStyle name="Separador de milhares 3 7 2 2 4 2 2 2 2" xfId="54804" xr:uid="{00000000-0005-0000-0000-000032950000}"/>
    <cellStyle name="Separador de milhares 3 7 2 2 4 2 2 3" xfId="22709" xr:uid="{00000000-0005-0000-0000-000033950000}"/>
    <cellStyle name="Separador de milhares 3 7 2 2 4 2 2 3 2" xfId="48896" xr:uid="{00000000-0005-0000-0000-000034950000}"/>
    <cellStyle name="Separador de milhares 3 7 2 2 4 2 2 4" xfId="16795" xr:uid="{00000000-0005-0000-0000-000035950000}"/>
    <cellStyle name="Separador de milhares 3 7 2 2 4 2 2 4 2" xfId="42988" xr:uid="{00000000-0005-0000-0000-000036950000}"/>
    <cellStyle name="Separador de milhares 3 7 2 2 4 2 2 5" xfId="36602" xr:uid="{00000000-0005-0000-0000-000037950000}"/>
    <cellStyle name="Separador de milhares 3 7 2 2 4 2 3" xfId="25666" xr:uid="{00000000-0005-0000-0000-000038950000}"/>
    <cellStyle name="Separador de milhares 3 7 2 2 4 2 3 2" xfId="51850" xr:uid="{00000000-0005-0000-0000-000039950000}"/>
    <cellStyle name="Separador de milhares 3 7 2 2 4 2 4" xfId="19752" xr:uid="{00000000-0005-0000-0000-00003A950000}"/>
    <cellStyle name="Separador de milhares 3 7 2 2 4 2 4 2" xfId="45942" xr:uid="{00000000-0005-0000-0000-00003B950000}"/>
    <cellStyle name="Separador de milhares 3 7 2 2 4 2 5" xfId="13654" xr:uid="{00000000-0005-0000-0000-00003C950000}"/>
    <cellStyle name="Separador de milhares 3 7 2 2 4 2 5 2" xfId="39847" xr:uid="{00000000-0005-0000-0000-00003D950000}"/>
    <cellStyle name="Separador de milhares 3 7 2 2 4 2 6" xfId="33461" xr:uid="{00000000-0005-0000-0000-00003E950000}"/>
    <cellStyle name="Separador de milhares 3 7 2 2 4 3" xfId="8941" xr:uid="{00000000-0005-0000-0000-00003F950000}"/>
    <cellStyle name="Separador de milhares 3 7 2 2 4 3 2" xfId="27155" xr:uid="{00000000-0005-0000-0000-000040950000}"/>
    <cellStyle name="Separador de milhares 3 7 2 2 4 3 2 2" xfId="53336" xr:uid="{00000000-0005-0000-0000-000041950000}"/>
    <cellStyle name="Separador de milhares 3 7 2 2 4 3 3" xfId="21241" xr:uid="{00000000-0005-0000-0000-000042950000}"/>
    <cellStyle name="Separador de milhares 3 7 2 2 4 3 3 2" xfId="47428" xr:uid="{00000000-0005-0000-0000-000043950000}"/>
    <cellStyle name="Separador de milhares 3 7 2 2 4 3 4" xfId="15327" xr:uid="{00000000-0005-0000-0000-000044950000}"/>
    <cellStyle name="Separador de milhares 3 7 2 2 4 3 4 2" xfId="41520" xr:uid="{00000000-0005-0000-0000-000045950000}"/>
    <cellStyle name="Separador de milhares 3 7 2 2 4 3 5" xfId="35134" xr:uid="{00000000-0005-0000-0000-000046950000}"/>
    <cellStyle name="Separador de milhares 3 7 2 2 4 4" xfId="5566" xr:uid="{00000000-0005-0000-0000-000047950000}"/>
    <cellStyle name="Separador de milhares 3 7 2 2 4 4 2" xfId="24198" xr:uid="{00000000-0005-0000-0000-000048950000}"/>
    <cellStyle name="Separador de milhares 3 7 2 2 4 4 2 2" xfId="50382" xr:uid="{00000000-0005-0000-0000-000049950000}"/>
    <cellStyle name="Separador de milhares 3 7 2 2 4 4 3" xfId="31762" xr:uid="{00000000-0005-0000-0000-00004A950000}"/>
    <cellStyle name="Separador de milhares 3 7 2 2 4 5" xfId="18284" xr:uid="{00000000-0005-0000-0000-00004B950000}"/>
    <cellStyle name="Separador de milhares 3 7 2 2 4 5 2" xfId="44474" xr:uid="{00000000-0005-0000-0000-00004C950000}"/>
    <cellStyle name="Separador de milhares 3 7 2 2 4 6" xfId="11953" xr:uid="{00000000-0005-0000-0000-00004D950000}"/>
    <cellStyle name="Separador de milhares 3 7 2 2 4 6 2" xfId="38146" xr:uid="{00000000-0005-0000-0000-00004E950000}"/>
    <cellStyle name="Separador de milhares 3 7 2 2 4 7" xfId="30064" xr:uid="{00000000-0005-0000-0000-00004F950000}"/>
    <cellStyle name="Separador de milhares 3 7 2 2 5" xfId="3529" xr:uid="{00000000-0005-0000-0000-000050950000}"/>
    <cellStyle name="Separador de milhares 3 7 2 2 5 2" xfId="7412" xr:uid="{00000000-0005-0000-0000-000051950000}"/>
    <cellStyle name="Separador de milhares 3 7 2 2 5 2 2" xfId="10556" xr:uid="{00000000-0005-0000-0000-000052950000}"/>
    <cellStyle name="Separador de milhares 3 7 2 2 5 2 2 2" xfId="28770" xr:uid="{00000000-0005-0000-0000-000053950000}"/>
    <cellStyle name="Separador de milhares 3 7 2 2 5 2 2 2 2" xfId="54951" xr:uid="{00000000-0005-0000-0000-000054950000}"/>
    <cellStyle name="Separador de milhares 3 7 2 2 5 2 2 3" xfId="22856" xr:uid="{00000000-0005-0000-0000-000055950000}"/>
    <cellStyle name="Separador de milhares 3 7 2 2 5 2 2 3 2" xfId="49043" xr:uid="{00000000-0005-0000-0000-000056950000}"/>
    <cellStyle name="Separador de milhares 3 7 2 2 5 2 2 4" xfId="16942" xr:uid="{00000000-0005-0000-0000-000057950000}"/>
    <cellStyle name="Separador de milhares 3 7 2 2 5 2 2 4 2" xfId="43135" xr:uid="{00000000-0005-0000-0000-000058950000}"/>
    <cellStyle name="Separador de milhares 3 7 2 2 5 2 2 5" xfId="36749" xr:uid="{00000000-0005-0000-0000-000059950000}"/>
    <cellStyle name="Separador de milhares 3 7 2 2 5 2 3" xfId="25813" xr:uid="{00000000-0005-0000-0000-00005A950000}"/>
    <cellStyle name="Separador de milhares 3 7 2 2 5 2 3 2" xfId="51997" xr:uid="{00000000-0005-0000-0000-00005B950000}"/>
    <cellStyle name="Separador de milhares 3 7 2 2 5 2 4" xfId="19899" xr:uid="{00000000-0005-0000-0000-00005C950000}"/>
    <cellStyle name="Separador de milhares 3 7 2 2 5 2 4 2" xfId="46089" xr:uid="{00000000-0005-0000-0000-00005D950000}"/>
    <cellStyle name="Separador de milhares 3 7 2 2 5 2 5" xfId="13801" xr:uid="{00000000-0005-0000-0000-00005E950000}"/>
    <cellStyle name="Separador de milhares 3 7 2 2 5 2 5 2" xfId="39994" xr:uid="{00000000-0005-0000-0000-00005F950000}"/>
    <cellStyle name="Separador de milhares 3 7 2 2 5 2 6" xfId="33608" xr:uid="{00000000-0005-0000-0000-000060950000}"/>
    <cellStyle name="Separador de milhares 3 7 2 2 5 3" xfId="9088" xr:uid="{00000000-0005-0000-0000-000061950000}"/>
    <cellStyle name="Separador de milhares 3 7 2 2 5 3 2" xfId="27302" xr:uid="{00000000-0005-0000-0000-000062950000}"/>
    <cellStyle name="Separador de milhares 3 7 2 2 5 3 2 2" xfId="53483" xr:uid="{00000000-0005-0000-0000-000063950000}"/>
    <cellStyle name="Separador de milhares 3 7 2 2 5 3 3" xfId="21388" xr:uid="{00000000-0005-0000-0000-000064950000}"/>
    <cellStyle name="Separador de milhares 3 7 2 2 5 3 3 2" xfId="47575" xr:uid="{00000000-0005-0000-0000-000065950000}"/>
    <cellStyle name="Separador de milhares 3 7 2 2 5 3 4" xfId="15474" xr:uid="{00000000-0005-0000-0000-000066950000}"/>
    <cellStyle name="Separador de milhares 3 7 2 2 5 3 4 2" xfId="41667" xr:uid="{00000000-0005-0000-0000-000067950000}"/>
    <cellStyle name="Separador de milhares 3 7 2 2 5 3 5" xfId="35281" xr:uid="{00000000-0005-0000-0000-000068950000}"/>
    <cellStyle name="Separador de milhares 3 7 2 2 5 4" xfId="5713" xr:uid="{00000000-0005-0000-0000-000069950000}"/>
    <cellStyle name="Separador de milhares 3 7 2 2 5 4 2" xfId="24345" xr:uid="{00000000-0005-0000-0000-00006A950000}"/>
    <cellStyle name="Separador de milhares 3 7 2 2 5 4 2 2" xfId="50529" xr:uid="{00000000-0005-0000-0000-00006B950000}"/>
    <cellStyle name="Separador de milhares 3 7 2 2 5 4 3" xfId="31909" xr:uid="{00000000-0005-0000-0000-00006C950000}"/>
    <cellStyle name="Separador de milhares 3 7 2 2 5 5" xfId="18431" xr:uid="{00000000-0005-0000-0000-00006D950000}"/>
    <cellStyle name="Separador de milhares 3 7 2 2 5 5 2" xfId="44621" xr:uid="{00000000-0005-0000-0000-00006E950000}"/>
    <cellStyle name="Separador de milhares 3 7 2 2 5 6" xfId="12100" xr:uid="{00000000-0005-0000-0000-00006F950000}"/>
    <cellStyle name="Separador de milhares 3 7 2 2 5 6 2" xfId="38293" xr:uid="{00000000-0005-0000-0000-000070950000}"/>
    <cellStyle name="Separador de milhares 3 7 2 2 5 7" xfId="30211" xr:uid="{00000000-0005-0000-0000-000071950000}"/>
    <cellStyle name="Separador de milhares 3 7 2 2 6" xfId="4056" xr:uid="{00000000-0005-0000-0000-000072950000}"/>
    <cellStyle name="Separador de milhares 3 7 2 2 6 2" xfId="7559" xr:uid="{00000000-0005-0000-0000-000073950000}"/>
    <cellStyle name="Separador de milhares 3 7 2 2 6 2 2" xfId="10703" xr:uid="{00000000-0005-0000-0000-000074950000}"/>
    <cellStyle name="Separador de milhares 3 7 2 2 6 2 2 2" xfId="28917" xr:uid="{00000000-0005-0000-0000-000075950000}"/>
    <cellStyle name="Separador de milhares 3 7 2 2 6 2 2 2 2" xfId="55098" xr:uid="{00000000-0005-0000-0000-000076950000}"/>
    <cellStyle name="Separador de milhares 3 7 2 2 6 2 2 3" xfId="23003" xr:uid="{00000000-0005-0000-0000-000077950000}"/>
    <cellStyle name="Separador de milhares 3 7 2 2 6 2 2 3 2" xfId="49190" xr:uid="{00000000-0005-0000-0000-000078950000}"/>
    <cellStyle name="Separador de milhares 3 7 2 2 6 2 2 4" xfId="17089" xr:uid="{00000000-0005-0000-0000-000079950000}"/>
    <cellStyle name="Separador de milhares 3 7 2 2 6 2 2 4 2" xfId="43282" xr:uid="{00000000-0005-0000-0000-00007A950000}"/>
    <cellStyle name="Separador de milhares 3 7 2 2 6 2 2 5" xfId="36896" xr:uid="{00000000-0005-0000-0000-00007B950000}"/>
    <cellStyle name="Separador de milhares 3 7 2 2 6 2 3" xfId="25960" xr:uid="{00000000-0005-0000-0000-00007C950000}"/>
    <cellStyle name="Separador de milhares 3 7 2 2 6 2 3 2" xfId="52144" xr:uid="{00000000-0005-0000-0000-00007D950000}"/>
    <cellStyle name="Separador de milhares 3 7 2 2 6 2 4" xfId="20046" xr:uid="{00000000-0005-0000-0000-00007E950000}"/>
    <cellStyle name="Separador de milhares 3 7 2 2 6 2 4 2" xfId="46236" xr:uid="{00000000-0005-0000-0000-00007F950000}"/>
    <cellStyle name="Separador de milhares 3 7 2 2 6 2 5" xfId="13948" xr:uid="{00000000-0005-0000-0000-000080950000}"/>
    <cellStyle name="Separador de milhares 3 7 2 2 6 2 5 2" xfId="40141" xr:uid="{00000000-0005-0000-0000-000081950000}"/>
    <cellStyle name="Separador de milhares 3 7 2 2 6 2 6" xfId="33755" xr:uid="{00000000-0005-0000-0000-000082950000}"/>
    <cellStyle name="Separador de milhares 3 7 2 2 6 3" xfId="9235" xr:uid="{00000000-0005-0000-0000-000083950000}"/>
    <cellStyle name="Separador de milhares 3 7 2 2 6 3 2" xfId="27449" xr:uid="{00000000-0005-0000-0000-000084950000}"/>
    <cellStyle name="Separador de milhares 3 7 2 2 6 3 2 2" xfId="53630" xr:uid="{00000000-0005-0000-0000-000085950000}"/>
    <cellStyle name="Separador de milhares 3 7 2 2 6 3 3" xfId="21535" xr:uid="{00000000-0005-0000-0000-000086950000}"/>
    <cellStyle name="Separador de milhares 3 7 2 2 6 3 3 2" xfId="47722" xr:uid="{00000000-0005-0000-0000-000087950000}"/>
    <cellStyle name="Separador de milhares 3 7 2 2 6 3 4" xfId="15621" xr:uid="{00000000-0005-0000-0000-000088950000}"/>
    <cellStyle name="Separador de milhares 3 7 2 2 6 3 4 2" xfId="41814" xr:uid="{00000000-0005-0000-0000-000089950000}"/>
    <cellStyle name="Separador de milhares 3 7 2 2 6 3 5" xfId="35428" xr:uid="{00000000-0005-0000-0000-00008A950000}"/>
    <cellStyle name="Separador de milhares 3 7 2 2 6 4" xfId="5860" xr:uid="{00000000-0005-0000-0000-00008B950000}"/>
    <cellStyle name="Separador de milhares 3 7 2 2 6 4 2" xfId="24492" xr:uid="{00000000-0005-0000-0000-00008C950000}"/>
    <cellStyle name="Separador de milhares 3 7 2 2 6 4 2 2" xfId="50676" xr:uid="{00000000-0005-0000-0000-00008D950000}"/>
    <cellStyle name="Separador de milhares 3 7 2 2 6 4 3" xfId="32056" xr:uid="{00000000-0005-0000-0000-00008E950000}"/>
    <cellStyle name="Separador de milhares 3 7 2 2 6 5" xfId="18578" xr:uid="{00000000-0005-0000-0000-00008F950000}"/>
    <cellStyle name="Separador de milhares 3 7 2 2 6 5 2" xfId="44768" xr:uid="{00000000-0005-0000-0000-000090950000}"/>
    <cellStyle name="Separador de milhares 3 7 2 2 6 6" xfId="12247" xr:uid="{00000000-0005-0000-0000-000091950000}"/>
    <cellStyle name="Separador de milhares 3 7 2 2 6 6 2" xfId="38440" xr:uid="{00000000-0005-0000-0000-000092950000}"/>
    <cellStyle name="Separador de milhares 3 7 2 2 6 7" xfId="30358" xr:uid="{00000000-0005-0000-0000-000093950000}"/>
    <cellStyle name="Separador de milhares 3 7 2 2 7" xfId="6530" xr:uid="{00000000-0005-0000-0000-000094950000}"/>
    <cellStyle name="Separador de milhares 3 7 2 2 7 2" xfId="9677" xr:uid="{00000000-0005-0000-0000-000095950000}"/>
    <cellStyle name="Separador de milhares 3 7 2 2 7 2 2" xfId="27891" xr:uid="{00000000-0005-0000-0000-000096950000}"/>
    <cellStyle name="Separador de milhares 3 7 2 2 7 2 2 2" xfId="54072" xr:uid="{00000000-0005-0000-0000-000097950000}"/>
    <cellStyle name="Separador de milhares 3 7 2 2 7 2 3" xfId="21977" xr:uid="{00000000-0005-0000-0000-000098950000}"/>
    <cellStyle name="Separador de milhares 3 7 2 2 7 2 3 2" xfId="48164" xr:uid="{00000000-0005-0000-0000-000099950000}"/>
    <cellStyle name="Separador de milhares 3 7 2 2 7 2 4" xfId="16063" xr:uid="{00000000-0005-0000-0000-00009A950000}"/>
    <cellStyle name="Separador de milhares 3 7 2 2 7 2 4 2" xfId="42256" xr:uid="{00000000-0005-0000-0000-00009B950000}"/>
    <cellStyle name="Separador de milhares 3 7 2 2 7 2 5" xfId="35870" xr:uid="{00000000-0005-0000-0000-00009C950000}"/>
    <cellStyle name="Separador de milhares 3 7 2 2 7 3" xfId="24934" xr:uid="{00000000-0005-0000-0000-00009D950000}"/>
    <cellStyle name="Separador de milhares 3 7 2 2 7 3 2" xfId="51118" xr:uid="{00000000-0005-0000-0000-00009E950000}"/>
    <cellStyle name="Separador de milhares 3 7 2 2 7 4" xfId="19020" xr:uid="{00000000-0005-0000-0000-00009F950000}"/>
    <cellStyle name="Separador de milhares 3 7 2 2 7 4 2" xfId="45210" xr:uid="{00000000-0005-0000-0000-0000A0950000}"/>
    <cellStyle name="Separador de milhares 3 7 2 2 7 5" xfId="12919" xr:uid="{00000000-0005-0000-0000-0000A1950000}"/>
    <cellStyle name="Separador de milhares 3 7 2 2 7 5 2" xfId="39112" xr:uid="{00000000-0005-0000-0000-0000A2950000}"/>
    <cellStyle name="Separador de milhares 3 7 2 2 7 6" xfId="32726" xr:uid="{00000000-0005-0000-0000-0000A3950000}"/>
    <cellStyle name="Separador de milhares 3 7 2 2 8" xfId="8206" xr:uid="{00000000-0005-0000-0000-0000A4950000}"/>
    <cellStyle name="Separador de milhares 3 7 2 2 8 2" xfId="26420" xr:uid="{00000000-0005-0000-0000-0000A5950000}"/>
    <cellStyle name="Separador de milhares 3 7 2 2 8 2 2" xfId="52604" xr:uid="{00000000-0005-0000-0000-0000A6950000}"/>
    <cellStyle name="Separador de milhares 3 7 2 2 8 3" xfId="20506" xr:uid="{00000000-0005-0000-0000-0000A7950000}"/>
    <cellStyle name="Separador de milhares 3 7 2 2 8 3 2" xfId="46696" xr:uid="{00000000-0005-0000-0000-0000A8950000}"/>
    <cellStyle name="Separador de milhares 3 7 2 2 8 4" xfId="14595" xr:uid="{00000000-0005-0000-0000-0000A9950000}"/>
    <cellStyle name="Separador de milhares 3 7 2 2 8 4 2" xfId="40788" xr:uid="{00000000-0005-0000-0000-0000AA950000}"/>
    <cellStyle name="Separador de milhares 3 7 2 2 8 5" xfId="34402" xr:uid="{00000000-0005-0000-0000-0000AB950000}"/>
    <cellStyle name="Separador de milhares 3 7 2 2 9" xfId="4829" xr:uid="{00000000-0005-0000-0000-0000AC950000}"/>
    <cellStyle name="Separador de milhares 3 7 2 2 9 2" xfId="23463" xr:uid="{00000000-0005-0000-0000-0000AD950000}"/>
    <cellStyle name="Separador de milhares 3 7 2 2 9 2 2" xfId="49650" xr:uid="{00000000-0005-0000-0000-0000AE950000}"/>
    <cellStyle name="Separador de milhares 3 7 2 2 9 3" xfId="31027" xr:uid="{00000000-0005-0000-0000-0000AF950000}"/>
    <cellStyle name="Separador de milhares 3 7 2 3" xfId="899" xr:uid="{00000000-0005-0000-0000-0000B0950000}"/>
    <cellStyle name="Separador de milhares 3 7 2 3 2" xfId="6681" xr:uid="{00000000-0005-0000-0000-0000B1950000}"/>
    <cellStyle name="Separador de milhares 3 7 2 3 2 2" xfId="9828" xr:uid="{00000000-0005-0000-0000-0000B2950000}"/>
    <cellStyle name="Separador de milhares 3 7 2 3 2 2 2" xfId="28042" xr:uid="{00000000-0005-0000-0000-0000B3950000}"/>
    <cellStyle name="Separador de milhares 3 7 2 3 2 2 2 2" xfId="54223" xr:uid="{00000000-0005-0000-0000-0000B4950000}"/>
    <cellStyle name="Separador de milhares 3 7 2 3 2 2 3" xfId="22128" xr:uid="{00000000-0005-0000-0000-0000B5950000}"/>
    <cellStyle name="Separador de milhares 3 7 2 3 2 2 3 2" xfId="48315" xr:uid="{00000000-0005-0000-0000-0000B6950000}"/>
    <cellStyle name="Separador de milhares 3 7 2 3 2 2 4" xfId="16214" xr:uid="{00000000-0005-0000-0000-0000B7950000}"/>
    <cellStyle name="Separador de milhares 3 7 2 3 2 2 4 2" xfId="42407" xr:uid="{00000000-0005-0000-0000-0000B8950000}"/>
    <cellStyle name="Separador de milhares 3 7 2 3 2 2 5" xfId="36021" xr:uid="{00000000-0005-0000-0000-0000B9950000}"/>
    <cellStyle name="Separador de milhares 3 7 2 3 2 3" xfId="25085" xr:uid="{00000000-0005-0000-0000-0000BA950000}"/>
    <cellStyle name="Separador de milhares 3 7 2 3 2 3 2" xfId="51269" xr:uid="{00000000-0005-0000-0000-0000BB950000}"/>
    <cellStyle name="Separador de milhares 3 7 2 3 2 4" xfId="19171" xr:uid="{00000000-0005-0000-0000-0000BC950000}"/>
    <cellStyle name="Separador de milhares 3 7 2 3 2 4 2" xfId="45361" xr:uid="{00000000-0005-0000-0000-0000BD950000}"/>
    <cellStyle name="Separador de milhares 3 7 2 3 2 5" xfId="13070" xr:uid="{00000000-0005-0000-0000-0000BE950000}"/>
    <cellStyle name="Separador de milhares 3 7 2 3 2 5 2" xfId="39263" xr:uid="{00000000-0005-0000-0000-0000BF950000}"/>
    <cellStyle name="Separador de milhares 3 7 2 3 2 6" xfId="32877" xr:uid="{00000000-0005-0000-0000-0000C0950000}"/>
    <cellStyle name="Separador de milhares 3 7 2 3 3" xfId="8360" xr:uid="{00000000-0005-0000-0000-0000C1950000}"/>
    <cellStyle name="Separador de milhares 3 7 2 3 3 2" xfId="26574" xr:uid="{00000000-0005-0000-0000-0000C2950000}"/>
    <cellStyle name="Separador de milhares 3 7 2 3 3 2 2" xfId="52755" xr:uid="{00000000-0005-0000-0000-0000C3950000}"/>
    <cellStyle name="Separador de milhares 3 7 2 3 3 3" xfId="20660" xr:uid="{00000000-0005-0000-0000-0000C4950000}"/>
    <cellStyle name="Separador de milhares 3 7 2 3 3 3 2" xfId="46847" xr:uid="{00000000-0005-0000-0000-0000C5950000}"/>
    <cellStyle name="Separador de milhares 3 7 2 3 3 4" xfId="14746" xr:uid="{00000000-0005-0000-0000-0000C6950000}"/>
    <cellStyle name="Separador de milhares 3 7 2 3 3 4 2" xfId="40939" xr:uid="{00000000-0005-0000-0000-0000C7950000}"/>
    <cellStyle name="Separador de milhares 3 7 2 3 3 5" xfId="34553" xr:uid="{00000000-0005-0000-0000-0000C8950000}"/>
    <cellStyle name="Separador de milhares 3 7 2 3 4" xfId="4982" xr:uid="{00000000-0005-0000-0000-0000C9950000}"/>
    <cellStyle name="Separador de milhares 3 7 2 3 4 2" xfId="23617" xr:uid="{00000000-0005-0000-0000-0000CA950000}"/>
    <cellStyle name="Separador de milhares 3 7 2 3 4 2 2" xfId="49801" xr:uid="{00000000-0005-0000-0000-0000CB950000}"/>
    <cellStyle name="Separador de milhares 3 7 2 3 4 3" xfId="31178" xr:uid="{00000000-0005-0000-0000-0000CC950000}"/>
    <cellStyle name="Separador de milhares 3 7 2 3 5" xfId="17703" xr:uid="{00000000-0005-0000-0000-0000CD950000}"/>
    <cellStyle name="Separador de milhares 3 7 2 3 5 2" xfId="43893" xr:uid="{00000000-0005-0000-0000-0000CE950000}"/>
    <cellStyle name="Separador de milhares 3 7 2 3 6" xfId="11369" xr:uid="{00000000-0005-0000-0000-0000CF950000}"/>
    <cellStyle name="Separador de milhares 3 7 2 3 6 2" xfId="37562" xr:uid="{00000000-0005-0000-0000-0000D0950000}"/>
    <cellStyle name="Separador de milhares 3 7 2 3 7" xfId="29480" xr:uid="{00000000-0005-0000-0000-0000D1950000}"/>
    <cellStyle name="Separador de milhares 3 7 2 4" xfId="1250" xr:uid="{00000000-0005-0000-0000-0000D2950000}"/>
    <cellStyle name="Separador de milhares 3 7 2 4 2" xfId="6779" xr:uid="{00000000-0005-0000-0000-0000D3950000}"/>
    <cellStyle name="Separador de milhares 3 7 2 4 2 2" xfId="9926" xr:uid="{00000000-0005-0000-0000-0000D4950000}"/>
    <cellStyle name="Separador de milhares 3 7 2 4 2 2 2" xfId="28140" xr:uid="{00000000-0005-0000-0000-0000D5950000}"/>
    <cellStyle name="Separador de milhares 3 7 2 4 2 2 2 2" xfId="54321" xr:uid="{00000000-0005-0000-0000-0000D6950000}"/>
    <cellStyle name="Separador de milhares 3 7 2 4 2 2 3" xfId="22226" xr:uid="{00000000-0005-0000-0000-0000D7950000}"/>
    <cellStyle name="Separador de milhares 3 7 2 4 2 2 3 2" xfId="48413" xr:uid="{00000000-0005-0000-0000-0000D8950000}"/>
    <cellStyle name="Separador de milhares 3 7 2 4 2 2 4" xfId="16312" xr:uid="{00000000-0005-0000-0000-0000D9950000}"/>
    <cellStyle name="Separador de milhares 3 7 2 4 2 2 4 2" xfId="42505" xr:uid="{00000000-0005-0000-0000-0000DA950000}"/>
    <cellStyle name="Separador de milhares 3 7 2 4 2 2 5" xfId="36119" xr:uid="{00000000-0005-0000-0000-0000DB950000}"/>
    <cellStyle name="Separador de milhares 3 7 2 4 2 3" xfId="25183" xr:uid="{00000000-0005-0000-0000-0000DC950000}"/>
    <cellStyle name="Separador de milhares 3 7 2 4 2 3 2" xfId="51367" xr:uid="{00000000-0005-0000-0000-0000DD950000}"/>
    <cellStyle name="Separador de milhares 3 7 2 4 2 4" xfId="19269" xr:uid="{00000000-0005-0000-0000-0000DE950000}"/>
    <cellStyle name="Separador de milhares 3 7 2 4 2 4 2" xfId="45459" xr:uid="{00000000-0005-0000-0000-0000DF950000}"/>
    <cellStyle name="Separador de milhares 3 7 2 4 2 5" xfId="13168" xr:uid="{00000000-0005-0000-0000-0000E0950000}"/>
    <cellStyle name="Separador de milhares 3 7 2 4 2 5 2" xfId="39361" xr:uid="{00000000-0005-0000-0000-0000E1950000}"/>
    <cellStyle name="Separador de milhares 3 7 2 4 2 6" xfId="32975" xr:uid="{00000000-0005-0000-0000-0000E2950000}"/>
    <cellStyle name="Separador de milhares 3 7 2 4 3" xfId="8458" xr:uid="{00000000-0005-0000-0000-0000E3950000}"/>
    <cellStyle name="Separador de milhares 3 7 2 4 3 2" xfId="26672" xr:uid="{00000000-0005-0000-0000-0000E4950000}"/>
    <cellStyle name="Separador de milhares 3 7 2 4 3 2 2" xfId="52853" xr:uid="{00000000-0005-0000-0000-0000E5950000}"/>
    <cellStyle name="Separador de milhares 3 7 2 4 3 3" xfId="20758" xr:uid="{00000000-0005-0000-0000-0000E6950000}"/>
    <cellStyle name="Separador de milhares 3 7 2 4 3 3 2" xfId="46945" xr:uid="{00000000-0005-0000-0000-0000E7950000}"/>
    <cellStyle name="Separador de milhares 3 7 2 4 3 4" xfId="14844" xr:uid="{00000000-0005-0000-0000-0000E8950000}"/>
    <cellStyle name="Separador de milhares 3 7 2 4 3 4 2" xfId="41037" xr:uid="{00000000-0005-0000-0000-0000E9950000}"/>
    <cellStyle name="Separador de milhares 3 7 2 4 3 5" xfId="34651" xr:uid="{00000000-0005-0000-0000-0000EA950000}"/>
    <cellStyle name="Separador de milhares 3 7 2 4 4" xfId="5080" xr:uid="{00000000-0005-0000-0000-0000EB950000}"/>
    <cellStyle name="Separador de milhares 3 7 2 4 4 2" xfId="23715" xr:uid="{00000000-0005-0000-0000-0000EC950000}"/>
    <cellStyle name="Separador de milhares 3 7 2 4 4 2 2" xfId="49899" xr:uid="{00000000-0005-0000-0000-0000ED950000}"/>
    <cellStyle name="Separador de milhares 3 7 2 4 4 3" xfId="31276" xr:uid="{00000000-0005-0000-0000-0000EE950000}"/>
    <cellStyle name="Separador de milhares 3 7 2 4 5" xfId="17801" xr:uid="{00000000-0005-0000-0000-0000EF950000}"/>
    <cellStyle name="Separador de milhares 3 7 2 4 5 2" xfId="43991" xr:uid="{00000000-0005-0000-0000-0000F0950000}"/>
    <cellStyle name="Separador de milhares 3 7 2 4 6" xfId="11467" xr:uid="{00000000-0005-0000-0000-0000F1950000}"/>
    <cellStyle name="Separador de milhares 3 7 2 4 6 2" xfId="37660" xr:uid="{00000000-0005-0000-0000-0000F2950000}"/>
    <cellStyle name="Separador de milhares 3 7 2 4 7" xfId="29578" xr:uid="{00000000-0005-0000-0000-0000F3950000}"/>
    <cellStyle name="Separador de milhares 3 7 2 5" xfId="1685" xr:uid="{00000000-0005-0000-0000-0000F4950000}"/>
    <cellStyle name="Separador de milhares 3 7 2 5 2" xfId="6898" xr:uid="{00000000-0005-0000-0000-0000F5950000}"/>
    <cellStyle name="Separador de milhares 3 7 2 5 2 2" xfId="10045" xr:uid="{00000000-0005-0000-0000-0000F6950000}"/>
    <cellStyle name="Separador de milhares 3 7 2 5 2 2 2" xfId="28259" xr:uid="{00000000-0005-0000-0000-0000F7950000}"/>
    <cellStyle name="Separador de milhares 3 7 2 5 2 2 2 2" xfId="54440" xr:uid="{00000000-0005-0000-0000-0000F8950000}"/>
    <cellStyle name="Separador de milhares 3 7 2 5 2 2 3" xfId="22345" xr:uid="{00000000-0005-0000-0000-0000F9950000}"/>
    <cellStyle name="Separador de milhares 3 7 2 5 2 2 3 2" xfId="48532" xr:uid="{00000000-0005-0000-0000-0000FA950000}"/>
    <cellStyle name="Separador de milhares 3 7 2 5 2 2 4" xfId="16431" xr:uid="{00000000-0005-0000-0000-0000FB950000}"/>
    <cellStyle name="Separador de milhares 3 7 2 5 2 2 4 2" xfId="42624" xr:uid="{00000000-0005-0000-0000-0000FC950000}"/>
    <cellStyle name="Separador de milhares 3 7 2 5 2 2 5" xfId="36238" xr:uid="{00000000-0005-0000-0000-0000FD950000}"/>
    <cellStyle name="Separador de milhares 3 7 2 5 2 3" xfId="25302" xr:uid="{00000000-0005-0000-0000-0000FE950000}"/>
    <cellStyle name="Separador de milhares 3 7 2 5 2 3 2" xfId="51486" xr:uid="{00000000-0005-0000-0000-0000FF950000}"/>
    <cellStyle name="Separador de milhares 3 7 2 5 2 4" xfId="19388" xr:uid="{00000000-0005-0000-0000-000000960000}"/>
    <cellStyle name="Separador de milhares 3 7 2 5 2 4 2" xfId="45578" xr:uid="{00000000-0005-0000-0000-000001960000}"/>
    <cellStyle name="Separador de milhares 3 7 2 5 2 5" xfId="13287" xr:uid="{00000000-0005-0000-0000-000002960000}"/>
    <cellStyle name="Separador de milhares 3 7 2 5 2 5 2" xfId="39480" xr:uid="{00000000-0005-0000-0000-000003960000}"/>
    <cellStyle name="Separador de milhares 3 7 2 5 2 6" xfId="33094" xr:uid="{00000000-0005-0000-0000-000004960000}"/>
    <cellStyle name="Separador de milhares 3 7 2 5 3" xfId="8577" xr:uid="{00000000-0005-0000-0000-000005960000}"/>
    <cellStyle name="Separador de milhares 3 7 2 5 3 2" xfId="26791" xr:uid="{00000000-0005-0000-0000-000006960000}"/>
    <cellStyle name="Separador de milhares 3 7 2 5 3 2 2" xfId="52972" xr:uid="{00000000-0005-0000-0000-000007960000}"/>
    <cellStyle name="Separador de milhares 3 7 2 5 3 3" xfId="20877" xr:uid="{00000000-0005-0000-0000-000008960000}"/>
    <cellStyle name="Separador de milhares 3 7 2 5 3 3 2" xfId="47064" xr:uid="{00000000-0005-0000-0000-000009960000}"/>
    <cellStyle name="Separador de milhares 3 7 2 5 3 4" xfId="14963" xr:uid="{00000000-0005-0000-0000-00000A960000}"/>
    <cellStyle name="Separador de milhares 3 7 2 5 3 4 2" xfId="41156" xr:uid="{00000000-0005-0000-0000-00000B960000}"/>
    <cellStyle name="Separador de milhares 3 7 2 5 3 5" xfId="34770" xr:uid="{00000000-0005-0000-0000-00000C960000}"/>
    <cellStyle name="Separador de milhares 3 7 2 5 4" xfId="5199" xr:uid="{00000000-0005-0000-0000-00000D960000}"/>
    <cellStyle name="Separador de milhares 3 7 2 5 4 2" xfId="23834" xr:uid="{00000000-0005-0000-0000-00000E960000}"/>
    <cellStyle name="Separador de milhares 3 7 2 5 4 2 2" xfId="50018" xr:uid="{00000000-0005-0000-0000-00000F960000}"/>
    <cellStyle name="Separador de milhares 3 7 2 5 4 3" xfId="31395" xr:uid="{00000000-0005-0000-0000-000010960000}"/>
    <cellStyle name="Separador de milhares 3 7 2 5 5" xfId="17920" xr:uid="{00000000-0005-0000-0000-000011960000}"/>
    <cellStyle name="Separador de milhares 3 7 2 5 5 2" xfId="44110" xr:uid="{00000000-0005-0000-0000-000012960000}"/>
    <cellStyle name="Separador de milhares 3 7 2 5 6" xfId="11586" xr:uid="{00000000-0005-0000-0000-000013960000}"/>
    <cellStyle name="Separador de milhares 3 7 2 5 6 2" xfId="37779" xr:uid="{00000000-0005-0000-0000-000014960000}"/>
    <cellStyle name="Separador de milhares 3 7 2 5 7" xfId="29697" xr:uid="{00000000-0005-0000-0000-000015960000}"/>
    <cellStyle name="Separador de milhares 3 7 2 6" xfId="2215" xr:uid="{00000000-0005-0000-0000-000016960000}"/>
    <cellStyle name="Separador de milhares 3 7 2 6 2" xfId="7048" xr:uid="{00000000-0005-0000-0000-000017960000}"/>
    <cellStyle name="Separador de milhares 3 7 2 6 2 2" xfId="10192" xr:uid="{00000000-0005-0000-0000-000018960000}"/>
    <cellStyle name="Separador de milhares 3 7 2 6 2 2 2" xfId="28406" xr:uid="{00000000-0005-0000-0000-000019960000}"/>
    <cellStyle name="Separador de milhares 3 7 2 6 2 2 2 2" xfId="54587" xr:uid="{00000000-0005-0000-0000-00001A960000}"/>
    <cellStyle name="Separador de milhares 3 7 2 6 2 2 3" xfId="22492" xr:uid="{00000000-0005-0000-0000-00001B960000}"/>
    <cellStyle name="Separador de milhares 3 7 2 6 2 2 3 2" xfId="48679" xr:uid="{00000000-0005-0000-0000-00001C960000}"/>
    <cellStyle name="Separador de milhares 3 7 2 6 2 2 4" xfId="16578" xr:uid="{00000000-0005-0000-0000-00001D960000}"/>
    <cellStyle name="Separador de milhares 3 7 2 6 2 2 4 2" xfId="42771" xr:uid="{00000000-0005-0000-0000-00001E960000}"/>
    <cellStyle name="Separador de milhares 3 7 2 6 2 2 5" xfId="36385" xr:uid="{00000000-0005-0000-0000-00001F960000}"/>
    <cellStyle name="Separador de milhares 3 7 2 6 2 3" xfId="25449" xr:uid="{00000000-0005-0000-0000-000020960000}"/>
    <cellStyle name="Separador de milhares 3 7 2 6 2 3 2" xfId="51633" xr:uid="{00000000-0005-0000-0000-000021960000}"/>
    <cellStyle name="Separador de milhares 3 7 2 6 2 4" xfId="19535" xr:uid="{00000000-0005-0000-0000-000022960000}"/>
    <cellStyle name="Separador de milhares 3 7 2 6 2 4 2" xfId="45725" xr:uid="{00000000-0005-0000-0000-000023960000}"/>
    <cellStyle name="Separador de milhares 3 7 2 6 2 5" xfId="13437" xr:uid="{00000000-0005-0000-0000-000024960000}"/>
    <cellStyle name="Separador de milhares 3 7 2 6 2 5 2" xfId="39630" xr:uid="{00000000-0005-0000-0000-000025960000}"/>
    <cellStyle name="Separador de milhares 3 7 2 6 2 6" xfId="33244" xr:uid="{00000000-0005-0000-0000-000026960000}"/>
    <cellStyle name="Separador de milhares 3 7 2 6 3" xfId="8724" xr:uid="{00000000-0005-0000-0000-000027960000}"/>
    <cellStyle name="Separador de milhares 3 7 2 6 3 2" xfId="26938" xr:uid="{00000000-0005-0000-0000-000028960000}"/>
    <cellStyle name="Separador de milhares 3 7 2 6 3 2 2" xfId="53119" xr:uid="{00000000-0005-0000-0000-000029960000}"/>
    <cellStyle name="Separador de milhares 3 7 2 6 3 3" xfId="21024" xr:uid="{00000000-0005-0000-0000-00002A960000}"/>
    <cellStyle name="Separador de milhares 3 7 2 6 3 3 2" xfId="47211" xr:uid="{00000000-0005-0000-0000-00002B960000}"/>
    <cellStyle name="Separador de milhares 3 7 2 6 3 4" xfId="15110" xr:uid="{00000000-0005-0000-0000-00002C960000}"/>
    <cellStyle name="Separador de milhares 3 7 2 6 3 4 2" xfId="41303" xr:uid="{00000000-0005-0000-0000-00002D960000}"/>
    <cellStyle name="Separador de milhares 3 7 2 6 3 5" xfId="34917" xr:uid="{00000000-0005-0000-0000-00002E960000}"/>
    <cellStyle name="Separador de milhares 3 7 2 6 4" xfId="5349" xr:uid="{00000000-0005-0000-0000-00002F960000}"/>
    <cellStyle name="Separador de milhares 3 7 2 6 4 2" xfId="23981" xr:uid="{00000000-0005-0000-0000-000030960000}"/>
    <cellStyle name="Separador de milhares 3 7 2 6 4 2 2" xfId="50165" xr:uid="{00000000-0005-0000-0000-000031960000}"/>
    <cellStyle name="Separador de milhares 3 7 2 6 4 3" xfId="31545" xr:uid="{00000000-0005-0000-0000-000032960000}"/>
    <cellStyle name="Separador de milhares 3 7 2 6 5" xfId="18067" xr:uid="{00000000-0005-0000-0000-000033960000}"/>
    <cellStyle name="Separador de milhares 3 7 2 6 5 2" xfId="44257" xr:uid="{00000000-0005-0000-0000-000034960000}"/>
    <cellStyle name="Separador de milhares 3 7 2 6 6" xfId="11736" xr:uid="{00000000-0005-0000-0000-000035960000}"/>
    <cellStyle name="Separador de milhares 3 7 2 6 6 2" xfId="37929" xr:uid="{00000000-0005-0000-0000-000036960000}"/>
    <cellStyle name="Separador de milhares 3 7 2 6 7" xfId="29847" xr:uid="{00000000-0005-0000-0000-000037960000}"/>
    <cellStyle name="Separador de milhares 3 7 2 7" xfId="2742" xr:uid="{00000000-0005-0000-0000-000038960000}"/>
    <cellStyle name="Separador de milhares 3 7 2 7 2" xfId="7195" xr:uid="{00000000-0005-0000-0000-000039960000}"/>
    <cellStyle name="Separador de milhares 3 7 2 7 2 2" xfId="10339" xr:uid="{00000000-0005-0000-0000-00003A960000}"/>
    <cellStyle name="Separador de milhares 3 7 2 7 2 2 2" xfId="28553" xr:uid="{00000000-0005-0000-0000-00003B960000}"/>
    <cellStyle name="Separador de milhares 3 7 2 7 2 2 2 2" xfId="54734" xr:uid="{00000000-0005-0000-0000-00003C960000}"/>
    <cellStyle name="Separador de milhares 3 7 2 7 2 2 3" xfId="22639" xr:uid="{00000000-0005-0000-0000-00003D960000}"/>
    <cellStyle name="Separador de milhares 3 7 2 7 2 2 3 2" xfId="48826" xr:uid="{00000000-0005-0000-0000-00003E960000}"/>
    <cellStyle name="Separador de milhares 3 7 2 7 2 2 4" xfId="16725" xr:uid="{00000000-0005-0000-0000-00003F960000}"/>
    <cellStyle name="Separador de milhares 3 7 2 7 2 2 4 2" xfId="42918" xr:uid="{00000000-0005-0000-0000-000040960000}"/>
    <cellStyle name="Separador de milhares 3 7 2 7 2 2 5" xfId="36532" xr:uid="{00000000-0005-0000-0000-000041960000}"/>
    <cellStyle name="Separador de milhares 3 7 2 7 2 3" xfId="25596" xr:uid="{00000000-0005-0000-0000-000042960000}"/>
    <cellStyle name="Separador de milhares 3 7 2 7 2 3 2" xfId="51780" xr:uid="{00000000-0005-0000-0000-000043960000}"/>
    <cellStyle name="Separador de milhares 3 7 2 7 2 4" xfId="19682" xr:uid="{00000000-0005-0000-0000-000044960000}"/>
    <cellStyle name="Separador de milhares 3 7 2 7 2 4 2" xfId="45872" xr:uid="{00000000-0005-0000-0000-000045960000}"/>
    <cellStyle name="Separador de milhares 3 7 2 7 2 5" xfId="13584" xr:uid="{00000000-0005-0000-0000-000046960000}"/>
    <cellStyle name="Separador de milhares 3 7 2 7 2 5 2" xfId="39777" xr:uid="{00000000-0005-0000-0000-000047960000}"/>
    <cellStyle name="Separador de milhares 3 7 2 7 2 6" xfId="33391" xr:uid="{00000000-0005-0000-0000-000048960000}"/>
    <cellStyle name="Separador de milhares 3 7 2 7 3" xfId="8871" xr:uid="{00000000-0005-0000-0000-000049960000}"/>
    <cellStyle name="Separador de milhares 3 7 2 7 3 2" xfId="27085" xr:uid="{00000000-0005-0000-0000-00004A960000}"/>
    <cellStyle name="Separador de milhares 3 7 2 7 3 2 2" xfId="53266" xr:uid="{00000000-0005-0000-0000-00004B960000}"/>
    <cellStyle name="Separador de milhares 3 7 2 7 3 3" xfId="21171" xr:uid="{00000000-0005-0000-0000-00004C960000}"/>
    <cellStyle name="Separador de milhares 3 7 2 7 3 3 2" xfId="47358" xr:uid="{00000000-0005-0000-0000-00004D960000}"/>
    <cellStyle name="Separador de milhares 3 7 2 7 3 4" xfId="15257" xr:uid="{00000000-0005-0000-0000-00004E960000}"/>
    <cellStyle name="Separador de milhares 3 7 2 7 3 4 2" xfId="41450" xr:uid="{00000000-0005-0000-0000-00004F960000}"/>
    <cellStyle name="Separador de milhares 3 7 2 7 3 5" xfId="35064" xr:uid="{00000000-0005-0000-0000-000050960000}"/>
    <cellStyle name="Separador de milhares 3 7 2 7 4" xfId="5496" xr:uid="{00000000-0005-0000-0000-000051960000}"/>
    <cellStyle name="Separador de milhares 3 7 2 7 4 2" xfId="24128" xr:uid="{00000000-0005-0000-0000-000052960000}"/>
    <cellStyle name="Separador de milhares 3 7 2 7 4 2 2" xfId="50312" xr:uid="{00000000-0005-0000-0000-000053960000}"/>
    <cellStyle name="Separador de milhares 3 7 2 7 4 3" xfId="31692" xr:uid="{00000000-0005-0000-0000-000054960000}"/>
    <cellStyle name="Separador de milhares 3 7 2 7 5" xfId="18214" xr:uid="{00000000-0005-0000-0000-000055960000}"/>
    <cellStyle name="Separador de milhares 3 7 2 7 5 2" xfId="44404" xr:uid="{00000000-0005-0000-0000-000056960000}"/>
    <cellStyle name="Separador de milhares 3 7 2 7 6" xfId="11883" xr:uid="{00000000-0005-0000-0000-000057960000}"/>
    <cellStyle name="Separador de milhares 3 7 2 7 6 2" xfId="38076" xr:uid="{00000000-0005-0000-0000-000058960000}"/>
    <cellStyle name="Separador de milhares 3 7 2 7 7" xfId="29994" xr:uid="{00000000-0005-0000-0000-000059960000}"/>
    <cellStyle name="Separador de milhares 3 7 2 8" xfId="3269" xr:uid="{00000000-0005-0000-0000-00005A960000}"/>
    <cellStyle name="Separador de milhares 3 7 2 8 2" xfId="7342" xr:uid="{00000000-0005-0000-0000-00005B960000}"/>
    <cellStyle name="Separador de milhares 3 7 2 8 2 2" xfId="10486" xr:uid="{00000000-0005-0000-0000-00005C960000}"/>
    <cellStyle name="Separador de milhares 3 7 2 8 2 2 2" xfId="28700" xr:uid="{00000000-0005-0000-0000-00005D960000}"/>
    <cellStyle name="Separador de milhares 3 7 2 8 2 2 2 2" xfId="54881" xr:uid="{00000000-0005-0000-0000-00005E960000}"/>
    <cellStyle name="Separador de milhares 3 7 2 8 2 2 3" xfId="22786" xr:uid="{00000000-0005-0000-0000-00005F960000}"/>
    <cellStyle name="Separador de milhares 3 7 2 8 2 2 3 2" xfId="48973" xr:uid="{00000000-0005-0000-0000-000060960000}"/>
    <cellStyle name="Separador de milhares 3 7 2 8 2 2 4" xfId="16872" xr:uid="{00000000-0005-0000-0000-000061960000}"/>
    <cellStyle name="Separador de milhares 3 7 2 8 2 2 4 2" xfId="43065" xr:uid="{00000000-0005-0000-0000-000062960000}"/>
    <cellStyle name="Separador de milhares 3 7 2 8 2 2 5" xfId="36679" xr:uid="{00000000-0005-0000-0000-000063960000}"/>
    <cellStyle name="Separador de milhares 3 7 2 8 2 3" xfId="25743" xr:uid="{00000000-0005-0000-0000-000064960000}"/>
    <cellStyle name="Separador de milhares 3 7 2 8 2 3 2" xfId="51927" xr:uid="{00000000-0005-0000-0000-000065960000}"/>
    <cellStyle name="Separador de milhares 3 7 2 8 2 4" xfId="19829" xr:uid="{00000000-0005-0000-0000-000066960000}"/>
    <cellStyle name="Separador de milhares 3 7 2 8 2 4 2" xfId="46019" xr:uid="{00000000-0005-0000-0000-000067960000}"/>
    <cellStyle name="Separador de milhares 3 7 2 8 2 5" xfId="13731" xr:uid="{00000000-0005-0000-0000-000068960000}"/>
    <cellStyle name="Separador de milhares 3 7 2 8 2 5 2" xfId="39924" xr:uid="{00000000-0005-0000-0000-000069960000}"/>
    <cellStyle name="Separador de milhares 3 7 2 8 2 6" xfId="33538" xr:uid="{00000000-0005-0000-0000-00006A960000}"/>
    <cellStyle name="Separador de milhares 3 7 2 8 3" xfId="9018" xr:uid="{00000000-0005-0000-0000-00006B960000}"/>
    <cellStyle name="Separador de milhares 3 7 2 8 3 2" xfId="27232" xr:uid="{00000000-0005-0000-0000-00006C960000}"/>
    <cellStyle name="Separador de milhares 3 7 2 8 3 2 2" xfId="53413" xr:uid="{00000000-0005-0000-0000-00006D960000}"/>
    <cellStyle name="Separador de milhares 3 7 2 8 3 3" xfId="21318" xr:uid="{00000000-0005-0000-0000-00006E960000}"/>
    <cellStyle name="Separador de milhares 3 7 2 8 3 3 2" xfId="47505" xr:uid="{00000000-0005-0000-0000-00006F960000}"/>
    <cellStyle name="Separador de milhares 3 7 2 8 3 4" xfId="15404" xr:uid="{00000000-0005-0000-0000-000070960000}"/>
    <cellStyle name="Separador de milhares 3 7 2 8 3 4 2" xfId="41597" xr:uid="{00000000-0005-0000-0000-000071960000}"/>
    <cellStyle name="Separador de milhares 3 7 2 8 3 5" xfId="35211" xr:uid="{00000000-0005-0000-0000-000072960000}"/>
    <cellStyle name="Separador de milhares 3 7 2 8 4" xfId="5643" xr:uid="{00000000-0005-0000-0000-000073960000}"/>
    <cellStyle name="Separador de milhares 3 7 2 8 4 2" xfId="24275" xr:uid="{00000000-0005-0000-0000-000074960000}"/>
    <cellStyle name="Separador de milhares 3 7 2 8 4 2 2" xfId="50459" xr:uid="{00000000-0005-0000-0000-000075960000}"/>
    <cellStyle name="Separador de milhares 3 7 2 8 4 3" xfId="31839" xr:uid="{00000000-0005-0000-0000-000076960000}"/>
    <cellStyle name="Separador de milhares 3 7 2 8 5" xfId="18361" xr:uid="{00000000-0005-0000-0000-000077960000}"/>
    <cellStyle name="Separador de milhares 3 7 2 8 5 2" xfId="44551" xr:uid="{00000000-0005-0000-0000-000078960000}"/>
    <cellStyle name="Separador de milhares 3 7 2 8 6" xfId="12030" xr:uid="{00000000-0005-0000-0000-000079960000}"/>
    <cellStyle name="Separador de milhares 3 7 2 8 6 2" xfId="38223" xr:uid="{00000000-0005-0000-0000-00007A960000}"/>
    <cellStyle name="Separador de milhares 3 7 2 8 7" xfId="30141" xr:uid="{00000000-0005-0000-0000-00007B960000}"/>
    <cellStyle name="Separador de milhares 3 7 2 9" xfId="3796" xr:uid="{00000000-0005-0000-0000-00007C960000}"/>
    <cellStyle name="Separador de milhares 3 7 2 9 2" xfId="7489" xr:uid="{00000000-0005-0000-0000-00007D960000}"/>
    <cellStyle name="Separador de milhares 3 7 2 9 2 2" xfId="10633" xr:uid="{00000000-0005-0000-0000-00007E960000}"/>
    <cellStyle name="Separador de milhares 3 7 2 9 2 2 2" xfId="28847" xr:uid="{00000000-0005-0000-0000-00007F960000}"/>
    <cellStyle name="Separador de milhares 3 7 2 9 2 2 2 2" xfId="55028" xr:uid="{00000000-0005-0000-0000-000080960000}"/>
    <cellStyle name="Separador de milhares 3 7 2 9 2 2 3" xfId="22933" xr:uid="{00000000-0005-0000-0000-000081960000}"/>
    <cellStyle name="Separador de milhares 3 7 2 9 2 2 3 2" xfId="49120" xr:uid="{00000000-0005-0000-0000-000082960000}"/>
    <cellStyle name="Separador de milhares 3 7 2 9 2 2 4" xfId="17019" xr:uid="{00000000-0005-0000-0000-000083960000}"/>
    <cellStyle name="Separador de milhares 3 7 2 9 2 2 4 2" xfId="43212" xr:uid="{00000000-0005-0000-0000-000084960000}"/>
    <cellStyle name="Separador de milhares 3 7 2 9 2 2 5" xfId="36826" xr:uid="{00000000-0005-0000-0000-000085960000}"/>
    <cellStyle name="Separador de milhares 3 7 2 9 2 3" xfId="25890" xr:uid="{00000000-0005-0000-0000-000086960000}"/>
    <cellStyle name="Separador de milhares 3 7 2 9 2 3 2" xfId="52074" xr:uid="{00000000-0005-0000-0000-000087960000}"/>
    <cellStyle name="Separador de milhares 3 7 2 9 2 4" xfId="19976" xr:uid="{00000000-0005-0000-0000-000088960000}"/>
    <cellStyle name="Separador de milhares 3 7 2 9 2 4 2" xfId="46166" xr:uid="{00000000-0005-0000-0000-000089960000}"/>
    <cellStyle name="Separador de milhares 3 7 2 9 2 5" xfId="13878" xr:uid="{00000000-0005-0000-0000-00008A960000}"/>
    <cellStyle name="Separador de milhares 3 7 2 9 2 5 2" xfId="40071" xr:uid="{00000000-0005-0000-0000-00008B960000}"/>
    <cellStyle name="Separador de milhares 3 7 2 9 2 6" xfId="33685" xr:uid="{00000000-0005-0000-0000-00008C960000}"/>
    <cellStyle name="Separador de milhares 3 7 2 9 3" xfId="9165" xr:uid="{00000000-0005-0000-0000-00008D960000}"/>
    <cellStyle name="Separador de milhares 3 7 2 9 3 2" xfId="27379" xr:uid="{00000000-0005-0000-0000-00008E960000}"/>
    <cellStyle name="Separador de milhares 3 7 2 9 3 2 2" xfId="53560" xr:uid="{00000000-0005-0000-0000-00008F960000}"/>
    <cellStyle name="Separador de milhares 3 7 2 9 3 3" xfId="21465" xr:uid="{00000000-0005-0000-0000-000090960000}"/>
    <cellStyle name="Separador de milhares 3 7 2 9 3 3 2" xfId="47652" xr:uid="{00000000-0005-0000-0000-000091960000}"/>
    <cellStyle name="Separador de milhares 3 7 2 9 3 4" xfId="15551" xr:uid="{00000000-0005-0000-0000-000092960000}"/>
    <cellStyle name="Separador de milhares 3 7 2 9 3 4 2" xfId="41744" xr:uid="{00000000-0005-0000-0000-000093960000}"/>
    <cellStyle name="Separador de milhares 3 7 2 9 3 5" xfId="35358" xr:uid="{00000000-0005-0000-0000-000094960000}"/>
    <cellStyle name="Separador de milhares 3 7 2 9 4" xfId="5790" xr:uid="{00000000-0005-0000-0000-000095960000}"/>
    <cellStyle name="Separador de milhares 3 7 2 9 4 2" xfId="24422" xr:uid="{00000000-0005-0000-0000-000096960000}"/>
    <cellStyle name="Separador de milhares 3 7 2 9 4 2 2" xfId="50606" xr:uid="{00000000-0005-0000-0000-000097960000}"/>
    <cellStyle name="Separador de milhares 3 7 2 9 4 3" xfId="31986" xr:uid="{00000000-0005-0000-0000-000098960000}"/>
    <cellStyle name="Separador de milhares 3 7 2 9 5" xfId="18508" xr:uid="{00000000-0005-0000-0000-000099960000}"/>
    <cellStyle name="Separador de milhares 3 7 2 9 5 2" xfId="44698" xr:uid="{00000000-0005-0000-0000-00009A960000}"/>
    <cellStyle name="Separador de milhares 3 7 2 9 6" xfId="12177" xr:uid="{00000000-0005-0000-0000-00009B960000}"/>
    <cellStyle name="Separador de milhares 3 7 2 9 6 2" xfId="38370" xr:uid="{00000000-0005-0000-0000-00009C960000}"/>
    <cellStyle name="Separador de milhares 3 7 2 9 7" xfId="30288" xr:uid="{00000000-0005-0000-0000-00009D960000}"/>
    <cellStyle name="Separador de milhares 3 7 3" xfId="248" xr:uid="{00000000-0005-0000-0000-00009E960000}"/>
    <cellStyle name="Separador de milhares 3 7 3 10" xfId="6480" xr:uid="{00000000-0005-0000-0000-00009F960000}"/>
    <cellStyle name="Separador de milhares 3 7 3 10 2" xfId="9631" xr:uid="{00000000-0005-0000-0000-0000A0960000}"/>
    <cellStyle name="Separador de milhares 3 7 3 10 2 2" xfId="27845" xr:uid="{00000000-0005-0000-0000-0000A1960000}"/>
    <cellStyle name="Separador de milhares 3 7 3 10 2 2 2" xfId="54026" xr:uid="{00000000-0005-0000-0000-0000A2960000}"/>
    <cellStyle name="Separador de milhares 3 7 3 10 2 3" xfId="21931" xr:uid="{00000000-0005-0000-0000-0000A3960000}"/>
    <cellStyle name="Separador de milhares 3 7 3 10 2 3 2" xfId="48118" xr:uid="{00000000-0005-0000-0000-0000A4960000}"/>
    <cellStyle name="Separador de milhares 3 7 3 10 2 4" xfId="16017" xr:uid="{00000000-0005-0000-0000-0000A5960000}"/>
    <cellStyle name="Separador de milhares 3 7 3 10 2 4 2" xfId="42210" xr:uid="{00000000-0005-0000-0000-0000A6960000}"/>
    <cellStyle name="Separador de milhares 3 7 3 10 2 5" xfId="35824" xr:uid="{00000000-0005-0000-0000-0000A7960000}"/>
    <cellStyle name="Separador de milhares 3 7 3 10 3" xfId="24888" xr:uid="{00000000-0005-0000-0000-0000A8960000}"/>
    <cellStyle name="Separador de milhares 3 7 3 10 3 2" xfId="51072" xr:uid="{00000000-0005-0000-0000-0000A9960000}"/>
    <cellStyle name="Separador de milhares 3 7 3 10 4" xfId="18974" xr:uid="{00000000-0005-0000-0000-0000AA960000}"/>
    <cellStyle name="Separador de milhares 3 7 3 10 4 2" xfId="45164" xr:uid="{00000000-0005-0000-0000-0000AB960000}"/>
    <cellStyle name="Separador de milhares 3 7 3 10 5" xfId="12869" xr:uid="{00000000-0005-0000-0000-0000AC960000}"/>
    <cellStyle name="Separador de milhares 3 7 3 10 5 2" xfId="39062" xr:uid="{00000000-0005-0000-0000-0000AD960000}"/>
    <cellStyle name="Separador de milhares 3 7 3 10 6" xfId="32676" xr:uid="{00000000-0005-0000-0000-0000AE960000}"/>
    <cellStyle name="Separador de milhares 3 7 3 11" xfId="8160" xr:uid="{00000000-0005-0000-0000-0000AF960000}"/>
    <cellStyle name="Separador de milhares 3 7 3 11 2" xfId="26374" xr:uid="{00000000-0005-0000-0000-0000B0960000}"/>
    <cellStyle name="Separador de milhares 3 7 3 11 2 2" xfId="52558" xr:uid="{00000000-0005-0000-0000-0000B1960000}"/>
    <cellStyle name="Separador de milhares 3 7 3 11 3" xfId="20460" xr:uid="{00000000-0005-0000-0000-0000B2960000}"/>
    <cellStyle name="Separador de milhares 3 7 3 11 3 2" xfId="46650" xr:uid="{00000000-0005-0000-0000-0000B3960000}"/>
    <cellStyle name="Separador de milhares 3 7 3 11 4" xfId="14549" xr:uid="{00000000-0005-0000-0000-0000B4960000}"/>
    <cellStyle name="Separador de milhares 3 7 3 11 4 2" xfId="40742" xr:uid="{00000000-0005-0000-0000-0000B5960000}"/>
    <cellStyle name="Separador de milhares 3 7 3 11 5" xfId="34356" xr:uid="{00000000-0005-0000-0000-0000B6960000}"/>
    <cellStyle name="Separador de milhares 3 7 3 12" xfId="4779" xr:uid="{00000000-0005-0000-0000-0000B7960000}"/>
    <cellStyle name="Separador de milhares 3 7 3 12 2" xfId="23417" xr:uid="{00000000-0005-0000-0000-0000B8960000}"/>
    <cellStyle name="Separador de milhares 3 7 3 12 2 2" xfId="49604" xr:uid="{00000000-0005-0000-0000-0000B9960000}"/>
    <cellStyle name="Separador de milhares 3 7 3 12 3" xfId="30977" xr:uid="{00000000-0005-0000-0000-0000BA960000}"/>
    <cellStyle name="Separador de milhares 3 7 3 13" xfId="17503" xr:uid="{00000000-0005-0000-0000-0000BB960000}"/>
    <cellStyle name="Separador de milhares 3 7 3 13 2" xfId="43696" xr:uid="{00000000-0005-0000-0000-0000BC960000}"/>
    <cellStyle name="Separador de milhares 3 7 3 14" xfId="11168" xr:uid="{00000000-0005-0000-0000-0000BD960000}"/>
    <cellStyle name="Separador de milhares 3 7 3 14 2" xfId="37361" xr:uid="{00000000-0005-0000-0000-0000BE960000}"/>
    <cellStyle name="Separador de milhares 3 7 3 15" xfId="29279" xr:uid="{00000000-0005-0000-0000-0000BF960000}"/>
    <cellStyle name="Separador de milhares 3 7 3 2" xfId="511" xr:uid="{00000000-0005-0000-0000-0000C0960000}"/>
    <cellStyle name="Separador de milhares 3 7 3 2 2" xfId="6551" xr:uid="{00000000-0005-0000-0000-0000C1960000}"/>
    <cellStyle name="Separador de milhares 3 7 3 2 2 2" xfId="9698" xr:uid="{00000000-0005-0000-0000-0000C2960000}"/>
    <cellStyle name="Separador de milhares 3 7 3 2 2 2 2" xfId="27912" xr:uid="{00000000-0005-0000-0000-0000C3960000}"/>
    <cellStyle name="Separador de milhares 3 7 3 2 2 2 2 2" xfId="54093" xr:uid="{00000000-0005-0000-0000-0000C4960000}"/>
    <cellStyle name="Separador de milhares 3 7 3 2 2 2 3" xfId="21998" xr:uid="{00000000-0005-0000-0000-0000C5960000}"/>
    <cellStyle name="Separador de milhares 3 7 3 2 2 2 3 2" xfId="48185" xr:uid="{00000000-0005-0000-0000-0000C6960000}"/>
    <cellStyle name="Separador de milhares 3 7 3 2 2 2 4" xfId="16084" xr:uid="{00000000-0005-0000-0000-0000C7960000}"/>
    <cellStyle name="Separador de milhares 3 7 3 2 2 2 4 2" xfId="42277" xr:uid="{00000000-0005-0000-0000-0000C8960000}"/>
    <cellStyle name="Separador de milhares 3 7 3 2 2 2 5" xfId="35891" xr:uid="{00000000-0005-0000-0000-0000C9960000}"/>
    <cellStyle name="Separador de milhares 3 7 3 2 2 3" xfId="24955" xr:uid="{00000000-0005-0000-0000-0000CA960000}"/>
    <cellStyle name="Separador de milhares 3 7 3 2 2 3 2" xfId="51139" xr:uid="{00000000-0005-0000-0000-0000CB960000}"/>
    <cellStyle name="Separador de milhares 3 7 3 2 2 4" xfId="19041" xr:uid="{00000000-0005-0000-0000-0000CC960000}"/>
    <cellStyle name="Separador de milhares 3 7 3 2 2 4 2" xfId="45231" xr:uid="{00000000-0005-0000-0000-0000CD960000}"/>
    <cellStyle name="Separador de milhares 3 7 3 2 2 5" xfId="12940" xr:uid="{00000000-0005-0000-0000-0000CE960000}"/>
    <cellStyle name="Separador de milhares 3 7 3 2 2 5 2" xfId="39133" xr:uid="{00000000-0005-0000-0000-0000CF960000}"/>
    <cellStyle name="Separador de milhares 3 7 3 2 2 6" xfId="32747" xr:uid="{00000000-0005-0000-0000-0000D0960000}"/>
    <cellStyle name="Separador de milhares 3 7 3 2 3" xfId="8227" xr:uid="{00000000-0005-0000-0000-0000D1960000}"/>
    <cellStyle name="Separador de milhares 3 7 3 2 3 2" xfId="26441" xr:uid="{00000000-0005-0000-0000-0000D2960000}"/>
    <cellStyle name="Separador de milhares 3 7 3 2 3 2 2" xfId="52625" xr:uid="{00000000-0005-0000-0000-0000D3960000}"/>
    <cellStyle name="Separador de milhares 3 7 3 2 3 3" xfId="20527" xr:uid="{00000000-0005-0000-0000-0000D4960000}"/>
    <cellStyle name="Separador de milhares 3 7 3 2 3 3 2" xfId="46717" xr:uid="{00000000-0005-0000-0000-0000D5960000}"/>
    <cellStyle name="Separador de milhares 3 7 3 2 3 4" xfId="14616" xr:uid="{00000000-0005-0000-0000-0000D6960000}"/>
    <cellStyle name="Separador de milhares 3 7 3 2 3 4 2" xfId="40809" xr:uid="{00000000-0005-0000-0000-0000D7960000}"/>
    <cellStyle name="Separador de milhares 3 7 3 2 3 5" xfId="34423" xr:uid="{00000000-0005-0000-0000-0000D8960000}"/>
    <cellStyle name="Separador de milhares 3 7 3 2 4" xfId="4850" xr:uid="{00000000-0005-0000-0000-0000D9960000}"/>
    <cellStyle name="Separador de milhares 3 7 3 2 4 2" xfId="23484" xr:uid="{00000000-0005-0000-0000-0000DA960000}"/>
    <cellStyle name="Separador de milhares 3 7 3 2 4 2 2" xfId="49671" xr:uid="{00000000-0005-0000-0000-0000DB960000}"/>
    <cellStyle name="Separador de milhares 3 7 3 2 4 3" xfId="31048" xr:uid="{00000000-0005-0000-0000-0000DC960000}"/>
    <cellStyle name="Separador de milhares 3 7 3 2 5" xfId="17570" xr:uid="{00000000-0005-0000-0000-0000DD960000}"/>
    <cellStyle name="Separador de milhares 3 7 3 2 5 2" xfId="43763" xr:uid="{00000000-0005-0000-0000-0000DE960000}"/>
    <cellStyle name="Separador de milhares 3 7 3 2 6" xfId="11239" xr:uid="{00000000-0005-0000-0000-0000DF960000}"/>
    <cellStyle name="Separador de milhares 3 7 3 2 6 2" xfId="37432" xr:uid="{00000000-0005-0000-0000-0000E0960000}"/>
    <cellStyle name="Separador de milhares 3 7 3 2 7" xfId="29350" xr:uid="{00000000-0005-0000-0000-0000E1960000}"/>
    <cellStyle name="Separador de milhares 3 7 3 3" xfId="808" xr:uid="{00000000-0005-0000-0000-0000E2960000}"/>
    <cellStyle name="Separador de milhares 3 7 3 3 2" xfId="6653" xr:uid="{00000000-0005-0000-0000-0000E3960000}"/>
    <cellStyle name="Separador de milhares 3 7 3 3 2 2" xfId="9800" xr:uid="{00000000-0005-0000-0000-0000E4960000}"/>
    <cellStyle name="Separador de milhares 3 7 3 3 2 2 2" xfId="28014" xr:uid="{00000000-0005-0000-0000-0000E5960000}"/>
    <cellStyle name="Separador de milhares 3 7 3 3 2 2 2 2" xfId="54195" xr:uid="{00000000-0005-0000-0000-0000E6960000}"/>
    <cellStyle name="Separador de milhares 3 7 3 3 2 2 3" xfId="22100" xr:uid="{00000000-0005-0000-0000-0000E7960000}"/>
    <cellStyle name="Separador de milhares 3 7 3 3 2 2 3 2" xfId="48287" xr:uid="{00000000-0005-0000-0000-0000E8960000}"/>
    <cellStyle name="Separador de milhares 3 7 3 3 2 2 4" xfId="16186" xr:uid="{00000000-0005-0000-0000-0000E9960000}"/>
    <cellStyle name="Separador de milhares 3 7 3 3 2 2 4 2" xfId="42379" xr:uid="{00000000-0005-0000-0000-0000EA960000}"/>
    <cellStyle name="Separador de milhares 3 7 3 3 2 2 5" xfId="35993" xr:uid="{00000000-0005-0000-0000-0000EB960000}"/>
    <cellStyle name="Separador de milhares 3 7 3 3 2 3" xfId="25057" xr:uid="{00000000-0005-0000-0000-0000EC960000}"/>
    <cellStyle name="Separador de milhares 3 7 3 3 2 3 2" xfId="51241" xr:uid="{00000000-0005-0000-0000-0000ED960000}"/>
    <cellStyle name="Separador de milhares 3 7 3 3 2 4" xfId="19143" xr:uid="{00000000-0005-0000-0000-0000EE960000}"/>
    <cellStyle name="Separador de milhares 3 7 3 3 2 4 2" xfId="45333" xr:uid="{00000000-0005-0000-0000-0000EF960000}"/>
    <cellStyle name="Separador de milhares 3 7 3 3 2 5" xfId="13042" xr:uid="{00000000-0005-0000-0000-0000F0960000}"/>
    <cellStyle name="Separador de milhares 3 7 3 3 2 5 2" xfId="39235" xr:uid="{00000000-0005-0000-0000-0000F1960000}"/>
    <cellStyle name="Separador de milhares 3 7 3 3 2 6" xfId="32849" xr:uid="{00000000-0005-0000-0000-0000F2960000}"/>
    <cellStyle name="Separador de milhares 3 7 3 3 3" xfId="8332" xr:uid="{00000000-0005-0000-0000-0000F3960000}"/>
    <cellStyle name="Separador de milhares 3 7 3 3 3 2" xfId="26546" xr:uid="{00000000-0005-0000-0000-0000F4960000}"/>
    <cellStyle name="Separador de milhares 3 7 3 3 3 2 2" xfId="52727" xr:uid="{00000000-0005-0000-0000-0000F5960000}"/>
    <cellStyle name="Separador de milhares 3 7 3 3 3 3" xfId="20632" xr:uid="{00000000-0005-0000-0000-0000F6960000}"/>
    <cellStyle name="Separador de milhares 3 7 3 3 3 3 2" xfId="46819" xr:uid="{00000000-0005-0000-0000-0000F7960000}"/>
    <cellStyle name="Separador de milhares 3 7 3 3 3 4" xfId="14718" xr:uid="{00000000-0005-0000-0000-0000F8960000}"/>
    <cellStyle name="Separador de milhares 3 7 3 3 3 4 2" xfId="40911" xr:uid="{00000000-0005-0000-0000-0000F9960000}"/>
    <cellStyle name="Separador de milhares 3 7 3 3 3 5" xfId="34525" xr:uid="{00000000-0005-0000-0000-0000FA960000}"/>
    <cellStyle name="Separador de milhares 3 7 3 3 4" xfId="4954" xr:uid="{00000000-0005-0000-0000-0000FB960000}"/>
    <cellStyle name="Separador de milhares 3 7 3 3 4 2" xfId="23589" xr:uid="{00000000-0005-0000-0000-0000FC960000}"/>
    <cellStyle name="Separador de milhares 3 7 3 3 4 2 2" xfId="49773" xr:uid="{00000000-0005-0000-0000-0000FD960000}"/>
    <cellStyle name="Separador de milhares 3 7 3 3 4 3" xfId="31150" xr:uid="{00000000-0005-0000-0000-0000FE960000}"/>
    <cellStyle name="Separador de milhares 3 7 3 3 5" xfId="17675" xr:uid="{00000000-0005-0000-0000-0000FF960000}"/>
    <cellStyle name="Separador de milhares 3 7 3 3 5 2" xfId="43865" xr:uid="{00000000-0005-0000-0000-000000970000}"/>
    <cellStyle name="Separador de milhares 3 7 3 3 6" xfId="11341" xr:uid="{00000000-0005-0000-0000-000001970000}"/>
    <cellStyle name="Separador de milhares 3 7 3 3 6 2" xfId="37534" xr:uid="{00000000-0005-0000-0000-000002970000}"/>
    <cellStyle name="Separador de milhares 3 7 3 3 7" xfId="29452" xr:uid="{00000000-0005-0000-0000-000003970000}"/>
    <cellStyle name="Separador de milhares 3 7 3 4" xfId="1159" xr:uid="{00000000-0005-0000-0000-000004970000}"/>
    <cellStyle name="Separador de milhares 3 7 3 4 2" xfId="6751" xr:uid="{00000000-0005-0000-0000-000005970000}"/>
    <cellStyle name="Separador de milhares 3 7 3 4 2 2" xfId="9898" xr:uid="{00000000-0005-0000-0000-000006970000}"/>
    <cellStyle name="Separador de milhares 3 7 3 4 2 2 2" xfId="28112" xr:uid="{00000000-0005-0000-0000-000007970000}"/>
    <cellStyle name="Separador de milhares 3 7 3 4 2 2 2 2" xfId="54293" xr:uid="{00000000-0005-0000-0000-000008970000}"/>
    <cellStyle name="Separador de milhares 3 7 3 4 2 2 3" xfId="22198" xr:uid="{00000000-0005-0000-0000-000009970000}"/>
    <cellStyle name="Separador de milhares 3 7 3 4 2 2 3 2" xfId="48385" xr:uid="{00000000-0005-0000-0000-00000A970000}"/>
    <cellStyle name="Separador de milhares 3 7 3 4 2 2 4" xfId="16284" xr:uid="{00000000-0005-0000-0000-00000B970000}"/>
    <cellStyle name="Separador de milhares 3 7 3 4 2 2 4 2" xfId="42477" xr:uid="{00000000-0005-0000-0000-00000C970000}"/>
    <cellStyle name="Separador de milhares 3 7 3 4 2 2 5" xfId="36091" xr:uid="{00000000-0005-0000-0000-00000D970000}"/>
    <cellStyle name="Separador de milhares 3 7 3 4 2 3" xfId="25155" xr:uid="{00000000-0005-0000-0000-00000E970000}"/>
    <cellStyle name="Separador de milhares 3 7 3 4 2 3 2" xfId="51339" xr:uid="{00000000-0005-0000-0000-00000F970000}"/>
    <cellStyle name="Separador de milhares 3 7 3 4 2 4" xfId="19241" xr:uid="{00000000-0005-0000-0000-000010970000}"/>
    <cellStyle name="Separador de milhares 3 7 3 4 2 4 2" xfId="45431" xr:uid="{00000000-0005-0000-0000-000011970000}"/>
    <cellStyle name="Separador de milhares 3 7 3 4 2 5" xfId="13140" xr:uid="{00000000-0005-0000-0000-000012970000}"/>
    <cellStyle name="Separador de milhares 3 7 3 4 2 5 2" xfId="39333" xr:uid="{00000000-0005-0000-0000-000013970000}"/>
    <cellStyle name="Separador de milhares 3 7 3 4 2 6" xfId="32947" xr:uid="{00000000-0005-0000-0000-000014970000}"/>
    <cellStyle name="Separador de milhares 3 7 3 4 3" xfId="8430" xr:uid="{00000000-0005-0000-0000-000015970000}"/>
    <cellStyle name="Separador de milhares 3 7 3 4 3 2" xfId="26644" xr:uid="{00000000-0005-0000-0000-000016970000}"/>
    <cellStyle name="Separador de milhares 3 7 3 4 3 2 2" xfId="52825" xr:uid="{00000000-0005-0000-0000-000017970000}"/>
    <cellStyle name="Separador de milhares 3 7 3 4 3 3" xfId="20730" xr:uid="{00000000-0005-0000-0000-000018970000}"/>
    <cellStyle name="Separador de milhares 3 7 3 4 3 3 2" xfId="46917" xr:uid="{00000000-0005-0000-0000-000019970000}"/>
    <cellStyle name="Separador de milhares 3 7 3 4 3 4" xfId="14816" xr:uid="{00000000-0005-0000-0000-00001A970000}"/>
    <cellStyle name="Separador de milhares 3 7 3 4 3 4 2" xfId="41009" xr:uid="{00000000-0005-0000-0000-00001B970000}"/>
    <cellStyle name="Separador de milhares 3 7 3 4 3 5" xfId="34623" xr:uid="{00000000-0005-0000-0000-00001C970000}"/>
    <cellStyle name="Separador de milhares 3 7 3 4 4" xfId="5052" xr:uid="{00000000-0005-0000-0000-00001D970000}"/>
    <cellStyle name="Separador de milhares 3 7 3 4 4 2" xfId="23687" xr:uid="{00000000-0005-0000-0000-00001E970000}"/>
    <cellStyle name="Separador de milhares 3 7 3 4 4 2 2" xfId="49871" xr:uid="{00000000-0005-0000-0000-00001F970000}"/>
    <cellStyle name="Separador de milhares 3 7 3 4 4 3" xfId="31248" xr:uid="{00000000-0005-0000-0000-000020970000}"/>
    <cellStyle name="Separador de milhares 3 7 3 4 5" xfId="17773" xr:uid="{00000000-0005-0000-0000-000021970000}"/>
    <cellStyle name="Separador de milhares 3 7 3 4 5 2" xfId="43963" xr:uid="{00000000-0005-0000-0000-000022970000}"/>
    <cellStyle name="Separador de milhares 3 7 3 4 6" xfId="11439" xr:uid="{00000000-0005-0000-0000-000023970000}"/>
    <cellStyle name="Separador de milhares 3 7 3 4 6 2" xfId="37632" xr:uid="{00000000-0005-0000-0000-000024970000}"/>
    <cellStyle name="Separador de milhares 3 7 3 4 7" xfId="29550" xr:uid="{00000000-0005-0000-0000-000025970000}"/>
    <cellStyle name="Separador de milhares 3 7 3 5" xfId="1594" xr:uid="{00000000-0005-0000-0000-000026970000}"/>
    <cellStyle name="Separador de milhares 3 7 3 5 2" xfId="6870" xr:uid="{00000000-0005-0000-0000-000027970000}"/>
    <cellStyle name="Separador de milhares 3 7 3 5 2 2" xfId="10017" xr:uid="{00000000-0005-0000-0000-000028970000}"/>
    <cellStyle name="Separador de milhares 3 7 3 5 2 2 2" xfId="28231" xr:uid="{00000000-0005-0000-0000-000029970000}"/>
    <cellStyle name="Separador de milhares 3 7 3 5 2 2 2 2" xfId="54412" xr:uid="{00000000-0005-0000-0000-00002A970000}"/>
    <cellStyle name="Separador de milhares 3 7 3 5 2 2 3" xfId="22317" xr:uid="{00000000-0005-0000-0000-00002B970000}"/>
    <cellStyle name="Separador de milhares 3 7 3 5 2 2 3 2" xfId="48504" xr:uid="{00000000-0005-0000-0000-00002C970000}"/>
    <cellStyle name="Separador de milhares 3 7 3 5 2 2 4" xfId="16403" xr:uid="{00000000-0005-0000-0000-00002D970000}"/>
    <cellStyle name="Separador de milhares 3 7 3 5 2 2 4 2" xfId="42596" xr:uid="{00000000-0005-0000-0000-00002E970000}"/>
    <cellStyle name="Separador de milhares 3 7 3 5 2 2 5" xfId="36210" xr:uid="{00000000-0005-0000-0000-00002F970000}"/>
    <cellStyle name="Separador de milhares 3 7 3 5 2 3" xfId="25274" xr:uid="{00000000-0005-0000-0000-000030970000}"/>
    <cellStyle name="Separador de milhares 3 7 3 5 2 3 2" xfId="51458" xr:uid="{00000000-0005-0000-0000-000031970000}"/>
    <cellStyle name="Separador de milhares 3 7 3 5 2 4" xfId="19360" xr:uid="{00000000-0005-0000-0000-000032970000}"/>
    <cellStyle name="Separador de milhares 3 7 3 5 2 4 2" xfId="45550" xr:uid="{00000000-0005-0000-0000-000033970000}"/>
    <cellStyle name="Separador de milhares 3 7 3 5 2 5" xfId="13259" xr:uid="{00000000-0005-0000-0000-000034970000}"/>
    <cellStyle name="Separador de milhares 3 7 3 5 2 5 2" xfId="39452" xr:uid="{00000000-0005-0000-0000-000035970000}"/>
    <cellStyle name="Separador de milhares 3 7 3 5 2 6" xfId="33066" xr:uid="{00000000-0005-0000-0000-000036970000}"/>
    <cellStyle name="Separador de milhares 3 7 3 5 3" xfId="8549" xr:uid="{00000000-0005-0000-0000-000037970000}"/>
    <cellStyle name="Separador de milhares 3 7 3 5 3 2" xfId="26763" xr:uid="{00000000-0005-0000-0000-000038970000}"/>
    <cellStyle name="Separador de milhares 3 7 3 5 3 2 2" xfId="52944" xr:uid="{00000000-0005-0000-0000-000039970000}"/>
    <cellStyle name="Separador de milhares 3 7 3 5 3 3" xfId="20849" xr:uid="{00000000-0005-0000-0000-00003A970000}"/>
    <cellStyle name="Separador de milhares 3 7 3 5 3 3 2" xfId="47036" xr:uid="{00000000-0005-0000-0000-00003B970000}"/>
    <cellStyle name="Separador de milhares 3 7 3 5 3 4" xfId="14935" xr:uid="{00000000-0005-0000-0000-00003C970000}"/>
    <cellStyle name="Separador de milhares 3 7 3 5 3 4 2" xfId="41128" xr:uid="{00000000-0005-0000-0000-00003D970000}"/>
    <cellStyle name="Separador de milhares 3 7 3 5 3 5" xfId="34742" xr:uid="{00000000-0005-0000-0000-00003E970000}"/>
    <cellStyle name="Separador de milhares 3 7 3 5 4" xfId="5171" xr:uid="{00000000-0005-0000-0000-00003F970000}"/>
    <cellStyle name="Separador de milhares 3 7 3 5 4 2" xfId="23806" xr:uid="{00000000-0005-0000-0000-000040970000}"/>
    <cellStyle name="Separador de milhares 3 7 3 5 4 2 2" xfId="49990" xr:uid="{00000000-0005-0000-0000-000041970000}"/>
    <cellStyle name="Separador de milhares 3 7 3 5 4 3" xfId="31367" xr:uid="{00000000-0005-0000-0000-000042970000}"/>
    <cellStyle name="Separador de milhares 3 7 3 5 5" xfId="17892" xr:uid="{00000000-0005-0000-0000-000043970000}"/>
    <cellStyle name="Separador de milhares 3 7 3 5 5 2" xfId="44082" xr:uid="{00000000-0005-0000-0000-000044970000}"/>
    <cellStyle name="Separador de milhares 3 7 3 5 6" xfId="11558" xr:uid="{00000000-0005-0000-0000-000045970000}"/>
    <cellStyle name="Separador de milhares 3 7 3 5 6 2" xfId="37751" xr:uid="{00000000-0005-0000-0000-000046970000}"/>
    <cellStyle name="Separador de milhares 3 7 3 5 7" xfId="29669" xr:uid="{00000000-0005-0000-0000-000047970000}"/>
    <cellStyle name="Separador de milhares 3 7 3 6" xfId="2124" xr:uid="{00000000-0005-0000-0000-000048970000}"/>
    <cellStyle name="Separador de milhares 3 7 3 6 2" xfId="7020" xr:uid="{00000000-0005-0000-0000-000049970000}"/>
    <cellStyle name="Separador de milhares 3 7 3 6 2 2" xfId="10164" xr:uid="{00000000-0005-0000-0000-00004A970000}"/>
    <cellStyle name="Separador de milhares 3 7 3 6 2 2 2" xfId="28378" xr:uid="{00000000-0005-0000-0000-00004B970000}"/>
    <cellStyle name="Separador de milhares 3 7 3 6 2 2 2 2" xfId="54559" xr:uid="{00000000-0005-0000-0000-00004C970000}"/>
    <cellStyle name="Separador de milhares 3 7 3 6 2 2 3" xfId="22464" xr:uid="{00000000-0005-0000-0000-00004D970000}"/>
    <cellStyle name="Separador de milhares 3 7 3 6 2 2 3 2" xfId="48651" xr:uid="{00000000-0005-0000-0000-00004E970000}"/>
    <cellStyle name="Separador de milhares 3 7 3 6 2 2 4" xfId="16550" xr:uid="{00000000-0005-0000-0000-00004F970000}"/>
    <cellStyle name="Separador de milhares 3 7 3 6 2 2 4 2" xfId="42743" xr:uid="{00000000-0005-0000-0000-000050970000}"/>
    <cellStyle name="Separador de milhares 3 7 3 6 2 2 5" xfId="36357" xr:uid="{00000000-0005-0000-0000-000051970000}"/>
    <cellStyle name="Separador de milhares 3 7 3 6 2 3" xfId="25421" xr:uid="{00000000-0005-0000-0000-000052970000}"/>
    <cellStyle name="Separador de milhares 3 7 3 6 2 3 2" xfId="51605" xr:uid="{00000000-0005-0000-0000-000053970000}"/>
    <cellStyle name="Separador de milhares 3 7 3 6 2 4" xfId="19507" xr:uid="{00000000-0005-0000-0000-000054970000}"/>
    <cellStyle name="Separador de milhares 3 7 3 6 2 4 2" xfId="45697" xr:uid="{00000000-0005-0000-0000-000055970000}"/>
    <cellStyle name="Separador de milhares 3 7 3 6 2 5" xfId="13409" xr:uid="{00000000-0005-0000-0000-000056970000}"/>
    <cellStyle name="Separador de milhares 3 7 3 6 2 5 2" xfId="39602" xr:uid="{00000000-0005-0000-0000-000057970000}"/>
    <cellStyle name="Separador de milhares 3 7 3 6 2 6" xfId="33216" xr:uid="{00000000-0005-0000-0000-000058970000}"/>
    <cellStyle name="Separador de milhares 3 7 3 6 3" xfId="8696" xr:uid="{00000000-0005-0000-0000-000059970000}"/>
    <cellStyle name="Separador de milhares 3 7 3 6 3 2" xfId="26910" xr:uid="{00000000-0005-0000-0000-00005A970000}"/>
    <cellStyle name="Separador de milhares 3 7 3 6 3 2 2" xfId="53091" xr:uid="{00000000-0005-0000-0000-00005B970000}"/>
    <cellStyle name="Separador de milhares 3 7 3 6 3 3" xfId="20996" xr:uid="{00000000-0005-0000-0000-00005C970000}"/>
    <cellStyle name="Separador de milhares 3 7 3 6 3 3 2" xfId="47183" xr:uid="{00000000-0005-0000-0000-00005D970000}"/>
    <cellStyle name="Separador de milhares 3 7 3 6 3 4" xfId="15082" xr:uid="{00000000-0005-0000-0000-00005E970000}"/>
    <cellStyle name="Separador de milhares 3 7 3 6 3 4 2" xfId="41275" xr:uid="{00000000-0005-0000-0000-00005F970000}"/>
    <cellStyle name="Separador de milhares 3 7 3 6 3 5" xfId="34889" xr:uid="{00000000-0005-0000-0000-000060970000}"/>
    <cellStyle name="Separador de milhares 3 7 3 6 4" xfId="5321" xr:uid="{00000000-0005-0000-0000-000061970000}"/>
    <cellStyle name="Separador de milhares 3 7 3 6 4 2" xfId="23953" xr:uid="{00000000-0005-0000-0000-000062970000}"/>
    <cellStyle name="Separador de milhares 3 7 3 6 4 2 2" xfId="50137" xr:uid="{00000000-0005-0000-0000-000063970000}"/>
    <cellStyle name="Separador de milhares 3 7 3 6 4 3" xfId="31517" xr:uid="{00000000-0005-0000-0000-000064970000}"/>
    <cellStyle name="Separador de milhares 3 7 3 6 5" xfId="18039" xr:uid="{00000000-0005-0000-0000-000065970000}"/>
    <cellStyle name="Separador de milhares 3 7 3 6 5 2" xfId="44229" xr:uid="{00000000-0005-0000-0000-000066970000}"/>
    <cellStyle name="Separador de milhares 3 7 3 6 6" xfId="11708" xr:uid="{00000000-0005-0000-0000-000067970000}"/>
    <cellStyle name="Separador de milhares 3 7 3 6 6 2" xfId="37901" xr:uid="{00000000-0005-0000-0000-000068970000}"/>
    <cellStyle name="Separador de milhares 3 7 3 6 7" xfId="29819" xr:uid="{00000000-0005-0000-0000-000069970000}"/>
    <cellStyle name="Separador de milhares 3 7 3 7" xfId="2651" xr:uid="{00000000-0005-0000-0000-00006A970000}"/>
    <cellStyle name="Separador de milhares 3 7 3 7 2" xfId="7167" xr:uid="{00000000-0005-0000-0000-00006B970000}"/>
    <cellStyle name="Separador de milhares 3 7 3 7 2 2" xfId="10311" xr:uid="{00000000-0005-0000-0000-00006C970000}"/>
    <cellStyle name="Separador de milhares 3 7 3 7 2 2 2" xfId="28525" xr:uid="{00000000-0005-0000-0000-00006D970000}"/>
    <cellStyle name="Separador de milhares 3 7 3 7 2 2 2 2" xfId="54706" xr:uid="{00000000-0005-0000-0000-00006E970000}"/>
    <cellStyle name="Separador de milhares 3 7 3 7 2 2 3" xfId="22611" xr:uid="{00000000-0005-0000-0000-00006F970000}"/>
    <cellStyle name="Separador de milhares 3 7 3 7 2 2 3 2" xfId="48798" xr:uid="{00000000-0005-0000-0000-000070970000}"/>
    <cellStyle name="Separador de milhares 3 7 3 7 2 2 4" xfId="16697" xr:uid="{00000000-0005-0000-0000-000071970000}"/>
    <cellStyle name="Separador de milhares 3 7 3 7 2 2 4 2" xfId="42890" xr:uid="{00000000-0005-0000-0000-000072970000}"/>
    <cellStyle name="Separador de milhares 3 7 3 7 2 2 5" xfId="36504" xr:uid="{00000000-0005-0000-0000-000073970000}"/>
    <cellStyle name="Separador de milhares 3 7 3 7 2 3" xfId="25568" xr:uid="{00000000-0005-0000-0000-000074970000}"/>
    <cellStyle name="Separador de milhares 3 7 3 7 2 3 2" xfId="51752" xr:uid="{00000000-0005-0000-0000-000075970000}"/>
    <cellStyle name="Separador de milhares 3 7 3 7 2 4" xfId="19654" xr:uid="{00000000-0005-0000-0000-000076970000}"/>
    <cellStyle name="Separador de milhares 3 7 3 7 2 4 2" xfId="45844" xr:uid="{00000000-0005-0000-0000-000077970000}"/>
    <cellStyle name="Separador de milhares 3 7 3 7 2 5" xfId="13556" xr:uid="{00000000-0005-0000-0000-000078970000}"/>
    <cellStyle name="Separador de milhares 3 7 3 7 2 5 2" xfId="39749" xr:uid="{00000000-0005-0000-0000-000079970000}"/>
    <cellStyle name="Separador de milhares 3 7 3 7 2 6" xfId="33363" xr:uid="{00000000-0005-0000-0000-00007A970000}"/>
    <cellStyle name="Separador de milhares 3 7 3 7 3" xfId="8843" xr:uid="{00000000-0005-0000-0000-00007B970000}"/>
    <cellStyle name="Separador de milhares 3 7 3 7 3 2" xfId="27057" xr:uid="{00000000-0005-0000-0000-00007C970000}"/>
    <cellStyle name="Separador de milhares 3 7 3 7 3 2 2" xfId="53238" xr:uid="{00000000-0005-0000-0000-00007D970000}"/>
    <cellStyle name="Separador de milhares 3 7 3 7 3 3" xfId="21143" xr:uid="{00000000-0005-0000-0000-00007E970000}"/>
    <cellStyle name="Separador de milhares 3 7 3 7 3 3 2" xfId="47330" xr:uid="{00000000-0005-0000-0000-00007F970000}"/>
    <cellStyle name="Separador de milhares 3 7 3 7 3 4" xfId="15229" xr:uid="{00000000-0005-0000-0000-000080970000}"/>
    <cellStyle name="Separador de milhares 3 7 3 7 3 4 2" xfId="41422" xr:uid="{00000000-0005-0000-0000-000081970000}"/>
    <cellStyle name="Separador de milhares 3 7 3 7 3 5" xfId="35036" xr:uid="{00000000-0005-0000-0000-000082970000}"/>
    <cellStyle name="Separador de milhares 3 7 3 7 4" xfId="5468" xr:uid="{00000000-0005-0000-0000-000083970000}"/>
    <cellStyle name="Separador de milhares 3 7 3 7 4 2" xfId="24100" xr:uid="{00000000-0005-0000-0000-000084970000}"/>
    <cellStyle name="Separador de milhares 3 7 3 7 4 2 2" xfId="50284" xr:uid="{00000000-0005-0000-0000-000085970000}"/>
    <cellStyle name="Separador de milhares 3 7 3 7 4 3" xfId="31664" xr:uid="{00000000-0005-0000-0000-000086970000}"/>
    <cellStyle name="Separador de milhares 3 7 3 7 5" xfId="18186" xr:uid="{00000000-0005-0000-0000-000087970000}"/>
    <cellStyle name="Separador de milhares 3 7 3 7 5 2" xfId="44376" xr:uid="{00000000-0005-0000-0000-000088970000}"/>
    <cellStyle name="Separador de milhares 3 7 3 7 6" xfId="11855" xr:uid="{00000000-0005-0000-0000-000089970000}"/>
    <cellStyle name="Separador de milhares 3 7 3 7 6 2" xfId="38048" xr:uid="{00000000-0005-0000-0000-00008A970000}"/>
    <cellStyle name="Separador de milhares 3 7 3 7 7" xfId="29966" xr:uid="{00000000-0005-0000-0000-00008B970000}"/>
    <cellStyle name="Separador de milhares 3 7 3 8" xfId="3178" xr:uid="{00000000-0005-0000-0000-00008C970000}"/>
    <cellStyle name="Separador de milhares 3 7 3 8 2" xfId="7314" xr:uid="{00000000-0005-0000-0000-00008D970000}"/>
    <cellStyle name="Separador de milhares 3 7 3 8 2 2" xfId="10458" xr:uid="{00000000-0005-0000-0000-00008E970000}"/>
    <cellStyle name="Separador de milhares 3 7 3 8 2 2 2" xfId="28672" xr:uid="{00000000-0005-0000-0000-00008F970000}"/>
    <cellStyle name="Separador de milhares 3 7 3 8 2 2 2 2" xfId="54853" xr:uid="{00000000-0005-0000-0000-000090970000}"/>
    <cellStyle name="Separador de milhares 3 7 3 8 2 2 3" xfId="22758" xr:uid="{00000000-0005-0000-0000-000091970000}"/>
    <cellStyle name="Separador de milhares 3 7 3 8 2 2 3 2" xfId="48945" xr:uid="{00000000-0005-0000-0000-000092970000}"/>
    <cellStyle name="Separador de milhares 3 7 3 8 2 2 4" xfId="16844" xr:uid="{00000000-0005-0000-0000-000093970000}"/>
    <cellStyle name="Separador de milhares 3 7 3 8 2 2 4 2" xfId="43037" xr:uid="{00000000-0005-0000-0000-000094970000}"/>
    <cellStyle name="Separador de milhares 3 7 3 8 2 2 5" xfId="36651" xr:uid="{00000000-0005-0000-0000-000095970000}"/>
    <cellStyle name="Separador de milhares 3 7 3 8 2 3" xfId="25715" xr:uid="{00000000-0005-0000-0000-000096970000}"/>
    <cellStyle name="Separador de milhares 3 7 3 8 2 3 2" xfId="51899" xr:uid="{00000000-0005-0000-0000-000097970000}"/>
    <cellStyle name="Separador de milhares 3 7 3 8 2 4" xfId="19801" xr:uid="{00000000-0005-0000-0000-000098970000}"/>
    <cellStyle name="Separador de milhares 3 7 3 8 2 4 2" xfId="45991" xr:uid="{00000000-0005-0000-0000-000099970000}"/>
    <cellStyle name="Separador de milhares 3 7 3 8 2 5" xfId="13703" xr:uid="{00000000-0005-0000-0000-00009A970000}"/>
    <cellStyle name="Separador de milhares 3 7 3 8 2 5 2" xfId="39896" xr:uid="{00000000-0005-0000-0000-00009B970000}"/>
    <cellStyle name="Separador de milhares 3 7 3 8 2 6" xfId="33510" xr:uid="{00000000-0005-0000-0000-00009C970000}"/>
    <cellStyle name="Separador de milhares 3 7 3 8 3" xfId="8990" xr:uid="{00000000-0005-0000-0000-00009D970000}"/>
    <cellStyle name="Separador de milhares 3 7 3 8 3 2" xfId="27204" xr:uid="{00000000-0005-0000-0000-00009E970000}"/>
    <cellStyle name="Separador de milhares 3 7 3 8 3 2 2" xfId="53385" xr:uid="{00000000-0005-0000-0000-00009F970000}"/>
    <cellStyle name="Separador de milhares 3 7 3 8 3 3" xfId="21290" xr:uid="{00000000-0005-0000-0000-0000A0970000}"/>
    <cellStyle name="Separador de milhares 3 7 3 8 3 3 2" xfId="47477" xr:uid="{00000000-0005-0000-0000-0000A1970000}"/>
    <cellStyle name="Separador de milhares 3 7 3 8 3 4" xfId="15376" xr:uid="{00000000-0005-0000-0000-0000A2970000}"/>
    <cellStyle name="Separador de milhares 3 7 3 8 3 4 2" xfId="41569" xr:uid="{00000000-0005-0000-0000-0000A3970000}"/>
    <cellStyle name="Separador de milhares 3 7 3 8 3 5" xfId="35183" xr:uid="{00000000-0005-0000-0000-0000A4970000}"/>
    <cellStyle name="Separador de milhares 3 7 3 8 4" xfId="5615" xr:uid="{00000000-0005-0000-0000-0000A5970000}"/>
    <cellStyle name="Separador de milhares 3 7 3 8 4 2" xfId="24247" xr:uid="{00000000-0005-0000-0000-0000A6970000}"/>
    <cellStyle name="Separador de milhares 3 7 3 8 4 2 2" xfId="50431" xr:uid="{00000000-0005-0000-0000-0000A7970000}"/>
    <cellStyle name="Separador de milhares 3 7 3 8 4 3" xfId="31811" xr:uid="{00000000-0005-0000-0000-0000A8970000}"/>
    <cellStyle name="Separador de milhares 3 7 3 8 5" xfId="18333" xr:uid="{00000000-0005-0000-0000-0000A9970000}"/>
    <cellStyle name="Separador de milhares 3 7 3 8 5 2" xfId="44523" xr:uid="{00000000-0005-0000-0000-0000AA970000}"/>
    <cellStyle name="Separador de milhares 3 7 3 8 6" xfId="12002" xr:uid="{00000000-0005-0000-0000-0000AB970000}"/>
    <cellStyle name="Separador de milhares 3 7 3 8 6 2" xfId="38195" xr:uid="{00000000-0005-0000-0000-0000AC970000}"/>
    <cellStyle name="Separador de milhares 3 7 3 8 7" xfId="30113" xr:uid="{00000000-0005-0000-0000-0000AD970000}"/>
    <cellStyle name="Separador de milhares 3 7 3 9" xfId="3705" xr:uid="{00000000-0005-0000-0000-0000AE970000}"/>
    <cellStyle name="Separador de milhares 3 7 3 9 2" xfId="7461" xr:uid="{00000000-0005-0000-0000-0000AF970000}"/>
    <cellStyle name="Separador de milhares 3 7 3 9 2 2" xfId="10605" xr:uid="{00000000-0005-0000-0000-0000B0970000}"/>
    <cellStyle name="Separador de milhares 3 7 3 9 2 2 2" xfId="28819" xr:uid="{00000000-0005-0000-0000-0000B1970000}"/>
    <cellStyle name="Separador de milhares 3 7 3 9 2 2 2 2" xfId="55000" xr:uid="{00000000-0005-0000-0000-0000B2970000}"/>
    <cellStyle name="Separador de milhares 3 7 3 9 2 2 3" xfId="22905" xr:uid="{00000000-0005-0000-0000-0000B3970000}"/>
    <cellStyle name="Separador de milhares 3 7 3 9 2 2 3 2" xfId="49092" xr:uid="{00000000-0005-0000-0000-0000B4970000}"/>
    <cellStyle name="Separador de milhares 3 7 3 9 2 2 4" xfId="16991" xr:uid="{00000000-0005-0000-0000-0000B5970000}"/>
    <cellStyle name="Separador de milhares 3 7 3 9 2 2 4 2" xfId="43184" xr:uid="{00000000-0005-0000-0000-0000B6970000}"/>
    <cellStyle name="Separador de milhares 3 7 3 9 2 2 5" xfId="36798" xr:uid="{00000000-0005-0000-0000-0000B7970000}"/>
    <cellStyle name="Separador de milhares 3 7 3 9 2 3" xfId="25862" xr:uid="{00000000-0005-0000-0000-0000B8970000}"/>
    <cellStyle name="Separador de milhares 3 7 3 9 2 3 2" xfId="52046" xr:uid="{00000000-0005-0000-0000-0000B9970000}"/>
    <cellStyle name="Separador de milhares 3 7 3 9 2 4" xfId="19948" xr:uid="{00000000-0005-0000-0000-0000BA970000}"/>
    <cellStyle name="Separador de milhares 3 7 3 9 2 4 2" xfId="46138" xr:uid="{00000000-0005-0000-0000-0000BB970000}"/>
    <cellStyle name="Separador de milhares 3 7 3 9 2 5" xfId="13850" xr:uid="{00000000-0005-0000-0000-0000BC970000}"/>
    <cellStyle name="Separador de milhares 3 7 3 9 2 5 2" xfId="40043" xr:uid="{00000000-0005-0000-0000-0000BD970000}"/>
    <cellStyle name="Separador de milhares 3 7 3 9 2 6" xfId="33657" xr:uid="{00000000-0005-0000-0000-0000BE970000}"/>
    <cellStyle name="Separador de milhares 3 7 3 9 3" xfId="9137" xr:uid="{00000000-0005-0000-0000-0000BF970000}"/>
    <cellStyle name="Separador de milhares 3 7 3 9 3 2" xfId="27351" xr:uid="{00000000-0005-0000-0000-0000C0970000}"/>
    <cellStyle name="Separador de milhares 3 7 3 9 3 2 2" xfId="53532" xr:uid="{00000000-0005-0000-0000-0000C1970000}"/>
    <cellStyle name="Separador de milhares 3 7 3 9 3 3" xfId="21437" xr:uid="{00000000-0005-0000-0000-0000C2970000}"/>
    <cellStyle name="Separador de milhares 3 7 3 9 3 3 2" xfId="47624" xr:uid="{00000000-0005-0000-0000-0000C3970000}"/>
    <cellStyle name="Separador de milhares 3 7 3 9 3 4" xfId="15523" xr:uid="{00000000-0005-0000-0000-0000C4970000}"/>
    <cellStyle name="Separador de milhares 3 7 3 9 3 4 2" xfId="41716" xr:uid="{00000000-0005-0000-0000-0000C5970000}"/>
    <cellStyle name="Separador de milhares 3 7 3 9 3 5" xfId="35330" xr:uid="{00000000-0005-0000-0000-0000C6970000}"/>
    <cellStyle name="Separador de milhares 3 7 3 9 4" xfId="5762" xr:uid="{00000000-0005-0000-0000-0000C7970000}"/>
    <cellStyle name="Separador de milhares 3 7 3 9 4 2" xfId="24394" xr:uid="{00000000-0005-0000-0000-0000C8970000}"/>
    <cellStyle name="Separador de milhares 3 7 3 9 4 2 2" xfId="50578" xr:uid="{00000000-0005-0000-0000-0000C9970000}"/>
    <cellStyle name="Separador de milhares 3 7 3 9 4 3" xfId="31958" xr:uid="{00000000-0005-0000-0000-0000CA970000}"/>
    <cellStyle name="Separador de milhares 3 7 3 9 5" xfId="18480" xr:uid="{00000000-0005-0000-0000-0000CB970000}"/>
    <cellStyle name="Separador de milhares 3 7 3 9 5 2" xfId="44670" xr:uid="{00000000-0005-0000-0000-0000CC970000}"/>
    <cellStyle name="Separador de milhares 3 7 3 9 6" xfId="12149" xr:uid="{00000000-0005-0000-0000-0000CD970000}"/>
    <cellStyle name="Separador de milhares 3 7 3 9 6 2" xfId="38342" xr:uid="{00000000-0005-0000-0000-0000CE970000}"/>
    <cellStyle name="Separador de milhares 3 7 3 9 7" xfId="30260" xr:uid="{00000000-0005-0000-0000-0000CF970000}"/>
    <cellStyle name="Separador de milhares 3 7 4" xfId="341" xr:uid="{00000000-0005-0000-0000-0000D0970000}"/>
    <cellStyle name="Separador de milhares 3 7 4 10" xfId="6508" xr:uid="{00000000-0005-0000-0000-0000D1970000}"/>
    <cellStyle name="Separador de milhares 3 7 4 10 2" xfId="9656" xr:uid="{00000000-0005-0000-0000-0000D2970000}"/>
    <cellStyle name="Separador de milhares 3 7 4 10 2 2" xfId="27870" xr:uid="{00000000-0005-0000-0000-0000D3970000}"/>
    <cellStyle name="Separador de milhares 3 7 4 10 2 2 2" xfId="54051" xr:uid="{00000000-0005-0000-0000-0000D4970000}"/>
    <cellStyle name="Separador de milhares 3 7 4 10 2 3" xfId="21956" xr:uid="{00000000-0005-0000-0000-0000D5970000}"/>
    <cellStyle name="Separador de milhares 3 7 4 10 2 3 2" xfId="48143" xr:uid="{00000000-0005-0000-0000-0000D6970000}"/>
    <cellStyle name="Separador de milhares 3 7 4 10 2 4" xfId="16042" xr:uid="{00000000-0005-0000-0000-0000D7970000}"/>
    <cellStyle name="Separador de milhares 3 7 4 10 2 4 2" xfId="42235" xr:uid="{00000000-0005-0000-0000-0000D8970000}"/>
    <cellStyle name="Separador de milhares 3 7 4 10 2 5" xfId="35849" xr:uid="{00000000-0005-0000-0000-0000D9970000}"/>
    <cellStyle name="Separador de milhares 3 7 4 10 3" xfId="24913" xr:uid="{00000000-0005-0000-0000-0000DA970000}"/>
    <cellStyle name="Separador de milhares 3 7 4 10 3 2" xfId="51097" xr:uid="{00000000-0005-0000-0000-0000DB970000}"/>
    <cellStyle name="Separador de milhares 3 7 4 10 4" xfId="18999" xr:uid="{00000000-0005-0000-0000-0000DC970000}"/>
    <cellStyle name="Separador de milhares 3 7 4 10 4 2" xfId="45189" xr:uid="{00000000-0005-0000-0000-0000DD970000}"/>
    <cellStyle name="Separador de milhares 3 7 4 10 5" xfId="12897" xr:uid="{00000000-0005-0000-0000-0000DE970000}"/>
    <cellStyle name="Separador de milhares 3 7 4 10 5 2" xfId="39090" xr:uid="{00000000-0005-0000-0000-0000DF970000}"/>
    <cellStyle name="Separador de milhares 3 7 4 10 6" xfId="32704" xr:uid="{00000000-0005-0000-0000-0000E0970000}"/>
    <cellStyle name="Separador de milhares 3 7 4 11" xfId="8185" xr:uid="{00000000-0005-0000-0000-0000E1970000}"/>
    <cellStyle name="Separador de milhares 3 7 4 11 2" xfId="26399" xr:uid="{00000000-0005-0000-0000-0000E2970000}"/>
    <cellStyle name="Separador de milhares 3 7 4 11 2 2" xfId="52583" xr:uid="{00000000-0005-0000-0000-0000E3970000}"/>
    <cellStyle name="Separador de milhares 3 7 4 11 3" xfId="20485" xr:uid="{00000000-0005-0000-0000-0000E4970000}"/>
    <cellStyle name="Separador de milhares 3 7 4 11 3 2" xfId="46675" xr:uid="{00000000-0005-0000-0000-0000E5970000}"/>
    <cellStyle name="Separador de milhares 3 7 4 11 4" xfId="14574" xr:uid="{00000000-0005-0000-0000-0000E6970000}"/>
    <cellStyle name="Separador de milhares 3 7 4 11 4 2" xfId="40767" xr:uid="{00000000-0005-0000-0000-0000E7970000}"/>
    <cellStyle name="Separador de milhares 3 7 4 11 5" xfId="34381" xr:uid="{00000000-0005-0000-0000-0000E8970000}"/>
    <cellStyle name="Separador de milhares 3 7 4 12" xfId="4807" xr:uid="{00000000-0005-0000-0000-0000E9970000}"/>
    <cellStyle name="Separador de milhares 3 7 4 12 2" xfId="23442" xr:uid="{00000000-0005-0000-0000-0000EA970000}"/>
    <cellStyle name="Separador de milhares 3 7 4 12 2 2" xfId="49629" xr:uid="{00000000-0005-0000-0000-0000EB970000}"/>
    <cellStyle name="Separador de milhares 3 7 4 12 3" xfId="31005" xr:uid="{00000000-0005-0000-0000-0000EC970000}"/>
    <cellStyle name="Separador de milhares 3 7 4 13" xfId="17528" xr:uid="{00000000-0005-0000-0000-0000ED970000}"/>
    <cellStyle name="Separador de milhares 3 7 4 13 2" xfId="43721" xr:uid="{00000000-0005-0000-0000-0000EE970000}"/>
    <cellStyle name="Separador de milhares 3 7 4 14" xfId="11196" xr:uid="{00000000-0005-0000-0000-0000EF970000}"/>
    <cellStyle name="Separador de milhares 3 7 4 14 2" xfId="37389" xr:uid="{00000000-0005-0000-0000-0000F0970000}"/>
    <cellStyle name="Separador de milhares 3 7 4 15" xfId="29307" xr:uid="{00000000-0005-0000-0000-0000F1970000}"/>
    <cellStyle name="Separador de milhares 3 7 4 2" xfId="986" xr:uid="{00000000-0005-0000-0000-0000F2970000}"/>
    <cellStyle name="Separador de milhares 3 7 4 2 2" xfId="6705" xr:uid="{00000000-0005-0000-0000-0000F3970000}"/>
    <cellStyle name="Separador de milhares 3 7 4 2 2 2" xfId="9852" xr:uid="{00000000-0005-0000-0000-0000F4970000}"/>
    <cellStyle name="Separador de milhares 3 7 4 2 2 2 2" xfId="28066" xr:uid="{00000000-0005-0000-0000-0000F5970000}"/>
    <cellStyle name="Separador de milhares 3 7 4 2 2 2 2 2" xfId="54247" xr:uid="{00000000-0005-0000-0000-0000F6970000}"/>
    <cellStyle name="Separador de milhares 3 7 4 2 2 2 3" xfId="22152" xr:uid="{00000000-0005-0000-0000-0000F7970000}"/>
    <cellStyle name="Separador de milhares 3 7 4 2 2 2 3 2" xfId="48339" xr:uid="{00000000-0005-0000-0000-0000F8970000}"/>
    <cellStyle name="Separador de milhares 3 7 4 2 2 2 4" xfId="16238" xr:uid="{00000000-0005-0000-0000-0000F9970000}"/>
    <cellStyle name="Separador de milhares 3 7 4 2 2 2 4 2" xfId="42431" xr:uid="{00000000-0005-0000-0000-0000FA970000}"/>
    <cellStyle name="Separador de milhares 3 7 4 2 2 2 5" xfId="36045" xr:uid="{00000000-0005-0000-0000-0000FB970000}"/>
    <cellStyle name="Separador de milhares 3 7 4 2 2 3" xfId="25109" xr:uid="{00000000-0005-0000-0000-0000FC970000}"/>
    <cellStyle name="Separador de milhares 3 7 4 2 2 3 2" xfId="51293" xr:uid="{00000000-0005-0000-0000-0000FD970000}"/>
    <cellStyle name="Separador de milhares 3 7 4 2 2 4" xfId="19195" xr:uid="{00000000-0005-0000-0000-0000FE970000}"/>
    <cellStyle name="Separador de milhares 3 7 4 2 2 4 2" xfId="45385" xr:uid="{00000000-0005-0000-0000-0000FF970000}"/>
    <cellStyle name="Separador de milhares 3 7 4 2 2 5" xfId="13094" xr:uid="{00000000-0005-0000-0000-000000980000}"/>
    <cellStyle name="Separador de milhares 3 7 4 2 2 5 2" xfId="39287" xr:uid="{00000000-0005-0000-0000-000001980000}"/>
    <cellStyle name="Separador de milhares 3 7 4 2 2 6" xfId="32901" xr:uid="{00000000-0005-0000-0000-000002980000}"/>
    <cellStyle name="Separador de milhares 3 7 4 2 3" xfId="8384" xr:uid="{00000000-0005-0000-0000-000003980000}"/>
    <cellStyle name="Separador de milhares 3 7 4 2 3 2" xfId="26598" xr:uid="{00000000-0005-0000-0000-000004980000}"/>
    <cellStyle name="Separador de milhares 3 7 4 2 3 2 2" xfId="52779" xr:uid="{00000000-0005-0000-0000-000005980000}"/>
    <cellStyle name="Separador de milhares 3 7 4 2 3 3" xfId="20684" xr:uid="{00000000-0005-0000-0000-000006980000}"/>
    <cellStyle name="Separador de milhares 3 7 4 2 3 3 2" xfId="46871" xr:uid="{00000000-0005-0000-0000-000007980000}"/>
    <cellStyle name="Separador de milhares 3 7 4 2 3 4" xfId="14770" xr:uid="{00000000-0005-0000-0000-000008980000}"/>
    <cellStyle name="Separador de milhares 3 7 4 2 3 4 2" xfId="40963" xr:uid="{00000000-0005-0000-0000-000009980000}"/>
    <cellStyle name="Separador de milhares 3 7 4 2 3 5" xfId="34577" xr:uid="{00000000-0005-0000-0000-00000A980000}"/>
    <cellStyle name="Separador de milhares 3 7 4 2 4" xfId="5006" xr:uid="{00000000-0005-0000-0000-00000B980000}"/>
    <cellStyle name="Separador de milhares 3 7 4 2 4 2" xfId="23641" xr:uid="{00000000-0005-0000-0000-00000C980000}"/>
    <cellStyle name="Separador de milhares 3 7 4 2 4 2 2" xfId="49825" xr:uid="{00000000-0005-0000-0000-00000D980000}"/>
    <cellStyle name="Separador de milhares 3 7 4 2 4 3" xfId="31202" xr:uid="{00000000-0005-0000-0000-00000E980000}"/>
    <cellStyle name="Separador de milhares 3 7 4 2 5" xfId="17727" xr:uid="{00000000-0005-0000-0000-00000F980000}"/>
    <cellStyle name="Separador de milhares 3 7 4 2 5 2" xfId="43917" xr:uid="{00000000-0005-0000-0000-000010980000}"/>
    <cellStyle name="Separador de milhares 3 7 4 2 6" xfId="11393" xr:uid="{00000000-0005-0000-0000-000011980000}"/>
    <cellStyle name="Separador de milhares 3 7 4 2 6 2" xfId="37586" xr:uid="{00000000-0005-0000-0000-000012980000}"/>
    <cellStyle name="Separador de milhares 3 7 4 2 7" xfId="29504" xr:uid="{00000000-0005-0000-0000-000013980000}"/>
    <cellStyle name="Separador de milhares 3 7 4 3" xfId="1337" xr:uid="{00000000-0005-0000-0000-000014980000}"/>
    <cellStyle name="Separador de milhares 3 7 4 3 2" xfId="6803" xr:uid="{00000000-0005-0000-0000-000015980000}"/>
    <cellStyle name="Separador de milhares 3 7 4 3 2 2" xfId="9950" xr:uid="{00000000-0005-0000-0000-000016980000}"/>
    <cellStyle name="Separador de milhares 3 7 4 3 2 2 2" xfId="28164" xr:uid="{00000000-0005-0000-0000-000017980000}"/>
    <cellStyle name="Separador de milhares 3 7 4 3 2 2 2 2" xfId="54345" xr:uid="{00000000-0005-0000-0000-000018980000}"/>
    <cellStyle name="Separador de milhares 3 7 4 3 2 2 3" xfId="22250" xr:uid="{00000000-0005-0000-0000-000019980000}"/>
    <cellStyle name="Separador de milhares 3 7 4 3 2 2 3 2" xfId="48437" xr:uid="{00000000-0005-0000-0000-00001A980000}"/>
    <cellStyle name="Separador de milhares 3 7 4 3 2 2 4" xfId="16336" xr:uid="{00000000-0005-0000-0000-00001B980000}"/>
    <cellStyle name="Separador de milhares 3 7 4 3 2 2 4 2" xfId="42529" xr:uid="{00000000-0005-0000-0000-00001C980000}"/>
    <cellStyle name="Separador de milhares 3 7 4 3 2 2 5" xfId="36143" xr:uid="{00000000-0005-0000-0000-00001D980000}"/>
    <cellStyle name="Separador de milhares 3 7 4 3 2 3" xfId="25207" xr:uid="{00000000-0005-0000-0000-00001E980000}"/>
    <cellStyle name="Separador de milhares 3 7 4 3 2 3 2" xfId="51391" xr:uid="{00000000-0005-0000-0000-00001F980000}"/>
    <cellStyle name="Separador de milhares 3 7 4 3 2 4" xfId="19293" xr:uid="{00000000-0005-0000-0000-000020980000}"/>
    <cellStyle name="Separador de milhares 3 7 4 3 2 4 2" xfId="45483" xr:uid="{00000000-0005-0000-0000-000021980000}"/>
    <cellStyle name="Separador de milhares 3 7 4 3 2 5" xfId="13192" xr:uid="{00000000-0005-0000-0000-000022980000}"/>
    <cellStyle name="Separador de milhares 3 7 4 3 2 5 2" xfId="39385" xr:uid="{00000000-0005-0000-0000-000023980000}"/>
    <cellStyle name="Separador de milhares 3 7 4 3 2 6" xfId="32999" xr:uid="{00000000-0005-0000-0000-000024980000}"/>
    <cellStyle name="Separador de milhares 3 7 4 3 3" xfId="8482" xr:uid="{00000000-0005-0000-0000-000025980000}"/>
    <cellStyle name="Separador de milhares 3 7 4 3 3 2" xfId="26696" xr:uid="{00000000-0005-0000-0000-000026980000}"/>
    <cellStyle name="Separador de milhares 3 7 4 3 3 2 2" xfId="52877" xr:uid="{00000000-0005-0000-0000-000027980000}"/>
    <cellStyle name="Separador de milhares 3 7 4 3 3 3" xfId="20782" xr:uid="{00000000-0005-0000-0000-000028980000}"/>
    <cellStyle name="Separador de milhares 3 7 4 3 3 3 2" xfId="46969" xr:uid="{00000000-0005-0000-0000-000029980000}"/>
    <cellStyle name="Separador de milhares 3 7 4 3 3 4" xfId="14868" xr:uid="{00000000-0005-0000-0000-00002A980000}"/>
    <cellStyle name="Separador de milhares 3 7 4 3 3 4 2" xfId="41061" xr:uid="{00000000-0005-0000-0000-00002B980000}"/>
    <cellStyle name="Separador de milhares 3 7 4 3 3 5" xfId="34675" xr:uid="{00000000-0005-0000-0000-00002C980000}"/>
    <cellStyle name="Separador de milhares 3 7 4 3 4" xfId="5104" xr:uid="{00000000-0005-0000-0000-00002D980000}"/>
    <cellStyle name="Separador de milhares 3 7 4 3 4 2" xfId="23739" xr:uid="{00000000-0005-0000-0000-00002E980000}"/>
    <cellStyle name="Separador de milhares 3 7 4 3 4 2 2" xfId="49923" xr:uid="{00000000-0005-0000-0000-00002F980000}"/>
    <cellStyle name="Separador de milhares 3 7 4 3 4 3" xfId="31300" xr:uid="{00000000-0005-0000-0000-000030980000}"/>
    <cellStyle name="Separador de milhares 3 7 4 3 5" xfId="17825" xr:uid="{00000000-0005-0000-0000-000031980000}"/>
    <cellStyle name="Separador de milhares 3 7 4 3 5 2" xfId="44015" xr:uid="{00000000-0005-0000-0000-000032980000}"/>
    <cellStyle name="Separador de milhares 3 7 4 3 6" xfId="11491" xr:uid="{00000000-0005-0000-0000-000033980000}"/>
    <cellStyle name="Separador de milhares 3 7 4 3 6 2" xfId="37684" xr:uid="{00000000-0005-0000-0000-000034980000}"/>
    <cellStyle name="Separador de milhares 3 7 4 3 7" xfId="29602" xr:uid="{00000000-0005-0000-0000-000035980000}"/>
    <cellStyle name="Separador de milhares 3 7 4 4" xfId="1772" xr:uid="{00000000-0005-0000-0000-000036980000}"/>
    <cellStyle name="Separador de milhares 3 7 4 4 2" xfId="6922" xr:uid="{00000000-0005-0000-0000-000037980000}"/>
    <cellStyle name="Separador de milhares 3 7 4 4 2 2" xfId="10069" xr:uid="{00000000-0005-0000-0000-000038980000}"/>
    <cellStyle name="Separador de milhares 3 7 4 4 2 2 2" xfId="28283" xr:uid="{00000000-0005-0000-0000-000039980000}"/>
    <cellStyle name="Separador de milhares 3 7 4 4 2 2 2 2" xfId="54464" xr:uid="{00000000-0005-0000-0000-00003A980000}"/>
    <cellStyle name="Separador de milhares 3 7 4 4 2 2 3" xfId="22369" xr:uid="{00000000-0005-0000-0000-00003B980000}"/>
    <cellStyle name="Separador de milhares 3 7 4 4 2 2 3 2" xfId="48556" xr:uid="{00000000-0005-0000-0000-00003C980000}"/>
    <cellStyle name="Separador de milhares 3 7 4 4 2 2 4" xfId="16455" xr:uid="{00000000-0005-0000-0000-00003D980000}"/>
    <cellStyle name="Separador de milhares 3 7 4 4 2 2 4 2" xfId="42648" xr:uid="{00000000-0005-0000-0000-00003E980000}"/>
    <cellStyle name="Separador de milhares 3 7 4 4 2 2 5" xfId="36262" xr:uid="{00000000-0005-0000-0000-00003F980000}"/>
    <cellStyle name="Separador de milhares 3 7 4 4 2 3" xfId="25326" xr:uid="{00000000-0005-0000-0000-000040980000}"/>
    <cellStyle name="Separador de milhares 3 7 4 4 2 3 2" xfId="51510" xr:uid="{00000000-0005-0000-0000-000041980000}"/>
    <cellStyle name="Separador de milhares 3 7 4 4 2 4" xfId="19412" xr:uid="{00000000-0005-0000-0000-000042980000}"/>
    <cellStyle name="Separador de milhares 3 7 4 4 2 4 2" xfId="45602" xr:uid="{00000000-0005-0000-0000-000043980000}"/>
    <cellStyle name="Separador de milhares 3 7 4 4 2 5" xfId="13311" xr:uid="{00000000-0005-0000-0000-000044980000}"/>
    <cellStyle name="Separador de milhares 3 7 4 4 2 5 2" xfId="39504" xr:uid="{00000000-0005-0000-0000-000045980000}"/>
    <cellStyle name="Separador de milhares 3 7 4 4 2 6" xfId="33118" xr:uid="{00000000-0005-0000-0000-000046980000}"/>
    <cellStyle name="Separador de milhares 3 7 4 4 3" xfId="8601" xr:uid="{00000000-0005-0000-0000-000047980000}"/>
    <cellStyle name="Separador de milhares 3 7 4 4 3 2" xfId="26815" xr:uid="{00000000-0005-0000-0000-000048980000}"/>
    <cellStyle name="Separador de milhares 3 7 4 4 3 2 2" xfId="52996" xr:uid="{00000000-0005-0000-0000-000049980000}"/>
    <cellStyle name="Separador de milhares 3 7 4 4 3 3" xfId="20901" xr:uid="{00000000-0005-0000-0000-00004A980000}"/>
    <cellStyle name="Separador de milhares 3 7 4 4 3 3 2" xfId="47088" xr:uid="{00000000-0005-0000-0000-00004B980000}"/>
    <cellStyle name="Separador de milhares 3 7 4 4 3 4" xfId="14987" xr:uid="{00000000-0005-0000-0000-00004C980000}"/>
    <cellStyle name="Separador de milhares 3 7 4 4 3 4 2" xfId="41180" xr:uid="{00000000-0005-0000-0000-00004D980000}"/>
    <cellStyle name="Separador de milhares 3 7 4 4 3 5" xfId="34794" xr:uid="{00000000-0005-0000-0000-00004E980000}"/>
    <cellStyle name="Separador de milhares 3 7 4 4 4" xfId="5223" xr:uid="{00000000-0005-0000-0000-00004F980000}"/>
    <cellStyle name="Separador de milhares 3 7 4 4 4 2" xfId="23858" xr:uid="{00000000-0005-0000-0000-000050980000}"/>
    <cellStyle name="Separador de milhares 3 7 4 4 4 2 2" xfId="50042" xr:uid="{00000000-0005-0000-0000-000051980000}"/>
    <cellStyle name="Separador de milhares 3 7 4 4 4 3" xfId="31419" xr:uid="{00000000-0005-0000-0000-000052980000}"/>
    <cellStyle name="Separador de milhares 3 7 4 4 5" xfId="17944" xr:uid="{00000000-0005-0000-0000-000053980000}"/>
    <cellStyle name="Separador de milhares 3 7 4 4 5 2" xfId="44134" xr:uid="{00000000-0005-0000-0000-000054980000}"/>
    <cellStyle name="Separador de milhares 3 7 4 4 6" xfId="11610" xr:uid="{00000000-0005-0000-0000-000055980000}"/>
    <cellStyle name="Separador de milhares 3 7 4 4 6 2" xfId="37803" xr:uid="{00000000-0005-0000-0000-000056980000}"/>
    <cellStyle name="Separador de milhares 3 7 4 4 7" xfId="29721" xr:uid="{00000000-0005-0000-0000-000057980000}"/>
    <cellStyle name="Separador de milhares 3 7 4 5" xfId="2302" xr:uid="{00000000-0005-0000-0000-000058980000}"/>
    <cellStyle name="Separador de milhares 3 7 4 5 2" xfId="7072" xr:uid="{00000000-0005-0000-0000-000059980000}"/>
    <cellStyle name="Separador de milhares 3 7 4 5 2 2" xfId="10216" xr:uid="{00000000-0005-0000-0000-00005A980000}"/>
    <cellStyle name="Separador de milhares 3 7 4 5 2 2 2" xfId="28430" xr:uid="{00000000-0005-0000-0000-00005B980000}"/>
    <cellStyle name="Separador de milhares 3 7 4 5 2 2 2 2" xfId="54611" xr:uid="{00000000-0005-0000-0000-00005C980000}"/>
    <cellStyle name="Separador de milhares 3 7 4 5 2 2 3" xfId="22516" xr:uid="{00000000-0005-0000-0000-00005D980000}"/>
    <cellStyle name="Separador de milhares 3 7 4 5 2 2 3 2" xfId="48703" xr:uid="{00000000-0005-0000-0000-00005E980000}"/>
    <cellStyle name="Separador de milhares 3 7 4 5 2 2 4" xfId="16602" xr:uid="{00000000-0005-0000-0000-00005F980000}"/>
    <cellStyle name="Separador de milhares 3 7 4 5 2 2 4 2" xfId="42795" xr:uid="{00000000-0005-0000-0000-000060980000}"/>
    <cellStyle name="Separador de milhares 3 7 4 5 2 2 5" xfId="36409" xr:uid="{00000000-0005-0000-0000-000061980000}"/>
    <cellStyle name="Separador de milhares 3 7 4 5 2 3" xfId="25473" xr:uid="{00000000-0005-0000-0000-000062980000}"/>
    <cellStyle name="Separador de milhares 3 7 4 5 2 3 2" xfId="51657" xr:uid="{00000000-0005-0000-0000-000063980000}"/>
    <cellStyle name="Separador de milhares 3 7 4 5 2 4" xfId="19559" xr:uid="{00000000-0005-0000-0000-000064980000}"/>
    <cellStyle name="Separador de milhares 3 7 4 5 2 4 2" xfId="45749" xr:uid="{00000000-0005-0000-0000-000065980000}"/>
    <cellStyle name="Separador de milhares 3 7 4 5 2 5" xfId="13461" xr:uid="{00000000-0005-0000-0000-000066980000}"/>
    <cellStyle name="Separador de milhares 3 7 4 5 2 5 2" xfId="39654" xr:uid="{00000000-0005-0000-0000-000067980000}"/>
    <cellStyle name="Separador de milhares 3 7 4 5 2 6" xfId="33268" xr:uid="{00000000-0005-0000-0000-000068980000}"/>
    <cellStyle name="Separador de milhares 3 7 4 5 3" xfId="8748" xr:uid="{00000000-0005-0000-0000-000069980000}"/>
    <cellStyle name="Separador de milhares 3 7 4 5 3 2" xfId="26962" xr:uid="{00000000-0005-0000-0000-00006A980000}"/>
    <cellStyle name="Separador de milhares 3 7 4 5 3 2 2" xfId="53143" xr:uid="{00000000-0005-0000-0000-00006B980000}"/>
    <cellStyle name="Separador de milhares 3 7 4 5 3 3" xfId="21048" xr:uid="{00000000-0005-0000-0000-00006C980000}"/>
    <cellStyle name="Separador de milhares 3 7 4 5 3 3 2" xfId="47235" xr:uid="{00000000-0005-0000-0000-00006D980000}"/>
    <cellStyle name="Separador de milhares 3 7 4 5 3 4" xfId="15134" xr:uid="{00000000-0005-0000-0000-00006E980000}"/>
    <cellStyle name="Separador de milhares 3 7 4 5 3 4 2" xfId="41327" xr:uid="{00000000-0005-0000-0000-00006F980000}"/>
    <cellStyle name="Separador de milhares 3 7 4 5 3 5" xfId="34941" xr:uid="{00000000-0005-0000-0000-000070980000}"/>
    <cellStyle name="Separador de milhares 3 7 4 5 4" xfId="5373" xr:uid="{00000000-0005-0000-0000-000071980000}"/>
    <cellStyle name="Separador de milhares 3 7 4 5 4 2" xfId="24005" xr:uid="{00000000-0005-0000-0000-000072980000}"/>
    <cellStyle name="Separador de milhares 3 7 4 5 4 2 2" xfId="50189" xr:uid="{00000000-0005-0000-0000-000073980000}"/>
    <cellStyle name="Separador de milhares 3 7 4 5 4 3" xfId="31569" xr:uid="{00000000-0005-0000-0000-000074980000}"/>
    <cellStyle name="Separador de milhares 3 7 4 5 5" xfId="18091" xr:uid="{00000000-0005-0000-0000-000075980000}"/>
    <cellStyle name="Separador de milhares 3 7 4 5 5 2" xfId="44281" xr:uid="{00000000-0005-0000-0000-000076980000}"/>
    <cellStyle name="Separador de milhares 3 7 4 5 6" xfId="11760" xr:uid="{00000000-0005-0000-0000-000077980000}"/>
    <cellStyle name="Separador de milhares 3 7 4 5 6 2" xfId="37953" xr:uid="{00000000-0005-0000-0000-000078980000}"/>
    <cellStyle name="Separador de milhares 3 7 4 5 7" xfId="29871" xr:uid="{00000000-0005-0000-0000-000079980000}"/>
    <cellStyle name="Separador de milhares 3 7 4 6" xfId="2829" xr:uid="{00000000-0005-0000-0000-00007A980000}"/>
    <cellStyle name="Separador de milhares 3 7 4 6 2" xfId="7219" xr:uid="{00000000-0005-0000-0000-00007B980000}"/>
    <cellStyle name="Separador de milhares 3 7 4 6 2 2" xfId="10363" xr:uid="{00000000-0005-0000-0000-00007C980000}"/>
    <cellStyle name="Separador de milhares 3 7 4 6 2 2 2" xfId="28577" xr:uid="{00000000-0005-0000-0000-00007D980000}"/>
    <cellStyle name="Separador de milhares 3 7 4 6 2 2 2 2" xfId="54758" xr:uid="{00000000-0005-0000-0000-00007E980000}"/>
    <cellStyle name="Separador de milhares 3 7 4 6 2 2 3" xfId="22663" xr:uid="{00000000-0005-0000-0000-00007F980000}"/>
    <cellStyle name="Separador de milhares 3 7 4 6 2 2 3 2" xfId="48850" xr:uid="{00000000-0005-0000-0000-000080980000}"/>
    <cellStyle name="Separador de milhares 3 7 4 6 2 2 4" xfId="16749" xr:uid="{00000000-0005-0000-0000-000081980000}"/>
    <cellStyle name="Separador de milhares 3 7 4 6 2 2 4 2" xfId="42942" xr:uid="{00000000-0005-0000-0000-000082980000}"/>
    <cellStyle name="Separador de milhares 3 7 4 6 2 2 5" xfId="36556" xr:uid="{00000000-0005-0000-0000-000083980000}"/>
    <cellStyle name="Separador de milhares 3 7 4 6 2 3" xfId="25620" xr:uid="{00000000-0005-0000-0000-000084980000}"/>
    <cellStyle name="Separador de milhares 3 7 4 6 2 3 2" xfId="51804" xr:uid="{00000000-0005-0000-0000-000085980000}"/>
    <cellStyle name="Separador de milhares 3 7 4 6 2 4" xfId="19706" xr:uid="{00000000-0005-0000-0000-000086980000}"/>
    <cellStyle name="Separador de milhares 3 7 4 6 2 4 2" xfId="45896" xr:uid="{00000000-0005-0000-0000-000087980000}"/>
    <cellStyle name="Separador de milhares 3 7 4 6 2 5" xfId="13608" xr:uid="{00000000-0005-0000-0000-000088980000}"/>
    <cellStyle name="Separador de milhares 3 7 4 6 2 5 2" xfId="39801" xr:uid="{00000000-0005-0000-0000-000089980000}"/>
    <cellStyle name="Separador de milhares 3 7 4 6 2 6" xfId="33415" xr:uid="{00000000-0005-0000-0000-00008A980000}"/>
    <cellStyle name="Separador de milhares 3 7 4 6 3" xfId="8895" xr:uid="{00000000-0005-0000-0000-00008B980000}"/>
    <cellStyle name="Separador de milhares 3 7 4 6 3 2" xfId="27109" xr:uid="{00000000-0005-0000-0000-00008C980000}"/>
    <cellStyle name="Separador de milhares 3 7 4 6 3 2 2" xfId="53290" xr:uid="{00000000-0005-0000-0000-00008D980000}"/>
    <cellStyle name="Separador de milhares 3 7 4 6 3 3" xfId="21195" xr:uid="{00000000-0005-0000-0000-00008E980000}"/>
    <cellStyle name="Separador de milhares 3 7 4 6 3 3 2" xfId="47382" xr:uid="{00000000-0005-0000-0000-00008F980000}"/>
    <cellStyle name="Separador de milhares 3 7 4 6 3 4" xfId="15281" xr:uid="{00000000-0005-0000-0000-000090980000}"/>
    <cellStyle name="Separador de milhares 3 7 4 6 3 4 2" xfId="41474" xr:uid="{00000000-0005-0000-0000-000091980000}"/>
    <cellStyle name="Separador de milhares 3 7 4 6 3 5" xfId="35088" xr:uid="{00000000-0005-0000-0000-000092980000}"/>
    <cellStyle name="Separador de milhares 3 7 4 6 4" xfId="5520" xr:uid="{00000000-0005-0000-0000-000093980000}"/>
    <cellStyle name="Separador de milhares 3 7 4 6 4 2" xfId="24152" xr:uid="{00000000-0005-0000-0000-000094980000}"/>
    <cellStyle name="Separador de milhares 3 7 4 6 4 2 2" xfId="50336" xr:uid="{00000000-0005-0000-0000-000095980000}"/>
    <cellStyle name="Separador de milhares 3 7 4 6 4 3" xfId="31716" xr:uid="{00000000-0005-0000-0000-000096980000}"/>
    <cellStyle name="Separador de milhares 3 7 4 6 5" xfId="18238" xr:uid="{00000000-0005-0000-0000-000097980000}"/>
    <cellStyle name="Separador de milhares 3 7 4 6 5 2" xfId="44428" xr:uid="{00000000-0005-0000-0000-000098980000}"/>
    <cellStyle name="Separador de milhares 3 7 4 6 6" xfId="11907" xr:uid="{00000000-0005-0000-0000-000099980000}"/>
    <cellStyle name="Separador de milhares 3 7 4 6 6 2" xfId="38100" xr:uid="{00000000-0005-0000-0000-00009A980000}"/>
    <cellStyle name="Separador de milhares 3 7 4 6 7" xfId="30018" xr:uid="{00000000-0005-0000-0000-00009B980000}"/>
    <cellStyle name="Separador de milhares 3 7 4 7" xfId="3356" xr:uid="{00000000-0005-0000-0000-00009C980000}"/>
    <cellStyle name="Separador de milhares 3 7 4 7 2" xfId="7366" xr:uid="{00000000-0005-0000-0000-00009D980000}"/>
    <cellStyle name="Separador de milhares 3 7 4 7 2 2" xfId="10510" xr:uid="{00000000-0005-0000-0000-00009E980000}"/>
    <cellStyle name="Separador de milhares 3 7 4 7 2 2 2" xfId="28724" xr:uid="{00000000-0005-0000-0000-00009F980000}"/>
    <cellStyle name="Separador de milhares 3 7 4 7 2 2 2 2" xfId="54905" xr:uid="{00000000-0005-0000-0000-0000A0980000}"/>
    <cellStyle name="Separador de milhares 3 7 4 7 2 2 3" xfId="22810" xr:uid="{00000000-0005-0000-0000-0000A1980000}"/>
    <cellStyle name="Separador de milhares 3 7 4 7 2 2 3 2" xfId="48997" xr:uid="{00000000-0005-0000-0000-0000A2980000}"/>
    <cellStyle name="Separador de milhares 3 7 4 7 2 2 4" xfId="16896" xr:uid="{00000000-0005-0000-0000-0000A3980000}"/>
    <cellStyle name="Separador de milhares 3 7 4 7 2 2 4 2" xfId="43089" xr:uid="{00000000-0005-0000-0000-0000A4980000}"/>
    <cellStyle name="Separador de milhares 3 7 4 7 2 2 5" xfId="36703" xr:uid="{00000000-0005-0000-0000-0000A5980000}"/>
    <cellStyle name="Separador de milhares 3 7 4 7 2 3" xfId="25767" xr:uid="{00000000-0005-0000-0000-0000A6980000}"/>
    <cellStyle name="Separador de milhares 3 7 4 7 2 3 2" xfId="51951" xr:uid="{00000000-0005-0000-0000-0000A7980000}"/>
    <cellStyle name="Separador de milhares 3 7 4 7 2 4" xfId="19853" xr:uid="{00000000-0005-0000-0000-0000A8980000}"/>
    <cellStyle name="Separador de milhares 3 7 4 7 2 4 2" xfId="46043" xr:uid="{00000000-0005-0000-0000-0000A9980000}"/>
    <cellStyle name="Separador de milhares 3 7 4 7 2 5" xfId="13755" xr:uid="{00000000-0005-0000-0000-0000AA980000}"/>
    <cellStyle name="Separador de milhares 3 7 4 7 2 5 2" xfId="39948" xr:uid="{00000000-0005-0000-0000-0000AB980000}"/>
    <cellStyle name="Separador de milhares 3 7 4 7 2 6" xfId="33562" xr:uid="{00000000-0005-0000-0000-0000AC980000}"/>
    <cellStyle name="Separador de milhares 3 7 4 7 3" xfId="9042" xr:uid="{00000000-0005-0000-0000-0000AD980000}"/>
    <cellStyle name="Separador de milhares 3 7 4 7 3 2" xfId="27256" xr:uid="{00000000-0005-0000-0000-0000AE980000}"/>
    <cellStyle name="Separador de milhares 3 7 4 7 3 2 2" xfId="53437" xr:uid="{00000000-0005-0000-0000-0000AF980000}"/>
    <cellStyle name="Separador de milhares 3 7 4 7 3 3" xfId="21342" xr:uid="{00000000-0005-0000-0000-0000B0980000}"/>
    <cellStyle name="Separador de milhares 3 7 4 7 3 3 2" xfId="47529" xr:uid="{00000000-0005-0000-0000-0000B1980000}"/>
    <cellStyle name="Separador de milhares 3 7 4 7 3 4" xfId="15428" xr:uid="{00000000-0005-0000-0000-0000B2980000}"/>
    <cellStyle name="Separador de milhares 3 7 4 7 3 4 2" xfId="41621" xr:uid="{00000000-0005-0000-0000-0000B3980000}"/>
    <cellStyle name="Separador de milhares 3 7 4 7 3 5" xfId="35235" xr:uid="{00000000-0005-0000-0000-0000B4980000}"/>
    <cellStyle name="Separador de milhares 3 7 4 7 4" xfId="5667" xr:uid="{00000000-0005-0000-0000-0000B5980000}"/>
    <cellStyle name="Separador de milhares 3 7 4 7 4 2" xfId="24299" xr:uid="{00000000-0005-0000-0000-0000B6980000}"/>
    <cellStyle name="Separador de milhares 3 7 4 7 4 2 2" xfId="50483" xr:uid="{00000000-0005-0000-0000-0000B7980000}"/>
    <cellStyle name="Separador de milhares 3 7 4 7 4 3" xfId="31863" xr:uid="{00000000-0005-0000-0000-0000B8980000}"/>
    <cellStyle name="Separador de milhares 3 7 4 7 5" xfId="18385" xr:uid="{00000000-0005-0000-0000-0000B9980000}"/>
    <cellStyle name="Separador de milhares 3 7 4 7 5 2" xfId="44575" xr:uid="{00000000-0005-0000-0000-0000BA980000}"/>
    <cellStyle name="Separador de milhares 3 7 4 7 6" xfId="12054" xr:uid="{00000000-0005-0000-0000-0000BB980000}"/>
    <cellStyle name="Separador de milhares 3 7 4 7 6 2" xfId="38247" xr:uid="{00000000-0005-0000-0000-0000BC980000}"/>
    <cellStyle name="Separador de milhares 3 7 4 7 7" xfId="30165" xr:uid="{00000000-0005-0000-0000-0000BD980000}"/>
    <cellStyle name="Separador de milhares 3 7 4 8" xfId="3883" xr:uid="{00000000-0005-0000-0000-0000BE980000}"/>
    <cellStyle name="Separador de milhares 3 7 4 8 2" xfId="7513" xr:uid="{00000000-0005-0000-0000-0000BF980000}"/>
    <cellStyle name="Separador de milhares 3 7 4 8 2 2" xfId="10657" xr:uid="{00000000-0005-0000-0000-0000C0980000}"/>
    <cellStyle name="Separador de milhares 3 7 4 8 2 2 2" xfId="28871" xr:uid="{00000000-0005-0000-0000-0000C1980000}"/>
    <cellStyle name="Separador de milhares 3 7 4 8 2 2 2 2" xfId="55052" xr:uid="{00000000-0005-0000-0000-0000C2980000}"/>
    <cellStyle name="Separador de milhares 3 7 4 8 2 2 3" xfId="22957" xr:uid="{00000000-0005-0000-0000-0000C3980000}"/>
    <cellStyle name="Separador de milhares 3 7 4 8 2 2 3 2" xfId="49144" xr:uid="{00000000-0005-0000-0000-0000C4980000}"/>
    <cellStyle name="Separador de milhares 3 7 4 8 2 2 4" xfId="17043" xr:uid="{00000000-0005-0000-0000-0000C5980000}"/>
    <cellStyle name="Separador de milhares 3 7 4 8 2 2 4 2" xfId="43236" xr:uid="{00000000-0005-0000-0000-0000C6980000}"/>
    <cellStyle name="Separador de milhares 3 7 4 8 2 2 5" xfId="36850" xr:uid="{00000000-0005-0000-0000-0000C7980000}"/>
    <cellStyle name="Separador de milhares 3 7 4 8 2 3" xfId="25914" xr:uid="{00000000-0005-0000-0000-0000C8980000}"/>
    <cellStyle name="Separador de milhares 3 7 4 8 2 3 2" xfId="52098" xr:uid="{00000000-0005-0000-0000-0000C9980000}"/>
    <cellStyle name="Separador de milhares 3 7 4 8 2 4" xfId="20000" xr:uid="{00000000-0005-0000-0000-0000CA980000}"/>
    <cellStyle name="Separador de milhares 3 7 4 8 2 4 2" xfId="46190" xr:uid="{00000000-0005-0000-0000-0000CB980000}"/>
    <cellStyle name="Separador de milhares 3 7 4 8 2 5" xfId="13902" xr:uid="{00000000-0005-0000-0000-0000CC980000}"/>
    <cellStyle name="Separador de milhares 3 7 4 8 2 5 2" xfId="40095" xr:uid="{00000000-0005-0000-0000-0000CD980000}"/>
    <cellStyle name="Separador de milhares 3 7 4 8 2 6" xfId="33709" xr:uid="{00000000-0005-0000-0000-0000CE980000}"/>
    <cellStyle name="Separador de milhares 3 7 4 8 3" xfId="9189" xr:uid="{00000000-0005-0000-0000-0000CF980000}"/>
    <cellStyle name="Separador de milhares 3 7 4 8 3 2" xfId="27403" xr:uid="{00000000-0005-0000-0000-0000D0980000}"/>
    <cellStyle name="Separador de milhares 3 7 4 8 3 2 2" xfId="53584" xr:uid="{00000000-0005-0000-0000-0000D1980000}"/>
    <cellStyle name="Separador de milhares 3 7 4 8 3 3" xfId="21489" xr:uid="{00000000-0005-0000-0000-0000D2980000}"/>
    <cellStyle name="Separador de milhares 3 7 4 8 3 3 2" xfId="47676" xr:uid="{00000000-0005-0000-0000-0000D3980000}"/>
    <cellStyle name="Separador de milhares 3 7 4 8 3 4" xfId="15575" xr:uid="{00000000-0005-0000-0000-0000D4980000}"/>
    <cellStyle name="Separador de milhares 3 7 4 8 3 4 2" xfId="41768" xr:uid="{00000000-0005-0000-0000-0000D5980000}"/>
    <cellStyle name="Separador de milhares 3 7 4 8 3 5" xfId="35382" xr:uid="{00000000-0005-0000-0000-0000D6980000}"/>
    <cellStyle name="Separador de milhares 3 7 4 8 4" xfId="5814" xr:uid="{00000000-0005-0000-0000-0000D7980000}"/>
    <cellStyle name="Separador de milhares 3 7 4 8 4 2" xfId="24446" xr:uid="{00000000-0005-0000-0000-0000D8980000}"/>
    <cellStyle name="Separador de milhares 3 7 4 8 4 2 2" xfId="50630" xr:uid="{00000000-0005-0000-0000-0000D9980000}"/>
    <cellStyle name="Separador de milhares 3 7 4 8 4 3" xfId="32010" xr:uid="{00000000-0005-0000-0000-0000DA980000}"/>
    <cellStyle name="Separador de milhares 3 7 4 8 5" xfId="18532" xr:uid="{00000000-0005-0000-0000-0000DB980000}"/>
    <cellStyle name="Separador de milhares 3 7 4 8 5 2" xfId="44722" xr:uid="{00000000-0005-0000-0000-0000DC980000}"/>
    <cellStyle name="Separador de milhares 3 7 4 8 6" xfId="12201" xr:uid="{00000000-0005-0000-0000-0000DD980000}"/>
    <cellStyle name="Separador de milhares 3 7 4 8 6 2" xfId="38394" xr:uid="{00000000-0005-0000-0000-0000DE980000}"/>
    <cellStyle name="Separador de milhares 3 7 4 8 7" xfId="30312" xr:uid="{00000000-0005-0000-0000-0000DF980000}"/>
    <cellStyle name="Separador de milhares 3 7 4 9" xfId="672" xr:uid="{00000000-0005-0000-0000-0000E0980000}"/>
    <cellStyle name="Separador de milhares 3 7 4 9 2" xfId="6607" xr:uid="{00000000-0005-0000-0000-0000E1980000}"/>
    <cellStyle name="Separador de milhares 3 7 4 9 2 2" xfId="9754" xr:uid="{00000000-0005-0000-0000-0000E2980000}"/>
    <cellStyle name="Separador de milhares 3 7 4 9 2 2 2" xfId="27968" xr:uid="{00000000-0005-0000-0000-0000E3980000}"/>
    <cellStyle name="Separador de milhares 3 7 4 9 2 2 2 2" xfId="54149" xr:uid="{00000000-0005-0000-0000-0000E4980000}"/>
    <cellStyle name="Separador de milhares 3 7 4 9 2 2 3" xfId="22054" xr:uid="{00000000-0005-0000-0000-0000E5980000}"/>
    <cellStyle name="Separador de milhares 3 7 4 9 2 2 3 2" xfId="48241" xr:uid="{00000000-0005-0000-0000-0000E6980000}"/>
    <cellStyle name="Separador de milhares 3 7 4 9 2 2 4" xfId="16140" xr:uid="{00000000-0005-0000-0000-0000E7980000}"/>
    <cellStyle name="Separador de milhares 3 7 4 9 2 2 4 2" xfId="42333" xr:uid="{00000000-0005-0000-0000-0000E8980000}"/>
    <cellStyle name="Separador de milhares 3 7 4 9 2 2 5" xfId="35947" xr:uid="{00000000-0005-0000-0000-0000E9980000}"/>
    <cellStyle name="Separador de milhares 3 7 4 9 2 3" xfId="25011" xr:uid="{00000000-0005-0000-0000-0000EA980000}"/>
    <cellStyle name="Separador de milhares 3 7 4 9 2 3 2" xfId="51195" xr:uid="{00000000-0005-0000-0000-0000EB980000}"/>
    <cellStyle name="Separador de milhares 3 7 4 9 2 4" xfId="19097" xr:uid="{00000000-0005-0000-0000-0000EC980000}"/>
    <cellStyle name="Separador de milhares 3 7 4 9 2 4 2" xfId="45287" xr:uid="{00000000-0005-0000-0000-0000ED980000}"/>
    <cellStyle name="Separador de milhares 3 7 4 9 2 5" xfId="12996" xr:uid="{00000000-0005-0000-0000-0000EE980000}"/>
    <cellStyle name="Separador de milhares 3 7 4 9 2 5 2" xfId="39189" xr:uid="{00000000-0005-0000-0000-0000EF980000}"/>
    <cellStyle name="Separador de milhares 3 7 4 9 2 6" xfId="32803" xr:uid="{00000000-0005-0000-0000-0000F0980000}"/>
    <cellStyle name="Separador de milhares 3 7 4 9 3" xfId="8286" xr:uid="{00000000-0005-0000-0000-0000F1980000}"/>
    <cellStyle name="Separador de milhares 3 7 4 9 3 2" xfId="26500" xr:uid="{00000000-0005-0000-0000-0000F2980000}"/>
    <cellStyle name="Separador de milhares 3 7 4 9 3 2 2" xfId="52681" xr:uid="{00000000-0005-0000-0000-0000F3980000}"/>
    <cellStyle name="Separador de milhares 3 7 4 9 3 3" xfId="20586" xr:uid="{00000000-0005-0000-0000-0000F4980000}"/>
    <cellStyle name="Separador de milhares 3 7 4 9 3 3 2" xfId="46773" xr:uid="{00000000-0005-0000-0000-0000F5980000}"/>
    <cellStyle name="Separador de milhares 3 7 4 9 3 4" xfId="14672" xr:uid="{00000000-0005-0000-0000-0000F6980000}"/>
    <cellStyle name="Separador de milhares 3 7 4 9 3 4 2" xfId="40865" xr:uid="{00000000-0005-0000-0000-0000F7980000}"/>
    <cellStyle name="Separador de milhares 3 7 4 9 3 5" xfId="34479" xr:uid="{00000000-0005-0000-0000-0000F8980000}"/>
    <cellStyle name="Separador de milhares 3 7 4 9 4" xfId="4908" xr:uid="{00000000-0005-0000-0000-0000F9980000}"/>
    <cellStyle name="Separador de milhares 3 7 4 9 4 2" xfId="23543" xr:uid="{00000000-0005-0000-0000-0000FA980000}"/>
    <cellStyle name="Separador de milhares 3 7 4 9 4 2 2" xfId="49727" xr:uid="{00000000-0005-0000-0000-0000FB980000}"/>
    <cellStyle name="Separador de milhares 3 7 4 9 4 3" xfId="31104" xr:uid="{00000000-0005-0000-0000-0000FC980000}"/>
    <cellStyle name="Separador de milhares 3 7 4 9 5" xfId="17629" xr:uid="{00000000-0005-0000-0000-0000FD980000}"/>
    <cellStyle name="Separador de milhares 3 7 4 9 5 2" xfId="43819" xr:uid="{00000000-0005-0000-0000-0000FE980000}"/>
    <cellStyle name="Separador de milhares 3 7 4 9 6" xfId="11295" xr:uid="{00000000-0005-0000-0000-0000FF980000}"/>
    <cellStyle name="Separador de milhares 3 7 4 9 6 2" xfId="37488" xr:uid="{00000000-0005-0000-0000-000000990000}"/>
    <cellStyle name="Separador de milhares 3 7 4 9 7" xfId="29406" xr:uid="{00000000-0005-0000-0000-000001990000}"/>
    <cellStyle name="Separador de milhares 3 7 5" xfId="598" xr:uid="{00000000-0005-0000-0000-000002990000}"/>
    <cellStyle name="Separador de milhares 3 7 5 10" xfId="4872" xr:uid="{00000000-0005-0000-0000-000003990000}"/>
    <cellStyle name="Separador de milhares 3 7 5 10 2" xfId="23506" xr:uid="{00000000-0005-0000-0000-000004990000}"/>
    <cellStyle name="Separador de milhares 3 7 5 10 2 2" xfId="49693" xr:uid="{00000000-0005-0000-0000-000005990000}"/>
    <cellStyle name="Separador de milhares 3 7 5 10 3" xfId="31070" xr:uid="{00000000-0005-0000-0000-000006990000}"/>
    <cellStyle name="Separador de milhares 3 7 5 11" xfId="17592" xr:uid="{00000000-0005-0000-0000-000007990000}"/>
    <cellStyle name="Separador de milhares 3 7 5 11 2" xfId="43785" xr:uid="{00000000-0005-0000-0000-000008990000}"/>
    <cellStyle name="Separador de milhares 3 7 5 12" xfId="11261" xr:uid="{00000000-0005-0000-0000-000009990000}"/>
    <cellStyle name="Separador de milhares 3 7 5 12 2" xfId="37454" xr:uid="{00000000-0005-0000-0000-00000A990000}"/>
    <cellStyle name="Separador de milhares 3 7 5 13" xfId="29372" xr:uid="{00000000-0005-0000-0000-00000B990000}"/>
    <cellStyle name="Separador de milhares 3 7 5 2" xfId="1421" xr:uid="{00000000-0005-0000-0000-00000C990000}"/>
    <cellStyle name="Separador de milhares 3 7 5 2 2" xfId="6824" xr:uid="{00000000-0005-0000-0000-00000D990000}"/>
    <cellStyle name="Separador de milhares 3 7 5 2 2 2" xfId="9971" xr:uid="{00000000-0005-0000-0000-00000E990000}"/>
    <cellStyle name="Separador de milhares 3 7 5 2 2 2 2" xfId="28185" xr:uid="{00000000-0005-0000-0000-00000F990000}"/>
    <cellStyle name="Separador de milhares 3 7 5 2 2 2 2 2" xfId="54366" xr:uid="{00000000-0005-0000-0000-000010990000}"/>
    <cellStyle name="Separador de milhares 3 7 5 2 2 2 3" xfId="22271" xr:uid="{00000000-0005-0000-0000-000011990000}"/>
    <cellStyle name="Separador de milhares 3 7 5 2 2 2 3 2" xfId="48458" xr:uid="{00000000-0005-0000-0000-000012990000}"/>
    <cellStyle name="Separador de milhares 3 7 5 2 2 2 4" xfId="16357" xr:uid="{00000000-0005-0000-0000-000013990000}"/>
    <cellStyle name="Separador de milhares 3 7 5 2 2 2 4 2" xfId="42550" xr:uid="{00000000-0005-0000-0000-000014990000}"/>
    <cellStyle name="Separador de milhares 3 7 5 2 2 2 5" xfId="36164" xr:uid="{00000000-0005-0000-0000-000015990000}"/>
    <cellStyle name="Separador de milhares 3 7 5 2 2 3" xfId="25228" xr:uid="{00000000-0005-0000-0000-000016990000}"/>
    <cellStyle name="Separador de milhares 3 7 5 2 2 3 2" xfId="51412" xr:uid="{00000000-0005-0000-0000-000017990000}"/>
    <cellStyle name="Separador de milhares 3 7 5 2 2 4" xfId="19314" xr:uid="{00000000-0005-0000-0000-000018990000}"/>
    <cellStyle name="Separador de milhares 3 7 5 2 2 4 2" xfId="45504" xr:uid="{00000000-0005-0000-0000-000019990000}"/>
    <cellStyle name="Separador de milhares 3 7 5 2 2 5" xfId="13213" xr:uid="{00000000-0005-0000-0000-00001A990000}"/>
    <cellStyle name="Separador de milhares 3 7 5 2 2 5 2" xfId="39406" xr:uid="{00000000-0005-0000-0000-00001B990000}"/>
    <cellStyle name="Separador de milhares 3 7 5 2 2 6" xfId="33020" xr:uid="{00000000-0005-0000-0000-00001C990000}"/>
    <cellStyle name="Separador de milhares 3 7 5 2 3" xfId="8503" xr:uid="{00000000-0005-0000-0000-00001D990000}"/>
    <cellStyle name="Separador de milhares 3 7 5 2 3 2" xfId="26717" xr:uid="{00000000-0005-0000-0000-00001E990000}"/>
    <cellStyle name="Separador de milhares 3 7 5 2 3 2 2" xfId="52898" xr:uid="{00000000-0005-0000-0000-00001F990000}"/>
    <cellStyle name="Separador de milhares 3 7 5 2 3 3" xfId="20803" xr:uid="{00000000-0005-0000-0000-000020990000}"/>
    <cellStyle name="Separador de milhares 3 7 5 2 3 3 2" xfId="46990" xr:uid="{00000000-0005-0000-0000-000021990000}"/>
    <cellStyle name="Separador de milhares 3 7 5 2 3 4" xfId="14889" xr:uid="{00000000-0005-0000-0000-000022990000}"/>
    <cellStyle name="Separador de milhares 3 7 5 2 3 4 2" xfId="41082" xr:uid="{00000000-0005-0000-0000-000023990000}"/>
    <cellStyle name="Separador de milhares 3 7 5 2 3 5" xfId="34696" xr:uid="{00000000-0005-0000-0000-000024990000}"/>
    <cellStyle name="Separador de milhares 3 7 5 2 4" xfId="5125" xr:uid="{00000000-0005-0000-0000-000025990000}"/>
    <cellStyle name="Separador de milhares 3 7 5 2 4 2" xfId="23760" xr:uid="{00000000-0005-0000-0000-000026990000}"/>
    <cellStyle name="Separador de milhares 3 7 5 2 4 2 2" xfId="49944" xr:uid="{00000000-0005-0000-0000-000027990000}"/>
    <cellStyle name="Separador de milhares 3 7 5 2 4 3" xfId="31321" xr:uid="{00000000-0005-0000-0000-000028990000}"/>
    <cellStyle name="Separador de milhares 3 7 5 2 5" xfId="17846" xr:uid="{00000000-0005-0000-0000-000029990000}"/>
    <cellStyle name="Separador de milhares 3 7 5 2 5 2" xfId="44036" xr:uid="{00000000-0005-0000-0000-00002A990000}"/>
    <cellStyle name="Separador de milhares 3 7 5 2 6" xfId="11512" xr:uid="{00000000-0005-0000-0000-00002B990000}"/>
    <cellStyle name="Separador de milhares 3 7 5 2 6 2" xfId="37705" xr:uid="{00000000-0005-0000-0000-00002C990000}"/>
    <cellStyle name="Separador de milhares 3 7 5 2 7" xfId="29623" xr:uid="{00000000-0005-0000-0000-00002D990000}"/>
    <cellStyle name="Separador de milhares 3 7 5 3" xfId="1856" xr:uid="{00000000-0005-0000-0000-00002E990000}"/>
    <cellStyle name="Separador de milhares 3 7 5 3 2" xfId="6943" xr:uid="{00000000-0005-0000-0000-00002F990000}"/>
    <cellStyle name="Separador de milhares 3 7 5 3 2 2" xfId="10090" xr:uid="{00000000-0005-0000-0000-000030990000}"/>
    <cellStyle name="Separador de milhares 3 7 5 3 2 2 2" xfId="28304" xr:uid="{00000000-0005-0000-0000-000031990000}"/>
    <cellStyle name="Separador de milhares 3 7 5 3 2 2 2 2" xfId="54485" xr:uid="{00000000-0005-0000-0000-000032990000}"/>
    <cellStyle name="Separador de milhares 3 7 5 3 2 2 3" xfId="22390" xr:uid="{00000000-0005-0000-0000-000033990000}"/>
    <cellStyle name="Separador de milhares 3 7 5 3 2 2 3 2" xfId="48577" xr:uid="{00000000-0005-0000-0000-000034990000}"/>
    <cellStyle name="Separador de milhares 3 7 5 3 2 2 4" xfId="16476" xr:uid="{00000000-0005-0000-0000-000035990000}"/>
    <cellStyle name="Separador de milhares 3 7 5 3 2 2 4 2" xfId="42669" xr:uid="{00000000-0005-0000-0000-000036990000}"/>
    <cellStyle name="Separador de milhares 3 7 5 3 2 2 5" xfId="36283" xr:uid="{00000000-0005-0000-0000-000037990000}"/>
    <cellStyle name="Separador de milhares 3 7 5 3 2 3" xfId="25347" xr:uid="{00000000-0005-0000-0000-000038990000}"/>
    <cellStyle name="Separador de milhares 3 7 5 3 2 3 2" xfId="51531" xr:uid="{00000000-0005-0000-0000-000039990000}"/>
    <cellStyle name="Separador de milhares 3 7 5 3 2 4" xfId="19433" xr:uid="{00000000-0005-0000-0000-00003A990000}"/>
    <cellStyle name="Separador de milhares 3 7 5 3 2 4 2" xfId="45623" xr:uid="{00000000-0005-0000-0000-00003B990000}"/>
    <cellStyle name="Separador de milhares 3 7 5 3 2 5" xfId="13332" xr:uid="{00000000-0005-0000-0000-00003C990000}"/>
    <cellStyle name="Separador de milhares 3 7 5 3 2 5 2" xfId="39525" xr:uid="{00000000-0005-0000-0000-00003D990000}"/>
    <cellStyle name="Separador de milhares 3 7 5 3 2 6" xfId="33139" xr:uid="{00000000-0005-0000-0000-00003E990000}"/>
    <cellStyle name="Separador de milhares 3 7 5 3 3" xfId="8622" xr:uid="{00000000-0005-0000-0000-00003F990000}"/>
    <cellStyle name="Separador de milhares 3 7 5 3 3 2" xfId="26836" xr:uid="{00000000-0005-0000-0000-000040990000}"/>
    <cellStyle name="Separador de milhares 3 7 5 3 3 2 2" xfId="53017" xr:uid="{00000000-0005-0000-0000-000041990000}"/>
    <cellStyle name="Separador de milhares 3 7 5 3 3 3" xfId="20922" xr:uid="{00000000-0005-0000-0000-000042990000}"/>
    <cellStyle name="Separador de milhares 3 7 5 3 3 3 2" xfId="47109" xr:uid="{00000000-0005-0000-0000-000043990000}"/>
    <cellStyle name="Separador de milhares 3 7 5 3 3 4" xfId="15008" xr:uid="{00000000-0005-0000-0000-000044990000}"/>
    <cellStyle name="Separador de milhares 3 7 5 3 3 4 2" xfId="41201" xr:uid="{00000000-0005-0000-0000-000045990000}"/>
    <cellStyle name="Separador de milhares 3 7 5 3 3 5" xfId="34815" xr:uid="{00000000-0005-0000-0000-000046990000}"/>
    <cellStyle name="Separador de milhares 3 7 5 3 4" xfId="5244" xr:uid="{00000000-0005-0000-0000-000047990000}"/>
    <cellStyle name="Separador de milhares 3 7 5 3 4 2" xfId="23879" xr:uid="{00000000-0005-0000-0000-000048990000}"/>
    <cellStyle name="Separador de milhares 3 7 5 3 4 2 2" xfId="50063" xr:uid="{00000000-0005-0000-0000-000049990000}"/>
    <cellStyle name="Separador de milhares 3 7 5 3 4 3" xfId="31440" xr:uid="{00000000-0005-0000-0000-00004A990000}"/>
    <cellStyle name="Separador de milhares 3 7 5 3 5" xfId="17965" xr:uid="{00000000-0005-0000-0000-00004B990000}"/>
    <cellStyle name="Separador de milhares 3 7 5 3 5 2" xfId="44155" xr:uid="{00000000-0005-0000-0000-00004C990000}"/>
    <cellStyle name="Separador de milhares 3 7 5 3 6" xfId="11631" xr:uid="{00000000-0005-0000-0000-00004D990000}"/>
    <cellStyle name="Separador de milhares 3 7 5 3 6 2" xfId="37824" xr:uid="{00000000-0005-0000-0000-00004E990000}"/>
    <cellStyle name="Separador de milhares 3 7 5 3 7" xfId="29742" xr:uid="{00000000-0005-0000-0000-00004F990000}"/>
    <cellStyle name="Separador de milhares 3 7 5 4" xfId="2386" xr:uid="{00000000-0005-0000-0000-000050990000}"/>
    <cellStyle name="Separador de milhares 3 7 5 4 2" xfId="7093" xr:uid="{00000000-0005-0000-0000-000051990000}"/>
    <cellStyle name="Separador de milhares 3 7 5 4 2 2" xfId="10237" xr:uid="{00000000-0005-0000-0000-000052990000}"/>
    <cellStyle name="Separador de milhares 3 7 5 4 2 2 2" xfId="28451" xr:uid="{00000000-0005-0000-0000-000053990000}"/>
    <cellStyle name="Separador de milhares 3 7 5 4 2 2 2 2" xfId="54632" xr:uid="{00000000-0005-0000-0000-000054990000}"/>
    <cellStyle name="Separador de milhares 3 7 5 4 2 2 3" xfId="22537" xr:uid="{00000000-0005-0000-0000-000055990000}"/>
    <cellStyle name="Separador de milhares 3 7 5 4 2 2 3 2" xfId="48724" xr:uid="{00000000-0005-0000-0000-000056990000}"/>
    <cellStyle name="Separador de milhares 3 7 5 4 2 2 4" xfId="16623" xr:uid="{00000000-0005-0000-0000-000057990000}"/>
    <cellStyle name="Separador de milhares 3 7 5 4 2 2 4 2" xfId="42816" xr:uid="{00000000-0005-0000-0000-000058990000}"/>
    <cellStyle name="Separador de milhares 3 7 5 4 2 2 5" xfId="36430" xr:uid="{00000000-0005-0000-0000-000059990000}"/>
    <cellStyle name="Separador de milhares 3 7 5 4 2 3" xfId="25494" xr:uid="{00000000-0005-0000-0000-00005A990000}"/>
    <cellStyle name="Separador de milhares 3 7 5 4 2 3 2" xfId="51678" xr:uid="{00000000-0005-0000-0000-00005B990000}"/>
    <cellStyle name="Separador de milhares 3 7 5 4 2 4" xfId="19580" xr:uid="{00000000-0005-0000-0000-00005C990000}"/>
    <cellStyle name="Separador de milhares 3 7 5 4 2 4 2" xfId="45770" xr:uid="{00000000-0005-0000-0000-00005D990000}"/>
    <cellStyle name="Separador de milhares 3 7 5 4 2 5" xfId="13482" xr:uid="{00000000-0005-0000-0000-00005E990000}"/>
    <cellStyle name="Separador de milhares 3 7 5 4 2 5 2" xfId="39675" xr:uid="{00000000-0005-0000-0000-00005F990000}"/>
    <cellStyle name="Separador de milhares 3 7 5 4 2 6" xfId="33289" xr:uid="{00000000-0005-0000-0000-000060990000}"/>
    <cellStyle name="Separador de milhares 3 7 5 4 3" xfId="8769" xr:uid="{00000000-0005-0000-0000-000061990000}"/>
    <cellStyle name="Separador de milhares 3 7 5 4 3 2" xfId="26983" xr:uid="{00000000-0005-0000-0000-000062990000}"/>
    <cellStyle name="Separador de milhares 3 7 5 4 3 2 2" xfId="53164" xr:uid="{00000000-0005-0000-0000-000063990000}"/>
    <cellStyle name="Separador de milhares 3 7 5 4 3 3" xfId="21069" xr:uid="{00000000-0005-0000-0000-000064990000}"/>
    <cellStyle name="Separador de milhares 3 7 5 4 3 3 2" xfId="47256" xr:uid="{00000000-0005-0000-0000-000065990000}"/>
    <cellStyle name="Separador de milhares 3 7 5 4 3 4" xfId="15155" xr:uid="{00000000-0005-0000-0000-000066990000}"/>
    <cellStyle name="Separador de milhares 3 7 5 4 3 4 2" xfId="41348" xr:uid="{00000000-0005-0000-0000-000067990000}"/>
    <cellStyle name="Separador de milhares 3 7 5 4 3 5" xfId="34962" xr:uid="{00000000-0005-0000-0000-000068990000}"/>
    <cellStyle name="Separador de milhares 3 7 5 4 4" xfId="5394" xr:uid="{00000000-0005-0000-0000-000069990000}"/>
    <cellStyle name="Separador de milhares 3 7 5 4 4 2" xfId="24026" xr:uid="{00000000-0005-0000-0000-00006A990000}"/>
    <cellStyle name="Separador de milhares 3 7 5 4 4 2 2" xfId="50210" xr:uid="{00000000-0005-0000-0000-00006B990000}"/>
    <cellStyle name="Separador de milhares 3 7 5 4 4 3" xfId="31590" xr:uid="{00000000-0005-0000-0000-00006C990000}"/>
    <cellStyle name="Separador de milhares 3 7 5 4 5" xfId="18112" xr:uid="{00000000-0005-0000-0000-00006D990000}"/>
    <cellStyle name="Separador de milhares 3 7 5 4 5 2" xfId="44302" xr:uid="{00000000-0005-0000-0000-00006E990000}"/>
    <cellStyle name="Separador de milhares 3 7 5 4 6" xfId="11781" xr:uid="{00000000-0005-0000-0000-00006F990000}"/>
    <cellStyle name="Separador de milhares 3 7 5 4 6 2" xfId="37974" xr:uid="{00000000-0005-0000-0000-000070990000}"/>
    <cellStyle name="Separador de milhares 3 7 5 4 7" xfId="29892" xr:uid="{00000000-0005-0000-0000-000071990000}"/>
    <cellStyle name="Separador de milhares 3 7 5 5" xfId="2913" xr:uid="{00000000-0005-0000-0000-000072990000}"/>
    <cellStyle name="Separador de milhares 3 7 5 5 2" xfId="7240" xr:uid="{00000000-0005-0000-0000-000073990000}"/>
    <cellStyle name="Separador de milhares 3 7 5 5 2 2" xfId="10384" xr:uid="{00000000-0005-0000-0000-000074990000}"/>
    <cellStyle name="Separador de milhares 3 7 5 5 2 2 2" xfId="28598" xr:uid="{00000000-0005-0000-0000-000075990000}"/>
    <cellStyle name="Separador de milhares 3 7 5 5 2 2 2 2" xfId="54779" xr:uid="{00000000-0005-0000-0000-000076990000}"/>
    <cellStyle name="Separador de milhares 3 7 5 5 2 2 3" xfId="22684" xr:uid="{00000000-0005-0000-0000-000077990000}"/>
    <cellStyle name="Separador de milhares 3 7 5 5 2 2 3 2" xfId="48871" xr:uid="{00000000-0005-0000-0000-000078990000}"/>
    <cellStyle name="Separador de milhares 3 7 5 5 2 2 4" xfId="16770" xr:uid="{00000000-0005-0000-0000-000079990000}"/>
    <cellStyle name="Separador de milhares 3 7 5 5 2 2 4 2" xfId="42963" xr:uid="{00000000-0005-0000-0000-00007A990000}"/>
    <cellStyle name="Separador de milhares 3 7 5 5 2 2 5" xfId="36577" xr:uid="{00000000-0005-0000-0000-00007B990000}"/>
    <cellStyle name="Separador de milhares 3 7 5 5 2 3" xfId="25641" xr:uid="{00000000-0005-0000-0000-00007C990000}"/>
    <cellStyle name="Separador de milhares 3 7 5 5 2 3 2" xfId="51825" xr:uid="{00000000-0005-0000-0000-00007D990000}"/>
    <cellStyle name="Separador de milhares 3 7 5 5 2 4" xfId="19727" xr:uid="{00000000-0005-0000-0000-00007E990000}"/>
    <cellStyle name="Separador de milhares 3 7 5 5 2 4 2" xfId="45917" xr:uid="{00000000-0005-0000-0000-00007F990000}"/>
    <cellStyle name="Separador de milhares 3 7 5 5 2 5" xfId="13629" xr:uid="{00000000-0005-0000-0000-000080990000}"/>
    <cellStyle name="Separador de milhares 3 7 5 5 2 5 2" xfId="39822" xr:uid="{00000000-0005-0000-0000-000081990000}"/>
    <cellStyle name="Separador de milhares 3 7 5 5 2 6" xfId="33436" xr:uid="{00000000-0005-0000-0000-000082990000}"/>
    <cellStyle name="Separador de milhares 3 7 5 5 3" xfId="8916" xr:uid="{00000000-0005-0000-0000-000083990000}"/>
    <cellStyle name="Separador de milhares 3 7 5 5 3 2" xfId="27130" xr:uid="{00000000-0005-0000-0000-000084990000}"/>
    <cellStyle name="Separador de milhares 3 7 5 5 3 2 2" xfId="53311" xr:uid="{00000000-0005-0000-0000-000085990000}"/>
    <cellStyle name="Separador de milhares 3 7 5 5 3 3" xfId="21216" xr:uid="{00000000-0005-0000-0000-000086990000}"/>
    <cellStyle name="Separador de milhares 3 7 5 5 3 3 2" xfId="47403" xr:uid="{00000000-0005-0000-0000-000087990000}"/>
    <cellStyle name="Separador de milhares 3 7 5 5 3 4" xfId="15302" xr:uid="{00000000-0005-0000-0000-000088990000}"/>
    <cellStyle name="Separador de milhares 3 7 5 5 3 4 2" xfId="41495" xr:uid="{00000000-0005-0000-0000-000089990000}"/>
    <cellStyle name="Separador de milhares 3 7 5 5 3 5" xfId="35109" xr:uid="{00000000-0005-0000-0000-00008A990000}"/>
    <cellStyle name="Separador de milhares 3 7 5 5 4" xfId="5541" xr:uid="{00000000-0005-0000-0000-00008B990000}"/>
    <cellStyle name="Separador de milhares 3 7 5 5 4 2" xfId="24173" xr:uid="{00000000-0005-0000-0000-00008C990000}"/>
    <cellStyle name="Separador de milhares 3 7 5 5 4 2 2" xfId="50357" xr:uid="{00000000-0005-0000-0000-00008D990000}"/>
    <cellStyle name="Separador de milhares 3 7 5 5 4 3" xfId="31737" xr:uid="{00000000-0005-0000-0000-00008E990000}"/>
    <cellStyle name="Separador de milhares 3 7 5 5 5" xfId="18259" xr:uid="{00000000-0005-0000-0000-00008F990000}"/>
    <cellStyle name="Separador de milhares 3 7 5 5 5 2" xfId="44449" xr:uid="{00000000-0005-0000-0000-000090990000}"/>
    <cellStyle name="Separador de milhares 3 7 5 5 6" xfId="11928" xr:uid="{00000000-0005-0000-0000-000091990000}"/>
    <cellStyle name="Separador de milhares 3 7 5 5 6 2" xfId="38121" xr:uid="{00000000-0005-0000-0000-000092990000}"/>
    <cellStyle name="Separador de milhares 3 7 5 5 7" xfId="30039" xr:uid="{00000000-0005-0000-0000-000093990000}"/>
    <cellStyle name="Separador de milhares 3 7 5 6" xfId="3440" xr:uid="{00000000-0005-0000-0000-000094990000}"/>
    <cellStyle name="Separador de milhares 3 7 5 6 2" xfId="7387" xr:uid="{00000000-0005-0000-0000-000095990000}"/>
    <cellStyle name="Separador de milhares 3 7 5 6 2 2" xfId="10531" xr:uid="{00000000-0005-0000-0000-000096990000}"/>
    <cellStyle name="Separador de milhares 3 7 5 6 2 2 2" xfId="28745" xr:uid="{00000000-0005-0000-0000-000097990000}"/>
    <cellStyle name="Separador de milhares 3 7 5 6 2 2 2 2" xfId="54926" xr:uid="{00000000-0005-0000-0000-000098990000}"/>
    <cellStyle name="Separador de milhares 3 7 5 6 2 2 3" xfId="22831" xr:uid="{00000000-0005-0000-0000-000099990000}"/>
    <cellStyle name="Separador de milhares 3 7 5 6 2 2 3 2" xfId="49018" xr:uid="{00000000-0005-0000-0000-00009A990000}"/>
    <cellStyle name="Separador de milhares 3 7 5 6 2 2 4" xfId="16917" xr:uid="{00000000-0005-0000-0000-00009B990000}"/>
    <cellStyle name="Separador de milhares 3 7 5 6 2 2 4 2" xfId="43110" xr:uid="{00000000-0005-0000-0000-00009C990000}"/>
    <cellStyle name="Separador de milhares 3 7 5 6 2 2 5" xfId="36724" xr:uid="{00000000-0005-0000-0000-00009D990000}"/>
    <cellStyle name="Separador de milhares 3 7 5 6 2 3" xfId="25788" xr:uid="{00000000-0005-0000-0000-00009E990000}"/>
    <cellStyle name="Separador de milhares 3 7 5 6 2 3 2" xfId="51972" xr:uid="{00000000-0005-0000-0000-00009F990000}"/>
    <cellStyle name="Separador de milhares 3 7 5 6 2 4" xfId="19874" xr:uid="{00000000-0005-0000-0000-0000A0990000}"/>
    <cellStyle name="Separador de milhares 3 7 5 6 2 4 2" xfId="46064" xr:uid="{00000000-0005-0000-0000-0000A1990000}"/>
    <cellStyle name="Separador de milhares 3 7 5 6 2 5" xfId="13776" xr:uid="{00000000-0005-0000-0000-0000A2990000}"/>
    <cellStyle name="Separador de milhares 3 7 5 6 2 5 2" xfId="39969" xr:uid="{00000000-0005-0000-0000-0000A3990000}"/>
    <cellStyle name="Separador de milhares 3 7 5 6 2 6" xfId="33583" xr:uid="{00000000-0005-0000-0000-0000A4990000}"/>
    <cellStyle name="Separador de milhares 3 7 5 6 3" xfId="9063" xr:uid="{00000000-0005-0000-0000-0000A5990000}"/>
    <cellStyle name="Separador de milhares 3 7 5 6 3 2" xfId="27277" xr:uid="{00000000-0005-0000-0000-0000A6990000}"/>
    <cellStyle name="Separador de milhares 3 7 5 6 3 2 2" xfId="53458" xr:uid="{00000000-0005-0000-0000-0000A7990000}"/>
    <cellStyle name="Separador de milhares 3 7 5 6 3 3" xfId="21363" xr:uid="{00000000-0005-0000-0000-0000A8990000}"/>
    <cellStyle name="Separador de milhares 3 7 5 6 3 3 2" xfId="47550" xr:uid="{00000000-0005-0000-0000-0000A9990000}"/>
    <cellStyle name="Separador de milhares 3 7 5 6 3 4" xfId="15449" xr:uid="{00000000-0005-0000-0000-0000AA990000}"/>
    <cellStyle name="Separador de milhares 3 7 5 6 3 4 2" xfId="41642" xr:uid="{00000000-0005-0000-0000-0000AB990000}"/>
    <cellStyle name="Separador de milhares 3 7 5 6 3 5" xfId="35256" xr:uid="{00000000-0005-0000-0000-0000AC990000}"/>
    <cellStyle name="Separador de milhares 3 7 5 6 4" xfId="5688" xr:uid="{00000000-0005-0000-0000-0000AD990000}"/>
    <cellStyle name="Separador de milhares 3 7 5 6 4 2" xfId="24320" xr:uid="{00000000-0005-0000-0000-0000AE990000}"/>
    <cellStyle name="Separador de milhares 3 7 5 6 4 2 2" xfId="50504" xr:uid="{00000000-0005-0000-0000-0000AF990000}"/>
    <cellStyle name="Separador de milhares 3 7 5 6 4 3" xfId="31884" xr:uid="{00000000-0005-0000-0000-0000B0990000}"/>
    <cellStyle name="Separador de milhares 3 7 5 6 5" xfId="18406" xr:uid="{00000000-0005-0000-0000-0000B1990000}"/>
    <cellStyle name="Separador de milhares 3 7 5 6 5 2" xfId="44596" xr:uid="{00000000-0005-0000-0000-0000B2990000}"/>
    <cellStyle name="Separador de milhares 3 7 5 6 6" xfId="12075" xr:uid="{00000000-0005-0000-0000-0000B3990000}"/>
    <cellStyle name="Separador de milhares 3 7 5 6 6 2" xfId="38268" xr:uid="{00000000-0005-0000-0000-0000B4990000}"/>
    <cellStyle name="Separador de milhares 3 7 5 6 7" xfId="30186" xr:uid="{00000000-0005-0000-0000-0000B5990000}"/>
    <cellStyle name="Separador de milhares 3 7 5 7" xfId="3967" xr:uid="{00000000-0005-0000-0000-0000B6990000}"/>
    <cellStyle name="Separador de milhares 3 7 5 7 2" xfId="7534" xr:uid="{00000000-0005-0000-0000-0000B7990000}"/>
    <cellStyle name="Separador de milhares 3 7 5 7 2 2" xfId="10678" xr:uid="{00000000-0005-0000-0000-0000B8990000}"/>
    <cellStyle name="Separador de milhares 3 7 5 7 2 2 2" xfId="28892" xr:uid="{00000000-0005-0000-0000-0000B9990000}"/>
    <cellStyle name="Separador de milhares 3 7 5 7 2 2 2 2" xfId="55073" xr:uid="{00000000-0005-0000-0000-0000BA990000}"/>
    <cellStyle name="Separador de milhares 3 7 5 7 2 2 3" xfId="22978" xr:uid="{00000000-0005-0000-0000-0000BB990000}"/>
    <cellStyle name="Separador de milhares 3 7 5 7 2 2 3 2" xfId="49165" xr:uid="{00000000-0005-0000-0000-0000BC990000}"/>
    <cellStyle name="Separador de milhares 3 7 5 7 2 2 4" xfId="17064" xr:uid="{00000000-0005-0000-0000-0000BD990000}"/>
    <cellStyle name="Separador de milhares 3 7 5 7 2 2 4 2" xfId="43257" xr:uid="{00000000-0005-0000-0000-0000BE990000}"/>
    <cellStyle name="Separador de milhares 3 7 5 7 2 2 5" xfId="36871" xr:uid="{00000000-0005-0000-0000-0000BF990000}"/>
    <cellStyle name="Separador de milhares 3 7 5 7 2 3" xfId="25935" xr:uid="{00000000-0005-0000-0000-0000C0990000}"/>
    <cellStyle name="Separador de milhares 3 7 5 7 2 3 2" xfId="52119" xr:uid="{00000000-0005-0000-0000-0000C1990000}"/>
    <cellStyle name="Separador de milhares 3 7 5 7 2 4" xfId="20021" xr:uid="{00000000-0005-0000-0000-0000C2990000}"/>
    <cellStyle name="Separador de milhares 3 7 5 7 2 4 2" xfId="46211" xr:uid="{00000000-0005-0000-0000-0000C3990000}"/>
    <cellStyle name="Separador de milhares 3 7 5 7 2 5" xfId="13923" xr:uid="{00000000-0005-0000-0000-0000C4990000}"/>
    <cellStyle name="Separador de milhares 3 7 5 7 2 5 2" xfId="40116" xr:uid="{00000000-0005-0000-0000-0000C5990000}"/>
    <cellStyle name="Separador de milhares 3 7 5 7 2 6" xfId="33730" xr:uid="{00000000-0005-0000-0000-0000C6990000}"/>
    <cellStyle name="Separador de milhares 3 7 5 7 3" xfId="9210" xr:uid="{00000000-0005-0000-0000-0000C7990000}"/>
    <cellStyle name="Separador de milhares 3 7 5 7 3 2" xfId="27424" xr:uid="{00000000-0005-0000-0000-0000C8990000}"/>
    <cellStyle name="Separador de milhares 3 7 5 7 3 2 2" xfId="53605" xr:uid="{00000000-0005-0000-0000-0000C9990000}"/>
    <cellStyle name="Separador de milhares 3 7 5 7 3 3" xfId="21510" xr:uid="{00000000-0005-0000-0000-0000CA990000}"/>
    <cellStyle name="Separador de milhares 3 7 5 7 3 3 2" xfId="47697" xr:uid="{00000000-0005-0000-0000-0000CB990000}"/>
    <cellStyle name="Separador de milhares 3 7 5 7 3 4" xfId="15596" xr:uid="{00000000-0005-0000-0000-0000CC990000}"/>
    <cellStyle name="Separador de milhares 3 7 5 7 3 4 2" xfId="41789" xr:uid="{00000000-0005-0000-0000-0000CD990000}"/>
    <cellStyle name="Separador de milhares 3 7 5 7 3 5" xfId="35403" xr:uid="{00000000-0005-0000-0000-0000CE990000}"/>
    <cellStyle name="Separador de milhares 3 7 5 7 4" xfId="5835" xr:uid="{00000000-0005-0000-0000-0000CF990000}"/>
    <cellStyle name="Separador de milhares 3 7 5 7 4 2" xfId="24467" xr:uid="{00000000-0005-0000-0000-0000D0990000}"/>
    <cellStyle name="Separador de milhares 3 7 5 7 4 2 2" xfId="50651" xr:uid="{00000000-0005-0000-0000-0000D1990000}"/>
    <cellStyle name="Separador de milhares 3 7 5 7 4 3" xfId="32031" xr:uid="{00000000-0005-0000-0000-0000D2990000}"/>
    <cellStyle name="Separador de milhares 3 7 5 7 5" xfId="18553" xr:uid="{00000000-0005-0000-0000-0000D3990000}"/>
    <cellStyle name="Separador de milhares 3 7 5 7 5 2" xfId="44743" xr:uid="{00000000-0005-0000-0000-0000D4990000}"/>
    <cellStyle name="Separador de milhares 3 7 5 7 6" xfId="12222" xr:uid="{00000000-0005-0000-0000-0000D5990000}"/>
    <cellStyle name="Separador de milhares 3 7 5 7 6 2" xfId="38415" xr:uid="{00000000-0005-0000-0000-0000D6990000}"/>
    <cellStyle name="Separador de milhares 3 7 5 7 7" xfId="30333" xr:uid="{00000000-0005-0000-0000-0000D7990000}"/>
    <cellStyle name="Separador de milhares 3 7 5 8" xfId="6573" xr:uid="{00000000-0005-0000-0000-0000D8990000}"/>
    <cellStyle name="Separador de milhares 3 7 5 8 2" xfId="9720" xr:uid="{00000000-0005-0000-0000-0000D9990000}"/>
    <cellStyle name="Separador de milhares 3 7 5 8 2 2" xfId="27934" xr:uid="{00000000-0005-0000-0000-0000DA990000}"/>
    <cellStyle name="Separador de milhares 3 7 5 8 2 2 2" xfId="54115" xr:uid="{00000000-0005-0000-0000-0000DB990000}"/>
    <cellStyle name="Separador de milhares 3 7 5 8 2 3" xfId="22020" xr:uid="{00000000-0005-0000-0000-0000DC990000}"/>
    <cellStyle name="Separador de milhares 3 7 5 8 2 3 2" xfId="48207" xr:uid="{00000000-0005-0000-0000-0000DD990000}"/>
    <cellStyle name="Separador de milhares 3 7 5 8 2 4" xfId="16106" xr:uid="{00000000-0005-0000-0000-0000DE990000}"/>
    <cellStyle name="Separador de milhares 3 7 5 8 2 4 2" xfId="42299" xr:uid="{00000000-0005-0000-0000-0000DF990000}"/>
    <cellStyle name="Separador de milhares 3 7 5 8 2 5" xfId="35913" xr:uid="{00000000-0005-0000-0000-0000E0990000}"/>
    <cellStyle name="Separador de milhares 3 7 5 8 3" xfId="24977" xr:uid="{00000000-0005-0000-0000-0000E1990000}"/>
    <cellStyle name="Separador de milhares 3 7 5 8 3 2" xfId="51161" xr:uid="{00000000-0005-0000-0000-0000E2990000}"/>
    <cellStyle name="Separador de milhares 3 7 5 8 4" xfId="19063" xr:uid="{00000000-0005-0000-0000-0000E3990000}"/>
    <cellStyle name="Separador de milhares 3 7 5 8 4 2" xfId="45253" xr:uid="{00000000-0005-0000-0000-0000E4990000}"/>
    <cellStyle name="Separador de milhares 3 7 5 8 5" xfId="12962" xr:uid="{00000000-0005-0000-0000-0000E5990000}"/>
    <cellStyle name="Separador de milhares 3 7 5 8 5 2" xfId="39155" xr:uid="{00000000-0005-0000-0000-0000E6990000}"/>
    <cellStyle name="Separador de milhares 3 7 5 8 6" xfId="32769" xr:uid="{00000000-0005-0000-0000-0000E7990000}"/>
    <cellStyle name="Separador de milhares 3 7 5 9" xfId="8249" xr:uid="{00000000-0005-0000-0000-0000E8990000}"/>
    <cellStyle name="Separador de milhares 3 7 5 9 2" xfId="26463" xr:uid="{00000000-0005-0000-0000-0000E9990000}"/>
    <cellStyle name="Separador de milhares 3 7 5 9 2 2" xfId="52647" xr:uid="{00000000-0005-0000-0000-0000EA990000}"/>
    <cellStyle name="Separador de milhares 3 7 5 9 3" xfId="20549" xr:uid="{00000000-0005-0000-0000-0000EB990000}"/>
    <cellStyle name="Separador de milhares 3 7 5 9 3 2" xfId="46739" xr:uid="{00000000-0005-0000-0000-0000EC990000}"/>
    <cellStyle name="Separador de milhares 3 7 5 9 4" xfId="14638" xr:uid="{00000000-0005-0000-0000-0000ED990000}"/>
    <cellStyle name="Separador de milhares 3 7 5 9 4 2" xfId="40831" xr:uid="{00000000-0005-0000-0000-0000EE990000}"/>
    <cellStyle name="Separador de milhares 3 7 5 9 5" xfId="34445" xr:uid="{00000000-0005-0000-0000-0000EF990000}"/>
    <cellStyle name="Separador de milhares 3 7 6" xfId="719" xr:uid="{00000000-0005-0000-0000-0000F0990000}"/>
    <cellStyle name="Separador de milhares 3 7 6 2" xfId="4143" xr:uid="{00000000-0005-0000-0000-0000F1990000}"/>
    <cellStyle name="Separador de milhares 3 7 6 2 2" xfId="7583" xr:uid="{00000000-0005-0000-0000-0000F2990000}"/>
    <cellStyle name="Separador de milhares 3 7 6 2 2 2" xfId="10727" xr:uid="{00000000-0005-0000-0000-0000F3990000}"/>
    <cellStyle name="Separador de milhares 3 7 6 2 2 2 2" xfId="28941" xr:uid="{00000000-0005-0000-0000-0000F4990000}"/>
    <cellStyle name="Separador de milhares 3 7 6 2 2 2 2 2" xfId="55122" xr:uid="{00000000-0005-0000-0000-0000F5990000}"/>
    <cellStyle name="Separador de milhares 3 7 6 2 2 2 3" xfId="23027" xr:uid="{00000000-0005-0000-0000-0000F6990000}"/>
    <cellStyle name="Separador de milhares 3 7 6 2 2 2 3 2" xfId="49214" xr:uid="{00000000-0005-0000-0000-0000F7990000}"/>
    <cellStyle name="Separador de milhares 3 7 6 2 2 2 4" xfId="17113" xr:uid="{00000000-0005-0000-0000-0000F8990000}"/>
    <cellStyle name="Separador de milhares 3 7 6 2 2 2 4 2" xfId="43306" xr:uid="{00000000-0005-0000-0000-0000F9990000}"/>
    <cellStyle name="Separador de milhares 3 7 6 2 2 2 5" xfId="36920" xr:uid="{00000000-0005-0000-0000-0000FA990000}"/>
    <cellStyle name="Separador de milhares 3 7 6 2 2 3" xfId="25984" xr:uid="{00000000-0005-0000-0000-0000FB990000}"/>
    <cellStyle name="Separador de milhares 3 7 6 2 2 3 2" xfId="52168" xr:uid="{00000000-0005-0000-0000-0000FC990000}"/>
    <cellStyle name="Separador de milhares 3 7 6 2 2 4" xfId="20070" xr:uid="{00000000-0005-0000-0000-0000FD990000}"/>
    <cellStyle name="Separador de milhares 3 7 6 2 2 4 2" xfId="46260" xr:uid="{00000000-0005-0000-0000-0000FE990000}"/>
    <cellStyle name="Separador de milhares 3 7 6 2 2 5" xfId="13972" xr:uid="{00000000-0005-0000-0000-0000FF990000}"/>
    <cellStyle name="Separador de milhares 3 7 6 2 2 5 2" xfId="40165" xr:uid="{00000000-0005-0000-0000-0000009A0000}"/>
    <cellStyle name="Separador de milhares 3 7 6 2 2 6" xfId="33779" xr:uid="{00000000-0005-0000-0000-0000019A0000}"/>
    <cellStyle name="Separador de milhares 3 7 6 2 3" xfId="9259" xr:uid="{00000000-0005-0000-0000-0000029A0000}"/>
    <cellStyle name="Separador de milhares 3 7 6 2 3 2" xfId="27473" xr:uid="{00000000-0005-0000-0000-0000039A0000}"/>
    <cellStyle name="Separador de milhares 3 7 6 2 3 2 2" xfId="53654" xr:uid="{00000000-0005-0000-0000-0000049A0000}"/>
    <cellStyle name="Separador de milhares 3 7 6 2 3 3" xfId="21559" xr:uid="{00000000-0005-0000-0000-0000059A0000}"/>
    <cellStyle name="Separador de milhares 3 7 6 2 3 3 2" xfId="47746" xr:uid="{00000000-0005-0000-0000-0000069A0000}"/>
    <cellStyle name="Separador de milhares 3 7 6 2 3 4" xfId="15645" xr:uid="{00000000-0005-0000-0000-0000079A0000}"/>
    <cellStyle name="Separador de milhares 3 7 6 2 3 4 2" xfId="41838" xr:uid="{00000000-0005-0000-0000-0000089A0000}"/>
    <cellStyle name="Separador de milhares 3 7 6 2 3 5" xfId="35452" xr:uid="{00000000-0005-0000-0000-0000099A0000}"/>
    <cellStyle name="Separador de milhares 3 7 6 2 4" xfId="5884" xr:uid="{00000000-0005-0000-0000-00000A9A0000}"/>
    <cellStyle name="Separador de milhares 3 7 6 2 4 2" xfId="24516" xr:uid="{00000000-0005-0000-0000-00000B9A0000}"/>
    <cellStyle name="Separador de milhares 3 7 6 2 4 2 2" xfId="50700" xr:uid="{00000000-0005-0000-0000-00000C9A0000}"/>
    <cellStyle name="Separador de milhares 3 7 6 2 4 3" xfId="32080" xr:uid="{00000000-0005-0000-0000-00000D9A0000}"/>
    <cellStyle name="Separador de milhares 3 7 6 2 5" xfId="18602" xr:uid="{00000000-0005-0000-0000-00000E9A0000}"/>
    <cellStyle name="Separador de milhares 3 7 6 2 5 2" xfId="44792" xr:uid="{00000000-0005-0000-0000-00000F9A0000}"/>
    <cellStyle name="Separador de milhares 3 7 6 2 6" xfId="12271" xr:uid="{00000000-0005-0000-0000-0000109A0000}"/>
    <cellStyle name="Separador de milhares 3 7 6 2 6 2" xfId="38464" xr:uid="{00000000-0005-0000-0000-0000119A0000}"/>
    <cellStyle name="Separador de milhares 3 7 6 2 7" xfId="30382" xr:uid="{00000000-0005-0000-0000-0000129A0000}"/>
    <cellStyle name="Separador de milhares 3 7 6 3" xfId="6628" xr:uid="{00000000-0005-0000-0000-0000139A0000}"/>
    <cellStyle name="Separador de milhares 3 7 6 3 2" xfId="9775" xr:uid="{00000000-0005-0000-0000-0000149A0000}"/>
    <cellStyle name="Separador de milhares 3 7 6 3 2 2" xfId="27989" xr:uid="{00000000-0005-0000-0000-0000159A0000}"/>
    <cellStyle name="Separador de milhares 3 7 6 3 2 2 2" xfId="54170" xr:uid="{00000000-0005-0000-0000-0000169A0000}"/>
    <cellStyle name="Separador de milhares 3 7 6 3 2 3" xfId="22075" xr:uid="{00000000-0005-0000-0000-0000179A0000}"/>
    <cellStyle name="Separador de milhares 3 7 6 3 2 3 2" xfId="48262" xr:uid="{00000000-0005-0000-0000-0000189A0000}"/>
    <cellStyle name="Separador de milhares 3 7 6 3 2 4" xfId="16161" xr:uid="{00000000-0005-0000-0000-0000199A0000}"/>
    <cellStyle name="Separador de milhares 3 7 6 3 2 4 2" xfId="42354" xr:uid="{00000000-0005-0000-0000-00001A9A0000}"/>
    <cellStyle name="Separador de milhares 3 7 6 3 2 5" xfId="35968" xr:uid="{00000000-0005-0000-0000-00001B9A0000}"/>
    <cellStyle name="Separador de milhares 3 7 6 3 3" xfId="25032" xr:uid="{00000000-0005-0000-0000-00001C9A0000}"/>
    <cellStyle name="Separador de milhares 3 7 6 3 3 2" xfId="51216" xr:uid="{00000000-0005-0000-0000-00001D9A0000}"/>
    <cellStyle name="Separador de milhares 3 7 6 3 4" xfId="19118" xr:uid="{00000000-0005-0000-0000-00001E9A0000}"/>
    <cellStyle name="Separador de milhares 3 7 6 3 4 2" xfId="45308" xr:uid="{00000000-0005-0000-0000-00001F9A0000}"/>
    <cellStyle name="Separador de milhares 3 7 6 3 5" xfId="13017" xr:uid="{00000000-0005-0000-0000-0000209A0000}"/>
    <cellStyle name="Separador de milhares 3 7 6 3 5 2" xfId="39210" xr:uid="{00000000-0005-0000-0000-0000219A0000}"/>
    <cellStyle name="Separador de milhares 3 7 6 3 6" xfId="32824" xr:uid="{00000000-0005-0000-0000-0000229A0000}"/>
    <cellStyle name="Separador de milhares 3 7 6 4" xfId="8307" xr:uid="{00000000-0005-0000-0000-0000239A0000}"/>
    <cellStyle name="Separador de milhares 3 7 6 4 2" xfId="26521" xr:uid="{00000000-0005-0000-0000-0000249A0000}"/>
    <cellStyle name="Separador de milhares 3 7 6 4 2 2" xfId="52702" xr:uid="{00000000-0005-0000-0000-0000259A0000}"/>
    <cellStyle name="Separador de milhares 3 7 6 4 3" xfId="20607" xr:uid="{00000000-0005-0000-0000-0000269A0000}"/>
    <cellStyle name="Separador de milhares 3 7 6 4 3 2" xfId="46794" xr:uid="{00000000-0005-0000-0000-0000279A0000}"/>
    <cellStyle name="Separador de milhares 3 7 6 4 4" xfId="14693" xr:uid="{00000000-0005-0000-0000-0000289A0000}"/>
    <cellStyle name="Separador de milhares 3 7 6 4 4 2" xfId="40886" xr:uid="{00000000-0005-0000-0000-0000299A0000}"/>
    <cellStyle name="Separador de milhares 3 7 6 4 5" xfId="34500" xr:uid="{00000000-0005-0000-0000-00002A9A0000}"/>
    <cellStyle name="Separador de milhares 3 7 6 5" xfId="4929" xr:uid="{00000000-0005-0000-0000-00002B9A0000}"/>
    <cellStyle name="Separador de milhares 3 7 6 5 2" xfId="23564" xr:uid="{00000000-0005-0000-0000-00002C9A0000}"/>
    <cellStyle name="Separador de milhares 3 7 6 5 2 2" xfId="49748" xr:uid="{00000000-0005-0000-0000-00002D9A0000}"/>
    <cellStyle name="Separador de milhares 3 7 6 5 3" xfId="31125" xr:uid="{00000000-0005-0000-0000-00002E9A0000}"/>
    <cellStyle name="Separador de milhares 3 7 6 6" xfId="17650" xr:uid="{00000000-0005-0000-0000-00002F9A0000}"/>
    <cellStyle name="Separador de milhares 3 7 6 6 2" xfId="43840" xr:uid="{00000000-0005-0000-0000-0000309A0000}"/>
    <cellStyle name="Separador de milhares 3 7 6 7" xfId="11316" xr:uid="{00000000-0005-0000-0000-0000319A0000}"/>
    <cellStyle name="Separador de milhares 3 7 6 7 2" xfId="37509" xr:uid="{00000000-0005-0000-0000-0000329A0000}"/>
    <cellStyle name="Separador de milhares 3 7 6 8" xfId="29427" xr:uid="{00000000-0005-0000-0000-0000339A0000}"/>
    <cellStyle name="Separador de milhares 3 7 7" xfId="1070" xr:uid="{00000000-0005-0000-0000-0000349A0000}"/>
    <cellStyle name="Separador de milhares 3 7 7 2" xfId="6726" xr:uid="{00000000-0005-0000-0000-0000359A0000}"/>
    <cellStyle name="Separador de milhares 3 7 7 2 2" xfId="9873" xr:uid="{00000000-0005-0000-0000-0000369A0000}"/>
    <cellStyle name="Separador de milhares 3 7 7 2 2 2" xfId="28087" xr:uid="{00000000-0005-0000-0000-0000379A0000}"/>
    <cellStyle name="Separador de milhares 3 7 7 2 2 2 2" xfId="54268" xr:uid="{00000000-0005-0000-0000-0000389A0000}"/>
    <cellStyle name="Separador de milhares 3 7 7 2 2 3" xfId="22173" xr:uid="{00000000-0005-0000-0000-0000399A0000}"/>
    <cellStyle name="Separador de milhares 3 7 7 2 2 3 2" xfId="48360" xr:uid="{00000000-0005-0000-0000-00003A9A0000}"/>
    <cellStyle name="Separador de milhares 3 7 7 2 2 4" xfId="16259" xr:uid="{00000000-0005-0000-0000-00003B9A0000}"/>
    <cellStyle name="Separador de milhares 3 7 7 2 2 4 2" xfId="42452" xr:uid="{00000000-0005-0000-0000-00003C9A0000}"/>
    <cellStyle name="Separador de milhares 3 7 7 2 2 5" xfId="36066" xr:uid="{00000000-0005-0000-0000-00003D9A0000}"/>
    <cellStyle name="Separador de milhares 3 7 7 2 3" xfId="25130" xr:uid="{00000000-0005-0000-0000-00003E9A0000}"/>
    <cellStyle name="Separador de milhares 3 7 7 2 3 2" xfId="51314" xr:uid="{00000000-0005-0000-0000-00003F9A0000}"/>
    <cellStyle name="Separador de milhares 3 7 7 2 4" xfId="19216" xr:uid="{00000000-0005-0000-0000-0000409A0000}"/>
    <cellStyle name="Separador de milhares 3 7 7 2 4 2" xfId="45406" xr:uid="{00000000-0005-0000-0000-0000419A0000}"/>
    <cellStyle name="Separador de milhares 3 7 7 2 5" xfId="13115" xr:uid="{00000000-0005-0000-0000-0000429A0000}"/>
    <cellStyle name="Separador de milhares 3 7 7 2 5 2" xfId="39308" xr:uid="{00000000-0005-0000-0000-0000439A0000}"/>
    <cellStyle name="Separador de milhares 3 7 7 2 6" xfId="32922" xr:uid="{00000000-0005-0000-0000-0000449A0000}"/>
    <cellStyle name="Separador de milhares 3 7 7 3" xfId="8405" xr:uid="{00000000-0005-0000-0000-0000459A0000}"/>
    <cellStyle name="Separador de milhares 3 7 7 3 2" xfId="26619" xr:uid="{00000000-0005-0000-0000-0000469A0000}"/>
    <cellStyle name="Separador de milhares 3 7 7 3 2 2" xfId="52800" xr:uid="{00000000-0005-0000-0000-0000479A0000}"/>
    <cellStyle name="Separador de milhares 3 7 7 3 3" xfId="20705" xr:uid="{00000000-0005-0000-0000-0000489A0000}"/>
    <cellStyle name="Separador de milhares 3 7 7 3 3 2" xfId="46892" xr:uid="{00000000-0005-0000-0000-0000499A0000}"/>
    <cellStyle name="Separador de milhares 3 7 7 3 4" xfId="14791" xr:uid="{00000000-0005-0000-0000-00004A9A0000}"/>
    <cellStyle name="Separador de milhares 3 7 7 3 4 2" xfId="40984" xr:uid="{00000000-0005-0000-0000-00004B9A0000}"/>
    <cellStyle name="Separador de milhares 3 7 7 3 5" xfId="34598" xr:uid="{00000000-0005-0000-0000-00004C9A0000}"/>
    <cellStyle name="Separador de milhares 3 7 7 4" xfId="5027" xr:uid="{00000000-0005-0000-0000-00004D9A0000}"/>
    <cellStyle name="Separador de milhares 3 7 7 4 2" xfId="23662" xr:uid="{00000000-0005-0000-0000-00004E9A0000}"/>
    <cellStyle name="Separador de milhares 3 7 7 4 2 2" xfId="49846" xr:uid="{00000000-0005-0000-0000-00004F9A0000}"/>
    <cellStyle name="Separador de milhares 3 7 7 4 3" xfId="31223" xr:uid="{00000000-0005-0000-0000-0000509A0000}"/>
    <cellStyle name="Separador de milhares 3 7 7 5" xfId="17748" xr:uid="{00000000-0005-0000-0000-0000519A0000}"/>
    <cellStyle name="Separador de milhares 3 7 7 5 2" xfId="43938" xr:uid="{00000000-0005-0000-0000-0000529A0000}"/>
    <cellStyle name="Separador de milhares 3 7 7 6" xfId="11414" xr:uid="{00000000-0005-0000-0000-0000539A0000}"/>
    <cellStyle name="Separador de milhares 3 7 7 6 2" xfId="37607" xr:uid="{00000000-0005-0000-0000-0000549A0000}"/>
    <cellStyle name="Separador de milhares 3 7 7 7" xfId="29525" xr:uid="{00000000-0005-0000-0000-0000559A0000}"/>
    <cellStyle name="Separador de milhares 3 7 8" xfId="1505" xr:uid="{00000000-0005-0000-0000-0000569A0000}"/>
    <cellStyle name="Separador de milhares 3 7 8 2" xfId="6845" xr:uid="{00000000-0005-0000-0000-0000579A0000}"/>
    <cellStyle name="Separador de milhares 3 7 8 2 2" xfId="9992" xr:uid="{00000000-0005-0000-0000-0000589A0000}"/>
    <cellStyle name="Separador de milhares 3 7 8 2 2 2" xfId="28206" xr:uid="{00000000-0005-0000-0000-0000599A0000}"/>
    <cellStyle name="Separador de milhares 3 7 8 2 2 2 2" xfId="54387" xr:uid="{00000000-0005-0000-0000-00005A9A0000}"/>
    <cellStyle name="Separador de milhares 3 7 8 2 2 3" xfId="22292" xr:uid="{00000000-0005-0000-0000-00005B9A0000}"/>
    <cellStyle name="Separador de milhares 3 7 8 2 2 3 2" xfId="48479" xr:uid="{00000000-0005-0000-0000-00005C9A0000}"/>
    <cellStyle name="Separador de milhares 3 7 8 2 2 4" xfId="16378" xr:uid="{00000000-0005-0000-0000-00005D9A0000}"/>
    <cellStyle name="Separador de milhares 3 7 8 2 2 4 2" xfId="42571" xr:uid="{00000000-0005-0000-0000-00005E9A0000}"/>
    <cellStyle name="Separador de milhares 3 7 8 2 2 5" xfId="36185" xr:uid="{00000000-0005-0000-0000-00005F9A0000}"/>
    <cellStyle name="Separador de milhares 3 7 8 2 3" xfId="25249" xr:uid="{00000000-0005-0000-0000-0000609A0000}"/>
    <cellStyle name="Separador de milhares 3 7 8 2 3 2" xfId="51433" xr:uid="{00000000-0005-0000-0000-0000619A0000}"/>
    <cellStyle name="Separador de milhares 3 7 8 2 4" xfId="19335" xr:uid="{00000000-0005-0000-0000-0000629A0000}"/>
    <cellStyle name="Separador de milhares 3 7 8 2 4 2" xfId="45525" xr:uid="{00000000-0005-0000-0000-0000639A0000}"/>
    <cellStyle name="Separador de milhares 3 7 8 2 5" xfId="13234" xr:uid="{00000000-0005-0000-0000-0000649A0000}"/>
    <cellStyle name="Separador de milhares 3 7 8 2 5 2" xfId="39427" xr:uid="{00000000-0005-0000-0000-0000659A0000}"/>
    <cellStyle name="Separador de milhares 3 7 8 2 6" xfId="33041" xr:uid="{00000000-0005-0000-0000-0000669A0000}"/>
    <cellStyle name="Separador de milhares 3 7 8 3" xfId="8524" xr:uid="{00000000-0005-0000-0000-0000679A0000}"/>
    <cellStyle name="Separador de milhares 3 7 8 3 2" xfId="26738" xr:uid="{00000000-0005-0000-0000-0000689A0000}"/>
    <cellStyle name="Separador de milhares 3 7 8 3 2 2" xfId="52919" xr:uid="{00000000-0005-0000-0000-0000699A0000}"/>
    <cellStyle name="Separador de milhares 3 7 8 3 3" xfId="20824" xr:uid="{00000000-0005-0000-0000-00006A9A0000}"/>
    <cellStyle name="Separador de milhares 3 7 8 3 3 2" xfId="47011" xr:uid="{00000000-0005-0000-0000-00006B9A0000}"/>
    <cellStyle name="Separador de milhares 3 7 8 3 4" xfId="14910" xr:uid="{00000000-0005-0000-0000-00006C9A0000}"/>
    <cellStyle name="Separador de milhares 3 7 8 3 4 2" xfId="41103" xr:uid="{00000000-0005-0000-0000-00006D9A0000}"/>
    <cellStyle name="Separador de milhares 3 7 8 3 5" xfId="34717" xr:uid="{00000000-0005-0000-0000-00006E9A0000}"/>
    <cellStyle name="Separador de milhares 3 7 8 4" xfId="5146" xr:uid="{00000000-0005-0000-0000-00006F9A0000}"/>
    <cellStyle name="Separador de milhares 3 7 8 4 2" xfId="23781" xr:uid="{00000000-0005-0000-0000-0000709A0000}"/>
    <cellStyle name="Separador de milhares 3 7 8 4 2 2" xfId="49965" xr:uid="{00000000-0005-0000-0000-0000719A0000}"/>
    <cellStyle name="Separador de milhares 3 7 8 4 3" xfId="31342" xr:uid="{00000000-0005-0000-0000-0000729A0000}"/>
    <cellStyle name="Separador de milhares 3 7 8 5" xfId="17867" xr:uid="{00000000-0005-0000-0000-0000739A0000}"/>
    <cellStyle name="Separador de milhares 3 7 8 5 2" xfId="44057" xr:uid="{00000000-0005-0000-0000-0000749A0000}"/>
    <cellStyle name="Separador de milhares 3 7 8 6" xfId="11533" xr:uid="{00000000-0005-0000-0000-0000759A0000}"/>
    <cellStyle name="Separador de milhares 3 7 8 6 2" xfId="37726" xr:uid="{00000000-0005-0000-0000-0000769A0000}"/>
    <cellStyle name="Separador de milhares 3 7 8 7" xfId="29644" xr:uid="{00000000-0005-0000-0000-0000779A0000}"/>
    <cellStyle name="Separador de milhares 3 7 9" xfId="2035" xr:uid="{00000000-0005-0000-0000-0000789A0000}"/>
    <cellStyle name="Separador de milhares 3 7 9 2" xfId="6995" xr:uid="{00000000-0005-0000-0000-0000799A0000}"/>
    <cellStyle name="Separador de milhares 3 7 9 2 2" xfId="10139" xr:uid="{00000000-0005-0000-0000-00007A9A0000}"/>
    <cellStyle name="Separador de milhares 3 7 9 2 2 2" xfId="28353" xr:uid="{00000000-0005-0000-0000-00007B9A0000}"/>
    <cellStyle name="Separador de milhares 3 7 9 2 2 2 2" xfId="54534" xr:uid="{00000000-0005-0000-0000-00007C9A0000}"/>
    <cellStyle name="Separador de milhares 3 7 9 2 2 3" xfId="22439" xr:uid="{00000000-0005-0000-0000-00007D9A0000}"/>
    <cellStyle name="Separador de milhares 3 7 9 2 2 3 2" xfId="48626" xr:uid="{00000000-0005-0000-0000-00007E9A0000}"/>
    <cellStyle name="Separador de milhares 3 7 9 2 2 4" xfId="16525" xr:uid="{00000000-0005-0000-0000-00007F9A0000}"/>
    <cellStyle name="Separador de milhares 3 7 9 2 2 4 2" xfId="42718" xr:uid="{00000000-0005-0000-0000-0000809A0000}"/>
    <cellStyle name="Separador de milhares 3 7 9 2 2 5" xfId="36332" xr:uid="{00000000-0005-0000-0000-0000819A0000}"/>
    <cellStyle name="Separador de milhares 3 7 9 2 3" xfId="25396" xr:uid="{00000000-0005-0000-0000-0000829A0000}"/>
    <cellStyle name="Separador de milhares 3 7 9 2 3 2" xfId="51580" xr:uid="{00000000-0005-0000-0000-0000839A0000}"/>
    <cellStyle name="Separador de milhares 3 7 9 2 4" xfId="19482" xr:uid="{00000000-0005-0000-0000-0000849A0000}"/>
    <cellStyle name="Separador de milhares 3 7 9 2 4 2" xfId="45672" xr:uid="{00000000-0005-0000-0000-0000859A0000}"/>
    <cellStyle name="Separador de milhares 3 7 9 2 5" xfId="13384" xr:uid="{00000000-0005-0000-0000-0000869A0000}"/>
    <cellStyle name="Separador de milhares 3 7 9 2 5 2" xfId="39577" xr:uid="{00000000-0005-0000-0000-0000879A0000}"/>
    <cellStyle name="Separador de milhares 3 7 9 2 6" xfId="33191" xr:uid="{00000000-0005-0000-0000-0000889A0000}"/>
    <cellStyle name="Separador de milhares 3 7 9 3" xfId="8671" xr:uid="{00000000-0005-0000-0000-0000899A0000}"/>
    <cellStyle name="Separador de milhares 3 7 9 3 2" xfId="26885" xr:uid="{00000000-0005-0000-0000-00008A9A0000}"/>
    <cellStyle name="Separador de milhares 3 7 9 3 2 2" xfId="53066" xr:uid="{00000000-0005-0000-0000-00008B9A0000}"/>
    <cellStyle name="Separador de milhares 3 7 9 3 3" xfId="20971" xr:uid="{00000000-0005-0000-0000-00008C9A0000}"/>
    <cellStyle name="Separador de milhares 3 7 9 3 3 2" xfId="47158" xr:uid="{00000000-0005-0000-0000-00008D9A0000}"/>
    <cellStyle name="Separador de milhares 3 7 9 3 4" xfId="15057" xr:uid="{00000000-0005-0000-0000-00008E9A0000}"/>
    <cellStyle name="Separador de milhares 3 7 9 3 4 2" xfId="41250" xr:uid="{00000000-0005-0000-0000-00008F9A0000}"/>
    <cellStyle name="Separador de milhares 3 7 9 3 5" xfId="34864" xr:uid="{00000000-0005-0000-0000-0000909A0000}"/>
    <cellStyle name="Separador de milhares 3 7 9 4" xfId="5296" xr:uid="{00000000-0005-0000-0000-0000919A0000}"/>
    <cellStyle name="Separador de milhares 3 7 9 4 2" xfId="23928" xr:uid="{00000000-0005-0000-0000-0000929A0000}"/>
    <cellStyle name="Separador de milhares 3 7 9 4 2 2" xfId="50112" xr:uid="{00000000-0005-0000-0000-0000939A0000}"/>
    <cellStyle name="Separador de milhares 3 7 9 4 3" xfId="31492" xr:uid="{00000000-0005-0000-0000-0000949A0000}"/>
    <cellStyle name="Separador de milhares 3 7 9 5" xfId="18014" xr:uid="{00000000-0005-0000-0000-0000959A0000}"/>
    <cellStyle name="Separador de milhares 3 7 9 5 2" xfId="44204" xr:uid="{00000000-0005-0000-0000-0000969A0000}"/>
    <cellStyle name="Separador de milhares 3 7 9 6" xfId="11683" xr:uid="{00000000-0005-0000-0000-0000979A0000}"/>
    <cellStyle name="Separador de milhares 3 7 9 6 2" xfId="37876" xr:uid="{00000000-0005-0000-0000-0000989A0000}"/>
    <cellStyle name="Separador de milhares 3 7 9 7" xfId="29794" xr:uid="{00000000-0005-0000-0000-0000999A0000}"/>
    <cellStyle name="Separador de milhares 3 8" xfId="63" xr:uid="{00000000-0005-0000-0000-00009A9A0000}"/>
    <cellStyle name="Separador de milhares 3 8 10" xfId="2566" xr:uid="{00000000-0005-0000-0000-00009B9A0000}"/>
    <cellStyle name="Separador de milhares 3 8 10 2" xfId="7143" xr:uid="{00000000-0005-0000-0000-00009C9A0000}"/>
    <cellStyle name="Separador de milhares 3 8 10 2 2" xfId="10287" xr:uid="{00000000-0005-0000-0000-00009D9A0000}"/>
    <cellStyle name="Separador de milhares 3 8 10 2 2 2" xfId="28501" xr:uid="{00000000-0005-0000-0000-00009E9A0000}"/>
    <cellStyle name="Separador de milhares 3 8 10 2 2 2 2" xfId="54682" xr:uid="{00000000-0005-0000-0000-00009F9A0000}"/>
    <cellStyle name="Separador de milhares 3 8 10 2 2 3" xfId="22587" xr:uid="{00000000-0005-0000-0000-0000A09A0000}"/>
    <cellStyle name="Separador de milhares 3 8 10 2 2 3 2" xfId="48774" xr:uid="{00000000-0005-0000-0000-0000A19A0000}"/>
    <cellStyle name="Separador de milhares 3 8 10 2 2 4" xfId="16673" xr:uid="{00000000-0005-0000-0000-0000A29A0000}"/>
    <cellStyle name="Separador de milhares 3 8 10 2 2 4 2" xfId="42866" xr:uid="{00000000-0005-0000-0000-0000A39A0000}"/>
    <cellStyle name="Separador de milhares 3 8 10 2 2 5" xfId="36480" xr:uid="{00000000-0005-0000-0000-0000A49A0000}"/>
    <cellStyle name="Separador de milhares 3 8 10 2 3" xfId="25544" xr:uid="{00000000-0005-0000-0000-0000A59A0000}"/>
    <cellStyle name="Separador de milhares 3 8 10 2 3 2" xfId="51728" xr:uid="{00000000-0005-0000-0000-0000A69A0000}"/>
    <cellStyle name="Separador de milhares 3 8 10 2 4" xfId="19630" xr:uid="{00000000-0005-0000-0000-0000A79A0000}"/>
    <cellStyle name="Separador de milhares 3 8 10 2 4 2" xfId="45820" xr:uid="{00000000-0005-0000-0000-0000A89A0000}"/>
    <cellStyle name="Separador de milhares 3 8 10 2 5" xfId="13532" xr:uid="{00000000-0005-0000-0000-0000A99A0000}"/>
    <cellStyle name="Separador de milhares 3 8 10 2 5 2" xfId="39725" xr:uid="{00000000-0005-0000-0000-0000AA9A0000}"/>
    <cellStyle name="Separador de milhares 3 8 10 2 6" xfId="33339" xr:uid="{00000000-0005-0000-0000-0000AB9A0000}"/>
    <cellStyle name="Separador de milhares 3 8 10 3" xfId="8819" xr:uid="{00000000-0005-0000-0000-0000AC9A0000}"/>
    <cellStyle name="Separador de milhares 3 8 10 3 2" xfId="27033" xr:uid="{00000000-0005-0000-0000-0000AD9A0000}"/>
    <cellStyle name="Separador de milhares 3 8 10 3 2 2" xfId="53214" xr:uid="{00000000-0005-0000-0000-0000AE9A0000}"/>
    <cellStyle name="Separador de milhares 3 8 10 3 3" xfId="21119" xr:uid="{00000000-0005-0000-0000-0000AF9A0000}"/>
    <cellStyle name="Separador de milhares 3 8 10 3 3 2" xfId="47306" xr:uid="{00000000-0005-0000-0000-0000B09A0000}"/>
    <cellStyle name="Separador de milhares 3 8 10 3 4" xfId="15205" xr:uid="{00000000-0005-0000-0000-0000B19A0000}"/>
    <cellStyle name="Separador de milhares 3 8 10 3 4 2" xfId="41398" xr:uid="{00000000-0005-0000-0000-0000B29A0000}"/>
    <cellStyle name="Separador de milhares 3 8 10 3 5" xfId="35012" xr:uid="{00000000-0005-0000-0000-0000B39A0000}"/>
    <cellStyle name="Separador de milhares 3 8 10 4" xfId="5444" xr:uid="{00000000-0005-0000-0000-0000B49A0000}"/>
    <cellStyle name="Separador de milhares 3 8 10 4 2" xfId="24076" xr:uid="{00000000-0005-0000-0000-0000B59A0000}"/>
    <cellStyle name="Separador de milhares 3 8 10 4 2 2" xfId="50260" xr:uid="{00000000-0005-0000-0000-0000B69A0000}"/>
    <cellStyle name="Separador de milhares 3 8 10 4 3" xfId="31640" xr:uid="{00000000-0005-0000-0000-0000B79A0000}"/>
    <cellStyle name="Separador de milhares 3 8 10 5" xfId="18162" xr:uid="{00000000-0005-0000-0000-0000B89A0000}"/>
    <cellStyle name="Separador de milhares 3 8 10 5 2" xfId="44352" xr:uid="{00000000-0005-0000-0000-0000B99A0000}"/>
    <cellStyle name="Separador de milhares 3 8 10 6" xfId="11831" xr:uid="{00000000-0005-0000-0000-0000BA9A0000}"/>
    <cellStyle name="Separador de milhares 3 8 10 6 2" xfId="38024" xr:uid="{00000000-0005-0000-0000-0000BB9A0000}"/>
    <cellStyle name="Separador de milhares 3 8 10 7" xfId="29942" xr:uid="{00000000-0005-0000-0000-0000BC9A0000}"/>
    <cellStyle name="Separador de milhares 3 8 11" xfId="3093" xr:uid="{00000000-0005-0000-0000-0000BD9A0000}"/>
    <cellStyle name="Separador de milhares 3 8 11 2" xfId="7290" xr:uid="{00000000-0005-0000-0000-0000BE9A0000}"/>
    <cellStyle name="Separador de milhares 3 8 11 2 2" xfId="10434" xr:uid="{00000000-0005-0000-0000-0000BF9A0000}"/>
    <cellStyle name="Separador de milhares 3 8 11 2 2 2" xfId="28648" xr:uid="{00000000-0005-0000-0000-0000C09A0000}"/>
    <cellStyle name="Separador de milhares 3 8 11 2 2 2 2" xfId="54829" xr:uid="{00000000-0005-0000-0000-0000C19A0000}"/>
    <cellStyle name="Separador de milhares 3 8 11 2 2 3" xfId="22734" xr:uid="{00000000-0005-0000-0000-0000C29A0000}"/>
    <cellStyle name="Separador de milhares 3 8 11 2 2 3 2" xfId="48921" xr:uid="{00000000-0005-0000-0000-0000C39A0000}"/>
    <cellStyle name="Separador de milhares 3 8 11 2 2 4" xfId="16820" xr:uid="{00000000-0005-0000-0000-0000C49A0000}"/>
    <cellStyle name="Separador de milhares 3 8 11 2 2 4 2" xfId="43013" xr:uid="{00000000-0005-0000-0000-0000C59A0000}"/>
    <cellStyle name="Separador de milhares 3 8 11 2 2 5" xfId="36627" xr:uid="{00000000-0005-0000-0000-0000C69A0000}"/>
    <cellStyle name="Separador de milhares 3 8 11 2 3" xfId="25691" xr:uid="{00000000-0005-0000-0000-0000C79A0000}"/>
    <cellStyle name="Separador de milhares 3 8 11 2 3 2" xfId="51875" xr:uid="{00000000-0005-0000-0000-0000C89A0000}"/>
    <cellStyle name="Separador de milhares 3 8 11 2 4" xfId="19777" xr:uid="{00000000-0005-0000-0000-0000C99A0000}"/>
    <cellStyle name="Separador de milhares 3 8 11 2 4 2" xfId="45967" xr:uid="{00000000-0005-0000-0000-0000CA9A0000}"/>
    <cellStyle name="Separador de milhares 3 8 11 2 5" xfId="13679" xr:uid="{00000000-0005-0000-0000-0000CB9A0000}"/>
    <cellStyle name="Separador de milhares 3 8 11 2 5 2" xfId="39872" xr:uid="{00000000-0005-0000-0000-0000CC9A0000}"/>
    <cellStyle name="Separador de milhares 3 8 11 2 6" xfId="33486" xr:uid="{00000000-0005-0000-0000-0000CD9A0000}"/>
    <cellStyle name="Separador de milhares 3 8 11 3" xfId="8966" xr:uid="{00000000-0005-0000-0000-0000CE9A0000}"/>
    <cellStyle name="Separador de milhares 3 8 11 3 2" xfId="27180" xr:uid="{00000000-0005-0000-0000-0000CF9A0000}"/>
    <cellStyle name="Separador de milhares 3 8 11 3 2 2" xfId="53361" xr:uid="{00000000-0005-0000-0000-0000D09A0000}"/>
    <cellStyle name="Separador de milhares 3 8 11 3 3" xfId="21266" xr:uid="{00000000-0005-0000-0000-0000D19A0000}"/>
    <cellStyle name="Separador de milhares 3 8 11 3 3 2" xfId="47453" xr:uid="{00000000-0005-0000-0000-0000D29A0000}"/>
    <cellStyle name="Separador de milhares 3 8 11 3 4" xfId="15352" xr:uid="{00000000-0005-0000-0000-0000D39A0000}"/>
    <cellStyle name="Separador de milhares 3 8 11 3 4 2" xfId="41545" xr:uid="{00000000-0005-0000-0000-0000D49A0000}"/>
    <cellStyle name="Separador de milhares 3 8 11 3 5" xfId="35159" xr:uid="{00000000-0005-0000-0000-0000D59A0000}"/>
    <cellStyle name="Separador de milhares 3 8 11 4" xfId="5591" xr:uid="{00000000-0005-0000-0000-0000D69A0000}"/>
    <cellStyle name="Separador de milhares 3 8 11 4 2" xfId="24223" xr:uid="{00000000-0005-0000-0000-0000D79A0000}"/>
    <cellStyle name="Separador de milhares 3 8 11 4 2 2" xfId="50407" xr:uid="{00000000-0005-0000-0000-0000D89A0000}"/>
    <cellStyle name="Separador de milhares 3 8 11 4 3" xfId="31787" xr:uid="{00000000-0005-0000-0000-0000D99A0000}"/>
    <cellStyle name="Separador de milhares 3 8 11 5" xfId="18309" xr:uid="{00000000-0005-0000-0000-0000DA9A0000}"/>
    <cellStyle name="Separador de milhares 3 8 11 5 2" xfId="44499" xr:uid="{00000000-0005-0000-0000-0000DB9A0000}"/>
    <cellStyle name="Separador de milhares 3 8 11 6" xfId="11978" xr:uid="{00000000-0005-0000-0000-0000DC9A0000}"/>
    <cellStyle name="Separador de milhares 3 8 11 6 2" xfId="38171" xr:uid="{00000000-0005-0000-0000-0000DD9A0000}"/>
    <cellStyle name="Separador de milhares 3 8 11 7" xfId="30089" xr:uid="{00000000-0005-0000-0000-0000DE9A0000}"/>
    <cellStyle name="Separador de milhares 3 8 12" xfId="3620" xr:uid="{00000000-0005-0000-0000-0000DF9A0000}"/>
    <cellStyle name="Separador de milhares 3 8 12 2" xfId="7437" xr:uid="{00000000-0005-0000-0000-0000E09A0000}"/>
    <cellStyle name="Separador de milhares 3 8 12 2 2" xfId="10581" xr:uid="{00000000-0005-0000-0000-0000E19A0000}"/>
    <cellStyle name="Separador de milhares 3 8 12 2 2 2" xfId="28795" xr:uid="{00000000-0005-0000-0000-0000E29A0000}"/>
    <cellStyle name="Separador de milhares 3 8 12 2 2 2 2" xfId="54976" xr:uid="{00000000-0005-0000-0000-0000E39A0000}"/>
    <cellStyle name="Separador de milhares 3 8 12 2 2 3" xfId="22881" xr:uid="{00000000-0005-0000-0000-0000E49A0000}"/>
    <cellStyle name="Separador de milhares 3 8 12 2 2 3 2" xfId="49068" xr:uid="{00000000-0005-0000-0000-0000E59A0000}"/>
    <cellStyle name="Separador de milhares 3 8 12 2 2 4" xfId="16967" xr:uid="{00000000-0005-0000-0000-0000E69A0000}"/>
    <cellStyle name="Separador de milhares 3 8 12 2 2 4 2" xfId="43160" xr:uid="{00000000-0005-0000-0000-0000E79A0000}"/>
    <cellStyle name="Separador de milhares 3 8 12 2 2 5" xfId="36774" xr:uid="{00000000-0005-0000-0000-0000E89A0000}"/>
    <cellStyle name="Separador de milhares 3 8 12 2 3" xfId="25838" xr:uid="{00000000-0005-0000-0000-0000E99A0000}"/>
    <cellStyle name="Separador de milhares 3 8 12 2 3 2" xfId="52022" xr:uid="{00000000-0005-0000-0000-0000EA9A0000}"/>
    <cellStyle name="Separador de milhares 3 8 12 2 4" xfId="19924" xr:uid="{00000000-0005-0000-0000-0000EB9A0000}"/>
    <cellStyle name="Separador de milhares 3 8 12 2 4 2" xfId="46114" xr:uid="{00000000-0005-0000-0000-0000EC9A0000}"/>
    <cellStyle name="Separador de milhares 3 8 12 2 5" xfId="13826" xr:uid="{00000000-0005-0000-0000-0000ED9A0000}"/>
    <cellStyle name="Separador de milhares 3 8 12 2 5 2" xfId="40019" xr:uid="{00000000-0005-0000-0000-0000EE9A0000}"/>
    <cellStyle name="Separador de milhares 3 8 12 2 6" xfId="33633" xr:uid="{00000000-0005-0000-0000-0000EF9A0000}"/>
    <cellStyle name="Separador de milhares 3 8 12 3" xfId="9113" xr:uid="{00000000-0005-0000-0000-0000F09A0000}"/>
    <cellStyle name="Separador de milhares 3 8 12 3 2" xfId="27327" xr:uid="{00000000-0005-0000-0000-0000F19A0000}"/>
    <cellStyle name="Separador de milhares 3 8 12 3 2 2" xfId="53508" xr:uid="{00000000-0005-0000-0000-0000F29A0000}"/>
    <cellStyle name="Separador de milhares 3 8 12 3 3" xfId="21413" xr:uid="{00000000-0005-0000-0000-0000F39A0000}"/>
    <cellStyle name="Separador de milhares 3 8 12 3 3 2" xfId="47600" xr:uid="{00000000-0005-0000-0000-0000F49A0000}"/>
    <cellStyle name="Separador de milhares 3 8 12 3 4" xfId="15499" xr:uid="{00000000-0005-0000-0000-0000F59A0000}"/>
    <cellStyle name="Separador de milhares 3 8 12 3 4 2" xfId="41692" xr:uid="{00000000-0005-0000-0000-0000F69A0000}"/>
    <cellStyle name="Separador de milhares 3 8 12 3 5" xfId="35306" xr:uid="{00000000-0005-0000-0000-0000F79A0000}"/>
    <cellStyle name="Separador de milhares 3 8 12 4" xfId="5738" xr:uid="{00000000-0005-0000-0000-0000F89A0000}"/>
    <cellStyle name="Separador de milhares 3 8 12 4 2" xfId="24370" xr:uid="{00000000-0005-0000-0000-0000F99A0000}"/>
    <cellStyle name="Separador de milhares 3 8 12 4 2 2" xfId="50554" xr:uid="{00000000-0005-0000-0000-0000FA9A0000}"/>
    <cellStyle name="Separador de milhares 3 8 12 4 3" xfId="31934" xr:uid="{00000000-0005-0000-0000-0000FB9A0000}"/>
    <cellStyle name="Separador de milhares 3 8 12 5" xfId="18456" xr:uid="{00000000-0005-0000-0000-0000FC9A0000}"/>
    <cellStyle name="Separador de milhares 3 8 12 5 2" xfId="44646" xr:uid="{00000000-0005-0000-0000-0000FD9A0000}"/>
    <cellStyle name="Separador de milhares 3 8 12 6" xfId="12125" xr:uid="{00000000-0005-0000-0000-0000FE9A0000}"/>
    <cellStyle name="Separador de milhares 3 8 12 6 2" xfId="38318" xr:uid="{00000000-0005-0000-0000-0000FF9A0000}"/>
    <cellStyle name="Separador de milhares 3 8 12 7" xfId="30236" xr:uid="{00000000-0005-0000-0000-0000009B0000}"/>
    <cellStyle name="Separador de milhares 3 8 13" xfId="6421" xr:uid="{00000000-0005-0000-0000-0000019B0000}"/>
    <cellStyle name="Separador de milhares 3 8 13 2" xfId="9577" xr:uid="{00000000-0005-0000-0000-0000029B0000}"/>
    <cellStyle name="Separador de milhares 3 8 13 2 2" xfId="27791" xr:uid="{00000000-0005-0000-0000-0000039B0000}"/>
    <cellStyle name="Separador de milhares 3 8 13 2 2 2" xfId="53972" xr:uid="{00000000-0005-0000-0000-0000049B0000}"/>
    <cellStyle name="Separador de milhares 3 8 13 2 3" xfId="21877" xr:uid="{00000000-0005-0000-0000-0000059B0000}"/>
    <cellStyle name="Separador de milhares 3 8 13 2 3 2" xfId="48064" xr:uid="{00000000-0005-0000-0000-0000069B0000}"/>
    <cellStyle name="Separador de milhares 3 8 13 2 4" xfId="15963" xr:uid="{00000000-0005-0000-0000-0000079B0000}"/>
    <cellStyle name="Separador de milhares 3 8 13 2 4 2" xfId="42156" xr:uid="{00000000-0005-0000-0000-0000089B0000}"/>
    <cellStyle name="Separador de milhares 3 8 13 2 5" xfId="35770" xr:uid="{00000000-0005-0000-0000-0000099B0000}"/>
    <cellStyle name="Separador de milhares 3 8 13 3" xfId="24834" xr:uid="{00000000-0005-0000-0000-00000A9B0000}"/>
    <cellStyle name="Separador de milhares 3 8 13 3 2" xfId="51018" xr:uid="{00000000-0005-0000-0000-00000B9B0000}"/>
    <cellStyle name="Separador de milhares 3 8 13 4" xfId="18920" xr:uid="{00000000-0005-0000-0000-00000C9B0000}"/>
    <cellStyle name="Separador de milhares 3 8 13 4 2" xfId="45110" xr:uid="{00000000-0005-0000-0000-00000D9B0000}"/>
    <cellStyle name="Separador de milhares 3 8 13 5" xfId="12810" xr:uid="{00000000-0005-0000-0000-00000E9B0000}"/>
    <cellStyle name="Separador de milhares 3 8 13 5 2" xfId="39003" xr:uid="{00000000-0005-0000-0000-00000F9B0000}"/>
    <cellStyle name="Separador de milhares 3 8 13 6" xfId="32617" xr:uid="{00000000-0005-0000-0000-0000109B0000}"/>
    <cellStyle name="Separador de milhares 3 8 14" xfId="8106" xr:uid="{00000000-0005-0000-0000-0000119B0000}"/>
    <cellStyle name="Separador de milhares 3 8 14 2" xfId="26320" xr:uid="{00000000-0005-0000-0000-0000129B0000}"/>
    <cellStyle name="Separador de milhares 3 8 14 2 2" xfId="52504" xr:uid="{00000000-0005-0000-0000-0000139B0000}"/>
    <cellStyle name="Separador de milhares 3 8 14 3" xfId="20406" xr:uid="{00000000-0005-0000-0000-0000149B0000}"/>
    <cellStyle name="Separador de milhares 3 8 14 3 2" xfId="46596" xr:uid="{00000000-0005-0000-0000-0000159B0000}"/>
    <cellStyle name="Separador de milhares 3 8 14 4" xfId="14495" xr:uid="{00000000-0005-0000-0000-0000169B0000}"/>
    <cellStyle name="Separador de milhares 3 8 14 4 2" xfId="40688" xr:uid="{00000000-0005-0000-0000-0000179B0000}"/>
    <cellStyle name="Separador de milhares 3 8 14 5" xfId="34302" xr:uid="{00000000-0005-0000-0000-0000189B0000}"/>
    <cellStyle name="Separador de milhares 3 8 15" xfId="4719" xr:uid="{00000000-0005-0000-0000-0000199B0000}"/>
    <cellStyle name="Separador de milhares 3 8 15 2" xfId="23363" xr:uid="{00000000-0005-0000-0000-00001A9B0000}"/>
    <cellStyle name="Separador de milhares 3 8 15 2 2" xfId="49550" xr:uid="{00000000-0005-0000-0000-00001B9B0000}"/>
    <cellStyle name="Separador de milhares 3 8 15 3" xfId="30918" xr:uid="{00000000-0005-0000-0000-00001C9B0000}"/>
    <cellStyle name="Separador de milhares 3 8 16" xfId="17449" xr:uid="{00000000-0005-0000-0000-00001D9B0000}"/>
    <cellStyle name="Separador de milhares 3 8 16 2" xfId="43642" xr:uid="{00000000-0005-0000-0000-00001E9B0000}"/>
    <cellStyle name="Separador de milhares 3 8 17" xfId="11109" xr:uid="{00000000-0005-0000-0000-00001F9B0000}"/>
    <cellStyle name="Separador de milhares 3 8 17 2" xfId="37302" xr:uid="{00000000-0005-0000-0000-0000209B0000}"/>
    <cellStyle name="Separador de milhares 3 8 18" xfId="29220" xr:uid="{00000000-0005-0000-0000-0000219B0000}"/>
    <cellStyle name="Separador de milhares 3 8 2" xfId="157" xr:uid="{00000000-0005-0000-0000-0000229B0000}"/>
    <cellStyle name="Separador de milhares 3 8 2 10" xfId="6450" xr:uid="{00000000-0005-0000-0000-0000239B0000}"/>
    <cellStyle name="Separador de milhares 3 8 2 10 2" xfId="9604" xr:uid="{00000000-0005-0000-0000-0000249B0000}"/>
    <cellStyle name="Separador de milhares 3 8 2 10 2 2" xfId="27818" xr:uid="{00000000-0005-0000-0000-0000259B0000}"/>
    <cellStyle name="Separador de milhares 3 8 2 10 2 2 2" xfId="53999" xr:uid="{00000000-0005-0000-0000-0000269B0000}"/>
    <cellStyle name="Separador de milhares 3 8 2 10 2 3" xfId="21904" xr:uid="{00000000-0005-0000-0000-0000279B0000}"/>
    <cellStyle name="Separador de milhares 3 8 2 10 2 3 2" xfId="48091" xr:uid="{00000000-0005-0000-0000-0000289B0000}"/>
    <cellStyle name="Separador de milhares 3 8 2 10 2 4" xfId="15990" xr:uid="{00000000-0005-0000-0000-0000299B0000}"/>
    <cellStyle name="Separador de milhares 3 8 2 10 2 4 2" xfId="42183" xr:uid="{00000000-0005-0000-0000-00002A9B0000}"/>
    <cellStyle name="Separador de milhares 3 8 2 10 2 5" xfId="35797" xr:uid="{00000000-0005-0000-0000-00002B9B0000}"/>
    <cellStyle name="Separador de milhares 3 8 2 10 3" xfId="24861" xr:uid="{00000000-0005-0000-0000-00002C9B0000}"/>
    <cellStyle name="Separador de milhares 3 8 2 10 3 2" xfId="51045" xr:uid="{00000000-0005-0000-0000-00002D9B0000}"/>
    <cellStyle name="Separador de milhares 3 8 2 10 4" xfId="18947" xr:uid="{00000000-0005-0000-0000-00002E9B0000}"/>
    <cellStyle name="Separador de milhares 3 8 2 10 4 2" xfId="45137" xr:uid="{00000000-0005-0000-0000-00002F9B0000}"/>
    <cellStyle name="Separador de milhares 3 8 2 10 5" xfId="12839" xr:uid="{00000000-0005-0000-0000-0000309B0000}"/>
    <cellStyle name="Separador de milhares 3 8 2 10 5 2" xfId="39032" xr:uid="{00000000-0005-0000-0000-0000319B0000}"/>
    <cellStyle name="Separador de milhares 3 8 2 10 6" xfId="32646" xr:uid="{00000000-0005-0000-0000-0000329B0000}"/>
    <cellStyle name="Separador de milhares 3 8 2 11" xfId="8133" xr:uid="{00000000-0005-0000-0000-0000339B0000}"/>
    <cellStyle name="Separador de milhares 3 8 2 11 2" xfId="26347" xr:uid="{00000000-0005-0000-0000-0000349B0000}"/>
    <cellStyle name="Separador de milhares 3 8 2 11 2 2" xfId="52531" xr:uid="{00000000-0005-0000-0000-0000359B0000}"/>
    <cellStyle name="Separador de milhares 3 8 2 11 3" xfId="20433" xr:uid="{00000000-0005-0000-0000-0000369B0000}"/>
    <cellStyle name="Separador de milhares 3 8 2 11 3 2" xfId="46623" xr:uid="{00000000-0005-0000-0000-0000379B0000}"/>
    <cellStyle name="Separador de milhares 3 8 2 11 4" xfId="14522" xr:uid="{00000000-0005-0000-0000-0000389B0000}"/>
    <cellStyle name="Separador de milhares 3 8 2 11 4 2" xfId="40715" xr:uid="{00000000-0005-0000-0000-0000399B0000}"/>
    <cellStyle name="Separador de milhares 3 8 2 11 5" xfId="34329" xr:uid="{00000000-0005-0000-0000-00003A9B0000}"/>
    <cellStyle name="Separador de milhares 3 8 2 12" xfId="4749" xr:uid="{00000000-0005-0000-0000-00003B9B0000}"/>
    <cellStyle name="Separador de milhares 3 8 2 12 2" xfId="23390" xr:uid="{00000000-0005-0000-0000-00003C9B0000}"/>
    <cellStyle name="Separador de milhares 3 8 2 12 2 2" xfId="49577" xr:uid="{00000000-0005-0000-0000-00003D9B0000}"/>
    <cellStyle name="Separador de milhares 3 8 2 12 3" xfId="30947" xr:uid="{00000000-0005-0000-0000-00003E9B0000}"/>
    <cellStyle name="Separador de milhares 3 8 2 13" xfId="17476" xr:uid="{00000000-0005-0000-0000-00003F9B0000}"/>
    <cellStyle name="Separador de milhares 3 8 2 13 2" xfId="43669" xr:uid="{00000000-0005-0000-0000-0000409B0000}"/>
    <cellStyle name="Separador de milhares 3 8 2 14" xfId="11138" xr:uid="{00000000-0005-0000-0000-0000419B0000}"/>
    <cellStyle name="Separador de milhares 3 8 2 14 2" xfId="37331" xr:uid="{00000000-0005-0000-0000-0000429B0000}"/>
    <cellStyle name="Separador de milhares 3 8 2 15" xfId="29250" xr:uid="{00000000-0005-0000-0000-0000439B0000}"/>
    <cellStyle name="Separador de milhares 3 8 2 2" xfId="430" xr:uid="{00000000-0005-0000-0000-0000449B0000}"/>
    <cellStyle name="Separador de milhares 3 8 2 2 10" xfId="17550" xr:uid="{00000000-0005-0000-0000-0000459B0000}"/>
    <cellStyle name="Separador de milhares 3 8 2 2 10 2" xfId="43743" xr:uid="{00000000-0005-0000-0000-0000469B0000}"/>
    <cellStyle name="Separador de milhares 3 8 2 2 11" xfId="11219" xr:uid="{00000000-0005-0000-0000-0000479B0000}"/>
    <cellStyle name="Separador de milhares 3 8 2 2 11 2" xfId="37412" xr:uid="{00000000-0005-0000-0000-0000489B0000}"/>
    <cellStyle name="Separador de milhares 3 8 2 2 12" xfId="29330" xr:uid="{00000000-0005-0000-0000-0000499B0000}"/>
    <cellStyle name="Separador de milhares 3 8 2 2 2" xfId="1949" xr:uid="{00000000-0005-0000-0000-00004A9B0000}"/>
    <cellStyle name="Separador de milhares 3 8 2 2 2 2" xfId="6969" xr:uid="{00000000-0005-0000-0000-00004B9B0000}"/>
    <cellStyle name="Separador de milhares 3 8 2 2 2 2 2" xfId="10116" xr:uid="{00000000-0005-0000-0000-00004C9B0000}"/>
    <cellStyle name="Separador de milhares 3 8 2 2 2 2 2 2" xfId="28330" xr:uid="{00000000-0005-0000-0000-00004D9B0000}"/>
    <cellStyle name="Separador de milhares 3 8 2 2 2 2 2 2 2" xfId="54511" xr:uid="{00000000-0005-0000-0000-00004E9B0000}"/>
    <cellStyle name="Separador de milhares 3 8 2 2 2 2 2 3" xfId="22416" xr:uid="{00000000-0005-0000-0000-00004F9B0000}"/>
    <cellStyle name="Separador de milhares 3 8 2 2 2 2 2 3 2" xfId="48603" xr:uid="{00000000-0005-0000-0000-0000509B0000}"/>
    <cellStyle name="Separador de milhares 3 8 2 2 2 2 2 4" xfId="16502" xr:uid="{00000000-0005-0000-0000-0000519B0000}"/>
    <cellStyle name="Separador de milhares 3 8 2 2 2 2 2 4 2" xfId="42695" xr:uid="{00000000-0005-0000-0000-0000529B0000}"/>
    <cellStyle name="Separador de milhares 3 8 2 2 2 2 2 5" xfId="36309" xr:uid="{00000000-0005-0000-0000-0000539B0000}"/>
    <cellStyle name="Separador de milhares 3 8 2 2 2 2 3" xfId="25373" xr:uid="{00000000-0005-0000-0000-0000549B0000}"/>
    <cellStyle name="Separador de milhares 3 8 2 2 2 2 3 2" xfId="51557" xr:uid="{00000000-0005-0000-0000-0000559B0000}"/>
    <cellStyle name="Separador de milhares 3 8 2 2 2 2 4" xfId="19459" xr:uid="{00000000-0005-0000-0000-0000569B0000}"/>
    <cellStyle name="Separador de milhares 3 8 2 2 2 2 4 2" xfId="45649" xr:uid="{00000000-0005-0000-0000-0000579B0000}"/>
    <cellStyle name="Separador de milhares 3 8 2 2 2 2 5" xfId="13358" xr:uid="{00000000-0005-0000-0000-0000589B0000}"/>
    <cellStyle name="Separador de milhares 3 8 2 2 2 2 5 2" xfId="39551" xr:uid="{00000000-0005-0000-0000-0000599B0000}"/>
    <cellStyle name="Separador de milhares 3 8 2 2 2 2 6" xfId="33165" xr:uid="{00000000-0005-0000-0000-00005A9B0000}"/>
    <cellStyle name="Separador de milhares 3 8 2 2 2 3" xfId="8648" xr:uid="{00000000-0005-0000-0000-00005B9B0000}"/>
    <cellStyle name="Separador de milhares 3 8 2 2 2 3 2" xfId="26862" xr:uid="{00000000-0005-0000-0000-00005C9B0000}"/>
    <cellStyle name="Separador de milhares 3 8 2 2 2 3 2 2" xfId="53043" xr:uid="{00000000-0005-0000-0000-00005D9B0000}"/>
    <cellStyle name="Separador de milhares 3 8 2 2 2 3 3" xfId="20948" xr:uid="{00000000-0005-0000-0000-00005E9B0000}"/>
    <cellStyle name="Separador de milhares 3 8 2 2 2 3 3 2" xfId="47135" xr:uid="{00000000-0005-0000-0000-00005F9B0000}"/>
    <cellStyle name="Separador de milhares 3 8 2 2 2 3 4" xfId="15034" xr:uid="{00000000-0005-0000-0000-0000609B0000}"/>
    <cellStyle name="Separador de milhares 3 8 2 2 2 3 4 2" xfId="41227" xr:uid="{00000000-0005-0000-0000-0000619B0000}"/>
    <cellStyle name="Separador de milhares 3 8 2 2 2 3 5" xfId="34841" xr:uid="{00000000-0005-0000-0000-0000629B0000}"/>
    <cellStyle name="Separador de milhares 3 8 2 2 2 4" xfId="5270" xr:uid="{00000000-0005-0000-0000-0000639B0000}"/>
    <cellStyle name="Separador de milhares 3 8 2 2 2 4 2" xfId="23905" xr:uid="{00000000-0005-0000-0000-0000649B0000}"/>
    <cellStyle name="Separador de milhares 3 8 2 2 2 4 2 2" xfId="50089" xr:uid="{00000000-0005-0000-0000-0000659B0000}"/>
    <cellStyle name="Separador de milhares 3 8 2 2 2 4 3" xfId="31466" xr:uid="{00000000-0005-0000-0000-0000669B0000}"/>
    <cellStyle name="Separador de milhares 3 8 2 2 2 5" xfId="17991" xr:uid="{00000000-0005-0000-0000-0000679B0000}"/>
    <cellStyle name="Separador de milhares 3 8 2 2 2 5 2" xfId="44181" xr:uid="{00000000-0005-0000-0000-0000689B0000}"/>
    <cellStyle name="Separador de milhares 3 8 2 2 2 6" xfId="11657" xr:uid="{00000000-0005-0000-0000-0000699B0000}"/>
    <cellStyle name="Separador de milhares 3 8 2 2 2 6 2" xfId="37850" xr:uid="{00000000-0005-0000-0000-00006A9B0000}"/>
    <cellStyle name="Separador de milhares 3 8 2 2 2 7" xfId="29768" xr:uid="{00000000-0005-0000-0000-00006B9B0000}"/>
    <cellStyle name="Separador de milhares 3 8 2 2 3" xfId="2479" xr:uid="{00000000-0005-0000-0000-00006C9B0000}"/>
    <cellStyle name="Separador de milhares 3 8 2 2 3 2" xfId="7119" xr:uid="{00000000-0005-0000-0000-00006D9B0000}"/>
    <cellStyle name="Separador de milhares 3 8 2 2 3 2 2" xfId="10263" xr:uid="{00000000-0005-0000-0000-00006E9B0000}"/>
    <cellStyle name="Separador de milhares 3 8 2 2 3 2 2 2" xfId="28477" xr:uid="{00000000-0005-0000-0000-00006F9B0000}"/>
    <cellStyle name="Separador de milhares 3 8 2 2 3 2 2 2 2" xfId="54658" xr:uid="{00000000-0005-0000-0000-0000709B0000}"/>
    <cellStyle name="Separador de milhares 3 8 2 2 3 2 2 3" xfId="22563" xr:uid="{00000000-0005-0000-0000-0000719B0000}"/>
    <cellStyle name="Separador de milhares 3 8 2 2 3 2 2 3 2" xfId="48750" xr:uid="{00000000-0005-0000-0000-0000729B0000}"/>
    <cellStyle name="Separador de milhares 3 8 2 2 3 2 2 4" xfId="16649" xr:uid="{00000000-0005-0000-0000-0000739B0000}"/>
    <cellStyle name="Separador de milhares 3 8 2 2 3 2 2 4 2" xfId="42842" xr:uid="{00000000-0005-0000-0000-0000749B0000}"/>
    <cellStyle name="Separador de milhares 3 8 2 2 3 2 2 5" xfId="36456" xr:uid="{00000000-0005-0000-0000-0000759B0000}"/>
    <cellStyle name="Separador de milhares 3 8 2 2 3 2 3" xfId="25520" xr:uid="{00000000-0005-0000-0000-0000769B0000}"/>
    <cellStyle name="Separador de milhares 3 8 2 2 3 2 3 2" xfId="51704" xr:uid="{00000000-0005-0000-0000-0000779B0000}"/>
    <cellStyle name="Separador de milhares 3 8 2 2 3 2 4" xfId="19606" xr:uid="{00000000-0005-0000-0000-0000789B0000}"/>
    <cellStyle name="Separador de milhares 3 8 2 2 3 2 4 2" xfId="45796" xr:uid="{00000000-0005-0000-0000-0000799B0000}"/>
    <cellStyle name="Separador de milhares 3 8 2 2 3 2 5" xfId="13508" xr:uid="{00000000-0005-0000-0000-00007A9B0000}"/>
    <cellStyle name="Separador de milhares 3 8 2 2 3 2 5 2" xfId="39701" xr:uid="{00000000-0005-0000-0000-00007B9B0000}"/>
    <cellStyle name="Separador de milhares 3 8 2 2 3 2 6" xfId="33315" xr:uid="{00000000-0005-0000-0000-00007C9B0000}"/>
    <cellStyle name="Separador de milhares 3 8 2 2 3 3" xfId="8795" xr:uid="{00000000-0005-0000-0000-00007D9B0000}"/>
    <cellStyle name="Separador de milhares 3 8 2 2 3 3 2" xfId="27009" xr:uid="{00000000-0005-0000-0000-00007E9B0000}"/>
    <cellStyle name="Separador de milhares 3 8 2 2 3 3 2 2" xfId="53190" xr:uid="{00000000-0005-0000-0000-00007F9B0000}"/>
    <cellStyle name="Separador de milhares 3 8 2 2 3 3 3" xfId="21095" xr:uid="{00000000-0005-0000-0000-0000809B0000}"/>
    <cellStyle name="Separador de milhares 3 8 2 2 3 3 3 2" xfId="47282" xr:uid="{00000000-0005-0000-0000-0000819B0000}"/>
    <cellStyle name="Separador de milhares 3 8 2 2 3 3 4" xfId="15181" xr:uid="{00000000-0005-0000-0000-0000829B0000}"/>
    <cellStyle name="Separador de milhares 3 8 2 2 3 3 4 2" xfId="41374" xr:uid="{00000000-0005-0000-0000-0000839B0000}"/>
    <cellStyle name="Separador de milhares 3 8 2 2 3 3 5" xfId="34988" xr:uid="{00000000-0005-0000-0000-0000849B0000}"/>
    <cellStyle name="Separador de milhares 3 8 2 2 3 4" xfId="5420" xr:uid="{00000000-0005-0000-0000-0000859B0000}"/>
    <cellStyle name="Separador de milhares 3 8 2 2 3 4 2" xfId="24052" xr:uid="{00000000-0005-0000-0000-0000869B0000}"/>
    <cellStyle name="Separador de milhares 3 8 2 2 3 4 2 2" xfId="50236" xr:uid="{00000000-0005-0000-0000-0000879B0000}"/>
    <cellStyle name="Separador de milhares 3 8 2 2 3 4 3" xfId="31616" xr:uid="{00000000-0005-0000-0000-0000889B0000}"/>
    <cellStyle name="Separador de milhares 3 8 2 2 3 5" xfId="18138" xr:uid="{00000000-0005-0000-0000-0000899B0000}"/>
    <cellStyle name="Separador de milhares 3 8 2 2 3 5 2" xfId="44328" xr:uid="{00000000-0005-0000-0000-00008A9B0000}"/>
    <cellStyle name="Separador de milhares 3 8 2 2 3 6" xfId="11807" xr:uid="{00000000-0005-0000-0000-00008B9B0000}"/>
    <cellStyle name="Separador de milhares 3 8 2 2 3 6 2" xfId="38000" xr:uid="{00000000-0005-0000-0000-00008C9B0000}"/>
    <cellStyle name="Separador de milhares 3 8 2 2 3 7" xfId="29918" xr:uid="{00000000-0005-0000-0000-00008D9B0000}"/>
    <cellStyle name="Separador de milhares 3 8 2 2 4" xfId="3006" xr:uid="{00000000-0005-0000-0000-00008E9B0000}"/>
    <cellStyle name="Separador de milhares 3 8 2 2 4 2" xfId="7266" xr:uid="{00000000-0005-0000-0000-00008F9B0000}"/>
    <cellStyle name="Separador de milhares 3 8 2 2 4 2 2" xfId="10410" xr:uid="{00000000-0005-0000-0000-0000909B0000}"/>
    <cellStyle name="Separador de milhares 3 8 2 2 4 2 2 2" xfId="28624" xr:uid="{00000000-0005-0000-0000-0000919B0000}"/>
    <cellStyle name="Separador de milhares 3 8 2 2 4 2 2 2 2" xfId="54805" xr:uid="{00000000-0005-0000-0000-0000929B0000}"/>
    <cellStyle name="Separador de milhares 3 8 2 2 4 2 2 3" xfId="22710" xr:uid="{00000000-0005-0000-0000-0000939B0000}"/>
    <cellStyle name="Separador de milhares 3 8 2 2 4 2 2 3 2" xfId="48897" xr:uid="{00000000-0005-0000-0000-0000949B0000}"/>
    <cellStyle name="Separador de milhares 3 8 2 2 4 2 2 4" xfId="16796" xr:uid="{00000000-0005-0000-0000-0000959B0000}"/>
    <cellStyle name="Separador de milhares 3 8 2 2 4 2 2 4 2" xfId="42989" xr:uid="{00000000-0005-0000-0000-0000969B0000}"/>
    <cellStyle name="Separador de milhares 3 8 2 2 4 2 2 5" xfId="36603" xr:uid="{00000000-0005-0000-0000-0000979B0000}"/>
    <cellStyle name="Separador de milhares 3 8 2 2 4 2 3" xfId="25667" xr:uid="{00000000-0005-0000-0000-0000989B0000}"/>
    <cellStyle name="Separador de milhares 3 8 2 2 4 2 3 2" xfId="51851" xr:uid="{00000000-0005-0000-0000-0000999B0000}"/>
    <cellStyle name="Separador de milhares 3 8 2 2 4 2 4" xfId="19753" xr:uid="{00000000-0005-0000-0000-00009A9B0000}"/>
    <cellStyle name="Separador de milhares 3 8 2 2 4 2 4 2" xfId="45943" xr:uid="{00000000-0005-0000-0000-00009B9B0000}"/>
    <cellStyle name="Separador de milhares 3 8 2 2 4 2 5" xfId="13655" xr:uid="{00000000-0005-0000-0000-00009C9B0000}"/>
    <cellStyle name="Separador de milhares 3 8 2 2 4 2 5 2" xfId="39848" xr:uid="{00000000-0005-0000-0000-00009D9B0000}"/>
    <cellStyle name="Separador de milhares 3 8 2 2 4 2 6" xfId="33462" xr:uid="{00000000-0005-0000-0000-00009E9B0000}"/>
    <cellStyle name="Separador de milhares 3 8 2 2 4 3" xfId="8942" xr:uid="{00000000-0005-0000-0000-00009F9B0000}"/>
    <cellStyle name="Separador de milhares 3 8 2 2 4 3 2" xfId="27156" xr:uid="{00000000-0005-0000-0000-0000A09B0000}"/>
    <cellStyle name="Separador de milhares 3 8 2 2 4 3 2 2" xfId="53337" xr:uid="{00000000-0005-0000-0000-0000A19B0000}"/>
    <cellStyle name="Separador de milhares 3 8 2 2 4 3 3" xfId="21242" xr:uid="{00000000-0005-0000-0000-0000A29B0000}"/>
    <cellStyle name="Separador de milhares 3 8 2 2 4 3 3 2" xfId="47429" xr:uid="{00000000-0005-0000-0000-0000A39B0000}"/>
    <cellStyle name="Separador de milhares 3 8 2 2 4 3 4" xfId="15328" xr:uid="{00000000-0005-0000-0000-0000A49B0000}"/>
    <cellStyle name="Separador de milhares 3 8 2 2 4 3 4 2" xfId="41521" xr:uid="{00000000-0005-0000-0000-0000A59B0000}"/>
    <cellStyle name="Separador de milhares 3 8 2 2 4 3 5" xfId="35135" xr:uid="{00000000-0005-0000-0000-0000A69B0000}"/>
    <cellStyle name="Separador de milhares 3 8 2 2 4 4" xfId="5567" xr:uid="{00000000-0005-0000-0000-0000A79B0000}"/>
    <cellStyle name="Separador de milhares 3 8 2 2 4 4 2" xfId="24199" xr:uid="{00000000-0005-0000-0000-0000A89B0000}"/>
    <cellStyle name="Separador de milhares 3 8 2 2 4 4 2 2" xfId="50383" xr:uid="{00000000-0005-0000-0000-0000A99B0000}"/>
    <cellStyle name="Separador de milhares 3 8 2 2 4 4 3" xfId="31763" xr:uid="{00000000-0005-0000-0000-0000AA9B0000}"/>
    <cellStyle name="Separador de milhares 3 8 2 2 4 5" xfId="18285" xr:uid="{00000000-0005-0000-0000-0000AB9B0000}"/>
    <cellStyle name="Separador de milhares 3 8 2 2 4 5 2" xfId="44475" xr:uid="{00000000-0005-0000-0000-0000AC9B0000}"/>
    <cellStyle name="Separador de milhares 3 8 2 2 4 6" xfId="11954" xr:uid="{00000000-0005-0000-0000-0000AD9B0000}"/>
    <cellStyle name="Separador de milhares 3 8 2 2 4 6 2" xfId="38147" xr:uid="{00000000-0005-0000-0000-0000AE9B0000}"/>
    <cellStyle name="Separador de milhares 3 8 2 2 4 7" xfId="30065" xr:uid="{00000000-0005-0000-0000-0000AF9B0000}"/>
    <cellStyle name="Separador de milhares 3 8 2 2 5" xfId="3533" xr:uid="{00000000-0005-0000-0000-0000B09B0000}"/>
    <cellStyle name="Separador de milhares 3 8 2 2 5 2" xfId="7413" xr:uid="{00000000-0005-0000-0000-0000B19B0000}"/>
    <cellStyle name="Separador de milhares 3 8 2 2 5 2 2" xfId="10557" xr:uid="{00000000-0005-0000-0000-0000B29B0000}"/>
    <cellStyle name="Separador de milhares 3 8 2 2 5 2 2 2" xfId="28771" xr:uid="{00000000-0005-0000-0000-0000B39B0000}"/>
    <cellStyle name="Separador de milhares 3 8 2 2 5 2 2 2 2" xfId="54952" xr:uid="{00000000-0005-0000-0000-0000B49B0000}"/>
    <cellStyle name="Separador de milhares 3 8 2 2 5 2 2 3" xfId="22857" xr:uid="{00000000-0005-0000-0000-0000B59B0000}"/>
    <cellStyle name="Separador de milhares 3 8 2 2 5 2 2 3 2" xfId="49044" xr:uid="{00000000-0005-0000-0000-0000B69B0000}"/>
    <cellStyle name="Separador de milhares 3 8 2 2 5 2 2 4" xfId="16943" xr:uid="{00000000-0005-0000-0000-0000B79B0000}"/>
    <cellStyle name="Separador de milhares 3 8 2 2 5 2 2 4 2" xfId="43136" xr:uid="{00000000-0005-0000-0000-0000B89B0000}"/>
    <cellStyle name="Separador de milhares 3 8 2 2 5 2 2 5" xfId="36750" xr:uid="{00000000-0005-0000-0000-0000B99B0000}"/>
    <cellStyle name="Separador de milhares 3 8 2 2 5 2 3" xfId="25814" xr:uid="{00000000-0005-0000-0000-0000BA9B0000}"/>
    <cellStyle name="Separador de milhares 3 8 2 2 5 2 3 2" xfId="51998" xr:uid="{00000000-0005-0000-0000-0000BB9B0000}"/>
    <cellStyle name="Separador de milhares 3 8 2 2 5 2 4" xfId="19900" xr:uid="{00000000-0005-0000-0000-0000BC9B0000}"/>
    <cellStyle name="Separador de milhares 3 8 2 2 5 2 4 2" xfId="46090" xr:uid="{00000000-0005-0000-0000-0000BD9B0000}"/>
    <cellStyle name="Separador de milhares 3 8 2 2 5 2 5" xfId="13802" xr:uid="{00000000-0005-0000-0000-0000BE9B0000}"/>
    <cellStyle name="Separador de milhares 3 8 2 2 5 2 5 2" xfId="39995" xr:uid="{00000000-0005-0000-0000-0000BF9B0000}"/>
    <cellStyle name="Separador de milhares 3 8 2 2 5 2 6" xfId="33609" xr:uid="{00000000-0005-0000-0000-0000C09B0000}"/>
    <cellStyle name="Separador de milhares 3 8 2 2 5 3" xfId="9089" xr:uid="{00000000-0005-0000-0000-0000C19B0000}"/>
    <cellStyle name="Separador de milhares 3 8 2 2 5 3 2" xfId="27303" xr:uid="{00000000-0005-0000-0000-0000C29B0000}"/>
    <cellStyle name="Separador de milhares 3 8 2 2 5 3 2 2" xfId="53484" xr:uid="{00000000-0005-0000-0000-0000C39B0000}"/>
    <cellStyle name="Separador de milhares 3 8 2 2 5 3 3" xfId="21389" xr:uid="{00000000-0005-0000-0000-0000C49B0000}"/>
    <cellStyle name="Separador de milhares 3 8 2 2 5 3 3 2" xfId="47576" xr:uid="{00000000-0005-0000-0000-0000C59B0000}"/>
    <cellStyle name="Separador de milhares 3 8 2 2 5 3 4" xfId="15475" xr:uid="{00000000-0005-0000-0000-0000C69B0000}"/>
    <cellStyle name="Separador de milhares 3 8 2 2 5 3 4 2" xfId="41668" xr:uid="{00000000-0005-0000-0000-0000C79B0000}"/>
    <cellStyle name="Separador de milhares 3 8 2 2 5 3 5" xfId="35282" xr:uid="{00000000-0005-0000-0000-0000C89B0000}"/>
    <cellStyle name="Separador de milhares 3 8 2 2 5 4" xfId="5714" xr:uid="{00000000-0005-0000-0000-0000C99B0000}"/>
    <cellStyle name="Separador de milhares 3 8 2 2 5 4 2" xfId="24346" xr:uid="{00000000-0005-0000-0000-0000CA9B0000}"/>
    <cellStyle name="Separador de milhares 3 8 2 2 5 4 2 2" xfId="50530" xr:uid="{00000000-0005-0000-0000-0000CB9B0000}"/>
    <cellStyle name="Separador de milhares 3 8 2 2 5 4 3" xfId="31910" xr:uid="{00000000-0005-0000-0000-0000CC9B0000}"/>
    <cellStyle name="Separador de milhares 3 8 2 2 5 5" xfId="18432" xr:uid="{00000000-0005-0000-0000-0000CD9B0000}"/>
    <cellStyle name="Separador de milhares 3 8 2 2 5 5 2" xfId="44622" xr:uid="{00000000-0005-0000-0000-0000CE9B0000}"/>
    <cellStyle name="Separador de milhares 3 8 2 2 5 6" xfId="12101" xr:uid="{00000000-0005-0000-0000-0000CF9B0000}"/>
    <cellStyle name="Separador de milhares 3 8 2 2 5 6 2" xfId="38294" xr:uid="{00000000-0005-0000-0000-0000D09B0000}"/>
    <cellStyle name="Separador de milhares 3 8 2 2 5 7" xfId="30212" xr:uid="{00000000-0005-0000-0000-0000D19B0000}"/>
    <cellStyle name="Separador de milhares 3 8 2 2 6" xfId="4060" xr:uid="{00000000-0005-0000-0000-0000D29B0000}"/>
    <cellStyle name="Separador de milhares 3 8 2 2 6 2" xfId="7560" xr:uid="{00000000-0005-0000-0000-0000D39B0000}"/>
    <cellStyle name="Separador de milhares 3 8 2 2 6 2 2" xfId="10704" xr:uid="{00000000-0005-0000-0000-0000D49B0000}"/>
    <cellStyle name="Separador de milhares 3 8 2 2 6 2 2 2" xfId="28918" xr:uid="{00000000-0005-0000-0000-0000D59B0000}"/>
    <cellStyle name="Separador de milhares 3 8 2 2 6 2 2 2 2" xfId="55099" xr:uid="{00000000-0005-0000-0000-0000D69B0000}"/>
    <cellStyle name="Separador de milhares 3 8 2 2 6 2 2 3" xfId="23004" xr:uid="{00000000-0005-0000-0000-0000D79B0000}"/>
    <cellStyle name="Separador de milhares 3 8 2 2 6 2 2 3 2" xfId="49191" xr:uid="{00000000-0005-0000-0000-0000D89B0000}"/>
    <cellStyle name="Separador de milhares 3 8 2 2 6 2 2 4" xfId="17090" xr:uid="{00000000-0005-0000-0000-0000D99B0000}"/>
    <cellStyle name="Separador de milhares 3 8 2 2 6 2 2 4 2" xfId="43283" xr:uid="{00000000-0005-0000-0000-0000DA9B0000}"/>
    <cellStyle name="Separador de milhares 3 8 2 2 6 2 2 5" xfId="36897" xr:uid="{00000000-0005-0000-0000-0000DB9B0000}"/>
    <cellStyle name="Separador de milhares 3 8 2 2 6 2 3" xfId="25961" xr:uid="{00000000-0005-0000-0000-0000DC9B0000}"/>
    <cellStyle name="Separador de milhares 3 8 2 2 6 2 3 2" xfId="52145" xr:uid="{00000000-0005-0000-0000-0000DD9B0000}"/>
    <cellStyle name="Separador de milhares 3 8 2 2 6 2 4" xfId="20047" xr:uid="{00000000-0005-0000-0000-0000DE9B0000}"/>
    <cellStyle name="Separador de milhares 3 8 2 2 6 2 4 2" xfId="46237" xr:uid="{00000000-0005-0000-0000-0000DF9B0000}"/>
    <cellStyle name="Separador de milhares 3 8 2 2 6 2 5" xfId="13949" xr:uid="{00000000-0005-0000-0000-0000E09B0000}"/>
    <cellStyle name="Separador de milhares 3 8 2 2 6 2 5 2" xfId="40142" xr:uid="{00000000-0005-0000-0000-0000E19B0000}"/>
    <cellStyle name="Separador de milhares 3 8 2 2 6 2 6" xfId="33756" xr:uid="{00000000-0005-0000-0000-0000E29B0000}"/>
    <cellStyle name="Separador de milhares 3 8 2 2 6 3" xfId="9236" xr:uid="{00000000-0005-0000-0000-0000E39B0000}"/>
    <cellStyle name="Separador de milhares 3 8 2 2 6 3 2" xfId="27450" xr:uid="{00000000-0005-0000-0000-0000E49B0000}"/>
    <cellStyle name="Separador de milhares 3 8 2 2 6 3 2 2" xfId="53631" xr:uid="{00000000-0005-0000-0000-0000E59B0000}"/>
    <cellStyle name="Separador de milhares 3 8 2 2 6 3 3" xfId="21536" xr:uid="{00000000-0005-0000-0000-0000E69B0000}"/>
    <cellStyle name="Separador de milhares 3 8 2 2 6 3 3 2" xfId="47723" xr:uid="{00000000-0005-0000-0000-0000E79B0000}"/>
    <cellStyle name="Separador de milhares 3 8 2 2 6 3 4" xfId="15622" xr:uid="{00000000-0005-0000-0000-0000E89B0000}"/>
    <cellStyle name="Separador de milhares 3 8 2 2 6 3 4 2" xfId="41815" xr:uid="{00000000-0005-0000-0000-0000E99B0000}"/>
    <cellStyle name="Separador de milhares 3 8 2 2 6 3 5" xfId="35429" xr:uid="{00000000-0005-0000-0000-0000EA9B0000}"/>
    <cellStyle name="Separador de milhares 3 8 2 2 6 4" xfId="5861" xr:uid="{00000000-0005-0000-0000-0000EB9B0000}"/>
    <cellStyle name="Separador de milhares 3 8 2 2 6 4 2" xfId="24493" xr:uid="{00000000-0005-0000-0000-0000EC9B0000}"/>
    <cellStyle name="Separador de milhares 3 8 2 2 6 4 2 2" xfId="50677" xr:uid="{00000000-0005-0000-0000-0000ED9B0000}"/>
    <cellStyle name="Separador de milhares 3 8 2 2 6 4 3" xfId="32057" xr:uid="{00000000-0005-0000-0000-0000EE9B0000}"/>
    <cellStyle name="Separador de milhares 3 8 2 2 6 5" xfId="18579" xr:uid="{00000000-0005-0000-0000-0000EF9B0000}"/>
    <cellStyle name="Separador de milhares 3 8 2 2 6 5 2" xfId="44769" xr:uid="{00000000-0005-0000-0000-0000F09B0000}"/>
    <cellStyle name="Separador de milhares 3 8 2 2 6 6" xfId="12248" xr:uid="{00000000-0005-0000-0000-0000F19B0000}"/>
    <cellStyle name="Separador de milhares 3 8 2 2 6 6 2" xfId="38441" xr:uid="{00000000-0005-0000-0000-0000F29B0000}"/>
    <cellStyle name="Separador de milhares 3 8 2 2 6 7" xfId="30359" xr:uid="{00000000-0005-0000-0000-0000F39B0000}"/>
    <cellStyle name="Separador de milhares 3 8 2 2 7" xfId="6531" xr:uid="{00000000-0005-0000-0000-0000F49B0000}"/>
    <cellStyle name="Separador de milhares 3 8 2 2 7 2" xfId="9678" xr:uid="{00000000-0005-0000-0000-0000F59B0000}"/>
    <cellStyle name="Separador de milhares 3 8 2 2 7 2 2" xfId="27892" xr:uid="{00000000-0005-0000-0000-0000F69B0000}"/>
    <cellStyle name="Separador de milhares 3 8 2 2 7 2 2 2" xfId="54073" xr:uid="{00000000-0005-0000-0000-0000F79B0000}"/>
    <cellStyle name="Separador de milhares 3 8 2 2 7 2 3" xfId="21978" xr:uid="{00000000-0005-0000-0000-0000F89B0000}"/>
    <cellStyle name="Separador de milhares 3 8 2 2 7 2 3 2" xfId="48165" xr:uid="{00000000-0005-0000-0000-0000F99B0000}"/>
    <cellStyle name="Separador de milhares 3 8 2 2 7 2 4" xfId="16064" xr:uid="{00000000-0005-0000-0000-0000FA9B0000}"/>
    <cellStyle name="Separador de milhares 3 8 2 2 7 2 4 2" xfId="42257" xr:uid="{00000000-0005-0000-0000-0000FB9B0000}"/>
    <cellStyle name="Separador de milhares 3 8 2 2 7 2 5" xfId="35871" xr:uid="{00000000-0005-0000-0000-0000FC9B0000}"/>
    <cellStyle name="Separador de milhares 3 8 2 2 7 3" xfId="24935" xr:uid="{00000000-0005-0000-0000-0000FD9B0000}"/>
    <cellStyle name="Separador de milhares 3 8 2 2 7 3 2" xfId="51119" xr:uid="{00000000-0005-0000-0000-0000FE9B0000}"/>
    <cellStyle name="Separador de milhares 3 8 2 2 7 4" xfId="19021" xr:uid="{00000000-0005-0000-0000-0000FF9B0000}"/>
    <cellStyle name="Separador de milhares 3 8 2 2 7 4 2" xfId="45211" xr:uid="{00000000-0005-0000-0000-0000009C0000}"/>
    <cellStyle name="Separador de milhares 3 8 2 2 7 5" xfId="12920" xr:uid="{00000000-0005-0000-0000-0000019C0000}"/>
    <cellStyle name="Separador de milhares 3 8 2 2 7 5 2" xfId="39113" xr:uid="{00000000-0005-0000-0000-0000029C0000}"/>
    <cellStyle name="Separador de milhares 3 8 2 2 7 6" xfId="32727" xr:uid="{00000000-0005-0000-0000-0000039C0000}"/>
    <cellStyle name="Separador de milhares 3 8 2 2 8" xfId="8207" xr:uid="{00000000-0005-0000-0000-0000049C0000}"/>
    <cellStyle name="Separador de milhares 3 8 2 2 8 2" xfId="26421" xr:uid="{00000000-0005-0000-0000-0000059C0000}"/>
    <cellStyle name="Separador de milhares 3 8 2 2 8 2 2" xfId="52605" xr:uid="{00000000-0005-0000-0000-0000069C0000}"/>
    <cellStyle name="Separador de milhares 3 8 2 2 8 3" xfId="20507" xr:uid="{00000000-0005-0000-0000-0000079C0000}"/>
    <cellStyle name="Separador de milhares 3 8 2 2 8 3 2" xfId="46697" xr:uid="{00000000-0005-0000-0000-0000089C0000}"/>
    <cellStyle name="Separador de milhares 3 8 2 2 8 4" xfId="14596" xr:uid="{00000000-0005-0000-0000-0000099C0000}"/>
    <cellStyle name="Separador de milhares 3 8 2 2 8 4 2" xfId="40789" xr:uid="{00000000-0005-0000-0000-00000A9C0000}"/>
    <cellStyle name="Separador de milhares 3 8 2 2 8 5" xfId="34403" xr:uid="{00000000-0005-0000-0000-00000B9C0000}"/>
    <cellStyle name="Separador de milhares 3 8 2 2 9" xfId="4830" xr:uid="{00000000-0005-0000-0000-00000C9C0000}"/>
    <cellStyle name="Separador de milhares 3 8 2 2 9 2" xfId="23464" xr:uid="{00000000-0005-0000-0000-00000D9C0000}"/>
    <cellStyle name="Separador de milhares 3 8 2 2 9 2 2" xfId="49651" xr:uid="{00000000-0005-0000-0000-00000E9C0000}"/>
    <cellStyle name="Separador de milhares 3 8 2 2 9 3" xfId="31028" xr:uid="{00000000-0005-0000-0000-00000F9C0000}"/>
    <cellStyle name="Separador de milhares 3 8 2 3" xfId="903" xr:uid="{00000000-0005-0000-0000-0000109C0000}"/>
    <cellStyle name="Separador de milhares 3 8 2 3 2" xfId="6682" xr:uid="{00000000-0005-0000-0000-0000119C0000}"/>
    <cellStyle name="Separador de milhares 3 8 2 3 2 2" xfId="9829" xr:uid="{00000000-0005-0000-0000-0000129C0000}"/>
    <cellStyle name="Separador de milhares 3 8 2 3 2 2 2" xfId="28043" xr:uid="{00000000-0005-0000-0000-0000139C0000}"/>
    <cellStyle name="Separador de milhares 3 8 2 3 2 2 2 2" xfId="54224" xr:uid="{00000000-0005-0000-0000-0000149C0000}"/>
    <cellStyle name="Separador de milhares 3 8 2 3 2 2 3" xfId="22129" xr:uid="{00000000-0005-0000-0000-0000159C0000}"/>
    <cellStyle name="Separador de milhares 3 8 2 3 2 2 3 2" xfId="48316" xr:uid="{00000000-0005-0000-0000-0000169C0000}"/>
    <cellStyle name="Separador de milhares 3 8 2 3 2 2 4" xfId="16215" xr:uid="{00000000-0005-0000-0000-0000179C0000}"/>
    <cellStyle name="Separador de milhares 3 8 2 3 2 2 4 2" xfId="42408" xr:uid="{00000000-0005-0000-0000-0000189C0000}"/>
    <cellStyle name="Separador de milhares 3 8 2 3 2 2 5" xfId="36022" xr:uid="{00000000-0005-0000-0000-0000199C0000}"/>
    <cellStyle name="Separador de milhares 3 8 2 3 2 3" xfId="25086" xr:uid="{00000000-0005-0000-0000-00001A9C0000}"/>
    <cellStyle name="Separador de milhares 3 8 2 3 2 3 2" xfId="51270" xr:uid="{00000000-0005-0000-0000-00001B9C0000}"/>
    <cellStyle name="Separador de milhares 3 8 2 3 2 4" xfId="19172" xr:uid="{00000000-0005-0000-0000-00001C9C0000}"/>
    <cellStyle name="Separador de milhares 3 8 2 3 2 4 2" xfId="45362" xr:uid="{00000000-0005-0000-0000-00001D9C0000}"/>
    <cellStyle name="Separador de milhares 3 8 2 3 2 5" xfId="13071" xr:uid="{00000000-0005-0000-0000-00001E9C0000}"/>
    <cellStyle name="Separador de milhares 3 8 2 3 2 5 2" xfId="39264" xr:uid="{00000000-0005-0000-0000-00001F9C0000}"/>
    <cellStyle name="Separador de milhares 3 8 2 3 2 6" xfId="32878" xr:uid="{00000000-0005-0000-0000-0000209C0000}"/>
    <cellStyle name="Separador de milhares 3 8 2 3 3" xfId="8361" xr:uid="{00000000-0005-0000-0000-0000219C0000}"/>
    <cellStyle name="Separador de milhares 3 8 2 3 3 2" xfId="26575" xr:uid="{00000000-0005-0000-0000-0000229C0000}"/>
    <cellStyle name="Separador de milhares 3 8 2 3 3 2 2" xfId="52756" xr:uid="{00000000-0005-0000-0000-0000239C0000}"/>
    <cellStyle name="Separador de milhares 3 8 2 3 3 3" xfId="20661" xr:uid="{00000000-0005-0000-0000-0000249C0000}"/>
    <cellStyle name="Separador de milhares 3 8 2 3 3 3 2" xfId="46848" xr:uid="{00000000-0005-0000-0000-0000259C0000}"/>
    <cellStyle name="Separador de milhares 3 8 2 3 3 4" xfId="14747" xr:uid="{00000000-0005-0000-0000-0000269C0000}"/>
    <cellStyle name="Separador de milhares 3 8 2 3 3 4 2" xfId="40940" xr:uid="{00000000-0005-0000-0000-0000279C0000}"/>
    <cellStyle name="Separador de milhares 3 8 2 3 3 5" xfId="34554" xr:uid="{00000000-0005-0000-0000-0000289C0000}"/>
    <cellStyle name="Separador de milhares 3 8 2 3 4" xfId="4983" xr:uid="{00000000-0005-0000-0000-0000299C0000}"/>
    <cellStyle name="Separador de milhares 3 8 2 3 4 2" xfId="23618" xr:uid="{00000000-0005-0000-0000-00002A9C0000}"/>
    <cellStyle name="Separador de milhares 3 8 2 3 4 2 2" xfId="49802" xr:uid="{00000000-0005-0000-0000-00002B9C0000}"/>
    <cellStyle name="Separador de milhares 3 8 2 3 4 3" xfId="31179" xr:uid="{00000000-0005-0000-0000-00002C9C0000}"/>
    <cellStyle name="Separador de milhares 3 8 2 3 5" xfId="17704" xr:uid="{00000000-0005-0000-0000-00002D9C0000}"/>
    <cellStyle name="Separador de milhares 3 8 2 3 5 2" xfId="43894" xr:uid="{00000000-0005-0000-0000-00002E9C0000}"/>
    <cellStyle name="Separador de milhares 3 8 2 3 6" xfId="11370" xr:uid="{00000000-0005-0000-0000-00002F9C0000}"/>
    <cellStyle name="Separador de milhares 3 8 2 3 6 2" xfId="37563" xr:uid="{00000000-0005-0000-0000-0000309C0000}"/>
    <cellStyle name="Separador de milhares 3 8 2 3 7" xfId="29481" xr:uid="{00000000-0005-0000-0000-0000319C0000}"/>
    <cellStyle name="Separador de milhares 3 8 2 4" xfId="1254" xr:uid="{00000000-0005-0000-0000-0000329C0000}"/>
    <cellStyle name="Separador de milhares 3 8 2 4 2" xfId="6780" xr:uid="{00000000-0005-0000-0000-0000339C0000}"/>
    <cellStyle name="Separador de milhares 3 8 2 4 2 2" xfId="9927" xr:uid="{00000000-0005-0000-0000-0000349C0000}"/>
    <cellStyle name="Separador de milhares 3 8 2 4 2 2 2" xfId="28141" xr:uid="{00000000-0005-0000-0000-0000359C0000}"/>
    <cellStyle name="Separador de milhares 3 8 2 4 2 2 2 2" xfId="54322" xr:uid="{00000000-0005-0000-0000-0000369C0000}"/>
    <cellStyle name="Separador de milhares 3 8 2 4 2 2 3" xfId="22227" xr:uid="{00000000-0005-0000-0000-0000379C0000}"/>
    <cellStyle name="Separador de milhares 3 8 2 4 2 2 3 2" xfId="48414" xr:uid="{00000000-0005-0000-0000-0000389C0000}"/>
    <cellStyle name="Separador de milhares 3 8 2 4 2 2 4" xfId="16313" xr:uid="{00000000-0005-0000-0000-0000399C0000}"/>
    <cellStyle name="Separador de milhares 3 8 2 4 2 2 4 2" xfId="42506" xr:uid="{00000000-0005-0000-0000-00003A9C0000}"/>
    <cellStyle name="Separador de milhares 3 8 2 4 2 2 5" xfId="36120" xr:uid="{00000000-0005-0000-0000-00003B9C0000}"/>
    <cellStyle name="Separador de milhares 3 8 2 4 2 3" xfId="25184" xr:uid="{00000000-0005-0000-0000-00003C9C0000}"/>
    <cellStyle name="Separador de milhares 3 8 2 4 2 3 2" xfId="51368" xr:uid="{00000000-0005-0000-0000-00003D9C0000}"/>
    <cellStyle name="Separador de milhares 3 8 2 4 2 4" xfId="19270" xr:uid="{00000000-0005-0000-0000-00003E9C0000}"/>
    <cellStyle name="Separador de milhares 3 8 2 4 2 4 2" xfId="45460" xr:uid="{00000000-0005-0000-0000-00003F9C0000}"/>
    <cellStyle name="Separador de milhares 3 8 2 4 2 5" xfId="13169" xr:uid="{00000000-0005-0000-0000-0000409C0000}"/>
    <cellStyle name="Separador de milhares 3 8 2 4 2 5 2" xfId="39362" xr:uid="{00000000-0005-0000-0000-0000419C0000}"/>
    <cellStyle name="Separador de milhares 3 8 2 4 2 6" xfId="32976" xr:uid="{00000000-0005-0000-0000-0000429C0000}"/>
    <cellStyle name="Separador de milhares 3 8 2 4 3" xfId="8459" xr:uid="{00000000-0005-0000-0000-0000439C0000}"/>
    <cellStyle name="Separador de milhares 3 8 2 4 3 2" xfId="26673" xr:uid="{00000000-0005-0000-0000-0000449C0000}"/>
    <cellStyle name="Separador de milhares 3 8 2 4 3 2 2" xfId="52854" xr:uid="{00000000-0005-0000-0000-0000459C0000}"/>
    <cellStyle name="Separador de milhares 3 8 2 4 3 3" xfId="20759" xr:uid="{00000000-0005-0000-0000-0000469C0000}"/>
    <cellStyle name="Separador de milhares 3 8 2 4 3 3 2" xfId="46946" xr:uid="{00000000-0005-0000-0000-0000479C0000}"/>
    <cellStyle name="Separador de milhares 3 8 2 4 3 4" xfId="14845" xr:uid="{00000000-0005-0000-0000-0000489C0000}"/>
    <cellStyle name="Separador de milhares 3 8 2 4 3 4 2" xfId="41038" xr:uid="{00000000-0005-0000-0000-0000499C0000}"/>
    <cellStyle name="Separador de milhares 3 8 2 4 3 5" xfId="34652" xr:uid="{00000000-0005-0000-0000-00004A9C0000}"/>
    <cellStyle name="Separador de milhares 3 8 2 4 4" xfId="5081" xr:uid="{00000000-0005-0000-0000-00004B9C0000}"/>
    <cellStyle name="Separador de milhares 3 8 2 4 4 2" xfId="23716" xr:uid="{00000000-0005-0000-0000-00004C9C0000}"/>
    <cellStyle name="Separador de milhares 3 8 2 4 4 2 2" xfId="49900" xr:uid="{00000000-0005-0000-0000-00004D9C0000}"/>
    <cellStyle name="Separador de milhares 3 8 2 4 4 3" xfId="31277" xr:uid="{00000000-0005-0000-0000-00004E9C0000}"/>
    <cellStyle name="Separador de milhares 3 8 2 4 5" xfId="17802" xr:uid="{00000000-0005-0000-0000-00004F9C0000}"/>
    <cellStyle name="Separador de milhares 3 8 2 4 5 2" xfId="43992" xr:uid="{00000000-0005-0000-0000-0000509C0000}"/>
    <cellStyle name="Separador de milhares 3 8 2 4 6" xfId="11468" xr:uid="{00000000-0005-0000-0000-0000519C0000}"/>
    <cellStyle name="Separador de milhares 3 8 2 4 6 2" xfId="37661" xr:uid="{00000000-0005-0000-0000-0000529C0000}"/>
    <cellStyle name="Separador de milhares 3 8 2 4 7" xfId="29579" xr:uid="{00000000-0005-0000-0000-0000539C0000}"/>
    <cellStyle name="Separador de milhares 3 8 2 5" xfId="1689" xr:uid="{00000000-0005-0000-0000-0000549C0000}"/>
    <cellStyle name="Separador de milhares 3 8 2 5 2" xfId="6899" xr:uid="{00000000-0005-0000-0000-0000559C0000}"/>
    <cellStyle name="Separador de milhares 3 8 2 5 2 2" xfId="10046" xr:uid="{00000000-0005-0000-0000-0000569C0000}"/>
    <cellStyle name="Separador de milhares 3 8 2 5 2 2 2" xfId="28260" xr:uid="{00000000-0005-0000-0000-0000579C0000}"/>
    <cellStyle name="Separador de milhares 3 8 2 5 2 2 2 2" xfId="54441" xr:uid="{00000000-0005-0000-0000-0000589C0000}"/>
    <cellStyle name="Separador de milhares 3 8 2 5 2 2 3" xfId="22346" xr:uid="{00000000-0005-0000-0000-0000599C0000}"/>
    <cellStyle name="Separador de milhares 3 8 2 5 2 2 3 2" xfId="48533" xr:uid="{00000000-0005-0000-0000-00005A9C0000}"/>
    <cellStyle name="Separador de milhares 3 8 2 5 2 2 4" xfId="16432" xr:uid="{00000000-0005-0000-0000-00005B9C0000}"/>
    <cellStyle name="Separador de milhares 3 8 2 5 2 2 4 2" xfId="42625" xr:uid="{00000000-0005-0000-0000-00005C9C0000}"/>
    <cellStyle name="Separador de milhares 3 8 2 5 2 2 5" xfId="36239" xr:uid="{00000000-0005-0000-0000-00005D9C0000}"/>
    <cellStyle name="Separador de milhares 3 8 2 5 2 3" xfId="25303" xr:uid="{00000000-0005-0000-0000-00005E9C0000}"/>
    <cellStyle name="Separador de milhares 3 8 2 5 2 3 2" xfId="51487" xr:uid="{00000000-0005-0000-0000-00005F9C0000}"/>
    <cellStyle name="Separador de milhares 3 8 2 5 2 4" xfId="19389" xr:uid="{00000000-0005-0000-0000-0000609C0000}"/>
    <cellStyle name="Separador de milhares 3 8 2 5 2 4 2" xfId="45579" xr:uid="{00000000-0005-0000-0000-0000619C0000}"/>
    <cellStyle name="Separador de milhares 3 8 2 5 2 5" xfId="13288" xr:uid="{00000000-0005-0000-0000-0000629C0000}"/>
    <cellStyle name="Separador de milhares 3 8 2 5 2 5 2" xfId="39481" xr:uid="{00000000-0005-0000-0000-0000639C0000}"/>
    <cellStyle name="Separador de milhares 3 8 2 5 2 6" xfId="33095" xr:uid="{00000000-0005-0000-0000-0000649C0000}"/>
    <cellStyle name="Separador de milhares 3 8 2 5 3" xfId="8578" xr:uid="{00000000-0005-0000-0000-0000659C0000}"/>
    <cellStyle name="Separador de milhares 3 8 2 5 3 2" xfId="26792" xr:uid="{00000000-0005-0000-0000-0000669C0000}"/>
    <cellStyle name="Separador de milhares 3 8 2 5 3 2 2" xfId="52973" xr:uid="{00000000-0005-0000-0000-0000679C0000}"/>
    <cellStyle name="Separador de milhares 3 8 2 5 3 3" xfId="20878" xr:uid="{00000000-0005-0000-0000-0000689C0000}"/>
    <cellStyle name="Separador de milhares 3 8 2 5 3 3 2" xfId="47065" xr:uid="{00000000-0005-0000-0000-0000699C0000}"/>
    <cellStyle name="Separador de milhares 3 8 2 5 3 4" xfId="14964" xr:uid="{00000000-0005-0000-0000-00006A9C0000}"/>
    <cellStyle name="Separador de milhares 3 8 2 5 3 4 2" xfId="41157" xr:uid="{00000000-0005-0000-0000-00006B9C0000}"/>
    <cellStyle name="Separador de milhares 3 8 2 5 3 5" xfId="34771" xr:uid="{00000000-0005-0000-0000-00006C9C0000}"/>
    <cellStyle name="Separador de milhares 3 8 2 5 4" xfId="5200" xr:uid="{00000000-0005-0000-0000-00006D9C0000}"/>
    <cellStyle name="Separador de milhares 3 8 2 5 4 2" xfId="23835" xr:uid="{00000000-0005-0000-0000-00006E9C0000}"/>
    <cellStyle name="Separador de milhares 3 8 2 5 4 2 2" xfId="50019" xr:uid="{00000000-0005-0000-0000-00006F9C0000}"/>
    <cellStyle name="Separador de milhares 3 8 2 5 4 3" xfId="31396" xr:uid="{00000000-0005-0000-0000-0000709C0000}"/>
    <cellStyle name="Separador de milhares 3 8 2 5 5" xfId="17921" xr:uid="{00000000-0005-0000-0000-0000719C0000}"/>
    <cellStyle name="Separador de milhares 3 8 2 5 5 2" xfId="44111" xr:uid="{00000000-0005-0000-0000-0000729C0000}"/>
    <cellStyle name="Separador de milhares 3 8 2 5 6" xfId="11587" xr:uid="{00000000-0005-0000-0000-0000739C0000}"/>
    <cellStyle name="Separador de milhares 3 8 2 5 6 2" xfId="37780" xr:uid="{00000000-0005-0000-0000-0000749C0000}"/>
    <cellStyle name="Separador de milhares 3 8 2 5 7" xfId="29698" xr:uid="{00000000-0005-0000-0000-0000759C0000}"/>
    <cellStyle name="Separador de milhares 3 8 2 6" xfId="2219" xr:uid="{00000000-0005-0000-0000-0000769C0000}"/>
    <cellStyle name="Separador de milhares 3 8 2 6 2" xfId="7049" xr:uid="{00000000-0005-0000-0000-0000779C0000}"/>
    <cellStyle name="Separador de milhares 3 8 2 6 2 2" xfId="10193" xr:uid="{00000000-0005-0000-0000-0000789C0000}"/>
    <cellStyle name="Separador de milhares 3 8 2 6 2 2 2" xfId="28407" xr:uid="{00000000-0005-0000-0000-0000799C0000}"/>
    <cellStyle name="Separador de milhares 3 8 2 6 2 2 2 2" xfId="54588" xr:uid="{00000000-0005-0000-0000-00007A9C0000}"/>
    <cellStyle name="Separador de milhares 3 8 2 6 2 2 3" xfId="22493" xr:uid="{00000000-0005-0000-0000-00007B9C0000}"/>
    <cellStyle name="Separador de milhares 3 8 2 6 2 2 3 2" xfId="48680" xr:uid="{00000000-0005-0000-0000-00007C9C0000}"/>
    <cellStyle name="Separador de milhares 3 8 2 6 2 2 4" xfId="16579" xr:uid="{00000000-0005-0000-0000-00007D9C0000}"/>
    <cellStyle name="Separador de milhares 3 8 2 6 2 2 4 2" xfId="42772" xr:uid="{00000000-0005-0000-0000-00007E9C0000}"/>
    <cellStyle name="Separador de milhares 3 8 2 6 2 2 5" xfId="36386" xr:uid="{00000000-0005-0000-0000-00007F9C0000}"/>
    <cellStyle name="Separador de milhares 3 8 2 6 2 3" xfId="25450" xr:uid="{00000000-0005-0000-0000-0000809C0000}"/>
    <cellStyle name="Separador de milhares 3 8 2 6 2 3 2" xfId="51634" xr:uid="{00000000-0005-0000-0000-0000819C0000}"/>
    <cellStyle name="Separador de milhares 3 8 2 6 2 4" xfId="19536" xr:uid="{00000000-0005-0000-0000-0000829C0000}"/>
    <cellStyle name="Separador de milhares 3 8 2 6 2 4 2" xfId="45726" xr:uid="{00000000-0005-0000-0000-0000839C0000}"/>
    <cellStyle name="Separador de milhares 3 8 2 6 2 5" xfId="13438" xr:uid="{00000000-0005-0000-0000-0000849C0000}"/>
    <cellStyle name="Separador de milhares 3 8 2 6 2 5 2" xfId="39631" xr:uid="{00000000-0005-0000-0000-0000859C0000}"/>
    <cellStyle name="Separador de milhares 3 8 2 6 2 6" xfId="33245" xr:uid="{00000000-0005-0000-0000-0000869C0000}"/>
    <cellStyle name="Separador de milhares 3 8 2 6 3" xfId="8725" xr:uid="{00000000-0005-0000-0000-0000879C0000}"/>
    <cellStyle name="Separador de milhares 3 8 2 6 3 2" xfId="26939" xr:uid="{00000000-0005-0000-0000-0000889C0000}"/>
    <cellStyle name="Separador de milhares 3 8 2 6 3 2 2" xfId="53120" xr:uid="{00000000-0005-0000-0000-0000899C0000}"/>
    <cellStyle name="Separador de milhares 3 8 2 6 3 3" xfId="21025" xr:uid="{00000000-0005-0000-0000-00008A9C0000}"/>
    <cellStyle name="Separador de milhares 3 8 2 6 3 3 2" xfId="47212" xr:uid="{00000000-0005-0000-0000-00008B9C0000}"/>
    <cellStyle name="Separador de milhares 3 8 2 6 3 4" xfId="15111" xr:uid="{00000000-0005-0000-0000-00008C9C0000}"/>
    <cellStyle name="Separador de milhares 3 8 2 6 3 4 2" xfId="41304" xr:uid="{00000000-0005-0000-0000-00008D9C0000}"/>
    <cellStyle name="Separador de milhares 3 8 2 6 3 5" xfId="34918" xr:uid="{00000000-0005-0000-0000-00008E9C0000}"/>
    <cellStyle name="Separador de milhares 3 8 2 6 4" xfId="5350" xr:uid="{00000000-0005-0000-0000-00008F9C0000}"/>
    <cellStyle name="Separador de milhares 3 8 2 6 4 2" xfId="23982" xr:uid="{00000000-0005-0000-0000-0000909C0000}"/>
    <cellStyle name="Separador de milhares 3 8 2 6 4 2 2" xfId="50166" xr:uid="{00000000-0005-0000-0000-0000919C0000}"/>
    <cellStyle name="Separador de milhares 3 8 2 6 4 3" xfId="31546" xr:uid="{00000000-0005-0000-0000-0000929C0000}"/>
    <cellStyle name="Separador de milhares 3 8 2 6 5" xfId="18068" xr:uid="{00000000-0005-0000-0000-0000939C0000}"/>
    <cellStyle name="Separador de milhares 3 8 2 6 5 2" xfId="44258" xr:uid="{00000000-0005-0000-0000-0000949C0000}"/>
    <cellStyle name="Separador de milhares 3 8 2 6 6" xfId="11737" xr:uid="{00000000-0005-0000-0000-0000959C0000}"/>
    <cellStyle name="Separador de milhares 3 8 2 6 6 2" xfId="37930" xr:uid="{00000000-0005-0000-0000-0000969C0000}"/>
    <cellStyle name="Separador de milhares 3 8 2 6 7" xfId="29848" xr:uid="{00000000-0005-0000-0000-0000979C0000}"/>
    <cellStyle name="Separador de milhares 3 8 2 7" xfId="2746" xr:uid="{00000000-0005-0000-0000-0000989C0000}"/>
    <cellStyle name="Separador de milhares 3 8 2 7 2" xfId="7196" xr:uid="{00000000-0005-0000-0000-0000999C0000}"/>
    <cellStyle name="Separador de milhares 3 8 2 7 2 2" xfId="10340" xr:uid="{00000000-0005-0000-0000-00009A9C0000}"/>
    <cellStyle name="Separador de milhares 3 8 2 7 2 2 2" xfId="28554" xr:uid="{00000000-0005-0000-0000-00009B9C0000}"/>
    <cellStyle name="Separador de milhares 3 8 2 7 2 2 2 2" xfId="54735" xr:uid="{00000000-0005-0000-0000-00009C9C0000}"/>
    <cellStyle name="Separador de milhares 3 8 2 7 2 2 3" xfId="22640" xr:uid="{00000000-0005-0000-0000-00009D9C0000}"/>
    <cellStyle name="Separador de milhares 3 8 2 7 2 2 3 2" xfId="48827" xr:uid="{00000000-0005-0000-0000-00009E9C0000}"/>
    <cellStyle name="Separador de milhares 3 8 2 7 2 2 4" xfId="16726" xr:uid="{00000000-0005-0000-0000-00009F9C0000}"/>
    <cellStyle name="Separador de milhares 3 8 2 7 2 2 4 2" xfId="42919" xr:uid="{00000000-0005-0000-0000-0000A09C0000}"/>
    <cellStyle name="Separador de milhares 3 8 2 7 2 2 5" xfId="36533" xr:uid="{00000000-0005-0000-0000-0000A19C0000}"/>
    <cellStyle name="Separador de milhares 3 8 2 7 2 3" xfId="25597" xr:uid="{00000000-0005-0000-0000-0000A29C0000}"/>
    <cellStyle name="Separador de milhares 3 8 2 7 2 3 2" xfId="51781" xr:uid="{00000000-0005-0000-0000-0000A39C0000}"/>
    <cellStyle name="Separador de milhares 3 8 2 7 2 4" xfId="19683" xr:uid="{00000000-0005-0000-0000-0000A49C0000}"/>
    <cellStyle name="Separador de milhares 3 8 2 7 2 4 2" xfId="45873" xr:uid="{00000000-0005-0000-0000-0000A59C0000}"/>
    <cellStyle name="Separador de milhares 3 8 2 7 2 5" xfId="13585" xr:uid="{00000000-0005-0000-0000-0000A69C0000}"/>
    <cellStyle name="Separador de milhares 3 8 2 7 2 5 2" xfId="39778" xr:uid="{00000000-0005-0000-0000-0000A79C0000}"/>
    <cellStyle name="Separador de milhares 3 8 2 7 2 6" xfId="33392" xr:uid="{00000000-0005-0000-0000-0000A89C0000}"/>
    <cellStyle name="Separador de milhares 3 8 2 7 3" xfId="8872" xr:uid="{00000000-0005-0000-0000-0000A99C0000}"/>
    <cellStyle name="Separador de milhares 3 8 2 7 3 2" xfId="27086" xr:uid="{00000000-0005-0000-0000-0000AA9C0000}"/>
    <cellStyle name="Separador de milhares 3 8 2 7 3 2 2" xfId="53267" xr:uid="{00000000-0005-0000-0000-0000AB9C0000}"/>
    <cellStyle name="Separador de milhares 3 8 2 7 3 3" xfId="21172" xr:uid="{00000000-0005-0000-0000-0000AC9C0000}"/>
    <cellStyle name="Separador de milhares 3 8 2 7 3 3 2" xfId="47359" xr:uid="{00000000-0005-0000-0000-0000AD9C0000}"/>
    <cellStyle name="Separador de milhares 3 8 2 7 3 4" xfId="15258" xr:uid="{00000000-0005-0000-0000-0000AE9C0000}"/>
    <cellStyle name="Separador de milhares 3 8 2 7 3 4 2" xfId="41451" xr:uid="{00000000-0005-0000-0000-0000AF9C0000}"/>
    <cellStyle name="Separador de milhares 3 8 2 7 3 5" xfId="35065" xr:uid="{00000000-0005-0000-0000-0000B09C0000}"/>
    <cellStyle name="Separador de milhares 3 8 2 7 4" xfId="5497" xr:uid="{00000000-0005-0000-0000-0000B19C0000}"/>
    <cellStyle name="Separador de milhares 3 8 2 7 4 2" xfId="24129" xr:uid="{00000000-0005-0000-0000-0000B29C0000}"/>
    <cellStyle name="Separador de milhares 3 8 2 7 4 2 2" xfId="50313" xr:uid="{00000000-0005-0000-0000-0000B39C0000}"/>
    <cellStyle name="Separador de milhares 3 8 2 7 4 3" xfId="31693" xr:uid="{00000000-0005-0000-0000-0000B49C0000}"/>
    <cellStyle name="Separador de milhares 3 8 2 7 5" xfId="18215" xr:uid="{00000000-0005-0000-0000-0000B59C0000}"/>
    <cellStyle name="Separador de milhares 3 8 2 7 5 2" xfId="44405" xr:uid="{00000000-0005-0000-0000-0000B69C0000}"/>
    <cellStyle name="Separador de milhares 3 8 2 7 6" xfId="11884" xr:uid="{00000000-0005-0000-0000-0000B79C0000}"/>
    <cellStyle name="Separador de milhares 3 8 2 7 6 2" xfId="38077" xr:uid="{00000000-0005-0000-0000-0000B89C0000}"/>
    <cellStyle name="Separador de milhares 3 8 2 7 7" xfId="29995" xr:uid="{00000000-0005-0000-0000-0000B99C0000}"/>
    <cellStyle name="Separador de milhares 3 8 2 8" xfId="3273" xr:uid="{00000000-0005-0000-0000-0000BA9C0000}"/>
    <cellStyle name="Separador de milhares 3 8 2 8 2" xfId="7343" xr:uid="{00000000-0005-0000-0000-0000BB9C0000}"/>
    <cellStyle name="Separador de milhares 3 8 2 8 2 2" xfId="10487" xr:uid="{00000000-0005-0000-0000-0000BC9C0000}"/>
    <cellStyle name="Separador de milhares 3 8 2 8 2 2 2" xfId="28701" xr:uid="{00000000-0005-0000-0000-0000BD9C0000}"/>
    <cellStyle name="Separador de milhares 3 8 2 8 2 2 2 2" xfId="54882" xr:uid="{00000000-0005-0000-0000-0000BE9C0000}"/>
    <cellStyle name="Separador de milhares 3 8 2 8 2 2 3" xfId="22787" xr:uid="{00000000-0005-0000-0000-0000BF9C0000}"/>
    <cellStyle name="Separador de milhares 3 8 2 8 2 2 3 2" xfId="48974" xr:uid="{00000000-0005-0000-0000-0000C09C0000}"/>
    <cellStyle name="Separador de milhares 3 8 2 8 2 2 4" xfId="16873" xr:uid="{00000000-0005-0000-0000-0000C19C0000}"/>
    <cellStyle name="Separador de milhares 3 8 2 8 2 2 4 2" xfId="43066" xr:uid="{00000000-0005-0000-0000-0000C29C0000}"/>
    <cellStyle name="Separador de milhares 3 8 2 8 2 2 5" xfId="36680" xr:uid="{00000000-0005-0000-0000-0000C39C0000}"/>
    <cellStyle name="Separador de milhares 3 8 2 8 2 3" xfId="25744" xr:uid="{00000000-0005-0000-0000-0000C49C0000}"/>
    <cellStyle name="Separador de milhares 3 8 2 8 2 3 2" xfId="51928" xr:uid="{00000000-0005-0000-0000-0000C59C0000}"/>
    <cellStyle name="Separador de milhares 3 8 2 8 2 4" xfId="19830" xr:uid="{00000000-0005-0000-0000-0000C69C0000}"/>
    <cellStyle name="Separador de milhares 3 8 2 8 2 4 2" xfId="46020" xr:uid="{00000000-0005-0000-0000-0000C79C0000}"/>
    <cellStyle name="Separador de milhares 3 8 2 8 2 5" xfId="13732" xr:uid="{00000000-0005-0000-0000-0000C89C0000}"/>
    <cellStyle name="Separador de milhares 3 8 2 8 2 5 2" xfId="39925" xr:uid="{00000000-0005-0000-0000-0000C99C0000}"/>
    <cellStyle name="Separador de milhares 3 8 2 8 2 6" xfId="33539" xr:uid="{00000000-0005-0000-0000-0000CA9C0000}"/>
    <cellStyle name="Separador de milhares 3 8 2 8 3" xfId="9019" xr:uid="{00000000-0005-0000-0000-0000CB9C0000}"/>
    <cellStyle name="Separador de milhares 3 8 2 8 3 2" xfId="27233" xr:uid="{00000000-0005-0000-0000-0000CC9C0000}"/>
    <cellStyle name="Separador de milhares 3 8 2 8 3 2 2" xfId="53414" xr:uid="{00000000-0005-0000-0000-0000CD9C0000}"/>
    <cellStyle name="Separador de milhares 3 8 2 8 3 3" xfId="21319" xr:uid="{00000000-0005-0000-0000-0000CE9C0000}"/>
    <cellStyle name="Separador de milhares 3 8 2 8 3 3 2" xfId="47506" xr:uid="{00000000-0005-0000-0000-0000CF9C0000}"/>
    <cellStyle name="Separador de milhares 3 8 2 8 3 4" xfId="15405" xr:uid="{00000000-0005-0000-0000-0000D09C0000}"/>
    <cellStyle name="Separador de milhares 3 8 2 8 3 4 2" xfId="41598" xr:uid="{00000000-0005-0000-0000-0000D19C0000}"/>
    <cellStyle name="Separador de milhares 3 8 2 8 3 5" xfId="35212" xr:uid="{00000000-0005-0000-0000-0000D29C0000}"/>
    <cellStyle name="Separador de milhares 3 8 2 8 4" xfId="5644" xr:uid="{00000000-0005-0000-0000-0000D39C0000}"/>
    <cellStyle name="Separador de milhares 3 8 2 8 4 2" xfId="24276" xr:uid="{00000000-0005-0000-0000-0000D49C0000}"/>
    <cellStyle name="Separador de milhares 3 8 2 8 4 2 2" xfId="50460" xr:uid="{00000000-0005-0000-0000-0000D59C0000}"/>
    <cellStyle name="Separador de milhares 3 8 2 8 4 3" xfId="31840" xr:uid="{00000000-0005-0000-0000-0000D69C0000}"/>
    <cellStyle name="Separador de milhares 3 8 2 8 5" xfId="18362" xr:uid="{00000000-0005-0000-0000-0000D79C0000}"/>
    <cellStyle name="Separador de milhares 3 8 2 8 5 2" xfId="44552" xr:uid="{00000000-0005-0000-0000-0000D89C0000}"/>
    <cellStyle name="Separador de milhares 3 8 2 8 6" xfId="12031" xr:uid="{00000000-0005-0000-0000-0000D99C0000}"/>
    <cellStyle name="Separador de milhares 3 8 2 8 6 2" xfId="38224" xr:uid="{00000000-0005-0000-0000-0000DA9C0000}"/>
    <cellStyle name="Separador de milhares 3 8 2 8 7" xfId="30142" xr:uid="{00000000-0005-0000-0000-0000DB9C0000}"/>
    <cellStyle name="Separador de milhares 3 8 2 9" xfId="3800" xr:uid="{00000000-0005-0000-0000-0000DC9C0000}"/>
    <cellStyle name="Separador de milhares 3 8 2 9 2" xfId="7490" xr:uid="{00000000-0005-0000-0000-0000DD9C0000}"/>
    <cellStyle name="Separador de milhares 3 8 2 9 2 2" xfId="10634" xr:uid="{00000000-0005-0000-0000-0000DE9C0000}"/>
    <cellStyle name="Separador de milhares 3 8 2 9 2 2 2" xfId="28848" xr:uid="{00000000-0005-0000-0000-0000DF9C0000}"/>
    <cellStyle name="Separador de milhares 3 8 2 9 2 2 2 2" xfId="55029" xr:uid="{00000000-0005-0000-0000-0000E09C0000}"/>
    <cellStyle name="Separador de milhares 3 8 2 9 2 2 3" xfId="22934" xr:uid="{00000000-0005-0000-0000-0000E19C0000}"/>
    <cellStyle name="Separador de milhares 3 8 2 9 2 2 3 2" xfId="49121" xr:uid="{00000000-0005-0000-0000-0000E29C0000}"/>
    <cellStyle name="Separador de milhares 3 8 2 9 2 2 4" xfId="17020" xr:uid="{00000000-0005-0000-0000-0000E39C0000}"/>
    <cellStyle name="Separador de milhares 3 8 2 9 2 2 4 2" xfId="43213" xr:uid="{00000000-0005-0000-0000-0000E49C0000}"/>
    <cellStyle name="Separador de milhares 3 8 2 9 2 2 5" xfId="36827" xr:uid="{00000000-0005-0000-0000-0000E59C0000}"/>
    <cellStyle name="Separador de milhares 3 8 2 9 2 3" xfId="25891" xr:uid="{00000000-0005-0000-0000-0000E69C0000}"/>
    <cellStyle name="Separador de milhares 3 8 2 9 2 3 2" xfId="52075" xr:uid="{00000000-0005-0000-0000-0000E79C0000}"/>
    <cellStyle name="Separador de milhares 3 8 2 9 2 4" xfId="19977" xr:uid="{00000000-0005-0000-0000-0000E89C0000}"/>
    <cellStyle name="Separador de milhares 3 8 2 9 2 4 2" xfId="46167" xr:uid="{00000000-0005-0000-0000-0000E99C0000}"/>
    <cellStyle name="Separador de milhares 3 8 2 9 2 5" xfId="13879" xr:uid="{00000000-0005-0000-0000-0000EA9C0000}"/>
    <cellStyle name="Separador de milhares 3 8 2 9 2 5 2" xfId="40072" xr:uid="{00000000-0005-0000-0000-0000EB9C0000}"/>
    <cellStyle name="Separador de milhares 3 8 2 9 2 6" xfId="33686" xr:uid="{00000000-0005-0000-0000-0000EC9C0000}"/>
    <cellStyle name="Separador de milhares 3 8 2 9 3" xfId="9166" xr:uid="{00000000-0005-0000-0000-0000ED9C0000}"/>
    <cellStyle name="Separador de milhares 3 8 2 9 3 2" xfId="27380" xr:uid="{00000000-0005-0000-0000-0000EE9C0000}"/>
    <cellStyle name="Separador de milhares 3 8 2 9 3 2 2" xfId="53561" xr:uid="{00000000-0005-0000-0000-0000EF9C0000}"/>
    <cellStyle name="Separador de milhares 3 8 2 9 3 3" xfId="21466" xr:uid="{00000000-0005-0000-0000-0000F09C0000}"/>
    <cellStyle name="Separador de milhares 3 8 2 9 3 3 2" xfId="47653" xr:uid="{00000000-0005-0000-0000-0000F19C0000}"/>
    <cellStyle name="Separador de milhares 3 8 2 9 3 4" xfId="15552" xr:uid="{00000000-0005-0000-0000-0000F29C0000}"/>
    <cellStyle name="Separador de milhares 3 8 2 9 3 4 2" xfId="41745" xr:uid="{00000000-0005-0000-0000-0000F39C0000}"/>
    <cellStyle name="Separador de milhares 3 8 2 9 3 5" xfId="35359" xr:uid="{00000000-0005-0000-0000-0000F49C0000}"/>
    <cellStyle name="Separador de milhares 3 8 2 9 4" xfId="5791" xr:uid="{00000000-0005-0000-0000-0000F59C0000}"/>
    <cellStyle name="Separador de milhares 3 8 2 9 4 2" xfId="24423" xr:uid="{00000000-0005-0000-0000-0000F69C0000}"/>
    <cellStyle name="Separador de milhares 3 8 2 9 4 2 2" xfId="50607" xr:uid="{00000000-0005-0000-0000-0000F79C0000}"/>
    <cellStyle name="Separador de milhares 3 8 2 9 4 3" xfId="31987" xr:uid="{00000000-0005-0000-0000-0000F89C0000}"/>
    <cellStyle name="Separador de milhares 3 8 2 9 5" xfId="18509" xr:uid="{00000000-0005-0000-0000-0000F99C0000}"/>
    <cellStyle name="Separador de milhares 3 8 2 9 5 2" xfId="44699" xr:uid="{00000000-0005-0000-0000-0000FA9C0000}"/>
    <cellStyle name="Separador de milhares 3 8 2 9 6" xfId="12178" xr:uid="{00000000-0005-0000-0000-0000FB9C0000}"/>
    <cellStyle name="Separador de milhares 3 8 2 9 6 2" xfId="38371" xr:uid="{00000000-0005-0000-0000-0000FC9C0000}"/>
    <cellStyle name="Separador de milhares 3 8 2 9 7" xfId="30289" xr:uid="{00000000-0005-0000-0000-0000FD9C0000}"/>
    <cellStyle name="Separador de milhares 3 8 3" xfId="252" xr:uid="{00000000-0005-0000-0000-0000FE9C0000}"/>
    <cellStyle name="Separador de milhares 3 8 3 10" xfId="6481" xr:uid="{00000000-0005-0000-0000-0000FF9C0000}"/>
    <cellStyle name="Separador de milhares 3 8 3 10 2" xfId="9632" xr:uid="{00000000-0005-0000-0000-0000009D0000}"/>
    <cellStyle name="Separador de milhares 3 8 3 10 2 2" xfId="27846" xr:uid="{00000000-0005-0000-0000-0000019D0000}"/>
    <cellStyle name="Separador de milhares 3 8 3 10 2 2 2" xfId="54027" xr:uid="{00000000-0005-0000-0000-0000029D0000}"/>
    <cellStyle name="Separador de milhares 3 8 3 10 2 3" xfId="21932" xr:uid="{00000000-0005-0000-0000-0000039D0000}"/>
    <cellStyle name="Separador de milhares 3 8 3 10 2 3 2" xfId="48119" xr:uid="{00000000-0005-0000-0000-0000049D0000}"/>
    <cellStyle name="Separador de milhares 3 8 3 10 2 4" xfId="16018" xr:uid="{00000000-0005-0000-0000-0000059D0000}"/>
    <cellStyle name="Separador de milhares 3 8 3 10 2 4 2" xfId="42211" xr:uid="{00000000-0005-0000-0000-0000069D0000}"/>
    <cellStyle name="Separador de milhares 3 8 3 10 2 5" xfId="35825" xr:uid="{00000000-0005-0000-0000-0000079D0000}"/>
    <cellStyle name="Separador de milhares 3 8 3 10 3" xfId="24889" xr:uid="{00000000-0005-0000-0000-0000089D0000}"/>
    <cellStyle name="Separador de milhares 3 8 3 10 3 2" xfId="51073" xr:uid="{00000000-0005-0000-0000-0000099D0000}"/>
    <cellStyle name="Separador de milhares 3 8 3 10 4" xfId="18975" xr:uid="{00000000-0005-0000-0000-00000A9D0000}"/>
    <cellStyle name="Separador de milhares 3 8 3 10 4 2" xfId="45165" xr:uid="{00000000-0005-0000-0000-00000B9D0000}"/>
    <cellStyle name="Separador de milhares 3 8 3 10 5" xfId="12870" xr:uid="{00000000-0005-0000-0000-00000C9D0000}"/>
    <cellStyle name="Separador de milhares 3 8 3 10 5 2" xfId="39063" xr:uid="{00000000-0005-0000-0000-00000D9D0000}"/>
    <cellStyle name="Separador de milhares 3 8 3 10 6" xfId="32677" xr:uid="{00000000-0005-0000-0000-00000E9D0000}"/>
    <cellStyle name="Separador de milhares 3 8 3 11" xfId="8161" xr:uid="{00000000-0005-0000-0000-00000F9D0000}"/>
    <cellStyle name="Separador de milhares 3 8 3 11 2" xfId="26375" xr:uid="{00000000-0005-0000-0000-0000109D0000}"/>
    <cellStyle name="Separador de milhares 3 8 3 11 2 2" xfId="52559" xr:uid="{00000000-0005-0000-0000-0000119D0000}"/>
    <cellStyle name="Separador de milhares 3 8 3 11 3" xfId="20461" xr:uid="{00000000-0005-0000-0000-0000129D0000}"/>
    <cellStyle name="Separador de milhares 3 8 3 11 3 2" xfId="46651" xr:uid="{00000000-0005-0000-0000-0000139D0000}"/>
    <cellStyle name="Separador de milhares 3 8 3 11 4" xfId="14550" xr:uid="{00000000-0005-0000-0000-0000149D0000}"/>
    <cellStyle name="Separador de milhares 3 8 3 11 4 2" xfId="40743" xr:uid="{00000000-0005-0000-0000-0000159D0000}"/>
    <cellStyle name="Separador de milhares 3 8 3 11 5" xfId="34357" xr:uid="{00000000-0005-0000-0000-0000169D0000}"/>
    <cellStyle name="Separador de milhares 3 8 3 12" xfId="4780" xr:uid="{00000000-0005-0000-0000-0000179D0000}"/>
    <cellStyle name="Separador de milhares 3 8 3 12 2" xfId="23418" xr:uid="{00000000-0005-0000-0000-0000189D0000}"/>
    <cellStyle name="Separador de milhares 3 8 3 12 2 2" xfId="49605" xr:uid="{00000000-0005-0000-0000-0000199D0000}"/>
    <cellStyle name="Separador de milhares 3 8 3 12 3" xfId="30978" xr:uid="{00000000-0005-0000-0000-00001A9D0000}"/>
    <cellStyle name="Separador de milhares 3 8 3 13" xfId="17504" xr:uid="{00000000-0005-0000-0000-00001B9D0000}"/>
    <cellStyle name="Separador de milhares 3 8 3 13 2" xfId="43697" xr:uid="{00000000-0005-0000-0000-00001C9D0000}"/>
    <cellStyle name="Separador de milhares 3 8 3 14" xfId="11169" xr:uid="{00000000-0005-0000-0000-00001D9D0000}"/>
    <cellStyle name="Separador de milhares 3 8 3 14 2" xfId="37362" xr:uid="{00000000-0005-0000-0000-00001E9D0000}"/>
    <cellStyle name="Separador de milhares 3 8 3 15" xfId="29280" xr:uid="{00000000-0005-0000-0000-00001F9D0000}"/>
    <cellStyle name="Separador de milhares 3 8 3 2" xfId="515" xr:uid="{00000000-0005-0000-0000-0000209D0000}"/>
    <cellStyle name="Separador de milhares 3 8 3 2 2" xfId="6552" xr:uid="{00000000-0005-0000-0000-0000219D0000}"/>
    <cellStyle name="Separador de milhares 3 8 3 2 2 2" xfId="9699" xr:uid="{00000000-0005-0000-0000-0000229D0000}"/>
    <cellStyle name="Separador de milhares 3 8 3 2 2 2 2" xfId="27913" xr:uid="{00000000-0005-0000-0000-0000239D0000}"/>
    <cellStyle name="Separador de milhares 3 8 3 2 2 2 2 2" xfId="54094" xr:uid="{00000000-0005-0000-0000-0000249D0000}"/>
    <cellStyle name="Separador de milhares 3 8 3 2 2 2 3" xfId="21999" xr:uid="{00000000-0005-0000-0000-0000259D0000}"/>
    <cellStyle name="Separador de milhares 3 8 3 2 2 2 3 2" xfId="48186" xr:uid="{00000000-0005-0000-0000-0000269D0000}"/>
    <cellStyle name="Separador de milhares 3 8 3 2 2 2 4" xfId="16085" xr:uid="{00000000-0005-0000-0000-0000279D0000}"/>
    <cellStyle name="Separador de milhares 3 8 3 2 2 2 4 2" xfId="42278" xr:uid="{00000000-0005-0000-0000-0000289D0000}"/>
    <cellStyle name="Separador de milhares 3 8 3 2 2 2 5" xfId="35892" xr:uid="{00000000-0005-0000-0000-0000299D0000}"/>
    <cellStyle name="Separador de milhares 3 8 3 2 2 3" xfId="24956" xr:uid="{00000000-0005-0000-0000-00002A9D0000}"/>
    <cellStyle name="Separador de milhares 3 8 3 2 2 3 2" xfId="51140" xr:uid="{00000000-0005-0000-0000-00002B9D0000}"/>
    <cellStyle name="Separador de milhares 3 8 3 2 2 4" xfId="19042" xr:uid="{00000000-0005-0000-0000-00002C9D0000}"/>
    <cellStyle name="Separador de milhares 3 8 3 2 2 4 2" xfId="45232" xr:uid="{00000000-0005-0000-0000-00002D9D0000}"/>
    <cellStyle name="Separador de milhares 3 8 3 2 2 5" xfId="12941" xr:uid="{00000000-0005-0000-0000-00002E9D0000}"/>
    <cellStyle name="Separador de milhares 3 8 3 2 2 5 2" xfId="39134" xr:uid="{00000000-0005-0000-0000-00002F9D0000}"/>
    <cellStyle name="Separador de milhares 3 8 3 2 2 6" xfId="32748" xr:uid="{00000000-0005-0000-0000-0000309D0000}"/>
    <cellStyle name="Separador de milhares 3 8 3 2 3" xfId="8228" xr:uid="{00000000-0005-0000-0000-0000319D0000}"/>
    <cellStyle name="Separador de milhares 3 8 3 2 3 2" xfId="26442" xr:uid="{00000000-0005-0000-0000-0000329D0000}"/>
    <cellStyle name="Separador de milhares 3 8 3 2 3 2 2" xfId="52626" xr:uid="{00000000-0005-0000-0000-0000339D0000}"/>
    <cellStyle name="Separador de milhares 3 8 3 2 3 3" xfId="20528" xr:uid="{00000000-0005-0000-0000-0000349D0000}"/>
    <cellStyle name="Separador de milhares 3 8 3 2 3 3 2" xfId="46718" xr:uid="{00000000-0005-0000-0000-0000359D0000}"/>
    <cellStyle name="Separador de milhares 3 8 3 2 3 4" xfId="14617" xr:uid="{00000000-0005-0000-0000-0000369D0000}"/>
    <cellStyle name="Separador de milhares 3 8 3 2 3 4 2" xfId="40810" xr:uid="{00000000-0005-0000-0000-0000379D0000}"/>
    <cellStyle name="Separador de milhares 3 8 3 2 3 5" xfId="34424" xr:uid="{00000000-0005-0000-0000-0000389D0000}"/>
    <cellStyle name="Separador de milhares 3 8 3 2 4" xfId="4851" xr:uid="{00000000-0005-0000-0000-0000399D0000}"/>
    <cellStyle name="Separador de milhares 3 8 3 2 4 2" xfId="23485" xr:uid="{00000000-0005-0000-0000-00003A9D0000}"/>
    <cellStyle name="Separador de milhares 3 8 3 2 4 2 2" xfId="49672" xr:uid="{00000000-0005-0000-0000-00003B9D0000}"/>
    <cellStyle name="Separador de milhares 3 8 3 2 4 3" xfId="31049" xr:uid="{00000000-0005-0000-0000-00003C9D0000}"/>
    <cellStyle name="Separador de milhares 3 8 3 2 5" xfId="17571" xr:uid="{00000000-0005-0000-0000-00003D9D0000}"/>
    <cellStyle name="Separador de milhares 3 8 3 2 5 2" xfId="43764" xr:uid="{00000000-0005-0000-0000-00003E9D0000}"/>
    <cellStyle name="Separador de milhares 3 8 3 2 6" xfId="11240" xr:uid="{00000000-0005-0000-0000-00003F9D0000}"/>
    <cellStyle name="Separador de milhares 3 8 3 2 6 2" xfId="37433" xr:uid="{00000000-0005-0000-0000-0000409D0000}"/>
    <cellStyle name="Separador de milhares 3 8 3 2 7" xfId="29351" xr:uid="{00000000-0005-0000-0000-0000419D0000}"/>
    <cellStyle name="Separador de milhares 3 8 3 3" xfId="812" xr:uid="{00000000-0005-0000-0000-0000429D0000}"/>
    <cellStyle name="Separador de milhares 3 8 3 3 2" xfId="6654" xr:uid="{00000000-0005-0000-0000-0000439D0000}"/>
    <cellStyle name="Separador de milhares 3 8 3 3 2 2" xfId="9801" xr:uid="{00000000-0005-0000-0000-0000449D0000}"/>
    <cellStyle name="Separador de milhares 3 8 3 3 2 2 2" xfId="28015" xr:uid="{00000000-0005-0000-0000-0000459D0000}"/>
    <cellStyle name="Separador de milhares 3 8 3 3 2 2 2 2" xfId="54196" xr:uid="{00000000-0005-0000-0000-0000469D0000}"/>
    <cellStyle name="Separador de milhares 3 8 3 3 2 2 3" xfId="22101" xr:uid="{00000000-0005-0000-0000-0000479D0000}"/>
    <cellStyle name="Separador de milhares 3 8 3 3 2 2 3 2" xfId="48288" xr:uid="{00000000-0005-0000-0000-0000489D0000}"/>
    <cellStyle name="Separador de milhares 3 8 3 3 2 2 4" xfId="16187" xr:uid="{00000000-0005-0000-0000-0000499D0000}"/>
    <cellStyle name="Separador de milhares 3 8 3 3 2 2 4 2" xfId="42380" xr:uid="{00000000-0005-0000-0000-00004A9D0000}"/>
    <cellStyle name="Separador de milhares 3 8 3 3 2 2 5" xfId="35994" xr:uid="{00000000-0005-0000-0000-00004B9D0000}"/>
    <cellStyle name="Separador de milhares 3 8 3 3 2 3" xfId="25058" xr:uid="{00000000-0005-0000-0000-00004C9D0000}"/>
    <cellStyle name="Separador de milhares 3 8 3 3 2 3 2" xfId="51242" xr:uid="{00000000-0005-0000-0000-00004D9D0000}"/>
    <cellStyle name="Separador de milhares 3 8 3 3 2 4" xfId="19144" xr:uid="{00000000-0005-0000-0000-00004E9D0000}"/>
    <cellStyle name="Separador de milhares 3 8 3 3 2 4 2" xfId="45334" xr:uid="{00000000-0005-0000-0000-00004F9D0000}"/>
    <cellStyle name="Separador de milhares 3 8 3 3 2 5" xfId="13043" xr:uid="{00000000-0005-0000-0000-0000509D0000}"/>
    <cellStyle name="Separador de milhares 3 8 3 3 2 5 2" xfId="39236" xr:uid="{00000000-0005-0000-0000-0000519D0000}"/>
    <cellStyle name="Separador de milhares 3 8 3 3 2 6" xfId="32850" xr:uid="{00000000-0005-0000-0000-0000529D0000}"/>
    <cellStyle name="Separador de milhares 3 8 3 3 3" xfId="8333" xr:uid="{00000000-0005-0000-0000-0000539D0000}"/>
    <cellStyle name="Separador de milhares 3 8 3 3 3 2" xfId="26547" xr:uid="{00000000-0005-0000-0000-0000549D0000}"/>
    <cellStyle name="Separador de milhares 3 8 3 3 3 2 2" xfId="52728" xr:uid="{00000000-0005-0000-0000-0000559D0000}"/>
    <cellStyle name="Separador de milhares 3 8 3 3 3 3" xfId="20633" xr:uid="{00000000-0005-0000-0000-0000569D0000}"/>
    <cellStyle name="Separador de milhares 3 8 3 3 3 3 2" xfId="46820" xr:uid="{00000000-0005-0000-0000-0000579D0000}"/>
    <cellStyle name="Separador de milhares 3 8 3 3 3 4" xfId="14719" xr:uid="{00000000-0005-0000-0000-0000589D0000}"/>
    <cellStyle name="Separador de milhares 3 8 3 3 3 4 2" xfId="40912" xr:uid="{00000000-0005-0000-0000-0000599D0000}"/>
    <cellStyle name="Separador de milhares 3 8 3 3 3 5" xfId="34526" xr:uid="{00000000-0005-0000-0000-00005A9D0000}"/>
    <cellStyle name="Separador de milhares 3 8 3 3 4" xfId="4955" xr:uid="{00000000-0005-0000-0000-00005B9D0000}"/>
    <cellStyle name="Separador de milhares 3 8 3 3 4 2" xfId="23590" xr:uid="{00000000-0005-0000-0000-00005C9D0000}"/>
    <cellStyle name="Separador de milhares 3 8 3 3 4 2 2" xfId="49774" xr:uid="{00000000-0005-0000-0000-00005D9D0000}"/>
    <cellStyle name="Separador de milhares 3 8 3 3 4 3" xfId="31151" xr:uid="{00000000-0005-0000-0000-00005E9D0000}"/>
    <cellStyle name="Separador de milhares 3 8 3 3 5" xfId="17676" xr:uid="{00000000-0005-0000-0000-00005F9D0000}"/>
    <cellStyle name="Separador de milhares 3 8 3 3 5 2" xfId="43866" xr:uid="{00000000-0005-0000-0000-0000609D0000}"/>
    <cellStyle name="Separador de milhares 3 8 3 3 6" xfId="11342" xr:uid="{00000000-0005-0000-0000-0000619D0000}"/>
    <cellStyle name="Separador de milhares 3 8 3 3 6 2" xfId="37535" xr:uid="{00000000-0005-0000-0000-0000629D0000}"/>
    <cellStyle name="Separador de milhares 3 8 3 3 7" xfId="29453" xr:uid="{00000000-0005-0000-0000-0000639D0000}"/>
    <cellStyle name="Separador de milhares 3 8 3 4" xfId="1163" xr:uid="{00000000-0005-0000-0000-0000649D0000}"/>
    <cellStyle name="Separador de milhares 3 8 3 4 2" xfId="6752" xr:uid="{00000000-0005-0000-0000-0000659D0000}"/>
    <cellStyle name="Separador de milhares 3 8 3 4 2 2" xfId="9899" xr:uid="{00000000-0005-0000-0000-0000669D0000}"/>
    <cellStyle name="Separador de milhares 3 8 3 4 2 2 2" xfId="28113" xr:uid="{00000000-0005-0000-0000-0000679D0000}"/>
    <cellStyle name="Separador de milhares 3 8 3 4 2 2 2 2" xfId="54294" xr:uid="{00000000-0005-0000-0000-0000689D0000}"/>
    <cellStyle name="Separador de milhares 3 8 3 4 2 2 3" xfId="22199" xr:uid="{00000000-0005-0000-0000-0000699D0000}"/>
    <cellStyle name="Separador de milhares 3 8 3 4 2 2 3 2" xfId="48386" xr:uid="{00000000-0005-0000-0000-00006A9D0000}"/>
    <cellStyle name="Separador de milhares 3 8 3 4 2 2 4" xfId="16285" xr:uid="{00000000-0005-0000-0000-00006B9D0000}"/>
    <cellStyle name="Separador de milhares 3 8 3 4 2 2 4 2" xfId="42478" xr:uid="{00000000-0005-0000-0000-00006C9D0000}"/>
    <cellStyle name="Separador de milhares 3 8 3 4 2 2 5" xfId="36092" xr:uid="{00000000-0005-0000-0000-00006D9D0000}"/>
    <cellStyle name="Separador de milhares 3 8 3 4 2 3" xfId="25156" xr:uid="{00000000-0005-0000-0000-00006E9D0000}"/>
    <cellStyle name="Separador de milhares 3 8 3 4 2 3 2" xfId="51340" xr:uid="{00000000-0005-0000-0000-00006F9D0000}"/>
    <cellStyle name="Separador de milhares 3 8 3 4 2 4" xfId="19242" xr:uid="{00000000-0005-0000-0000-0000709D0000}"/>
    <cellStyle name="Separador de milhares 3 8 3 4 2 4 2" xfId="45432" xr:uid="{00000000-0005-0000-0000-0000719D0000}"/>
    <cellStyle name="Separador de milhares 3 8 3 4 2 5" xfId="13141" xr:uid="{00000000-0005-0000-0000-0000729D0000}"/>
    <cellStyle name="Separador de milhares 3 8 3 4 2 5 2" xfId="39334" xr:uid="{00000000-0005-0000-0000-0000739D0000}"/>
    <cellStyle name="Separador de milhares 3 8 3 4 2 6" xfId="32948" xr:uid="{00000000-0005-0000-0000-0000749D0000}"/>
    <cellStyle name="Separador de milhares 3 8 3 4 3" xfId="8431" xr:uid="{00000000-0005-0000-0000-0000759D0000}"/>
    <cellStyle name="Separador de milhares 3 8 3 4 3 2" xfId="26645" xr:uid="{00000000-0005-0000-0000-0000769D0000}"/>
    <cellStyle name="Separador de milhares 3 8 3 4 3 2 2" xfId="52826" xr:uid="{00000000-0005-0000-0000-0000779D0000}"/>
    <cellStyle name="Separador de milhares 3 8 3 4 3 3" xfId="20731" xr:uid="{00000000-0005-0000-0000-0000789D0000}"/>
    <cellStyle name="Separador de milhares 3 8 3 4 3 3 2" xfId="46918" xr:uid="{00000000-0005-0000-0000-0000799D0000}"/>
    <cellStyle name="Separador de milhares 3 8 3 4 3 4" xfId="14817" xr:uid="{00000000-0005-0000-0000-00007A9D0000}"/>
    <cellStyle name="Separador de milhares 3 8 3 4 3 4 2" xfId="41010" xr:uid="{00000000-0005-0000-0000-00007B9D0000}"/>
    <cellStyle name="Separador de milhares 3 8 3 4 3 5" xfId="34624" xr:uid="{00000000-0005-0000-0000-00007C9D0000}"/>
    <cellStyle name="Separador de milhares 3 8 3 4 4" xfId="5053" xr:uid="{00000000-0005-0000-0000-00007D9D0000}"/>
    <cellStyle name="Separador de milhares 3 8 3 4 4 2" xfId="23688" xr:uid="{00000000-0005-0000-0000-00007E9D0000}"/>
    <cellStyle name="Separador de milhares 3 8 3 4 4 2 2" xfId="49872" xr:uid="{00000000-0005-0000-0000-00007F9D0000}"/>
    <cellStyle name="Separador de milhares 3 8 3 4 4 3" xfId="31249" xr:uid="{00000000-0005-0000-0000-0000809D0000}"/>
    <cellStyle name="Separador de milhares 3 8 3 4 5" xfId="17774" xr:uid="{00000000-0005-0000-0000-0000819D0000}"/>
    <cellStyle name="Separador de milhares 3 8 3 4 5 2" xfId="43964" xr:uid="{00000000-0005-0000-0000-0000829D0000}"/>
    <cellStyle name="Separador de milhares 3 8 3 4 6" xfId="11440" xr:uid="{00000000-0005-0000-0000-0000839D0000}"/>
    <cellStyle name="Separador de milhares 3 8 3 4 6 2" xfId="37633" xr:uid="{00000000-0005-0000-0000-0000849D0000}"/>
    <cellStyle name="Separador de milhares 3 8 3 4 7" xfId="29551" xr:uid="{00000000-0005-0000-0000-0000859D0000}"/>
    <cellStyle name="Separador de milhares 3 8 3 5" xfId="1598" xr:uid="{00000000-0005-0000-0000-0000869D0000}"/>
    <cellStyle name="Separador de milhares 3 8 3 5 2" xfId="6871" xr:uid="{00000000-0005-0000-0000-0000879D0000}"/>
    <cellStyle name="Separador de milhares 3 8 3 5 2 2" xfId="10018" xr:uid="{00000000-0005-0000-0000-0000889D0000}"/>
    <cellStyle name="Separador de milhares 3 8 3 5 2 2 2" xfId="28232" xr:uid="{00000000-0005-0000-0000-0000899D0000}"/>
    <cellStyle name="Separador de milhares 3 8 3 5 2 2 2 2" xfId="54413" xr:uid="{00000000-0005-0000-0000-00008A9D0000}"/>
    <cellStyle name="Separador de milhares 3 8 3 5 2 2 3" xfId="22318" xr:uid="{00000000-0005-0000-0000-00008B9D0000}"/>
    <cellStyle name="Separador de milhares 3 8 3 5 2 2 3 2" xfId="48505" xr:uid="{00000000-0005-0000-0000-00008C9D0000}"/>
    <cellStyle name="Separador de milhares 3 8 3 5 2 2 4" xfId="16404" xr:uid="{00000000-0005-0000-0000-00008D9D0000}"/>
    <cellStyle name="Separador de milhares 3 8 3 5 2 2 4 2" xfId="42597" xr:uid="{00000000-0005-0000-0000-00008E9D0000}"/>
    <cellStyle name="Separador de milhares 3 8 3 5 2 2 5" xfId="36211" xr:uid="{00000000-0005-0000-0000-00008F9D0000}"/>
    <cellStyle name="Separador de milhares 3 8 3 5 2 3" xfId="25275" xr:uid="{00000000-0005-0000-0000-0000909D0000}"/>
    <cellStyle name="Separador de milhares 3 8 3 5 2 3 2" xfId="51459" xr:uid="{00000000-0005-0000-0000-0000919D0000}"/>
    <cellStyle name="Separador de milhares 3 8 3 5 2 4" xfId="19361" xr:uid="{00000000-0005-0000-0000-0000929D0000}"/>
    <cellStyle name="Separador de milhares 3 8 3 5 2 4 2" xfId="45551" xr:uid="{00000000-0005-0000-0000-0000939D0000}"/>
    <cellStyle name="Separador de milhares 3 8 3 5 2 5" xfId="13260" xr:uid="{00000000-0005-0000-0000-0000949D0000}"/>
    <cellStyle name="Separador de milhares 3 8 3 5 2 5 2" xfId="39453" xr:uid="{00000000-0005-0000-0000-0000959D0000}"/>
    <cellStyle name="Separador de milhares 3 8 3 5 2 6" xfId="33067" xr:uid="{00000000-0005-0000-0000-0000969D0000}"/>
    <cellStyle name="Separador de milhares 3 8 3 5 3" xfId="8550" xr:uid="{00000000-0005-0000-0000-0000979D0000}"/>
    <cellStyle name="Separador de milhares 3 8 3 5 3 2" xfId="26764" xr:uid="{00000000-0005-0000-0000-0000989D0000}"/>
    <cellStyle name="Separador de milhares 3 8 3 5 3 2 2" xfId="52945" xr:uid="{00000000-0005-0000-0000-0000999D0000}"/>
    <cellStyle name="Separador de milhares 3 8 3 5 3 3" xfId="20850" xr:uid="{00000000-0005-0000-0000-00009A9D0000}"/>
    <cellStyle name="Separador de milhares 3 8 3 5 3 3 2" xfId="47037" xr:uid="{00000000-0005-0000-0000-00009B9D0000}"/>
    <cellStyle name="Separador de milhares 3 8 3 5 3 4" xfId="14936" xr:uid="{00000000-0005-0000-0000-00009C9D0000}"/>
    <cellStyle name="Separador de milhares 3 8 3 5 3 4 2" xfId="41129" xr:uid="{00000000-0005-0000-0000-00009D9D0000}"/>
    <cellStyle name="Separador de milhares 3 8 3 5 3 5" xfId="34743" xr:uid="{00000000-0005-0000-0000-00009E9D0000}"/>
    <cellStyle name="Separador de milhares 3 8 3 5 4" xfId="5172" xr:uid="{00000000-0005-0000-0000-00009F9D0000}"/>
    <cellStyle name="Separador de milhares 3 8 3 5 4 2" xfId="23807" xr:uid="{00000000-0005-0000-0000-0000A09D0000}"/>
    <cellStyle name="Separador de milhares 3 8 3 5 4 2 2" xfId="49991" xr:uid="{00000000-0005-0000-0000-0000A19D0000}"/>
    <cellStyle name="Separador de milhares 3 8 3 5 4 3" xfId="31368" xr:uid="{00000000-0005-0000-0000-0000A29D0000}"/>
    <cellStyle name="Separador de milhares 3 8 3 5 5" xfId="17893" xr:uid="{00000000-0005-0000-0000-0000A39D0000}"/>
    <cellStyle name="Separador de milhares 3 8 3 5 5 2" xfId="44083" xr:uid="{00000000-0005-0000-0000-0000A49D0000}"/>
    <cellStyle name="Separador de milhares 3 8 3 5 6" xfId="11559" xr:uid="{00000000-0005-0000-0000-0000A59D0000}"/>
    <cellStyle name="Separador de milhares 3 8 3 5 6 2" xfId="37752" xr:uid="{00000000-0005-0000-0000-0000A69D0000}"/>
    <cellStyle name="Separador de milhares 3 8 3 5 7" xfId="29670" xr:uid="{00000000-0005-0000-0000-0000A79D0000}"/>
    <cellStyle name="Separador de milhares 3 8 3 6" xfId="2128" xr:uid="{00000000-0005-0000-0000-0000A89D0000}"/>
    <cellStyle name="Separador de milhares 3 8 3 6 2" xfId="7021" xr:uid="{00000000-0005-0000-0000-0000A99D0000}"/>
    <cellStyle name="Separador de milhares 3 8 3 6 2 2" xfId="10165" xr:uid="{00000000-0005-0000-0000-0000AA9D0000}"/>
    <cellStyle name="Separador de milhares 3 8 3 6 2 2 2" xfId="28379" xr:uid="{00000000-0005-0000-0000-0000AB9D0000}"/>
    <cellStyle name="Separador de milhares 3 8 3 6 2 2 2 2" xfId="54560" xr:uid="{00000000-0005-0000-0000-0000AC9D0000}"/>
    <cellStyle name="Separador de milhares 3 8 3 6 2 2 3" xfId="22465" xr:uid="{00000000-0005-0000-0000-0000AD9D0000}"/>
    <cellStyle name="Separador de milhares 3 8 3 6 2 2 3 2" xfId="48652" xr:uid="{00000000-0005-0000-0000-0000AE9D0000}"/>
    <cellStyle name="Separador de milhares 3 8 3 6 2 2 4" xfId="16551" xr:uid="{00000000-0005-0000-0000-0000AF9D0000}"/>
    <cellStyle name="Separador de milhares 3 8 3 6 2 2 4 2" xfId="42744" xr:uid="{00000000-0005-0000-0000-0000B09D0000}"/>
    <cellStyle name="Separador de milhares 3 8 3 6 2 2 5" xfId="36358" xr:uid="{00000000-0005-0000-0000-0000B19D0000}"/>
    <cellStyle name="Separador de milhares 3 8 3 6 2 3" xfId="25422" xr:uid="{00000000-0005-0000-0000-0000B29D0000}"/>
    <cellStyle name="Separador de milhares 3 8 3 6 2 3 2" xfId="51606" xr:uid="{00000000-0005-0000-0000-0000B39D0000}"/>
    <cellStyle name="Separador de milhares 3 8 3 6 2 4" xfId="19508" xr:uid="{00000000-0005-0000-0000-0000B49D0000}"/>
    <cellStyle name="Separador de milhares 3 8 3 6 2 4 2" xfId="45698" xr:uid="{00000000-0005-0000-0000-0000B59D0000}"/>
    <cellStyle name="Separador de milhares 3 8 3 6 2 5" xfId="13410" xr:uid="{00000000-0005-0000-0000-0000B69D0000}"/>
    <cellStyle name="Separador de milhares 3 8 3 6 2 5 2" xfId="39603" xr:uid="{00000000-0005-0000-0000-0000B79D0000}"/>
    <cellStyle name="Separador de milhares 3 8 3 6 2 6" xfId="33217" xr:uid="{00000000-0005-0000-0000-0000B89D0000}"/>
    <cellStyle name="Separador de milhares 3 8 3 6 3" xfId="8697" xr:uid="{00000000-0005-0000-0000-0000B99D0000}"/>
    <cellStyle name="Separador de milhares 3 8 3 6 3 2" xfId="26911" xr:uid="{00000000-0005-0000-0000-0000BA9D0000}"/>
    <cellStyle name="Separador de milhares 3 8 3 6 3 2 2" xfId="53092" xr:uid="{00000000-0005-0000-0000-0000BB9D0000}"/>
    <cellStyle name="Separador de milhares 3 8 3 6 3 3" xfId="20997" xr:uid="{00000000-0005-0000-0000-0000BC9D0000}"/>
    <cellStyle name="Separador de milhares 3 8 3 6 3 3 2" xfId="47184" xr:uid="{00000000-0005-0000-0000-0000BD9D0000}"/>
    <cellStyle name="Separador de milhares 3 8 3 6 3 4" xfId="15083" xr:uid="{00000000-0005-0000-0000-0000BE9D0000}"/>
    <cellStyle name="Separador de milhares 3 8 3 6 3 4 2" xfId="41276" xr:uid="{00000000-0005-0000-0000-0000BF9D0000}"/>
    <cellStyle name="Separador de milhares 3 8 3 6 3 5" xfId="34890" xr:uid="{00000000-0005-0000-0000-0000C09D0000}"/>
    <cellStyle name="Separador de milhares 3 8 3 6 4" xfId="5322" xr:uid="{00000000-0005-0000-0000-0000C19D0000}"/>
    <cellStyle name="Separador de milhares 3 8 3 6 4 2" xfId="23954" xr:uid="{00000000-0005-0000-0000-0000C29D0000}"/>
    <cellStyle name="Separador de milhares 3 8 3 6 4 2 2" xfId="50138" xr:uid="{00000000-0005-0000-0000-0000C39D0000}"/>
    <cellStyle name="Separador de milhares 3 8 3 6 4 3" xfId="31518" xr:uid="{00000000-0005-0000-0000-0000C49D0000}"/>
    <cellStyle name="Separador de milhares 3 8 3 6 5" xfId="18040" xr:uid="{00000000-0005-0000-0000-0000C59D0000}"/>
    <cellStyle name="Separador de milhares 3 8 3 6 5 2" xfId="44230" xr:uid="{00000000-0005-0000-0000-0000C69D0000}"/>
    <cellStyle name="Separador de milhares 3 8 3 6 6" xfId="11709" xr:uid="{00000000-0005-0000-0000-0000C79D0000}"/>
    <cellStyle name="Separador de milhares 3 8 3 6 6 2" xfId="37902" xr:uid="{00000000-0005-0000-0000-0000C89D0000}"/>
    <cellStyle name="Separador de milhares 3 8 3 6 7" xfId="29820" xr:uid="{00000000-0005-0000-0000-0000C99D0000}"/>
    <cellStyle name="Separador de milhares 3 8 3 7" xfId="2655" xr:uid="{00000000-0005-0000-0000-0000CA9D0000}"/>
    <cellStyle name="Separador de milhares 3 8 3 7 2" xfId="7168" xr:uid="{00000000-0005-0000-0000-0000CB9D0000}"/>
    <cellStyle name="Separador de milhares 3 8 3 7 2 2" xfId="10312" xr:uid="{00000000-0005-0000-0000-0000CC9D0000}"/>
    <cellStyle name="Separador de milhares 3 8 3 7 2 2 2" xfId="28526" xr:uid="{00000000-0005-0000-0000-0000CD9D0000}"/>
    <cellStyle name="Separador de milhares 3 8 3 7 2 2 2 2" xfId="54707" xr:uid="{00000000-0005-0000-0000-0000CE9D0000}"/>
    <cellStyle name="Separador de milhares 3 8 3 7 2 2 3" xfId="22612" xr:uid="{00000000-0005-0000-0000-0000CF9D0000}"/>
    <cellStyle name="Separador de milhares 3 8 3 7 2 2 3 2" xfId="48799" xr:uid="{00000000-0005-0000-0000-0000D09D0000}"/>
    <cellStyle name="Separador de milhares 3 8 3 7 2 2 4" xfId="16698" xr:uid="{00000000-0005-0000-0000-0000D19D0000}"/>
    <cellStyle name="Separador de milhares 3 8 3 7 2 2 4 2" xfId="42891" xr:uid="{00000000-0005-0000-0000-0000D29D0000}"/>
    <cellStyle name="Separador de milhares 3 8 3 7 2 2 5" xfId="36505" xr:uid="{00000000-0005-0000-0000-0000D39D0000}"/>
    <cellStyle name="Separador de milhares 3 8 3 7 2 3" xfId="25569" xr:uid="{00000000-0005-0000-0000-0000D49D0000}"/>
    <cellStyle name="Separador de milhares 3 8 3 7 2 3 2" xfId="51753" xr:uid="{00000000-0005-0000-0000-0000D59D0000}"/>
    <cellStyle name="Separador de milhares 3 8 3 7 2 4" xfId="19655" xr:uid="{00000000-0005-0000-0000-0000D69D0000}"/>
    <cellStyle name="Separador de milhares 3 8 3 7 2 4 2" xfId="45845" xr:uid="{00000000-0005-0000-0000-0000D79D0000}"/>
    <cellStyle name="Separador de milhares 3 8 3 7 2 5" xfId="13557" xr:uid="{00000000-0005-0000-0000-0000D89D0000}"/>
    <cellStyle name="Separador de milhares 3 8 3 7 2 5 2" xfId="39750" xr:uid="{00000000-0005-0000-0000-0000D99D0000}"/>
    <cellStyle name="Separador de milhares 3 8 3 7 2 6" xfId="33364" xr:uid="{00000000-0005-0000-0000-0000DA9D0000}"/>
    <cellStyle name="Separador de milhares 3 8 3 7 3" xfId="8844" xr:uid="{00000000-0005-0000-0000-0000DB9D0000}"/>
    <cellStyle name="Separador de milhares 3 8 3 7 3 2" xfId="27058" xr:uid="{00000000-0005-0000-0000-0000DC9D0000}"/>
    <cellStyle name="Separador de milhares 3 8 3 7 3 2 2" xfId="53239" xr:uid="{00000000-0005-0000-0000-0000DD9D0000}"/>
    <cellStyle name="Separador de milhares 3 8 3 7 3 3" xfId="21144" xr:uid="{00000000-0005-0000-0000-0000DE9D0000}"/>
    <cellStyle name="Separador de milhares 3 8 3 7 3 3 2" xfId="47331" xr:uid="{00000000-0005-0000-0000-0000DF9D0000}"/>
    <cellStyle name="Separador de milhares 3 8 3 7 3 4" xfId="15230" xr:uid="{00000000-0005-0000-0000-0000E09D0000}"/>
    <cellStyle name="Separador de milhares 3 8 3 7 3 4 2" xfId="41423" xr:uid="{00000000-0005-0000-0000-0000E19D0000}"/>
    <cellStyle name="Separador de milhares 3 8 3 7 3 5" xfId="35037" xr:uid="{00000000-0005-0000-0000-0000E29D0000}"/>
    <cellStyle name="Separador de milhares 3 8 3 7 4" xfId="5469" xr:uid="{00000000-0005-0000-0000-0000E39D0000}"/>
    <cellStyle name="Separador de milhares 3 8 3 7 4 2" xfId="24101" xr:uid="{00000000-0005-0000-0000-0000E49D0000}"/>
    <cellStyle name="Separador de milhares 3 8 3 7 4 2 2" xfId="50285" xr:uid="{00000000-0005-0000-0000-0000E59D0000}"/>
    <cellStyle name="Separador de milhares 3 8 3 7 4 3" xfId="31665" xr:uid="{00000000-0005-0000-0000-0000E69D0000}"/>
    <cellStyle name="Separador de milhares 3 8 3 7 5" xfId="18187" xr:uid="{00000000-0005-0000-0000-0000E79D0000}"/>
    <cellStyle name="Separador de milhares 3 8 3 7 5 2" xfId="44377" xr:uid="{00000000-0005-0000-0000-0000E89D0000}"/>
    <cellStyle name="Separador de milhares 3 8 3 7 6" xfId="11856" xr:uid="{00000000-0005-0000-0000-0000E99D0000}"/>
    <cellStyle name="Separador de milhares 3 8 3 7 6 2" xfId="38049" xr:uid="{00000000-0005-0000-0000-0000EA9D0000}"/>
    <cellStyle name="Separador de milhares 3 8 3 7 7" xfId="29967" xr:uid="{00000000-0005-0000-0000-0000EB9D0000}"/>
    <cellStyle name="Separador de milhares 3 8 3 8" xfId="3182" xr:uid="{00000000-0005-0000-0000-0000EC9D0000}"/>
    <cellStyle name="Separador de milhares 3 8 3 8 2" xfId="7315" xr:uid="{00000000-0005-0000-0000-0000ED9D0000}"/>
    <cellStyle name="Separador de milhares 3 8 3 8 2 2" xfId="10459" xr:uid="{00000000-0005-0000-0000-0000EE9D0000}"/>
    <cellStyle name="Separador de milhares 3 8 3 8 2 2 2" xfId="28673" xr:uid="{00000000-0005-0000-0000-0000EF9D0000}"/>
    <cellStyle name="Separador de milhares 3 8 3 8 2 2 2 2" xfId="54854" xr:uid="{00000000-0005-0000-0000-0000F09D0000}"/>
    <cellStyle name="Separador de milhares 3 8 3 8 2 2 3" xfId="22759" xr:uid="{00000000-0005-0000-0000-0000F19D0000}"/>
    <cellStyle name="Separador de milhares 3 8 3 8 2 2 3 2" xfId="48946" xr:uid="{00000000-0005-0000-0000-0000F29D0000}"/>
    <cellStyle name="Separador de milhares 3 8 3 8 2 2 4" xfId="16845" xr:uid="{00000000-0005-0000-0000-0000F39D0000}"/>
    <cellStyle name="Separador de milhares 3 8 3 8 2 2 4 2" xfId="43038" xr:uid="{00000000-0005-0000-0000-0000F49D0000}"/>
    <cellStyle name="Separador de milhares 3 8 3 8 2 2 5" xfId="36652" xr:uid="{00000000-0005-0000-0000-0000F59D0000}"/>
    <cellStyle name="Separador de milhares 3 8 3 8 2 3" xfId="25716" xr:uid="{00000000-0005-0000-0000-0000F69D0000}"/>
    <cellStyle name="Separador de milhares 3 8 3 8 2 3 2" xfId="51900" xr:uid="{00000000-0005-0000-0000-0000F79D0000}"/>
    <cellStyle name="Separador de milhares 3 8 3 8 2 4" xfId="19802" xr:uid="{00000000-0005-0000-0000-0000F89D0000}"/>
    <cellStyle name="Separador de milhares 3 8 3 8 2 4 2" xfId="45992" xr:uid="{00000000-0005-0000-0000-0000F99D0000}"/>
    <cellStyle name="Separador de milhares 3 8 3 8 2 5" xfId="13704" xr:uid="{00000000-0005-0000-0000-0000FA9D0000}"/>
    <cellStyle name="Separador de milhares 3 8 3 8 2 5 2" xfId="39897" xr:uid="{00000000-0005-0000-0000-0000FB9D0000}"/>
    <cellStyle name="Separador de milhares 3 8 3 8 2 6" xfId="33511" xr:uid="{00000000-0005-0000-0000-0000FC9D0000}"/>
    <cellStyle name="Separador de milhares 3 8 3 8 3" xfId="8991" xr:uid="{00000000-0005-0000-0000-0000FD9D0000}"/>
    <cellStyle name="Separador de milhares 3 8 3 8 3 2" xfId="27205" xr:uid="{00000000-0005-0000-0000-0000FE9D0000}"/>
    <cellStyle name="Separador de milhares 3 8 3 8 3 2 2" xfId="53386" xr:uid="{00000000-0005-0000-0000-0000FF9D0000}"/>
    <cellStyle name="Separador de milhares 3 8 3 8 3 3" xfId="21291" xr:uid="{00000000-0005-0000-0000-0000009E0000}"/>
    <cellStyle name="Separador de milhares 3 8 3 8 3 3 2" xfId="47478" xr:uid="{00000000-0005-0000-0000-0000019E0000}"/>
    <cellStyle name="Separador de milhares 3 8 3 8 3 4" xfId="15377" xr:uid="{00000000-0005-0000-0000-0000029E0000}"/>
    <cellStyle name="Separador de milhares 3 8 3 8 3 4 2" xfId="41570" xr:uid="{00000000-0005-0000-0000-0000039E0000}"/>
    <cellStyle name="Separador de milhares 3 8 3 8 3 5" xfId="35184" xr:uid="{00000000-0005-0000-0000-0000049E0000}"/>
    <cellStyle name="Separador de milhares 3 8 3 8 4" xfId="5616" xr:uid="{00000000-0005-0000-0000-0000059E0000}"/>
    <cellStyle name="Separador de milhares 3 8 3 8 4 2" xfId="24248" xr:uid="{00000000-0005-0000-0000-0000069E0000}"/>
    <cellStyle name="Separador de milhares 3 8 3 8 4 2 2" xfId="50432" xr:uid="{00000000-0005-0000-0000-0000079E0000}"/>
    <cellStyle name="Separador de milhares 3 8 3 8 4 3" xfId="31812" xr:uid="{00000000-0005-0000-0000-0000089E0000}"/>
    <cellStyle name="Separador de milhares 3 8 3 8 5" xfId="18334" xr:uid="{00000000-0005-0000-0000-0000099E0000}"/>
    <cellStyle name="Separador de milhares 3 8 3 8 5 2" xfId="44524" xr:uid="{00000000-0005-0000-0000-00000A9E0000}"/>
    <cellStyle name="Separador de milhares 3 8 3 8 6" xfId="12003" xr:uid="{00000000-0005-0000-0000-00000B9E0000}"/>
    <cellStyle name="Separador de milhares 3 8 3 8 6 2" xfId="38196" xr:uid="{00000000-0005-0000-0000-00000C9E0000}"/>
    <cellStyle name="Separador de milhares 3 8 3 8 7" xfId="30114" xr:uid="{00000000-0005-0000-0000-00000D9E0000}"/>
    <cellStyle name="Separador de milhares 3 8 3 9" xfId="3709" xr:uid="{00000000-0005-0000-0000-00000E9E0000}"/>
    <cellStyle name="Separador de milhares 3 8 3 9 2" xfId="7462" xr:uid="{00000000-0005-0000-0000-00000F9E0000}"/>
    <cellStyle name="Separador de milhares 3 8 3 9 2 2" xfId="10606" xr:uid="{00000000-0005-0000-0000-0000109E0000}"/>
    <cellStyle name="Separador de milhares 3 8 3 9 2 2 2" xfId="28820" xr:uid="{00000000-0005-0000-0000-0000119E0000}"/>
    <cellStyle name="Separador de milhares 3 8 3 9 2 2 2 2" xfId="55001" xr:uid="{00000000-0005-0000-0000-0000129E0000}"/>
    <cellStyle name="Separador de milhares 3 8 3 9 2 2 3" xfId="22906" xr:uid="{00000000-0005-0000-0000-0000139E0000}"/>
    <cellStyle name="Separador de milhares 3 8 3 9 2 2 3 2" xfId="49093" xr:uid="{00000000-0005-0000-0000-0000149E0000}"/>
    <cellStyle name="Separador de milhares 3 8 3 9 2 2 4" xfId="16992" xr:uid="{00000000-0005-0000-0000-0000159E0000}"/>
    <cellStyle name="Separador de milhares 3 8 3 9 2 2 4 2" xfId="43185" xr:uid="{00000000-0005-0000-0000-0000169E0000}"/>
    <cellStyle name="Separador de milhares 3 8 3 9 2 2 5" xfId="36799" xr:uid="{00000000-0005-0000-0000-0000179E0000}"/>
    <cellStyle name="Separador de milhares 3 8 3 9 2 3" xfId="25863" xr:uid="{00000000-0005-0000-0000-0000189E0000}"/>
    <cellStyle name="Separador de milhares 3 8 3 9 2 3 2" xfId="52047" xr:uid="{00000000-0005-0000-0000-0000199E0000}"/>
    <cellStyle name="Separador de milhares 3 8 3 9 2 4" xfId="19949" xr:uid="{00000000-0005-0000-0000-00001A9E0000}"/>
    <cellStyle name="Separador de milhares 3 8 3 9 2 4 2" xfId="46139" xr:uid="{00000000-0005-0000-0000-00001B9E0000}"/>
    <cellStyle name="Separador de milhares 3 8 3 9 2 5" xfId="13851" xr:uid="{00000000-0005-0000-0000-00001C9E0000}"/>
    <cellStyle name="Separador de milhares 3 8 3 9 2 5 2" xfId="40044" xr:uid="{00000000-0005-0000-0000-00001D9E0000}"/>
    <cellStyle name="Separador de milhares 3 8 3 9 2 6" xfId="33658" xr:uid="{00000000-0005-0000-0000-00001E9E0000}"/>
    <cellStyle name="Separador de milhares 3 8 3 9 3" xfId="9138" xr:uid="{00000000-0005-0000-0000-00001F9E0000}"/>
    <cellStyle name="Separador de milhares 3 8 3 9 3 2" xfId="27352" xr:uid="{00000000-0005-0000-0000-0000209E0000}"/>
    <cellStyle name="Separador de milhares 3 8 3 9 3 2 2" xfId="53533" xr:uid="{00000000-0005-0000-0000-0000219E0000}"/>
    <cellStyle name="Separador de milhares 3 8 3 9 3 3" xfId="21438" xr:uid="{00000000-0005-0000-0000-0000229E0000}"/>
    <cellStyle name="Separador de milhares 3 8 3 9 3 3 2" xfId="47625" xr:uid="{00000000-0005-0000-0000-0000239E0000}"/>
    <cellStyle name="Separador de milhares 3 8 3 9 3 4" xfId="15524" xr:uid="{00000000-0005-0000-0000-0000249E0000}"/>
    <cellStyle name="Separador de milhares 3 8 3 9 3 4 2" xfId="41717" xr:uid="{00000000-0005-0000-0000-0000259E0000}"/>
    <cellStyle name="Separador de milhares 3 8 3 9 3 5" xfId="35331" xr:uid="{00000000-0005-0000-0000-0000269E0000}"/>
    <cellStyle name="Separador de milhares 3 8 3 9 4" xfId="5763" xr:uid="{00000000-0005-0000-0000-0000279E0000}"/>
    <cellStyle name="Separador de milhares 3 8 3 9 4 2" xfId="24395" xr:uid="{00000000-0005-0000-0000-0000289E0000}"/>
    <cellStyle name="Separador de milhares 3 8 3 9 4 2 2" xfId="50579" xr:uid="{00000000-0005-0000-0000-0000299E0000}"/>
    <cellStyle name="Separador de milhares 3 8 3 9 4 3" xfId="31959" xr:uid="{00000000-0005-0000-0000-00002A9E0000}"/>
    <cellStyle name="Separador de milhares 3 8 3 9 5" xfId="18481" xr:uid="{00000000-0005-0000-0000-00002B9E0000}"/>
    <cellStyle name="Separador de milhares 3 8 3 9 5 2" xfId="44671" xr:uid="{00000000-0005-0000-0000-00002C9E0000}"/>
    <cellStyle name="Separador de milhares 3 8 3 9 6" xfId="12150" xr:uid="{00000000-0005-0000-0000-00002D9E0000}"/>
    <cellStyle name="Separador de milhares 3 8 3 9 6 2" xfId="38343" xr:uid="{00000000-0005-0000-0000-00002E9E0000}"/>
    <cellStyle name="Separador de milhares 3 8 3 9 7" xfId="30261" xr:uid="{00000000-0005-0000-0000-00002F9E0000}"/>
    <cellStyle name="Separador de milhares 3 8 4" xfId="345" xr:uid="{00000000-0005-0000-0000-0000309E0000}"/>
    <cellStyle name="Separador de milhares 3 8 4 10" xfId="6509" xr:uid="{00000000-0005-0000-0000-0000319E0000}"/>
    <cellStyle name="Separador de milhares 3 8 4 10 2" xfId="9657" xr:uid="{00000000-0005-0000-0000-0000329E0000}"/>
    <cellStyle name="Separador de milhares 3 8 4 10 2 2" xfId="27871" xr:uid="{00000000-0005-0000-0000-0000339E0000}"/>
    <cellStyle name="Separador de milhares 3 8 4 10 2 2 2" xfId="54052" xr:uid="{00000000-0005-0000-0000-0000349E0000}"/>
    <cellStyle name="Separador de milhares 3 8 4 10 2 3" xfId="21957" xr:uid="{00000000-0005-0000-0000-0000359E0000}"/>
    <cellStyle name="Separador de milhares 3 8 4 10 2 3 2" xfId="48144" xr:uid="{00000000-0005-0000-0000-0000369E0000}"/>
    <cellStyle name="Separador de milhares 3 8 4 10 2 4" xfId="16043" xr:uid="{00000000-0005-0000-0000-0000379E0000}"/>
    <cellStyle name="Separador de milhares 3 8 4 10 2 4 2" xfId="42236" xr:uid="{00000000-0005-0000-0000-0000389E0000}"/>
    <cellStyle name="Separador de milhares 3 8 4 10 2 5" xfId="35850" xr:uid="{00000000-0005-0000-0000-0000399E0000}"/>
    <cellStyle name="Separador de milhares 3 8 4 10 3" xfId="24914" xr:uid="{00000000-0005-0000-0000-00003A9E0000}"/>
    <cellStyle name="Separador de milhares 3 8 4 10 3 2" xfId="51098" xr:uid="{00000000-0005-0000-0000-00003B9E0000}"/>
    <cellStyle name="Separador de milhares 3 8 4 10 4" xfId="19000" xr:uid="{00000000-0005-0000-0000-00003C9E0000}"/>
    <cellStyle name="Separador de milhares 3 8 4 10 4 2" xfId="45190" xr:uid="{00000000-0005-0000-0000-00003D9E0000}"/>
    <cellStyle name="Separador de milhares 3 8 4 10 5" xfId="12898" xr:uid="{00000000-0005-0000-0000-00003E9E0000}"/>
    <cellStyle name="Separador de milhares 3 8 4 10 5 2" xfId="39091" xr:uid="{00000000-0005-0000-0000-00003F9E0000}"/>
    <cellStyle name="Separador de milhares 3 8 4 10 6" xfId="32705" xr:uid="{00000000-0005-0000-0000-0000409E0000}"/>
    <cellStyle name="Separador de milhares 3 8 4 11" xfId="8186" xr:uid="{00000000-0005-0000-0000-0000419E0000}"/>
    <cellStyle name="Separador de milhares 3 8 4 11 2" xfId="26400" xr:uid="{00000000-0005-0000-0000-0000429E0000}"/>
    <cellStyle name="Separador de milhares 3 8 4 11 2 2" xfId="52584" xr:uid="{00000000-0005-0000-0000-0000439E0000}"/>
    <cellStyle name="Separador de milhares 3 8 4 11 3" xfId="20486" xr:uid="{00000000-0005-0000-0000-0000449E0000}"/>
    <cellStyle name="Separador de milhares 3 8 4 11 3 2" xfId="46676" xr:uid="{00000000-0005-0000-0000-0000459E0000}"/>
    <cellStyle name="Separador de milhares 3 8 4 11 4" xfId="14575" xr:uid="{00000000-0005-0000-0000-0000469E0000}"/>
    <cellStyle name="Separador de milhares 3 8 4 11 4 2" xfId="40768" xr:uid="{00000000-0005-0000-0000-0000479E0000}"/>
    <cellStyle name="Separador de milhares 3 8 4 11 5" xfId="34382" xr:uid="{00000000-0005-0000-0000-0000489E0000}"/>
    <cellStyle name="Separador de milhares 3 8 4 12" xfId="4808" xr:uid="{00000000-0005-0000-0000-0000499E0000}"/>
    <cellStyle name="Separador de milhares 3 8 4 12 2" xfId="23443" xr:uid="{00000000-0005-0000-0000-00004A9E0000}"/>
    <cellStyle name="Separador de milhares 3 8 4 12 2 2" xfId="49630" xr:uid="{00000000-0005-0000-0000-00004B9E0000}"/>
    <cellStyle name="Separador de milhares 3 8 4 12 3" xfId="31006" xr:uid="{00000000-0005-0000-0000-00004C9E0000}"/>
    <cellStyle name="Separador de milhares 3 8 4 13" xfId="17529" xr:uid="{00000000-0005-0000-0000-00004D9E0000}"/>
    <cellStyle name="Separador de milhares 3 8 4 13 2" xfId="43722" xr:uid="{00000000-0005-0000-0000-00004E9E0000}"/>
    <cellStyle name="Separador de milhares 3 8 4 14" xfId="11197" xr:uid="{00000000-0005-0000-0000-00004F9E0000}"/>
    <cellStyle name="Separador de milhares 3 8 4 14 2" xfId="37390" xr:uid="{00000000-0005-0000-0000-0000509E0000}"/>
    <cellStyle name="Separador de milhares 3 8 4 15" xfId="29308" xr:uid="{00000000-0005-0000-0000-0000519E0000}"/>
    <cellStyle name="Separador de milhares 3 8 4 2" xfId="990" xr:uid="{00000000-0005-0000-0000-0000529E0000}"/>
    <cellStyle name="Separador de milhares 3 8 4 2 2" xfId="6706" xr:uid="{00000000-0005-0000-0000-0000539E0000}"/>
    <cellStyle name="Separador de milhares 3 8 4 2 2 2" xfId="9853" xr:uid="{00000000-0005-0000-0000-0000549E0000}"/>
    <cellStyle name="Separador de milhares 3 8 4 2 2 2 2" xfId="28067" xr:uid="{00000000-0005-0000-0000-0000559E0000}"/>
    <cellStyle name="Separador de milhares 3 8 4 2 2 2 2 2" xfId="54248" xr:uid="{00000000-0005-0000-0000-0000569E0000}"/>
    <cellStyle name="Separador de milhares 3 8 4 2 2 2 3" xfId="22153" xr:uid="{00000000-0005-0000-0000-0000579E0000}"/>
    <cellStyle name="Separador de milhares 3 8 4 2 2 2 3 2" xfId="48340" xr:uid="{00000000-0005-0000-0000-0000589E0000}"/>
    <cellStyle name="Separador de milhares 3 8 4 2 2 2 4" xfId="16239" xr:uid="{00000000-0005-0000-0000-0000599E0000}"/>
    <cellStyle name="Separador de milhares 3 8 4 2 2 2 4 2" xfId="42432" xr:uid="{00000000-0005-0000-0000-00005A9E0000}"/>
    <cellStyle name="Separador de milhares 3 8 4 2 2 2 5" xfId="36046" xr:uid="{00000000-0005-0000-0000-00005B9E0000}"/>
    <cellStyle name="Separador de milhares 3 8 4 2 2 3" xfId="25110" xr:uid="{00000000-0005-0000-0000-00005C9E0000}"/>
    <cellStyle name="Separador de milhares 3 8 4 2 2 3 2" xfId="51294" xr:uid="{00000000-0005-0000-0000-00005D9E0000}"/>
    <cellStyle name="Separador de milhares 3 8 4 2 2 4" xfId="19196" xr:uid="{00000000-0005-0000-0000-00005E9E0000}"/>
    <cellStyle name="Separador de milhares 3 8 4 2 2 4 2" xfId="45386" xr:uid="{00000000-0005-0000-0000-00005F9E0000}"/>
    <cellStyle name="Separador de milhares 3 8 4 2 2 5" xfId="13095" xr:uid="{00000000-0005-0000-0000-0000609E0000}"/>
    <cellStyle name="Separador de milhares 3 8 4 2 2 5 2" xfId="39288" xr:uid="{00000000-0005-0000-0000-0000619E0000}"/>
    <cellStyle name="Separador de milhares 3 8 4 2 2 6" xfId="32902" xr:uid="{00000000-0005-0000-0000-0000629E0000}"/>
    <cellStyle name="Separador de milhares 3 8 4 2 3" xfId="8385" xr:uid="{00000000-0005-0000-0000-0000639E0000}"/>
    <cellStyle name="Separador de milhares 3 8 4 2 3 2" xfId="26599" xr:uid="{00000000-0005-0000-0000-0000649E0000}"/>
    <cellStyle name="Separador de milhares 3 8 4 2 3 2 2" xfId="52780" xr:uid="{00000000-0005-0000-0000-0000659E0000}"/>
    <cellStyle name="Separador de milhares 3 8 4 2 3 3" xfId="20685" xr:uid="{00000000-0005-0000-0000-0000669E0000}"/>
    <cellStyle name="Separador de milhares 3 8 4 2 3 3 2" xfId="46872" xr:uid="{00000000-0005-0000-0000-0000679E0000}"/>
    <cellStyle name="Separador de milhares 3 8 4 2 3 4" xfId="14771" xr:uid="{00000000-0005-0000-0000-0000689E0000}"/>
    <cellStyle name="Separador de milhares 3 8 4 2 3 4 2" xfId="40964" xr:uid="{00000000-0005-0000-0000-0000699E0000}"/>
    <cellStyle name="Separador de milhares 3 8 4 2 3 5" xfId="34578" xr:uid="{00000000-0005-0000-0000-00006A9E0000}"/>
    <cellStyle name="Separador de milhares 3 8 4 2 4" xfId="5007" xr:uid="{00000000-0005-0000-0000-00006B9E0000}"/>
    <cellStyle name="Separador de milhares 3 8 4 2 4 2" xfId="23642" xr:uid="{00000000-0005-0000-0000-00006C9E0000}"/>
    <cellStyle name="Separador de milhares 3 8 4 2 4 2 2" xfId="49826" xr:uid="{00000000-0005-0000-0000-00006D9E0000}"/>
    <cellStyle name="Separador de milhares 3 8 4 2 4 3" xfId="31203" xr:uid="{00000000-0005-0000-0000-00006E9E0000}"/>
    <cellStyle name="Separador de milhares 3 8 4 2 5" xfId="17728" xr:uid="{00000000-0005-0000-0000-00006F9E0000}"/>
    <cellStyle name="Separador de milhares 3 8 4 2 5 2" xfId="43918" xr:uid="{00000000-0005-0000-0000-0000709E0000}"/>
    <cellStyle name="Separador de milhares 3 8 4 2 6" xfId="11394" xr:uid="{00000000-0005-0000-0000-0000719E0000}"/>
    <cellStyle name="Separador de milhares 3 8 4 2 6 2" xfId="37587" xr:uid="{00000000-0005-0000-0000-0000729E0000}"/>
    <cellStyle name="Separador de milhares 3 8 4 2 7" xfId="29505" xr:uid="{00000000-0005-0000-0000-0000739E0000}"/>
    <cellStyle name="Separador de milhares 3 8 4 3" xfId="1341" xr:uid="{00000000-0005-0000-0000-0000749E0000}"/>
    <cellStyle name="Separador de milhares 3 8 4 3 2" xfId="6804" xr:uid="{00000000-0005-0000-0000-0000759E0000}"/>
    <cellStyle name="Separador de milhares 3 8 4 3 2 2" xfId="9951" xr:uid="{00000000-0005-0000-0000-0000769E0000}"/>
    <cellStyle name="Separador de milhares 3 8 4 3 2 2 2" xfId="28165" xr:uid="{00000000-0005-0000-0000-0000779E0000}"/>
    <cellStyle name="Separador de milhares 3 8 4 3 2 2 2 2" xfId="54346" xr:uid="{00000000-0005-0000-0000-0000789E0000}"/>
    <cellStyle name="Separador de milhares 3 8 4 3 2 2 3" xfId="22251" xr:uid="{00000000-0005-0000-0000-0000799E0000}"/>
    <cellStyle name="Separador de milhares 3 8 4 3 2 2 3 2" xfId="48438" xr:uid="{00000000-0005-0000-0000-00007A9E0000}"/>
    <cellStyle name="Separador de milhares 3 8 4 3 2 2 4" xfId="16337" xr:uid="{00000000-0005-0000-0000-00007B9E0000}"/>
    <cellStyle name="Separador de milhares 3 8 4 3 2 2 4 2" xfId="42530" xr:uid="{00000000-0005-0000-0000-00007C9E0000}"/>
    <cellStyle name="Separador de milhares 3 8 4 3 2 2 5" xfId="36144" xr:uid="{00000000-0005-0000-0000-00007D9E0000}"/>
    <cellStyle name="Separador de milhares 3 8 4 3 2 3" xfId="25208" xr:uid="{00000000-0005-0000-0000-00007E9E0000}"/>
    <cellStyle name="Separador de milhares 3 8 4 3 2 3 2" xfId="51392" xr:uid="{00000000-0005-0000-0000-00007F9E0000}"/>
    <cellStyle name="Separador de milhares 3 8 4 3 2 4" xfId="19294" xr:uid="{00000000-0005-0000-0000-0000809E0000}"/>
    <cellStyle name="Separador de milhares 3 8 4 3 2 4 2" xfId="45484" xr:uid="{00000000-0005-0000-0000-0000819E0000}"/>
    <cellStyle name="Separador de milhares 3 8 4 3 2 5" xfId="13193" xr:uid="{00000000-0005-0000-0000-0000829E0000}"/>
    <cellStyle name="Separador de milhares 3 8 4 3 2 5 2" xfId="39386" xr:uid="{00000000-0005-0000-0000-0000839E0000}"/>
    <cellStyle name="Separador de milhares 3 8 4 3 2 6" xfId="33000" xr:uid="{00000000-0005-0000-0000-0000849E0000}"/>
    <cellStyle name="Separador de milhares 3 8 4 3 3" xfId="8483" xr:uid="{00000000-0005-0000-0000-0000859E0000}"/>
    <cellStyle name="Separador de milhares 3 8 4 3 3 2" xfId="26697" xr:uid="{00000000-0005-0000-0000-0000869E0000}"/>
    <cellStyle name="Separador de milhares 3 8 4 3 3 2 2" xfId="52878" xr:uid="{00000000-0005-0000-0000-0000879E0000}"/>
    <cellStyle name="Separador de milhares 3 8 4 3 3 3" xfId="20783" xr:uid="{00000000-0005-0000-0000-0000889E0000}"/>
    <cellStyle name="Separador de milhares 3 8 4 3 3 3 2" xfId="46970" xr:uid="{00000000-0005-0000-0000-0000899E0000}"/>
    <cellStyle name="Separador de milhares 3 8 4 3 3 4" xfId="14869" xr:uid="{00000000-0005-0000-0000-00008A9E0000}"/>
    <cellStyle name="Separador de milhares 3 8 4 3 3 4 2" xfId="41062" xr:uid="{00000000-0005-0000-0000-00008B9E0000}"/>
    <cellStyle name="Separador de milhares 3 8 4 3 3 5" xfId="34676" xr:uid="{00000000-0005-0000-0000-00008C9E0000}"/>
    <cellStyle name="Separador de milhares 3 8 4 3 4" xfId="5105" xr:uid="{00000000-0005-0000-0000-00008D9E0000}"/>
    <cellStyle name="Separador de milhares 3 8 4 3 4 2" xfId="23740" xr:uid="{00000000-0005-0000-0000-00008E9E0000}"/>
    <cellStyle name="Separador de milhares 3 8 4 3 4 2 2" xfId="49924" xr:uid="{00000000-0005-0000-0000-00008F9E0000}"/>
    <cellStyle name="Separador de milhares 3 8 4 3 4 3" xfId="31301" xr:uid="{00000000-0005-0000-0000-0000909E0000}"/>
    <cellStyle name="Separador de milhares 3 8 4 3 5" xfId="17826" xr:uid="{00000000-0005-0000-0000-0000919E0000}"/>
    <cellStyle name="Separador de milhares 3 8 4 3 5 2" xfId="44016" xr:uid="{00000000-0005-0000-0000-0000929E0000}"/>
    <cellStyle name="Separador de milhares 3 8 4 3 6" xfId="11492" xr:uid="{00000000-0005-0000-0000-0000939E0000}"/>
    <cellStyle name="Separador de milhares 3 8 4 3 6 2" xfId="37685" xr:uid="{00000000-0005-0000-0000-0000949E0000}"/>
    <cellStyle name="Separador de milhares 3 8 4 3 7" xfId="29603" xr:uid="{00000000-0005-0000-0000-0000959E0000}"/>
    <cellStyle name="Separador de milhares 3 8 4 4" xfId="1776" xr:uid="{00000000-0005-0000-0000-0000969E0000}"/>
    <cellStyle name="Separador de milhares 3 8 4 4 2" xfId="6923" xr:uid="{00000000-0005-0000-0000-0000979E0000}"/>
    <cellStyle name="Separador de milhares 3 8 4 4 2 2" xfId="10070" xr:uid="{00000000-0005-0000-0000-0000989E0000}"/>
    <cellStyle name="Separador de milhares 3 8 4 4 2 2 2" xfId="28284" xr:uid="{00000000-0005-0000-0000-0000999E0000}"/>
    <cellStyle name="Separador de milhares 3 8 4 4 2 2 2 2" xfId="54465" xr:uid="{00000000-0005-0000-0000-00009A9E0000}"/>
    <cellStyle name="Separador de milhares 3 8 4 4 2 2 3" xfId="22370" xr:uid="{00000000-0005-0000-0000-00009B9E0000}"/>
    <cellStyle name="Separador de milhares 3 8 4 4 2 2 3 2" xfId="48557" xr:uid="{00000000-0005-0000-0000-00009C9E0000}"/>
    <cellStyle name="Separador de milhares 3 8 4 4 2 2 4" xfId="16456" xr:uid="{00000000-0005-0000-0000-00009D9E0000}"/>
    <cellStyle name="Separador de milhares 3 8 4 4 2 2 4 2" xfId="42649" xr:uid="{00000000-0005-0000-0000-00009E9E0000}"/>
    <cellStyle name="Separador de milhares 3 8 4 4 2 2 5" xfId="36263" xr:uid="{00000000-0005-0000-0000-00009F9E0000}"/>
    <cellStyle name="Separador de milhares 3 8 4 4 2 3" xfId="25327" xr:uid="{00000000-0005-0000-0000-0000A09E0000}"/>
    <cellStyle name="Separador de milhares 3 8 4 4 2 3 2" xfId="51511" xr:uid="{00000000-0005-0000-0000-0000A19E0000}"/>
    <cellStyle name="Separador de milhares 3 8 4 4 2 4" xfId="19413" xr:uid="{00000000-0005-0000-0000-0000A29E0000}"/>
    <cellStyle name="Separador de milhares 3 8 4 4 2 4 2" xfId="45603" xr:uid="{00000000-0005-0000-0000-0000A39E0000}"/>
    <cellStyle name="Separador de milhares 3 8 4 4 2 5" xfId="13312" xr:uid="{00000000-0005-0000-0000-0000A49E0000}"/>
    <cellStyle name="Separador de milhares 3 8 4 4 2 5 2" xfId="39505" xr:uid="{00000000-0005-0000-0000-0000A59E0000}"/>
    <cellStyle name="Separador de milhares 3 8 4 4 2 6" xfId="33119" xr:uid="{00000000-0005-0000-0000-0000A69E0000}"/>
    <cellStyle name="Separador de milhares 3 8 4 4 3" xfId="8602" xr:uid="{00000000-0005-0000-0000-0000A79E0000}"/>
    <cellStyle name="Separador de milhares 3 8 4 4 3 2" xfId="26816" xr:uid="{00000000-0005-0000-0000-0000A89E0000}"/>
    <cellStyle name="Separador de milhares 3 8 4 4 3 2 2" xfId="52997" xr:uid="{00000000-0005-0000-0000-0000A99E0000}"/>
    <cellStyle name="Separador de milhares 3 8 4 4 3 3" xfId="20902" xr:uid="{00000000-0005-0000-0000-0000AA9E0000}"/>
    <cellStyle name="Separador de milhares 3 8 4 4 3 3 2" xfId="47089" xr:uid="{00000000-0005-0000-0000-0000AB9E0000}"/>
    <cellStyle name="Separador de milhares 3 8 4 4 3 4" xfId="14988" xr:uid="{00000000-0005-0000-0000-0000AC9E0000}"/>
    <cellStyle name="Separador de milhares 3 8 4 4 3 4 2" xfId="41181" xr:uid="{00000000-0005-0000-0000-0000AD9E0000}"/>
    <cellStyle name="Separador de milhares 3 8 4 4 3 5" xfId="34795" xr:uid="{00000000-0005-0000-0000-0000AE9E0000}"/>
    <cellStyle name="Separador de milhares 3 8 4 4 4" xfId="5224" xr:uid="{00000000-0005-0000-0000-0000AF9E0000}"/>
    <cellStyle name="Separador de milhares 3 8 4 4 4 2" xfId="23859" xr:uid="{00000000-0005-0000-0000-0000B09E0000}"/>
    <cellStyle name="Separador de milhares 3 8 4 4 4 2 2" xfId="50043" xr:uid="{00000000-0005-0000-0000-0000B19E0000}"/>
    <cellStyle name="Separador de milhares 3 8 4 4 4 3" xfId="31420" xr:uid="{00000000-0005-0000-0000-0000B29E0000}"/>
    <cellStyle name="Separador de milhares 3 8 4 4 5" xfId="17945" xr:uid="{00000000-0005-0000-0000-0000B39E0000}"/>
    <cellStyle name="Separador de milhares 3 8 4 4 5 2" xfId="44135" xr:uid="{00000000-0005-0000-0000-0000B49E0000}"/>
    <cellStyle name="Separador de milhares 3 8 4 4 6" xfId="11611" xr:uid="{00000000-0005-0000-0000-0000B59E0000}"/>
    <cellStyle name="Separador de milhares 3 8 4 4 6 2" xfId="37804" xr:uid="{00000000-0005-0000-0000-0000B69E0000}"/>
    <cellStyle name="Separador de milhares 3 8 4 4 7" xfId="29722" xr:uid="{00000000-0005-0000-0000-0000B79E0000}"/>
    <cellStyle name="Separador de milhares 3 8 4 5" xfId="2306" xr:uid="{00000000-0005-0000-0000-0000B89E0000}"/>
    <cellStyle name="Separador de milhares 3 8 4 5 2" xfId="7073" xr:uid="{00000000-0005-0000-0000-0000B99E0000}"/>
    <cellStyle name="Separador de milhares 3 8 4 5 2 2" xfId="10217" xr:uid="{00000000-0005-0000-0000-0000BA9E0000}"/>
    <cellStyle name="Separador de milhares 3 8 4 5 2 2 2" xfId="28431" xr:uid="{00000000-0005-0000-0000-0000BB9E0000}"/>
    <cellStyle name="Separador de milhares 3 8 4 5 2 2 2 2" xfId="54612" xr:uid="{00000000-0005-0000-0000-0000BC9E0000}"/>
    <cellStyle name="Separador de milhares 3 8 4 5 2 2 3" xfId="22517" xr:uid="{00000000-0005-0000-0000-0000BD9E0000}"/>
    <cellStyle name="Separador de milhares 3 8 4 5 2 2 3 2" xfId="48704" xr:uid="{00000000-0005-0000-0000-0000BE9E0000}"/>
    <cellStyle name="Separador de milhares 3 8 4 5 2 2 4" xfId="16603" xr:uid="{00000000-0005-0000-0000-0000BF9E0000}"/>
    <cellStyle name="Separador de milhares 3 8 4 5 2 2 4 2" xfId="42796" xr:uid="{00000000-0005-0000-0000-0000C09E0000}"/>
    <cellStyle name="Separador de milhares 3 8 4 5 2 2 5" xfId="36410" xr:uid="{00000000-0005-0000-0000-0000C19E0000}"/>
    <cellStyle name="Separador de milhares 3 8 4 5 2 3" xfId="25474" xr:uid="{00000000-0005-0000-0000-0000C29E0000}"/>
    <cellStyle name="Separador de milhares 3 8 4 5 2 3 2" xfId="51658" xr:uid="{00000000-0005-0000-0000-0000C39E0000}"/>
    <cellStyle name="Separador de milhares 3 8 4 5 2 4" xfId="19560" xr:uid="{00000000-0005-0000-0000-0000C49E0000}"/>
    <cellStyle name="Separador de milhares 3 8 4 5 2 4 2" xfId="45750" xr:uid="{00000000-0005-0000-0000-0000C59E0000}"/>
    <cellStyle name="Separador de milhares 3 8 4 5 2 5" xfId="13462" xr:uid="{00000000-0005-0000-0000-0000C69E0000}"/>
    <cellStyle name="Separador de milhares 3 8 4 5 2 5 2" xfId="39655" xr:uid="{00000000-0005-0000-0000-0000C79E0000}"/>
    <cellStyle name="Separador de milhares 3 8 4 5 2 6" xfId="33269" xr:uid="{00000000-0005-0000-0000-0000C89E0000}"/>
    <cellStyle name="Separador de milhares 3 8 4 5 3" xfId="8749" xr:uid="{00000000-0005-0000-0000-0000C99E0000}"/>
    <cellStyle name="Separador de milhares 3 8 4 5 3 2" xfId="26963" xr:uid="{00000000-0005-0000-0000-0000CA9E0000}"/>
    <cellStyle name="Separador de milhares 3 8 4 5 3 2 2" xfId="53144" xr:uid="{00000000-0005-0000-0000-0000CB9E0000}"/>
    <cellStyle name="Separador de milhares 3 8 4 5 3 3" xfId="21049" xr:uid="{00000000-0005-0000-0000-0000CC9E0000}"/>
    <cellStyle name="Separador de milhares 3 8 4 5 3 3 2" xfId="47236" xr:uid="{00000000-0005-0000-0000-0000CD9E0000}"/>
    <cellStyle name="Separador de milhares 3 8 4 5 3 4" xfId="15135" xr:uid="{00000000-0005-0000-0000-0000CE9E0000}"/>
    <cellStyle name="Separador de milhares 3 8 4 5 3 4 2" xfId="41328" xr:uid="{00000000-0005-0000-0000-0000CF9E0000}"/>
    <cellStyle name="Separador de milhares 3 8 4 5 3 5" xfId="34942" xr:uid="{00000000-0005-0000-0000-0000D09E0000}"/>
    <cellStyle name="Separador de milhares 3 8 4 5 4" xfId="5374" xr:uid="{00000000-0005-0000-0000-0000D19E0000}"/>
    <cellStyle name="Separador de milhares 3 8 4 5 4 2" xfId="24006" xr:uid="{00000000-0005-0000-0000-0000D29E0000}"/>
    <cellStyle name="Separador de milhares 3 8 4 5 4 2 2" xfId="50190" xr:uid="{00000000-0005-0000-0000-0000D39E0000}"/>
    <cellStyle name="Separador de milhares 3 8 4 5 4 3" xfId="31570" xr:uid="{00000000-0005-0000-0000-0000D49E0000}"/>
    <cellStyle name="Separador de milhares 3 8 4 5 5" xfId="18092" xr:uid="{00000000-0005-0000-0000-0000D59E0000}"/>
    <cellStyle name="Separador de milhares 3 8 4 5 5 2" xfId="44282" xr:uid="{00000000-0005-0000-0000-0000D69E0000}"/>
    <cellStyle name="Separador de milhares 3 8 4 5 6" xfId="11761" xr:uid="{00000000-0005-0000-0000-0000D79E0000}"/>
    <cellStyle name="Separador de milhares 3 8 4 5 6 2" xfId="37954" xr:uid="{00000000-0005-0000-0000-0000D89E0000}"/>
    <cellStyle name="Separador de milhares 3 8 4 5 7" xfId="29872" xr:uid="{00000000-0005-0000-0000-0000D99E0000}"/>
    <cellStyle name="Separador de milhares 3 8 4 6" xfId="2833" xr:uid="{00000000-0005-0000-0000-0000DA9E0000}"/>
    <cellStyle name="Separador de milhares 3 8 4 6 2" xfId="7220" xr:uid="{00000000-0005-0000-0000-0000DB9E0000}"/>
    <cellStyle name="Separador de milhares 3 8 4 6 2 2" xfId="10364" xr:uid="{00000000-0005-0000-0000-0000DC9E0000}"/>
    <cellStyle name="Separador de milhares 3 8 4 6 2 2 2" xfId="28578" xr:uid="{00000000-0005-0000-0000-0000DD9E0000}"/>
    <cellStyle name="Separador de milhares 3 8 4 6 2 2 2 2" xfId="54759" xr:uid="{00000000-0005-0000-0000-0000DE9E0000}"/>
    <cellStyle name="Separador de milhares 3 8 4 6 2 2 3" xfId="22664" xr:uid="{00000000-0005-0000-0000-0000DF9E0000}"/>
    <cellStyle name="Separador de milhares 3 8 4 6 2 2 3 2" xfId="48851" xr:uid="{00000000-0005-0000-0000-0000E09E0000}"/>
    <cellStyle name="Separador de milhares 3 8 4 6 2 2 4" xfId="16750" xr:uid="{00000000-0005-0000-0000-0000E19E0000}"/>
    <cellStyle name="Separador de milhares 3 8 4 6 2 2 4 2" xfId="42943" xr:uid="{00000000-0005-0000-0000-0000E29E0000}"/>
    <cellStyle name="Separador de milhares 3 8 4 6 2 2 5" xfId="36557" xr:uid="{00000000-0005-0000-0000-0000E39E0000}"/>
    <cellStyle name="Separador de milhares 3 8 4 6 2 3" xfId="25621" xr:uid="{00000000-0005-0000-0000-0000E49E0000}"/>
    <cellStyle name="Separador de milhares 3 8 4 6 2 3 2" xfId="51805" xr:uid="{00000000-0005-0000-0000-0000E59E0000}"/>
    <cellStyle name="Separador de milhares 3 8 4 6 2 4" xfId="19707" xr:uid="{00000000-0005-0000-0000-0000E69E0000}"/>
    <cellStyle name="Separador de milhares 3 8 4 6 2 4 2" xfId="45897" xr:uid="{00000000-0005-0000-0000-0000E79E0000}"/>
    <cellStyle name="Separador de milhares 3 8 4 6 2 5" xfId="13609" xr:uid="{00000000-0005-0000-0000-0000E89E0000}"/>
    <cellStyle name="Separador de milhares 3 8 4 6 2 5 2" xfId="39802" xr:uid="{00000000-0005-0000-0000-0000E99E0000}"/>
    <cellStyle name="Separador de milhares 3 8 4 6 2 6" xfId="33416" xr:uid="{00000000-0005-0000-0000-0000EA9E0000}"/>
    <cellStyle name="Separador de milhares 3 8 4 6 3" xfId="8896" xr:uid="{00000000-0005-0000-0000-0000EB9E0000}"/>
    <cellStyle name="Separador de milhares 3 8 4 6 3 2" xfId="27110" xr:uid="{00000000-0005-0000-0000-0000EC9E0000}"/>
    <cellStyle name="Separador de milhares 3 8 4 6 3 2 2" xfId="53291" xr:uid="{00000000-0005-0000-0000-0000ED9E0000}"/>
    <cellStyle name="Separador de milhares 3 8 4 6 3 3" xfId="21196" xr:uid="{00000000-0005-0000-0000-0000EE9E0000}"/>
    <cellStyle name="Separador de milhares 3 8 4 6 3 3 2" xfId="47383" xr:uid="{00000000-0005-0000-0000-0000EF9E0000}"/>
    <cellStyle name="Separador de milhares 3 8 4 6 3 4" xfId="15282" xr:uid="{00000000-0005-0000-0000-0000F09E0000}"/>
    <cellStyle name="Separador de milhares 3 8 4 6 3 4 2" xfId="41475" xr:uid="{00000000-0005-0000-0000-0000F19E0000}"/>
    <cellStyle name="Separador de milhares 3 8 4 6 3 5" xfId="35089" xr:uid="{00000000-0005-0000-0000-0000F29E0000}"/>
    <cellStyle name="Separador de milhares 3 8 4 6 4" xfId="5521" xr:uid="{00000000-0005-0000-0000-0000F39E0000}"/>
    <cellStyle name="Separador de milhares 3 8 4 6 4 2" xfId="24153" xr:uid="{00000000-0005-0000-0000-0000F49E0000}"/>
    <cellStyle name="Separador de milhares 3 8 4 6 4 2 2" xfId="50337" xr:uid="{00000000-0005-0000-0000-0000F59E0000}"/>
    <cellStyle name="Separador de milhares 3 8 4 6 4 3" xfId="31717" xr:uid="{00000000-0005-0000-0000-0000F69E0000}"/>
    <cellStyle name="Separador de milhares 3 8 4 6 5" xfId="18239" xr:uid="{00000000-0005-0000-0000-0000F79E0000}"/>
    <cellStyle name="Separador de milhares 3 8 4 6 5 2" xfId="44429" xr:uid="{00000000-0005-0000-0000-0000F89E0000}"/>
    <cellStyle name="Separador de milhares 3 8 4 6 6" xfId="11908" xr:uid="{00000000-0005-0000-0000-0000F99E0000}"/>
    <cellStyle name="Separador de milhares 3 8 4 6 6 2" xfId="38101" xr:uid="{00000000-0005-0000-0000-0000FA9E0000}"/>
    <cellStyle name="Separador de milhares 3 8 4 6 7" xfId="30019" xr:uid="{00000000-0005-0000-0000-0000FB9E0000}"/>
    <cellStyle name="Separador de milhares 3 8 4 7" xfId="3360" xr:uid="{00000000-0005-0000-0000-0000FC9E0000}"/>
    <cellStyle name="Separador de milhares 3 8 4 7 2" xfId="7367" xr:uid="{00000000-0005-0000-0000-0000FD9E0000}"/>
    <cellStyle name="Separador de milhares 3 8 4 7 2 2" xfId="10511" xr:uid="{00000000-0005-0000-0000-0000FE9E0000}"/>
    <cellStyle name="Separador de milhares 3 8 4 7 2 2 2" xfId="28725" xr:uid="{00000000-0005-0000-0000-0000FF9E0000}"/>
    <cellStyle name="Separador de milhares 3 8 4 7 2 2 2 2" xfId="54906" xr:uid="{00000000-0005-0000-0000-0000009F0000}"/>
    <cellStyle name="Separador de milhares 3 8 4 7 2 2 3" xfId="22811" xr:uid="{00000000-0005-0000-0000-0000019F0000}"/>
    <cellStyle name="Separador de milhares 3 8 4 7 2 2 3 2" xfId="48998" xr:uid="{00000000-0005-0000-0000-0000029F0000}"/>
    <cellStyle name="Separador de milhares 3 8 4 7 2 2 4" xfId="16897" xr:uid="{00000000-0005-0000-0000-0000039F0000}"/>
    <cellStyle name="Separador de milhares 3 8 4 7 2 2 4 2" xfId="43090" xr:uid="{00000000-0005-0000-0000-0000049F0000}"/>
    <cellStyle name="Separador de milhares 3 8 4 7 2 2 5" xfId="36704" xr:uid="{00000000-0005-0000-0000-0000059F0000}"/>
    <cellStyle name="Separador de milhares 3 8 4 7 2 3" xfId="25768" xr:uid="{00000000-0005-0000-0000-0000069F0000}"/>
    <cellStyle name="Separador de milhares 3 8 4 7 2 3 2" xfId="51952" xr:uid="{00000000-0005-0000-0000-0000079F0000}"/>
    <cellStyle name="Separador de milhares 3 8 4 7 2 4" xfId="19854" xr:uid="{00000000-0005-0000-0000-0000089F0000}"/>
    <cellStyle name="Separador de milhares 3 8 4 7 2 4 2" xfId="46044" xr:uid="{00000000-0005-0000-0000-0000099F0000}"/>
    <cellStyle name="Separador de milhares 3 8 4 7 2 5" xfId="13756" xr:uid="{00000000-0005-0000-0000-00000A9F0000}"/>
    <cellStyle name="Separador de milhares 3 8 4 7 2 5 2" xfId="39949" xr:uid="{00000000-0005-0000-0000-00000B9F0000}"/>
    <cellStyle name="Separador de milhares 3 8 4 7 2 6" xfId="33563" xr:uid="{00000000-0005-0000-0000-00000C9F0000}"/>
    <cellStyle name="Separador de milhares 3 8 4 7 3" xfId="9043" xr:uid="{00000000-0005-0000-0000-00000D9F0000}"/>
    <cellStyle name="Separador de milhares 3 8 4 7 3 2" xfId="27257" xr:uid="{00000000-0005-0000-0000-00000E9F0000}"/>
    <cellStyle name="Separador de milhares 3 8 4 7 3 2 2" xfId="53438" xr:uid="{00000000-0005-0000-0000-00000F9F0000}"/>
    <cellStyle name="Separador de milhares 3 8 4 7 3 3" xfId="21343" xr:uid="{00000000-0005-0000-0000-0000109F0000}"/>
    <cellStyle name="Separador de milhares 3 8 4 7 3 3 2" xfId="47530" xr:uid="{00000000-0005-0000-0000-0000119F0000}"/>
    <cellStyle name="Separador de milhares 3 8 4 7 3 4" xfId="15429" xr:uid="{00000000-0005-0000-0000-0000129F0000}"/>
    <cellStyle name="Separador de milhares 3 8 4 7 3 4 2" xfId="41622" xr:uid="{00000000-0005-0000-0000-0000139F0000}"/>
    <cellStyle name="Separador de milhares 3 8 4 7 3 5" xfId="35236" xr:uid="{00000000-0005-0000-0000-0000149F0000}"/>
    <cellStyle name="Separador de milhares 3 8 4 7 4" xfId="5668" xr:uid="{00000000-0005-0000-0000-0000159F0000}"/>
    <cellStyle name="Separador de milhares 3 8 4 7 4 2" xfId="24300" xr:uid="{00000000-0005-0000-0000-0000169F0000}"/>
    <cellStyle name="Separador de milhares 3 8 4 7 4 2 2" xfId="50484" xr:uid="{00000000-0005-0000-0000-0000179F0000}"/>
    <cellStyle name="Separador de milhares 3 8 4 7 4 3" xfId="31864" xr:uid="{00000000-0005-0000-0000-0000189F0000}"/>
    <cellStyle name="Separador de milhares 3 8 4 7 5" xfId="18386" xr:uid="{00000000-0005-0000-0000-0000199F0000}"/>
    <cellStyle name="Separador de milhares 3 8 4 7 5 2" xfId="44576" xr:uid="{00000000-0005-0000-0000-00001A9F0000}"/>
    <cellStyle name="Separador de milhares 3 8 4 7 6" xfId="12055" xr:uid="{00000000-0005-0000-0000-00001B9F0000}"/>
    <cellStyle name="Separador de milhares 3 8 4 7 6 2" xfId="38248" xr:uid="{00000000-0005-0000-0000-00001C9F0000}"/>
    <cellStyle name="Separador de milhares 3 8 4 7 7" xfId="30166" xr:uid="{00000000-0005-0000-0000-00001D9F0000}"/>
    <cellStyle name="Separador de milhares 3 8 4 8" xfId="3887" xr:uid="{00000000-0005-0000-0000-00001E9F0000}"/>
    <cellStyle name="Separador de milhares 3 8 4 8 2" xfId="7514" xr:uid="{00000000-0005-0000-0000-00001F9F0000}"/>
    <cellStyle name="Separador de milhares 3 8 4 8 2 2" xfId="10658" xr:uid="{00000000-0005-0000-0000-0000209F0000}"/>
    <cellStyle name="Separador de milhares 3 8 4 8 2 2 2" xfId="28872" xr:uid="{00000000-0005-0000-0000-0000219F0000}"/>
    <cellStyle name="Separador de milhares 3 8 4 8 2 2 2 2" xfId="55053" xr:uid="{00000000-0005-0000-0000-0000229F0000}"/>
    <cellStyle name="Separador de milhares 3 8 4 8 2 2 3" xfId="22958" xr:uid="{00000000-0005-0000-0000-0000239F0000}"/>
    <cellStyle name="Separador de milhares 3 8 4 8 2 2 3 2" xfId="49145" xr:uid="{00000000-0005-0000-0000-0000249F0000}"/>
    <cellStyle name="Separador de milhares 3 8 4 8 2 2 4" xfId="17044" xr:uid="{00000000-0005-0000-0000-0000259F0000}"/>
    <cellStyle name="Separador de milhares 3 8 4 8 2 2 4 2" xfId="43237" xr:uid="{00000000-0005-0000-0000-0000269F0000}"/>
    <cellStyle name="Separador de milhares 3 8 4 8 2 2 5" xfId="36851" xr:uid="{00000000-0005-0000-0000-0000279F0000}"/>
    <cellStyle name="Separador de milhares 3 8 4 8 2 3" xfId="25915" xr:uid="{00000000-0005-0000-0000-0000289F0000}"/>
    <cellStyle name="Separador de milhares 3 8 4 8 2 3 2" xfId="52099" xr:uid="{00000000-0005-0000-0000-0000299F0000}"/>
    <cellStyle name="Separador de milhares 3 8 4 8 2 4" xfId="20001" xr:uid="{00000000-0005-0000-0000-00002A9F0000}"/>
    <cellStyle name="Separador de milhares 3 8 4 8 2 4 2" xfId="46191" xr:uid="{00000000-0005-0000-0000-00002B9F0000}"/>
    <cellStyle name="Separador de milhares 3 8 4 8 2 5" xfId="13903" xr:uid="{00000000-0005-0000-0000-00002C9F0000}"/>
    <cellStyle name="Separador de milhares 3 8 4 8 2 5 2" xfId="40096" xr:uid="{00000000-0005-0000-0000-00002D9F0000}"/>
    <cellStyle name="Separador de milhares 3 8 4 8 2 6" xfId="33710" xr:uid="{00000000-0005-0000-0000-00002E9F0000}"/>
    <cellStyle name="Separador de milhares 3 8 4 8 3" xfId="9190" xr:uid="{00000000-0005-0000-0000-00002F9F0000}"/>
    <cellStyle name="Separador de milhares 3 8 4 8 3 2" xfId="27404" xr:uid="{00000000-0005-0000-0000-0000309F0000}"/>
    <cellStyle name="Separador de milhares 3 8 4 8 3 2 2" xfId="53585" xr:uid="{00000000-0005-0000-0000-0000319F0000}"/>
    <cellStyle name="Separador de milhares 3 8 4 8 3 3" xfId="21490" xr:uid="{00000000-0005-0000-0000-0000329F0000}"/>
    <cellStyle name="Separador de milhares 3 8 4 8 3 3 2" xfId="47677" xr:uid="{00000000-0005-0000-0000-0000339F0000}"/>
    <cellStyle name="Separador de milhares 3 8 4 8 3 4" xfId="15576" xr:uid="{00000000-0005-0000-0000-0000349F0000}"/>
    <cellStyle name="Separador de milhares 3 8 4 8 3 4 2" xfId="41769" xr:uid="{00000000-0005-0000-0000-0000359F0000}"/>
    <cellStyle name="Separador de milhares 3 8 4 8 3 5" xfId="35383" xr:uid="{00000000-0005-0000-0000-0000369F0000}"/>
    <cellStyle name="Separador de milhares 3 8 4 8 4" xfId="5815" xr:uid="{00000000-0005-0000-0000-0000379F0000}"/>
    <cellStyle name="Separador de milhares 3 8 4 8 4 2" xfId="24447" xr:uid="{00000000-0005-0000-0000-0000389F0000}"/>
    <cellStyle name="Separador de milhares 3 8 4 8 4 2 2" xfId="50631" xr:uid="{00000000-0005-0000-0000-0000399F0000}"/>
    <cellStyle name="Separador de milhares 3 8 4 8 4 3" xfId="32011" xr:uid="{00000000-0005-0000-0000-00003A9F0000}"/>
    <cellStyle name="Separador de milhares 3 8 4 8 5" xfId="18533" xr:uid="{00000000-0005-0000-0000-00003B9F0000}"/>
    <cellStyle name="Separador de milhares 3 8 4 8 5 2" xfId="44723" xr:uid="{00000000-0005-0000-0000-00003C9F0000}"/>
    <cellStyle name="Separador de milhares 3 8 4 8 6" xfId="12202" xr:uid="{00000000-0005-0000-0000-00003D9F0000}"/>
    <cellStyle name="Separador de milhares 3 8 4 8 6 2" xfId="38395" xr:uid="{00000000-0005-0000-0000-00003E9F0000}"/>
    <cellStyle name="Separador de milhares 3 8 4 8 7" xfId="30313" xr:uid="{00000000-0005-0000-0000-00003F9F0000}"/>
    <cellStyle name="Separador de milhares 3 8 4 9" xfId="673" xr:uid="{00000000-0005-0000-0000-0000409F0000}"/>
    <cellStyle name="Separador de milhares 3 8 4 9 2" xfId="6608" xr:uid="{00000000-0005-0000-0000-0000419F0000}"/>
    <cellStyle name="Separador de milhares 3 8 4 9 2 2" xfId="9755" xr:uid="{00000000-0005-0000-0000-0000429F0000}"/>
    <cellStyle name="Separador de milhares 3 8 4 9 2 2 2" xfId="27969" xr:uid="{00000000-0005-0000-0000-0000439F0000}"/>
    <cellStyle name="Separador de milhares 3 8 4 9 2 2 2 2" xfId="54150" xr:uid="{00000000-0005-0000-0000-0000449F0000}"/>
    <cellStyle name="Separador de milhares 3 8 4 9 2 2 3" xfId="22055" xr:uid="{00000000-0005-0000-0000-0000459F0000}"/>
    <cellStyle name="Separador de milhares 3 8 4 9 2 2 3 2" xfId="48242" xr:uid="{00000000-0005-0000-0000-0000469F0000}"/>
    <cellStyle name="Separador de milhares 3 8 4 9 2 2 4" xfId="16141" xr:uid="{00000000-0005-0000-0000-0000479F0000}"/>
    <cellStyle name="Separador de milhares 3 8 4 9 2 2 4 2" xfId="42334" xr:uid="{00000000-0005-0000-0000-0000489F0000}"/>
    <cellStyle name="Separador de milhares 3 8 4 9 2 2 5" xfId="35948" xr:uid="{00000000-0005-0000-0000-0000499F0000}"/>
    <cellStyle name="Separador de milhares 3 8 4 9 2 3" xfId="25012" xr:uid="{00000000-0005-0000-0000-00004A9F0000}"/>
    <cellStyle name="Separador de milhares 3 8 4 9 2 3 2" xfId="51196" xr:uid="{00000000-0005-0000-0000-00004B9F0000}"/>
    <cellStyle name="Separador de milhares 3 8 4 9 2 4" xfId="19098" xr:uid="{00000000-0005-0000-0000-00004C9F0000}"/>
    <cellStyle name="Separador de milhares 3 8 4 9 2 4 2" xfId="45288" xr:uid="{00000000-0005-0000-0000-00004D9F0000}"/>
    <cellStyle name="Separador de milhares 3 8 4 9 2 5" xfId="12997" xr:uid="{00000000-0005-0000-0000-00004E9F0000}"/>
    <cellStyle name="Separador de milhares 3 8 4 9 2 5 2" xfId="39190" xr:uid="{00000000-0005-0000-0000-00004F9F0000}"/>
    <cellStyle name="Separador de milhares 3 8 4 9 2 6" xfId="32804" xr:uid="{00000000-0005-0000-0000-0000509F0000}"/>
    <cellStyle name="Separador de milhares 3 8 4 9 3" xfId="8287" xr:uid="{00000000-0005-0000-0000-0000519F0000}"/>
    <cellStyle name="Separador de milhares 3 8 4 9 3 2" xfId="26501" xr:uid="{00000000-0005-0000-0000-0000529F0000}"/>
    <cellStyle name="Separador de milhares 3 8 4 9 3 2 2" xfId="52682" xr:uid="{00000000-0005-0000-0000-0000539F0000}"/>
    <cellStyle name="Separador de milhares 3 8 4 9 3 3" xfId="20587" xr:uid="{00000000-0005-0000-0000-0000549F0000}"/>
    <cellStyle name="Separador de milhares 3 8 4 9 3 3 2" xfId="46774" xr:uid="{00000000-0005-0000-0000-0000559F0000}"/>
    <cellStyle name="Separador de milhares 3 8 4 9 3 4" xfId="14673" xr:uid="{00000000-0005-0000-0000-0000569F0000}"/>
    <cellStyle name="Separador de milhares 3 8 4 9 3 4 2" xfId="40866" xr:uid="{00000000-0005-0000-0000-0000579F0000}"/>
    <cellStyle name="Separador de milhares 3 8 4 9 3 5" xfId="34480" xr:uid="{00000000-0005-0000-0000-0000589F0000}"/>
    <cellStyle name="Separador de milhares 3 8 4 9 4" xfId="4909" xr:uid="{00000000-0005-0000-0000-0000599F0000}"/>
    <cellStyle name="Separador de milhares 3 8 4 9 4 2" xfId="23544" xr:uid="{00000000-0005-0000-0000-00005A9F0000}"/>
    <cellStyle name="Separador de milhares 3 8 4 9 4 2 2" xfId="49728" xr:uid="{00000000-0005-0000-0000-00005B9F0000}"/>
    <cellStyle name="Separador de milhares 3 8 4 9 4 3" xfId="31105" xr:uid="{00000000-0005-0000-0000-00005C9F0000}"/>
    <cellStyle name="Separador de milhares 3 8 4 9 5" xfId="17630" xr:uid="{00000000-0005-0000-0000-00005D9F0000}"/>
    <cellStyle name="Separador de milhares 3 8 4 9 5 2" xfId="43820" xr:uid="{00000000-0005-0000-0000-00005E9F0000}"/>
    <cellStyle name="Separador de milhares 3 8 4 9 6" xfId="11296" xr:uid="{00000000-0005-0000-0000-00005F9F0000}"/>
    <cellStyle name="Separador de milhares 3 8 4 9 6 2" xfId="37489" xr:uid="{00000000-0005-0000-0000-0000609F0000}"/>
    <cellStyle name="Separador de milhares 3 8 4 9 7" xfId="29407" xr:uid="{00000000-0005-0000-0000-0000619F0000}"/>
    <cellStyle name="Separador de milhares 3 8 5" xfId="602" xr:uid="{00000000-0005-0000-0000-0000629F0000}"/>
    <cellStyle name="Separador de milhares 3 8 5 10" xfId="4873" xr:uid="{00000000-0005-0000-0000-0000639F0000}"/>
    <cellStyle name="Separador de milhares 3 8 5 10 2" xfId="23507" xr:uid="{00000000-0005-0000-0000-0000649F0000}"/>
    <cellStyle name="Separador de milhares 3 8 5 10 2 2" xfId="49694" xr:uid="{00000000-0005-0000-0000-0000659F0000}"/>
    <cellStyle name="Separador de milhares 3 8 5 10 3" xfId="31071" xr:uid="{00000000-0005-0000-0000-0000669F0000}"/>
    <cellStyle name="Separador de milhares 3 8 5 11" xfId="17593" xr:uid="{00000000-0005-0000-0000-0000679F0000}"/>
    <cellStyle name="Separador de milhares 3 8 5 11 2" xfId="43786" xr:uid="{00000000-0005-0000-0000-0000689F0000}"/>
    <cellStyle name="Separador de milhares 3 8 5 12" xfId="11262" xr:uid="{00000000-0005-0000-0000-0000699F0000}"/>
    <cellStyle name="Separador de milhares 3 8 5 12 2" xfId="37455" xr:uid="{00000000-0005-0000-0000-00006A9F0000}"/>
    <cellStyle name="Separador de milhares 3 8 5 13" xfId="29373" xr:uid="{00000000-0005-0000-0000-00006B9F0000}"/>
    <cellStyle name="Separador de milhares 3 8 5 2" xfId="1425" xr:uid="{00000000-0005-0000-0000-00006C9F0000}"/>
    <cellStyle name="Separador de milhares 3 8 5 2 2" xfId="6825" xr:uid="{00000000-0005-0000-0000-00006D9F0000}"/>
    <cellStyle name="Separador de milhares 3 8 5 2 2 2" xfId="9972" xr:uid="{00000000-0005-0000-0000-00006E9F0000}"/>
    <cellStyle name="Separador de milhares 3 8 5 2 2 2 2" xfId="28186" xr:uid="{00000000-0005-0000-0000-00006F9F0000}"/>
    <cellStyle name="Separador de milhares 3 8 5 2 2 2 2 2" xfId="54367" xr:uid="{00000000-0005-0000-0000-0000709F0000}"/>
    <cellStyle name="Separador de milhares 3 8 5 2 2 2 3" xfId="22272" xr:uid="{00000000-0005-0000-0000-0000719F0000}"/>
    <cellStyle name="Separador de milhares 3 8 5 2 2 2 3 2" xfId="48459" xr:uid="{00000000-0005-0000-0000-0000729F0000}"/>
    <cellStyle name="Separador de milhares 3 8 5 2 2 2 4" xfId="16358" xr:uid="{00000000-0005-0000-0000-0000739F0000}"/>
    <cellStyle name="Separador de milhares 3 8 5 2 2 2 4 2" xfId="42551" xr:uid="{00000000-0005-0000-0000-0000749F0000}"/>
    <cellStyle name="Separador de milhares 3 8 5 2 2 2 5" xfId="36165" xr:uid="{00000000-0005-0000-0000-0000759F0000}"/>
    <cellStyle name="Separador de milhares 3 8 5 2 2 3" xfId="25229" xr:uid="{00000000-0005-0000-0000-0000769F0000}"/>
    <cellStyle name="Separador de milhares 3 8 5 2 2 3 2" xfId="51413" xr:uid="{00000000-0005-0000-0000-0000779F0000}"/>
    <cellStyle name="Separador de milhares 3 8 5 2 2 4" xfId="19315" xr:uid="{00000000-0005-0000-0000-0000789F0000}"/>
    <cellStyle name="Separador de milhares 3 8 5 2 2 4 2" xfId="45505" xr:uid="{00000000-0005-0000-0000-0000799F0000}"/>
    <cellStyle name="Separador de milhares 3 8 5 2 2 5" xfId="13214" xr:uid="{00000000-0005-0000-0000-00007A9F0000}"/>
    <cellStyle name="Separador de milhares 3 8 5 2 2 5 2" xfId="39407" xr:uid="{00000000-0005-0000-0000-00007B9F0000}"/>
    <cellStyle name="Separador de milhares 3 8 5 2 2 6" xfId="33021" xr:uid="{00000000-0005-0000-0000-00007C9F0000}"/>
    <cellStyle name="Separador de milhares 3 8 5 2 3" xfId="8504" xr:uid="{00000000-0005-0000-0000-00007D9F0000}"/>
    <cellStyle name="Separador de milhares 3 8 5 2 3 2" xfId="26718" xr:uid="{00000000-0005-0000-0000-00007E9F0000}"/>
    <cellStyle name="Separador de milhares 3 8 5 2 3 2 2" xfId="52899" xr:uid="{00000000-0005-0000-0000-00007F9F0000}"/>
    <cellStyle name="Separador de milhares 3 8 5 2 3 3" xfId="20804" xr:uid="{00000000-0005-0000-0000-0000809F0000}"/>
    <cellStyle name="Separador de milhares 3 8 5 2 3 3 2" xfId="46991" xr:uid="{00000000-0005-0000-0000-0000819F0000}"/>
    <cellStyle name="Separador de milhares 3 8 5 2 3 4" xfId="14890" xr:uid="{00000000-0005-0000-0000-0000829F0000}"/>
    <cellStyle name="Separador de milhares 3 8 5 2 3 4 2" xfId="41083" xr:uid="{00000000-0005-0000-0000-0000839F0000}"/>
    <cellStyle name="Separador de milhares 3 8 5 2 3 5" xfId="34697" xr:uid="{00000000-0005-0000-0000-0000849F0000}"/>
    <cellStyle name="Separador de milhares 3 8 5 2 4" xfId="5126" xr:uid="{00000000-0005-0000-0000-0000859F0000}"/>
    <cellStyle name="Separador de milhares 3 8 5 2 4 2" xfId="23761" xr:uid="{00000000-0005-0000-0000-0000869F0000}"/>
    <cellStyle name="Separador de milhares 3 8 5 2 4 2 2" xfId="49945" xr:uid="{00000000-0005-0000-0000-0000879F0000}"/>
    <cellStyle name="Separador de milhares 3 8 5 2 4 3" xfId="31322" xr:uid="{00000000-0005-0000-0000-0000889F0000}"/>
    <cellStyle name="Separador de milhares 3 8 5 2 5" xfId="17847" xr:uid="{00000000-0005-0000-0000-0000899F0000}"/>
    <cellStyle name="Separador de milhares 3 8 5 2 5 2" xfId="44037" xr:uid="{00000000-0005-0000-0000-00008A9F0000}"/>
    <cellStyle name="Separador de milhares 3 8 5 2 6" xfId="11513" xr:uid="{00000000-0005-0000-0000-00008B9F0000}"/>
    <cellStyle name="Separador de milhares 3 8 5 2 6 2" xfId="37706" xr:uid="{00000000-0005-0000-0000-00008C9F0000}"/>
    <cellStyle name="Separador de milhares 3 8 5 2 7" xfId="29624" xr:uid="{00000000-0005-0000-0000-00008D9F0000}"/>
    <cellStyle name="Separador de milhares 3 8 5 3" xfId="1860" xr:uid="{00000000-0005-0000-0000-00008E9F0000}"/>
    <cellStyle name="Separador de milhares 3 8 5 3 2" xfId="6944" xr:uid="{00000000-0005-0000-0000-00008F9F0000}"/>
    <cellStyle name="Separador de milhares 3 8 5 3 2 2" xfId="10091" xr:uid="{00000000-0005-0000-0000-0000909F0000}"/>
    <cellStyle name="Separador de milhares 3 8 5 3 2 2 2" xfId="28305" xr:uid="{00000000-0005-0000-0000-0000919F0000}"/>
    <cellStyle name="Separador de milhares 3 8 5 3 2 2 2 2" xfId="54486" xr:uid="{00000000-0005-0000-0000-0000929F0000}"/>
    <cellStyle name="Separador de milhares 3 8 5 3 2 2 3" xfId="22391" xr:uid="{00000000-0005-0000-0000-0000939F0000}"/>
    <cellStyle name="Separador de milhares 3 8 5 3 2 2 3 2" xfId="48578" xr:uid="{00000000-0005-0000-0000-0000949F0000}"/>
    <cellStyle name="Separador de milhares 3 8 5 3 2 2 4" xfId="16477" xr:uid="{00000000-0005-0000-0000-0000959F0000}"/>
    <cellStyle name="Separador de milhares 3 8 5 3 2 2 4 2" xfId="42670" xr:uid="{00000000-0005-0000-0000-0000969F0000}"/>
    <cellStyle name="Separador de milhares 3 8 5 3 2 2 5" xfId="36284" xr:uid="{00000000-0005-0000-0000-0000979F0000}"/>
    <cellStyle name="Separador de milhares 3 8 5 3 2 3" xfId="25348" xr:uid="{00000000-0005-0000-0000-0000989F0000}"/>
    <cellStyle name="Separador de milhares 3 8 5 3 2 3 2" xfId="51532" xr:uid="{00000000-0005-0000-0000-0000999F0000}"/>
    <cellStyle name="Separador de milhares 3 8 5 3 2 4" xfId="19434" xr:uid="{00000000-0005-0000-0000-00009A9F0000}"/>
    <cellStyle name="Separador de milhares 3 8 5 3 2 4 2" xfId="45624" xr:uid="{00000000-0005-0000-0000-00009B9F0000}"/>
    <cellStyle name="Separador de milhares 3 8 5 3 2 5" xfId="13333" xr:uid="{00000000-0005-0000-0000-00009C9F0000}"/>
    <cellStyle name="Separador de milhares 3 8 5 3 2 5 2" xfId="39526" xr:uid="{00000000-0005-0000-0000-00009D9F0000}"/>
    <cellStyle name="Separador de milhares 3 8 5 3 2 6" xfId="33140" xr:uid="{00000000-0005-0000-0000-00009E9F0000}"/>
    <cellStyle name="Separador de milhares 3 8 5 3 3" xfId="8623" xr:uid="{00000000-0005-0000-0000-00009F9F0000}"/>
    <cellStyle name="Separador de milhares 3 8 5 3 3 2" xfId="26837" xr:uid="{00000000-0005-0000-0000-0000A09F0000}"/>
    <cellStyle name="Separador de milhares 3 8 5 3 3 2 2" xfId="53018" xr:uid="{00000000-0005-0000-0000-0000A19F0000}"/>
    <cellStyle name="Separador de milhares 3 8 5 3 3 3" xfId="20923" xr:uid="{00000000-0005-0000-0000-0000A29F0000}"/>
    <cellStyle name="Separador de milhares 3 8 5 3 3 3 2" xfId="47110" xr:uid="{00000000-0005-0000-0000-0000A39F0000}"/>
    <cellStyle name="Separador de milhares 3 8 5 3 3 4" xfId="15009" xr:uid="{00000000-0005-0000-0000-0000A49F0000}"/>
    <cellStyle name="Separador de milhares 3 8 5 3 3 4 2" xfId="41202" xr:uid="{00000000-0005-0000-0000-0000A59F0000}"/>
    <cellStyle name="Separador de milhares 3 8 5 3 3 5" xfId="34816" xr:uid="{00000000-0005-0000-0000-0000A69F0000}"/>
    <cellStyle name="Separador de milhares 3 8 5 3 4" xfId="5245" xr:uid="{00000000-0005-0000-0000-0000A79F0000}"/>
    <cellStyle name="Separador de milhares 3 8 5 3 4 2" xfId="23880" xr:uid="{00000000-0005-0000-0000-0000A89F0000}"/>
    <cellStyle name="Separador de milhares 3 8 5 3 4 2 2" xfId="50064" xr:uid="{00000000-0005-0000-0000-0000A99F0000}"/>
    <cellStyle name="Separador de milhares 3 8 5 3 4 3" xfId="31441" xr:uid="{00000000-0005-0000-0000-0000AA9F0000}"/>
    <cellStyle name="Separador de milhares 3 8 5 3 5" xfId="17966" xr:uid="{00000000-0005-0000-0000-0000AB9F0000}"/>
    <cellStyle name="Separador de milhares 3 8 5 3 5 2" xfId="44156" xr:uid="{00000000-0005-0000-0000-0000AC9F0000}"/>
    <cellStyle name="Separador de milhares 3 8 5 3 6" xfId="11632" xr:uid="{00000000-0005-0000-0000-0000AD9F0000}"/>
    <cellStyle name="Separador de milhares 3 8 5 3 6 2" xfId="37825" xr:uid="{00000000-0005-0000-0000-0000AE9F0000}"/>
    <cellStyle name="Separador de milhares 3 8 5 3 7" xfId="29743" xr:uid="{00000000-0005-0000-0000-0000AF9F0000}"/>
    <cellStyle name="Separador de milhares 3 8 5 4" xfId="2390" xr:uid="{00000000-0005-0000-0000-0000B09F0000}"/>
    <cellStyle name="Separador de milhares 3 8 5 4 2" xfId="7094" xr:uid="{00000000-0005-0000-0000-0000B19F0000}"/>
    <cellStyle name="Separador de milhares 3 8 5 4 2 2" xfId="10238" xr:uid="{00000000-0005-0000-0000-0000B29F0000}"/>
    <cellStyle name="Separador de milhares 3 8 5 4 2 2 2" xfId="28452" xr:uid="{00000000-0005-0000-0000-0000B39F0000}"/>
    <cellStyle name="Separador de milhares 3 8 5 4 2 2 2 2" xfId="54633" xr:uid="{00000000-0005-0000-0000-0000B49F0000}"/>
    <cellStyle name="Separador de milhares 3 8 5 4 2 2 3" xfId="22538" xr:uid="{00000000-0005-0000-0000-0000B59F0000}"/>
    <cellStyle name="Separador de milhares 3 8 5 4 2 2 3 2" xfId="48725" xr:uid="{00000000-0005-0000-0000-0000B69F0000}"/>
    <cellStyle name="Separador de milhares 3 8 5 4 2 2 4" xfId="16624" xr:uid="{00000000-0005-0000-0000-0000B79F0000}"/>
    <cellStyle name="Separador de milhares 3 8 5 4 2 2 4 2" xfId="42817" xr:uid="{00000000-0005-0000-0000-0000B89F0000}"/>
    <cellStyle name="Separador de milhares 3 8 5 4 2 2 5" xfId="36431" xr:uid="{00000000-0005-0000-0000-0000B99F0000}"/>
    <cellStyle name="Separador de milhares 3 8 5 4 2 3" xfId="25495" xr:uid="{00000000-0005-0000-0000-0000BA9F0000}"/>
    <cellStyle name="Separador de milhares 3 8 5 4 2 3 2" xfId="51679" xr:uid="{00000000-0005-0000-0000-0000BB9F0000}"/>
    <cellStyle name="Separador de milhares 3 8 5 4 2 4" xfId="19581" xr:uid="{00000000-0005-0000-0000-0000BC9F0000}"/>
    <cellStyle name="Separador de milhares 3 8 5 4 2 4 2" xfId="45771" xr:uid="{00000000-0005-0000-0000-0000BD9F0000}"/>
    <cellStyle name="Separador de milhares 3 8 5 4 2 5" xfId="13483" xr:uid="{00000000-0005-0000-0000-0000BE9F0000}"/>
    <cellStyle name="Separador de milhares 3 8 5 4 2 5 2" xfId="39676" xr:uid="{00000000-0005-0000-0000-0000BF9F0000}"/>
    <cellStyle name="Separador de milhares 3 8 5 4 2 6" xfId="33290" xr:uid="{00000000-0005-0000-0000-0000C09F0000}"/>
    <cellStyle name="Separador de milhares 3 8 5 4 3" xfId="8770" xr:uid="{00000000-0005-0000-0000-0000C19F0000}"/>
    <cellStyle name="Separador de milhares 3 8 5 4 3 2" xfId="26984" xr:uid="{00000000-0005-0000-0000-0000C29F0000}"/>
    <cellStyle name="Separador de milhares 3 8 5 4 3 2 2" xfId="53165" xr:uid="{00000000-0005-0000-0000-0000C39F0000}"/>
    <cellStyle name="Separador de milhares 3 8 5 4 3 3" xfId="21070" xr:uid="{00000000-0005-0000-0000-0000C49F0000}"/>
    <cellStyle name="Separador de milhares 3 8 5 4 3 3 2" xfId="47257" xr:uid="{00000000-0005-0000-0000-0000C59F0000}"/>
    <cellStyle name="Separador de milhares 3 8 5 4 3 4" xfId="15156" xr:uid="{00000000-0005-0000-0000-0000C69F0000}"/>
    <cellStyle name="Separador de milhares 3 8 5 4 3 4 2" xfId="41349" xr:uid="{00000000-0005-0000-0000-0000C79F0000}"/>
    <cellStyle name="Separador de milhares 3 8 5 4 3 5" xfId="34963" xr:uid="{00000000-0005-0000-0000-0000C89F0000}"/>
    <cellStyle name="Separador de milhares 3 8 5 4 4" xfId="5395" xr:uid="{00000000-0005-0000-0000-0000C99F0000}"/>
    <cellStyle name="Separador de milhares 3 8 5 4 4 2" xfId="24027" xr:uid="{00000000-0005-0000-0000-0000CA9F0000}"/>
    <cellStyle name="Separador de milhares 3 8 5 4 4 2 2" xfId="50211" xr:uid="{00000000-0005-0000-0000-0000CB9F0000}"/>
    <cellStyle name="Separador de milhares 3 8 5 4 4 3" xfId="31591" xr:uid="{00000000-0005-0000-0000-0000CC9F0000}"/>
    <cellStyle name="Separador de milhares 3 8 5 4 5" xfId="18113" xr:uid="{00000000-0005-0000-0000-0000CD9F0000}"/>
    <cellStyle name="Separador de milhares 3 8 5 4 5 2" xfId="44303" xr:uid="{00000000-0005-0000-0000-0000CE9F0000}"/>
    <cellStyle name="Separador de milhares 3 8 5 4 6" xfId="11782" xr:uid="{00000000-0005-0000-0000-0000CF9F0000}"/>
    <cellStyle name="Separador de milhares 3 8 5 4 6 2" xfId="37975" xr:uid="{00000000-0005-0000-0000-0000D09F0000}"/>
    <cellStyle name="Separador de milhares 3 8 5 4 7" xfId="29893" xr:uid="{00000000-0005-0000-0000-0000D19F0000}"/>
    <cellStyle name="Separador de milhares 3 8 5 5" xfId="2917" xr:uid="{00000000-0005-0000-0000-0000D29F0000}"/>
    <cellStyle name="Separador de milhares 3 8 5 5 2" xfId="7241" xr:uid="{00000000-0005-0000-0000-0000D39F0000}"/>
    <cellStyle name="Separador de milhares 3 8 5 5 2 2" xfId="10385" xr:uid="{00000000-0005-0000-0000-0000D49F0000}"/>
    <cellStyle name="Separador de milhares 3 8 5 5 2 2 2" xfId="28599" xr:uid="{00000000-0005-0000-0000-0000D59F0000}"/>
    <cellStyle name="Separador de milhares 3 8 5 5 2 2 2 2" xfId="54780" xr:uid="{00000000-0005-0000-0000-0000D69F0000}"/>
    <cellStyle name="Separador de milhares 3 8 5 5 2 2 3" xfId="22685" xr:uid="{00000000-0005-0000-0000-0000D79F0000}"/>
    <cellStyle name="Separador de milhares 3 8 5 5 2 2 3 2" xfId="48872" xr:uid="{00000000-0005-0000-0000-0000D89F0000}"/>
    <cellStyle name="Separador de milhares 3 8 5 5 2 2 4" xfId="16771" xr:uid="{00000000-0005-0000-0000-0000D99F0000}"/>
    <cellStyle name="Separador de milhares 3 8 5 5 2 2 4 2" xfId="42964" xr:uid="{00000000-0005-0000-0000-0000DA9F0000}"/>
    <cellStyle name="Separador de milhares 3 8 5 5 2 2 5" xfId="36578" xr:uid="{00000000-0005-0000-0000-0000DB9F0000}"/>
    <cellStyle name="Separador de milhares 3 8 5 5 2 3" xfId="25642" xr:uid="{00000000-0005-0000-0000-0000DC9F0000}"/>
    <cellStyle name="Separador de milhares 3 8 5 5 2 3 2" xfId="51826" xr:uid="{00000000-0005-0000-0000-0000DD9F0000}"/>
    <cellStyle name="Separador de milhares 3 8 5 5 2 4" xfId="19728" xr:uid="{00000000-0005-0000-0000-0000DE9F0000}"/>
    <cellStyle name="Separador de milhares 3 8 5 5 2 4 2" xfId="45918" xr:uid="{00000000-0005-0000-0000-0000DF9F0000}"/>
    <cellStyle name="Separador de milhares 3 8 5 5 2 5" xfId="13630" xr:uid="{00000000-0005-0000-0000-0000E09F0000}"/>
    <cellStyle name="Separador de milhares 3 8 5 5 2 5 2" xfId="39823" xr:uid="{00000000-0005-0000-0000-0000E19F0000}"/>
    <cellStyle name="Separador de milhares 3 8 5 5 2 6" xfId="33437" xr:uid="{00000000-0005-0000-0000-0000E29F0000}"/>
    <cellStyle name="Separador de milhares 3 8 5 5 3" xfId="8917" xr:uid="{00000000-0005-0000-0000-0000E39F0000}"/>
    <cellStyle name="Separador de milhares 3 8 5 5 3 2" xfId="27131" xr:uid="{00000000-0005-0000-0000-0000E49F0000}"/>
    <cellStyle name="Separador de milhares 3 8 5 5 3 2 2" xfId="53312" xr:uid="{00000000-0005-0000-0000-0000E59F0000}"/>
    <cellStyle name="Separador de milhares 3 8 5 5 3 3" xfId="21217" xr:uid="{00000000-0005-0000-0000-0000E69F0000}"/>
    <cellStyle name="Separador de milhares 3 8 5 5 3 3 2" xfId="47404" xr:uid="{00000000-0005-0000-0000-0000E79F0000}"/>
    <cellStyle name="Separador de milhares 3 8 5 5 3 4" xfId="15303" xr:uid="{00000000-0005-0000-0000-0000E89F0000}"/>
    <cellStyle name="Separador de milhares 3 8 5 5 3 4 2" xfId="41496" xr:uid="{00000000-0005-0000-0000-0000E99F0000}"/>
    <cellStyle name="Separador de milhares 3 8 5 5 3 5" xfId="35110" xr:uid="{00000000-0005-0000-0000-0000EA9F0000}"/>
    <cellStyle name="Separador de milhares 3 8 5 5 4" xfId="5542" xr:uid="{00000000-0005-0000-0000-0000EB9F0000}"/>
    <cellStyle name="Separador de milhares 3 8 5 5 4 2" xfId="24174" xr:uid="{00000000-0005-0000-0000-0000EC9F0000}"/>
    <cellStyle name="Separador de milhares 3 8 5 5 4 2 2" xfId="50358" xr:uid="{00000000-0005-0000-0000-0000ED9F0000}"/>
    <cellStyle name="Separador de milhares 3 8 5 5 4 3" xfId="31738" xr:uid="{00000000-0005-0000-0000-0000EE9F0000}"/>
    <cellStyle name="Separador de milhares 3 8 5 5 5" xfId="18260" xr:uid="{00000000-0005-0000-0000-0000EF9F0000}"/>
    <cellStyle name="Separador de milhares 3 8 5 5 5 2" xfId="44450" xr:uid="{00000000-0005-0000-0000-0000F09F0000}"/>
    <cellStyle name="Separador de milhares 3 8 5 5 6" xfId="11929" xr:uid="{00000000-0005-0000-0000-0000F19F0000}"/>
    <cellStyle name="Separador de milhares 3 8 5 5 6 2" xfId="38122" xr:uid="{00000000-0005-0000-0000-0000F29F0000}"/>
    <cellStyle name="Separador de milhares 3 8 5 5 7" xfId="30040" xr:uid="{00000000-0005-0000-0000-0000F39F0000}"/>
    <cellStyle name="Separador de milhares 3 8 5 6" xfId="3444" xr:uid="{00000000-0005-0000-0000-0000F49F0000}"/>
    <cellStyle name="Separador de milhares 3 8 5 6 2" xfId="7388" xr:uid="{00000000-0005-0000-0000-0000F59F0000}"/>
    <cellStyle name="Separador de milhares 3 8 5 6 2 2" xfId="10532" xr:uid="{00000000-0005-0000-0000-0000F69F0000}"/>
    <cellStyle name="Separador de milhares 3 8 5 6 2 2 2" xfId="28746" xr:uid="{00000000-0005-0000-0000-0000F79F0000}"/>
    <cellStyle name="Separador de milhares 3 8 5 6 2 2 2 2" xfId="54927" xr:uid="{00000000-0005-0000-0000-0000F89F0000}"/>
    <cellStyle name="Separador de milhares 3 8 5 6 2 2 3" xfId="22832" xr:uid="{00000000-0005-0000-0000-0000F99F0000}"/>
    <cellStyle name="Separador de milhares 3 8 5 6 2 2 3 2" xfId="49019" xr:uid="{00000000-0005-0000-0000-0000FA9F0000}"/>
    <cellStyle name="Separador de milhares 3 8 5 6 2 2 4" xfId="16918" xr:uid="{00000000-0005-0000-0000-0000FB9F0000}"/>
    <cellStyle name="Separador de milhares 3 8 5 6 2 2 4 2" xfId="43111" xr:uid="{00000000-0005-0000-0000-0000FC9F0000}"/>
    <cellStyle name="Separador de milhares 3 8 5 6 2 2 5" xfId="36725" xr:uid="{00000000-0005-0000-0000-0000FD9F0000}"/>
    <cellStyle name="Separador de milhares 3 8 5 6 2 3" xfId="25789" xr:uid="{00000000-0005-0000-0000-0000FE9F0000}"/>
    <cellStyle name="Separador de milhares 3 8 5 6 2 3 2" xfId="51973" xr:uid="{00000000-0005-0000-0000-0000FF9F0000}"/>
    <cellStyle name="Separador de milhares 3 8 5 6 2 4" xfId="19875" xr:uid="{00000000-0005-0000-0000-000000A00000}"/>
    <cellStyle name="Separador de milhares 3 8 5 6 2 4 2" xfId="46065" xr:uid="{00000000-0005-0000-0000-000001A00000}"/>
    <cellStyle name="Separador de milhares 3 8 5 6 2 5" xfId="13777" xr:uid="{00000000-0005-0000-0000-000002A00000}"/>
    <cellStyle name="Separador de milhares 3 8 5 6 2 5 2" xfId="39970" xr:uid="{00000000-0005-0000-0000-000003A00000}"/>
    <cellStyle name="Separador de milhares 3 8 5 6 2 6" xfId="33584" xr:uid="{00000000-0005-0000-0000-000004A00000}"/>
    <cellStyle name="Separador de milhares 3 8 5 6 3" xfId="9064" xr:uid="{00000000-0005-0000-0000-000005A00000}"/>
    <cellStyle name="Separador de milhares 3 8 5 6 3 2" xfId="27278" xr:uid="{00000000-0005-0000-0000-000006A00000}"/>
    <cellStyle name="Separador de milhares 3 8 5 6 3 2 2" xfId="53459" xr:uid="{00000000-0005-0000-0000-000007A00000}"/>
    <cellStyle name="Separador de milhares 3 8 5 6 3 3" xfId="21364" xr:uid="{00000000-0005-0000-0000-000008A00000}"/>
    <cellStyle name="Separador de milhares 3 8 5 6 3 3 2" xfId="47551" xr:uid="{00000000-0005-0000-0000-000009A00000}"/>
    <cellStyle name="Separador de milhares 3 8 5 6 3 4" xfId="15450" xr:uid="{00000000-0005-0000-0000-00000AA00000}"/>
    <cellStyle name="Separador de milhares 3 8 5 6 3 4 2" xfId="41643" xr:uid="{00000000-0005-0000-0000-00000BA00000}"/>
    <cellStyle name="Separador de milhares 3 8 5 6 3 5" xfId="35257" xr:uid="{00000000-0005-0000-0000-00000CA00000}"/>
    <cellStyle name="Separador de milhares 3 8 5 6 4" xfId="5689" xr:uid="{00000000-0005-0000-0000-00000DA00000}"/>
    <cellStyle name="Separador de milhares 3 8 5 6 4 2" xfId="24321" xr:uid="{00000000-0005-0000-0000-00000EA00000}"/>
    <cellStyle name="Separador de milhares 3 8 5 6 4 2 2" xfId="50505" xr:uid="{00000000-0005-0000-0000-00000FA00000}"/>
    <cellStyle name="Separador de milhares 3 8 5 6 4 3" xfId="31885" xr:uid="{00000000-0005-0000-0000-000010A00000}"/>
    <cellStyle name="Separador de milhares 3 8 5 6 5" xfId="18407" xr:uid="{00000000-0005-0000-0000-000011A00000}"/>
    <cellStyle name="Separador de milhares 3 8 5 6 5 2" xfId="44597" xr:uid="{00000000-0005-0000-0000-000012A00000}"/>
    <cellStyle name="Separador de milhares 3 8 5 6 6" xfId="12076" xr:uid="{00000000-0005-0000-0000-000013A00000}"/>
    <cellStyle name="Separador de milhares 3 8 5 6 6 2" xfId="38269" xr:uid="{00000000-0005-0000-0000-000014A00000}"/>
    <cellStyle name="Separador de milhares 3 8 5 6 7" xfId="30187" xr:uid="{00000000-0005-0000-0000-000015A00000}"/>
    <cellStyle name="Separador de milhares 3 8 5 7" xfId="3971" xr:uid="{00000000-0005-0000-0000-000016A00000}"/>
    <cellStyle name="Separador de milhares 3 8 5 7 2" xfId="7535" xr:uid="{00000000-0005-0000-0000-000017A00000}"/>
    <cellStyle name="Separador de milhares 3 8 5 7 2 2" xfId="10679" xr:uid="{00000000-0005-0000-0000-000018A00000}"/>
    <cellStyle name="Separador de milhares 3 8 5 7 2 2 2" xfId="28893" xr:uid="{00000000-0005-0000-0000-000019A00000}"/>
    <cellStyle name="Separador de milhares 3 8 5 7 2 2 2 2" xfId="55074" xr:uid="{00000000-0005-0000-0000-00001AA00000}"/>
    <cellStyle name="Separador de milhares 3 8 5 7 2 2 3" xfId="22979" xr:uid="{00000000-0005-0000-0000-00001BA00000}"/>
    <cellStyle name="Separador de milhares 3 8 5 7 2 2 3 2" xfId="49166" xr:uid="{00000000-0005-0000-0000-00001CA00000}"/>
    <cellStyle name="Separador de milhares 3 8 5 7 2 2 4" xfId="17065" xr:uid="{00000000-0005-0000-0000-00001DA00000}"/>
    <cellStyle name="Separador de milhares 3 8 5 7 2 2 4 2" xfId="43258" xr:uid="{00000000-0005-0000-0000-00001EA00000}"/>
    <cellStyle name="Separador de milhares 3 8 5 7 2 2 5" xfId="36872" xr:uid="{00000000-0005-0000-0000-00001FA00000}"/>
    <cellStyle name="Separador de milhares 3 8 5 7 2 3" xfId="25936" xr:uid="{00000000-0005-0000-0000-000020A00000}"/>
    <cellStyle name="Separador de milhares 3 8 5 7 2 3 2" xfId="52120" xr:uid="{00000000-0005-0000-0000-000021A00000}"/>
    <cellStyle name="Separador de milhares 3 8 5 7 2 4" xfId="20022" xr:uid="{00000000-0005-0000-0000-000022A00000}"/>
    <cellStyle name="Separador de milhares 3 8 5 7 2 4 2" xfId="46212" xr:uid="{00000000-0005-0000-0000-000023A00000}"/>
    <cellStyle name="Separador de milhares 3 8 5 7 2 5" xfId="13924" xr:uid="{00000000-0005-0000-0000-000024A00000}"/>
    <cellStyle name="Separador de milhares 3 8 5 7 2 5 2" xfId="40117" xr:uid="{00000000-0005-0000-0000-000025A00000}"/>
    <cellStyle name="Separador de milhares 3 8 5 7 2 6" xfId="33731" xr:uid="{00000000-0005-0000-0000-000026A00000}"/>
    <cellStyle name="Separador de milhares 3 8 5 7 3" xfId="9211" xr:uid="{00000000-0005-0000-0000-000027A00000}"/>
    <cellStyle name="Separador de milhares 3 8 5 7 3 2" xfId="27425" xr:uid="{00000000-0005-0000-0000-000028A00000}"/>
    <cellStyle name="Separador de milhares 3 8 5 7 3 2 2" xfId="53606" xr:uid="{00000000-0005-0000-0000-000029A00000}"/>
    <cellStyle name="Separador de milhares 3 8 5 7 3 3" xfId="21511" xr:uid="{00000000-0005-0000-0000-00002AA00000}"/>
    <cellStyle name="Separador de milhares 3 8 5 7 3 3 2" xfId="47698" xr:uid="{00000000-0005-0000-0000-00002BA00000}"/>
    <cellStyle name="Separador de milhares 3 8 5 7 3 4" xfId="15597" xr:uid="{00000000-0005-0000-0000-00002CA00000}"/>
    <cellStyle name="Separador de milhares 3 8 5 7 3 4 2" xfId="41790" xr:uid="{00000000-0005-0000-0000-00002DA00000}"/>
    <cellStyle name="Separador de milhares 3 8 5 7 3 5" xfId="35404" xr:uid="{00000000-0005-0000-0000-00002EA00000}"/>
    <cellStyle name="Separador de milhares 3 8 5 7 4" xfId="5836" xr:uid="{00000000-0005-0000-0000-00002FA00000}"/>
    <cellStyle name="Separador de milhares 3 8 5 7 4 2" xfId="24468" xr:uid="{00000000-0005-0000-0000-000030A00000}"/>
    <cellStyle name="Separador de milhares 3 8 5 7 4 2 2" xfId="50652" xr:uid="{00000000-0005-0000-0000-000031A00000}"/>
    <cellStyle name="Separador de milhares 3 8 5 7 4 3" xfId="32032" xr:uid="{00000000-0005-0000-0000-000032A00000}"/>
    <cellStyle name="Separador de milhares 3 8 5 7 5" xfId="18554" xr:uid="{00000000-0005-0000-0000-000033A00000}"/>
    <cellStyle name="Separador de milhares 3 8 5 7 5 2" xfId="44744" xr:uid="{00000000-0005-0000-0000-000034A00000}"/>
    <cellStyle name="Separador de milhares 3 8 5 7 6" xfId="12223" xr:uid="{00000000-0005-0000-0000-000035A00000}"/>
    <cellStyle name="Separador de milhares 3 8 5 7 6 2" xfId="38416" xr:uid="{00000000-0005-0000-0000-000036A00000}"/>
    <cellStyle name="Separador de milhares 3 8 5 7 7" xfId="30334" xr:uid="{00000000-0005-0000-0000-000037A00000}"/>
    <cellStyle name="Separador de milhares 3 8 5 8" xfId="6574" xr:uid="{00000000-0005-0000-0000-000038A00000}"/>
    <cellStyle name="Separador de milhares 3 8 5 8 2" xfId="9721" xr:uid="{00000000-0005-0000-0000-000039A00000}"/>
    <cellStyle name="Separador de milhares 3 8 5 8 2 2" xfId="27935" xr:uid="{00000000-0005-0000-0000-00003AA00000}"/>
    <cellStyle name="Separador de milhares 3 8 5 8 2 2 2" xfId="54116" xr:uid="{00000000-0005-0000-0000-00003BA00000}"/>
    <cellStyle name="Separador de milhares 3 8 5 8 2 3" xfId="22021" xr:uid="{00000000-0005-0000-0000-00003CA00000}"/>
    <cellStyle name="Separador de milhares 3 8 5 8 2 3 2" xfId="48208" xr:uid="{00000000-0005-0000-0000-00003DA00000}"/>
    <cellStyle name="Separador de milhares 3 8 5 8 2 4" xfId="16107" xr:uid="{00000000-0005-0000-0000-00003EA00000}"/>
    <cellStyle name="Separador de milhares 3 8 5 8 2 4 2" xfId="42300" xr:uid="{00000000-0005-0000-0000-00003FA00000}"/>
    <cellStyle name="Separador de milhares 3 8 5 8 2 5" xfId="35914" xr:uid="{00000000-0005-0000-0000-000040A00000}"/>
    <cellStyle name="Separador de milhares 3 8 5 8 3" xfId="24978" xr:uid="{00000000-0005-0000-0000-000041A00000}"/>
    <cellStyle name="Separador de milhares 3 8 5 8 3 2" xfId="51162" xr:uid="{00000000-0005-0000-0000-000042A00000}"/>
    <cellStyle name="Separador de milhares 3 8 5 8 4" xfId="19064" xr:uid="{00000000-0005-0000-0000-000043A00000}"/>
    <cellStyle name="Separador de milhares 3 8 5 8 4 2" xfId="45254" xr:uid="{00000000-0005-0000-0000-000044A00000}"/>
    <cellStyle name="Separador de milhares 3 8 5 8 5" xfId="12963" xr:uid="{00000000-0005-0000-0000-000045A00000}"/>
    <cellStyle name="Separador de milhares 3 8 5 8 5 2" xfId="39156" xr:uid="{00000000-0005-0000-0000-000046A00000}"/>
    <cellStyle name="Separador de milhares 3 8 5 8 6" xfId="32770" xr:uid="{00000000-0005-0000-0000-000047A00000}"/>
    <cellStyle name="Separador de milhares 3 8 5 9" xfId="8250" xr:uid="{00000000-0005-0000-0000-000048A00000}"/>
    <cellStyle name="Separador de milhares 3 8 5 9 2" xfId="26464" xr:uid="{00000000-0005-0000-0000-000049A00000}"/>
    <cellStyle name="Separador de milhares 3 8 5 9 2 2" xfId="52648" xr:uid="{00000000-0005-0000-0000-00004AA00000}"/>
    <cellStyle name="Separador de milhares 3 8 5 9 3" xfId="20550" xr:uid="{00000000-0005-0000-0000-00004BA00000}"/>
    <cellStyle name="Separador de milhares 3 8 5 9 3 2" xfId="46740" xr:uid="{00000000-0005-0000-0000-00004CA00000}"/>
    <cellStyle name="Separador de milhares 3 8 5 9 4" xfId="14639" xr:uid="{00000000-0005-0000-0000-00004DA00000}"/>
    <cellStyle name="Separador de milhares 3 8 5 9 4 2" xfId="40832" xr:uid="{00000000-0005-0000-0000-00004EA00000}"/>
    <cellStyle name="Separador de milhares 3 8 5 9 5" xfId="34446" xr:uid="{00000000-0005-0000-0000-00004FA00000}"/>
    <cellStyle name="Separador de milhares 3 8 6" xfId="723" xr:uid="{00000000-0005-0000-0000-000050A00000}"/>
    <cellStyle name="Separador de milhares 3 8 6 2" xfId="4147" xr:uid="{00000000-0005-0000-0000-000051A00000}"/>
    <cellStyle name="Separador de milhares 3 8 6 2 2" xfId="7584" xr:uid="{00000000-0005-0000-0000-000052A00000}"/>
    <cellStyle name="Separador de milhares 3 8 6 2 2 2" xfId="10728" xr:uid="{00000000-0005-0000-0000-000053A00000}"/>
    <cellStyle name="Separador de milhares 3 8 6 2 2 2 2" xfId="28942" xr:uid="{00000000-0005-0000-0000-000054A00000}"/>
    <cellStyle name="Separador de milhares 3 8 6 2 2 2 2 2" xfId="55123" xr:uid="{00000000-0005-0000-0000-000055A00000}"/>
    <cellStyle name="Separador de milhares 3 8 6 2 2 2 3" xfId="23028" xr:uid="{00000000-0005-0000-0000-000056A00000}"/>
    <cellStyle name="Separador de milhares 3 8 6 2 2 2 3 2" xfId="49215" xr:uid="{00000000-0005-0000-0000-000057A00000}"/>
    <cellStyle name="Separador de milhares 3 8 6 2 2 2 4" xfId="17114" xr:uid="{00000000-0005-0000-0000-000058A00000}"/>
    <cellStyle name="Separador de milhares 3 8 6 2 2 2 4 2" xfId="43307" xr:uid="{00000000-0005-0000-0000-000059A00000}"/>
    <cellStyle name="Separador de milhares 3 8 6 2 2 2 5" xfId="36921" xr:uid="{00000000-0005-0000-0000-00005AA00000}"/>
    <cellStyle name="Separador de milhares 3 8 6 2 2 3" xfId="25985" xr:uid="{00000000-0005-0000-0000-00005BA00000}"/>
    <cellStyle name="Separador de milhares 3 8 6 2 2 3 2" xfId="52169" xr:uid="{00000000-0005-0000-0000-00005CA00000}"/>
    <cellStyle name="Separador de milhares 3 8 6 2 2 4" xfId="20071" xr:uid="{00000000-0005-0000-0000-00005DA00000}"/>
    <cellStyle name="Separador de milhares 3 8 6 2 2 4 2" xfId="46261" xr:uid="{00000000-0005-0000-0000-00005EA00000}"/>
    <cellStyle name="Separador de milhares 3 8 6 2 2 5" xfId="13973" xr:uid="{00000000-0005-0000-0000-00005FA00000}"/>
    <cellStyle name="Separador de milhares 3 8 6 2 2 5 2" xfId="40166" xr:uid="{00000000-0005-0000-0000-000060A00000}"/>
    <cellStyle name="Separador de milhares 3 8 6 2 2 6" xfId="33780" xr:uid="{00000000-0005-0000-0000-000061A00000}"/>
    <cellStyle name="Separador de milhares 3 8 6 2 3" xfId="9260" xr:uid="{00000000-0005-0000-0000-000062A00000}"/>
    <cellStyle name="Separador de milhares 3 8 6 2 3 2" xfId="27474" xr:uid="{00000000-0005-0000-0000-000063A00000}"/>
    <cellStyle name="Separador de milhares 3 8 6 2 3 2 2" xfId="53655" xr:uid="{00000000-0005-0000-0000-000064A00000}"/>
    <cellStyle name="Separador de milhares 3 8 6 2 3 3" xfId="21560" xr:uid="{00000000-0005-0000-0000-000065A00000}"/>
    <cellStyle name="Separador de milhares 3 8 6 2 3 3 2" xfId="47747" xr:uid="{00000000-0005-0000-0000-000066A00000}"/>
    <cellStyle name="Separador de milhares 3 8 6 2 3 4" xfId="15646" xr:uid="{00000000-0005-0000-0000-000067A00000}"/>
    <cellStyle name="Separador de milhares 3 8 6 2 3 4 2" xfId="41839" xr:uid="{00000000-0005-0000-0000-000068A00000}"/>
    <cellStyle name="Separador de milhares 3 8 6 2 3 5" xfId="35453" xr:uid="{00000000-0005-0000-0000-000069A00000}"/>
    <cellStyle name="Separador de milhares 3 8 6 2 4" xfId="5885" xr:uid="{00000000-0005-0000-0000-00006AA00000}"/>
    <cellStyle name="Separador de milhares 3 8 6 2 4 2" xfId="24517" xr:uid="{00000000-0005-0000-0000-00006BA00000}"/>
    <cellStyle name="Separador de milhares 3 8 6 2 4 2 2" xfId="50701" xr:uid="{00000000-0005-0000-0000-00006CA00000}"/>
    <cellStyle name="Separador de milhares 3 8 6 2 4 3" xfId="32081" xr:uid="{00000000-0005-0000-0000-00006DA00000}"/>
    <cellStyle name="Separador de milhares 3 8 6 2 5" xfId="18603" xr:uid="{00000000-0005-0000-0000-00006EA00000}"/>
    <cellStyle name="Separador de milhares 3 8 6 2 5 2" xfId="44793" xr:uid="{00000000-0005-0000-0000-00006FA00000}"/>
    <cellStyle name="Separador de milhares 3 8 6 2 6" xfId="12272" xr:uid="{00000000-0005-0000-0000-000070A00000}"/>
    <cellStyle name="Separador de milhares 3 8 6 2 6 2" xfId="38465" xr:uid="{00000000-0005-0000-0000-000071A00000}"/>
    <cellStyle name="Separador de milhares 3 8 6 2 7" xfId="30383" xr:uid="{00000000-0005-0000-0000-000072A00000}"/>
    <cellStyle name="Separador de milhares 3 8 6 3" xfId="6629" xr:uid="{00000000-0005-0000-0000-000073A00000}"/>
    <cellStyle name="Separador de milhares 3 8 6 3 2" xfId="9776" xr:uid="{00000000-0005-0000-0000-000074A00000}"/>
    <cellStyle name="Separador de milhares 3 8 6 3 2 2" xfId="27990" xr:uid="{00000000-0005-0000-0000-000075A00000}"/>
    <cellStyle name="Separador de milhares 3 8 6 3 2 2 2" xfId="54171" xr:uid="{00000000-0005-0000-0000-000076A00000}"/>
    <cellStyle name="Separador de milhares 3 8 6 3 2 3" xfId="22076" xr:uid="{00000000-0005-0000-0000-000077A00000}"/>
    <cellStyle name="Separador de milhares 3 8 6 3 2 3 2" xfId="48263" xr:uid="{00000000-0005-0000-0000-000078A00000}"/>
    <cellStyle name="Separador de milhares 3 8 6 3 2 4" xfId="16162" xr:uid="{00000000-0005-0000-0000-000079A00000}"/>
    <cellStyle name="Separador de milhares 3 8 6 3 2 4 2" xfId="42355" xr:uid="{00000000-0005-0000-0000-00007AA00000}"/>
    <cellStyle name="Separador de milhares 3 8 6 3 2 5" xfId="35969" xr:uid="{00000000-0005-0000-0000-00007BA00000}"/>
    <cellStyle name="Separador de milhares 3 8 6 3 3" xfId="25033" xr:uid="{00000000-0005-0000-0000-00007CA00000}"/>
    <cellStyle name="Separador de milhares 3 8 6 3 3 2" xfId="51217" xr:uid="{00000000-0005-0000-0000-00007DA00000}"/>
    <cellStyle name="Separador de milhares 3 8 6 3 4" xfId="19119" xr:uid="{00000000-0005-0000-0000-00007EA00000}"/>
    <cellStyle name="Separador de milhares 3 8 6 3 4 2" xfId="45309" xr:uid="{00000000-0005-0000-0000-00007FA00000}"/>
    <cellStyle name="Separador de milhares 3 8 6 3 5" xfId="13018" xr:uid="{00000000-0005-0000-0000-000080A00000}"/>
    <cellStyle name="Separador de milhares 3 8 6 3 5 2" xfId="39211" xr:uid="{00000000-0005-0000-0000-000081A00000}"/>
    <cellStyle name="Separador de milhares 3 8 6 3 6" xfId="32825" xr:uid="{00000000-0005-0000-0000-000082A00000}"/>
    <cellStyle name="Separador de milhares 3 8 6 4" xfId="8308" xr:uid="{00000000-0005-0000-0000-000083A00000}"/>
    <cellStyle name="Separador de milhares 3 8 6 4 2" xfId="26522" xr:uid="{00000000-0005-0000-0000-000084A00000}"/>
    <cellStyle name="Separador de milhares 3 8 6 4 2 2" xfId="52703" xr:uid="{00000000-0005-0000-0000-000085A00000}"/>
    <cellStyle name="Separador de milhares 3 8 6 4 3" xfId="20608" xr:uid="{00000000-0005-0000-0000-000086A00000}"/>
    <cellStyle name="Separador de milhares 3 8 6 4 3 2" xfId="46795" xr:uid="{00000000-0005-0000-0000-000087A00000}"/>
    <cellStyle name="Separador de milhares 3 8 6 4 4" xfId="14694" xr:uid="{00000000-0005-0000-0000-000088A00000}"/>
    <cellStyle name="Separador de milhares 3 8 6 4 4 2" xfId="40887" xr:uid="{00000000-0005-0000-0000-000089A00000}"/>
    <cellStyle name="Separador de milhares 3 8 6 4 5" xfId="34501" xr:uid="{00000000-0005-0000-0000-00008AA00000}"/>
    <cellStyle name="Separador de milhares 3 8 6 5" xfId="4930" xr:uid="{00000000-0005-0000-0000-00008BA00000}"/>
    <cellStyle name="Separador de milhares 3 8 6 5 2" xfId="23565" xr:uid="{00000000-0005-0000-0000-00008CA00000}"/>
    <cellStyle name="Separador de milhares 3 8 6 5 2 2" xfId="49749" xr:uid="{00000000-0005-0000-0000-00008DA00000}"/>
    <cellStyle name="Separador de milhares 3 8 6 5 3" xfId="31126" xr:uid="{00000000-0005-0000-0000-00008EA00000}"/>
    <cellStyle name="Separador de milhares 3 8 6 6" xfId="17651" xr:uid="{00000000-0005-0000-0000-00008FA00000}"/>
    <cellStyle name="Separador de milhares 3 8 6 6 2" xfId="43841" xr:uid="{00000000-0005-0000-0000-000090A00000}"/>
    <cellStyle name="Separador de milhares 3 8 6 7" xfId="11317" xr:uid="{00000000-0005-0000-0000-000091A00000}"/>
    <cellStyle name="Separador de milhares 3 8 6 7 2" xfId="37510" xr:uid="{00000000-0005-0000-0000-000092A00000}"/>
    <cellStyle name="Separador de milhares 3 8 6 8" xfId="29428" xr:uid="{00000000-0005-0000-0000-000093A00000}"/>
    <cellStyle name="Separador de milhares 3 8 7" xfId="1074" xr:uid="{00000000-0005-0000-0000-000094A00000}"/>
    <cellStyle name="Separador de milhares 3 8 7 2" xfId="6727" xr:uid="{00000000-0005-0000-0000-000095A00000}"/>
    <cellStyle name="Separador de milhares 3 8 7 2 2" xfId="9874" xr:uid="{00000000-0005-0000-0000-000096A00000}"/>
    <cellStyle name="Separador de milhares 3 8 7 2 2 2" xfId="28088" xr:uid="{00000000-0005-0000-0000-000097A00000}"/>
    <cellStyle name="Separador de milhares 3 8 7 2 2 2 2" xfId="54269" xr:uid="{00000000-0005-0000-0000-000098A00000}"/>
    <cellStyle name="Separador de milhares 3 8 7 2 2 3" xfId="22174" xr:uid="{00000000-0005-0000-0000-000099A00000}"/>
    <cellStyle name="Separador de milhares 3 8 7 2 2 3 2" xfId="48361" xr:uid="{00000000-0005-0000-0000-00009AA00000}"/>
    <cellStyle name="Separador de milhares 3 8 7 2 2 4" xfId="16260" xr:uid="{00000000-0005-0000-0000-00009BA00000}"/>
    <cellStyle name="Separador de milhares 3 8 7 2 2 4 2" xfId="42453" xr:uid="{00000000-0005-0000-0000-00009CA00000}"/>
    <cellStyle name="Separador de milhares 3 8 7 2 2 5" xfId="36067" xr:uid="{00000000-0005-0000-0000-00009DA00000}"/>
    <cellStyle name="Separador de milhares 3 8 7 2 3" xfId="25131" xr:uid="{00000000-0005-0000-0000-00009EA00000}"/>
    <cellStyle name="Separador de milhares 3 8 7 2 3 2" xfId="51315" xr:uid="{00000000-0005-0000-0000-00009FA00000}"/>
    <cellStyle name="Separador de milhares 3 8 7 2 4" xfId="19217" xr:uid="{00000000-0005-0000-0000-0000A0A00000}"/>
    <cellStyle name="Separador de milhares 3 8 7 2 4 2" xfId="45407" xr:uid="{00000000-0005-0000-0000-0000A1A00000}"/>
    <cellStyle name="Separador de milhares 3 8 7 2 5" xfId="13116" xr:uid="{00000000-0005-0000-0000-0000A2A00000}"/>
    <cellStyle name="Separador de milhares 3 8 7 2 5 2" xfId="39309" xr:uid="{00000000-0005-0000-0000-0000A3A00000}"/>
    <cellStyle name="Separador de milhares 3 8 7 2 6" xfId="32923" xr:uid="{00000000-0005-0000-0000-0000A4A00000}"/>
    <cellStyle name="Separador de milhares 3 8 7 3" xfId="8406" xr:uid="{00000000-0005-0000-0000-0000A5A00000}"/>
    <cellStyle name="Separador de milhares 3 8 7 3 2" xfId="26620" xr:uid="{00000000-0005-0000-0000-0000A6A00000}"/>
    <cellStyle name="Separador de milhares 3 8 7 3 2 2" xfId="52801" xr:uid="{00000000-0005-0000-0000-0000A7A00000}"/>
    <cellStyle name="Separador de milhares 3 8 7 3 3" xfId="20706" xr:uid="{00000000-0005-0000-0000-0000A8A00000}"/>
    <cellStyle name="Separador de milhares 3 8 7 3 3 2" xfId="46893" xr:uid="{00000000-0005-0000-0000-0000A9A00000}"/>
    <cellStyle name="Separador de milhares 3 8 7 3 4" xfId="14792" xr:uid="{00000000-0005-0000-0000-0000AAA00000}"/>
    <cellStyle name="Separador de milhares 3 8 7 3 4 2" xfId="40985" xr:uid="{00000000-0005-0000-0000-0000ABA00000}"/>
    <cellStyle name="Separador de milhares 3 8 7 3 5" xfId="34599" xr:uid="{00000000-0005-0000-0000-0000ACA00000}"/>
    <cellStyle name="Separador de milhares 3 8 7 4" xfId="5028" xr:uid="{00000000-0005-0000-0000-0000ADA00000}"/>
    <cellStyle name="Separador de milhares 3 8 7 4 2" xfId="23663" xr:uid="{00000000-0005-0000-0000-0000AEA00000}"/>
    <cellStyle name="Separador de milhares 3 8 7 4 2 2" xfId="49847" xr:uid="{00000000-0005-0000-0000-0000AFA00000}"/>
    <cellStyle name="Separador de milhares 3 8 7 4 3" xfId="31224" xr:uid="{00000000-0005-0000-0000-0000B0A00000}"/>
    <cellStyle name="Separador de milhares 3 8 7 5" xfId="17749" xr:uid="{00000000-0005-0000-0000-0000B1A00000}"/>
    <cellStyle name="Separador de milhares 3 8 7 5 2" xfId="43939" xr:uid="{00000000-0005-0000-0000-0000B2A00000}"/>
    <cellStyle name="Separador de milhares 3 8 7 6" xfId="11415" xr:uid="{00000000-0005-0000-0000-0000B3A00000}"/>
    <cellStyle name="Separador de milhares 3 8 7 6 2" xfId="37608" xr:uid="{00000000-0005-0000-0000-0000B4A00000}"/>
    <cellStyle name="Separador de milhares 3 8 7 7" xfId="29526" xr:uid="{00000000-0005-0000-0000-0000B5A00000}"/>
    <cellStyle name="Separador de milhares 3 8 8" xfId="1509" xr:uid="{00000000-0005-0000-0000-0000B6A00000}"/>
    <cellStyle name="Separador de milhares 3 8 8 2" xfId="6846" xr:uid="{00000000-0005-0000-0000-0000B7A00000}"/>
    <cellStyle name="Separador de milhares 3 8 8 2 2" xfId="9993" xr:uid="{00000000-0005-0000-0000-0000B8A00000}"/>
    <cellStyle name="Separador de milhares 3 8 8 2 2 2" xfId="28207" xr:uid="{00000000-0005-0000-0000-0000B9A00000}"/>
    <cellStyle name="Separador de milhares 3 8 8 2 2 2 2" xfId="54388" xr:uid="{00000000-0005-0000-0000-0000BAA00000}"/>
    <cellStyle name="Separador de milhares 3 8 8 2 2 3" xfId="22293" xr:uid="{00000000-0005-0000-0000-0000BBA00000}"/>
    <cellStyle name="Separador de milhares 3 8 8 2 2 3 2" xfId="48480" xr:uid="{00000000-0005-0000-0000-0000BCA00000}"/>
    <cellStyle name="Separador de milhares 3 8 8 2 2 4" xfId="16379" xr:uid="{00000000-0005-0000-0000-0000BDA00000}"/>
    <cellStyle name="Separador de milhares 3 8 8 2 2 4 2" xfId="42572" xr:uid="{00000000-0005-0000-0000-0000BEA00000}"/>
    <cellStyle name="Separador de milhares 3 8 8 2 2 5" xfId="36186" xr:uid="{00000000-0005-0000-0000-0000BFA00000}"/>
    <cellStyle name="Separador de milhares 3 8 8 2 3" xfId="25250" xr:uid="{00000000-0005-0000-0000-0000C0A00000}"/>
    <cellStyle name="Separador de milhares 3 8 8 2 3 2" xfId="51434" xr:uid="{00000000-0005-0000-0000-0000C1A00000}"/>
    <cellStyle name="Separador de milhares 3 8 8 2 4" xfId="19336" xr:uid="{00000000-0005-0000-0000-0000C2A00000}"/>
    <cellStyle name="Separador de milhares 3 8 8 2 4 2" xfId="45526" xr:uid="{00000000-0005-0000-0000-0000C3A00000}"/>
    <cellStyle name="Separador de milhares 3 8 8 2 5" xfId="13235" xr:uid="{00000000-0005-0000-0000-0000C4A00000}"/>
    <cellStyle name="Separador de milhares 3 8 8 2 5 2" xfId="39428" xr:uid="{00000000-0005-0000-0000-0000C5A00000}"/>
    <cellStyle name="Separador de milhares 3 8 8 2 6" xfId="33042" xr:uid="{00000000-0005-0000-0000-0000C6A00000}"/>
    <cellStyle name="Separador de milhares 3 8 8 3" xfId="8525" xr:uid="{00000000-0005-0000-0000-0000C7A00000}"/>
    <cellStyle name="Separador de milhares 3 8 8 3 2" xfId="26739" xr:uid="{00000000-0005-0000-0000-0000C8A00000}"/>
    <cellStyle name="Separador de milhares 3 8 8 3 2 2" xfId="52920" xr:uid="{00000000-0005-0000-0000-0000C9A00000}"/>
    <cellStyle name="Separador de milhares 3 8 8 3 3" xfId="20825" xr:uid="{00000000-0005-0000-0000-0000CAA00000}"/>
    <cellStyle name="Separador de milhares 3 8 8 3 3 2" xfId="47012" xr:uid="{00000000-0005-0000-0000-0000CBA00000}"/>
    <cellStyle name="Separador de milhares 3 8 8 3 4" xfId="14911" xr:uid="{00000000-0005-0000-0000-0000CCA00000}"/>
    <cellStyle name="Separador de milhares 3 8 8 3 4 2" xfId="41104" xr:uid="{00000000-0005-0000-0000-0000CDA00000}"/>
    <cellStyle name="Separador de milhares 3 8 8 3 5" xfId="34718" xr:uid="{00000000-0005-0000-0000-0000CEA00000}"/>
    <cellStyle name="Separador de milhares 3 8 8 4" xfId="5147" xr:uid="{00000000-0005-0000-0000-0000CFA00000}"/>
    <cellStyle name="Separador de milhares 3 8 8 4 2" xfId="23782" xr:uid="{00000000-0005-0000-0000-0000D0A00000}"/>
    <cellStyle name="Separador de milhares 3 8 8 4 2 2" xfId="49966" xr:uid="{00000000-0005-0000-0000-0000D1A00000}"/>
    <cellStyle name="Separador de milhares 3 8 8 4 3" xfId="31343" xr:uid="{00000000-0005-0000-0000-0000D2A00000}"/>
    <cellStyle name="Separador de milhares 3 8 8 5" xfId="17868" xr:uid="{00000000-0005-0000-0000-0000D3A00000}"/>
    <cellStyle name="Separador de milhares 3 8 8 5 2" xfId="44058" xr:uid="{00000000-0005-0000-0000-0000D4A00000}"/>
    <cellStyle name="Separador de milhares 3 8 8 6" xfId="11534" xr:uid="{00000000-0005-0000-0000-0000D5A00000}"/>
    <cellStyle name="Separador de milhares 3 8 8 6 2" xfId="37727" xr:uid="{00000000-0005-0000-0000-0000D6A00000}"/>
    <cellStyle name="Separador de milhares 3 8 8 7" xfId="29645" xr:uid="{00000000-0005-0000-0000-0000D7A00000}"/>
    <cellStyle name="Separador de milhares 3 8 9" xfId="2039" xr:uid="{00000000-0005-0000-0000-0000D8A00000}"/>
    <cellStyle name="Separador de milhares 3 8 9 2" xfId="6996" xr:uid="{00000000-0005-0000-0000-0000D9A00000}"/>
    <cellStyle name="Separador de milhares 3 8 9 2 2" xfId="10140" xr:uid="{00000000-0005-0000-0000-0000DAA00000}"/>
    <cellStyle name="Separador de milhares 3 8 9 2 2 2" xfId="28354" xr:uid="{00000000-0005-0000-0000-0000DBA00000}"/>
    <cellStyle name="Separador de milhares 3 8 9 2 2 2 2" xfId="54535" xr:uid="{00000000-0005-0000-0000-0000DCA00000}"/>
    <cellStyle name="Separador de milhares 3 8 9 2 2 3" xfId="22440" xr:uid="{00000000-0005-0000-0000-0000DDA00000}"/>
    <cellStyle name="Separador de milhares 3 8 9 2 2 3 2" xfId="48627" xr:uid="{00000000-0005-0000-0000-0000DEA00000}"/>
    <cellStyle name="Separador de milhares 3 8 9 2 2 4" xfId="16526" xr:uid="{00000000-0005-0000-0000-0000DFA00000}"/>
    <cellStyle name="Separador de milhares 3 8 9 2 2 4 2" xfId="42719" xr:uid="{00000000-0005-0000-0000-0000E0A00000}"/>
    <cellStyle name="Separador de milhares 3 8 9 2 2 5" xfId="36333" xr:uid="{00000000-0005-0000-0000-0000E1A00000}"/>
    <cellStyle name="Separador de milhares 3 8 9 2 3" xfId="25397" xr:uid="{00000000-0005-0000-0000-0000E2A00000}"/>
    <cellStyle name="Separador de milhares 3 8 9 2 3 2" xfId="51581" xr:uid="{00000000-0005-0000-0000-0000E3A00000}"/>
    <cellStyle name="Separador de milhares 3 8 9 2 4" xfId="19483" xr:uid="{00000000-0005-0000-0000-0000E4A00000}"/>
    <cellStyle name="Separador de milhares 3 8 9 2 4 2" xfId="45673" xr:uid="{00000000-0005-0000-0000-0000E5A00000}"/>
    <cellStyle name="Separador de milhares 3 8 9 2 5" xfId="13385" xr:uid="{00000000-0005-0000-0000-0000E6A00000}"/>
    <cellStyle name="Separador de milhares 3 8 9 2 5 2" xfId="39578" xr:uid="{00000000-0005-0000-0000-0000E7A00000}"/>
    <cellStyle name="Separador de milhares 3 8 9 2 6" xfId="33192" xr:uid="{00000000-0005-0000-0000-0000E8A00000}"/>
    <cellStyle name="Separador de milhares 3 8 9 3" xfId="8672" xr:uid="{00000000-0005-0000-0000-0000E9A00000}"/>
    <cellStyle name="Separador de milhares 3 8 9 3 2" xfId="26886" xr:uid="{00000000-0005-0000-0000-0000EAA00000}"/>
    <cellStyle name="Separador de milhares 3 8 9 3 2 2" xfId="53067" xr:uid="{00000000-0005-0000-0000-0000EBA00000}"/>
    <cellStyle name="Separador de milhares 3 8 9 3 3" xfId="20972" xr:uid="{00000000-0005-0000-0000-0000ECA00000}"/>
    <cellStyle name="Separador de milhares 3 8 9 3 3 2" xfId="47159" xr:uid="{00000000-0005-0000-0000-0000EDA00000}"/>
    <cellStyle name="Separador de milhares 3 8 9 3 4" xfId="15058" xr:uid="{00000000-0005-0000-0000-0000EEA00000}"/>
    <cellStyle name="Separador de milhares 3 8 9 3 4 2" xfId="41251" xr:uid="{00000000-0005-0000-0000-0000EFA00000}"/>
    <cellStyle name="Separador de milhares 3 8 9 3 5" xfId="34865" xr:uid="{00000000-0005-0000-0000-0000F0A00000}"/>
    <cellStyle name="Separador de milhares 3 8 9 4" xfId="5297" xr:uid="{00000000-0005-0000-0000-0000F1A00000}"/>
    <cellStyle name="Separador de milhares 3 8 9 4 2" xfId="23929" xr:uid="{00000000-0005-0000-0000-0000F2A00000}"/>
    <cellStyle name="Separador de milhares 3 8 9 4 2 2" xfId="50113" xr:uid="{00000000-0005-0000-0000-0000F3A00000}"/>
    <cellStyle name="Separador de milhares 3 8 9 4 3" xfId="31493" xr:uid="{00000000-0005-0000-0000-0000F4A00000}"/>
    <cellStyle name="Separador de milhares 3 8 9 5" xfId="18015" xr:uid="{00000000-0005-0000-0000-0000F5A00000}"/>
    <cellStyle name="Separador de milhares 3 8 9 5 2" xfId="44205" xr:uid="{00000000-0005-0000-0000-0000F6A00000}"/>
    <cellStyle name="Separador de milhares 3 8 9 6" xfId="11684" xr:uid="{00000000-0005-0000-0000-0000F7A00000}"/>
    <cellStyle name="Separador de milhares 3 8 9 6 2" xfId="37877" xr:uid="{00000000-0005-0000-0000-0000F8A00000}"/>
    <cellStyle name="Separador de milhares 3 8 9 7" xfId="29795" xr:uid="{00000000-0005-0000-0000-0000F9A00000}"/>
    <cellStyle name="Separador de milhares 3 9" xfId="71" xr:uid="{00000000-0005-0000-0000-0000FAA00000}"/>
    <cellStyle name="Separador de milhares 3 9 10" xfId="2574" xr:uid="{00000000-0005-0000-0000-0000FBA00000}"/>
    <cellStyle name="Separador de milhares 3 9 10 2" xfId="7145" xr:uid="{00000000-0005-0000-0000-0000FCA00000}"/>
    <cellStyle name="Separador de milhares 3 9 10 2 2" xfId="10289" xr:uid="{00000000-0005-0000-0000-0000FDA00000}"/>
    <cellStyle name="Separador de milhares 3 9 10 2 2 2" xfId="28503" xr:uid="{00000000-0005-0000-0000-0000FEA00000}"/>
    <cellStyle name="Separador de milhares 3 9 10 2 2 2 2" xfId="54684" xr:uid="{00000000-0005-0000-0000-0000FFA00000}"/>
    <cellStyle name="Separador de milhares 3 9 10 2 2 3" xfId="22589" xr:uid="{00000000-0005-0000-0000-000000A10000}"/>
    <cellStyle name="Separador de milhares 3 9 10 2 2 3 2" xfId="48776" xr:uid="{00000000-0005-0000-0000-000001A10000}"/>
    <cellStyle name="Separador de milhares 3 9 10 2 2 4" xfId="16675" xr:uid="{00000000-0005-0000-0000-000002A10000}"/>
    <cellStyle name="Separador de milhares 3 9 10 2 2 4 2" xfId="42868" xr:uid="{00000000-0005-0000-0000-000003A10000}"/>
    <cellStyle name="Separador de milhares 3 9 10 2 2 5" xfId="36482" xr:uid="{00000000-0005-0000-0000-000004A10000}"/>
    <cellStyle name="Separador de milhares 3 9 10 2 3" xfId="25546" xr:uid="{00000000-0005-0000-0000-000005A10000}"/>
    <cellStyle name="Separador de milhares 3 9 10 2 3 2" xfId="51730" xr:uid="{00000000-0005-0000-0000-000006A10000}"/>
    <cellStyle name="Separador de milhares 3 9 10 2 4" xfId="19632" xr:uid="{00000000-0005-0000-0000-000007A10000}"/>
    <cellStyle name="Separador de milhares 3 9 10 2 4 2" xfId="45822" xr:uid="{00000000-0005-0000-0000-000008A10000}"/>
    <cellStyle name="Separador de milhares 3 9 10 2 5" xfId="13534" xr:uid="{00000000-0005-0000-0000-000009A10000}"/>
    <cellStyle name="Separador de milhares 3 9 10 2 5 2" xfId="39727" xr:uid="{00000000-0005-0000-0000-00000AA10000}"/>
    <cellStyle name="Separador de milhares 3 9 10 2 6" xfId="33341" xr:uid="{00000000-0005-0000-0000-00000BA10000}"/>
    <cellStyle name="Separador de milhares 3 9 10 3" xfId="8821" xr:uid="{00000000-0005-0000-0000-00000CA10000}"/>
    <cellStyle name="Separador de milhares 3 9 10 3 2" xfId="27035" xr:uid="{00000000-0005-0000-0000-00000DA10000}"/>
    <cellStyle name="Separador de milhares 3 9 10 3 2 2" xfId="53216" xr:uid="{00000000-0005-0000-0000-00000EA10000}"/>
    <cellStyle name="Separador de milhares 3 9 10 3 3" xfId="21121" xr:uid="{00000000-0005-0000-0000-00000FA10000}"/>
    <cellStyle name="Separador de milhares 3 9 10 3 3 2" xfId="47308" xr:uid="{00000000-0005-0000-0000-000010A10000}"/>
    <cellStyle name="Separador de milhares 3 9 10 3 4" xfId="15207" xr:uid="{00000000-0005-0000-0000-000011A10000}"/>
    <cellStyle name="Separador de milhares 3 9 10 3 4 2" xfId="41400" xr:uid="{00000000-0005-0000-0000-000012A10000}"/>
    <cellStyle name="Separador de milhares 3 9 10 3 5" xfId="35014" xr:uid="{00000000-0005-0000-0000-000013A10000}"/>
    <cellStyle name="Separador de milhares 3 9 10 4" xfId="5446" xr:uid="{00000000-0005-0000-0000-000014A10000}"/>
    <cellStyle name="Separador de milhares 3 9 10 4 2" xfId="24078" xr:uid="{00000000-0005-0000-0000-000015A10000}"/>
    <cellStyle name="Separador de milhares 3 9 10 4 2 2" xfId="50262" xr:uid="{00000000-0005-0000-0000-000016A10000}"/>
    <cellStyle name="Separador de milhares 3 9 10 4 3" xfId="31642" xr:uid="{00000000-0005-0000-0000-000017A10000}"/>
    <cellStyle name="Separador de milhares 3 9 10 5" xfId="18164" xr:uid="{00000000-0005-0000-0000-000018A10000}"/>
    <cellStyle name="Separador de milhares 3 9 10 5 2" xfId="44354" xr:uid="{00000000-0005-0000-0000-000019A10000}"/>
    <cellStyle name="Separador de milhares 3 9 10 6" xfId="11833" xr:uid="{00000000-0005-0000-0000-00001AA10000}"/>
    <cellStyle name="Separador de milhares 3 9 10 6 2" xfId="38026" xr:uid="{00000000-0005-0000-0000-00001BA10000}"/>
    <cellStyle name="Separador de milhares 3 9 10 7" xfId="29944" xr:uid="{00000000-0005-0000-0000-00001CA10000}"/>
    <cellStyle name="Separador de milhares 3 9 11" xfId="3101" xr:uid="{00000000-0005-0000-0000-00001DA10000}"/>
    <cellStyle name="Separador de milhares 3 9 11 2" xfId="7292" xr:uid="{00000000-0005-0000-0000-00001EA10000}"/>
    <cellStyle name="Separador de milhares 3 9 11 2 2" xfId="10436" xr:uid="{00000000-0005-0000-0000-00001FA10000}"/>
    <cellStyle name="Separador de milhares 3 9 11 2 2 2" xfId="28650" xr:uid="{00000000-0005-0000-0000-000020A10000}"/>
    <cellStyle name="Separador de milhares 3 9 11 2 2 2 2" xfId="54831" xr:uid="{00000000-0005-0000-0000-000021A10000}"/>
    <cellStyle name="Separador de milhares 3 9 11 2 2 3" xfId="22736" xr:uid="{00000000-0005-0000-0000-000022A10000}"/>
    <cellStyle name="Separador de milhares 3 9 11 2 2 3 2" xfId="48923" xr:uid="{00000000-0005-0000-0000-000023A10000}"/>
    <cellStyle name="Separador de milhares 3 9 11 2 2 4" xfId="16822" xr:uid="{00000000-0005-0000-0000-000024A10000}"/>
    <cellStyle name="Separador de milhares 3 9 11 2 2 4 2" xfId="43015" xr:uid="{00000000-0005-0000-0000-000025A10000}"/>
    <cellStyle name="Separador de milhares 3 9 11 2 2 5" xfId="36629" xr:uid="{00000000-0005-0000-0000-000026A10000}"/>
    <cellStyle name="Separador de milhares 3 9 11 2 3" xfId="25693" xr:uid="{00000000-0005-0000-0000-000027A10000}"/>
    <cellStyle name="Separador de milhares 3 9 11 2 3 2" xfId="51877" xr:uid="{00000000-0005-0000-0000-000028A10000}"/>
    <cellStyle name="Separador de milhares 3 9 11 2 4" xfId="19779" xr:uid="{00000000-0005-0000-0000-000029A10000}"/>
    <cellStyle name="Separador de milhares 3 9 11 2 4 2" xfId="45969" xr:uid="{00000000-0005-0000-0000-00002AA10000}"/>
    <cellStyle name="Separador de milhares 3 9 11 2 5" xfId="13681" xr:uid="{00000000-0005-0000-0000-00002BA10000}"/>
    <cellStyle name="Separador de milhares 3 9 11 2 5 2" xfId="39874" xr:uid="{00000000-0005-0000-0000-00002CA10000}"/>
    <cellStyle name="Separador de milhares 3 9 11 2 6" xfId="33488" xr:uid="{00000000-0005-0000-0000-00002DA10000}"/>
    <cellStyle name="Separador de milhares 3 9 11 3" xfId="8968" xr:uid="{00000000-0005-0000-0000-00002EA10000}"/>
    <cellStyle name="Separador de milhares 3 9 11 3 2" xfId="27182" xr:uid="{00000000-0005-0000-0000-00002FA10000}"/>
    <cellStyle name="Separador de milhares 3 9 11 3 2 2" xfId="53363" xr:uid="{00000000-0005-0000-0000-000030A10000}"/>
    <cellStyle name="Separador de milhares 3 9 11 3 3" xfId="21268" xr:uid="{00000000-0005-0000-0000-000031A10000}"/>
    <cellStyle name="Separador de milhares 3 9 11 3 3 2" xfId="47455" xr:uid="{00000000-0005-0000-0000-000032A10000}"/>
    <cellStyle name="Separador de milhares 3 9 11 3 4" xfId="15354" xr:uid="{00000000-0005-0000-0000-000033A10000}"/>
    <cellStyle name="Separador de milhares 3 9 11 3 4 2" xfId="41547" xr:uid="{00000000-0005-0000-0000-000034A10000}"/>
    <cellStyle name="Separador de milhares 3 9 11 3 5" xfId="35161" xr:uid="{00000000-0005-0000-0000-000035A10000}"/>
    <cellStyle name="Separador de milhares 3 9 11 4" xfId="5593" xr:uid="{00000000-0005-0000-0000-000036A10000}"/>
    <cellStyle name="Separador de milhares 3 9 11 4 2" xfId="24225" xr:uid="{00000000-0005-0000-0000-000037A10000}"/>
    <cellStyle name="Separador de milhares 3 9 11 4 2 2" xfId="50409" xr:uid="{00000000-0005-0000-0000-000038A10000}"/>
    <cellStyle name="Separador de milhares 3 9 11 4 3" xfId="31789" xr:uid="{00000000-0005-0000-0000-000039A10000}"/>
    <cellStyle name="Separador de milhares 3 9 11 5" xfId="18311" xr:uid="{00000000-0005-0000-0000-00003AA10000}"/>
    <cellStyle name="Separador de milhares 3 9 11 5 2" xfId="44501" xr:uid="{00000000-0005-0000-0000-00003BA10000}"/>
    <cellStyle name="Separador de milhares 3 9 11 6" xfId="11980" xr:uid="{00000000-0005-0000-0000-00003CA10000}"/>
    <cellStyle name="Separador de milhares 3 9 11 6 2" xfId="38173" xr:uid="{00000000-0005-0000-0000-00003DA10000}"/>
    <cellStyle name="Separador de milhares 3 9 11 7" xfId="30091" xr:uid="{00000000-0005-0000-0000-00003EA10000}"/>
    <cellStyle name="Separador de milhares 3 9 12" xfId="3628" xr:uid="{00000000-0005-0000-0000-00003FA10000}"/>
    <cellStyle name="Separador de milhares 3 9 12 2" xfId="7439" xr:uid="{00000000-0005-0000-0000-000040A10000}"/>
    <cellStyle name="Separador de milhares 3 9 12 2 2" xfId="10583" xr:uid="{00000000-0005-0000-0000-000041A10000}"/>
    <cellStyle name="Separador de milhares 3 9 12 2 2 2" xfId="28797" xr:uid="{00000000-0005-0000-0000-000042A10000}"/>
    <cellStyle name="Separador de milhares 3 9 12 2 2 2 2" xfId="54978" xr:uid="{00000000-0005-0000-0000-000043A10000}"/>
    <cellStyle name="Separador de milhares 3 9 12 2 2 3" xfId="22883" xr:uid="{00000000-0005-0000-0000-000044A10000}"/>
    <cellStyle name="Separador de milhares 3 9 12 2 2 3 2" xfId="49070" xr:uid="{00000000-0005-0000-0000-000045A10000}"/>
    <cellStyle name="Separador de milhares 3 9 12 2 2 4" xfId="16969" xr:uid="{00000000-0005-0000-0000-000046A10000}"/>
    <cellStyle name="Separador de milhares 3 9 12 2 2 4 2" xfId="43162" xr:uid="{00000000-0005-0000-0000-000047A10000}"/>
    <cellStyle name="Separador de milhares 3 9 12 2 2 5" xfId="36776" xr:uid="{00000000-0005-0000-0000-000048A10000}"/>
    <cellStyle name="Separador de milhares 3 9 12 2 3" xfId="25840" xr:uid="{00000000-0005-0000-0000-000049A10000}"/>
    <cellStyle name="Separador de milhares 3 9 12 2 3 2" xfId="52024" xr:uid="{00000000-0005-0000-0000-00004AA10000}"/>
    <cellStyle name="Separador de milhares 3 9 12 2 4" xfId="19926" xr:uid="{00000000-0005-0000-0000-00004BA10000}"/>
    <cellStyle name="Separador de milhares 3 9 12 2 4 2" xfId="46116" xr:uid="{00000000-0005-0000-0000-00004CA10000}"/>
    <cellStyle name="Separador de milhares 3 9 12 2 5" xfId="13828" xr:uid="{00000000-0005-0000-0000-00004DA10000}"/>
    <cellStyle name="Separador de milhares 3 9 12 2 5 2" xfId="40021" xr:uid="{00000000-0005-0000-0000-00004EA10000}"/>
    <cellStyle name="Separador de milhares 3 9 12 2 6" xfId="33635" xr:uid="{00000000-0005-0000-0000-00004FA10000}"/>
    <cellStyle name="Separador de milhares 3 9 12 3" xfId="9115" xr:uid="{00000000-0005-0000-0000-000050A10000}"/>
    <cellStyle name="Separador de milhares 3 9 12 3 2" xfId="27329" xr:uid="{00000000-0005-0000-0000-000051A10000}"/>
    <cellStyle name="Separador de milhares 3 9 12 3 2 2" xfId="53510" xr:uid="{00000000-0005-0000-0000-000052A10000}"/>
    <cellStyle name="Separador de milhares 3 9 12 3 3" xfId="21415" xr:uid="{00000000-0005-0000-0000-000053A10000}"/>
    <cellStyle name="Separador de milhares 3 9 12 3 3 2" xfId="47602" xr:uid="{00000000-0005-0000-0000-000054A10000}"/>
    <cellStyle name="Separador de milhares 3 9 12 3 4" xfId="15501" xr:uid="{00000000-0005-0000-0000-000055A10000}"/>
    <cellStyle name="Separador de milhares 3 9 12 3 4 2" xfId="41694" xr:uid="{00000000-0005-0000-0000-000056A10000}"/>
    <cellStyle name="Separador de milhares 3 9 12 3 5" xfId="35308" xr:uid="{00000000-0005-0000-0000-000057A10000}"/>
    <cellStyle name="Separador de milhares 3 9 12 4" xfId="5740" xr:uid="{00000000-0005-0000-0000-000058A10000}"/>
    <cellStyle name="Separador de milhares 3 9 12 4 2" xfId="24372" xr:uid="{00000000-0005-0000-0000-000059A10000}"/>
    <cellStyle name="Separador de milhares 3 9 12 4 2 2" xfId="50556" xr:uid="{00000000-0005-0000-0000-00005AA10000}"/>
    <cellStyle name="Separador de milhares 3 9 12 4 3" xfId="31936" xr:uid="{00000000-0005-0000-0000-00005BA10000}"/>
    <cellStyle name="Separador de milhares 3 9 12 5" xfId="18458" xr:uid="{00000000-0005-0000-0000-00005CA10000}"/>
    <cellStyle name="Separador de milhares 3 9 12 5 2" xfId="44648" xr:uid="{00000000-0005-0000-0000-00005DA10000}"/>
    <cellStyle name="Separador de milhares 3 9 12 6" xfId="12127" xr:uid="{00000000-0005-0000-0000-00005EA10000}"/>
    <cellStyle name="Separador de milhares 3 9 12 6 2" xfId="38320" xr:uid="{00000000-0005-0000-0000-00005FA10000}"/>
    <cellStyle name="Separador de milhares 3 9 12 7" xfId="30238" xr:uid="{00000000-0005-0000-0000-000060A10000}"/>
    <cellStyle name="Separador de milhares 3 9 13" xfId="6423" xr:uid="{00000000-0005-0000-0000-000061A10000}"/>
    <cellStyle name="Separador de milhares 3 9 13 2" xfId="9579" xr:uid="{00000000-0005-0000-0000-000062A10000}"/>
    <cellStyle name="Separador de milhares 3 9 13 2 2" xfId="27793" xr:uid="{00000000-0005-0000-0000-000063A10000}"/>
    <cellStyle name="Separador de milhares 3 9 13 2 2 2" xfId="53974" xr:uid="{00000000-0005-0000-0000-000064A10000}"/>
    <cellStyle name="Separador de milhares 3 9 13 2 3" xfId="21879" xr:uid="{00000000-0005-0000-0000-000065A10000}"/>
    <cellStyle name="Separador de milhares 3 9 13 2 3 2" xfId="48066" xr:uid="{00000000-0005-0000-0000-000066A10000}"/>
    <cellStyle name="Separador de milhares 3 9 13 2 4" xfId="15965" xr:uid="{00000000-0005-0000-0000-000067A10000}"/>
    <cellStyle name="Separador de milhares 3 9 13 2 4 2" xfId="42158" xr:uid="{00000000-0005-0000-0000-000068A10000}"/>
    <cellStyle name="Separador de milhares 3 9 13 2 5" xfId="35772" xr:uid="{00000000-0005-0000-0000-000069A10000}"/>
    <cellStyle name="Separador de milhares 3 9 13 3" xfId="24836" xr:uid="{00000000-0005-0000-0000-00006AA10000}"/>
    <cellStyle name="Separador de milhares 3 9 13 3 2" xfId="51020" xr:uid="{00000000-0005-0000-0000-00006BA10000}"/>
    <cellStyle name="Separador de milhares 3 9 13 4" xfId="18922" xr:uid="{00000000-0005-0000-0000-00006CA10000}"/>
    <cellStyle name="Separador de milhares 3 9 13 4 2" xfId="45112" xr:uid="{00000000-0005-0000-0000-00006DA10000}"/>
    <cellStyle name="Separador de milhares 3 9 13 5" xfId="12812" xr:uid="{00000000-0005-0000-0000-00006EA10000}"/>
    <cellStyle name="Separador de milhares 3 9 13 5 2" xfId="39005" xr:uid="{00000000-0005-0000-0000-00006FA10000}"/>
    <cellStyle name="Separador de milhares 3 9 13 6" xfId="32619" xr:uid="{00000000-0005-0000-0000-000070A10000}"/>
    <cellStyle name="Separador de milhares 3 9 14" xfId="8108" xr:uid="{00000000-0005-0000-0000-000071A10000}"/>
    <cellStyle name="Separador de milhares 3 9 14 2" xfId="26322" xr:uid="{00000000-0005-0000-0000-000072A10000}"/>
    <cellStyle name="Separador de milhares 3 9 14 2 2" xfId="52506" xr:uid="{00000000-0005-0000-0000-000073A10000}"/>
    <cellStyle name="Separador de milhares 3 9 14 3" xfId="20408" xr:uid="{00000000-0005-0000-0000-000074A10000}"/>
    <cellStyle name="Separador de milhares 3 9 14 3 2" xfId="46598" xr:uid="{00000000-0005-0000-0000-000075A10000}"/>
    <cellStyle name="Separador de milhares 3 9 14 4" xfId="14497" xr:uid="{00000000-0005-0000-0000-000076A10000}"/>
    <cellStyle name="Separador de milhares 3 9 14 4 2" xfId="40690" xr:uid="{00000000-0005-0000-0000-000077A10000}"/>
    <cellStyle name="Separador de milhares 3 9 14 5" xfId="34304" xr:uid="{00000000-0005-0000-0000-000078A10000}"/>
    <cellStyle name="Separador de milhares 3 9 15" xfId="4721" xr:uid="{00000000-0005-0000-0000-000079A10000}"/>
    <cellStyle name="Separador de milhares 3 9 15 2" xfId="23365" xr:uid="{00000000-0005-0000-0000-00007AA10000}"/>
    <cellStyle name="Separador de milhares 3 9 15 2 2" xfId="49552" xr:uid="{00000000-0005-0000-0000-00007BA10000}"/>
    <cellStyle name="Separador de milhares 3 9 15 3" xfId="30920" xr:uid="{00000000-0005-0000-0000-00007CA10000}"/>
    <cellStyle name="Separador de milhares 3 9 16" xfId="17451" xr:uid="{00000000-0005-0000-0000-00007DA10000}"/>
    <cellStyle name="Separador de milhares 3 9 16 2" xfId="43644" xr:uid="{00000000-0005-0000-0000-00007EA10000}"/>
    <cellStyle name="Separador de milhares 3 9 17" xfId="11111" xr:uid="{00000000-0005-0000-0000-00007FA10000}"/>
    <cellStyle name="Separador de milhares 3 9 17 2" xfId="37304" xr:uid="{00000000-0005-0000-0000-000080A10000}"/>
    <cellStyle name="Separador de milhares 3 9 18" xfId="29222" xr:uid="{00000000-0005-0000-0000-000081A10000}"/>
    <cellStyle name="Separador de milhares 3 9 2" xfId="165" xr:uid="{00000000-0005-0000-0000-000082A10000}"/>
    <cellStyle name="Separador de milhares 3 9 2 10" xfId="6452" xr:uid="{00000000-0005-0000-0000-000083A10000}"/>
    <cellStyle name="Separador de milhares 3 9 2 10 2" xfId="9606" xr:uid="{00000000-0005-0000-0000-000084A10000}"/>
    <cellStyle name="Separador de milhares 3 9 2 10 2 2" xfId="27820" xr:uid="{00000000-0005-0000-0000-000085A10000}"/>
    <cellStyle name="Separador de milhares 3 9 2 10 2 2 2" xfId="54001" xr:uid="{00000000-0005-0000-0000-000086A10000}"/>
    <cellStyle name="Separador de milhares 3 9 2 10 2 3" xfId="21906" xr:uid="{00000000-0005-0000-0000-000087A10000}"/>
    <cellStyle name="Separador de milhares 3 9 2 10 2 3 2" xfId="48093" xr:uid="{00000000-0005-0000-0000-000088A10000}"/>
    <cellStyle name="Separador de milhares 3 9 2 10 2 4" xfId="15992" xr:uid="{00000000-0005-0000-0000-000089A10000}"/>
    <cellStyle name="Separador de milhares 3 9 2 10 2 4 2" xfId="42185" xr:uid="{00000000-0005-0000-0000-00008AA10000}"/>
    <cellStyle name="Separador de milhares 3 9 2 10 2 5" xfId="35799" xr:uid="{00000000-0005-0000-0000-00008BA10000}"/>
    <cellStyle name="Separador de milhares 3 9 2 10 3" xfId="24863" xr:uid="{00000000-0005-0000-0000-00008CA10000}"/>
    <cellStyle name="Separador de milhares 3 9 2 10 3 2" xfId="51047" xr:uid="{00000000-0005-0000-0000-00008DA10000}"/>
    <cellStyle name="Separador de milhares 3 9 2 10 4" xfId="18949" xr:uid="{00000000-0005-0000-0000-00008EA10000}"/>
    <cellStyle name="Separador de milhares 3 9 2 10 4 2" xfId="45139" xr:uid="{00000000-0005-0000-0000-00008FA10000}"/>
    <cellStyle name="Separador de milhares 3 9 2 10 5" xfId="12841" xr:uid="{00000000-0005-0000-0000-000090A10000}"/>
    <cellStyle name="Separador de milhares 3 9 2 10 5 2" xfId="39034" xr:uid="{00000000-0005-0000-0000-000091A10000}"/>
    <cellStyle name="Separador de milhares 3 9 2 10 6" xfId="32648" xr:uid="{00000000-0005-0000-0000-000092A10000}"/>
    <cellStyle name="Separador de milhares 3 9 2 11" xfId="8135" xr:uid="{00000000-0005-0000-0000-000093A10000}"/>
    <cellStyle name="Separador de milhares 3 9 2 11 2" xfId="26349" xr:uid="{00000000-0005-0000-0000-000094A10000}"/>
    <cellStyle name="Separador de milhares 3 9 2 11 2 2" xfId="52533" xr:uid="{00000000-0005-0000-0000-000095A10000}"/>
    <cellStyle name="Separador de milhares 3 9 2 11 3" xfId="20435" xr:uid="{00000000-0005-0000-0000-000096A10000}"/>
    <cellStyle name="Separador de milhares 3 9 2 11 3 2" xfId="46625" xr:uid="{00000000-0005-0000-0000-000097A10000}"/>
    <cellStyle name="Separador de milhares 3 9 2 11 4" xfId="14524" xr:uid="{00000000-0005-0000-0000-000098A10000}"/>
    <cellStyle name="Separador de milhares 3 9 2 11 4 2" xfId="40717" xr:uid="{00000000-0005-0000-0000-000099A10000}"/>
    <cellStyle name="Separador de milhares 3 9 2 11 5" xfId="34331" xr:uid="{00000000-0005-0000-0000-00009AA10000}"/>
    <cellStyle name="Separador de milhares 3 9 2 12" xfId="4751" xr:uid="{00000000-0005-0000-0000-00009BA10000}"/>
    <cellStyle name="Separador de milhares 3 9 2 12 2" xfId="23392" xr:uid="{00000000-0005-0000-0000-00009CA10000}"/>
    <cellStyle name="Separador de milhares 3 9 2 12 2 2" xfId="49579" xr:uid="{00000000-0005-0000-0000-00009DA10000}"/>
    <cellStyle name="Separador de milhares 3 9 2 12 3" xfId="30949" xr:uid="{00000000-0005-0000-0000-00009EA10000}"/>
    <cellStyle name="Separador de milhares 3 9 2 13" xfId="17478" xr:uid="{00000000-0005-0000-0000-00009FA10000}"/>
    <cellStyle name="Separador de milhares 3 9 2 13 2" xfId="43671" xr:uid="{00000000-0005-0000-0000-0000A0A10000}"/>
    <cellStyle name="Separador de milhares 3 9 2 14" xfId="11140" xr:uid="{00000000-0005-0000-0000-0000A1A10000}"/>
    <cellStyle name="Separador de milhares 3 9 2 14 2" xfId="37333" xr:uid="{00000000-0005-0000-0000-0000A2A10000}"/>
    <cellStyle name="Separador de milhares 3 9 2 15" xfId="29252" xr:uid="{00000000-0005-0000-0000-0000A3A10000}"/>
    <cellStyle name="Separador de milhares 3 9 2 2" xfId="438" xr:uid="{00000000-0005-0000-0000-0000A4A10000}"/>
    <cellStyle name="Separador de milhares 3 9 2 2 10" xfId="17552" xr:uid="{00000000-0005-0000-0000-0000A5A10000}"/>
    <cellStyle name="Separador de milhares 3 9 2 2 10 2" xfId="43745" xr:uid="{00000000-0005-0000-0000-0000A6A10000}"/>
    <cellStyle name="Separador de milhares 3 9 2 2 11" xfId="11221" xr:uid="{00000000-0005-0000-0000-0000A7A10000}"/>
    <cellStyle name="Separador de milhares 3 9 2 2 11 2" xfId="37414" xr:uid="{00000000-0005-0000-0000-0000A8A10000}"/>
    <cellStyle name="Separador de milhares 3 9 2 2 12" xfId="29332" xr:uid="{00000000-0005-0000-0000-0000A9A10000}"/>
    <cellStyle name="Separador de milhares 3 9 2 2 2" xfId="1957" xr:uid="{00000000-0005-0000-0000-0000AAA10000}"/>
    <cellStyle name="Separador de milhares 3 9 2 2 2 2" xfId="6971" xr:uid="{00000000-0005-0000-0000-0000ABA10000}"/>
    <cellStyle name="Separador de milhares 3 9 2 2 2 2 2" xfId="10118" xr:uid="{00000000-0005-0000-0000-0000ACA10000}"/>
    <cellStyle name="Separador de milhares 3 9 2 2 2 2 2 2" xfId="28332" xr:uid="{00000000-0005-0000-0000-0000ADA10000}"/>
    <cellStyle name="Separador de milhares 3 9 2 2 2 2 2 2 2" xfId="54513" xr:uid="{00000000-0005-0000-0000-0000AEA10000}"/>
    <cellStyle name="Separador de milhares 3 9 2 2 2 2 2 3" xfId="22418" xr:uid="{00000000-0005-0000-0000-0000AFA10000}"/>
    <cellStyle name="Separador de milhares 3 9 2 2 2 2 2 3 2" xfId="48605" xr:uid="{00000000-0005-0000-0000-0000B0A10000}"/>
    <cellStyle name="Separador de milhares 3 9 2 2 2 2 2 4" xfId="16504" xr:uid="{00000000-0005-0000-0000-0000B1A10000}"/>
    <cellStyle name="Separador de milhares 3 9 2 2 2 2 2 4 2" xfId="42697" xr:uid="{00000000-0005-0000-0000-0000B2A10000}"/>
    <cellStyle name="Separador de milhares 3 9 2 2 2 2 2 5" xfId="36311" xr:uid="{00000000-0005-0000-0000-0000B3A10000}"/>
    <cellStyle name="Separador de milhares 3 9 2 2 2 2 3" xfId="25375" xr:uid="{00000000-0005-0000-0000-0000B4A10000}"/>
    <cellStyle name="Separador de milhares 3 9 2 2 2 2 3 2" xfId="51559" xr:uid="{00000000-0005-0000-0000-0000B5A10000}"/>
    <cellStyle name="Separador de milhares 3 9 2 2 2 2 4" xfId="19461" xr:uid="{00000000-0005-0000-0000-0000B6A10000}"/>
    <cellStyle name="Separador de milhares 3 9 2 2 2 2 4 2" xfId="45651" xr:uid="{00000000-0005-0000-0000-0000B7A10000}"/>
    <cellStyle name="Separador de milhares 3 9 2 2 2 2 5" xfId="13360" xr:uid="{00000000-0005-0000-0000-0000B8A10000}"/>
    <cellStyle name="Separador de milhares 3 9 2 2 2 2 5 2" xfId="39553" xr:uid="{00000000-0005-0000-0000-0000B9A10000}"/>
    <cellStyle name="Separador de milhares 3 9 2 2 2 2 6" xfId="33167" xr:uid="{00000000-0005-0000-0000-0000BAA10000}"/>
    <cellStyle name="Separador de milhares 3 9 2 2 2 3" xfId="8650" xr:uid="{00000000-0005-0000-0000-0000BBA10000}"/>
    <cellStyle name="Separador de milhares 3 9 2 2 2 3 2" xfId="26864" xr:uid="{00000000-0005-0000-0000-0000BCA10000}"/>
    <cellStyle name="Separador de milhares 3 9 2 2 2 3 2 2" xfId="53045" xr:uid="{00000000-0005-0000-0000-0000BDA10000}"/>
    <cellStyle name="Separador de milhares 3 9 2 2 2 3 3" xfId="20950" xr:uid="{00000000-0005-0000-0000-0000BEA10000}"/>
    <cellStyle name="Separador de milhares 3 9 2 2 2 3 3 2" xfId="47137" xr:uid="{00000000-0005-0000-0000-0000BFA10000}"/>
    <cellStyle name="Separador de milhares 3 9 2 2 2 3 4" xfId="15036" xr:uid="{00000000-0005-0000-0000-0000C0A10000}"/>
    <cellStyle name="Separador de milhares 3 9 2 2 2 3 4 2" xfId="41229" xr:uid="{00000000-0005-0000-0000-0000C1A10000}"/>
    <cellStyle name="Separador de milhares 3 9 2 2 2 3 5" xfId="34843" xr:uid="{00000000-0005-0000-0000-0000C2A10000}"/>
    <cellStyle name="Separador de milhares 3 9 2 2 2 4" xfId="5272" xr:uid="{00000000-0005-0000-0000-0000C3A10000}"/>
    <cellStyle name="Separador de milhares 3 9 2 2 2 4 2" xfId="23907" xr:uid="{00000000-0005-0000-0000-0000C4A10000}"/>
    <cellStyle name="Separador de milhares 3 9 2 2 2 4 2 2" xfId="50091" xr:uid="{00000000-0005-0000-0000-0000C5A10000}"/>
    <cellStyle name="Separador de milhares 3 9 2 2 2 4 3" xfId="31468" xr:uid="{00000000-0005-0000-0000-0000C6A10000}"/>
    <cellStyle name="Separador de milhares 3 9 2 2 2 5" xfId="17993" xr:uid="{00000000-0005-0000-0000-0000C7A10000}"/>
    <cellStyle name="Separador de milhares 3 9 2 2 2 5 2" xfId="44183" xr:uid="{00000000-0005-0000-0000-0000C8A10000}"/>
    <cellStyle name="Separador de milhares 3 9 2 2 2 6" xfId="11659" xr:uid="{00000000-0005-0000-0000-0000C9A10000}"/>
    <cellStyle name="Separador de milhares 3 9 2 2 2 6 2" xfId="37852" xr:uid="{00000000-0005-0000-0000-0000CAA10000}"/>
    <cellStyle name="Separador de milhares 3 9 2 2 2 7" xfId="29770" xr:uid="{00000000-0005-0000-0000-0000CBA10000}"/>
    <cellStyle name="Separador de milhares 3 9 2 2 3" xfId="2487" xr:uid="{00000000-0005-0000-0000-0000CCA10000}"/>
    <cellStyle name="Separador de milhares 3 9 2 2 3 2" xfId="7121" xr:uid="{00000000-0005-0000-0000-0000CDA10000}"/>
    <cellStyle name="Separador de milhares 3 9 2 2 3 2 2" xfId="10265" xr:uid="{00000000-0005-0000-0000-0000CEA10000}"/>
    <cellStyle name="Separador de milhares 3 9 2 2 3 2 2 2" xfId="28479" xr:uid="{00000000-0005-0000-0000-0000CFA10000}"/>
    <cellStyle name="Separador de milhares 3 9 2 2 3 2 2 2 2" xfId="54660" xr:uid="{00000000-0005-0000-0000-0000D0A10000}"/>
    <cellStyle name="Separador de milhares 3 9 2 2 3 2 2 3" xfId="22565" xr:uid="{00000000-0005-0000-0000-0000D1A10000}"/>
    <cellStyle name="Separador de milhares 3 9 2 2 3 2 2 3 2" xfId="48752" xr:uid="{00000000-0005-0000-0000-0000D2A10000}"/>
    <cellStyle name="Separador de milhares 3 9 2 2 3 2 2 4" xfId="16651" xr:uid="{00000000-0005-0000-0000-0000D3A10000}"/>
    <cellStyle name="Separador de milhares 3 9 2 2 3 2 2 4 2" xfId="42844" xr:uid="{00000000-0005-0000-0000-0000D4A10000}"/>
    <cellStyle name="Separador de milhares 3 9 2 2 3 2 2 5" xfId="36458" xr:uid="{00000000-0005-0000-0000-0000D5A10000}"/>
    <cellStyle name="Separador de milhares 3 9 2 2 3 2 3" xfId="25522" xr:uid="{00000000-0005-0000-0000-0000D6A10000}"/>
    <cellStyle name="Separador de milhares 3 9 2 2 3 2 3 2" xfId="51706" xr:uid="{00000000-0005-0000-0000-0000D7A10000}"/>
    <cellStyle name="Separador de milhares 3 9 2 2 3 2 4" xfId="19608" xr:uid="{00000000-0005-0000-0000-0000D8A10000}"/>
    <cellStyle name="Separador de milhares 3 9 2 2 3 2 4 2" xfId="45798" xr:uid="{00000000-0005-0000-0000-0000D9A10000}"/>
    <cellStyle name="Separador de milhares 3 9 2 2 3 2 5" xfId="13510" xr:uid="{00000000-0005-0000-0000-0000DAA10000}"/>
    <cellStyle name="Separador de milhares 3 9 2 2 3 2 5 2" xfId="39703" xr:uid="{00000000-0005-0000-0000-0000DBA10000}"/>
    <cellStyle name="Separador de milhares 3 9 2 2 3 2 6" xfId="33317" xr:uid="{00000000-0005-0000-0000-0000DCA10000}"/>
    <cellStyle name="Separador de milhares 3 9 2 2 3 3" xfId="8797" xr:uid="{00000000-0005-0000-0000-0000DDA10000}"/>
    <cellStyle name="Separador de milhares 3 9 2 2 3 3 2" xfId="27011" xr:uid="{00000000-0005-0000-0000-0000DEA10000}"/>
    <cellStyle name="Separador de milhares 3 9 2 2 3 3 2 2" xfId="53192" xr:uid="{00000000-0005-0000-0000-0000DFA10000}"/>
    <cellStyle name="Separador de milhares 3 9 2 2 3 3 3" xfId="21097" xr:uid="{00000000-0005-0000-0000-0000E0A10000}"/>
    <cellStyle name="Separador de milhares 3 9 2 2 3 3 3 2" xfId="47284" xr:uid="{00000000-0005-0000-0000-0000E1A10000}"/>
    <cellStyle name="Separador de milhares 3 9 2 2 3 3 4" xfId="15183" xr:uid="{00000000-0005-0000-0000-0000E2A10000}"/>
    <cellStyle name="Separador de milhares 3 9 2 2 3 3 4 2" xfId="41376" xr:uid="{00000000-0005-0000-0000-0000E3A10000}"/>
    <cellStyle name="Separador de milhares 3 9 2 2 3 3 5" xfId="34990" xr:uid="{00000000-0005-0000-0000-0000E4A10000}"/>
    <cellStyle name="Separador de milhares 3 9 2 2 3 4" xfId="5422" xr:uid="{00000000-0005-0000-0000-0000E5A10000}"/>
    <cellStyle name="Separador de milhares 3 9 2 2 3 4 2" xfId="24054" xr:uid="{00000000-0005-0000-0000-0000E6A10000}"/>
    <cellStyle name="Separador de milhares 3 9 2 2 3 4 2 2" xfId="50238" xr:uid="{00000000-0005-0000-0000-0000E7A10000}"/>
    <cellStyle name="Separador de milhares 3 9 2 2 3 4 3" xfId="31618" xr:uid="{00000000-0005-0000-0000-0000E8A10000}"/>
    <cellStyle name="Separador de milhares 3 9 2 2 3 5" xfId="18140" xr:uid="{00000000-0005-0000-0000-0000E9A10000}"/>
    <cellStyle name="Separador de milhares 3 9 2 2 3 5 2" xfId="44330" xr:uid="{00000000-0005-0000-0000-0000EAA10000}"/>
    <cellStyle name="Separador de milhares 3 9 2 2 3 6" xfId="11809" xr:uid="{00000000-0005-0000-0000-0000EBA10000}"/>
    <cellStyle name="Separador de milhares 3 9 2 2 3 6 2" xfId="38002" xr:uid="{00000000-0005-0000-0000-0000ECA10000}"/>
    <cellStyle name="Separador de milhares 3 9 2 2 3 7" xfId="29920" xr:uid="{00000000-0005-0000-0000-0000EDA10000}"/>
    <cellStyle name="Separador de milhares 3 9 2 2 4" xfId="3014" xr:uid="{00000000-0005-0000-0000-0000EEA10000}"/>
    <cellStyle name="Separador de milhares 3 9 2 2 4 2" xfId="7268" xr:uid="{00000000-0005-0000-0000-0000EFA10000}"/>
    <cellStyle name="Separador de milhares 3 9 2 2 4 2 2" xfId="10412" xr:uid="{00000000-0005-0000-0000-0000F0A10000}"/>
    <cellStyle name="Separador de milhares 3 9 2 2 4 2 2 2" xfId="28626" xr:uid="{00000000-0005-0000-0000-0000F1A10000}"/>
    <cellStyle name="Separador de milhares 3 9 2 2 4 2 2 2 2" xfId="54807" xr:uid="{00000000-0005-0000-0000-0000F2A10000}"/>
    <cellStyle name="Separador de milhares 3 9 2 2 4 2 2 3" xfId="22712" xr:uid="{00000000-0005-0000-0000-0000F3A10000}"/>
    <cellStyle name="Separador de milhares 3 9 2 2 4 2 2 3 2" xfId="48899" xr:uid="{00000000-0005-0000-0000-0000F4A10000}"/>
    <cellStyle name="Separador de milhares 3 9 2 2 4 2 2 4" xfId="16798" xr:uid="{00000000-0005-0000-0000-0000F5A10000}"/>
    <cellStyle name="Separador de milhares 3 9 2 2 4 2 2 4 2" xfId="42991" xr:uid="{00000000-0005-0000-0000-0000F6A10000}"/>
    <cellStyle name="Separador de milhares 3 9 2 2 4 2 2 5" xfId="36605" xr:uid="{00000000-0005-0000-0000-0000F7A10000}"/>
    <cellStyle name="Separador de milhares 3 9 2 2 4 2 3" xfId="25669" xr:uid="{00000000-0005-0000-0000-0000F8A10000}"/>
    <cellStyle name="Separador de milhares 3 9 2 2 4 2 3 2" xfId="51853" xr:uid="{00000000-0005-0000-0000-0000F9A10000}"/>
    <cellStyle name="Separador de milhares 3 9 2 2 4 2 4" xfId="19755" xr:uid="{00000000-0005-0000-0000-0000FAA10000}"/>
    <cellStyle name="Separador de milhares 3 9 2 2 4 2 4 2" xfId="45945" xr:uid="{00000000-0005-0000-0000-0000FBA10000}"/>
    <cellStyle name="Separador de milhares 3 9 2 2 4 2 5" xfId="13657" xr:uid="{00000000-0005-0000-0000-0000FCA10000}"/>
    <cellStyle name="Separador de milhares 3 9 2 2 4 2 5 2" xfId="39850" xr:uid="{00000000-0005-0000-0000-0000FDA10000}"/>
    <cellStyle name="Separador de milhares 3 9 2 2 4 2 6" xfId="33464" xr:uid="{00000000-0005-0000-0000-0000FEA10000}"/>
    <cellStyle name="Separador de milhares 3 9 2 2 4 3" xfId="8944" xr:uid="{00000000-0005-0000-0000-0000FFA10000}"/>
    <cellStyle name="Separador de milhares 3 9 2 2 4 3 2" xfId="27158" xr:uid="{00000000-0005-0000-0000-000000A20000}"/>
    <cellStyle name="Separador de milhares 3 9 2 2 4 3 2 2" xfId="53339" xr:uid="{00000000-0005-0000-0000-000001A20000}"/>
    <cellStyle name="Separador de milhares 3 9 2 2 4 3 3" xfId="21244" xr:uid="{00000000-0005-0000-0000-000002A20000}"/>
    <cellStyle name="Separador de milhares 3 9 2 2 4 3 3 2" xfId="47431" xr:uid="{00000000-0005-0000-0000-000003A20000}"/>
    <cellStyle name="Separador de milhares 3 9 2 2 4 3 4" xfId="15330" xr:uid="{00000000-0005-0000-0000-000004A20000}"/>
    <cellStyle name="Separador de milhares 3 9 2 2 4 3 4 2" xfId="41523" xr:uid="{00000000-0005-0000-0000-000005A20000}"/>
    <cellStyle name="Separador de milhares 3 9 2 2 4 3 5" xfId="35137" xr:uid="{00000000-0005-0000-0000-000006A20000}"/>
    <cellStyle name="Separador de milhares 3 9 2 2 4 4" xfId="5569" xr:uid="{00000000-0005-0000-0000-000007A20000}"/>
    <cellStyle name="Separador de milhares 3 9 2 2 4 4 2" xfId="24201" xr:uid="{00000000-0005-0000-0000-000008A20000}"/>
    <cellStyle name="Separador de milhares 3 9 2 2 4 4 2 2" xfId="50385" xr:uid="{00000000-0005-0000-0000-000009A20000}"/>
    <cellStyle name="Separador de milhares 3 9 2 2 4 4 3" xfId="31765" xr:uid="{00000000-0005-0000-0000-00000AA20000}"/>
    <cellStyle name="Separador de milhares 3 9 2 2 4 5" xfId="18287" xr:uid="{00000000-0005-0000-0000-00000BA20000}"/>
    <cellStyle name="Separador de milhares 3 9 2 2 4 5 2" xfId="44477" xr:uid="{00000000-0005-0000-0000-00000CA20000}"/>
    <cellStyle name="Separador de milhares 3 9 2 2 4 6" xfId="11956" xr:uid="{00000000-0005-0000-0000-00000DA20000}"/>
    <cellStyle name="Separador de milhares 3 9 2 2 4 6 2" xfId="38149" xr:uid="{00000000-0005-0000-0000-00000EA20000}"/>
    <cellStyle name="Separador de milhares 3 9 2 2 4 7" xfId="30067" xr:uid="{00000000-0005-0000-0000-00000FA20000}"/>
    <cellStyle name="Separador de milhares 3 9 2 2 5" xfId="3541" xr:uid="{00000000-0005-0000-0000-000010A20000}"/>
    <cellStyle name="Separador de milhares 3 9 2 2 5 2" xfId="7415" xr:uid="{00000000-0005-0000-0000-000011A20000}"/>
    <cellStyle name="Separador de milhares 3 9 2 2 5 2 2" xfId="10559" xr:uid="{00000000-0005-0000-0000-000012A20000}"/>
    <cellStyle name="Separador de milhares 3 9 2 2 5 2 2 2" xfId="28773" xr:uid="{00000000-0005-0000-0000-000013A20000}"/>
    <cellStyle name="Separador de milhares 3 9 2 2 5 2 2 2 2" xfId="54954" xr:uid="{00000000-0005-0000-0000-000014A20000}"/>
    <cellStyle name="Separador de milhares 3 9 2 2 5 2 2 3" xfId="22859" xr:uid="{00000000-0005-0000-0000-000015A20000}"/>
    <cellStyle name="Separador de milhares 3 9 2 2 5 2 2 3 2" xfId="49046" xr:uid="{00000000-0005-0000-0000-000016A20000}"/>
    <cellStyle name="Separador de milhares 3 9 2 2 5 2 2 4" xfId="16945" xr:uid="{00000000-0005-0000-0000-000017A20000}"/>
    <cellStyle name="Separador de milhares 3 9 2 2 5 2 2 4 2" xfId="43138" xr:uid="{00000000-0005-0000-0000-000018A20000}"/>
    <cellStyle name="Separador de milhares 3 9 2 2 5 2 2 5" xfId="36752" xr:uid="{00000000-0005-0000-0000-000019A20000}"/>
    <cellStyle name="Separador de milhares 3 9 2 2 5 2 3" xfId="25816" xr:uid="{00000000-0005-0000-0000-00001AA20000}"/>
    <cellStyle name="Separador de milhares 3 9 2 2 5 2 3 2" xfId="52000" xr:uid="{00000000-0005-0000-0000-00001BA20000}"/>
    <cellStyle name="Separador de milhares 3 9 2 2 5 2 4" xfId="19902" xr:uid="{00000000-0005-0000-0000-00001CA20000}"/>
    <cellStyle name="Separador de milhares 3 9 2 2 5 2 4 2" xfId="46092" xr:uid="{00000000-0005-0000-0000-00001DA20000}"/>
    <cellStyle name="Separador de milhares 3 9 2 2 5 2 5" xfId="13804" xr:uid="{00000000-0005-0000-0000-00001EA20000}"/>
    <cellStyle name="Separador de milhares 3 9 2 2 5 2 5 2" xfId="39997" xr:uid="{00000000-0005-0000-0000-00001FA20000}"/>
    <cellStyle name="Separador de milhares 3 9 2 2 5 2 6" xfId="33611" xr:uid="{00000000-0005-0000-0000-000020A20000}"/>
    <cellStyle name="Separador de milhares 3 9 2 2 5 3" xfId="9091" xr:uid="{00000000-0005-0000-0000-000021A20000}"/>
    <cellStyle name="Separador de milhares 3 9 2 2 5 3 2" xfId="27305" xr:uid="{00000000-0005-0000-0000-000022A20000}"/>
    <cellStyle name="Separador de milhares 3 9 2 2 5 3 2 2" xfId="53486" xr:uid="{00000000-0005-0000-0000-000023A20000}"/>
    <cellStyle name="Separador de milhares 3 9 2 2 5 3 3" xfId="21391" xr:uid="{00000000-0005-0000-0000-000024A20000}"/>
    <cellStyle name="Separador de milhares 3 9 2 2 5 3 3 2" xfId="47578" xr:uid="{00000000-0005-0000-0000-000025A20000}"/>
    <cellStyle name="Separador de milhares 3 9 2 2 5 3 4" xfId="15477" xr:uid="{00000000-0005-0000-0000-000026A20000}"/>
    <cellStyle name="Separador de milhares 3 9 2 2 5 3 4 2" xfId="41670" xr:uid="{00000000-0005-0000-0000-000027A20000}"/>
    <cellStyle name="Separador de milhares 3 9 2 2 5 3 5" xfId="35284" xr:uid="{00000000-0005-0000-0000-000028A20000}"/>
    <cellStyle name="Separador de milhares 3 9 2 2 5 4" xfId="5716" xr:uid="{00000000-0005-0000-0000-000029A20000}"/>
    <cellStyle name="Separador de milhares 3 9 2 2 5 4 2" xfId="24348" xr:uid="{00000000-0005-0000-0000-00002AA20000}"/>
    <cellStyle name="Separador de milhares 3 9 2 2 5 4 2 2" xfId="50532" xr:uid="{00000000-0005-0000-0000-00002BA20000}"/>
    <cellStyle name="Separador de milhares 3 9 2 2 5 4 3" xfId="31912" xr:uid="{00000000-0005-0000-0000-00002CA20000}"/>
    <cellStyle name="Separador de milhares 3 9 2 2 5 5" xfId="18434" xr:uid="{00000000-0005-0000-0000-00002DA20000}"/>
    <cellStyle name="Separador de milhares 3 9 2 2 5 5 2" xfId="44624" xr:uid="{00000000-0005-0000-0000-00002EA20000}"/>
    <cellStyle name="Separador de milhares 3 9 2 2 5 6" xfId="12103" xr:uid="{00000000-0005-0000-0000-00002FA20000}"/>
    <cellStyle name="Separador de milhares 3 9 2 2 5 6 2" xfId="38296" xr:uid="{00000000-0005-0000-0000-000030A20000}"/>
    <cellStyle name="Separador de milhares 3 9 2 2 5 7" xfId="30214" xr:uid="{00000000-0005-0000-0000-000031A20000}"/>
    <cellStyle name="Separador de milhares 3 9 2 2 6" xfId="4068" xr:uid="{00000000-0005-0000-0000-000032A20000}"/>
    <cellStyle name="Separador de milhares 3 9 2 2 6 2" xfId="7562" xr:uid="{00000000-0005-0000-0000-000033A20000}"/>
    <cellStyle name="Separador de milhares 3 9 2 2 6 2 2" xfId="10706" xr:uid="{00000000-0005-0000-0000-000034A20000}"/>
    <cellStyle name="Separador de milhares 3 9 2 2 6 2 2 2" xfId="28920" xr:uid="{00000000-0005-0000-0000-000035A20000}"/>
    <cellStyle name="Separador de milhares 3 9 2 2 6 2 2 2 2" xfId="55101" xr:uid="{00000000-0005-0000-0000-000036A20000}"/>
    <cellStyle name="Separador de milhares 3 9 2 2 6 2 2 3" xfId="23006" xr:uid="{00000000-0005-0000-0000-000037A20000}"/>
    <cellStyle name="Separador de milhares 3 9 2 2 6 2 2 3 2" xfId="49193" xr:uid="{00000000-0005-0000-0000-000038A20000}"/>
    <cellStyle name="Separador de milhares 3 9 2 2 6 2 2 4" xfId="17092" xr:uid="{00000000-0005-0000-0000-000039A20000}"/>
    <cellStyle name="Separador de milhares 3 9 2 2 6 2 2 4 2" xfId="43285" xr:uid="{00000000-0005-0000-0000-00003AA20000}"/>
    <cellStyle name="Separador de milhares 3 9 2 2 6 2 2 5" xfId="36899" xr:uid="{00000000-0005-0000-0000-00003BA20000}"/>
    <cellStyle name="Separador de milhares 3 9 2 2 6 2 3" xfId="25963" xr:uid="{00000000-0005-0000-0000-00003CA20000}"/>
    <cellStyle name="Separador de milhares 3 9 2 2 6 2 3 2" xfId="52147" xr:uid="{00000000-0005-0000-0000-00003DA20000}"/>
    <cellStyle name="Separador de milhares 3 9 2 2 6 2 4" xfId="20049" xr:uid="{00000000-0005-0000-0000-00003EA20000}"/>
    <cellStyle name="Separador de milhares 3 9 2 2 6 2 4 2" xfId="46239" xr:uid="{00000000-0005-0000-0000-00003FA20000}"/>
    <cellStyle name="Separador de milhares 3 9 2 2 6 2 5" xfId="13951" xr:uid="{00000000-0005-0000-0000-000040A20000}"/>
    <cellStyle name="Separador de milhares 3 9 2 2 6 2 5 2" xfId="40144" xr:uid="{00000000-0005-0000-0000-000041A20000}"/>
    <cellStyle name="Separador de milhares 3 9 2 2 6 2 6" xfId="33758" xr:uid="{00000000-0005-0000-0000-000042A20000}"/>
    <cellStyle name="Separador de milhares 3 9 2 2 6 3" xfId="9238" xr:uid="{00000000-0005-0000-0000-000043A20000}"/>
    <cellStyle name="Separador de milhares 3 9 2 2 6 3 2" xfId="27452" xr:uid="{00000000-0005-0000-0000-000044A20000}"/>
    <cellStyle name="Separador de milhares 3 9 2 2 6 3 2 2" xfId="53633" xr:uid="{00000000-0005-0000-0000-000045A20000}"/>
    <cellStyle name="Separador de milhares 3 9 2 2 6 3 3" xfId="21538" xr:uid="{00000000-0005-0000-0000-000046A20000}"/>
    <cellStyle name="Separador de milhares 3 9 2 2 6 3 3 2" xfId="47725" xr:uid="{00000000-0005-0000-0000-000047A20000}"/>
    <cellStyle name="Separador de milhares 3 9 2 2 6 3 4" xfId="15624" xr:uid="{00000000-0005-0000-0000-000048A20000}"/>
    <cellStyle name="Separador de milhares 3 9 2 2 6 3 4 2" xfId="41817" xr:uid="{00000000-0005-0000-0000-000049A20000}"/>
    <cellStyle name="Separador de milhares 3 9 2 2 6 3 5" xfId="35431" xr:uid="{00000000-0005-0000-0000-00004AA20000}"/>
    <cellStyle name="Separador de milhares 3 9 2 2 6 4" xfId="5863" xr:uid="{00000000-0005-0000-0000-00004BA20000}"/>
    <cellStyle name="Separador de milhares 3 9 2 2 6 4 2" xfId="24495" xr:uid="{00000000-0005-0000-0000-00004CA20000}"/>
    <cellStyle name="Separador de milhares 3 9 2 2 6 4 2 2" xfId="50679" xr:uid="{00000000-0005-0000-0000-00004DA20000}"/>
    <cellStyle name="Separador de milhares 3 9 2 2 6 4 3" xfId="32059" xr:uid="{00000000-0005-0000-0000-00004EA20000}"/>
    <cellStyle name="Separador de milhares 3 9 2 2 6 5" xfId="18581" xr:uid="{00000000-0005-0000-0000-00004FA20000}"/>
    <cellStyle name="Separador de milhares 3 9 2 2 6 5 2" xfId="44771" xr:uid="{00000000-0005-0000-0000-000050A20000}"/>
    <cellStyle name="Separador de milhares 3 9 2 2 6 6" xfId="12250" xr:uid="{00000000-0005-0000-0000-000051A20000}"/>
    <cellStyle name="Separador de milhares 3 9 2 2 6 6 2" xfId="38443" xr:uid="{00000000-0005-0000-0000-000052A20000}"/>
    <cellStyle name="Separador de milhares 3 9 2 2 6 7" xfId="30361" xr:uid="{00000000-0005-0000-0000-000053A20000}"/>
    <cellStyle name="Separador de milhares 3 9 2 2 7" xfId="6533" xr:uid="{00000000-0005-0000-0000-000054A20000}"/>
    <cellStyle name="Separador de milhares 3 9 2 2 7 2" xfId="9680" xr:uid="{00000000-0005-0000-0000-000055A20000}"/>
    <cellStyle name="Separador de milhares 3 9 2 2 7 2 2" xfId="27894" xr:uid="{00000000-0005-0000-0000-000056A20000}"/>
    <cellStyle name="Separador de milhares 3 9 2 2 7 2 2 2" xfId="54075" xr:uid="{00000000-0005-0000-0000-000057A20000}"/>
    <cellStyle name="Separador de milhares 3 9 2 2 7 2 3" xfId="21980" xr:uid="{00000000-0005-0000-0000-000058A20000}"/>
    <cellStyle name="Separador de milhares 3 9 2 2 7 2 3 2" xfId="48167" xr:uid="{00000000-0005-0000-0000-000059A20000}"/>
    <cellStyle name="Separador de milhares 3 9 2 2 7 2 4" xfId="16066" xr:uid="{00000000-0005-0000-0000-00005AA20000}"/>
    <cellStyle name="Separador de milhares 3 9 2 2 7 2 4 2" xfId="42259" xr:uid="{00000000-0005-0000-0000-00005BA20000}"/>
    <cellStyle name="Separador de milhares 3 9 2 2 7 2 5" xfId="35873" xr:uid="{00000000-0005-0000-0000-00005CA20000}"/>
    <cellStyle name="Separador de milhares 3 9 2 2 7 3" xfId="24937" xr:uid="{00000000-0005-0000-0000-00005DA20000}"/>
    <cellStyle name="Separador de milhares 3 9 2 2 7 3 2" xfId="51121" xr:uid="{00000000-0005-0000-0000-00005EA20000}"/>
    <cellStyle name="Separador de milhares 3 9 2 2 7 4" xfId="19023" xr:uid="{00000000-0005-0000-0000-00005FA20000}"/>
    <cellStyle name="Separador de milhares 3 9 2 2 7 4 2" xfId="45213" xr:uid="{00000000-0005-0000-0000-000060A20000}"/>
    <cellStyle name="Separador de milhares 3 9 2 2 7 5" xfId="12922" xr:uid="{00000000-0005-0000-0000-000061A20000}"/>
    <cellStyle name="Separador de milhares 3 9 2 2 7 5 2" xfId="39115" xr:uid="{00000000-0005-0000-0000-000062A20000}"/>
    <cellStyle name="Separador de milhares 3 9 2 2 7 6" xfId="32729" xr:uid="{00000000-0005-0000-0000-000063A20000}"/>
    <cellStyle name="Separador de milhares 3 9 2 2 8" xfId="8209" xr:uid="{00000000-0005-0000-0000-000064A20000}"/>
    <cellStyle name="Separador de milhares 3 9 2 2 8 2" xfId="26423" xr:uid="{00000000-0005-0000-0000-000065A20000}"/>
    <cellStyle name="Separador de milhares 3 9 2 2 8 2 2" xfId="52607" xr:uid="{00000000-0005-0000-0000-000066A20000}"/>
    <cellStyle name="Separador de milhares 3 9 2 2 8 3" xfId="20509" xr:uid="{00000000-0005-0000-0000-000067A20000}"/>
    <cellStyle name="Separador de milhares 3 9 2 2 8 3 2" xfId="46699" xr:uid="{00000000-0005-0000-0000-000068A20000}"/>
    <cellStyle name="Separador de milhares 3 9 2 2 8 4" xfId="14598" xr:uid="{00000000-0005-0000-0000-000069A20000}"/>
    <cellStyle name="Separador de milhares 3 9 2 2 8 4 2" xfId="40791" xr:uid="{00000000-0005-0000-0000-00006AA20000}"/>
    <cellStyle name="Separador de milhares 3 9 2 2 8 5" xfId="34405" xr:uid="{00000000-0005-0000-0000-00006BA20000}"/>
    <cellStyle name="Separador de milhares 3 9 2 2 9" xfId="4832" xr:uid="{00000000-0005-0000-0000-00006CA20000}"/>
    <cellStyle name="Separador de milhares 3 9 2 2 9 2" xfId="23466" xr:uid="{00000000-0005-0000-0000-00006DA20000}"/>
    <cellStyle name="Separador de milhares 3 9 2 2 9 2 2" xfId="49653" xr:uid="{00000000-0005-0000-0000-00006EA20000}"/>
    <cellStyle name="Separador de milhares 3 9 2 2 9 3" xfId="31030" xr:uid="{00000000-0005-0000-0000-00006FA20000}"/>
    <cellStyle name="Separador de milhares 3 9 2 3" xfId="911" xr:uid="{00000000-0005-0000-0000-000070A20000}"/>
    <cellStyle name="Separador de milhares 3 9 2 3 2" xfId="6684" xr:uid="{00000000-0005-0000-0000-000071A20000}"/>
    <cellStyle name="Separador de milhares 3 9 2 3 2 2" xfId="9831" xr:uid="{00000000-0005-0000-0000-000072A20000}"/>
    <cellStyle name="Separador de milhares 3 9 2 3 2 2 2" xfId="28045" xr:uid="{00000000-0005-0000-0000-000073A20000}"/>
    <cellStyle name="Separador de milhares 3 9 2 3 2 2 2 2" xfId="54226" xr:uid="{00000000-0005-0000-0000-000074A20000}"/>
    <cellStyle name="Separador de milhares 3 9 2 3 2 2 3" xfId="22131" xr:uid="{00000000-0005-0000-0000-000075A20000}"/>
    <cellStyle name="Separador de milhares 3 9 2 3 2 2 3 2" xfId="48318" xr:uid="{00000000-0005-0000-0000-000076A20000}"/>
    <cellStyle name="Separador de milhares 3 9 2 3 2 2 4" xfId="16217" xr:uid="{00000000-0005-0000-0000-000077A20000}"/>
    <cellStyle name="Separador de milhares 3 9 2 3 2 2 4 2" xfId="42410" xr:uid="{00000000-0005-0000-0000-000078A20000}"/>
    <cellStyle name="Separador de milhares 3 9 2 3 2 2 5" xfId="36024" xr:uid="{00000000-0005-0000-0000-000079A20000}"/>
    <cellStyle name="Separador de milhares 3 9 2 3 2 3" xfId="25088" xr:uid="{00000000-0005-0000-0000-00007AA20000}"/>
    <cellStyle name="Separador de milhares 3 9 2 3 2 3 2" xfId="51272" xr:uid="{00000000-0005-0000-0000-00007BA20000}"/>
    <cellStyle name="Separador de milhares 3 9 2 3 2 4" xfId="19174" xr:uid="{00000000-0005-0000-0000-00007CA20000}"/>
    <cellStyle name="Separador de milhares 3 9 2 3 2 4 2" xfId="45364" xr:uid="{00000000-0005-0000-0000-00007DA20000}"/>
    <cellStyle name="Separador de milhares 3 9 2 3 2 5" xfId="13073" xr:uid="{00000000-0005-0000-0000-00007EA20000}"/>
    <cellStyle name="Separador de milhares 3 9 2 3 2 5 2" xfId="39266" xr:uid="{00000000-0005-0000-0000-00007FA20000}"/>
    <cellStyle name="Separador de milhares 3 9 2 3 2 6" xfId="32880" xr:uid="{00000000-0005-0000-0000-000080A20000}"/>
    <cellStyle name="Separador de milhares 3 9 2 3 3" xfId="8363" xr:uid="{00000000-0005-0000-0000-000081A20000}"/>
    <cellStyle name="Separador de milhares 3 9 2 3 3 2" xfId="26577" xr:uid="{00000000-0005-0000-0000-000082A20000}"/>
    <cellStyle name="Separador de milhares 3 9 2 3 3 2 2" xfId="52758" xr:uid="{00000000-0005-0000-0000-000083A20000}"/>
    <cellStyle name="Separador de milhares 3 9 2 3 3 3" xfId="20663" xr:uid="{00000000-0005-0000-0000-000084A20000}"/>
    <cellStyle name="Separador de milhares 3 9 2 3 3 3 2" xfId="46850" xr:uid="{00000000-0005-0000-0000-000085A20000}"/>
    <cellStyle name="Separador de milhares 3 9 2 3 3 4" xfId="14749" xr:uid="{00000000-0005-0000-0000-000086A20000}"/>
    <cellStyle name="Separador de milhares 3 9 2 3 3 4 2" xfId="40942" xr:uid="{00000000-0005-0000-0000-000087A20000}"/>
    <cellStyle name="Separador de milhares 3 9 2 3 3 5" xfId="34556" xr:uid="{00000000-0005-0000-0000-000088A20000}"/>
    <cellStyle name="Separador de milhares 3 9 2 3 4" xfId="4985" xr:uid="{00000000-0005-0000-0000-000089A20000}"/>
    <cellStyle name="Separador de milhares 3 9 2 3 4 2" xfId="23620" xr:uid="{00000000-0005-0000-0000-00008AA20000}"/>
    <cellStyle name="Separador de milhares 3 9 2 3 4 2 2" xfId="49804" xr:uid="{00000000-0005-0000-0000-00008BA20000}"/>
    <cellStyle name="Separador de milhares 3 9 2 3 4 3" xfId="31181" xr:uid="{00000000-0005-0000-0000-00008CA20000}"/>
    <cellStyle name="Separador de milhares 3 9 2 3 5" xfId="17706" xr:uid="{00000000-0005-0000-0000-00008DA20000}"/>
    <cellStyle name="Separador de milhares 3 9 2 3 5 2" xfId="43896" xr:uid="{00000000-0005-0000-0000-00008EA20000}"/>
    <cellStyle name="Separador de milhares 3 9 2 3 6" xfId="11372" xr:uid="{00000000-0005-0000-0000-00008FA20000}"/>
    <cellStyle name="Separador de milhares 3 9 2 3 6 2" xfId="37565" xr:uid="{00000000-0005-0000-0000-000090A20000}"/>
    <cellStyle name="Separador de milhares 3 9 2 3 7" xfId="29483" xr:uid="{00000000-0005-0000-0000-000091A20000}"/>
    <cellStyle name="Separador de milhares 3 9 2 4" xfId="1262" xr:uid="{00000000-0005-0000-0000-000092A20000}"/>
    <cellStyle name="Separador de milhares 3 9 2 4 2" xfId="6782" xr:uid="{00000000-0005-0000-0000-000093A20000}"/>
    <cellStyle name="Separador de milhares 3 9 2 4 2 2" xfId="9929" xr:uid="{00000000-0005-0000-0000-000094A20000}"/>
    <cellStyle name="Separador de milhares 3 9 2 4 2 2 2" xfId="28143" xr:uid="{00000000-0005-0000-0000-000095A20000}"/>
    <cellStyle name="Separador de milhares 3 9 2 4 2 2 2 2" xfId="54324" xr:uid="{00000000-0005-0000-0000-000096A20000}"/>
    <cellStyle name="Separador de milhares 3 9 2 4 2 2 3" xfId="22229" xr:uid="{00000000-0005-0000-0000-000097A20000}"/>
    <cellStyle name="Separador de milhares 3 9 2 4 2 2 3 2" xfId="48416" xr:uid="{00000000-0005-0000-0000-000098A20000}"/>
    <cellStyle name="Separador de milhares 3 9 2 4 2 2 4" xfId="16315" xr:uid="{00000000-0005-0000-0000-000099A20000}"/>
    <cellStyle name="Separador de milhares 3 9 2 4 2 2 4 2" xfId="42508" xr:uid="{00000000-0005-0000-0000-00009AA20000}"/>
    <cellStyle name="Separador de milhares 3 9 2 4 2 2 5" xfId="36122" xr:uid="{00000000-0005-0000-0000-00009BA20000}"/>
    <cellStyle name="Separador de milhares 3 9 2 4 2 3" xfId="25186" xr:uid="{00000000-0005-0000-0000-00009CA20000}"/>
    <cellStyle name="Separador de milhares 3 9 2 4 2 3 2" xfId="51370" xr:uid="{00000000-0005-0000-0000-00009DA20000}"/>
    <cellStyle name="Separador de milhares 3 9 2 4 2 4" xfId="19272" xr:uid="{00000000-0005-0000-0000-00009EA20000}"/>
    <cellStyle name="Separador de milhares 3 9 2 4 2 4 2" xfId="45462" xr:uid="{00000000-0005-0000-0000-00009FA20000}"/>
    <cellStyle name="Separador de milhares 3 9 2 4 2 5" xfId="13171" xr:uid="{00000000-0005-0000-0000-0000A0A20000}"/>
    <cellStyle name="Separador de milhares 3 9 2 4 2 5 2" xfId="39364" xr:uid="{00000000-0005-0000-0000-0000A1A20000}"/>
    <cellStyle name="Separador de milhares 3 9 2 4 2 6" xfId="32978" xr:uid="{00000000-0005-0000-0000-0000A2A20000}"/>
    <cellStyle name="Separador de milhares 3 9 2 4 3" xfId="8461" xr:uid="{00000000-0005-0000-0000-0000A3A20000}"/>
    <cellStyle name="Separador de milhares 3 9 2 4 3 2" xfId="26675" xr:uid="{00000000-0005-0000-0000-0000A4A20000}"/>
    <cellStyle name="Separador de milhares 3 9 2 4 3 2 2" xfId="52856" xr:uid="{00000000-0005-0000-0000-0000A5A20000}"/>
    <cellStyle name="Separador de milhares 3 9 2 4 3 3" xfId="20761" xr:uid="{00000000-0005-0000-0000-0000A6A20000}"/>
    <cellStyle name="Separador de milhares 3 9 2 4 3 3 2" xfId="46948" xr:uid="{00000000-0005-0000-0000-0000A7A20000}"/>
    <cellStyle name="Separador de milhares 3 9 2 4 3 4" xfId="14847" xr:uid="{00000000-0005-0000-0000-0000A8A20000}"/>
    <cellStyle name="Separador de milhares 3 9 2 4 3 4 2" xfId="41040" xr:uid="{00000000-0005-0000-0000-0000A9A20000}"/>
    <cellStyle name="Separador de milhares 3 9 2 4 3 5" xfId="34654" xr:uid="{00000000-0005-0000-0000-0000AAA20000}"/>
    <cellStyle name="Separador de milhares 3 9 2 4 4" xfId="5083" xr:uid="{00000000-0005-0000-0000-0000ABA20000}"/>
    <cellStyle name="Separador de milhares 3 9 2 4 4 2" xfId="23718" xr:uid="{00000000-0005-0000-0000-0000ACA20000}"/>
    <cellStyle name="Separador de milhares 3 9 2 4 4 2 2" xfId="49902" xr:uid="{00000000-0005-0000-0000-0000ADA20000}"/>
    <cellStyle name="Separador de milhares 3 9 2 4 4 3" xfId="31279" xr:uid="{00000000-0005-0000-0000-0000AEA20000}"/>
    <cellStyle name="Separador de milhares 3 9 2 4 5" xfId="17804" xr:uid="{00000000-0005-0000-0000-0000AFA20000}"/>
    <cellStyle name="Separador de milhares 3 9 2 4 5 2" xfId="43994" xr:uid="{00000000-0005-0000-0000-0000B0A20000}"/>
    <cellStyle name="Separador de milhares 3 9 2 4 6" xfId="11470" xr:uid="{00000000-0005-0000-0000-0000B1A20000}"/>
    <cellStyle name="Separador de milhares 3 9 2 4 6 2" xfId="37663" xr:uid="{00000000-0005-0000-0000-0000B2A20000}"/>
    <cellStyle name="Separador de milhares 3 9 2 4 7" xfId="29581" xr:uid="{00000000-0005-0000-0000-0000B3A20000}"/>
    <cellStyle name="Separador de milhares 3 9 2 5" xfId="1697" xr:uid="{00000000-0005-0000-0000-0000B4A20000}"/>
    <cellStyle name="Separador de milhares 3 9 2 5 2" xfId="6901" xr:uid="{00000000-0005-0000-0000-0000B5A20000}"/>
    <cellStyle name="Separador de milhares 3 9 2 5 2 2" xfId="10048" xr:uid="{00000000-0005-0000-0000-0000B6A20000}"/>
    <cellStyle name="Separador de milhares 3 9 2 5 2 2 2" xfId="28262" xr:uid="{00000000-0005-0000-0000-0000B7A20000}"/>
    <cellStyle name="Separador de milhares 3 9 2 5 2 2 2 2" xfId="54443" xr:uid="{00000000-0005-0000-0000-0000B8A20000}"/>
    <cellStyle name="Separador de milhares 3 9 2 5 2 2 3" xfId="22348" xr:uid="{00000000-0005-0000-0000-0000B9A20000}"/>
    <cellStyle name="Separador de milhares 3 9 2 5 2 2 3 2" xfId="48535" xr:uid="{00000000-0005-0000-0000-0000BAA20000}"/>
    <cellStyle name="Separador de milhares 3 9 2 5 2 2 4" xfId="16434" xr:uid="{00000000-0005-0000-0000-0000BBA20000}"/>
    <cellStyle name="Separador de milhares 3 9 2 5 2 2 4 2" xfId="42627" xr:uid="{00000000-0005-0000-0000-0000BCA20000}"/>
    <cellStyle name="Separador de milhares 3 9 2 5 2 2 5" xfId="36241" xr:uid="{00000000-0005-0000-0000-0000BDA20000}"/>
    <cellStyle name="Separador de milhares 3 9 2 5 2 3" xfId="25305" xr:uid="{00000000-0005-0000-0000-0000BEA20000}"/>
    <cellStyle name="Separador de milhares 3 9 2 5 2 3 2" xfId="51489" xr:uid="{00000000-0005-0000-0000-0000BFA20000}"/>
    <cellStyle name="Separador de milhares 3 9 2 5 2 4" xfId="19391" xr:uid="{00000000-0005-0000-0000-0000C0A20000}"/>
    <cellStyle name="Separador de milhares 3 9 2 5 2 4 2" xfId="45581" xr:uid="{00000000-0005-0000-0000-0000C1A20000}"/>
    <cellStyle name="Separador de milhares 3 9 2 5 2 5" xfId="13290" xr:uid="{00000000-0005-0000-0000-0000C2A20000}"/>
    <cellStyle name="Separador de milhares 3 9 2 5 2 5 2" xfId="39483" xr:uid="{00000000-0005-0000-0000-0000C3A20000}"/>
    <cellStyle name="Separador de milhares 3 9 2 5 2 6" xfId="33097" xr:uid="{00000000-0005-0000-0000-0000C4A20000}"/>
    <cellStyle name="Separador de milhares 3 9 2 5 3" xfId="8580" xr:uid="{00000000-0005-0000-0000-0000C5A20000}"/>
    <cellStyle name="Separador de milhares 3 9 2 5 3 2" xfId="26794" xr:uid="{00000000-0005-0000-0000-0000C6A20000}"/>
    <cellStyle name="Separador de milhares 3 9 2 5 3 2 2" xfId="52975" xr:uid="{00000000-0005-0000-0000-0000C7A20000}"/>
    <cellStyle name="Separador de milhares 3 9 2 5 3 3" xfId="20880" xr:uid="{00000000-0005-0000-0000-0000C8A20000}"/>
    <cellStyle name="Separador de milhares 3 9 2 5 3 3 2" xfId="47067" xr:uid="{00000000-0005-0000-0000-0000C9A20000}"/>
    <cellStyle name="Separador de milhares 3 9 2 5 3 4" xfId="14966" xr:uid="{00000000-0005-0000-0000-0000CAA20000}"/>
    <cellStyle name="Separador de milhares 3 9 2 5 3 4 2" xfId="41159" xr:uid="{00000000-0005-0000-0000-0000CBA20000}"/>
    <cellStyle name="Separador de milhares 3 9 2 5 3 5" xfId="34773" xr:uid="{00000000-0005-0000-0000-0000CCA20000}"/>
    <cellStyle name="Separador de milhares 3 9 2 5 4" xfId="5202" xr:uid="{00000000-0005-0000-0000-0000CDA20000}"/>
    <cellStyle name="Separador de milhares 3 9 2 5 4 2" xfId="23837" xr:uid="{00000000-0005-0000-0000-0000CEA20000}"/>
    <cellStyle name="Separador de milhares 3 9 2 5 4 2 2" xfId="50021" xr:uid="{00000000-0005-0000-0000-0000CFA20000}"/>
    <cellStyle name="Separador de milhares 3 9 2 5 4 3" xfId="31398" xr:uid="{00000000-0005-0000-0000-0000D0A20000}"/>
    <cellStyle name="Separador de milhares 3 9 2 5 5" xfId="17923" xr:uid="{00000000-0005-0000-0000-0000D1A20000}"/>
    <cellStyle name="Separador de milhares 3 9 2 5 5 2" xfId="44113" xr:uid="{00000000-0005-0000-0000-0000D2A20000}"/>
    <cellStyle name="Separador de milhares 3 9 2 5 6" xfId="11589" xr:uid="{00000000-0005-0000-0000-0000D3A20000}"/>
    <cellStyle name="Separador de milhares 3 9 2 5 6 2" xfId="37782" xr:uid="{00000000-0005-0000-0000-0000D4A20000}"/>
    <cellStyle name="Separador de milhares 3 9 2 5 7" xfId="29700" xr:uid="{00000000-0005-0000-0000-0000D5A20000}"/>
    <cellStyle name="Separador de milhares 3 9 2 6" xfId="2227" xr:uid="{00000000-0005-0000-0000-0000D6A20000}"/>
    <cellStyle name="Separador de milhares 3 9 2 6 2" xfId="7051" xr:uid="{00000000-0005-0000-0000-0000D7A20000}"/>
    <cellStyle name="Separador de milhares 3 9 2 6 2 2" xfId="10195" xr:uid="{00000000-0005-0000-0000-0000D8A20000}"/>
    <cellStyle name="Separador de milhares 3 9 2 6 2 2 2" xfId="28409" xr:uid="{00000000-0005-0000-0000-0000D9A20000}"/>
    <cellStyle name="Separador de milhares 3 9 2 6 2 2 2 2" xfId="54590" xr:uid="{00000000-0005-0000-0000-0000DAA20000}"/>
    <cellStyle name="Separador de milhares 3 9 2 6 2 2 3" xfId="22495" xr:uid="{00000000-0005-0000-0000-0000DBA20000}"/>
    <cellStyle name="Separador de milhares 3 9 2 6 2 2 3 2" xfId="48682" xr:uid="{00000000-0005-0000-0000-0000DCA20000}"/>
    <cellStyle name="Separador de milhares 3 9 2 6 2 2 4" xfId="16581" xr:uid="{00000000-0005-0000-0000-0000DDA20000}"/>
    <cellStyle name="Separador de milhares 3 9 2 6 2 2 4 2" xfId="42774" xr:uid="{00000000-0005-0000-0000-0000DEA20000}"/>
    <cellStyle name="Separador de milhares 3 9 2 6 2 2 5" xfId="36388" xr:uid="{00000000-0005-0000-0000-0000DFA20000}"/>
    <cellStyle name="Separador de milhares 3 9 2 6 2 3" xfId="25452" xr:uid="{00000000-0005-0000-0000-0000E0A20000}"/>
    <cellStyle name="Separador de milhares 3 9 2 6 2 3 2" xfId="51636" xr:uid="{00000000-0005-0000-0000-0000E1A20000}"/>
    <cellStyle name="Separador de milhares 3 9 2 6 2 4" xfId="19538" xr:uid="{00000000-0005-0000-0000-0000E2A20000}"/>
    <cellStyle name="Separador de milhares 3 9 2 6 2 4 2" xfId="45728" xr:uid="{00000000-0005-0000-0000-0000E3A20000}"/>
    <cellStyle name="Separador de milhares 3 9 2 6 2 5" xfId="13440" xr:uid="{00000000-0005-0000-0000-0000E4A20000}"/>
    <cellStyle name="Separador de milhares 3 9 2 6 2 5 2" xfId="39633" xr:uid="{00000000-0005-0000-0000-0000E5A20000}"/>
    <cellStyle name="Separador de milhares 3 9 2 6 2 6" xfId="33247" xr:uid="{00000000-0005-0000-0000-0000E6A20000}"/>
    <cellStyle name="Separador de milhares 3 9 2 6 3" xfId="8727" xr:uid="{00000000-0005-0000-0000-0000E7A20000}"/>
    <cellStyle name="Separador de milhares 3 9 2 6 3 2" xfId="26941" xr:uid="{00000000-0005-0000-0000-0000E8A20000}"/>
    <cellStyle name="Separador de milhares 3 9 2 6 3 2 2" xfId="53122" xr:uid="{00000000-0005-0000-0000-0000E9A20000}"/>
    <cellStyle name="Separador de milhares 3 9 2 6 3 3" xfId="21027" xr:uid="{00000000-0005-0000-0000-0000EAA20000}"/>
    <cellStyle name="Separador de milhares 3 9 2 6 3 3 2" xfId="47214" xr:uid="{00000000-0005-0000-0000-0000EBA20000}"/>
    <cellStyle name="Separador de milhares 3 9 2 6 3 4" xfId="15113" xr:uid="{00000000-0005-0000-0000-0000ECA20000}"/>
    <cellStyle name="Separador de milhares 3 9 2 6 3 4 2" xfId="41306" xr:uid="{00000000-0005-0000-0000-0000EDA20000}"/>
    <cellStyle name="Separador de milhares 3 9 2 6 3 5" xfId="34920" xr:uid="{00000000-0005-0000-0000-0000EEA20000}"/>
    <cellStyle name="Separador de milhares 3 9 2 6 4" xfId="5352" xr:uid="{00000000-0005-0000-0000-0000EFA20000}"/>
    <cellStyle name="Separador de milhares 3 9 2 6 4 2" xfId="23984" xr:uid="{00000000-0005-0000-0000-0000F0A20000}"/>
    <cellStyle name="Separador de milhares 3 9 2 6 4 2 2" xfId="50168" xr:uid="{00000000-0005-0000-0000-0000F1A20000}"/>
    <cellStyle name="Separador de milhares 3 9 2 6 4 3" xfId="31548" xr:uid="{00000000-0005-0000-0000-0000F2A20000}"/>
    <cellStyle name="Separador de milhares 3 9 2 6 5" xfId="18070" xr:uid="{00000000-0005-0000-0000-0000F3A20000}"/>
    <cellStyle name="Separador de milhares 3 9 2 6 5 2" xfId="44260" xr:uid="{00000000-0005-0000-0000-0000F4A20000}"/>
    <cellStyle name="Separador de milhares 3 9 2 6 6" xfId="11739" xr:uid="{00000000-0005-0000-0000-0000F5A20000}"/>
    <cellStyle name="Separador de milhares 3 9 2 6 6 2" xfId="37932" xr:uid="{00000000-0005-0000-0000-0000F6A20000}"/>
    <cellStyle name="Separador de milhares 3 9 2 6 7" xfId="29850" xr:uid="{00000000-0005-0000-0000-0000F7A20000}"/>
    <cellStyle name="Separador de milhares 3 9 2 7" xfId="2754" xr:uid="{00000000-0005-0000-0000-0000F8A20000}"/>
    <cellStyle name="Separador de milhares 3 9 2 7 2" xfId="7198" xr:uid="{00000000-0005-0000-0000-0000F9A20000}"/>
    <cellStyle name="Separador de milhares 3 9 2 7 2 2" xfId="10342" xr:uid="{00000000-0005-0000-0000-0000FAA20000}"/>
    <cellStyle name="Separador de milhares 3 9 2 7 2 2 2" xfId="28556" xr:uid="{00000000-0005-0000-0000-0000FBA20000}"/>
    <cellStyle name="Separador de milhares 3 9 2 7 2 2 2 2" xfId="54737" xr:uid="{00000000-0005-0000-0000-0000FCA20000}"/>
    <cellStyle name="Separador de milhares 3 9 2 7 2 2 3" xfId="22642" xr:uid="{00000000-0005-0000-0000-0000FDA20000}"/>
    <cellStyle name="Separador de milhares 3 9 2 7 2 2 3 2" xfId="48829" xr:uid="{00000000-0005-0000-0000-0000FEA20000}"/>
    <cellStyle name="Separador de milhares 3 9 2 7 2 2 4" xfId="16728" xr:uid="{00000000-0005-0000-0000-0000FFA20000}"/>
    <cellStyle name="Separador de milhares 3 9 2 7 2 2 4 2" xfId="42921" xr:uid="{00000000-0005-0000-0000-000000A30000}"/>
    <cellStyle name="Separador de milhares 3 9 2 7 2 2 5" xfId="36535" xr:uid="{00000000-0005-0000-0000-000001A30000}"/>
    <cellStyle name="Separador de milhares 3 9 2 7 2 3" xfId="25599" xr:uid="{00000000-0005-0000-0000-000002A30000}"/>
    <cellStyle name="Separador de milhares 3 9 2 7 2 3 2" xfId="51783" xr:uid="{00000000-0005-0000-0000-000003A30000}"/>
    <cellStyle name="Separador de milhares 3 9 2 7 2 4" xfId="19685" xr:uid="{00000000-0005-0000-0000-000004A30000}"/>
    <cellStyle name="Separador de milhares 3 9 2 7 2 4 2" xfId="45875" xr:uid="{00000000-0005-0000-0000-000005A30000}"/>
    <cellStyle name="Separador de milhares 3 9 2 7 2 5" xfId="13587" xr:uid="{00000000-0005-0000-0000-000006A30000}"/>
    <cellStyle name="Separador de milhares 3 9 2 7 2 5 2" xfId="39780" xr:uid="{00000000-0005-0000-0000-000007A30000}"/>
    <cellStyle name="Separador de milhares 3 9 2 7 2 6" xfId="33394" xr:uid="{00000000-0005-0000-0000-000008A30000}"/>
    <cellStyle name="Separador de milhares 3 9 2 7 3" xfId="8874" xr:uid="{00000000-0005-0000-0000-000009A30000}"/>
    <cellStyle name="Separador de milhares 3 9 2 7 3 2" xfId="27088" xr:uid="{00000000-0005-0000-0000-00000AA30000}"/>
    <cellStyle name="Separador de milhares 3 9 2 7 3 2 2" xfId="53269" xr:uid="{00000000-0005-0000-0000-00000BA30000}"/>
    <cellStyle name="Separador de milhares 3 9 2 7 3 3" xfId="21174" xr:uid="{00000000-0005-0000-0000-00000CA30000}"/>
    <cellStyle name="Separador de milhares 3 9 2 7 3 3 2" xfId="47361" xr:uid="{00000000-0005-0000-0000-00000DA30000}"/>
    <cellStyle name="Separador de milhares 3 9 2 7 3 4" xfId="15260" xr:uid="{00000000-0005-0000-0000-00000EA30000}"/>
    <cellStyle name="Separador de milhares 3 9 2 7 3 4 2" xfId="41453" xr:uid="{00000000-0005-0000-0000-00000FA30000}"/>
    <cellStyle name="Separador de milhares 3 9 2 7 3 5" xfId="35067" xr:uid="{00000000-0005-0000-0000-000010A30000}"/>
    <cellStyle name="Separador de milhares 3 9 2 7 4" xfId="5499" xr:uid="{00000000-0005-0000-0000-000011A30000}"/>
    <cellStyle name="Separador de milhares 3 9 2 7 4 2" xfId="24131" xr:uid="{00000000-0005-0000-0000-000012A30000}"/>
    <cellStyle name="Separador de milhares 3 9 2 7 4 2 2" xfId="50315" xr:uid="{00000000-0005-0000-0000-000013A30000}"/>
    <cellStyle name="Separador de milhares 3 9 2 7 4 3" xfId="31695" xr:uid="{00000000-0005-0000-0000-000014A30000}"/>
    <cellStyle name="Separador de milhares 3 9 2 7 5" xfId="18217" xr:uid="{00000000-0005-0000-0000-000015A30000}"/>
    <cellStyle name="Separador de milhares 3 9 2 7 5 2" xfId="44407" xr:uid="{00000000-0005-0000-0000-000016A30000}"/>
    <cellStyle name="Separador de milhares 3 9 2 7 6" xfId="11886" xr:uid="{00000000-0005-0000-0000-000017A30000}"/>
    <cellStyle name="Separador de milhares 3 9 2 7 6 2" xfId="38079" xr:uid="{00000000-0005-0000-0000-000018A30000}"/>
    <cellStyle name="Separador de milhares 3 9 2 7 7" xfId="29997" xr:uid="{00000000-0005-0000-0000-000019A30000}"/>
    <cellStyle name="Separador de milhares 3 9 2 8" xfId="3281" xr:uid="{00000000-0005-0000-0000-00001AA30000}"/>
    <cellStyle name="Separador de milhares 3 9 2 8 2" xfId="7345" xr:uid="{00000000-0005-0000-0000-00001BA30000}"/>
    <cellStyle name="Separador de milhares 3 9 2 8 2 2" xfId="10489" xr:uid="{00000000-0005-0000-0000-00001CA30000}"/>
    <cellStyle name="Separador de milhares 3 9 2 8 2 2 2" xfId="28703" xr:uid="{00000000-0005-0000-0000-00001DA30000}"/>
    <cellStyle name="Separador de milhares 3 9 2 8 2 2 2 2" xfId="54884" xr:uid="{00000000-0005-0000-0000-00001EA30000}"/>
    <cellStyle name="Separador de milhares 3 9 2 8 2 2 3" xfId="22789" xr:uid="{00000000-0005-0000-0000-00001FA30000}"/>
    <cellStyle name="Separador de milhares 3 9 2 8 2 2 3 2" xfId="48976" xr:uid="{00000000-0005-0000-0000-000020A30000}"/>
    <cellStyle name="Separador de milhares 3 9 2 8 2 2 4" xfId="16875" xr:uid="{00000000-0005-0000-0000-000021A30000}"/>
    <cellStyle name="Separador de milhares 3 9 2 8 2 2 4 2" xfId="43068" xr:uid="{00000000-0005-0000-0000-000022A30000}"/>
    <cellStyle name="Separador de milhares 3 9 2 8 2 2 5" xfId="36682" xr:uid="{00000000-0005-0000-0000-000023A30000}"/>
    <cellStyle name="Separador de milhares 3 9 2 8 2 3" xfId="25746" xr:uid="{00000000-0005-0000-0000-000024A30000}"/>
    <cellStyle name="Separador de milhares 3 9 2 8 2 3 2" xfId="51930" xr:uid="{00000000-0005-0000-0000-000025A30000}"/>
    <cellStyle name="Separador de milhares 3 9 2 8 2 4" xfId="19832" xr:uid="{00000000-0005-0000-0000-000026A30000}"/>
    <cellStyle name="Separador de milhares 3 9 2 8 2 4 2" xfId="46022" xr:uid="{00000000-0005-0000-0000-000027A30000}"/>
    <cellStyle name="Separador de milhares 3 9 2 8 2 5" xfId="13734" xr:uid="{00000000-0005-0000-0000-000028A30000}"/>
    <cellStyle name="Separador de milhares 3 9 2 8 2 5 2" xfId="39927" xr:uid="{00000000-0005-0000-0000-000029A30000}"/>
    <cellStyle name="Separador de milhares 3 9 2 8 2 6" xfId="33541" xr:uid="{00000000-0005-0000-0000-00002AA30000}"/>
    <cellStyle name="Separador de milhares 3 9 2 8 3" xfId="9021" xr:uid="{00000000-0005-0000-0000-00002BA30000}"/>
    <cellStyle name="Separador de milhares 3 9 2 8 3 2" xfId="27235" xr:uid="{00000000-0005-0000-0000-00002CA30000}"/>
    <cellStyle name="Separador de milhares 3 9 2 8 3 2 2" xfId="53416" xr:uid="{00000000-0005-0000-0000-00002DA30000}"/>
    <cellStyle name="Separador de milhares 3 9 2 8 3 3" xfId="21321" xr:uid="{00000000-0005-0000-0000-00002EA30000}"/>
    <cellStyle name="Separador de milhares 3 9 2 8 3 3 2" xfId="47508" xr:uid="{00000000-0005-0000-0000-00002FA30000}"/>
    <cellStyle name="Separador de milhares 3 9 2 8 3 4" xfId="15407" xr:uid="{00000000-0005-0000-0000-000030A30000}"/>
    <cellStyle name="Separador de milhares 3 9 2 8 3 4 2" xfId="41600" xr:uid="{00000000-0005-0000-0000-000031A30000}"/>
    <cellStyle name="Separador de milhares 3 9 2 8 3 5" xfId="35214" xr:uid="{00000000-0005-0000-0000-000032A30000}"/>
    <cellStyle name="Separador de milhares 3 9 2 8 4" xfId="5646" xr:uid="{00000000-0005-0000-0000-000033A30000}"/>
    <cellStyle name="Separador de milhares 3 9 2 8 4 2" xfId="24278" xr:uid="{00000000-0005-0000-0000-000034A30000}"/>
    <cellStyle name="Separador de milhares 3 9 2 8 4 2 2" xfId="50462" xr:uid="{00000000-0005-0000-0000-000035A30000}"/>
    <cellStyle name="Separador de milhares 3 9 2 8 4 3" xfId="31842" xr:uid="{00000000-0005-0000-0000-000036A30000}"/>
    <cellStyle name="Separador de milhares 3 9 2 8 5" xfId="18364" xr:uid="{00000000-0005-0000-0000-000037A30000}"/>
    <cellStyle name="Separador de milhares 3 9 2 8 5 2" xfId="44554" xr:uid="{00000000-0005-0000-0000-000038A30000}"/>
    <cellStyle name="Separador de milhares 3 9 2 8 6" xfId="12033" xr:uid="{00000000-0005-0000-0000-000039A30000}"/>
    <cellStyle name="Separador de milhares 3 9 2 8 6 2" xfId="38226" xr:uid="{00000000-0005-0000-0000-00003AA30000}"/>
    <cellStyle name="Separador de milhares 3 9 2 8 7" xfId="30144" xr:uid="{00000000-0005-0000-0000-00003BA30000}"/>
    <cellStyle name="Separador de milhares 3 9 2 9" xfId="3808" xr:uid="{00000000-0005-0000-0000-00003CA30000}"/>
    <cellStyle name="Separador de milhares 3 9 2 9 2" xfId="7492" xr:uid="{00000000-0005-0000-0000-00003DA30000}"/>
    <cellStyle name="Separador de milhares 3 9 2 9 2 2" xfId="10636" xr:uid="{00000000-0005-0000-0000-00003EA30000}"/>
    <cellStyle name="Separador de milhares 3 9 2 9 2 2 2" xfId="28850" xr:uid="{00000000-0005-0000-0000-00003FA30000}"/>
    <cellStyle name="Separador de milhares 3 9 2 9 2 2 2 2" xfId="55031" xr:uid="{00000000-0005-0000-0000-000040A30000}"/>
    <cellStyle name="Separador de milhares 3 9 2 9 2 2 3" xfId="22936" xr:uid="{00000000-0005-0000-0000-000041A30000}"/>
    <cellStyle name="Separador de milhares 3 9 2 9 2 2 3 2" xfId="49123" xr:uid="{00000000-0005-0000-0000-000042A30000}"/>
    <cellStyle name="Separador de milhares 3 9 2 9 2 2 4" xfId="17022" xr:uid="{00000000-0005-0000-0000-000043A30000}"/>
    <cellStyle name="Separador de milhares 3 9 2 9 2 2 4 2" xfId="43215" xr:uid="{00000000-0005-0000-0000-000044A30000}"/>
    <cellStyle name="Separador de milhares 3 9 2 9 2 2 5" xfId="36829" xr:uid="{00000000-0005-0000-0000-000045A30000}"/>
    <cellStyle name="Separador de milhares 3 9 2 9 2 3" xfId="25893" xr:uid="{00000000-0005-0000-0000-000046A30000}"/>
    <cellStyle name="Separador de milhares 3 9 2 9 2 3 2" xfId="52077" xr:uid="{00000000-0005-0000-0000-000047A30000}"/>
    <cellStyle name="Separador de milhares 3 9 2 9 2 4" xfId="19979" xr:uid="{00000000-0005-0000-0000-000048A30000}"/>
    <cellStyle name="Separador de milhares 3 9 2 9 2 4 2" xfId="46169" xr:uid="{00000000-0005-0000-0000-000049A30000}"/>
    <cellStyle name="Separador de milhares 3 9 2 9 2 5" xfId="13881" xr:uid="{00000000-0005-0000-0000-00004AA30000}"/>
    <cellStyle name="Separador de milhares 3 9 2 9 2 5 2" xfId="40074" xr:uid="{00000000-0005-0000-0000-00004BA30000}"/>
    <cellStyle name="Separador de milhares 3 9 2 9 2 6" xfId="33688" xr:uid="{00000000-0005-0000-0000-00004CA30000}"/>
    <cellStyle name="Separador de milhares 3 9 2 9 3" xfId="9168" xr:uid="{00000000-0005-0000-0000-00004DA30000}"/>
    <cellStyle name="Separador de milhares 3 9 2 9 3 2" xfId="27382" xr:uid="{00000000-0005-0000-0000-00004EA30000}"/>
    <cellStyle name="Separador de milhares 3 9 2 9 3 2 2" xfId="53563" xr:uid="{00000000-0005-0000-0000-00004FA30000}"/>
    <cellStyle name="Separador de milhares 3 9 2 9 3 3" xfId="21468" xr:uid="{00000000-0005-0000-0000-000050A30000}"/>
    <cellStyle name="Separador de milhares 3 9 2 9 3 3 2" xfId="47655" xr:uid="{00000000-0005-0000-0000-000051A30000}"/>
    <cellStyle name="Separador de milhares 3 9 2 9 3 4" xfId="15554" xr:uid="{00000000-0005-0000-0000-000052A30000}"/>
    <cellStyle name="Separador de milhares 3 9 2 9 3 4 2" xfId="41747" xr:uid="{00000000-0005-0000-0000-000053A30000}"/>
    <cellStyle name="Separador de milhares 3 9 2 9 3 5" xfId="35361" xr:uid="{00000000-0005-0000-0000-000054A30000}"/>
    <cellStyle name="Separador de milhares 3 9 2 9 4" xfId="5793" xr:uid="{00000000-0005-0000-0000-000055A30000}"/>
    <cellStyle name="Separador de milhares 3 9 2 9 4 2" xfId="24425" xr:uid="{00000000-0005-0000-0000-000056A30000}"/>
    <cellStyle name="Separador de milhares 3 9 2 9 4 2 2" xfId="50609" xr:uid="{00000000-0005-0000-0000-000057A30000}"/>
    <cellStyle name="Separador de milhares 3 9 2 9 4 3" xfId="31989" xr:uid="{00000000-0005-0000-0000-000058A30000}"/>
    <cellStyle name="Separador de milhares 3 9 2 9 5" xfId="18511" xr:uid="{00000000-0005-0000-0000-000059A30000}"/>
    <cellStyle name="Separador de milhares 3 9 2 9 5 2" xfId="44701" xr:uid="{00000000-0005-0000-0000-00005AA30000}"/>
    <cellStyle name="Separador de milhares 3 9 2 9 6" xfId="12180" xr:uid="{00000000-0005-0000-0000-00005BA30000}"/>
    <cellStyle name="Separador de milhares 3 9 2 9 6 2" xfId="38373" xr:uid="{00000000-0005-0000-0000-00005CA30000}"/>
    <cellStyle name="Separador de milhares 3 9 2 9 7" xfId="30291" xr:uid="{00000000-0005-0000-0000-00005DA30000}"/>
    <cellStyle name="Separador de milhares 3 9 3" xfId="260" xr:uid="{00000000-0005-0000-0000-00005EA30000}"/>
    <cellStyle name="Separador de milhares 3 9 3 10" xfId="6483" xr:uid="{00000000-0005-0000-0000-00005FA30000}"/>
    <cellStyle name="Separador de milhares 3 9 3 10 2" xfId="9634" xr:uid="{00000000-0005-0000-0000-000060A30000}"/>
    <cellStyle name="Separador de milhares 3 9 3 10 2 2" xfId="27848" xr:uid="{00000000-0005-0000-0000-000061A30000}"/>
    <cellStyle name="Separador de milhares 3 9 3 10 2 2 2" xfId="54029" xr:uid="{00000000-0005-0000-0000-000062A30000}"/>
    <cellStyle name="Separador de milhares 3 9 3 10 2 3" xfId="21934" xr:uid="{00000000-0005-0000-0000-000063A30000}"/>
    <cellStyle name="Separador de milhares 3 9 3 10 2 3 2" xfId="48121" xr:uid="{00000000-0005-0000-0000-000064A30000}"/>
    <cellStyle name="Separador de milhares 3 9 3 10 2 4" xfId="16020" xr:uid="{00000000-0005-0000-0000-000065A30000}"/>
    <cellStyle name="Separador de milhares 3 9 3 10 2 4 2" xfId="42213" xr:uid="{00000000-0005-0000-0000-000066A30000}"/>
    <cellStyle name="Separador de milhares 3 9 3 10 2 5" xfId="35827" xr:uid="{00000000-0005-0000-0000-000067A30000}"/>
    <cellStyle name="Separador de milhares 3 9 3 10 3" xfId="24891" xr:uid="{00000000-0005-0000-0000-000068A30000}"/>
    <cellStyle name="Separador de milhares 3 9 3 10 3 2" xfId="51075" xr:uid="{00000000-0005-0000-0000-000069A30000}"/>
    <cellStyle name="Separador de milhares 3 9 3 10 4" xfId="18977" xr:uid="{00000000-0005-0000-0000-00006AA30000}"/>
    <cellStyle name="Separador de milhares 3 9 3 10 4 2" xfId="45167" xr:uid="{00000000-0005-0000-0000-00006BA30000}"/>
    <cellStyle name="Separador de milhares 3 9 3 10 5" xfId="12872" xr:uid="{00000000-0005-0000-0000-00006CA30000}"/>
    <cellStyle name="Separador de milhares 3 9 3 10 5 2" xfId="39065" xr:uid="{00000000-0005-0000-0000-00006DA30000}"/>
    <cellStyle name="Separador de milhares 3 9 3 10 6" xfId="32679" xr:uid="{00000000-0005-0000-0000-00006EA30000}"/>
    <cellStyle name="Separador de milhares 3 9 3 11" xfId="8163" xr:uid="{00000000-0005-0000-0000-00006FA30000}"/>
    <cellStyle name="Separador de milhares 3 9 3 11 2" xfId="26377" xr:uid="{00000000-0005-0000-0000-000070A30000}"/>
    <cellStyle name="Separador de milhares 3 9 3 11 2 2" xfId="52561" xr:uid="{00000000-0005-0000-0000-000071A30000}"/>
    <cellStyle name="Separador de milhares 3 9 3 11 3" xfId="20463" xr:uid="{00000000-0005-0000-0000-000072A30000}"/>
    <cellStyle name="Separador de milhares 3 9 3 11 3 2" xfId="46653" xr:uid="{00000000-0005-0000-0000-000073A30000}"/>
    <cellStyle name="Separador de milhares 3 9 3 11 4" xfId="14552" xr:uid="{00000000-0005-0000-0000-000074A30000}"/>
    <cellStyle name="Separador de milhares 3 9 3 11 4 2" xfId="40745" xr:uid="{00000000-0005-0000-0000-000075A30000}"/>
    <cellStyle name="Separador de milhares 3 9 3 11 5" xfId="34359" xr:uid="{00000000-0005-0000-0000-000076A30000}"/>
    <cellStyle name="Separador de milhares 3 9 3 12" xfId="4782" xr:uid="{00000000-0005-0000-0000-000077A30000}"/>
    <cellStyle name="Separador de milhares 3 9 3 12 2" xfId="23420" xr:uid="{00000000-0005-0000-0000-000078A30000}"/>
    <cellStyle name="Separador de milhares 3 9 3 12 2 2" xfId="49607" xr:uid="{00000000-0005-0000-0000-000079A30000}"/>
    <cellStyle name="Separador de milhares 3 9 3 12 3" xfId="30980" xr:uid="{00000000-0005-0000-0000-00007AA30000}"/>
    <cellStyle name="Separador de milhares 3 9 3 13" xfId="17506" xr:uid="{00000000-0005-0000-0000-00007BA30000}"/>
    <cellStyle name="Separador de milhares 3 9 3 13 2" xfId="43699" xr:uid="{00000000-0005-0000-0000-00007CA30000}"/>
    <cellStyle name="Separador de milhares 3 9 3 14" xfId="11171" xr:uid="{00000000-0005-0000-0000-00007DA30000}"/>
    <cellStyle name="Separador de milhares 3 9 3 14 2" xfId="37364" xr:uid="{00000000-0005-0000-0000-00007EA30000}"/>
    <cellStyle name="Separador de milhares 3 9 3 15" xfId="29282" xr:uid="{00000000-0005-0000-0000-00007FA30000}"/>
    <cellStyle name="Separador de milhares 3 9 3 2" xfId="523" xr:uid="{00000000-0005-0000-0000-000080A30000}"/>
    <cellStyle name="Separador de milhares 3 9 3 2 2" xfId="6554" xr:uid="{00000000-0005-0000-0000-000081A30000}"/>
    <cellStyle name="Separador de milhares 3 9 3 2 2 2" xfId="9701" xr:uid="{00000000-0005-0000-0000-000082A30000}"/>
    <cellStyle name="Separador de milhares 3 9 3 2 2 2 2" xfId="27915" xr:uid="{00000000-0005-0000-0000-000083A30000}"/>
    <cellStyle name="Separador de milhares 3 9 3 2 2 2 2 2" xfId="54096" xr:uid="{00000000-0005-0000-0000-000084A30000}"/>
    <cellStyle name="Separador de milhares 3 9 3 2 2 2 3" xfId="22001" xr:uid="{00000000-0005-0000-0000-000085A30000}"/>
    <cellStyle name="Separador de milhares 3 9 3 2 2 2 3 2" xfId="48188" xr:uid="{00000000-0005-0000-0000-000086A30000}"/>
    <cellStyle name="Separador de milhares 3 9 3 2 2 2 4" xfId="16087" xr:uid="{00000000-0005-0000-0000-000087A30000}"/>
    <cellStyle name="Separador de milhares 3 9 3 2 2 2 4 2" xfId="42280" xr:uid="{00000000-0005-0000-0000-000088A30000}"/>
    <cellStyle name="Separador de milhares 3 9 3 2 2 2 5" xfId="35894" xr:uid="{00000000-0005-0000-0000-000089A30000}"/>
    <cellStyle name="Separador de milhares 3 9 3 2 2 3" xfId="24958" xr:uid="{00000000-0005-0000-0000-00008AA30000}"/>
    <cellStyle name="Separador de milhares 3 9 3 2 2 3 2" xfId="51142" xr:uid="{00000000-0005-0000-0000-00008BA30000}"/>
    <cellStyle name="Separador de milhares 3 9 3 2 2 4" xfId="19044" xr:uid="{00000000-0005-0000-0000-00008CA30000}"/>
    <cellStyle name="Separador de milhares 3 9 3 2 2 4 2" xfId="45234" xr:uid="{00000000-0005-0000-0000-00008DA30000}"/>
    <cellStyle name="Separador de milhares 3 9 3 2 2 5" xfId="12943" xr:uid="{00000000-0005-0000-0000-00008EA30000}"/>
    <cellStyle name="Separador de milhares 3 9 3 2 2 5 2" xfId="39136" xr:uid="{00000000-0005-0000-0000-00008FA30000}"/>
    <cellStyle name="Separador de milhares 3 9 3 2 2 6" xfId="32750" xr:uid="{00000000-0005-0000-0000-000090A30000}"/>
    <cellStyle name="Separador de milhares 3 9 3 2 3" xfId="8230" xr:uid="{00000000-0005-0000-0000-000091A30000}"/>
    <cellStyle name="Separador de milhares 3 9 3 2 3 2" xfId="26444" xr:uid="{00000000-0005-0000-0000-000092A30000}"/>
    <cellStyle name="Separador de milhares 3 9 3 2 3 2 2" xfId="52628" xr:uid="{00000000-0005-0000-0000-000093A30000}"/>
    <cellStyle name="Separador de milhares 3 9 3 2 3 3" xfId="20530" xr:uid="{00000000-0005-0000-0000-000094A30000}"/>
    <cellStyle name="Separador de milhares 3 9 3 2 3 3 2" xfId="46720" xr:uid="{00000000-0005-0000-0000-000095A30000}"/>
    <cellStyle name="Separador de milhares 3 9 3 2 3 4" xfId="14619" xr:uid="{00000000-0005-0000-0000-000096A30000}"/>
    <cellStyle name="Separador de milhares 3 9 3 2 3 4 2" xfId="40812" xr:uid="{00000000-0005-0000-0000-000097A30000}"/>
    <cellStyle name="Separador de milhares 3 9 3 2 3 5" xfId="34426" xr:uid="{00000000-0005-0000-0000-000098A30000}"/>
    <cellStyle name="Separador de milhares 3 9 3 2 4" xfId="4853" xr:uid="{00000000-0005-0000-0000-000099A30000}"/>
    <cellStyle name="Separador de milhares 3 9 3 2 4 2" xfId="23487" xr:uid="{00000000-0005-0000-0000-00009AA30000}"/>
    <cellStyle name="Separador de milhares 3 9 3 2 4 2 2" xfId="49674" xr:uid="{00000000-0005-0000-0000-00009BA30000}"/>
    <cellStyle name="Separador de milhares 3 9 3 2 4 3" xfId="31051" xr:uid="{00000000-0005-0000-0000-00009CA30000}"/>
    <cellStyle name="Separador de milhares 3 9 3 2 5" xfId="17573" xr:uid="{00000000-0005-0000-0000-00009DA30000}"/>
    <cellStyle name="Separador de milhares 3 9 3 2 5 2" xfId="43766" xr:uid="{00000000-0005-0000-0000-00009EA30000}"/>
    <cellStyle name="Separador de milhares 3 9 3 2 6" xfId="11242" xr:uid="{00000000-0005-0000-0000-00009FA30000}"/>
    <cellStyle name="Separador de milhares 3 9 3 2 6 2" xfId="37435" xr:uid="{00000000-0005-0000-0000-0000A0A30000}"/>
    <cellStyle name="Separador de milhares 3 9 3 2 7" xfId="29353" xr:uid="{00000000-0005-0000-0000-0000A1A30000}"/>
    <cellStyle name="Separador de milhares 3 9 3 3" xfId="820" xr:uid="{00000000-0005-0000-0000-0000A2A30000}"/>
    <cellStyle name="Separador de milhares 3 9 3 3 2" xfId="6656" xr:uid="{00000000-0005-0000-0000-0000A3A30000}"/>
    <cellStyle name="Separador de milhares 3 9 3 3 2 2" xfId="9803" xr:uid="{00000000-0005-0000-0000-0000A4A30000}"/>
    <cellStyle name="Separador de milhares 3 9 3 3 2 2 2" xfId="28017" xr:uid="{00000000-0005-0000-0000-0000A5A30000}"/>
    <cellStyle name="Separador de milhares 3 9 3 3 2 2 2 2" xfId="54198" xr:uid="{00000000-0005-0000-0000-0000A6A30000}"/>
    <cellStyle name="Separador de milhares 3 9 3 3 2 2 3" xfId="22103" xr:uid="{00000000-0005-0000-0000-0000A7A30000}"/>
    <cellStyle name="Separador de milhares 3 9 3 3 2 2 3 2" xfId="48290" xr:uid="{00000000-0005-0000-0000-0000A8A30000}"/>
    <cellStyle name="Separador de milhares 3 9 3 3 2 2 4" xfId="16189" xr:uid="{00000000-0005-0000-0000-0000A9A30000}"/>
    <cellStyle name="Separador de milhares 3 9 3 3 2 2 4 2" xfId="42382" xr:uid="{00000000-0005-0000-0000-0000AAA30000}"/>
    <cellStyle name="Separador de milhares 3 9 3 3 2 2 5" xfId="35996" xr:uid="{00000000-0005-0000-0000-0000ABA30000}"/>
    <cellStyle name="Separador de milhares 3 9 3 3 2 3" xfId="25060" xr:uid="{00000000-0005-0000-0000-0000ACA30000}"/>
    <cellStyle name="Separador de milhares 3 9 3 3 2 3 2" xfId="51244" xr:uid="{00000000-0005-0000-0000-0000ADA30000}"/>
    <cellStyle name="Separador de milhares 3 9 3 3 2 4" xfId="19146" xr:uid="{00000000-0005-0000-0000-0000AEA30000}"/>
    <cellStyle name="Separador de milhares 3 9 3 3 2 4 2" xfId="45336" xr:uid="{00000000-0005-0000-0000-0000AFA30000}"/>
    <cellStyle name="Separador de milhares 3 9 3 3 2 5" xfId="13045" xr:uid="{00000000-0005-0000-0000-0000B0A30000}"/>
    <cellStyle name="Separador de milhares 3 9 3 3 2 5 2" xfId="39238" xr:uid="{00000000-0005-0000-0000-0000B1A30000}"/>
    <cellStyle name="Separador de milhares 3 9 3 3 2 6" xfId="32852" xr:uid="{00000000-0005-0000-0000-0000B2A30000}"/>
    <cellStyle name="Separador de milhares 3 9 3 3 3" xfId="8335" xr:uid="{00000000-0005-0000-0000-0000B3A30000}"/>
    <cellStyle name="Separador de milhares 3 9 3 3 3 2" xfId="26549" xr:uid="{00000000-0005-0000-0000-0000B4A30000}"/>
    <cellStyle name="Separador de milhares 3 9 3 3 3 2 2" xfId="52730" xr:uid="{00000000-0005-0000-0000-0000B5A30000}"/>
    <cellStyle name="Separador de milhares 3 9 3 3 3 3" xfId="20635" xr:uid="{00000000-0005-0000-0000-0000B6A30000}"/>
    <cellStyle name="Separador de milhares 3 9 3 3 3 3 2" xfId="46822" xr:uid="{00000000-0005-0000-0000-0000B7A30000}"/>
    <cellStyle name="Separador de milhares 3 9 3 3 3 4" xfId="14721" xr:uid="{00000000-0005-0000-0000-0000B8A30000}"/>
    <cellStyle name="Separador de milhares 3 9 3 3 3 4 2" xfId="40914" xr:uid="{00000000-0005-0000-0000-0000B9A30000}"/>
    <cellStyle name="Separador de milhares 3 9 3 3 3 5" xfId="34528" xr:uid="{00000000-0005-0000-0000-0000BAA30000}"/>
    <cellStyle name="Separador de milhares 3 9 3 3 4" xfId="4957" xr:uid="{00000000-0005-0000-0000-0000BBA30000}"/>
    <cellStyle name="Separador de milhares 3 9 3 3 4 2" xfId="23592" xr:uid="{00000000-0005-0000-0000-0000BCA30000}"/>
    <cellStyle name="Separador de milhares 3 9 3 3 4 2 2" xfId="49776" xr:uid="{00000000-0005-0000-0000-0000BDA30000}"/>
    <cellStyle name="Separador de milhares 3 9 3 3 4 3" xfId="31153" xr:uid="{00000000-0005-0000-0000-0000BEA30000}"/>
    <cellStyle name="Separador de milhares 3 9 3 3 5" xfId="17678" xr:uid="{00000000-0005-0000-0000-0000BFA30000}"/>
    <cellStyle name="Separador de milhares 3 9 3 3 5 2" xfId="43868" xr:uid="{00000000-0005-0000-0000-0000C0A30000}"/>
    <cellStyle name="Separador de milhares 3 9 3 3 6" xfId="11344" xr:uid="{00000000-0005-0000-0000-0000C1A30000}"/>
    <cellStyle name="Separador de milhares 3 9 3 3 6 2" xfId="37537" xr:uid="{00000000-0005-0000-0000-0000C2A30000}"/>
    <cellStyle name="Separador de milhares 3 9 3 3 7" xfId="29455" xr:uid="{00000000-0005-0000-0000-0000C3A30000}"/>
    <cellStyle name="Separador de milhares 3 9 3 4" xfId="1171" xr:uid="{00000000-0005-0000-0000-0000C4A30000}"/>
    <cellStyle name="Separador de milhares 3 9 3 4 2" xfId="6754" xr:uid="{00000000-0005-0000-0000-0000C5A30000}"/>
    <cellStyle name="Separador de milhares 3 9 3 4 2 2" xfId="9901" xr:uid="{00000000-0005-0000-0000-0000C6A30000}"/>
    <cellStyle name="Separador de milhares 3 9 3 4 2 2 2" xfId="28115" xr:uid="{00000000-0005-0000-0000-0000C7A30000}"/>
    <cellStyle name="Separador de milhares 3 9 3 4 2 2 2 2" xfId="54296" xr:uid="{00000000-0005-0000-0000-0000C8A30000}"/>
    <cellStyle name="Separador de milhares 3 9 3 4 2 2 3" xfId="22201" xr:uid="{00000000-0005-0000-0000-0000C9A30000}"/>
    <cellStyle name="Separador de milhares 3 9 3 4 2 2 3 2" xfId="48388" xr:uid="{00000000-0005-0000-0000-0000CAA30000}"/>
    <cellStyle name="Separador de milhares 3 9 3 4 2 2 4" xfId="16287" xr:uid="{00000000-0005-0000-0000-0000CBA30000}"/>
    <cellStyle name="Separador de milhares 3 9 3 4 2 2 4 2" xfId="42480" xr:uid="{00000000-0005-0000-0000-0000CCA30000}"/>
    <cellStyle name="Separador de milhares 3 9 3 4 2 2 5" xfId="36094" xr:uid="{00000000-0005-0000-0000-0000CDA30000}"/>
    <cellStyle name="Separador de milhares 3 9 3 4 2 3" xfId="25158" xr:uid="{00000000-0005-0000-0000-0000CEA30000}"/>
    <cellStyle name="Separador de milhares 3 9 3 4 2 3 2" xfId="51342" xr:uid="{00000000-0005-0000-0000-0000CFA30000}"/>
    <cellStyle name="Separador de milhares 3 9 3 4 2 4" xfId="19244" xr:uid="{00000000-0005-0000-0000-0000D0A30000}"/>
    <cellStyle name="Separador de milhares 3 9 3 4 2 4 2" xfId="45434" xr:uid="{00000000-0005-0000-0000-0000D1A30000}"/>
    <cellStyle name="Separador de milhares 3 9 3 4 2 5" xfId="13143" xr:uid="{00000000-0005-0000-0000-0000D2A30000}"/>
    <cellStyle name="Separador de milhares 3 9 3 4 2 5 2" xfId="39336" xr:uid="{00000000-0005-0000-0000-0000D3A30000}"/>
    <cellStyle name="Separador de milhares 3 9 3 4 2 6" xfId="32950" xr:uid="{00000000-0005-0000-0000-0000D4A30000}"/>
    <cellStyle name="Separador de milhares 3 9 3 4 3" xfId="8433" xr:uid="{00000000-0005-0000-0000-0000D5A30000}"/>
    <cellStyle name="Separador de milhares 3 9 3 4 3 2" xfId="26647" xr:uid="{00000000-0005-0000-0000-0000D6A30000}"/>
    <cellStyle name="Separador de milhares 3 9 3 4 3 2 2" xfId="52828" xr:uid="{00000000-0005-0000-0000-0000D7A30000}"/>
    <cellStyle name="Separador de milhares 3 9 3 4 3 3" xfId="20733" xr:uid="{00000000-0005-0000-0000-0000D8A30000}"/>
    <cellStyle name="Separador de milhares 3 9 3 4 3 3 2" xfId="46920" xr:uid="{00000000-0005-0000-0000-0000D9A30000}"/>
    <cellStyle name="Separador de milhares 3 9 3 4 3 4" xfId="14819" xr:uid="{00000000-0005-0000-0000-0000DAA30000}"/>
    <cellStyle name="Separador de milhares 3 9 3 4 3 4 2" xfId="41012" xr:uid="{00000000-0005-0000-0000-0000DBA30000}"/>
    <cellStyle name="Separador de milhares 3 9 3 4 3 5" xfId="34626" xr:uid="{00000000-0005-0000-0000-0000DCA30000}"/>
    <cellStyle name="Separador de milhares 3 9 3 4 4" xfId="5055" xr:uid="{00000000-0005-0000-0000-0000DDA30000}"/>
    <cellStyle name="Separador de milhares 3 9 3 4 4 2" xfId="23690" xr:uid="{00000000-0005-0000-0000-0000DEA30000}"/>
    <cellStyle name="Separador de milhares 3 9 3 4 4 2 2" xfId="49874" xr:uid="{00000000-0005-0000-0000-0000DFA30000}"/>
    <cellStyle name="Separador de milhares 3 9 3 4 4 3" xfId="31251" xr:uid="{00000000-0005-0000-0000-0000E0A30000}"/>
    <cellStyle name="Separador de milhares 3 9 3 4 5" xfId="17776" xr:uid="{00000000-0005-0000-0000-0000E1A30000}"/>
    <cellStyle name="Separador de milhares 3 9 3 4 5 2" xfId="43966" xr:uid="{00000000-0005-0000-0000-0000E2A30000}"/>
    <cellStyle name="Separador de milhares 3 9 3 4 6" xfId="11442" xr:uid="{00000000-0005-0000-0000-0000E3A30000}"/>
    <cellStyle name="Separador de milhares 3 9 3 4 6 2" xfId="37635" xr:uid="{00000000-0005-0000-0000-0000E4A30000}"/>
    <cellStyle name="Separador de milhares 3 9 3 4 7" xfId="29553" xr:uid="{00000000-0005-0000-0000-0000E5A30000}"/>
    <cellStyle name="Separador de milhares 3 9 3 5" xfId="1606" xr:uid="{00000000-0005-0000-0000-0000E6A30000}"/>
    <cellStyle name="Separador de milhares 3 9 3 5 2" xfId="6873" xr:uid="{00000000-0005-0000-0000-0000E7A30000}"/>
    <cellStyle name="Separador de milhares 3 9 3 5 2 2" xfId="10020" xr:uid="{00000000-0005-0000-0000-0000E8A30000}"/>
    <cellStyle name="Separador de milhares 3 9 3 5 2 2 2" xfId="28234" xr:uid="{00000000-0005-0000-0000-0000E9A30000}"/>
    <cellStyle name="Separador de milhares 3 9 3 5 2 2 2 2" xfId="54415" xr:uid="{00000000-0005-0000-0000-0000EAA30000}"/>
    <cellStyle name="Separador de milhares 3 9 3 5 2 2 3" xfId="22320" xr:uid="{00000000-0005-0000-0000-0000EBA30000}"/>
    <cellStyle name="Separador de milhares 3 9 3 5 2 2 3 2" xfId="48507" xr:uid="{00000000-0005-0000-0000-0000ECA30000}"/>
    <cellStyle name="Separador de milhares 3 9 3 5 2 2 4" xfId="16406" xr:uid="{00000000-0005-0000-0000-0000EDA30000}"/>
    <cellStyle name="Separador de milhares 3 9 3 5 2 2 4 2" xfId="42599" xr:uid="{00000000-0005-0000-0000-0000EEA30000}"/>
    <cellStyle name="Separador de milhares 3 9 3 5 2 2 5" xfId="36213" xr:uid="{00000000-0005-0000-0000-0000EFA30000}"/>
    <cellStyle name="Separador de milhares 3 9 3 5 2 3" xfId="25277" xr:uid="{00000000-0005-0000-0000-0000F0A30000}"/>
    <cellStyle name="Separador de milhares 3 9 3 5 2 3 2" xfId="51461" xr:uid="{00000000-0005-0000-0000-0000F1A30000}"/>
    <cellStyle name="Separador de milhares 3 9 3 5 2 4" xfId="19363" xr:uid="{00000000-0005-0000-0000-0000F2A30000}"/>
    <cellStyle name="Separador de milhares 3 9 3 5 2 4 2" xfId="45553" xr:uid="{00000000-0005-0000-0000-0000F3A30000}"/>
    <cellStyle name="Separador de milhares 3 9 3 5 2 5" xfId="13262" xr:uid="{00000000-0005-0000-0000-0000F4A30000}"/>
    <cellStyle name="Separador de milhares 3 9 3 5 2 5 2" xfId="39455" xr:uid="{00000000-0005-0000-0000-0000F5A30000}"/>
    <cellStyle name="Separador de milhares 3 9 3 5 2 6" xfId="33069" xr:uid="{00000000-0005-0000-0000-0000F6A30000}"/>
    <cellStyle name="Separador de milhares 3 9 3 5 3" xfId="8552" xr:uid="{00000000-0005-0000-0000-0000F7A30000}"/>
    <cellStyle name="Separador de milhares 3 9 3 5 3 2" xfId="26766" xr:uid="{00000000-0005-0000-0000-0000F8A30000}"/>
    <cellStyle name="Separador de milhares 3 9 3 5 3 2 2" xfId="52947" xr:uid="{00000000-0005-0000-0000-0000F9A30000}"/>
    <cellStyle name="Separador de milhares 3 9 3 5 3 3" xfId="20852" xr:uid="{00000000-0005-0000-0000-0000FAA30000}"/>
    <cellStyle name="Separador de milhares 3 9 3 5 3 3 2" xfId="47039" xr:uid="{00000000-0005-0000-0000-0000FBA30000}"/>
    <cellStyle name="Separador de milhares 3 9 3 5 3 4" xfId="14938" xr:uid="{00000000-0005-0000-0000-0000FCA30000}"/>
    <cellStyle name="Separador de milhares 3 9 3 5 3 4 2" xfId="41131" xr:uid="{00000000-0005-0000-0000-0000FDA30000}"/>
    <cellStyle name="Separador de milhares 3 9 3 5 3 5" xfId="34745" xr:uid="{00000000-0005-0000-0000-0000FEA30000}"/>
    <cellStyle name="Separador de milhares 3 9 3 5 4" xfId="5174" xr:uid="{00000000-0005-0000-0000-0000FFA30000}"/>
    <cellStyle name="Separador de milhares 3 9 3 5 4 2" xfId="23809" xr:uid="{00000000-0005-0000-0000-000000A40000}"/>
    <cellStyle name="Separador de milhares 3 9 3 5 4 2 2" xfId="49993" xr:uid="{00000000-0005-0000-0000-000001A40000}"/>
    <cellStyle name="Separador de milhares 3 9 3 5 4 3" xfId="31370" xr:uid="{00000000-0005-0000-0000-000002A40000}"/>
    <cellStyle name="Separador de milhares 3 9 3 5 5" xfId="17895" xr:uid="{00000000-0005-0000-0000-000003A40000}"/>
    <cellStyle name="Separador de milhares 3 9 3 5 5 2" xfId="44085" xr:uid="{00000000-0005-0000-0000-000004A40000}"/>
    <cellStyle name="Separador de milhares 3 9 3 5 6" xfId="11561" xr:uid="{00000000-0005-0000-0000-000005A40000}"/>
    <cellStyle name="Separador de milhares 3 9 3 5 6 2" xfId="37754" xr:uid="{00000000-0005-0000-0000-000006A40000}"/>
    <cellStyle name="Separador de milhares 3 9 3 5 7" xfId="29672" xr:uid="{00000000-0005-0000-0000-000007A40000}"/>
    <cellStyle name="Separador de milhares 3 9 3 6" xfId="2136" xr:uid="{00000000-0005-0000-0000-000008A40000}"/>
    <cellStyle name="Separador de milhares 3 9 3 6 2" xfId="7023" xr:uid="{00000000-0005-0000-0000-000009A40000}"/>
    <cellStyle name="Separador de milhares 3 9 3 6 2 2" xfId="10167" xr:uid="{00000000-0005-0000-0000-00000AA40000}"/>
    <cellStyle name="Separador de milhares 3 9 3 6 2 2 2" xfId="28381" xr:uid="{00000000-0005-0000-0000-00000BA40000}"/>
    <cellStyle name="Separador de milhares 3 9 3 6 2 2 2 2" xfId="54562" xr:uid="{00000000-0005-0000-0000-00000CA40000}"/>
    <cellStyle name="Separador de milhares 3 9 3 6 2 2 3" xfId="22467" xr:uid="{00000000-0005-0000-0000-00000DA40000}"/>
    <cellStyle name="Separador de milhares 3 9 3 6 2 2 3 2" xfId="48654" xr:uid="{00000000-0005-0000-0000-00000EA40000}"/>
    <cellStyle name="Separador de milhares 3 9 3 6 2 2 4" xfId="16553" xr:uid="{00000000-0005-0000-0000-00000FA40000}"/>
    <cellStyle name="Separador de milhares 3 9 3 6 2 2 4 2" xfId="42746" xr:uid="{00000000-0005-0000-0000-000010A40000}"/>
    <cellStyle name="Separador de milhares 3 9 3 6 2 2 5" xfId="36360" xr:uid="{00000000-0005-0000-0000-000011A40000}"/>
    <cellStyle name="Separador de milhares 3 9 3 6 2 3" xfId="25424" xr:uid="{00000000-0005-0000-0000-000012A40000}"/>
    <cellStyle name="Separador de milhares 3 9 3 6 2 3 2" xfId="51608" xr:uid="{00000000-0005-0000-0000-000013A40000}"/>
    <cellStyle name="Separador de milhares 3 9 3 6 2 4" xfId="19510" xr:uid="{00000000-0005-0000-0000-000014A40000}"/>
    <cellStyle name="Separador de milhares 3 9 3 6 2 4 2" xfId="45700" xr:uid="{00000000-0005-0000-0000-000015A40000}"/>
    <cellStyle name="Separador de milhares 3 9 3 6 2 5" xfId="13412" xr:uid="{00000000-0005-0000-0000-000016A40000}"/>
    <cellStyle name="Separador de milhares 3 9 3 6 2 5 2" xfId="39605" xr:uid="{00000000-0005-0000-0000-000017A40000}"/>
    <cellStyle name="Separador de milhares 3 9 3 6 2 6" xfId="33219" xr:uid="{00000000-0005-0000-0000-000018A40000}"/>
    <cellStyle name="Separador de milhares 3 9 3 6 3" xfId="8699" xr:uid="{00000000-0005-0000-0000-000019A40000}"/>
    <cellStyle name="Separador de milhares 3 9 3 6 3 2" xfId="26913" xr:uid="{00000000-0005-0000-0000-00001AA40000}"/>
    <cellStyle name="Separador de milhares 3 9 3 6 3 2 2" xfId="53094" xr:uid="{00000000-0005-0000-0000-00001BA40000}"/>
    <cellStyle name="Separador de milhares 3 9 3 6 3 3" xfId="20999" xr:uid="{00000000-0005-0000-0000-00001CA40000}"/>
    <cellStyle name="Separador de milhares 3 9 3 6 3 3 2" xfId="47186" xr:uid="{00000000-0005-0000-0000-00001DA40000}"/>
    <cellStyle name="Separador de milhares 3 9 3 6 3 4" xfId="15085" xr:uid="{00000000-0005-0000-0000-00001EA40000}"/>
    <cellStyle name="Separador de milhares 3 9 3 6 3 4 2" xfId="41278" xr:uid="{00000000-0005-0000-0000-00001FA40000}"/>
    <cellStyle name="Separador de milhares 3 9 3 6 3 5" xfId="34892" xr:uid="{00000000-0005-0000-0000-000020A40000}"/>
    <cellStyle name="Separador de milhares 3 9 3 6 4" xfId="5324" xr:uid="{00000000-0005-0000-0000-000021A40000}"/>
    <cellStyle name="Separador de milhares 3 9 3 6 4 2" xfId="23956" xr:uid="{00000000-0005-0000-0000-000022A40000}"/>
    <cellStyle name="Separador de milhares 3 9 3 6 4 2 2" xfId="50140" xr:uid="{00000000-0005-0000-0000-000023A40000}"/>
    <cellStyle name="Separador de milhares 3 9 3 6 4 3" xfId="31520" xr:uid="{00000000-0005-0000-0000-000024A40000}"/>
    <cellStyle name="Separador de milhares 3 9 3 6 5" xfId="18042" xr:uid="{00000000-0005-0000-0000-000025A40000}"/>
    <cellStyle name="Separador de milhares 3 9 3 6 5 2" xfId="44232" xr:uid="{00000000-0005-0000-0000-000026A40000}"/>
    <cellStyle name="Separador de milhares 3 9 3 6 6" xfId="11711" xr:uid="{00000000-0005-0000-0000-000027A40000}"/>
    <cellStyle name="Separador de milhares 3 9 3 6 6 2" xfId="37904" xr:uid="{00000000-0005-0000-0000-000028A40000}"/>
    <cellStyle name="Separador de milhares 3 9 3 6 7" xfId="29822" xr:uid="{00000000-0005-0000-0000-000029A40000}"/>
    <cellStyle name="Separador de milhares 3 9 3 7" xfId="2663" xr:uid="{00000000-0005-0000-0000-00002AA40000}"/>
    <cellStyle name="Separador de milhares 3 9 3 7 2" xfId="7170" xr:uid="{00000000-0005-0000-0000-00002BA40000}"/>
    <cellStyle name="Separador de milhares 3 9 3 7 2 2" xfId="10314" xr:uid="{00000000-0005-0000-0000-00002CA40000}"/>
    <cellStyle name="Separador de milhares 3 9 3 7 2 2 2" xfId="28528" xr:uid="{00000000-0005-0000-0000-00002DA40000}"/>
    <cellStyle name="Separador de milhares 3 9 3 7 2 2 2 2" xfId="54709" xr:uid="{00000000-0005-0000-0000-00002EA40000}"/>
    <cellStyle name="Separador de milhares 3 9 3 7 2 2 3" xfId="22614" xr:uid="{00000000-0005-0000-0000-00002FA40000}"/>
    <cellStyle name="Separador de milhares 3 9 3 7 2 2 3 2" xfId="48801" xr:uid="{00000000-0005-0000-0000-000030A40000}"/>
    <cellStyle name="Separador de milhares 3 9 3 7 2 2 4" xfId="16700" xr:uid="{00000000-0005-0000-0000-000031A40000}"/>
    <cellStyle name="Separador de milhares 3 9 3 7 2 2 4 2" xfId="42893" xr:uid="{00000000-0005-0000-0000-000032A40000}"/>
    <cellStyle name="Separador de milhares 3 9 3 7 2 2 5" xfId="36507" xr:uid="{00000000-0005-0000-0000-000033A40000}"/>
    <cellStyle name="Separador de milhares 3 9 3 7 2 3" xfId="25571" xr:uid="{00000000-0005-0000-0000-000034A40000}"/>
    <cellStyle name="Separador de milhares 3 9 3 7 2 3 2" xfId="51755" xr:uid="{00000000-0005-0000-0000-000035A40000}"/>
    <cellStyle name="Separador de milhares 3 9 3 7 2 4" xfId="19657" xr:uid="{00000000-0005-0000-0000-000036A40000}"/>
    <cellStyle name="Separador de milhares 3 9 3 7 2 4 2" xfId="45847" xr:uid="{00000000-0005-0000-0000-000037A40000}"/>
    <cellStyle name="Separador de milhares 3 9 3 7 2 5" xfId="13559" xr:uid="{00000000-0005-0000-0000-000038A40000}"/>
    <cellStyle name="Separador de milhares 3 9 3 7 2 5 2" xfId="39752" xr:uid="{00000000-0005-0000-0000-000039A40000}"/>
    <cellStyle name="Separador de milhares 3 9 3 7 2 6" xfId="33366" xr:uid="{00000000-0005-0000-0000-00003AA40000}"/>
    <cellStyle name="Separador de milhares 3 9 3 7 3" xfId="8846" xr:uid="{00000000-0005-0000-0000-00003BA40000}"/>
    <cellStyle name="Separador de milhares 3 9 3 7 3 2" xfId="27060" xr:uid="{00000000-0005-0000-0000-00003CA40000}"/>
    <cellStyle name="Separador de milhares 3 9 3 7 3 2 2" xfId="53241" xr:uid="{00000000-0005-0000-0000-00003DA40000}"/>
    <cellStyle name="Separador de milhares 3 9 3 7 3 3" xfId="21146" xr:uid="{00000000-0005-0000-0000-00003EA40000}"/>
    <cellStyle name="Separador de milhares 3 9 3 7 3 3 2" xfId="47333" xr:uid="{00000000-0005-0000-0000-00003FA40000}"/>
    <cellStyle name="Separador de milhares 3 9 3 7 3 4" xfId="15232" xr:uid="{00000000-0005-0000-0000-000040A40000}"/>
    <cellStyle name="Separador de milhares 3 9 3 7 3 4 2" xfId="41425" xr:uid="{00000000-0005-0000-0000-000041A40000}"/>
    <cellStyle name="Separador de milhares 3 9 3 7 3 5" xfId="35039" xr:uid="{00000000-0005-0000-0000-000042A40000}"/>
    <cellStyle name="Separador de milhares 3 9 3 7 4" xfId="5471" xr:uid="{00000000-0005-0000-0000-000043A40000}"/>
    <cellStyle name="Separador de milhares 3 9 3 7 4 2" xfId="24103" xr:uid="{00000000-0005-0000-0000-000044A40000}"/>
    <cellStyle name="Separador de milhares 3 9 3 7 4 2 2" xfId="50287" xr:uid="{00000000-0005-0000-0000-000045A40000}"/>
    <cellStyle name="Separador de milhares 3 9 3 7 4 3" xfId="31667" xr:uid="{00000000-0005-0000-0000-000046A40000}"/>
    <cellStyle name="Separador de milhares 3 9 3 7 5" xfId="18189" xr:uid="{00000000-0005-0000-0000-000047A40000}"/>
    <cellStyle name="Separador de milhares 3 9 3 7 5 2" xfId="44379" xr:uid="{00000000-0005-0000-0000-000048A40000}"/>
    <cellStyle name="Separador de milhares 3 9 3 7 6" xfId="11858" xr:uid="{00000000-0005-0000-0000-000049A40000}"/>
    <cellStyle name="Separador de milhares 3 9 3 7 6 2" xfId="38051" xr:uid="{00000000-0005-0000-0000-00004AA40000}"/>
    <cellStyle name="Separador de milhares 3 9 3 7 7" xfId="29969" xr:uid="{00000000-0005-0000-0000-00004BA40000}"/>
    <cellStyle name="Separador de milhares 3 9 3 8" xfId="3190" xr:uid="{00000000-0005-0000-0000-00004CA40000}"/>
    <cellStyle name="Separador de milhares 3 9 3 8 2" xfId="7317" xr:uid="{00000000-0005-0000-0000-00004DA40000}"/>
    <cellStyle name="Separador de milhares 3 9 3 8 2 2" xfId="10461" xr:uid="{00000000-0005-0000-0000-00004EA40000}"/>
    <cellStyle name="Separador de milhares 3 9 3 8 2 2 2" xfId="28675" xr:uid="{00000000-0005-0000-0000-00004FA40000}"/>
    <cellStyle name="Separador de milhares 3 9 3 8 2 2 2 2" xfId="54856" xr:uid="{00000000-0005-0000-0000-000050A40000}"/>
    <cellStyle name="Separador de milhares 3 9 3 8 2 2 3" xfId="22761" xr:uid="{00000000-0005-0000-0000-000051A40000}"/>
    <cellStyle name="Separador de milhares 3 9 3 8 2 2 3 2" xfId="48948" xr:uid="{00000000-0005-0000-0000-000052A40000}"/>
    <cellStyle name="Separador de milhares 3 9 3 8 2 2 4" xfId="16847" xr:uid="{00000000-0005-0000-0000-000053A40000}"/>
    <cellStyle name="Separador de milhares 3 9 3 8 2 2 4 2" xfId="43040" xr:uid="{00000000-0005-0000-0000-000054A40000}"/>
    <cellStyle name="Separador de milhares 3 9 3 8 2 2 5" xfId="36654" xr:uid="{00000000-0005-0000-0000-000055A40000}"/>
    <cellStyle name="Separador de milhares 3 9 3 8 2 3" xfId="25718" xr:uid="{00000000-0005-0000-0000-000056A40000}"/>
    <cellStyle name="Separador de milhares 3 9 3 8 2 3 2" xfId="51902" xr:uid="{00000000-0005-0000-0000-000057A40000}"/>
    <cellStyle name="Separador de milhares 3 9 3 8 2 4" xfId="19804" xr:uid="{00000000-0005-0000-0000-000058A40000}"/>
    <cellStyle name="Separador de milhares 3 9 3 8 2 4 2" xfId="45994" xr:uid="{00000000-0005-0000-0000-000059A40000}"/>
    <cellStyle name="Separador de milhares 3 9 3 8 2 5" xfId="13706" xr:uid="{00000000-0005-0000-0000-00005AA40000}"/>
    <cellStyle name="Separador de milhares 3 9 3 8 2 5 2" xfId="39899" xr:uid="{00000000-0005-0000-0000-00005BA40000}"/>
    <cellStyle name="Separador de milhares 3 9 3 8 2 6" xfId="33513" xr:uid="{00000000-0005-0000-0000-00005CA40000}"/>
    <cellStyle name="Separador de milhares 3 9 3 8 3" xfId="8993" xr:uid="{00000000-0005-0000-0000-00005DA40000}"/>
    <cellStyle name="Separador de milhares 3 9 3 8 3 2" xfId="27207" xr:uid="{00000000-0005-0000-0000-00005EA40000}"/>
    <cellStyle name="Separador de milhares 3 9 3 8 3 2 2" xfId="53388" xr:uid="{00000000-0005-0000-0000-00005FA40000}"/>
    <cellStyle name="Separador de milhares 3 9 3 8 3 3" xfId="21293" xr:uid="{00000000-0005-0000-0000-000060A40000}"/>
    <cellStyle name="Separador de milhares 3 9 3 8 3 3 2" xfId="47480" xr:uid="{00000000-0005-0000-0000-000061A40000}"/>
    <cellStyle name="Separador de milhares 3 9 3 8 3 4" xfId="15379" xr:uid="{00000000-0005-0000-0000-000062A40000}"/>
    <cellStyle name="Separador de milhares 3 9 3 8 3 4 2" xfId="41572" xr:uid="{00000000-0005-0000-0000-000063A40000}"/>
    <cellStyle name="Separador de milhares 3 9 3 8 3 5" xfId="35186" xr:uid="{00000000-0005-0000-0000-000064A40000}"/>
    <cellStyle name="Separador de milhares 3 9 3 8 4" xfId="5618" xr:uid="{00000000-0005-0000-0000-000065A40000}"/>
    <cellStyle name="Separador de milhares 3 9 3 8 4 2" xfId="24250" xr:uid="{00000000-0005-0000-0000-000066A40000}"/>
    <cellStyle name="Separador de milhares 3 9 3 8 4 2 2" xfId="50434" xr:uid="{00000000-0005-0000-0000-000067A40000}"/>
    <cellStyle name="Separador de milhares 3 9 3 8 4 3" xfId="31814" xr:uid="{00000000-0005-0000-0000-000068A40000}"/>
    <cellStyle name="Separador de milhares 3 9 3 8 5" xfId="18336" xr:uid="{00000000-0005-0000-0000-000069A40000}"/>
    <cellStyle name="Separador de milhares 3 9 3 8 5 2" xfId="44526" xr:uid="{00000000-0005-0000-0000-00006AA40000}"/>
    <cellStyle name="Separador de milhares 3 9 3 8 6" xfId="12005" xr:uid="{00000000-0005-0000-0000-00006BA40000}"/>
    <cellStyle name="Separador de milhares 3 9 3 8 6 2" xfId="38198" xr:uid="{00000000-0005-0000-0000-00006CA40000}"/>
    <cellStyle name="Separador de milhares 3 9 3 8 7" xfId="30116" xr:uid="{00000000-0005-0000-0000-00006DA40000}"/>
    <cellStyle name="Separador de milhares 3 9 3 9" xfId="3717" xr:uid="{00000000-0005-0000-0000-00006EA40000}"/>
    <cellStyle name="Separador de milhares 3 9 3 9 2" xfId="7464" xr:uid="{00000000-0005-0000-0000-00006FA40000}"/>
    <cellStyle name="Separador de milhares 3 9 3 9 2 2" xfId="10608" xr:uid="{00000000-0005-0000-0000-000070A40000}"/>
    <cellStyle name="Separador de milhares 3 9 3 9 2 2 2" xfId="28822" xr:uid="{00000000-0005-0000-0000-000071A40000}"/>
    <cellStyle name="Separador de milhares 3 9 3 9 2 2 2 2" xfId="55003" xr:uid="{00000000-0005-0000-0000-000072A40000}"/>
    <cellStyle name="Separador de milhares 3 9 3 9 2 2 3" xfId="22908" xr:uid="{00000000-0005-0000-0000-000073A40000}"/>
    <cellStyle name="Separador de milhares 3 9 3 9 2 2 3 2" xfId="49095" xr:uid="{00000000-0005-0000-0000-000074A40000}"/>
    <cellStyle name="Separador de milhares 3 9 3 9 2 2 4" xfId="16994" xr:uid="{00000000-0005-0000-0000-000075A40000}"/>
    <cellStyle name="Separador de milhares 3 9 3 9 2 2 4 2" xfId="43187" xr:uid="{00000000-0005-0000-0000-000076A40000}"/>
    <cellStyle name="Separador de milhares 3 9 3 9 2 2 5" xfId="36801" xr:uid="{00000000-0005-0000-0000-000077A40000}"/>
    <cellStyle name="Separador de milhares 3 9 3 9 2 3" xfId="25865" xr:uid="{00000000-0005-0000-0000-000078A40000}"/>
    <cellStyle name="Separador de milhares 3 9 3 9 2 3 2" xfId="52049" xr:uid="{00000000-0005-0000-0000-000079A40000}"/>
    <cellStyle name="Separador de milhares 3 9 3 9 2 4" xfId="19951" xr:uid="{00000000-0005-0000-0000-00007AA40000}"/>
    <cellStyle name="Separador de milhares 3 9 3 9 2 4 2" xfId="46141" xr:uid="{00000000-0005-0000-0000-00007BA40000}"/>
    <cellStyle name="Separador de milhares 3 9 3 9 2 5" xfId="13853" xr:uid="{00000000-0005-0000-0000-00007CA40000}"/>
    <cellStyle name="Separador de milhares 3 9 3 9 2 5 2" xfId="40046" xr:uid="{00000000-0005-0000-0000-00007DA40000}"/>
    <cellStyle name="Separador de milhares 3 9 3 9 2 6" xfId="33660" xr:uid="{00000000-0005-0000-0000-00007EA40000}"/>
    <cellStyle name="Separador de milhares 3 9 3 9 3" xfId="9140" xr:uid="{00000000-0005-0000-0000-00007FA40000}"/>
    <cellStyle name="Separador de milhares 3 9 3 9 3 2" xfId="27354" xr:uid="{00000000-0005-0000-0000-000080A40000}"/>
    <cellStyle name="Separador de milhares 3 9 3 9 3 2 2" xfId="53535" xr:uid="{00000000-0005-0000-0000-000081A40000}"/>
    <cellStyle name="Separador de milhares 3 9 3 9 3 3" xfId="21440" xr:uid="{00000000-0005-0000-0000-000082A40000}"/>
    <cellStyle name="Separador de milhares 3 9 3 9 3 3 2" xfId="47627" xr:uid="{00000000-0005-0000-0000-000083A40000}"/>
    <cellStyle name="Separador de milhares 3 9 3 9 3 4" xfId="15526" xr:uid="{00000000-0005-0000-0000-000084A40000}"/>
    <cellStyle name="Separador de milhares 3 9 3 9 3 4 2" xfId="41719" xr:uid="{00000000-0005-0000-0000-000085A40000}"/>
    <cellStyle name="Separador de milhares 3 9 3 9 3 5" xfId="35333" xr:uid="{00000000-0005-0000-0000-000086A40000}"/>
    <cellStyle name="Separador de milhares 3 9 3 9 4" xfId="5765" xr:uid="{00000000-0005-0000-0000-000087A40000}"/>
    <cellStyle name="Separador de milhares 3 9 3 9 4 2" xfId="24397" xr:uid="{00000000-0005-0000-0000-000088A40000}"/>
    <cellStyle name="Separador de milhares 3 9 3 9 4 2 2" xfId="50581" xr:uid="{00000000-0005-0000-0000-000089A40000}"/>
    <cellStyle name="Separador de milhares 3 9 3 9 4 3" xfId="31961" xr:uid="{00000000-0005-0000-0000-00008AA40000}"/>
    <cellStyle name="Separador de milhares 3 9 3 9 5" xfId="18483" xr:uid="{00000000-0005-0000-0000-00008BA40000}"/>
    <cellStyle name="Separador de milhares 3 9 3 9 5 2" xfId="44673" xr:uid="{00000000-0005-0000-0000-00008CA40000}"/>
    <cellStyle name="Separador de milhares 3 9 3 9 6" xfId="12152" xr:uid="{00000000-0005-0000-0000-00008DA40000}"/>
    <cellStyle name="Separador de milhares 3 9 3 9 6 2" xfId="38345" xr:uid="{00000000-0005-0000-0000-00008EA40000}"/>
    <cellStyle name="Separador de milhares 3 9 3 9 7" xfId="30263" xr:uid="{00000000-0005-0000-0000-00008FA40000}"/>
    <cellStyle name="Separador de milhares 3 9 4" xfId="353" xr:uid="{00000000-0005-0000-0000-000090A40000}"/>
    <cellStyle name="Separador de milhares 3 9 4 10" xfId="6511" xr:uid="{00000000-0005-0000-0000-000091A40000}"/>
    <cellStyle name="Separador de milhares 3 9 4 10 2" xfId="9659" xr:uid="{00000000-0005-0000-0000-000092A40000}"/>
    <cellStyle name="Separador de milhares 3 9 4 10 2 2" xfId="27873" xr:uid="{00000000-0005-0000-0000-000093A40000}"/>
    <cellStyle name="Separador de milhares 3 9 4 10 2 2 2" xfId="54054" xr:uid="{00000000-0005-0000-0000-000094A40000}"/>
    <cellStyle name="Separador de milhares 3 9 4 10 2 3" xfId="21959" xr:uid="{00000000-0005-0000-0000-000095A40000}"/>
    <cellStyle name="Separador de milhares 3 9 4 10 2 3 2" xfId="48146" xr:uid="{00000000-0005-0000-0000-000096A40000}"/>
    <cellStyle name="Separador de milhares 3 9 4 10 2 4" xfId="16045" xr:uid="{00000000-0005-0000-0000-000097A40000}"/>
    <cellStyle name="Separador de milhares 3 9 4 10 2 4 2" xfId="42238" xr:uid="{00000000-0005-0000-0000-000098A40000}"/>
    <cellStyle name="Separador de milhares 3 9 4 10 2 5" xfId="35852" xr:uid="{00000000-0005-0000-0000-000099A40000}"/>
    <cellStyle name="Separador de milhares 3 9 4 10 3" xfId="24916" xr:uid="{00000000-0005-0000-0000-00009AA40000}"/>
    <cellStyle name="Separador de milhares 3 9 4 10 3 2" xfId="51100" xr:uid="{00000000-0005-0000-0000-00009BA40000}"/>
    <cellStyle name="Separador de milhares 3 9 4 10 4" xfId="19002" xr:uid="{00000000-0005-0000-0000-00009CA40000}"/>
    <cellStyle name="Separador de milhares 3 9 4 10 4 2" xfId="45192" xr:uid="{00000000-0005-0000-0000-00009DA40000}"/>
    <cellStyle name="Separador de milhares 3 9 4 10 5" xfId="12900" xr:uid="{00000000-0005-0000-0000-00009EA40000}"/>
    <cellStyle name="Separador de milhares 3 9 4 10 5 2" xfId="39093" xr:uid="{00000000-0005-0000-0000-00009FA40000}"/>
    <cellStyle name="Separador de milhares 3 9 4 10 6" xfId="32707" xr:uid="{00000000-0005-0000-0000-0000A0A40000}"/>
    <cellStyle name="Separador de milhares 3 9 4 11" xfId="8188" xr:uid="{00000000-0005-0000-0000-0000A1A40000}"/>
    <cellStyle name="Separador de milhares 3 9 4 11 2" xfId="26402" xr:uid="{00000000-0005-0000-0000-0000A2A40000}"/>
    <cellStyle name="Separador de milhares 3 9 4 11 2 2" xfId="52586" xr:uid="{00000000-0005-0000-0000-0000A3A40000}"/>
    <cellStyle name="Separador de milhares 3 9 4 11 3" xfId="20488" xr:uid="{00000000-0005-0000-0000-0000A4A40000}"/>
    <cellStyle name="Separador de milhares 3 9 4 11 3 2" xfId="46678" xr:uid="{00000000-0005-0000-0000-0000A5A40000}"/>
    <cellStyle name="Separador de milhares 3 9 4 11 4" xfId="14577" xr:uid="{00000000-0005-0000-0000-0000A6A40000}"/>
    <cellStyle name="Separador de milhares 3 9 4 11 4 2" xfId="40770" xr:uid="{00000000-0005-0000-0000-0000A7A40000}"/>
    <cellStyle name="Separador de milhares 3 9 4 11 5" xfId="34384" xr:uid="{00000000-0005-0000-0000-0000A8A40000}"/>
    <cellStyle name="Separador de milhares 3 9 4 12" xfId="4810" xr:uid="{00000000-0005-0000-0000-0000A9A40000}"/>
    <cellStyle name="Separador de milhares 3 9 4 12 2" xfId="23445" xr:uid="{00000000-0005-0000-0000-0000AAA40000}"/>
    <cellStyle name="Separador de milhares 3 9 4 12 2 2" xfId="49632" xr:uid="{00000000-0005-0000-0000-0000ABA40000}"/>
    <cellStyle name="Separador de milhares 3 9 4 12 3" xfId="31008" xr:uid="{00000000-0005-0000-0000-0000ACA40000}"/>
    <cellStyle name="Separador de milhares 3 9 4 13" xfId="17531" xr:uid="{00000000-0005-0000-0000-0000ADA40000}"/>
    <cellStyle name="Separador de milhares 3 9 4 13 2" xfId="43724" xr:uid="{00000000-0005-0000-0000-0000AEA40000}"/>
    <cellStyle name="Separador de milhares 3 9 4 14" xfId="11199" xr:uid="{00000000-0005-0000-0000-0000AFA40000}"/>
    <cellStyle name="Separador de milhares 3 9 4 14 2" xfId="37392" xr:uid="{00000000-0005-0000-0000-0000B0A40000}"/>
    <cellStyle name="Separador de milhares 3 9 4 15" xfId="29310" xr:uid="{00000000-0005-0000-0000-0000B1A40000}"/>
    <cellStyle name="Separador de milhares 3 9 4 2" xfId="998" xr:uid="{00000000-0005-0000-0000-0000B2A40000}"/>
    <cellStyle name="Separador de milhares 3 9 4 2 2" xfId="6708" xr:uid="{00000000-0005-0000-0000-0000B3A40000}"/>
    <cellStyle name="Separador de milhares 3 9 4 2 2 2" xfId="9855" xr:uid="{00000000-0005-0000-0000-0000B4A40000}"/>
    <cellStyle name="Separador de milhares 3 9 4 2 2 2 2" xfId="28069" xr:uid="{00000000-0005-0000-0000-0000B5A40000}"/>
    <cellStyle name="Separador de milhares 3 9 4 2 2 2 2 2" xfId="54250" xr:uid="{00000000-0005-0000-0000-0000B6A40000}"/>
    <cellStyle name="Separador de milhares 3 9 4 2 2 2 3" xfId="22155" xr:uid="{00000000-0005-0000-0000-0000B7A40000}"/>
    <cellStyle name="Separador de milhares 3 9 4 2 2 2 3 2" xfId="48342" xr:uid="{00000000-0005-0000-0000-0000B8A40000}"/>
    <cellStyle name="Separador de milhares 3 9 4 2 2 2 4" xfId="16241" xr:uid="{00000000-0005-0000-0000-0000B9A40000}"/>
    <cellStyle name="Separador de milhares 3 9 4 2 2 2 4 2" xfId="42434" xr:uid="{00000000-0005-0000-0000-0000BAA40000}"/>
    <cellStyle name="Separador de milhares 3 9 4 2 2 2 5" xfId="36048" xr:uid="{00000000-0005-0000-0000-0000BBA40000}"/>
    <cellStyle name="Separador de milhares 3 9 4 2 2 3" xfId="25112" xr:uid="{00000000-0005-0000-0000-0000BCA40000}"/>
    <cellStyle name="Separador de milhares 3 9 4 2 2 3 2" xfId="51296" xr:uid="{00000000-0005-0000-0000-0000BDA40000}"/>
    <cellStyle name="Separador de milhares 3 9 4 2 2 4" xfId="19198" xr:uid="{00000000-0005-0000-0000-0000BEA40000}"/>
    <cellStyle name="Separador de milhares 3 9 4 2 2 4 2" xfId="45388" xr:uid="{00000000-0005-0000-0000-0000BFA40000}"/>
    <cellStyle name="Separador de milhares 3 9 4 2 2 5" xfId="13097" xr:uid="{00000000-0005-0000-0000-0000C0A40000}"/>
    <cellStyle name="Separador de milhares 3 9 4 2 2 5 2" xfId="39290" xr:uid="{00000000-0005-0000-0000-0000C1A40000}"/>
    <cellStyle name="Separador de milhares 3 9 4 2 2 6" xfId="32904" xr:uid="{00000000-0005-0000-0000-0000C2A40000}"/>
    <cellStyle name="Separador de milhares 3 9 4 2 3" xfId="8387" xr:uid="{00000000-0005-0000-0000-0000C3A40000}"/>
    <cellStyle name="Separador de milhares 3 9 4 2 3 2" xfId="26601" xr:uid="{00000000-0005-0000-0000-0000C4A40000}"/>
    <cellStyle name="Separador de milhares 3 9 4 2 3 2 2" xfId="52782" xr:uid="{00000000-0005-0000-0000-0000C5A40000}"/>
    <cellStyle name="Separador de milhares 3 9 4 2 3 3" xfId="20687" xr:uid="{00000000-0005-0000-0000-0000C6A40000}"/>
    <cellStyle name="Separador de milhares 3 9 4 2 3 3 2" xfId="46874" xr:uid="{00000000-0005-0000-0000-0000C7A40000}"/>
    <cellStyle name="Separador de milhares 3 9 4 2 3 4" xfId="14773" xr:uid="{00000000-0005-0000-0000-0000C8A40000}"/>
    <cellStyle name="Separador de milhares 3 9 4 2 3 4 2" xfId="40966" xr:uid="{00000000-0005-0000-0000-0000C9A40000}"/>
    <cellStyle name="Separador de milhares 3 9 4 2 3 5" xfId="34580" xr:uid="{00000000-0005-0000-0000-0000CAA40000}"/>
    <cellStyle name="Separador de milhares 3 9 4 2 4" xfId="5009" xr:uid="{00000000-0005-0000-0000-0000CBA40000}"/>
    <cellStyle name="Separador de milhares 3 9 4 2 4 2" xfId="23644" xr:uid="{00000000-0005-0000-0000-0000CCA40000}"/>
    <cellStyle name="Separador de milhares 3 9 4 2 4 2 2" xfId="49828" xr:uid="{00000000-0005-0000-0000-0000CDA40000}"/>
    <cellStyle name="Separador de milhares 3 9 4 2 4 3" xfId="31205" xr:uid="{00000000-0005-0000-0000-0000CEA40000}"/>
    <cellStyle name="Separador de milhares 3 9 4 2 5" xfId="17730" xr:uid="{00000000-0005-0000-0000-0000CFA40000}"/>
    <cellStyle name="Separador de milhares 3 9 4 2 5 2" xfId="43920" xr:uid="{00000000-0005-0000-0000-0000D0A40000}"/>
    <cellStyle name="Separador de milhares 3 9 4 2 6" xfId="11396" xr:uid="{00000000-0005-0000-0000-0000D1A40000}"/>
    <cellStyle name="Separador de milhares 3 9 4 2 6 2" xfId="37589" xr:uid="{00000000-0005-0000-0000-0000D2A40000}"/>
    <cellStyle name="Separador de milhares 3 9 4 2 7" xfId="29507" xr:uid="{00000000-0005-0000-0000-0000D3A40000}"/>
    <cellStyle name="Separador de milhares 3 9 4 3" xfId="1349" xr:uid="{00000000-0005-0000-0000-0000D4A40000}"/>
    <cellStyle name="Separador de milhares 3 9 4 3 2" xfId="6806" xr:uid="{00000000-0005-0000-0000-0000D5A40000}"/>
    <cellStyle name="Separador de milhares 3 9 4 3 2 2" xfId="9953" xr:uid="{00000000-0005-0000-0000-0000D6A40000}"/>
    <cellStyle name="Separador de milhares 3 9 4 3 2 2 2" xfId="28167" xr:uid="{00000000-0005-0000-0000-0000D7A40000}"/>
    <cellStyle name="Separador de milhares 3 9 4 3 2 2 2 2" xfId="54348" xr:uid="{00000000-0005-0000-0000-0000D8A40000}"/>
    <cellStyle name="Separador de milhares 3 9 4 3 2 2 3" xfId="22253" xr:uid="{00000000-0005-0000-0000-0000D9A40000}"/>
    <cellStyle name="Separador de milhares 3 9 4 3 2 2 3 2" xfId="48440" xr:uid="{00000000-0005-0000-0000-0000DAA40000}"/>
    <cellStyle name="Separador de milhares 3 9 4 3 2 2 4" xfId="16339" xr:uid="{00000000-0005-0000-0000-0000DBA40000}"/>
    <cellStyle name="Separador de milhares 3 9 4 3 2 2 4 2" xfId="42532" xr:uid="{00000000-0005-0000-0000-0000DCA40000}"/>
    <cellStyle name="Separador de milhares 3 9 4 3 2 2 5" xfId="36146" xr:uid="{00000000-0005-0000-0000-0000DDA40000}"/>
    <cellStyle name="Separador de milhares 3 9 4 3 2 3" xfId="25210" xr:uid="{00000000-0005-0000-0000-0000DEA40000}"/>
    <cellStyle name="Separador de milhares 3 9 4 3 2 3 2" xfId="51394" xr:uid="{00000000-0005-0000-0000-0000DFA40000}"/>
    <cellStyle name="Separador de milhares 3 9 4 3 2 4" xfId="19296" xr:uid="{00000000-0005-0000-0000-0000E0A40000}"/>
    <cellStyle name="Separador de milhares 3 9 4 3 2 4 2" xfId="45486" xr:uid="{00000000-0005-0000-0000-0000E1A40000}"/>
    <cellStyle name="Separador de milhares 3 9 4 3 2 5" xfId="13195" xr:uid="{00000000-0005-0000-0000-0000E2A40000}"/>
    <cellStyle name="Separador de milhares 3 9 4 3 2 5 2" xfId="39388" xr:uid="{00000000-0005-0000-0000-0000E3A40000}"/>
    <cellStyle name="Separador de milhares 3 9 4 3 2 6" xfId="33002" xr:uid="{00000000-0005-0000-0000-0000E4A40000}"/>
    <cellStyle name="Separador de milhares 3 9 4 3 3" xfId="8485" xr:uid="{00000000-0005-0000-0000-0000E5A40000}"/>
    <cellStyle name="Separador de milhares 3 9 4 3 3 2" xfId="26699" xr:uid="{00000000-0005-0000-0000-0000E6A40000}"/>
    <cellStyle name="Separador de milhares 3 9 4 3 3 2 2" xfId="52880" xr:uid="{00000000-0005-0000-0000-0000E7A40000}"/>
    <cellStyle name="Separador de milhares 3 9 4 3 3 3" xfId="20785" xr:uid="{00000000-0005-0000-0000-0000E8A40000}"/>
    <cellStyle name="Separador de milhares 3 9 4 3 3 3 2" xfId="46972" xr:uid="{00000000-0005-0000-0000-0000E9A40000}"/>
    <cellStyle name="Separador de milhares 3 9 4 3 3 4" xfId="14871" xr:uid="{00000000-0005-0000-0000-0000EAA40000}"/>
    <cellStyle name="Separador de milhares 3 9 4 3 3 4 2" xfId="41064" xr:uid="{00000000-0005-0000-0000-0000EBA40000}"/>
    <cellStyle name="Separador de milhares 3 9 4 3 3 5" xfId="34678" xr:uid="{00000000-0005-0000-0000-0000ECA40000}"/>
    <cellStyle name="Separador de milhares 3 9 4 3 4" xfId="5107" xr:uid="{00000000-0005-0000-0000-0000EDA40000}"/>
    <cellStyle name="Separador de milhares 3 9 4 3 4 2" xfId="23742" xr:uid="{00000000-0005-0000-0000-0000EEA40000}"/>
    <cellStyle name="Separador de milhares 3 9 4 3 4 2 2" xfId="49926" xr:uid="{00000000-0005-0000-0000-0000EFA40000}"/>
    <cellStyle name="Separador de milhares 3 9 4 3 4 3" xfId="31303" xr:uid="{00000000-0005-0000-0000-0000F0A40000}"/>
    <cellStyle name="Separador de milhares 3 9 4 3 5" xfId="17828" xr:uid="{00000000-0005-0000-0000-0000F1A40000}"/>
    <cellStyle name="Separador de milhares 3 9 4 3 5 2" xfId="44018" xr:uid="{00000000-0005-0000-0000-0000F2A40000}"/>
    <cellStyle name="Separador de milhares 3 9 4 3 6" xfId="11494" xr:uid="{00000000-0005-0000-0000-0000F3A40000}"/>
    <cellStyle name="Separador de milhares 3 9 4 3 6 2" xfId="37687" xr:uid="{00000000-0005-0000-0000-0000F4A40000}"/>
    <cellStyle name="Separador de milhares 3 9 4 3 7" xfId="29605" xr:uid="{00000000-0005-0000-0000-0000F5A40000}"/>
    <cellStyle name="Separador de milhares 3 9 4 4" xfId="1784" xr:uid="{00000000-0005-0000-0000-0000F6A40000}"/>
    <cellStyle name="Separador de milhares 3 9 4 4 2" xfId="6925" xr:uid="{00000000-0005-0000-0000-0000F7A40000}"/>
    <cellStyle name="Separador de milhares 3 9 4 4 2 2" xfId="10072" xr:uid="{00000000-0005-0000-0000-0000F8A40000}"/>
    <cellStyle name="Separador de milhares 3 9 4 4 2 2 2" xfId="28286" xr:uid="{00000000-0005-0000-0000-0000F9A40000}"/>
    <cellStyle name="Separador de milhares 3 9 4 4 2 2 2 2" xfId="54467" xr:uid="{00000000-0005-0000-0000-0000FAA40000}"/>
    <cellStyle name="Separador de milhares 3 9 4 4 2 2 3" xfId="22372" xr:uid="{00000000-0005-0000-0000-0000FBA40000}"/>
    <cellStyle name="Separador de milhares 3 9 4 4 2 2 3 2" xfId="48559" xr:uid="{00000000-0005-0000-0000-0000FCA40000}"/>
    <cellStyle name="Separador de milhares 3 9 4 4 2 2 4" xfId="16458" xr:uid="{00000000-0005-0000-0000-0000FDA40000}"/>
    <cellStyle name="Separador de milhares 3 9 4 4 2 2 4 2" xfId="42651" xr:uid="{00000000-0005-0000-0000-0000FEA40000}"/>
    <cellStyle name="Separador de milhares 3 9 4 4 2 2 5" xfId="36265" xr:uid="{00000000-0005-0000-0000-0000FFA40000}"/>
    <cellStyle name="Separador de milhares 3 9 4 4 2 3" xfId="25329" xr:uid="{00000000-0005-0000-0000-000000A50000}"/>
    <cellStyle name="Separador de milhares 3 9 4 4 2 3 2" xfId="51513" xr:uid="{00000000-0005-0000-0000-000001A50000}"/>
    <cellStyle name="Separador de milhares 3 9 4 4 2 4" xfId="19415" xr:uid="{00000000-0005-0000-0000-000002A50000}"/>
    <cellStyle name="Separador de milhares 3 9 4 4 2 4 2" xfId="45605" xr:uid="{00000000-0005-0000-0000-000003A50000}"/>
    <cellStyle name="Separador de milhares 3 9 4 4 2 5" xfId="13314" xr:uid="{00000000-0005-0000-0000-000004A50000}"/>
    <cellStyle name="Separador de milhares 3 9 4 4 2 5 2" xfId="39507" xr:uid="{00000000-0005-0000-0000-000005A50000}"/>
    <cellStyle name="Separador de milhares 3 9 4 4 2 6" xfId="33121" xr:uid="{00000000-0005-0000-0000-000006A50000}"/>
    <cellStyle name="Separador de milhares 3 9 4 4 3" xfId="8604" xr:uid="{00000000-0005-0000-0000-000007A50000}"/>
    <cellStyle name="Separador de milhares 3 9 4 4 3 2" xfId="26818" xr:uid="{00000000-0005-0000-0000-000008A50000}"/>
    <cellStyle name="Separador de milhares 3 9 4 4 3 2 2" xfId="52999" xr:uid="{00000000-0005-0000-0000-000009A50000}"/>
    <cellStyle name="Separador de milhares 3 9 4 4 3 3" xfId="20904" xr:uid="{00000000-0005-0000-0000-00000AA50000}"/>
    <cellStyle name="Separador de milhares 3 9 4 4 3 3 2" xfId="47091" xr:uid="{00000000-0005-0000-0000-00000BA50000}"/>
    <cellStyle name="Separador de milhares 3 9 4 4 3 4" xfId="14990" xr:uid="{00000000-0005-0000-0000-00000CA50000}"/>
    <cellStyle name="Separador de milhares 3 9 4 4 3 4 2" xfId="41183" xr:uid="{00000000-0005-0000-0000-00000DA50000}"/>
    <cellStyle name="Separador de milhares 3 9 4 4 3 5" xfId="34797" xr:uid="{00000000-0005-0000-0000-00000EA50000}"/>
    <cellStyle name="Separador de milhares 3 9 4 4 4" xfId="5226" xr:uid="{00000000-0005-0000-0000-00000FA50000}"/>
    <cellStyle name="Separador de milhares 3 9 4 4 4 2" xfId="23861" xr:uid="{00000000-0005-0000-0000-000010A50000}"/>
    <cellStyle name="Separador de milhares 3 9 4 4 4 2 2" xfId="50045" xr:uid="{00000000-0005-0000-0000-000011A50000}"/>
    <cellStyle name="Separador de milhares 3 9 4 4 4 3" xfId="31422" xr:uid="{00000000-0005-0000-0000-000012A50000}"/>
    <cellStyle name="Separador de milhares 3 9 4 4 5" xfId="17947" xr:uid="{00000000-0005-0000-0000-000013A50000}"/>
    <cellStyle name="Separador de milhares 3 9 4 4 5 2" xfId="44137" xr:uid="{00000000-0005-0000-0000-000014A50000}"/>
    <cellStyle name="Separador de milhares 3 9 4 4 6" xfId="11613" xr:uid="{00000000-0005-0000-0000-000015A50000}"/>
    <cellStyle name="Separador de milhares 3 9 4 4 6 2" xfId="37806" xr:uid="{00000000-0005-0000-0000-000016A50000}"/>
    <cellStyle name="Separador de milhares 3 9 4 4 7" xfId="29724" xr:uid="{00000000-0005-0000-0000-000017A50000}"/>
    <cellStyle name="Separador de milhares 3 9 4 5" xfId="2314" xr:uid="{00000000-0005-0000-0000-000018A50000}"/>
    <cellStyle name="Separador de milhares 3 9 4 5 2" xfId="7075" xr:uid="{00000000-0005-0000-0000-000019A50000}"/>
    <cellStyle name="Separador de milhares 3 9 4 5 2 2" xfId="10219" xr:uid="{00000000-0005-0000-0000-00001AA50000}"/>
    <cellStyle name="Separador de milhares 3 9 4 5 2 2 2" xfId="28433" xr:uid="{00000000-0005-0000-0000-00001BA50000}"/>
    <cellStyle name="Separador de milhares 3 9 4 5 2 2 2 2" xfId="54614" xr:uid="{00000000-0005-0000-0000-00001CA50000}"/>
    <cellStyle name="Separador de milhares 3 9 4 5 2 2 3" xfId="22519" xr:uid="{00000000-0005-0000-0000-00001DA50000}"/>
    <cellStyle name="Separador de milhares 3 9 4 5 2 2 3 2" xfId="48706" xr:uid="{00000000-0005-0000-0000-00001EA50000}"/>
    <cellStyle name="Separador de milhares 3 9 4 5 2 2 4" xfId="16605" xr:uid="{00000000-0005-0000-0000-00001FA50000}"/>
    <cellStyle name="Separador de milhares 3 9 4 5 2 2 4 2" xfId="42798" xr:uid="{00000000-0005-0000-0000-000020A50000}"/>
    <cellStyle name="Separador de milhares 3 9 4 5 2 2 5" xfId="36412" xr:uid="{00000000-0005-0000-0000-000021A50000}"/>
    <cellStyle name="Separador de milhares 3 9 4 5 2 3" xfId="25476" xr:uid="{00000000-0005-0000-0000-000022A50000}"/>
    <cellStyle name="Separador de milhares 3 9 4 5 2 3 2" xfId="51660" xr:uid="{00000000-0005-0000-0000-000023A50000}"/>
    <cellStyle name="Separador de milhares 3 9 4 5 2 4" xfId="19562" xr:uid="{00000000-0005-0000-0000-000024A50000}"/>
    <cellStyle name="Separador de milhares 3 9 4 5 2 4 2" xfId="45752" xr:uid="{00000000-0005-0000-0000-000025A50000}"/>
    <cellStyle name="Separador de milhares 3 9 4 5 2 5" xfId="13464" xr:uid="{00000000-0005-0000-0000-000026A50000}"/>
    <cellStyle name="Separador de milhares 3 9 4 5 2 5 2" xfId="39657" xr:uid="{00000000-0005-0000-0000-000027A50000}"/>
    <cellStyle name="Separador de milhares 3 9 4 5 2 6" xfId="33271" xr:uid="{00000000-0005-0000-0000-000028A50000}"/>
    <cellStyle name="Separador de milhares 3 9 4 5 3" xfId="8751" xr:uid="{00000000-0005-0000-0000-000029A50000}"/>
    <cellStyle name="Separador de milhares 3 9 4 5 3 2" xfId="26965" xr:uid="{00000000-0005-0000-0000-00002AA50000}"/>
    <cellStyle name="Separador de milhares 3 9 4 5 3 2 2" xfId="53146" xr:uid="{00000000-0005-0000-0000-00002BA50000}"/>
    <cellStyle name="Separador de milhares 3 9 4 5 3 3" xfId="21051" xr:uid="{00000000-0005-0000-0000-00002CA50000}"/>
    <cellStyle name="Separador de milhares 3 9 4 5 3 3 2" xfId="47238" xr:uid="{00000000-0005-0000-0000-00002DA50000}"/>
    <cellStyle name="Separador de milhares 3 9 4 5 3 4" xfId="15137" xr:uid="{00000000-0005-0000-0000-00002EA50000}"/>
    <cellStyle name="Separador de milhares 3 9 4 5 3 4 2" xfId="41330" xr:uid="{00000000-0005-0000-0000-00002FA50000}"/>
    <cellStyle name="Separador de milhares 3 9 4 5 3 5" xfId="34944" xr:uid="{00000000-0005-0000-0000-000030A50000}"/>
    <cellStyle name="Separador de milhares 3 9 4 5 4" xfId="5376" xr:uid="{00000000-0005-0000-0000-000031A50000}"/>
    <cellStyle name="Separador de milhares 3 9 4 5 4 2" xfId="24008" xr:uid="{00000000-0005-0000-0000-000032A50000}"/>
    <cellStyle name="Separador de milhares 3 9 4 5 4 2 2" xfId="50192" xr:uid="{00000000-0005-0000-0000-000033A50000}"/>
    <cellStyle name="Separador de milhares 3 9 4 5 4 3" xfId="31572" xr:uid="{00000000-0005-0000-0000-000034A50000}"/>
    <cellStyle name="Separador de milhares 3 9 4 5 5" xfId="18094" xr:uid="{00000000-0005-0000-0000-000035A50000}"/>
    <cellStyle name="Separador de milhares 3 9 4 5 5 2" xfId="44284" xr:uid="{00000000-0005-0000-0000-000036A50000}"/>
    <cellStyle name="Separador de milhares 3 9 4 5 6" xfId="11763" xr:uid="{00000000-0005-0000-0000-000037A50000}"/>
    <cellStyle name="Separador de milhares 3 9 4 5 6 2" xfId="37956" xr:uid="{00000000-0005-0000-0000-000038A50000}"/>
    <cellStyle name="Separador de milhares 3 9 4 5 7" xfId="29874" xr:uid="{00000000-0005-0000-0000-000039A50000}"/>
    <cellStyle name="Separador de milhares 3 9 4 6" xfId="2841" xr:uid="{00000000-0005-0000-0000-00003AA50000}"/>
    <cellStyle name="Separador de milhares 3 9 4 6 2" xfId="7222" xr:uid="{00000000-0005-0000-0000-00003BA50000}"/>
    <cellStyle name="Separador de milhares 3 9 4 6 2 2" xfId="10366" xr:uid="{00000000-0005-0000-0000-00003CA50000}"/>
    <cellStyle name="Separador de milhares 3 9 4 6 2 2 2" xfId="28580" xr:uid="{00000000-0005-0000-0000-00003DA50000}"/>
    <cellStyle name="Separador de milhares 3 9 4 6 2 2 2 2" xfId="54761" xr:uid="{00000000-0005-0000-0000-00003EA50000}"/>
    <cellStyle name="Separador de milhares 3 9 4 6 2 2 3" xfId="22666" xr:uid="{00000000-0005-0000-0000-00003FA50000}"/>
    <cellStyle name="Separador de milhares 3 9 4 6 2 2 3 2" xfId="48853" xr:uid="{00000000-0005-0000-0000-000040A50000}"/>
    <cellStyle name="Separador de milhares 3 9 4 6 2 2 4" xfId="16752" xr:uid="{00000000-0005-0000-0000-000041A50000}"/>
    <cellStyle name="Separador de milhares 3 9 4 6 2 2 4 2" xfId="42945" xr:uid="{00000000-0005-0000-0000-000042A50000}"/>
    <cellStyle name="Separador de milhares 3 9 4 6 2 2 5" xfId="36559" xr:uid="{00000000-0005-0000-0000-000043A50000}"/>
    <cellStyle name="Separador de milhares 3 9 4 6 2 3" xfId="25623" xr:uid="{00000000-0005-0000-0000-000044A50000}"/>
    <cellStyle name="Separador de milhares 3 9 4 6 2 3 2" xfId="51807" xr:uid="{00000000-0005-0000-0000-000045A50000}"/>
    <cellStyle name="Separador de milhares 3 9 4 6 2 4" xfId="19709" xr:uid="{00000000-0005-0000-0000-000046A50000}"/>
    <cellStyle name="Separador de milhares 3 9 4 6 2 4 2" xfId="45899" xr:uid="{00000000-0005-0000-0000-000047A50000}"/>
    <cellStyle name="Separador de milhares 3 9 4 6 2 5" xfId="13611" xr:uid="{00000000-0005-0000-0000-000048A50000}"/>
    <cellStyle name="Separador de milhares 3 9 4 6 2 5 2" xfId="39804" xr:uid="{00000000-0005-0000-0000-000049A50000}"/>
    <cellStyle name="Separador de milhares 3 9 4 6 2 6" xfId="33418" xr:uid="{00000000-0005-0000-0000-00004AA50000}"/>
    <cellStyle name="Separador de milhares 3 9 4 6 3" xfId="8898" xr:uid="{00000000-0005-0000-0000-00004BA50000}"/>
    <cellStyle name="Separador de milhares 3 9 4 6 3 2" xfId="27112" xr:uid="{00000000-0005-0000-0000-00004CA50000}"/>
    <cellStyle name="Separador de milhares 3 9 4 6 3 2 2" xfId="53293" xr:uid="{00000000-0005-0000-0000-00004DA50000}"/>
    <cellStyle name="Separador de milhares 3 9 4 6 3 3" xfId="21198" xr:uid="{00000000-0005-0000-0000-00004EA50000}"/>
    <cellStyle name="Separador de milhares 3 9 4 6 3 3 2" xfId="47385" xr:uid="{00000000-0005-0000-0000-00004FA50000}"/>
    <cellStyle name="Separador de milhares 3 9 4 6 3 4" xfId="15284" xr:uid="{00000000-0005-0000-0000-000050A50000}"/>
    <cellStyle name="Separador de milhares 3 9 4 6 3 4 2" xfId="41477" xr:uid="{00000000-0005-0000-0000-000051A50000}"/>
    <cellStyle name="Separador de milhares 3 9 4 6 3 5" xfId="35091" xr:uid="{00000000-0005-0000-0000-000052A50000}"/>
    <cellStyle name="Separador de milhares 3 9 4 6 4" xfId="5523" xr:uid="{00000000-0005-0000-0000-000053A50000}"/>
    <cellStyle name="Separador de milhares 3 9 4 6 4 2" xfId="24155" xr:uid="{00000000-0005-0000-0000-000054A50000}"/>
    <cellStyle name="Separador de milhares 3 9 4 6 4 2 2" xfId="50339" xr:uid="{00000000-0005-0000-0000-000055A50000}"/>
    <cellStyle name="Separador de milhares 3 9 4 6 4 3" xfId="31719" xr:uid="{00000000-0005-0000-0000-000056A50000}"/>
    <cellStyle name="Separador de milhares 3 9 4 6 5" xfId="18241" xr:uid="{00000000-0005-0000-0000-000057A50000}"/>
    <cellStyle name="Separador de milhares 3 9 4 6 5 2" xfId="44431" xr:uid="{00000000-0005-0000-0000-000058A50000}"/>
    <cellStyle name="Separador de milhares 3 9 4 6 6" xfId="11910" xr:uid="{00000000-0005-0000-0000-000059A50000}"/>
    <cellStyle name="Separador de milhares 3 9 4 6 6 2" xfId="38103" xr:uid="{00000000-0005-0000-0000-00005AA50000}"/>
    <cellStyle name="Separador de milhares 3 9 4 6 7" xfId="30021" xr:uid="{00000000-0005-0000-0000-00005BA50000}"/>
    <cellStyle name="Separador de milhares 3 9 4 7" xfId="3368" xr:uid="{00000000-0005-0000-0000-00005CA50000}"/>
    <cellStyle name="Separador de milhares 3 9 4 7 2" xfId="7369" xr:uid="{00000000-0005-0000-0000-00005DA50000}"/>
    <cellStyle name="Separador de milhares 3 9 4 7 2 2" xfId="10513" xr:uid="{00000000-0005-0000-0000-00005EA50000}"/>
    <cellStyle name="Separador de milhares 3 9 4 7 2 2 2" xfId="28727" xr:uid="{00000000-0005-0000-0000-00005FA50000}"/>
    <cellStyle name="Separador de milhares 3 9 4 7 2 2 2 2" xfId="54908" xr:uid="{00000000-0005-0000-0000-000060A50000}"/>
    <cellStyle name="Separador de milhares 3 9 4 7 2 2 3" xfId="22813" xr:uid="{00000000-0005-0000-0000-000061A50000}"/>
    <cellStyle name="Separador de milhares 3 9 4 7 2 2 3 2" xfId="49000" xr:uid="{00000000-0005-0000-0000-000062A50000}"/>
    <cellStyle name="Separador de milhares 3 9 4 7 2 2 4" xfId="16899" xr:uid="{00000000-0005-0000-0000-000063A50000}"/>
    <cellStyle name="Separador de milhares 3 9 4 7 2 2 4 2" xfId="43092" xr:uid="{00000000-0005-0000-0000-000064A50000}"/>
    <cellStyle name="Separador de milhares 3 9 4 7 2 2 5" xfId="36706" xr:uid="{00000000-0005-0000-0000-000065A50000}"/>
    <cellStyle name="Separador de milhares 3 9 4 7 2 3" xfId="25770" xr:uid="{00000000-0005-0000-0000-000066A50000}"/>
    <cellStyle name="Separador de milhares 3 9 4 7 2 3 2" xfId="51954" xr:uid="{00000000-0005-0000-0000-000067A50000}"/>
    <cellStyle name="Separador de milhares 3 9 4 7 2 4" xfId="19856" xr:uid="{00000000-0005-0000-0000-000068A50000}"/>
    <cellStyle name="Separador de milhares 3 9 4 7 2 4 2" xfId="46046" xr:uid="{00000000-0005-0000-0000-000069A50000}"/>
    <cellStyle name="Separador de milhares 3 9 4 7 2 5" xfId="13758" xr:uid="{00000000-0005-0000-0000-00006AA50000}"/>
    <cellStyle name="Separador de milhares 3 9 4 7 2 5 2" xfId="39951" xr:uid="{00000000-0005-0000-0000-00006BA50000}"/>
    <cellStyle name="Separador de milhares 3 9 4 7 2 6" xfId="33565" xr:uid="{00000000-0005-0000-0000-00006CA50000}"/>
    <cellStyle name="Separador de milhares 3 9 4 7 3" xfId="9045" xr:uid="{00000000-0005-0000-0000-00006DA50000}"/>
    <cellStyle name="Separador de milhares 3 9 4 7 3 2" xfId="27259" xr:uid="{00000000-0005-0000-0000-00006EA50000}"/>
    <cellStyle name="Separador de milhares 3 9 4 7 3 2 2" xfId="53440" xr:uid="{00000000-0005-0000-0000-00006FA50000}"/>
    <cellStyle name="Separador de milhares 3 9 4 7 3 3" xfId="21345" xr:uid="{00000000-0005-0000-0000-000070A50000}"/>
    <cellStyle name="Separador de milhares 3 9 4 7 3 3 2" xfId="47532" xr:uid="{00000000-0005-0000-0000-000071A50000}"/>
    <cellStyle name="Separador de milhares 3 9 4 7 3 4" xfId="15431" xr:uid="{00000000-0005-0000-0000-000072A50000}"/>
    <cellStyle name="Separador de milhares 3 9 4 7 3 4 2" xfId="41624" xr:uid="{00000000-0005-0000-0000-000073A50000}"/>
    <cellStyle name="Separador de milhares 3 9 4 7 3 5" xfId="35238" xr:uid="{00000000-0005-0000-0000-000074A50000}"/>
    <cellStyle name="Separador de milhares 3 9 4 7 4" xfId="5670" xr:uid="{00000000-0005-0000-0000-000075A50000}"/>
    <cellStyle name="Separador de milhares 3 9 4 7 4 2" xfId="24302" xr:uid="{00000000-0005-0000-0000-000076A50000}"/>
    <cellStyle name="Separador de milhares 3 9 4 7 4 2 2" xfId="50486" xr:uid="{00000000-0005-0000-0000-000077A50000}"/>
    <cellStyle name="Separador de milhares 3 9 4 7 4 3" xfId="31866" xr:uid="{00000000-0005-0000-0000-000078A50000}"/>
    <cellStyle name="Separador de milhares 3 9 4 7 5" xfId="18388" xr:uid="{00000000-0005-0000-0000-000079A50000}"/>
    <cellStyle name="Separador de milhares 3 9 4 7 5 2" xfId="44578" xr:uid="{00000000-0005-0000-0000-00007AA50000}"/>
    <cellStyle name="Separador de milhares 3 9 4 7 6" xfId="12057" xr:uid="{00000000-0005-0000-0000-00007BA50000}"/>
    <cellStyle name="Separador de milhares 3 9 4 7 6 2" xfId="38250" xr:uid="{00000000-0005-0000-0000-00007CA50000}"/>
    <cellStyle name="Separador de milhares 3 9 4 7 7" xfId="30168" xr:uid="{00000000-0005-0000-0000-00007DA50000}"/>
    <cellStyle name="Separador de milhares 3 9 4 8" xfId="3895" xr:uid="{00000000-0005-0000-0000-00007EA50000}"/>
    <cellStyle name="Separador de milhares 3 9 4 8 2" xfId="7516" xr:uid="{00000000-0005-0000-0000-00007FA50000}"/>
    <cellStyle name="Separador de milhares 3 9 4 8 2 2" xfId="10660" xr:uid="{00000000-0005-0000-0000-000080A50000}"/>
    <cellStyle name="Separador de milhares 3 9 4 8 2 2 2" xfId="28874" xr:uid="{00000000-0005-0000-0000-000081A50000}"/>
    <cellStyle name="Separador de milhares 3 9 4 8 2 2 2 2" xfId="55055" xr:uid="{00000000-0005-0000-0000-000082A50000}"/>
    <cellStyle name="Separador de milhares 3 9 4 8 2 2 3" xfId="22960" xr:uid="{00000000-0005-0000-0000-000083A50000}"/>
    <cellStyle name="Separador de milhares 3 9 4 8 2 2 3 2" xfId="49147" xr:uid="{00000000-0005-0000-0000-000084A50000}"/>
    <cellStyle name="Separador de milhares 3 9 4 8 2 2 4" xfId="17046" xr:uid="{00000000-0005-0000-0000-000085A50000}"/>
    <cellStyle name="Separador de milhares 3 9 4 8 2 2 4 2" xfId="43239" xr:uid="{00000000-0005-0000-0000-000086A50000}"/>
    <cellStyle name="Separador de milhares 3 9 4 8 2 2 5" xfId="36853" xr:uid="{00000000-0005-0000-0000-000087A50000}"/>
    <cellStyle name="Separador de milhares 3 9 4 8 2 3" xfId="25917" xr:uid="{00000000-0005-0000-0000-000088A50000}"/>
    <cellStyle name="Separador de milhares 3 9 4 8 2 3 2" xfId="52101" xr:uid="{00000000-0005-0000-0000-000089A50000}"/>
    <cellStyle name="Separador de milhares 3 9 4 8 2 4" xfId="20003" xr:uid="{00000000-0005-0000-0000-00008AA50000}"/>
    <cellStyle name="Separador de milhares 3 9 4 8 2 4 2" xfId="46193" xr:uid="{00000000-0005-0000-0000-00008BA50000}"/>
    <cellStyle name="Separador de milhares 3 9 4 8 2 5" xfId="13905" xr:uid="{00000000-0005-0000-0000-00008CA50000}"/>
    <cellStyle name="Separador de milhares 3 9 4 8 2 5 2" xfId="40098" xr:uid="{00000000-0005-0000-0000-00008DA50000}"/>
    <cellStyle name="Separador de milhares 3 9 4 8 2 6" xfId="33712" xr:uid="{00000000-0005-0000-0000-00008EA50000}"/>
    <cellStyle name="Separador de milhares 3 9 4 8 3" xfId="9192" xr:uid="{00000000-0005-0000-0000-00008FA50000}"/>
    <cellStyle name="Separador de milhares 3 9 4 8 3 2" xfId="27406" xr:uid="{00000000-0005-0000-0000-000090A50000}"/>
    <cellStyle name="Separador de milhares 3 9 4 8 3 2 2" xfId="53587" xr:uid="{00000000-0005-0000-0000-000091A50000}"/>
    <cellStyle name="Separador de milhares 3 9 4 8 3 3" xfId="21492" xr:uid="{00000000-0005-0000-0000-000092A50000}"/>
    <cellStyle name="Separador de milhares 3 9 4 8 3 3 2" xfId="47679" xr:uid="{00000000-0005-0000-0000-000093A50000}"/>
    <cellStyle name="Separador de milhares 3 9 4 8 3 4" xfId="15578" xr:uid="{00000000-0005-0000-0000-000094A50000}"/>
    <cellStyle name="Separador de milhares 3 9 4 8 3 4 2" xfId="41771" xr:uid="{00000000-0005-0000-0000-000095A50000}"/>
    <cellStyle name="Separador de milhares 3 9 4 8 3 5" xfId="35385" xr:uid="{00000000-0005-0000-0000-000096A50000}"/>
    <cellStyle name="Separador de milhares 3 9 4 8 4" xfId="5817" xr:uid="{00000000-0005-0000-0000-000097A50000}"/>
    <cellStyle name="Separador de milhares 3 9 4 8 4 2" xfId="24449" xr:uid="{00000000-0005-0000-0000-000098A50000}"/>
    <cellStyle name="Separador de milhares 3 9 4 8 4 2 2" xfId="50633" xr:uid="{00000000-0005-0000-0000-000099A50000}"/>
    <cellStyle name="Separador de milhares 3 9 4 8 4 3" xfId="32013" xr:uid="{00000000-0005-0000-0000-00009AA50000}"/>
    <cellStyle name="Separador de milhares 3 9 4 8 5" xfId="18535" xr:uid="{00000000-0005-0000-0000-00009BA50000}"/>
    <cellStyle name="Separador de milhares 3 9 4 8 5 2" xfId="44725" xr:uid="{00000000-0005-0000-0000-00009CA50000}"/>
    <cellStyle name="Separador de milhares 3 9 4 8 6" xfId="12204" xr:uid="{00000000-0005-0000-0000-00009DA50000}"/>
    <cellStyle name="Separador de milhares 3 9 4 8 6 2" xfId="38397" xr:uid="{00000000-0005-0000-0000-00009EA50000}"/>
    <cellStyle name="Separador de milhares 3 9 4 8 7" xfId="30315" xr:uid="{00000000-0005-0000-0000-00009FA50000}"/>
    <cellStyle name="Separador de milhares 3 9 4 9" xfId="675" xr:uid="{00000000-0005-0000-0000-0000A0A50000}"/>
    <cellStyle name="Separador de milhares 3 9 4 9 2" xfId="6610" xr:uid="{00000000-0005-0000-0000-0000A1A50000}"/>
    <cellStyle name="Separador de milhares 3 9 4 9 2 2" xfId="9757" xr:uid="{00000000-0005-0000-0000-0000A2A50000}"/>
    <cellStyle name="Separador de milhares 3 9 4 9 2 2 2" xfId="27971" xr:uid="{00000000-0005-0000-0000-0000A3A50000}"/>
    <cellStyle name="Separador de milhares 3 9 4 9 2 2 2 2" xfId="54152" xr:uid="{00000000-0005-0000-0000-0000A4A50000}"/>
    <cellStyle name="Separador de milhares 3 9 4 9 2 2 3" xfId="22057" xr:uid="{00000000-0005-0000-0000-0000A5A50000}"/>
    <cellStyle name="Separador de milhares 3 9 4 9 2 2 3 2" xfId="48244" xr:uid="{00000000-0005-0000-0000-0000A6A50000}"/>
    <cellStyle name="Separador de milhares 3 9 4 9 2 2 4" xfId="16143" xr:uid="{00000000-0005-0000-0000-0000A7A50000}"/>
    <cellStyle name="Separador de milhares 3 9 4 9 2 2 4 2" xfId="42336" xr:uid="{00000000-0005-0000-0000-0000A8A50000}"/>
    <cellStyle name="Separador de milhares 3 9 4 9 2 2 5" xfId="35950" xr:uid="{00000000-0005-0000-0000-0000A9A50000}"/>
    <cellStyle name="Separador de milhares 3 9 4 9 2 3" xfId="25014" xr:uid="{00000000-0005-0000-0000-0000AAA50000}"/>
    <cellStyle name="Separador de milhares 3 9 4 9 2 3 2" xfId="51198" xr:uid="{00000000-0005-0000-0000-0000ABA50000}"/>
    <cellStyle name="Separador de milhares 3 9 4 9 2 4" xfId="19100" xr:uid="{00000000-0005-0000-0000-0000ACA50000}"/>
    <cellStyle name="Separador de milhares 3 9 4 9 2 4 2" xfId="45290" xr:uid="{00000000-0005-0000-0000-0000ADA50000}"/>
    <cellStyle name="Separador de milhares 3 9 4 9 2 5" xfId="12999" xr:uid="{00000000-0005-0000-0000-0000AEA50000}"/>
    <cellStyle name="Separador de milhares 3 9 4 9 2 5 2" xfId="39192" xr:uid="{00000000-0005-0000-0000-0000AFA50000}"/>
    <cellStyle name="Separador de milhares 3 9 4 9 2 6" xfId="32806" xr:uid="{00000000-0005-0000-0000-0000B0A50000}"/>
    <cellStyle name="Separador de milhares 3 9 4 9 3" xfId="8289" xr:uid="{00000000-0005-0000-0000-0000B1A50000}"/>
    <cellStyle name="Separador de milhares 3 9 4 9 3 2" xfId="26503" xr:uid="{00000000-0005-0000-0000-0000B2A50000}"/>
    <cellStyle name="Separador de milhares 3 9 4 9 3 2 2" xfId="52684" xr:uid="{00000000-0005-0000-0000-0000B3A50000}"/>
    <cellStyle name="Separador de milhares 3 9 4 9 3 3" xfId="20589" xr:uid="{00000000-0005-0000-0000-0000B4A50000}"/>
    <cellStyle name="Separador de milhares 3 9 4 9 3 3 2" xfId="46776" xr:uid="{00000000-0005-0000-0000-0000B5A50000}"/>
    <cellStyle name="Separador de milhares 3 9 4 9 3 4" xfId="14675" xr:uid="{00000000-0005-0000-0000-0000B6A50000}"/>
    <cellStyle name="Separador de milhares 3 9 4 9 3 4 2" xfId="40868" xr:uid="{00000000-0005-0000-0000-0000B7A50000}"/>
    <cellStyle name="Separador de milhares 3 9 4 9 3 5" xfId="34482" xr:uid="{00000000-0005-0000-0000-0000B8A50000}"/>
    <cellStyle name="Separador de milhares 3 9 4 9 4" xfId="4911" xr:uid="{00000000-0005-0000-0000-0000B9A50000}"/>
    <cellStyle name="Separador de milhares 3 9 4 9 4 2" xfId="23546" xr:uid="{00000000-0005-0000-0000-0000BAA50000}"/>
    <cellStyle name="Separador de milhares 3 9 4 9 4 2 2" xfId="49730" xr:uid="{00000000-0005-0000-0000-0000BBA50000}"/>
    <cellStyle name="Separador de milhares 3 9 4 9 4 3" xfId="31107" xr:uid="{00000000-0005-0000-0000-0000BCA50000}"/>
    <cellStyle name="Separador de milhares 3 9 4 9 5" xfId="17632" xr:uid="{00000000-0005-0000-0000-0000BDA50000}"/>
    <cellStyle name="Separador de milhares 3 9 4 9 5 2" xfId="43822" xr:uid="{00000000-0005-0000-0000-0000BEA50000}"/>
    <cellStyle name="Separador de milhares 3 9 4 9 6" xfId="11298" xr:uid="{00000000-0005-0000-0000-0000BFA50000}"/>
    <cellStyle name="Separador de milhares 3 9 4 9 6 2" xfId="37491" xr:uid="{00000000-0005-0000-0000-0000C0A50000}"/>
    <cellStyle name="Separador de milhares 3 9 4 9 7" xfId="29409" xr:uid="{00000000-0005-0000-0000-0000C1A50000}"/>
    <cellStyle name="Separador de milhares 3 9 5" xfId="610" xr:uid="{00000000-0005-0000-0000-0000C2A50000}"/>
    <cellStyle name="Separador de milhares 3 9 5 10" xfId="4875" xr:uid="{00000000-0005-0000-0000-0000C3A50000}"/>
    <cellStyle name="Separador de milhares 3 9 5 10 2" xfId="23509" xr:uid="{00000000-0005-0000-0000-0000C4A50000}"/>
    <cellStyle name="Separador de milhares 3 9 5 10 2 2" xfId="49696" xr:uid="{00000000-0005-0000-0000-0000C5A50000}"/>
    <cellStyle name="Separador de milhares 3 9 5 10 3" xfId="31073" xr:uid="{00000000-0005-0000-0000-0000C6A50000}"/>
    <cellStyle name="Separador de milhares 3 9 5 11" xfId="17595" xr:uid="{00000000-0005-0000-0000-0000C7A50000}"/>
    <cellStyle name="Separador de milhares 3 9 5 11 2" xfId="43788" xr:uid="{00000000-0005-0000-0000-0000C8A50000}"/>
    <cellStyle name="Separador de milhares 3 9 5 12" xfId="11264" xr:uid="{00000000-0005-0000-0000-0000C9A50000}"/>
    <cellStyle name="Separador de milhares 3 9 5 12 2" xfId="37457" xr:uid="{00000000-0005-0000-0000-0000CAA50000}"/>
    <cellStyle name="Separador de milhares 3 9 5 13" xfId="29375" xr:uid="{00000000-0005-0000-0000-0000CBA50000}"/>
    <cellStyle name="Separador de milhares 3 9 5 2" xfId="1433" xr:uid="{00000000-0005-0000-0000-0000CCA50000}"/>
    <cellStyle name="Separador de milhares 3 9 5 2 2" xfId="6827" xr:uid="{00000000-0005-0000-0000-0000CDA50000}"/>
    <cellStyle name="Separador de milhares 3 9 5 2 2 2" xfId="9974" xr:uid="{00000000-0005-0000-0000-0000CEA50000}"/>
    <cellStyle name="Separador de milhares 3 9 5 2 2 2 2" xfId="28188" xr:uid="{00000000-0005-0000-0000-0000CFA50000}"/>
    <cellStyle name="Separador de milhares 3 9 5 2 2 2 2 2" xfId="54369" xr:uid="{00000000-0005-0000-0000-0000D0A50000}"/>
    <cellStyle name="Separador de milhares 3 9 5 2 2 2 3" xfId="22274" xr:uid="{00000000-0005-0000-0000-0000D1A50000}"/>
    <cellStyle name="Separador de milhares 3 9 5 2 2 2 3 2" xfId="48461" xr:uid="{00000000-0005-0000-0000-0000D2A50000}"/>
    <cellStyle name="Separador de milhares 3 9 5 2 2 2 4" xfId="16360" xr:uid="{00000000-0005-0000-0000-0000D3A50000}"/>
    <cellStyle name="Separador de milhares 3 9 5 2 2 2 4 2" xfId="42553" xr:uid="{00000000-0005-0000-0000-0000D4A50000}"/>
    <cellStyle name="Separador de milhares 3 9 5 2 2 2 5" xfId="36167" xr:uid="{00000000-0005-0000-0000-0000D5A50000}"/>
    <cellStyle name="Separador de milhares 3 9 5 2 2 3" xfId="25231" xr:uid="{00000000-0005-0000-0000-0000D6A50000}"/>
    <cellStyle name="Separador de milhares 3 9 5 2 2 3 2" xfId="51415" xr:uid="{00000000-0005-0000-0000-0000D7A50000}"/>
    <cellStyle name="Separador de milhares 3 9 5 2 2 4" xfId="19317" xr:uid="{00000000-0005-0000-0000-0000D8A50000}"/>
    <cellStyle name="Separador de milhares 3 9 5 2 2 4 2" xfId="45507" xr:uid="{00000000-0005-0000-0000-0000D9A50000}"/>
    <cellStyle name="Separador de milhares 3 9 5 2 2 5" xfId="13216" xr:uid="{00000000-0005-0000-0000-0000DAA50000}"/>
    <cellStyle name="Separador de milhares 3 9 5 2 2 5 2" xfId="39409" xr:uid="{00000000-0005-0000-0000-0000DBA50000}"/>
    <cellStyle name="Separador de milhares 3 9 5 2 2 6" xfId="33023" xr:uid="{00000000-0005-0000-0000-0000DCA50000}"/>
    <cellStyle name="Separador de milhares 3 9 5 2 3" xfId="8506" xr:uid="{00000000-0005-0000-0000-0000DDA50000}"/>
    <cellStyle name="Separador de milhares 3 9 5 2 3 2" xfId="26720" xr:uid="{00000000-0005-0000-0000-0000DEA50000}"/>
    <cellStyle name="Separador de milhares 3 9 5 2 3 2 2" xfId="52901" xr:uid="{00000000-0005-0000-0000-0000DFA50000}"/>
    <cellStyle name="Separador de milhares 3 9 5 2 3 3" xfId="20806" xr:uid="{00000000-0005-0000-0000-0000E0A50000}"/>
    <cellStyle name="Separador de milhares 3 9 5 2 3 3 2" xfId="46993" xr:uid="{00000000-0005-0000-0000-0000E1A50000}"/>
    <cellStyle name="Separador de milhares 3 9 5 2 3 4" xfId="14892" xr:uid="{00000000-0005-0000-0000-0000E2A50000}"/>
    <cellStyle name="Separador de milhares 3 9 5 2 3 4 2" xfId="41085" xr:uid="{00000000-0005-0000-0000-0000E3A50000}"/>
    <cellStyle name="Separador de milhares 3 9 5 2 3 5" xfId="34699" xr:uid="{00000000-0005-0000-0000-0000E4A50000}"/>
    <cellStyle name="Separador de milhares 3 9 5 2 4" xfId="5128" xr:uid="{00000000-0005-0000-0000-0000E5A50000}"/>
    <cellStyle name="Separador de milhares 3 9 5 2 4 2" xfId="23763" xr:uid="{00000000-0005-0000-0000-0000E6A50000}"/>
    <cellStyle name="Separador de milhares 3 9 5 2 4 2 2" xfId="49947" xr:uid="{00000000-0005-0000-0000-0000E7A50000}"/>
    <cellStyle name="Separador de milhares 3 9 5 2 4 3" xfId="31324" xr:uid="{00000000-0005-0000-0000-0000E8A50000}"/>
    <cellStyle name="Separador de milhares 3 9 5 2 5" xfId="17849" xr:uid="{00000000-0005-0000-0000-0000E9A50000}"/>
    <cellStyle name="Separador de milhares 3 9 5 2 5 2" xfId="44039" xr:uid="{00000000-0005-0000-0000-0000EAA50000}"/>
    <cellStyle name="Separador de milhares 3 9 5 2 6" xfId="11515" xr:uid="{00000000-0005-0000-0000-0000EBA50000}"/>
    <cellStyle name="Separador de milhares 3 9 5 2 6 2" xfId="37708" xr:uid="{00000000-0005-0000-0000-0000ECA50000}"/>
    <cellStyle name="Separador de milhares 3 9 5 2 7" xfId="29626" xr:uid="{00000000-0005-0000-0000-0000EDA50000}"/>
    <cellStyle name="Separador de milhares 3 9 5 3" xfId="1868" xr:uid="{00000000-0005-0000-0000-0000EEA50000}"/>
    <cellStyle name="Separador de milhares 3 9 5 3 2" xfId="6946" xr:uid="{00000000-0005-0000-0000-0000EFA50000}"/>
    <cellStyle name="Separador de milhares 3 9 5 3 2 2" xfId="10093" xr:uid="{00000000-0005-0000-0000-0000F0A50000}"/>
    <cellStyle name="Separador de milhares 3 9 5 3 2 2 2" xfId="28307" xr:uid="{00000000-0005-0000-0000-0000F1A50000}"/>
    <cellStyle name="Separador de milhares 3 9 5 3 2 2 2 2" xfId="54488" xr:uid="{00000000-0005-0000-0000-0000F2A50000}"/>
    <cellStyle name="Separador de milhares 3 9 5 3 2 2 3" xfId="22393" xr:uid="{00000000-0005-0000-0000-0000F3A50000}"/>
    <cellStyle name="Separador de milhares 3 9 5 3 2 2 3 2" xfId="48580" xr:uid="{00000000-0005-0000-0000-0000F4A50000}"/>
    <cellStyle name="Separador de milhares 3 9 5 3 2 2 4" xfId="16479" xr:uid="{00000000-0005-0000-0000-0000F5A50000}"/>
    <cellStyle name="Separador de milhares 3 9 5 3 2 2 4 2" xfId="42672" xr:uid="{00000000-0005-0000-0000-0000F6A50000}"/>
    <cellStyle name="Separador de milhares 3 9 5 3 2 2 5" xfId="36286" xr:uid="{00000000-0005-0000-0000-0000F7A50000}"/>
    <cellStyle name="Separador de milhares 3 9 5 3 2 3" xfId="25350" xr:uid="{00000000-0005-0000-0000-0000F8A50000}"/>
    <cellStyle name="Separador de milhares 3 9 5 3 2 3 2" xfId="51534" xr:uid="{00000000-0005-0000-0000-0000F9A50000}"/>
    <cellStyle name="Separador de milhares 3 9 5 3 2 4" xfId="19436" xr:uid="{00000000-0005-0000-0000-0000FAA50000}"/>
    <cellStyle name="Separador de milhares 3 9 5 3 2 4 2" xfId="45626" xr:uid="{00000000-0005-0000-0000-0000FBA50000}"/>
    <cellStyle name="Separador de milhares 3 9 5 3 2 5" xfId="13335" xr:uid="{00000000-0005-0000-0000-0000FCA50000}"/>
    <cellStyle name="Separador de milhares 3 9 5 3 2 5 2" xfId="39528" xr:uid="{00000000-0005-0000-0000-0000FDA50000}"/>
    <cellStyle name="Separador de milhares 3 9 5 3 2 6" xfId="33142" xr:uid="{00000000-0005-0000-0000-0000FEA50000}"/>
    <cellStyle name="Separador de milhares 3 9 5 3 3" xfId="8625" xr:uid="{00000000-0005-0000-0000-0000FFA50000}"/>
    <cellStyle name="Separador de milhares 3 9 5 3 3 2" xfId="26839" xr:uid="{00000000-0005-0000-0000-000000A60000}"/>
    <cellStyle name="Separador de milhares 3 9 5 3 3 2 2" xfId="53020" xr:uid="{00000000-0005-0000-0000-000001A60000}"/>
    <cellStyle name="Separador de milhares 3 9 5 3 3 3" xfId="20925" xr:uid="{00000000-0005-0000-0000-000002A60000}"/>
    <cellStyle name="Separador de milhares 3 9 5 3 3 3 2" xfId="47112" xr:uid="{00000000-0005-0000-0000-000003A60000}"/>
    <cellStyle name="Separador de milhares 3 9 5 3 3 4" xfId="15011" xr:uid="{00000000-0005-0000-0000-000004A60000}"/>
    <cellStyle name="Separador de milhares 3 9 5 3 3 4 2" xfId="41204" xr:uid="{00000000-0005-0000-0000-000005A60000}"/>
    <cellStyle name="Separador de milhares 3 9 5 3 3 5" xfId="34818" xr:uid="{00000000-0005-0000-0000-000006A60000}"/>
    <cellStyle name="Separador de milhares 3 9 5 3 4" xfId="5247" xr:uid="{00000000-0005-0000-0000-000007A60000}"/>
    <cellStyle name="Separador de milhares 3 9 5 3 4 2" xfId="23882" xr:uid="{00000000-0005-0000-0000-000008A60000}"/>
    <cellStyle name="Separador de milhares 3 9 5 3 4 2 2" xfId="50066" xr:uid="{00000000-0005-0000-0000-000009A60000}"/>
    <cellStyle name="Separador de milhares 3 9 5 3 4 3" xfId="31443" xr:uid="{00000000-0005-0000-0000-00000AA60000}"/>
    <cellStyle name="Separador de milhares 3 9 5 3 5" xfId="17968" xr:uid="{00000000-0005-0000-0000-00000BA60000}"/>
    <cellStyle name="Separador de milhares 3 9 5 3 5 2" xfId="44158" xr:uid="{00000000-0005-0000-0000-00000CA60000}"/>
    <cellStyle name="Separador de milhares 3 9 5 3 6" xfId="11634" xr:uid="{00000000-0005-0000-0000-00000DA60000}"/>
    <cellStyle name="Separador de milhares 3 9 5 3 6 2" xfId="37827" xr:uid="{00000000-0005-0000-0000-00000EA60000}"/>
    <cellStyle name="Separador de milhares 3 9 5 3 7" xfId="29745" xr:uid="{00000000-0005-0000-0000-00000FA60000}"/>
    <cellStyle name="Separador de milhares 3 9 5 4" xfId="2398" xr:uid="{00000000-0005-0000-0000-000010A60000}"/>
    <cellStyle name="Separador de milhares 3 9 5 4 2" xfId="7096" xr:uid="{00000000-0005-0000-0000-000011A60000}"/>
    <cellStyle name="Separador de milhares 3 9 5 4 2 2" xfId="10240" xr:uid="{00000000-0005-0000-0000-000012A60000}"/>
    <cellStyle name="Separador de milhares 3 9 5 4 2 2 2" xfId="28454" xr:uid="{00000000-0005-0000-0000-000013A60000}"/>
    <cellStyle name="Separador de milhares 3 9 5 4 2 2 2 2" xfId="54635" xr:uid="{00000000-0005-0000-0000-000014A60000}"/>
    <cellStyle name="Separador de milhares 3 9 5 4 2 2 3" xfId="22540" xr:uid="{00000000-0005-0000-0000-000015A60000}"/>
    <cellStyle name="Separador de milhares 3 9 5 4 2 2 3 2" xfId="48727" xr:uid="{00000000-0005-0000-0000-000016A60000}"/>
    <cellStyle name="Separador de milhares 3 9 5 4 2 2 4" xfId="16626" xr:uid="{00000000-0005-0000-0000-000017A60000}"/>
    <cellStyle name="Separador de milhares 3 9 5 4 2 2 4 2" xfId="42819" xr:uid="{00000000-0005-0000-0000-000018A60000}"/>
    <cellStyle name="Separador de milhares 3 9 5 4 2 2 5" xfId="36433" xr:uid="{00000000-0005-0000-0000-000019A60000}"/>
    <cellStyle name="Separador de milhares 3 9 5 4 2 3" xfId="25497" xr:uid="{00000000-0005-0000-0000-00001AA60000}"/>
    <cellStyle name="Separador de milhares 3 9 5 4 2 3 2" xfId="51681" xr:uid="{00000000-0005-0000-0000-00001BA60000}"/>
    <cellStyle name="Separador de milhares 3 9 5 4 2 4" xfId="19583" xr:uid="{00000000-0005-0000-0000-00001CA60000}"/>
    <cellStyle name="Separador de milhares 3 9 5 4 2 4 2" xfId="45773" xr:uid="{00000000-0005-0000-0000-00001DA60000}"/>
    <cellStyle name="Separador de milhares 3 9 5 4 2 5" xfId="13485" xr:uid="{00000000-0005-0000-0000-00001EA60000}"/>
    <cellStyle name="Separador de milhares 3 9 5 4 2 5 2" xfId="39678" xr:uid="{00000000-0005-0000-0000-00001FA60000}"/>
    <cellStyle name="Separador de milhares 3 9 5 4 2 6" xfId="33292" xr:uid="{00000000-0005-0000-0000-000020A60000}"/>
    <cellStyle name="Separador de milhares 3 9 5 4 3" xfId="8772" xr:uid="{00000000-0005-0000-0000-000021A60000}"/>
    <cellStyle name="Separador de milhares 3 9 5 4 3 2" xfId="26986" xr:uid="{00000000-0005-0000-0000-000022A60000}"/>
    <cellStyle name="Separador de milhares 3 9 5 4 3 2 2" xfId="53167" xr:uid="{00000000-0005-0000-0000-000023A60000}"/>
    <cellStyle name="Separador de milhares 3 9 5 4 3 3" xfId="21072" xr:uid="{00000000-0005-0000-0000-000024A60000}"/>
    <cellStyle name="Separador de milhares 3 9 5 4 3 3 2" xfId="47259" xr:uid="{00000000-0005-0000-0000-000025A60000}"/>
    <cellStyle name="Separador de milhares 3 9 5 4 3 4" xfId="15158" xr:uid="{00000000-0005-0000-0000-000026A60000}"/>
    <cellStyle name="Separador de milhares 3 9 5 4 3 4 2" xfId="41351" xr:uid="{00000000-0005-0000-0000-000027A60000}"/>
    <cellStyle name="Separador de milhares 3 9 5 4 3 5" xfId="34965" xr:uid="{00000000-0005-0000-0000-000028A60000}"/>
    <cellStyle name="Separador de milhares 3 9 5 4 4" xfId="5397" xr:uid="{00000000-0005-0000-0000-000029A60000}"/>
    <cellStyle name="Separador de milhares 3 9 5 4 4 2" xfId="24029" xr:uid="{00000000-0005-0000-0000-00002AA60000}"/>
    <cellStyle name="Separador de milhares 3 9 5 4 4 2 2" xfId="50213" xr:uid="{00000000-0005-0000-0000-00002BA60000}"/>
    <cellStyle name="Separador de milhares 3 9 5 4 4 3" xfId="31593" xr:uid="{00000000-0005-0000-0000-00002CA60000}"/>
    <cellStyle name="Separador de milhares 3 9 5 4 5" xfId="18115" xr:uid="{00000000-0005-0000-0000-00002DA60000}"/>
    <cellStyle name="Separador de milhares 3 9 5 4 5 2" xfId="44305" xr:uid="{00000000-0005-0000-0000-00002EA60000}"/>
    <cellStyle name="Separador de milhares 3 9 5 4 6" xfId="11784" xr:uid="{00000000-0005-0000-0000-00002FA60000}"/>
    <cellStyle name="Separador de milhares 3 9 5 4 6 2" xfId="37977" xr:uid="{00000000-0005-0000-0000-000030A60000}"/>
    <cellStyle name="Separador de milhares 3 9 5 4 7" xfId="29895" xr:uid="{00000000-0005-0000-0000-000031A60000}"/>
    <cellStyle name="Separador de milhares 3 9 5 5" xfId="2925" xr:uid="{00000000-0005-0000-0000-000032A60000}"/>
    <cellStyle name="Separador de milhares 3 9 5 5 2" xfId="7243" xr:uid="{00000000-0005-0000-0000-000033A60000}"/>
    <cellStyle name="Separador de milhares 3 9 5 5 2 2" xfId="10387" xr:uid="{00000000-0005-0000-0000-000034A60000}"/>
    <cellStyle name="Separador de milhares 3 9 5 5 2 2 2" xfId="28601" xr:uid="{00000000-0005-0000-0000-000035A60000}"/>
    <cellStyle name="Separador de milhares 3 9 5 5 2 2 2 2" xfId="54782" xr:uid="{00000000-0005-0000-0000-000036A60000}"/>
    <cellStyle name="Separador de milhares 3 9 5 5 2 2 3" xfId="22687" xr:uid="{00000000-0005-0000-0000-000037A60000}"/>
    <cellStyle name="Separador de milhares 3 9 5 5 2 2 3 2" xfId="48874" xr:uid="{00000000-0005-0000-0000-000038A60000}"/>
    <cellStyle name="Separador de milhares 3 9 5 5 2 2 4" xfId="16773" xr:uid="{00000000-0005-0000-0000-000039A60000}"/>
    <cellStyle name="Separador de milhares 3 9 5 5 2 2 4 2" xfId="42966" xr:uid="{00000000-0005-0000-0000-00003AA60000}"/>
    <cellStyle name="Separador de milhares 3 9 5 5 2 2 5" xfId="36580" xr:uid="{00000000-0005-0000-0000-00003BA60000}"/>
    <cellStyle name="Separador de milhares 3 9 5 5 2 3" xfId="25644" xr:uid="{00000000-0005-0000-0000-00003CA60000}"/>
    <cellStyle name="Separador de milhares 3 9 5 5 2 3 2" xfId="51828" xr:uid="{00000000-0005-0000-0000-00003DA60000}"/>
    <cellStyle name="Separador de milhares 3 9 5 5 2 4" xfId="19730" xr:uid="{00000000-0005-0000-0000-00003EA60000}"/>
    <cellStyle name="Separador de milhares 3 9 5 5 2 4 2" xfId="45920" xr:uid="{00000000-0005-0000-0000-00003FA60000}"/>
    <cellStyle name="Separador de milhares 3 9 5 5 2 5" xfId="13632" xr:uid="{00000000-0005-0000-0000-000040A60000}"/>
    <cellStyle name="Separador de milhares 3 9 5 5 2 5 2" xfId="39825" xr:uid="{00000000-0005-0000-0000-000041A60000}"/>
    <cellStyle name="Separador de milhares 3 9 5 5 2 6" xfId="33439" xr:uid="{00000000-0005-0000-0000-000042A60000}"/>
    <cellStyle name="Separador de milhares 3 9 5 5 3" xfId="8919" xr:uid="{00000000-0005-0000-0000-000043A60000}"/>
    <cellStyle name="Separador de milhares 3 9 5 5 3 2" xfId="27133" xr:uid="{00000000-0005-0000-0000-000044A60000}"/>
    <cellStyle name="Separador de milhares 3 9 5 5 3 2 2" xfId="53314" xr:uid="{00000000-0005-0000-0000-000045A60000}"/>
    <cellStyle name="Separador de milhares 3 9 5 5 3 3" xfId="21219" xr:uid="{00000000-0005-0000-0000-000046A60000}"/>
    <cellStyle name="Separador de milhares 3 9 5 5 3 3 2" xfId="47406" xr:uid="{00000000-0005-0000-0000-000047A60000}"/>
    <cellStyle name="Separador de milhares 3 9 5 5 3 4" xfId="15305" xr:uid="{00000000-0005-0000-0000-000048A60000}"/>
    <cellStyle name="Separador de milhares 3 9 5 5 3 4 2" xfId="41498" xr:uid="{00000000-0005-0000-0000-000049A60000}"/>
    <cellStyle name="Separador de milhares 3 9 5 5 3 5" xfId="35112" xr:uid="{00000000-0005-0000-0000-00004AA60000}"/>
    <cellStyle name="Separador de milhares 3 9 5 5 4" xfId="5544" xr:uid="{00000000-0005-0000-0000-00004BA60000}"/>
    <cellStyle name="Separador de milhares 3 9 5 5 4 2" xfId="24176" xr:uid="{00000000-0005-0000-0000-00004CA60000}"/>
    <cellStyle name="Separador de milhares 3 9 5 5 4 2 2" xfId="50360" xr:uid="{00000000-0005-0000-0000-00004DA60000}"/>
    <cellStyle name="Separador de milhares 3 9 5 5 4 3" xfId="31740" xr:uid="{00000000-0005-0000-0000-00004EA60000}"/>
    <cellStyle name="Separador de milhares 3 9 5 5 5" xfId="18262" xr:uid="{00000000-0005-0000-0000-00004FA60000}"/>
    <cellStyle name="Separador de milhares 3 9 5 5 5 2" xfId="44452" xr:uid="{00000000-0005-0000-0000-000050A60000}"/>
    <cellStyle name="Separador de milhares 3 9 5 5 6" xfId="11931" xr:uid="{00000000-0005-0000-0000-000051A60000}"/>
    <cellStyle name="Separador de milhares 3 9 5 5 6 2" xfId="38124" xr:uid="{00000000-0005-0000-0000-000052A60000}"/>
    <cellStyle name="Separador de milhares 3 9 5 5 7" xfId="30042" xr:uid="{00000000-0005-0000-0000-000053A60000}"/>
    <cellStyle name="Separador de milhares 3 9 5 6" xfId="3452" xr:uid="{00000000-0005-0000-0000-000054A60000}"/>
    <cellStyle name="Separador de milhares 3 9 5 6 2" xfId="7390" xr:uid="{00000000-0005-0000-0000-000055A60000}"/>
    <cellStyle name="Separador de milhares 3 9 5 6 2 2" xfId="10534" xr:uid="{00000000-0005-0000-0000-000056A60000}"/>
    <cellStyle name="Separador de milhares 3 9 5 6 2 2 2" xfId="28748" xr:uid="{00000000-0005-0000-0000-000057A60000}"/>
    <cellStyle name="Separador de milhares 3 9 5 6 2 2 2 2" xfId="54929" xr:uid="{00000000-0005-0000-0000-000058A60000}"/>
    <cellStyle name="Separador de milhares 3 9 5 6 2 2 3" xfId="22834" xr:uid="{00000000-0005-0000-0000-000059A60000}"/>
    <cellStyle name="Separador de milhares 3 9 5 6 2 2 3 2" xfId="49021" xr:uid="{00000000-0005-0000-0000-00005AA60000}"/>
    <cellStyle name="Separador de milhares 3 9 5 6 2 2 4" xfId="16920" xr:uid="{00000000-0005-0000-0000-00005BA60000}"/>
    <cellStyle name="Separador de milhares 3 9 5 6 2 2 4 2" xfId="43113" xr:uid="{00000000-0005-0000-0000-00005CA60000}"/>
    <cellStyle name="Separador de milhares 3 9 5 6 2 2 5" xfId="36727" xr:uid="{00000000-0005-0000-0000-00005DA60000}"/>
    <cellStyle name="Separador de milhares 3 9 5 6 2 3" xfId="25791" xr:uid="{00000000-0005-0000-0000-00005EA60000}"/>
    <cellStyle name="Separador de milhares 3 9 5 6 2 3 2" xfId="51975" xr:uid="{00000000-0005-0000-0000-00005FA60000}"/>
    <cellStyle name="Separador de milhares 3 9 5 6 2 4" xfId="19877" xr:uid="{00000000-0005-0000-0000-000060A60000}"/>
    <cellStyle name="Separador de milhares 3 9 5 6 2 4 2" xfId="46067" xr:uid="{00000000-0005-0000-0000-000061A60000}"/>
    <cellStyle name="Separador de milhares 3 9 5 6 2 5" xfId="13779" xr:uid="{00000000-0005-0000-0000-000062A60000}"/>
    <cellStyle name="Separador de milhares 3 9 5 6 2 5 2" xfId="39972" xr:uid="{00000000-0005-0000-0000-000063A60000}"/>
    <cellStyle name="Separador de milhares 3 9 5 6 2 6" xfId="33586" xr:uid="{00000000-0005-0000-0000-000064A60000}"/>
    <cellStyle name="Separador de milhares 3 9 5 6 3" xfId="9066" xr:uid="{00000000-0005-0000-0000-000065A60000}"/>
    <cellStyle name="Separador de milhares 3 9 5 6 3 2" xfId="27280" xr:uid="{00000000-0005-0000-0000-000066A60000}"/>
    <cellStyle name="Separador de milhares 3 9 5 6 3 2 2" xfId="53461" xr:uid="{00000000-0005-0000-0000-000067A60000}"/>
    <cellStyle name="Separador de milhares 3 9 5 6 3 3" xfId="21366" xr:uid="{00000000-0005-0000-0000-000068A60000}"/>
    <cellStyle name="Separador de milhares 3 9 5 6 3 3 2" xfId="47553" xr:uid="{00000000-0005-0000-0000-000069A60000}"/>
    <cellStyle name="Separador de milhares 3 9 5 6 3 4" xfId="15452" xr:uid="{00000000-0005-0000-0000-00006AA60000}"/>
    <cellStyle name="Separador de milhares 3 9 5 6 3 4 2" xfId="41645" xr:uid="{00000000-0005-0000-0000-00006BA60000}"/>
    <cellStyle name="Separador de milhares 3 9 5 6 3 5" xfId="35259" xr:uid="{00000000-0005-0000-0000-00006CA60000}"/>
    <cellStyle name="Separador de milhares 3 9 5 6 4" xfId="5691" xr:uid="{00000000-0005-0000-0000-00006DA60000}"/>
    <cellStyle name="Separador de milhares 3 9 5 6 4 2" xfId="24323" xr:uid="{00000000-0005-0000-0000-00006EA60000}"/>
    <cellStyle name="Separador de milhares 3 9 5 6 4 2 2" xfId="50507" xr:uid="{00000000-0005-0000-0000-00006FA60000}"/>
    <cellStyle name="Separador de milhares 3 9 5 6 4 3" xfId="31887" xr:uid="{00000000-0005-0000-0000-000070A60000}"/>
    <cellStyle name="Separador de milhares 3 9 5 6 5" xfId="18409" xr:uid="{00000000-0005-0000-0000-000071A60000}"/>
    <cellStyle name="Separador de milhares 3 9 5 6 5 2" xfId="44599" xr:uid="{00000000-0005-0000-0000-000072A60000}"/>
    <cellStyle name="Separador de milhares 3 9 5 6 6" xfId="12078" xr:uid="{00000000-0005-0000-0000-000073A60000}"/>
    <cellStyle name="Separador de milhares 3 9 5 6 6 2" xfId="38271" xr:uid="{00000000-0005-0000-0000-000074A60000}"/>
    <cellStyle name="Separador de milhares 3 9 5 6 7" xfId="30189" xr:uid="{00000000-0005-0000-0000-000075A60000}"/>
    <cellStyle name="Separador de milhares 3 9 5 7" xfId="3979" xr:uid="{00000000-0005-0000-0000-000076A60000}"/>
    <cellStyle name="Separador de milhares 3 9 5 7 2" xfId="7537" xr:uid="{00000000-0005-0000-0000-000077A60000}"/>
    <cellStyle name="Separador de milhares 3 9 5 7 2 2" xfId="10681" xr:uid="{00000000-0005-0000-0000-000078A60000}"/>
    <cellStyle name="Separador de milhares 3 9 5 7 2 2 2" xfId="28895" xr:uid="{00000000-0005-0000-0000-000079A60000}"/>
    <cellStyle name="Separador de milhares 3 9 5 7 2 2 2 2" xfId="55076" xr:uid="{00000000-0005-0000-0000-00007AA60000}"/>
    <cellStyle name="Separador de milhares 3 9 5 7 2 2 3" xfId="22981" xr:uid="{00000000-0005-0000-0000-00007BA60000}"/>
    <cellStyle name="Separador de milhares 3 9 5 7 2 2 3 2" xfId="49168" xr:uid="{00000000-0005-0000-0000-00007CA60000}"/>
    <cellStyle name="Separador de milhares 3 9 5 7 2 2 4" xfId="17067" xr:uid="{00000000-0005-0000-0000-00007DA60000}"/>
    <cellStyle name="Separador de milhares 3 9 5 7 2 2 4 2" xfId="43260" xr:uid="{00000000-0005-0000-0000-00007EA60000}"/>
    <cellStyle name="Separador de milhares 3 9 5 7 2 2 5" xfId="36874" xr:uid="{00000000-0005-0000-0000-00007FA60000}"/>
    <cellStyle name="Separador de milhares 3 9 5 7 2 3" xfId="25938" xr:uid="{00000000-0005-0000-0000-000080A60000}"/>
    <cellStyle name="Separador de milhares 3 9 5 7 2 3 2" xfId="52122" xr:uid="{00000000-0005-0000-0000-000081A60000}"/>
    <cellStyle name="Separador de milhares 3 9 5 7 2 4" xfId="20024" xr:uid="{00000000-0005-0000-0000-000082A60000}"/>
    <cellStyle name="Separador de milhares 3 9 5 7 2 4 2" xfId="46214" xr:uid="{00000000-0005-0000-0000-000083A60000}"/>
    <cellStyle name="Separador de milhares 3 9 5 7 2 5" xfId="13926" xr:uid="{00000000-0005-0000-0000-000084A60000}"/>
    <cellStyle name="Separador de milhares 3 9 5 7 2 5 2" xfId="40119" xr:uid="{00000000-0005-0000-0000-000085A60000}"/>
    <cellStyle name="Separador de milhares 3 9 5 7 2 6" xfId="33733" xr:uid="{00000000-0005-0000-0000-000086A60000}"/>
    <cellStyle name="Separador de milhares 3 9 5 7 3" xfId="9213" xr:uid="{00000000-0005-0000-0000-000087A60000}"/>
    <cellStyle name="Separador de milhares 3 9 5 7 3 2" xfId="27427" xr:uid="{00000000-0005-0000-0000-000088A60000}"/>
    <cellStyle name="Separador de milhares 3 9 5 7 3 2 2" xfId="53608" xr:uid="{00000000-0005-0000-0000-000089A60000}"/>
    <cellStyle name="Separador de milhares 3 9 5 7 3 3" xfId="21513" xr:uid="{00000000-0005-0000-0000-00008AA60000}"/>
    <cellStyle name="Separador de milhares 3 9 5 7 3 3 2" xfId="47700" xr:uid="{00000000-0005-0000-0000-00008BA60000}"/>
    <cellStyle name="Separador de milhares 3 9 5 7 3 4" xfId="15599" xr:uid="{00000000-0005-0000-0000-00008CA60000}"/>
    <cellStyle name="Separador de milhares 3 9 5 7 3 4 2" xfId="41792" xr:uid="{00000000-0005-0000-0000-00008DA60000}"/>
    <cellStyle name="Separador de milhares 3 9 5 7 3 5" xfId="35406" xr:uid="{00000000-0005-0000-0000-00008EA60000}"/>
    <cellStyle name="Separador de milhares 3 9 5 7 4" xfId="5838" xr:uid="{00000000-0005-0000-0000-00008FA60000}"/>
    <cellStyle name="Separador de milhares 3 9 5 7 4 2" xfId="24470" xr:uid="{00000000-0005-0000-0000-000090A60000}"/>
    <cellStyle name="Separador de milhares 3 9 5 7 4 2 2" xfId="50654" xr:uid="{00000000-0005-0000-0000-000091A60000}"/>
    <cellStyle name="Separador de milhares 3 9 5 7 4 3" xfId="32034" xr:uid="{00000000-0005-0000-0000-000092A60000}"/>
    <cellStyle name="Separador de milhares 3 9 5 7 5" xfId="18556" xr:uid="{00000000-0005-0000-0000-000093A60000}"/>
    <cellStyle name="Separador de milhares 3 9 5 7 5 2" xfId="44746" xr:uid="{00000000-0005-0000-0000-000094A60000}"/>
    <cellStyle name="Separador de milhares 3 9 5 7 6" xfId="12225" xr:uid="{00000000-0005-0000-0000-000095A60000}"/>
    <cellStyle name="Separador de milhares 3 9 5 7 6 2" xfId="38418" xr:uid="{00000000-0005-0000-0000-000096A60000}"/>
    <cellStyle name="Separador de milhares 3 9 5 7 7" xfId="30336" xr:uid="{00000000-0005-0000-0000-000097A60000}"/>
    <cellStyle name="Separador de milhares 3 9 5 8" xfId="6576" xr:uid="{00000000-0005-0000-0000-000098A60000}"/>
    <cellStyle name="Separador de milhares 3 9 5 8 2" xfId="9723" xr:uid="{00000000-0005-0000-0000-000099A60000}"/>
    <cellStyle name="Separador de milhares 3 9 5 8 2 2" xfId="27937" xr:uid="{00000000-0005-0000-0000-00009AA60000}"/>
    <cellStyle name="Separador de milhares 3 9 5 8 2 2 2" xfId="54118" xr:uid="{00000000-0005-0000-0000-00009BA60000}"/>
    <cellStyle name="Separador de milhares 3 9 5 8 2 3" xfId="22023" xr:uid="{00000000-0005-0000-0000-00009CA60000}"/>
    <cellStyle name="Separador de milhares 3 9 5 8 2 3 2" xfId="48210" xr:uid="{00000000-0005-0000-0000-00009DA60000}"/>
    <cellStyle name="Separador de milhares 3 9 5 8 2 4" xfId="16109" xr:uid="{00000000-0005-0000-0000-00009EA60000}"/>
    <cellStyle name="Separador de milhares 3 9 5 8 2 4 2" xfId="42302" xr:uid="{00000000-0005-0000-0000-00009FA60000}"/>
    <cellStyle name="Separador de milhares 3 9 5 8 2 5" xfId="35916" xr:uid="{00000000-0005-0000-0000-0000A0A60000}"/>
    <cellStyle name="Separador de milhares 3 9 5 8 3" xfId="24980" xr:uid="{00000000-0005-0000-0000-0000A1A60000}"/>
    <cellStyle name="Separador de milhares 3 9 5 8 3 2" xfId="51164" xr:uid="{00000000-0005-0000-0000-0000A2A60000}"/>
    <cellStyle name="Separador de milhares 3 9 5 8 4" xfId="19066" xr:uid="{00000000-0005-0000-0000-0000A3A60000}"/>
    <cellStyle name="Separador de milhares 3 9 5 8 4 2" xfId="45256" xr:uid="{00000000-0005-0000-0000-0000A4A60000}"/>
    <cellStyle name="Separador de milhares 3 9 5 8 5" xfId="12965" xr:uid="{00000000-0005-0000-0000-0000A5A60000}"/>
    <cellStyle name="Separador de milhares 3 9 5 8 5 2" xfId="39158" xr:uid="{00000000-0005-0000-0000-0000A6A60000}"/>
    <cellStyle name="Separador de milhares 3 9 5 8 6" xfId="32772" xr:uid="{00000000-0005-0000-0000-0000A7A60000}"/>
    <cellStyle name="Separador de milhares 3 9 5 9" xfId="8252" xr:uid="{00000000-0005-0000-0000-0000A8A60000}"/>
    <cellStyle name="Separador de milhares 3 9 5 9 2" xfId="26466" xr:uid="{00000000-0005-0000-0000-0000A9A60000}"/>
    <cellStyle name="Separador de milhares 3 9 5 9 2 2" xfId="52650" xr:uid="{00000000-0005-0000-0000-0000AAA60000}"/>
    <cellStyle name="Separador de milhares 3 9 5 9 3" xfId="20552" xr:uid="{00000000-0005-0000-0000-0000ABA60000}"/>
    <cellStyle name="Separador de milhares 3 9 5 9 3 2" xfId="46742" xr:uid="{00000000-0005-0000-0000-0000ACA60000}"/>
    <cellStyle name="Separador de milhares 3 9 5 9 4" xfId="14641" xr:uid="{00000000-0005-0000-0000-0000ADA60000}"/>
    <cellStyle name="Separador de milhares 3 9 5 9 4 2" xfId="40834" xr:uid="{00000000-0005-0000-0000-0000AEA60000}"/>
    <cellStyle name="Separador de milhares 3 9 5 9 5" xfId="34448" xr:uid="{00000000-0005-0000-0000-0000AFA60000}"/>
    <cellStyle name="Separador de milhares 3 9 6" xfId="731" xr:uid="{00000000-0005-0000-0000-0000B0A60000}"/>
    <cellStyle name="Separador de milhares 3 9 6 2" xfId="4155" xr:uid="{00000000-0005-0000-0000-0000B1A60000}"/>
    <cellStyle name="Separador de milhares 3 9 6 2 2" xfId="7586" xr:uid="{00000000-0005-0000-0000-0000B2A60000}"/>
    <cellStyle name="Separador de milhares 3 9 6 2 2 2" xfId="10730" xr:uid="{00000000-0005-0000-0000-0000B3A60000}"/>
    <cellStyle name="Separador de milhares 3 9 6 2 2 2 2" xfId="28944" xr:uid="{00000000-0005-0000-0000-0000B4A60000}"/>
    <cellStyle name="Separador de milhares 3 9 6 2 2 2 2 2" xfId="55125" xr:uid="{00000000-0005-0000-0000-0000B5A60000}"/>
    <cellStyle name="Separador de milhares 3 9 6 2 2 2 3" xfId="23030" xr:uid="{00000000-0005-0000-0000-0000B6A60000}"/>
    <cellStyle name="Separador de milhares 3 9 6 2 2 2 3 2" xfId="49217" xr:uid="{00000000-0005-0000-0000-0000B7A60000}"/>
    <cellStyle name="Separador de milhares 3 9 6 2 2 2 4" xfId="17116" xr:uid="{00000000-0005-0000-0000-0000B8A60000}"/>
    <cellStyle name="Separador de milhares 3 9 6 2 2 2 4 2" xfId="43309" xr:uid="{00000000-0005-0000-0000-0000B9A60000}"/>
    <cellStyle name="Separador de milhares 3 9 6 2 2 2 5" xfId="36923" xr:uid="{00000000-0005-0000-0000-0000BAA60000}"/>
    <cellStyle name="Separador de milhares 3 9 6 2 2 3" xfId="25987" xr:uid="{00000000-0005-0000-0000-0000BBA60000}"/>
    <cellStyle name="Separador de milhares 3 9 6 2 2 3 2" xfId="52171" xr:uid="{00000000-0005-0000-0000-0000BCA60000}"/>
    <cellStyle name="Separador de milhares 3 9 6 2 2 4" xfId="20073" xr:uid="{00000000-0005-0000-0000-0000BDA60000}"/>
    <cellStyle name="Separador de milhares 3 9 6 2 2 4 2" xfId="46263" xr:uid="{00000000-0005-0000-0000-0000BEA60000}"/>
    <cellStyle name="Separador de milhares 3 9 6 2 2 5" xfId="13975" xr:uid="{00000000-0005-0000-0000-0000BFA60000}"/>
    <cellStyle name="Separador de milhares 3 9 6 2 2 5 2" xfId="40168" xr:uid="{00000000-0005-0000-0000-0000C0A60000}"/>
    <cellStyle name="Separador de milhares 3 9 6 2 2 6" xfId="33782" xr:uid="{00000000-0005-0000-0000-0000C1A60000}"/>
    <cellStyle name="Separador de milhares 3 9 6 2 3" xfId="9262" xr:uid="{00000000-0005-0000-0000-0000C2A60000}"/>
    <cellStyle name="Separador de milhares 3 9 6 2 3 2" xfId="27476" xr:uid="{00000000-0005-0000-0000-0000C3A60000}"/>
    <cellStyle name="Separador de milhares 3 9 6 2 3 2 2" xfId="53657" xr:uid="{00000000-0005-0000-0000-0000C4A60000}"/>
    <cellStyle name="Separador de milhares 3 9 6 2 3 3" xfId="21562" xr:uid="{00000000-0005-0000-0000-0000C5A60000}"/>
    <cellStyle name="Separador de milhares 3 9 6 2 3 3 2" xfId="47749" xr:uid="{00000000-0005-0000-0000-0000C6A60000}"/>
    <cellStyle name="Separador de milhares 3 9 6 2 3 4" xfId="15648" xr:uid="{00000000-0005-0000-0000-0000C7A60000}"/>
    <cellStyle name="Separador de milhares 3 9 6 2 3 4 2" xfId="41841" xr:uid="{00000000-0005-0000-0000-0000C8A60000}"/>
    <cellStyle name="Separador de milhares 3 9 6 2 3 5" xfId="35455" xr:uid="{00000000-0005-0000-0000-0000C9A60000}"/>
    <cellStyle name="Separador de milhares 3 9 6 2 4" xfId="5887" xr:uid="{00000000-0005-0000-0000-0000CAA60000}"/>
    <cellStyle name="Separador de milhares 3 9 6 2 4 2" xfId="24519" xr:uid="{00000000-0005-0000-0000-0000CBA60000}"/>
    <cellStyle name="Separador de milhares 3 9 6 2 4 2 2" xfId="50703" xr:uid="{00000000-0005-0000-0000-0000CCA60000}"/>
    <cellStyle name="Separador de milhares 3 9 6 2 4 3" xfId="32083" xr:uid="{00000000-0005-0000-0000-0000CDA60000}"/>
    <cellStyle name="Separador de milhares 3 9 6 2 5" xfId="18605" xr:uid="{00000000-0005-0000-0000-0000CEA60000}"/>
    <cellStyle name="Separador de milhares 3 9 6 2 5 2" xfId="44795" xr:uid="{00000000-0005-0000-0000-0000CFA60000}"/>
    <cellStyle name="Separador de milhares 3 9 6 2 6" xfId="12274" xr:uid="{00000000-0005-0000-0000-0000D0A60000}"/>
    <cellStyle name="Separador de milhares 3 9 6 2 6 2" xfId="38467" xr:uid="{00000000-0005-0000-0000-0000D1A60000}"/>
    <cellStyle name="Separador de milhares 3 9 6 2 7" xfId="30385" xr:uid="{00000000-0005-0000-0000-0000D2A60000}"/>
    <cellStyle name="Separador de milhares 3 9 6 3" xfId="6631" xr:uid="{00000000-0005-0000-0000-0000D3A60000}"/>
    <cellStyle name="Separador de milhares 3 9 6 3 2" xfId="9778" xr:uid="{00000000-0005-0000-0000-0000D4A60000}"/>
    <cellStyle name="Separador de milhares 3 9 6 3 2 2" xfId="27992" xr:uid="{00000000-0005-0000-0000-0000D5A60000}"/>
    <cellStyle name="Separador de milhares 3 9 6 3 2 2 2" xfId="54173" xr:uid="{00000000-0005-0000-0000-0000D6A60000}"/>
    <cellStyle name="Separador de milhares 3 9 6 3 2 3" xfId="22078" xr:uid="{00000000-0005-0000-0000-0000D7A60000}"/>
    <cellStyle name="Separador de milhares 3 9 6 3 2 3 2" xfId="48265" xr:uid="{00000000-0005-0000-0000-0000D8A60000}"/>
    <cellStyle name="Separador de milhares 3 9 6 3 2 4" xfId="16164" xr:uid="{00000000-0005-0000-0000-0000D9A60000}"/>
    <cellStyle name="Separador de milhares 3 9 6 3 2 4 2" xfId="42357" xr:uid="{00000000-0005-0000-0000-0000DAA60000}"/>
    <cellStyle name="Separador de milhares 3 9 6 3 2 5" xfId="35971" xr:uid="{00000000-0005-0000-0000-0000DBA60000}"/>
    <cellStyle name="Separador de milhares 3 9 6 3 3" xfId="25035" xr:uid="{00000000-0005-0000-0000-0000DCA60000}"/>
    <cellStyle name="Separador de milhares 3 9 6 3 3 2" xfId="51219" xr:uid="{00000000-0005-0000-0000-0000DDA60000}"/>
    <cellStyle name="Separador de milhares 3 9 6 3 4" xfId="19121" xr:uid="{00000000-0005-0000-0000-0000DEA60000}"/>
    <cellStyle name="Separador de milhares 3 9 6 3 4 2" xfId="45311" xr:uid="{00000000-0005-0000-0000-0000DFA60000}"/>
    <cellStyle name="Separador de milhares 3 9 6 3 5" xfId="13020" xr:uid="{00000000-0005-0000-0000-0000E0A60000}"/>
    <cellStyle name="Separador de milhares 3 9 6 3 5 2" xfId="39213" xr:uid="{00000000-0005-0000-0000-0000E1A60000}"/>
    <cellStyle name="Separador de milhares 3 9 6 3 6" xfId="32827" xr:uid="{00000000-0005-0000-0000-0000E2A60000}"/>
    <cellStyle name="Separador de milhares 3 9 6 4" xfId="8310" xr:uid="{00000000-0005-0000-0000-0000E3A60000}"/>
    <cellStyle name="Separador de milhares 3 9 6 4 2" xfId="26524" xr:uid="{00000000-0005-0000-0000-0000E4A60000}"/>
    <cellStyle name="Separador de milhares 3 9 6 4 2 2" xfId="52705" xr:uid="{00000000-0005-0000-0000-0000E5A60000}"/>
    <cellStyle name="Separador de milhares 3 9 6 4 3" xfId="20610" xr:uid="{00000000-0005-0000-0000-0000E6A60000}"/>
    <cellStyle name="Separador de milhares 3 9 6 4 3 2" xfId="46797" xr:uid="{00000000-0005-0000-0000-0000E7A60000}"/>
    <cellStyle name="Separador de milhares 3 9 6 4 4" xfId="14696" xr:uid="{00000000-0005-0000-0000-0000E8A60000}"/>
    <cellStyle name="Separador de milhares 3 9 6 4 4 2" xfId="40889" xr:uid="{00000000-0005-0000-0000-0000E9A60000}"/>
    <cellStyle name="Separador de milhares 3 9 6 4 5" xfId="34503" xr:uid="{00000000-0005-0000-0000-0000EAA60000}"/>
    <cellStyle name="Separador de milhares 3 9 6 5" xfId="4932" xr:uid="{00000000-0005-0000-0000-0000EBA60000}"/>
    <cellStyle name="Separador de milhares 3 9 6 5 2" xfId="23567" xr:uid="{00000000-0005-0000-0000-0000ECA60000}"/>
    <cellStyle name="Separador de milhares 3 9 6 5 2 2" xfId="49751" xr:uid="{00000000-0005-0000-0000-0000EDA60000}"/>
    <cellStyle name="Separador de milhares 3 9 6 5 3" xfId="31128" xr:uid="{00000000-0005-0000-0000-0000EEA60000}"/>
    <cellStyle name="Separador de milhares 3 9 6 6" xfId="17653" xr:uid="{00000000-0005-0000-0000-0000EFA60000}"/>
    <cellStyle name="Separador de milhares 3 9 6 6 2" xfId="43843" xr:uid="{00000000-0005-0000-0000-0000F0A60000}"/>
    <cellStyle name="Separador de milhares 3 9 6 7" xfId="11319" xr:uid="{00000000-0005-0000-0000-0000F1A60000}"/>
    <cellStyle name="Separador de milhares 3 9 6 7 2" xfId="37512" xr:uid="{00000000-0005-0000-0000-0000F2A60000}"/>
    <cellStyle name="Separador de milhares 3 9 6 8" xfId="29430" xr:uid="{00000000-0005-0000-0000-0000F3A60000}"/>
    <cellStyle name="Separador de milhares 3 9 7" xfId="1082" xr:uid="{00000000-0005-0000-0000-0000F4A60000}"/>
    <cellStyle name="Separador de milhares 3 9 7 2" xfId="6729" xr:uid="{00000000-0005-0000-0000-0000F5A60000}"/>
    <cellStyle name="Separador de milhares 3 9 7 2 2" xfId="9876" xr:uid="{00000000-0005-0000-0000-0000F6A60000}"/>
    <cellStyle name="Separador de milhares 3 9 7 2 2 2" xfId="28090" xr:uid="{00000000-0005-0000-0000-0000F7A60000}"/>
    <cellStyle name="Separador de milhares 3 9 7 2 2 2 2" xfId="54271" xr:uid="{00000000-0005-0000-0000-0000F8A60000}"/>
    <cellStyle name="Separador de milhares 3 9 7 2 2 3" xfId="22176" xr:uid="{00000000-0005-0000-0000-0000F9A60000}"/>
    <cellStyle name="Separador de milhares 3 9 7 2 2 3 2" xfId="48363" xr:uid="{00000000-0005-0000-0000-0000FAA60000}"/>
    <cellStyle name="Separador de milhares 3 9 7 2 2 4" xfId="16262" xr:uid="{00000000-0005-0000-0000-0000FBA60000}"/>
    <cellStyle name="Separador de milhares 3 9 7 2 2 4 2" xfId="42455" xr:uid="{00000000-0005-0000-0000-0000FCA60000}"/>
    <cellStyle name="Separador de milhares 3 9 7 2 2 5" xfId="36069" xr:uid="{00000000-0005-0000-0000-0000FDA60000}"/>
    <cellStyle name="Separador de milhares 3 9 7 2 3" xfId="25133" xr:uid="{00000000-0005-0000-0000-0000FEA60000}"/>
    <cellStyle name="Separador de milhares 3 9 7 2 3 2" xfId="51317" xr:uid="{00000000-0005-0000-0000-0000FFA60000}"/>
    <cellStyle name="Separador de milhares 3 9 7 2 4" xfId="19219" xr:uid="{00000000-0005-0000-0000-000000A70000}"/>
    <cellStyle name="Separador de milhares 3 9 7 2 4 2" xfId="45409" xr:uid="{00000000-0005-0000-0000-000001A70000}"/>
    <cellStyle name="Separador de milhares 3 9 7 2 5" xfId="13118" xr:uid="{00000000-0005-0000-0000-000002A70000}"/>
    <cellStyle name="Separador de milhares 3 9 7 2 5 2" xfId="39311" xr:uid="{00000000-0005-0000-0000-000003A70000}"/>
    <cellStyle name="Separador de milhares 3 9 7 2 6" xfId="32925" xr:uid="{00000000-0005-0000-0000-000004A70000}"/>
    <cellStyle name="Separador de milhares 3 9 7 3" xfId="8408" xr:uid="{00000000-0005-0000-0000-000005A70000}"/>
    <cellStyle name="Separador de milhares 3 9 7 3 2" xfId="26622" xr:uid="{00000000-0005-0000-0000-000006A70000}"/>
    <cellStyle name="Separador de milhares 3 9 7 3 2 2" xfId="52803" xr:uid="{00000000-0005-0000-0000-000007A70000}"/>
    <cellStyle name="Separador de milhares 3 9 7 3 3" xfId="20708" xr:uid="{00000000-0005-0000-0000-000008A70000}"/>
    <cellStyle name="Separador de milhares 3 9 7 3 3 2" xfId="46895" xr:uid="{00000000-0005-0000-0000-000009A70000}"/>
    <cellStyle name="Separador de milhares 3 9 7 3 4" xfId="14794" xr:uid="{00000000-0005-0000-0000-00000AA70000}"/>
    <cellStyle name="Separador de milhares 3 9 7 3 4 2" xfId="40987" xr:uid="{00000000-0005-0000-0000-00000BA70000}"/>
    <cellStyle name="Separador de milhares 3 9 7 3 5" xfId="34601" xr:uid="{00000000-0005-0000-0000-00000CA70000}"/>
    <cellStyle name="Separador de milhares 3 9 7 4" xfId="5030" xr:uid="{00000000-0005-0000-0000-00000DA70000}"/>
    <cellStyle name="Separador de milhares 3 9 7 4 2" xfId="23665" xr:uid="{00000000-0005-0000-0000-00000EA70000}"/>
    <cellStyle name="Separador de milhares 3 9 7 4 2 2" xfId="49849" xr:uid="{00000000-0005-0000-0000-00000FA70000}"/>
    <cellStyle name="Separador de milhares 3 9 7 4 3" xfId="31226" xr:uid="{00000000-0005-0000-0000-000010A70000}"/>
    <cellStyle name="Separador de milhares 3 9 7 5" xfId="17751" xr:uid="{00000000-0005-0000-0000-000011A70000}"/>
    <cellStyle name="Separador de milhares 3 9 7 5 2" xfId="43941" xr:uid="{00000000-0005-0000-0000-000012A70000}"/>
    <cellStyle name="Separador de milhares 3 9 7 6" xfId="11417" xr:uid="{00000000-0005-0000-0000-000013A70000}"/>
    <cellStyle name="Separador de milhares 3 9 7 6 2" xfId="37610" xr:uid="{00000000-0005-0000-0000-000014A70000}"/>
    <cellStyle name="Separador de milhares 3 9 7 7" xfId="29528" xr:uid="{00000000-0005-0000-0000-000015A70000}"/>
    <cellStyle name="Separador de milhares 3 9 8" xfId="1517" xr:uid="{00000000-0005-0000-0000-000016A70000}"/>
    <cellStyle name="Separador de milhares 3 9 8 2" xfId="6848" xr:uid="{00000000-0005-0000-0000-000017A70000}"/>
    <cellStyle name="Separador de milhares 3 9 8 2 2" xfId="9995" xr:uid="{00000000-0005-0000-0000-000018A70000}"/>
    <cellStyle name="Separador de milhares 3 9 8 2 2 2" xfId="28209" xr:uid="{00000000-0005-0000-0000-000019A70000}"/>
    <cellStyle name="Separador de milhares 3 9 8 2 2 2 2" xfId="54390" xr:uid="{00000000-0005-0000-0000-00001AA70000}"/>
    <cellStyle name="Separador de milhares 3 9 8 2 2 3" xfId="22295" xr:uid="{00000000-0005-0000-0000-00001BA70000}"/>
    <cellStyle name="Separador de milhares 3 9 8 2 2 3 2" xfId="48482" xr:uid="{00000000-0005-0000-0000-00001CA70000}"/>
    <cellStyle name="Separador de milhares 3 9 8 2 2 4" xfId="16381" xr:uid="{00000000-0005-0000-0000-00001DA70000}"/>
    <cellStyle name="Separador de milhares 3 9 8 2 2 4 2" xfId="42574" xr:uid="{00000000-0005-0000-0000-00001EA70000}"/>
    <cellStyle name="Separador de milhares 3 9 8 2 2 5" xfId="36188" xr:uid="{00000000-0005-0000-0000-00001FA70000}"/>
    <cellStyle name="Separador de milhares 3 9 8 2 3" xfId="25252" xr:uid="{00000000-0005-0000-0000-000020A70000}"/>
    <cellStyle name="Separador de milhares 3 9 8 2 3 2" xfId="51436" xr:uid="{00000000-0005-0000-0000-000021A70000}"/>
    <cellStyle name="Separador de milhares 3 9 8 2 4" xfId="19338" xr:uid="{00000000-0005-0000-0000-000022A70000}"/>
    <cellStyle name="Separador de milhares 3 9 8 2 4 2" xfId="45528" xr:uid="{00000000-0005-0000-0000-000023A70000}"/>
    <cellStyle name="Separador de milhares 3 9 8 2 5" xfId="13237" xr:uid="{00000000-0005-0000-0000-000024A70000}"/>
    <cellStyle name="Separador de milhares 3 9 8 2 5 2" xfId="39430" xr:uid="{00000000-0005-0000-0000-000025A70000}"/>
    <cellStyle name="Separador de milhares 3 9 8 2 6" xfId="33044" xr:uid="{00000000-0005-0000-0000-000026A70000}"/>
    <cellStyle name="Separador de milhares 3 9 8 3" xfId="8527" xr:uid="{00000000-0005-0000-0000-000027A70000}"/>
    <cellStyle name="Separador de milhares 3 9 8 3 2" xfId="26741" xr:uid="{00000000-0005-0000-0000-000028A70000}"/>
    <cellStyle name="Separador de milhares 3 9 8 3 2 2" xfId="52922" xr:uid="{00000000-0005-0000-0000-000029A70000}"/>
    <cellStyle name="Separador de milhares 3 9 8 3 3" xfId="20827" xr:uid="{00000000-0005-0000-0000-00002AA70000}"/>
    <cellStyle name="Separador de milhares 3 9 8 3 3 2" xfId="47014" xr:uid="{00000000-0005-0000-0000-00002BA70000}"/>
    <cellStyle name="Separador de milhares 3 9 8 3 4" xfId="14913" xr:uid="{00000000-0005-0000-0000-00002CA70000}"/>
    <cellStyle name="Separador de milhares 3 9 8 3 4 2" xfId="41106" xr:uid="{00000000-0005-0000-0000-00002DA70000}"/>
    <cellStyle name="Separador de milhares 3 9 8 3 5" xfId="34720" xr:uid="{00000000-0005-0000-0000-00002EA70000}"/>
    <cellStyle name="Separador de milhares 3 9 8 4" xfId="5149" xr:uid="{00000000-0005-0000-0000-00002FA70000}"/>
    <cellStyle name="Separador de milhares 3 9 8 4 2" xfId="23784" xr:uid="{00000000-0005-0000-0000-000030A70000}"/>
    <cellStyle name="Separador de milhares 3 9 8 4 2 2" xfId="49968" xr:uid="{00000000-0005-0000-0000-000031A70000}"/>
    <cellStyle name="Separador de milhares 3 9 8 4 3" xfId="31345" xr:uid="{00000000-0005-0000-0000-000032A70000}"/>
    <cellStyle name="Separador de milhares 3 9 8 5" xfId="17870" xr:uid="{00000000-0005-0000-0000-000033A70000}"/>
    <cellStyle name="Separador de milhares 3 9 8 5 2" xfId="44060" xr:uid="{00000000-0005-0000-0000-000034A70000}"/>
    <cellStyle name="Separador de milhares 3 9 8 6" xfId="11536" xr:uid="{00000000-0005-0000-0000-000035A70000}"/>
    <cellStyle name="Separador de milhares 3 9 8 6 2" xfId="37729" xr:uid="{00000000-0005-0000-0000-000036A70000}"/>
    <cellStyle name="Separador de milhares 3 9 8 7" xfId="29647" xr:uid="{00000000-0005-0000-0000-000037A70000}"/>
    <cellStyle name="Separador de milhares 3 9 9" xfId="2047" xr:uid="{00000000-0005-0000-0000-000038A70000}"/>
    <cellStyle name="Separador de milhares 3 9 9 2" xfId="6998" xr:uid="{00000000-0005-0000-0000-000039A70000}"/>
    <cellStyle name="Separador de milhares 3 9 9 2 2" xfId="10142" xr:uid="{00000000-0005-0000-0000-00003AA70000}"/>
    <cellStyle name="Separador de milhares 3 9 9 2 2 2" xfId="28356" xr:uid="{00000000-0005-0000-0000-00003BA70000}"/>
    <cellStyle name="Separador de milhares 3 9 9 2 2 2 2" xfId="54537" xr:uid="{00000000-0005-0000-0000-00003CA70000}"/>
    <cellStyle name="Separador de milhares 3 9 9 2 2 3" xfId="22442" xr:uid="{00000000-0005-0000-0000-00003DA70000}"/>
    <cellStyle name="Separador de milhares 3 9 9 2 2 3 2" xfId="48629" xr:uid="{00000000-0005-0000-0000-00003EA70000}"/>
    <cellStyle name="Separador de milhares 3 9 9 2 2 4" xfId="16528" xr:uid="{00000000-0005-0000-0000-00003FA70000}"/>
    <cellStyle name="Separador de milhares 3 9 9 2 2 4 2" xfId="42721" xr:uid="{00000000-0005-0000-0000-000040A70000}"/>
    <cellStyle name="Separador de milhares 3 9 9 2 2 5" xfId="36335" xr:uid="{00000000-0005-0000-0000-000041A70000}"/>
    <cellStyle name="Separador de milhares 3 9 9 2 3" xfId="25399" xr:uid="{00000000-0005-0000-0000-000042A70000}"/>
    <cellStyle name="Separador de milhares 3 9 9 2 3 2" xfId="51583" xr:uid="{00000000-0005-0000-0000-000043A70000}"/>
    <cellStyle name="Separador de milhares 3 9 9 2 4" xfId="19485" xr:uid="{00000000-0005-0000-0000-000044A70000}"/>
    <cellStyle name="Separador de milhares 3 9 9 2 4 2" xfId="45675" xr:uid="{00000000-0005-0000-0000-000045A70000}"/>
    <cellStyle name="Separador de milhares 3 9 9 2 5" xfId="13387" xr:uid="{00000000-0005-0000-0000-000046A70000}"/>
    <cellStyle name="Separador de milhares 3 9 9 2 5 2" xfId="39580" xr:uid="{00000000-0005-0000-0000-000047A70000}"/>
    <cellStyle name="Separador de milhares 3 9 9 2 6" xfId="33194" xr:uid="{00000000-0005-0000-0000-000048A70000}"/>
    <cellStyle name="Separador de milhares 3 9 9 3" xfId="8674" xr:uid="{00000000-0005-0000-0000-000049A70000}"/>
    <cellStyle name="Separador de milhares 3 9 9 3 2" xfId="26888" xr:uid="{00000000-0005-0000-0000-00004AA70000}"/>
    <cellStyle name="Separador de milhares 3 9 9 3 2 2" xfId="53069" xr:uid="{00000000-0005-0000-0000-00004BA70000}"/>
    <cellStyle name="Separador de milhares 3 9 9 3 3" xfId="20974" xr:uid="{00000000-0005-0000-0000-00004CA70000}"/>
    <cellStyle name="Separador de milhares 3 9 9 3 3 2" xfId="47161" xr:uid="{00000000-0005-0000-0000-00004DA70000}"/>
    <cellStyle name="Separador de milhares 3 9 9 3 4" xfId="15060" xr:uid="{00000000-0005-0000-0000-00004EA70000}"/>
    <cellStyle name="Separador de milhares 3 9 9 3 4 2" xfId="41253" xr:uid="{00000000-0005-0000-0000-00004FA70000}"/>
    <cellStyle name="Separador de milhares 3 9 9 3 5" xfId="34867" xr:uid="{00000000-0005-0000-0000-000050A70000}"/>
    <cellStyle name="Separador de milhares 3 9 9 4" xfId="5299" xr:uid="{00000000-0005-0000-0000-000051A70000}"/>
    <cellStyle name="Separador de milhares 3 9 9 4 2" xfId="23931" xr:uid="{00000000-0005-0000-0000-000052A70000}"/>
    <cellStyle name="Separador de milhares 3 9 9 4 2 2" xfId="50115" xr:uid="{00000000-0005-0000-0000-000053A70000}"/>
    <cellStyle name="Separador de milhares 3 9 9 4 3" xfId="31495" xr:uid="{00000000-0005-0000-0000-000054A70000}"/>
    <cellStyle name="Separador de milhares 3 9 9 5" xfId="18017" xr:uid="{00000000-0005-0000-0000-000055A70000}"/>
    <cellStyle name="Separador de milhares 3 9 9 5 2" xfId="44207" xr:uid="{00000000-0005-0000-0000-000056A70000}"/>
    <cellStyle name="Separador de milhares 3 9 9 6" xfId="11686" xr:uid="{00000000-0005-0000-0000-000057A70000}"/>
    <cellStyle name="Separador de milhares 3 9 9 6 2" xfId="37879" xr:uid="{00000000-0005-0000-0000-000058A70000}"/>
    <cellStyle name="Separador de milhares 3 9 9 7" xfId="29797" xr:uid="{00000000-0005-0000-0000-000059A70000}"/>
    <cellStyle name="Separador de milhares 4" xfId="113" xr:uid="{00000000-0005-0000-0000-00005AA70000}"/>
    <cellStyle name="Separador de milhares 4 2" xfId="206" xr:uid="{00000000-0005-0000-0000-00005BA70000}"/>
    <cellStyle name="Separador de milhares 4 2 10" xfId="6466" xr:uid="{00000000-0005-0000-0000-00005CA70000}"/>
    <cellStyle name="Separador de milhares 4 2 10 2" xfId="9618" xr:uid="{00000000-0005-0000-0000-00005DA70000}"/>
    <cellStyle name="Separador de milhares 4 2 10 2 2" xfId="27832" xr:uid="{00000000-0005-0000-0000-00005EA70000}"/>
    <cellStyle name="Separador de milhares 4 2 10 2 2 2" xfId="54013" xr:uid="{00000000-0005-0000-0000-00005FA70000}"/>
    <cellStyle name="Separador de milhares 4 2 10 2 3" xfId="21918" xr:uid="{00000000-0005-0000-0000-000060A70000}"/>
    <cellStyle name="Separador de milhares 4 2 10 2 3 2" xfId="48105" xr:uid="{00000000-0005-0000-0000-000061A70000}"/>
    <cellStyle name="Separador de milhares 4 2 10 2 4" xfId="16004" xr:uid="{00000000-0005-0000-0000-000062A70000}"/>
    <cellStyle name="Separador de milhares 4 2 10 2 4 2" xfId="42197" xr:uid="{00000000-0005-0000-0000-000063A70000}"/>
    <cellStyle name="Separador de milhares 4 2 10 2 5" xfId="35811" xr:uid="{00000000-0005-0000-0000-000064A70000}"/>
    <cellStyle name="Separador de milhares 4 2 10 3" xfId="24875" xr:uid="{00000000-0005-0000-0000-000065A70000}"/>
    <cellStyle name="Separador de milhares 4 2 10 3 2" xfId="51059" xr:uid="{00000000-0005-0000-0000-000066A70000}"/>
    <cellStyle name="Separador de milhares 4 2 10 4" xfId="18961" xr:uid="{00000000-0005-0000-0000-000067A70000}"/>
    <cellStyle name="Separador de milhares 4 2 10 4 2" xfId="45151" xr:uid="{00000000-0005-0000-0000-000068A70000}"/>
    <cellStyle name="Separador de milhares 4 2 10 5" xfId="12855" xr:uid="{00000000-0005-0000-0000-000069A70000}"/>
    <cellStyle name="Separador de milhares 4 2 10 5 2" xfId="39048" xr:uid="{00000000-0005-0000-0000-00006AA70000}"/>
    <cellStyle name="Separador de milhares 4 2 10 6" xfId="32662" xr:uid="{00000000-0005-0000-0000-00006BA70000}"/>
    <cellStyle name="Separador de milhares 4 2 11" xfId="8147" xr:uid="{00000000-0005-0000-0000-00006CA70000}"/>
    <cellStyle name="Separador de milhares 4 2 11 2" xfId="26361" xr:uid="{00000000-0005-0000-0000-00006DA70000}"/>
    <cellStyle name="Separador de milhares 4 2 11 2 2" xfId="52545" xr:uid="{00000000-0005-0000-0000-00006EA70000}"/>
    <cellStyle name="Separador de milhares 4 2 11 3" xfId="20447" xr:uid="{00000000-0005-0000-0000-00006FA70000}"/>
    <cellStyle name="Separador de milhares 4 2 11 3 2" xfId="46637" xr:uid="{00000000-0005-0000-0000-000070A70000}"/>
    <cellStyle name="Separador de milhares 4 2 11 4" xfId="14536" xr:uid="{00000000-0005-0000-0000-000071A70000}"/>
    <cellStyle name="Separador de milhares 4 2 11 4 2" xfId="40729" xr:uid="{00000000-0005-0000-0000-000072A70000}"/>
    <cellStyle name="Separador de milhares 4 2 11 5" xfId="34343" xr:uid="{00000000-0005-0000-0000-000073A70000}"/>
    <cellStyle name="Separador de milhares 4 2 12" xfId="4765" xr:uid="{00000000-0005-0000-0000-000074A70000}"/>
    <cellStyle name="Separador de milhares 4 2 12 2" xfId="23404" xr:uid="{00000000-0005-0000-0000-000075A70000}"/>
    <cellStyle name="Separador de milhares 4 2 12 2 2" xfId="49591" xr:uid="{00000000-0005-0000-0000-000076A70000}"/>
    <cellStyle name="Separador de milhares 4 2 12 3" xfId="30963" xr:uid="{00000000-0005-0000-0000-000077A70000}"/>
    <cellStyle name="Separador de milhares 4 2 13" xfId="17490" xr:uid="{00000000-0005-0000-0000-000078A70000}"/>
    <cellStyle name="Separador de milhares 4 2 13 2" xfId="43683" xr:uid="{00000000-0005-0000-0000-000079A70000}"/>
    <cellStyle name="Separador de milhares 4 2 14" xfId="11154" xr:uid="{00000000-0005-0000-0000-00007AA70000}"/>
    <cellStyle name="Separador de milhares 4 2 14 2" xfId="37347" xr:uid="{00000000-0005-0000-0000-00007BA70000}"/>
    <cellStyle name="Separador de milhares 4 2 15" xfId="29265" xr:uid="{00000000-0005-0000-0000-00007CA70000}"/>
    <cellStyle name="Separador de milhares 4 2 2" xfId="663" xr:uid="{00000000-0005-0000-0000-00007DA70000}"/>
    <cellStyle name="Separador de milhares 4 2 2 10" xfId="17620" xr:uid="{00000000-0005-0000-0000-00007EA70000}"/>
    <cellStyle name="Separador de milhares 4 2 2 10 2" xfId="43810" xr:uid="{00000000-0005-0000-0000-00007FA70000}"/>
    <cellStyle name="Separador de milhares 4 2 2 11" xfId="11286" xr:uid="{00000000-0005-0000-0000-000080A70000}"/>
    <cellStyle name="Separador de milhares 4 2 2 11 2" xfId="37479" xr:uid="{00000000-0005-0000-0000-000081A70000}"/>
    <cellStyle name="Separador de milhares 4 2 2 12" xfId="29397" xr:uid="{00000000-0005-0000-0000-000082A70000}"/>
    <cellStyle name="Separador de milhares 4 2 2 2" xfId="1999" xr:uid="{00000000-0005-0000-0000-000083A70000}"/>
    <cellStyle name="Separador de milhares 4 2 2 2 2" xfId="6985" xr:uid="{00000000-0005-0000-0000-000084A70000}"/>
    <cellStyle name="Separador de milhares 4 2 2 2 2 2" xfId="10130" xr:uid="{00000000-0005-0000-0000-000085A70000}"/>
    <cellStyle name="Separador de milhares 4 2 2 2 2 2 2" xfId="28344" xr:uid="{00000000-0005-0000-0000-000086A70000}"/>
    <cellStyle name="Separador de milhares 4 2 2 2 2 2 2 2" xfId="54525" xr:uid="{00000000-0005-0000-0000-000087A70000}"/>
    <cellStyle name="Separador de milhares 4 2 2 2 2 2 3" xfId="22430" xr:uid="{00000000-0005-0000-0000-000088A70000}"/>
    <cellStyle name="Separador de milhares 4 2 2 2 2 2 3 2" xfId="48617" xr:uid="{00000000-0005-0000-0000-000089A70000}"/>
    <cellStyle name="Separador de milhares 4 2 2 2 2 2 4" xfId="16516" xr:uid="{00000000-0005-0000-0000-00008AA70000}"/>
    <cellStyle name="Separador de milhares 4 2 2 2 2 2 4 2" xfId="42709" xr:uid="{00000000-0005-0000-0000-00008BA70000}"/>
    <cellStyle name="Separador de milhares 4 2 2 2 2 2 5" xfId="36323" xr:uid="{00000000-0005-0000-0000-00008CA70000}"/>
    <cellStyle name="Separador de milhares 4 2 2 2 2 3" xfId="25387" xr:uid="{00000000-0005-0000-0000-00008DA70000}"/>
    <cellStyle name="Separador de milhares 4 2 2 2 2 3 2" xfId="51571" xr:uid="{00000000-0005-0000-0000-00008EA70000}"/>
    <cellStyle name="Separador de milhares 4 2 2 2 2 4" xfId="19473" xr:uid="{00000000-0005-0000-0000-00008FA70000}"/>
    <cellStyle name="Separador de milhares 4 2 2 2 2 4 2" xfId="45663" xr:uid="{00000000-0005-0000-0000-000090A70000}"/>
    <cellStyle name="Separador de milhares 4 2 2 2 2 5" xfId="13374" xr:uid="{00000000-0005-0000-0000-000091A70000}"/>
    <cellStyle name="Separador de milhares 4 2 2 2 2 5 2" xfId="39567" xr:uid="{00000000-0005-0000-0000-000092A70000}"/>
    <cellStyle name="Separador de milhares 4 2 2 2 2 6" xfId="33181" xr:uid="{00000000-0005-0000-0000-000093A70000}"/>
    <cellStyle name="Separador de milhares 4 2 2 2 3" xfId="8662" xr:uid="{00000000-0005-0000-0000-000094A70000}"/>
    <cellStyle name="Separador de milhares 4 2 2 2 3 2" xfId="26876" xr:uid="{00000000-0005-0000-0000-000095A70000}"/>
    <cellStyle name="Separador de milhares 4 2 2 2 3 2 2" xfId="53057" xr:uid="{00000000-0005-0000-0000-000096A70000}"/>
    <cellStyle name="Separador de milhares 4 2 2 2 3 3" xfId="20962" xr:uid="{00000000-0005-0000-0000-000097A70000}"/>
    <cellStyle name="Separador de milhares 4 2 2 2 3 3 2" xfId="47149" xr:uid="{00000000-0005-0000-0000-000098A70000}"/>
    <cellStyle name="Separador de milhares 4 2 2 2 3 4" xfId="15048" xr:uid="{00000000-0005-0000-0000-000099A70000}"/>
    <cellStyle name="Separador de milhares 4 2 2 2 3 4 2" xfId="41241" xr:uid="{00000000-0005-0000-0000-00009AA70000}"/>
    <cellStyle name="Separador de milhares 4 2 2 2 3 5" xfId="34855" xr:uid="{00000000-0005-0000-0000-00009BA70000}"/>
    <cellStyle name="Separador de milhares 4 2 2 2 4" xfId="5286" xr:uid="{00000000-0005-0000-0000-00009CA70000}"/>
    <cellStyle name="Separador de milhares 4 2 2 2 4 2" xfId="23919" xr:uid="{00000000-0005-0000-0000-00009DA70000}"/>
    <cellStyle name="Separador de milhares 4 2 2 2 4 2 2" xfId="50103" xr:uid="{00000000-0005-0000-0000-00009EA70000}"/>
    <cellStyle name="Separador de milhares 4 2 2 2 4 3" xfId="31482" xr:uid="{00000000-0005-0000-0000-00009FA70000}"/>
    <cellStyle name="Separador de milhares 4 2 2 2 5" xfId="18005" xr:uid="{00000000-0005-0000-0000-0000A0A70000}"/>
    <cellStyle name="Separador de milhares 4 2 2 2 5 2" xfId="44195" xr:uid="{00000000-0005-0000-0000-0000A1A70000}"/>
    <cellStyle name="Separador de milhares 4 2 2 2 6" xfId="11673" xr:uid="{00000000-0005-0000-0000-0000A2A70000}"/>
    <cellStyle name="Separador de milhares 4 2 2 2 6 2" xfId="37866" xr:uid="{00000000-0005-0000-0000-0000A3A70000}"/>
    <cellStyle name="Separador de milhares 4 2 2 2 7" xfId="29784" xr:uid="{00000000-0005-0000-0000-0000A4A70000}"/>
    <cellStyle name="Separador de milhares 4 2 2 3" xfId="2527" xr:uid="{00000000-0005-0000-0000-0000A5A70000}"/>
    <cellStyle name="Separador de milhares 4 2 2 3 2" xfId="7133" xr:uid="{00000000-0005-0000-0000-0000A6A70000}"/>
    <cellStyle name="Separador de milhares 4 2 2 3 2 2" xfId="10277" xr:uid="{00000000-0005-0000-0000-0000A7A70000}"/>
    <cellStyle name="Separador de milhares 4 2 2 3 2 2 2" xfId="28491" xr:uid="{00000000-0005-0000-0000-0000A8A70000}"/>
    <cellStyle name="Separador de milhares 4 2 2 3 2 2 2 2" xfId="54672" xr:uid="{00000000-0005-0000-0000-0000A9A70000}"/>
    <cellStyle name="Separador de milhares 4 2 2 3 2 2 3" xfId="22577" xr:uid="{00000000-0005-0000-0000-0000AAA70000}"/>
    <cellStyle name="Separador de milhares 4 2 2 3 2 2 3 2" xfId="48764" xr:uid="{00000000-0005-0000-0000-0000ABA70000}"/>
    <cellStyle name="Separador de milhares 4 2 2 3 2 2 4" xfId="16663" xr:uid="{00000000-0005-0000-0000-0000ACA70000}"/>
    <cellStyle name="Separador de milhares 4 2 2 3 2 2 4 2" xfId="42856" xr:uid="{00000000-0005-0000-0000-0000ADA70000}"/>
    <cellStyle name="Separador de milhares 4 2 2 3 2 2 5" xfId="36470" xr:uid="{00000000-0005-0000-0000-0000AEA70000}"/>
    <cellStyle name="Separador de milhares 4 2 2 3 2 3" xfId="25534" xr:uid="{00000000-0005-0000-0000-0000AFA70000}"/>
    <cellStyle name="Separador de milhares 4 2 2 3 2 3 2" xfId="51718" xr:uid="{00000000-0005-0000-0000-0000B0A70000}"/>
    <cellStyle name="Separador de milhares 4 2 2 3 2 4" xfId="19620" xr:uid="{00000000-0005-0000-0000-0000B1A70000}"/>
    <cellStyle name="Separador de milhares 4 2 2 3 2 4 2" xfId="45810" xr:uid="{00000000-0005-0000-0000-0000B2A70000}"/>
    <cellStyle name="Separador de milhares 4 2 2 3 2 5" xfId="13522" xr:uid="{00000000-0005-0000-0000-0000B3A70000}"/>
    <cellStyle name="Separador de milhares 4 2 2 3 2 5 2" xfId="39715" xr:uid="{00000000-0005-0000-0000-0000B4A70000}"/>
    <cellStyle name="Separador de milhares 4 2 2 3 2 6" xfId="33329" xr:uid="{00000000-0005-0000-0000-0000B5A70000}"/>
    <cellStyle name="Separador de milhares 4 2 2 3 3" xfId="8809" xr:uid="{00000000-0005-0000-0000-0000B6A70000}"/>
    <cellStyle name="Separador de milhares 4 2 2 3 3 2" xfId="27023" xr:uid="{00000000-0005-0000-0000-0000B7A70000}"/>
    <cellStyle name="Separador de milhares 4 2 2 3 3 2 2" xfId="53204" xr:uid="{00000000-0005-0000-0000-0000B8A70000}"/>
    <cellStyle name="Separador de milhares 4 2 2 3 3 3" xfId="21109" xr:uid="{00000000-0005-0000-0000-0000B9A70000}"/>
    <cellStyle name="Separador de milhares 4 2 2 3 3 3 2" xfId="47296" xr:uid="{00000000-0005-0000-0000-0000BAA70000}"/>
    <cellStyle name="Separador de milhares 4 2 2 3 3 4" xfId="15195" xr:uid="{00000000-0005-0000-0000-0000BBA70000}"/>
    <cellStyle name="Separador de milhares 4 2 2 3 3 4 2" xfId="41388" xr:uid="{00000000-0005-0000-0000-0000BCA70000}"/>
    <cellStyle name="Separador de milhares 4 2 2 3 3 5" xfId="35002" xr:uid="{00000000-0005-0000-0000-0000BDA70000}"/>
    <cellStyle name="Separador de milhares 4 2 2 3 4" xfId="5434" xr:uid="{00000000-0005-0000-0000-0000BEA70000}"/>
    <cellStyle name="Separador de milhares 4 2 2 3 4 2" xfId="24066" xr:uid="{00000000-0005-0000-0000-0000BFA70000}"/>
    <cellStyle name="Separador de milhares 4 2 2 3 4 2 2" xfId="50250" xr:uid="{00000000-0005-0000-0000-0000C0A70000}"/>
    <cellStyle name="Separador de milhares 4 2 2 3 4 3" xfId="31630" xr:uid="{00000000-0005-0000-0000-0000C1A70000}"/>
    <cellStyle name="Separador de milhares 4 2 2 3 5" xfId="18152" xr:uid="{00000000-0005-0000-0000-0000C2A70000}"/>
    <cellStyle name="Separador de milhares 4 2 2 3 5 2" xfId="44342" xr:uid="{00000000-0005-0000-0000-0000C3A70000}"/>
    <cellStyle name="Separador de milhares 4 2 2 3 6" xfId="11821" xr:uid="{00000000-0005-0000-0000-0000C4A70000}"/>
    <cellStyle name="Separador de milhares 4 2 2 3 6 2" xfId="38014" xr:uid="{00000000-0005-0000-0000-0000C5A70000}"/>
    <cellStyle name="Separador de milhares 4 2 2 3 7" xfId="29932" xr:uid="{00000000-0005-0000-0000-0000C6A70000}"/>
    <cellStyle name="Separador de milhares 4 2 2 4" xfId="3054" xr:uid="{00000000-0005-0000-0000-0000C7A70000}"/>
    <cellStyle name="Separador de milhares 4 2 2 4 2" xfId="7280" xr:uid="{00000000-0005-0000-0000-0000C8A70000}"/>
    <cellStyle name="Separador de milhares 4 2 2 4 2 2" xfId="10424" xr:uid="{00000000-0005-0000-0000-0000C9A70000}"/>
    <cellStyle name="Separador de milhares 4 2 2 4 2 2 2" xfId="28638" xr:uid="{00000000-0005-0000-0000-0000CAA70000}"/>
    <cellStyle name="Separador de milhares 4 2 2 4 2 2 2 2" xfId="54819" xr:uid="{00000000-0005-0000-0000-0000CBA70000}"/>
    <cellStyle name="Separador de milhares 4 2 2 4 2 2 3" xfId="22724" xr:uid="{00000000-0005-0000-0000-0000CCA70000}"/>
    <cellStyle name="Separador de milhares 4 2 2 4 2 2 3 2" xfId="48911" xr:uid="{00000000-0005-0000-0000-0000CDA70000}"/>
    <cellStyle name="Separador de milhares 4 2 2 4 2 2 4" xfId="16810" xr:uid="{00000000-0005-0000-0000-0000CEA70000}"/>
    <cellStyle name="Separador de milhares 4 2 2 4 2 2 4 2" xfId="43003" xr:uid="{00000000-0005-0000-0000-0000CFA70000}"/>
    <cellStyle name="Separador de milhares 4 2 2 4 2 2 5" xfId="36617" xr:uid="{00000000-0005-0000-0000-0000D0A70000}"/>
    <cellStyle name="Separador de milhares 4 2 2 4 2 3" xfId="25681" xr:uid="{00000000-0005-0000-0000-0000D1A70000}"/>
    <cellStyle name="Separador de milhares 4 2 2 4 2 3 2" xfId="51865" xr:uid="{00000000-0005-0000-0000-0000D2A70000}"/>
    <cellStyle name="Separador de milhares 4 2 2 4 2 4" xfId="19767" xr:uid="{00000000-0005-0000-0000-0000D3A70000}"/>
    <cellStyle name="Separador de milhares 4 2 2 4 2 4 2" xfId="45957" xr:uid="{00000000-0005-0000-0000-0000D4A70000}"/>
    <cellStyle name="Separador de milhares 4 2 2 4 2 5" xfId="13669" xr:uid="{00000000-0005-0000-0000-0000D5A70000}"/>
    <cellStyle name="Separador de milhares 4 2 2 4 2 5 2" xfId="39862" xr:uid="{00000000-0005-0000-0000-0000D6A70000}"/>
    <cellStyle name="Separador de milhares 4 2 2 4 2 6" xfId="33476" xr:uid="{00000000-0005-0000-0000-0000D7A70000}"/>
    <cellStyle name="Separador de milhares 4 2 2 4 3" xfId="8956" xr:uid="{00000000-0005-0000-0000-0000D8A70000}"/>
    <cellStyle name="Separador de milhares 4 2 2 4 3 2" xfId="27170" xr:uid="{00000000-0005-0000-0000-0000D9A70000}"/>
    <cellStyle name="Separador de milhares 4 2 2 4 3 2 2" xfId="53351" xr:uid="{00000000-0005-0000-0000-0000DAA70000}"/>
    <cellStyle name="Separador de milhares 4 2 2 4 3 3" xfId="21256" xr:uid="{00000000-0005-0000-0000-0000DBA70000}"/>
    <cellStyle name="Separador de milhares 4 2 2 4 3 3 2" xfId="47443" xr:uid="{00000000-0005-0000-0000-0000DCA70000}"/>
    <cellStyle name="Separador de milhares 4 2 2 4 3 4" xfId="15342" xr:uid="{00000000-0005-0000-0000-0000DDA70000}"/>
    <cellStyle name="Separador de milhares 4 2 2 4 3 4 2" xfId="41535" xr:uid="{00000000-0005-0000-0000-0000DEA70000}"/>
    <cellStyle name="Separador de milhares 4 2 2 4 3 5" xfId="35149" xr:uid="{00000000-0005-0000-0000-0000DFA70000}"/>
    <cellStyle name="Separador de milhares 4 2 2 4 4" xfId="5581" xr:uid="{00000000-0005-0000-0000-0000E0A70000}"/>
    <cellStyle name="Separador de milhares 4 2 2 4 4 2" xfId="24213" xr:uid="{00000000-0005-0000-0000-0000E1A70000}"/>
    <cellStyle name="Separador de milhares 4 2 2 4 4 2 2" xfId="50397" xr:uid="{00000000-0005-0000-0000-0000E2A70000}"/>
    <cellStyle name="Separador de milhares 4 2 2 4 4 3" xfId="31777" xr:uid="{00000000-0005-0000-0000-0000E3A70000}"/>
    <cellStyle name="Separador de milhares 4 2 2 4 5" xfId="18299" xr:uid="{00000000-0005-0000-0000-0000E4A70000}"/>
    <cellStyle name="Separador de milhares 4 2 2 4 5 2" xfId="44489" xr:uid="{00000000-0005-0000-0000-0000E5A70000}"/>
    <cellStyle name="Separador de milhares 4 2 2 4 6" xfId="11968" xr:uid="{00000000-0005-0000-0000-0000E6A70000}"/>
    <cellStyle name="Separador de milhares 4 2 2 4 6 2" xfId="38161" xr:uid="{00000000-0005-0000-0000-0000E7A70000}"/>
    <cellStyle name="Separador de milhares 4 2 2 4 7" xfId="30079" xr:uid="{00000000-0005-0000-0000-0000E8A70000}"/>
    <cellStyle name="Separador de milhares 4 2 2 5" xfId="3581" xr:uid="{00000000-0005-0000-0000-0000E9A70000}"/>
    <cellStyle name="Separador de milhares 4 2 2 5 2" xfId="7427" xr:uid="{00000000-0005-0000-0000-0000EAA70000}"/>
    <cellStyle name="Separador de milhares 4 2 2 5 2 2" xfId="10571" xr:uid="{00000000-0005-0000-0000-0000EBA70000}"/>
    <cellStyle name="Separador de milhares 4 2 2 5 2 2 2" xfId="28785" xr:uid="{00000000-0005-0000-0000-0000ECA70000}"/>
    <cellStyle name="Separador de milhares 4 2 2 5 2 2 2 2" xfId="54966" xr:uid="{00000000-0005-0000-0000-0000EDA70000}"/>
    <cellStyle name="Separador de milhares 4 2 2 5 2 2 3" xfId="22871" xr:uid="{00000000-0005-0000-0000-0000EEA70000}"/>
    <cellStyle name="Separador de milhares 4 2 2 5 2 2 3 2" xfId="49058" xr:uid="{00000000-0005-0000-0000-0000EFA70000}"/>
    <cellStyle name="Separador de milhares 4 2 2 5 2 2 4" xfId="16957" xr:uid="{00000000-0005-0000-0000-0000F0A70000}"/>
    <cellStyle name="Separador de milhares 4 2 2 5 2 2 4 2" xfId="43150" xr:uid="{00000000-0005-0000-0000-0000F1A70000}"/>
    <cellStyle name="Separador de milhares 4 2 2 5 2 2 5" xfId="36764" xr:uid="{00000000-0005-0000-0000-0000F2A70000}"/>
    <cellStyle name="Separador de milhares 4 2 2 5 2 3" xfId="25828" xr:uid="{00000000-0005-0000-0000-0000F3A70000}"/>
    <cellStyle name="Separador de milhares 4 2 2 5 2 3 2" xfId="52012" xr:uid="{00000000-0005-0000-0000-0000F4A70000}"/>
    <cellStyle name="Separador de milhares 4 2 2 5 2 4" xfId="19914" xr:uid="{00000000-0005-0000-0000-0000F5A70000}"/>
    <cellStyle name="Separador de milhares 4 2 2 5 2 4 2" xfId="46104" xr:uid="{00000000-0005-0000-0000-0000F6A70000}"/>
    <cellStyle name="Separador de milhares 4 2 2 5 2 5" xfId="13816" xr:uid="{00000000-0005-0000-0000-0000F7A70000}"/>
    <cellStyle name="Separador de milhares 4 2 2 5 2 5 2" xfId="40009" xr:uid="{00000000-0005-0000-0000-0000F8A70000}"/>
    <cellStyle name="Separador de milhares 4 2 2 5 2 6" xfId="33623" xr:uid="{00000000-0005-0000-0000-0000F9A70000}"/>
    <cellStyle name="Separador de milhares 4 2 2 5 3" xfId="9103" xr:uid="{00000000-0005-0000-0000-0000FAA70000}"/>
    <cellStyle name="Separador de milhares 4 2 2 5 3 2" xfId="27317" xr:uid="{00000000-0005-0000-0000-0000FBA70000}"/>
    <cellStyle name="Separador de milhares 4 2 2 5 3 2 2" xfId="53498" xr:uid="{00000000-0005-0000-0000-0000FCA70000}"/>
    <cellStyle name="Separador de milhares 4 2 2 5 3 3" xfId="21403" xr:uid="{00000000-0005-0000-0000-0000FDA70000}"/>
    <cellStyle name="Separador de milhares 4 2 2 5 3 3 2" xfId="47590" xr:uid="{00000000-0005-0000-0000-0000FEA70000}"/>
    <cellStyle name="Separador de milhares 4 2 2 5 3 4" xfId="15489" xr:uid="{00000000-0005-0000-0000-0000FFA70000}"/>
    <cellStyle name="Separador de milhares 4 2 2 5 3 4 2" xfId="41682" xr:uid="{00000000-0005-0000-0000-000000A80000}"/>
    <cellStyle name="Separador de milhares 4 2 2 5 3 5" xfId="35296" xr:uid="{00000000-0005-0000-0000-000001A80000}"/>
    <cellStyle name="Separador de milhares 4 2 2 5 4" xfId="5728" xr:uid="{00000000-0005-0000-0000-000002A80000}"/>
    <cellStyle name="Separador de milhares 4 2 2 5 4 2" xfId="24360" xr:uid="{00000000-0005-0000-0000-000003A80000}"/>
    <cellStyle name="Separador de milhares 4 2 2 5 4 2 2" xfId="50544" xr:uid="{00000000-0005-0000-0000-000004A80000}"/>
    <cellStyle name="Separador de milhares 4 2 2 5 4 3" xfId="31924" xr:uid="{00000000-0005-0000-0000-000005A80000}"/>
    <cellStyle name="Separador de milhares 4 2 2 5 5" xfId="18446" xr:uid="{00000000-0005-0000-0000-000006A80000}"/>
    <cellStyle name="Separador de milhares 4 2 2 5 5 2" xfId="44636" xr:uid="{00000000-0005-0000-0000-000007A80000}"/>
    <cellStyle name="Separador de milhares 4 2 2 5 6" xfId="12115" xr:uid="{00000000-0005-0000-0000-000008A80000}"/>
    <cellStyle name="Separador de milhares 4 2 2 5 6 2" xfId="38308" xr:uid="{00000000-0005-0000-0000-000009A80000}"/>
    <cellStyle name="Separador de milhares 4 2 2 5 7" xfId="30226" xr:uid="{00000000-0005-0000-0000-00000AA80000}"/>
    <cellStyle name="Separador de milhares 4 2 2 6" xfId="4108" xr:uid="{00000000-0005-0000-0000-00000BA80000}"/>
    <cellStyle name="Separador de milhares 4 2 2 6 2" xfId="7574" xr:uid="{00000000-0005-0000-0000-00000CA80000}"/>
    <cellStyle name="Separador de milhares 4 2 2 6 2 2" xfId="10718" xr:uid="{00000000-0005-0000-0000-00000DA80000}"/>
    <cellStyle name="Separador de milhares 4 2 2 6 2 2 2" xfId="28932" xr:uid="{00000000-0005-0000-0000-00000EA80000}"/>
    <cellStyle name="Separador de milhares 4 2 2 6 2 2 2 2" xfId="55113" xr:uid="{00000000-0005-0000-0000-00000FA80000}"/>
    <cellStyle name="Separador de milhares 4 2 2 6 2 2 3" xfId="23018" xr:uid="{00000000-0005-0000-0000-000010A80000}"/>
    <cellStyle name="Separador de milhares 4 2 2 6 2 2 3 2" xfId="49205" xr:uid="{00000000-0005-0000-0000-000011A80000}"/>
    <cellStyle name="Separador de milhares 4 2 2 6 2 2 4" xfId="17104" xr:uid="{00000000-0005-0000-0000-000012A80000}"/>
    <cellStyle name="Separador de milhares 4 2 2 6 2 2 4 2" xfId="43297" xr:uid="{00000000-0005-0000-0000-000013A80000}"/>
    <cellStyle name="Separador de milhares 4 2 2 6 2 2 5" xfId="36911" xr:uid="{00000000-0005-0000-0000-000014A80000}"/>
    <cellStyle name="Separador de milhares 4 2 2 6 2 3" xfId="25975" xr:uid="{00000000-0005-0000-0000-000015A80000}"/>
    <cellStyle name="Separador de milhares 4 2 2 6 2 3 2" xfId="52159" xr:uid="{00000000-0005-0000-0000-000016A80000}"/>
    <cellStyle name="Separador de milhares 4 2 2 6 2 4" xfId="20061" xr:uid="{00000000-0005-0000-0000-000017A80000}"/>
    <cellStyle name="Separador de milhares 4 2 2 6 2 4 2" xfId="46251" xr:uid="{00000000-0005-0000-0000-000018A80000}"/>
    <cellStyle name="Separador de milhares 4 2 2 6 2 5" xfId="13963" xr:uid="{00000000-0005-0000-0000-000019A80000}"/>
    <cellStyle name="Separador de milhares 4 2 2 6 2 5 2" xfId="40156" xr:uid="{00000000-0005-0000-0000-00001AA80000}"/>
    <cellStyle name="Separador de milhares 4 2 2 6 2 6" xfId="33770" xr:uid="{00000000-0005-0000-0000-00001BA80000}"/>
    <cellStyle name="Separador de milhares 4 2 2 6 3" xfId="9250" xr:uid="{00000000-0005-0000-0000-00001CA80000}"/>
    <cellStyle name="Separador de milhares 4 2 2 6 3 2" xfId="27464" xr:uid="{00000000-0005-0000-0000-00001DA80000}"/>
    <cellStyle name="Separador de milhares 4 2 2 6 3 2 2" xfId="53645" xr:uid="{00000000-0005-0000-0000-00001EA80000}"/>
    <cellStyle name="Separador de milhares 4 2 2 6 3 3" xfId="21550" xr:uid="{00000000-0005-0000-0000-00001FA80000}"/>
    <cellStyle name="Separador de milhares 4 2 2 6 3 3 2" xfId="47737" xr:uid="{00000000-0005-0000-0000-000020A80000}"/>
    <cellStyle name="Separador de milhares 4 2 2 6 3 4" xfId="15636" xr:uid="{00000000-0005-0000-0000-000021A80000}"/>
    <cellStyle name="Separador de milhares 4 2 2 6 3 4 2" xfId="41829" xr:uid="{00000000-0005-0000-0000-000022A80000}"/>
    <cellStyle name="Separador de milhares 4 2 2 6 3 5" xfId="35443" xr:uid="{00000000-0005-0000-0000-000023A80000}"/>
    <cellStyle name="Separador de milhares 4 2 2 6 4" xfId="5875" xr:uid="{00000000-0005-0000-0000-000024A80000}"/>
    <cellStyle name="Separador de milhares 4 2 2 6 4 2" xfId="24507" xr:uid="{00000000-0005-0000-0000-000025A80000}"/>
    <cellStyle name="Separador de milhares 4 2 2 6 4 2 2" xfId="50691" xr:uid="{00000000-0005-0000-0000-000026A80000}"/>
    <cellStyle name="Separador de milhares 4 2 2 6 4 3" xfId="32071" xr:uid="{00000000-0005-0000-0000-000027A80000}"/>
    <cellStyle name="Separador de milhares 4 2 2 6 5" xfId="18593" xr:uid="{00000000-0005-0000-0000-000028A80000}"/>
    <cellStyle name="Separador de milhares 4 2 2 6 5 2" xfId="44783" xr:uid="{00000000-0005-0000-0000-000029A80000}"/>
    <cellStyle name="Separador de milhares 4 2 2 6 6" xfId="12262" xr:uid="{00000000-0005-0000-0000-00002AA80000}"/>
    <cellStyle name="Separador de milhares 4 2 2 6 6 2" xfId="38455" xr:uid="{00000000-0005-0000-0000-00002BA80000}"/>
    <cellStyle name="Separador de milhares 4 2 2 6 7" xfId="30373" xr:uid="{00000000-0005-0000-0000-00002CA80000}"/>
    <cellStyle name="Separador de milhares 4 2 2 7" xfId="6598" xr:uid="{00000000-0005-0000-0000-00002DA80000}"/>
    <cellStyle name="Separador de milhares 4 2 2 7 2" xfId="9745" xr:uid="{00000000-0005-0000-0000-00002EA80000}"/>
    <cellStyle name="Separador de milhares 4 2 2 7 2 2" xfId="27959" xr:uid="{00000000-0005-0000-0000-00002FA80000}"/>
    <cellStyle name="Separador de milhares 4 2 2 7 2 2 2" xfId="54140" xr:uid="{00000000-0005-0000-0000-000030A80000}"/>
    <cellStyle name="Separador de milhares 4 2 2 7 2 3" xfId="22045" xr:uid="{00000000-0005-0000-0000-000031A80000}"/>
    <cellStyle name="Separador de milhares 4 2 2 7 2 3 2" xfId="48232" xr:uid="{00000000-0005-0000-0000-000032A80000}"/>
    <cellStyle name="Separador de milhares 4 2 2 7 2 4" xfId="16131" xr:uid="{00000000-0005-0000-0000-000033A80000}"/>
    <cellStyle name="Separador de milhares 4 2 2 7 2 4 2" xfId="42324" xr:uid="{00000000-0005-0000-0000-000034A80000}"/>
    <cellStyle name="Separador de milhares 4 2 2 7 2 5" xfId="35938" xr:uid="{00000000-0005-0000-0000-000035A80000}"/>
    <cellStyle name="Separador de milhares 4 2 2 7 3" xfId="25002" xr:uid="{00000000-0005-0000-0000-000036A80000}"/>
    <cellStyle name="Separador de milhares 4 2 2 7 3 2" xfId="51186" xr:uid="{00000000-0005-0000-0000-000037A80000}"/>
    <cellStyle name="Separador de milhares 4 2 2 7 4" xfId="19088" xr:uid="{00000000-0005-0000-0000-000038A80000}"/>
    <cellStyle name="Separador de milhares 4 2 2 7 4 2" xfId="45278" xr:uid="{00000000-0005-0000-0000-000039A80000}"/>
    <cellStyle name="Separador de milhares 4 2 2 7 5" xfId="12987" xr:uid="{00000000-0005-0000-0000-00003AA80000}"/>
    <cellStyle name="Separador de milhares 4 2 2 7 5 2" xfId="39180" xr:uid="{00000000-0005-0000-0000-00003BA80000}"/>
    <cellStyle name="Separador de milhares 4 2 2 7 6" xfId="32794" xr:uid="{00000000-0005-0000-0000-00003CA80000}"/>
    <cellStyle name="Separador de milhares 4 2 2 8" xfId="8277" xr:uid="{00000000-0005-0000-0000-00003DA80000}"/>
    <cellStyle name="Separador de milhares 4 2 2 8 2" xfId="26491" xr:uid="{00000000-0005-0000-0000-00003EA80000}"/>
    <cellStyle name="Separador de milhares 4 2 2 8 2 2" xfId="52672" xr:uid="{00000000-0005-0000-0000-00003FA80000}"/>
    <cellStyle name="Separador de milhares 4 2 2 8 3" xfId="20577" xr:uid="{00000000-0005-0000-0000-000040A80000}"/>
    <cellStyle name="Separador de milhares 4 2 2 8 3 2" xfId="46764" xr:uid="{00000000-0005-0000-0000-000041A80000}"/>
    <cellStyle name="Separador de milhares 4 2 2 8 4" xfId="14663" xr:uid="{00000000-0005-0000-0000-000042A80000}"/>
    <cellStyle name="Separador de milhares 4 2 2 8 4 2" xfId="40856" xr:uid="{00000000-0005-0000-0000-000043A80000}"/>
    <cellStyle name="Separador de milhares 4 2 2 8 5" xfId="34470" xr:uid="{00000000-0005-0000-0000-000044A80000}"/>
    <cellStyle name="Separador de milhares 4 2 2 9" xfId="4899" xr:uid="{00000000-0005-0000-0000-000045A80000}"/>
    <cellStyle name="Separador de milhares 4 2 2 9 2" xfId="23534" xr:uid="{00000000-0005-0000-0000-000046A80000}"/>
    <cellStyle name="Separador de milhares 4 2 2 9 2 2" xfId="49718" xr:uid="{00000000-0005-0000-0000-000047A80000}"/>
    <cellStyle name="Separador de milhares 4 2 2 9 3" xfId="31095" xr:uid="{00000000-0005-0000-0000-000048A80000}"/>
    <cellStyle name="Separador de milhares 4 2 3" xfId="951" xr:uid="{00000000-0005-0000-0000-000049A80000}"/>
    <cellStyle name="Separador de milhares 4 2 3 2" xfId="6696" xr:uid="{00000000-0005-0000-0000-00004AA80000}"/>
    <cellStyle name="Separador de milhares 4 2 3 2 2" xfId="9843" xr:uid="{00000000-0005-0000-0000-00004BA80000}"/>
    <cellStyle name="Separador de milhares 4 2 3 2 2 2" xfId="28057" xr:uid="{00000000-0005-0000-0000-00004CA80000}"/>
    <cellStyle name="Separador de milhares 4 2 3 2 2 2 2" xfId="54238" xr:uid="{00000000-0005-0000-0000-00004DA80000}"/>
    <cellStyle name="Separador de milhares 4 2 3 2 2 3" xfId="22143" xr:uid="{00000000-0005-0000-0000-00004EA80000}"/>
    <cellStyle name="Separador de milhares 4 2 3 2 2 3 2" xfId="48330" xr:uid="{00000000-0005-0000-0000-00004FA80000}"/>
    <cellStyle name="Separador de milhares 4 2 3 2 2 4" xfId="16229" xr:uid="{00000000-0005-0000-0000-000050A80000}"/>
    <cellStyle name="Separador de milhares 4 2 3 2 2 4 2" xfId="42422" xr:uid="{00000000-0005-0000-0000-000051A80000}"/>
    <cellStyle name="Separador de milhares 4 2 3 2 2 5" xfId="36036" xr:uid="{00000000-0005-0000-0000-000052A80000}"/>
    <cellStyle name="Separador de milhares 4 2 3 2 3" xfId="25100" xr:uid="{00000000-0005-0000-0000-000053A80000}"/>
    <cellStyle name="Separador de milhares 4 2 3 2 3 2" xfId="51284" xr:uid="{00000000-0005-0000-0000-000054A80000}"/>
    <cellStyle name="Separador de milhares 4 2 3 2 4" xfId="19186" xr:uid="{00000000-0005-0000-0000-000055A80000}"/>
    <cellStyle name="Separador de milhares 4 2 3 2 4 2" xfId="45376" xr:uid="{00000000-0005-0000-0000-000056A80000}"/>
    <cellStyle name="Separador de milhares 4 2 3 2 5" xfId="13085" xr:uid="{00000000-0005-0000-0000-000057A80000}"/>
    <cellStyle name="Separador de milhares 4 2 3 2 5 2" xfId="39278" xr:uid="{00000000-0005-0000-0000-000058A80000}"/>
    <cellStyle name="Separador de milhares 4 2 3 2 6" xfId="32892" xr:uid="{00000000-0005-0000-0000-000059A80000}"/>
    <cellStyle name="Separador de milhares 4 2 3 3" xfId="8375" xr:uid="{00000000-0005-0000-0000-00005AA80000}"/>
    <cellStyle name="Separador de milhares 4 2 3 3 2" xfId="26589" xr:uid="{00000000-0005-0000-0000-00005BA80000}"/>
    <cellStyle name="Separador de milhares 4 2 3 3 2 2" xfId="52770" xr:uid="{00000000-0005-0000-0000-00005CA80000}"/>
    <cellStyle name="Separador de milhares 4 2 3 3 3" xfId="20675" xr:uid="{00000000-0005-0000-0000-00005DA80000}"/>
    <cellStyle name="Separador de milhares 4 2 3 3 3 2" xfId="46862" xr:uid="{00000000-0005-0000-0000-00005EA80000}"/>
    <cellStyle name="Separador de milhares 4 2 3 3 4" xfId="14761" xr:uid="{00000000-0005-0000-0000-00005FA80000}"/>
    <cellStyle name="Separador de milhares 4 2 3 3 4 2" xfId="40954" xr:uid="{00000000-0005-0000-0000-000060A80000}"/>
    <cellStyle name="Separador de milhares 4 2 3 3 5" xfId="34568" xr:uid="{00000000-0005-0000-0000-000061A80000}"/>
    <cellStyle name="Separador de milhares 4 2 3 4" xfId="4997" xr:uid="{00000000-0005-0000-0000-000062A80000}"/>
    <cellStyle name="Separador de milhares 4 2 3 4 2" xfId="23632" xr:uid="{00000000-0005-0000-0000-000063A80000}"/>
    <cellStyle name="Separador de milhares 4 2 3 4 2 2" xfId="49816" xr:uid="{00000000-0005-0000-0000-000064A80000}"/>
    <cellStyle name="Separador de milhares 4 2 3 4 3" xfId="31193" xr:uid="{00000000-0005-0000-0000-000065A80000}"/>
    <cellStyle name="Separador de milhares 4 2 3 5" xfId="17718" xr:uid="{00000000-0005-0000-0000-000066A80000}"/>
    <cellStyle name="Separador de milhares 4 2 3 5 2" xfId="43908" xr:uid="{00000000-0005-0000-0000-000067A80000}"/>
    <cellStyle name="Separador de milhares 4 2 3 6" xfId="11384" xr:uid="{00000000-0005-0000-0000-000068A80000}"/>
    <cellStyle name="Separador de milhares 4 2 3 6 2" xfId="37577" xr:uid="{00000000-0005-0000-0000-000069A80000}"/>
    <cellStyle name="Separador de milhares 4 2 3 7" xfId="29495" xr:uid="{00000000-0005-0000-0000-00006AA80000}"/>
    <cellStyle name="Separador de milhares 4 2 4" xfId="1302" xr:uid="{00000000-0005-0000-0000-00006BA80000}"/>
    <cellStyle name="Separador de milhares 4 2 4 2" xfId="6794" xr:uid="{00000000-0005-0000-0000-00006CA80000}"/>
    <cellStyle name="Separador de milhares 4 2 4 2 2" xfId="9941" xr:uid="{00000000-0005-0000-0000-00006DA80000}"/>
    <cellStyle name="Separador de milhares 4 2 4 2 2 2" xfId="28155" xr:uid="{00000000-0005-0000-0000-00006EA80000}"/>
    <cellStyle name="Separador de milhares 4 2 4 2 2 2 2" xfId="54336" xr:uid="{00000000-0005-0000-0000-00006FA80000}"/>
    <cellStyle name="Separador de milhares 4 2 4 2 2 3" xfId="22241" xr:uid="{00000000-0005-0000-0000-000070A80000}"/>
    <cellStyle name="Separador de milhares 4 2 4 2 2 3 2" xfId="48428" xr:uid="{00000000-0005-0000-0000-000071A80000}"/>
    <cellStyle name="Separador de milhares 4 2 4 2 2 4" xfId="16327" xr:uid="{00000000-0005-0000-0000-000072A80000}"/>
    <cellStyle name="Separador de milhares 4 2 4 2 2 4 2" xfId="42520" xr:uid="{00000000-0005-0000-0000-000073A80000}"/>
    <cellStyle name="Separador de milhares 4 2 4 2 2 5" xfId="36134" xr:uid="{00000000-0005-0000-0000-000074A80000}"/>
    <cellStyle name="Separador de milhares 4 2 4 2 3" xfId="25198" xr:uid="{00000000-0005-0000-0000-000075A80000}"/>
    <cellStyle name="Separador de milhares 4 2 4 2 3 2" xfId="51382" xr:uid="{00000000-0005-0000-0000-000076A80000}"/>
    <cellStyle name="Separador de milhares 4 2 4 2 4" xfId="19284" xr:uid="{00000000-0005-0000-0000-000077A80000}"/>
    <cellStyle name="Separador de milhares 4 2 4 2 4 2" xfId="45474" xr:uid="{00000000-0005-0000-0000-000078A80000}"/>
    <cellStyle name="Separador de milhares 4 2 4 2 5" xfId="13183" xr:uid="{00000000-0005-0000-0000-000079A80000}"/>
    <cellStyle name="Separador de milhares 4 2 4 2 5 2" xfId="39376" xr:uid="{00000000-0005-0000-0000-00007AA80000}"/>
    <cellStyle name="Separador de milhares 4 2 4 2 6" xfId="32990" xr:uid="{00000000-0005-0000-0000-00007BA80000}"/>
    <cellStyle name="Separador de milhares 4 2 4 3" xfId="8473" xr:uid="{00000000-0005-0000-0000-00007CA80000}"/>
    <cellStyle name="Separador de milhares 4 2 4 3 2" xfId="26687" xr:uid="{00000000-0005-0000-0000-00007DA80000}"/>
    <cellStyle name="Separador de milhares 4 2 4 3 2 2" xfId="52868" xr:uid="{00000000-0005-0000-0000-00007EA80000}"/>
    <cellStyle name="Separador de milhares 4 2 4 3 3" xfId="20773" xr:uid="{00000000-0005-0000-0000-00007FA80000}"/>
    <cellStyle name="Separador de milhares 4 2 4 3 3 2" xfId="46960" xr:uid="{00000000-0005-0000-0000-000080A80000}"/>
    <cellStyle name="Separador de milhares 4 2 4 3 4" xfId="14859" xr:uid="{00000000-0005-0000-0000-000081A80000}"/>
    <cellStyle name="Separador de milhares 4 2 4 3 4 2" xfId="41052" xr:uid="{00000000-0005-0000-0000-000082A80000}"/>
    <cellStyle name="Separador de milhares 4 2 4 3 5" xfId="34666" xr:uid="{00000000-0005-0000-0000-000083A80000}"/>
    <cellStyle name="Separador de milhares 4 2 4 4" xfId="5095" xr:uid="{00000000-0005-0000-0000-000084A80000}"/>
    <cellStyle name="Separador de milhares 4 2 4 4 2" xfId="23730" xr:uid="{00000000-0005-0000-0000-000085A80000}"/>
    <cellStyle name="Separador de milhares 4 2 4 4 2 2" xfId="49914" xr:uid="{00000000-0005-0000-0000-000086A80000}"/>
    <cellStyle name="Separador de milhares 4 2 4 4 3" xfId="31291" xr:uid="{00000000-0005-0000-0000-000087A80000}"/>
    <cellStyle name="Separador de milhares 4 2 4 5" xfId="17816" xr:uid="{00000000-0005-0000-0000-000088A80000}"/>
    <cellStyle name="Separador de milhares 4 2 4 5 2" xfId="44006" xr:uid="{00000000-0005-0000-0000-000089A80000}"/>
    <cellStyle name="Separador de milhares 4 2 4 6" xfId="11482" xr:uid="{00000000-0005-0000-0000-00008AA80000}"/>
    <cellStyle name="Separador de milhares 4 2 4 6 2" xfId="37675" xr:uid="{00000000-0005-0000-0000-00008BA80000}"/>
    <cellStyle name="Separador de milhares 4 2 4 7" xfId="29593" xr:uid="{00000000-0005-0000-0000-00008CA80000}"/>
    <cellStyle name="Separador de milhares 4 2 5" xfId="1737" xr:uid="{00000000-0005-0000-0000-00008DA80000}"/>
    <cellStyle name="Separador de milhares 4 2 5 2" xfId="6913" xr:uid="{00000000-0005-0000-0000-00008EA80000}"/>
    <cellStyle name="Separador de milhares 4 2 5 2 2" xfId="10060" xr:uid="{00000000-0005-0000-0000-00008FA80000}"/>
    <cellStyle name="Separador de milhares 4 2 5 2 2 2" xfId="28274" xr:uid="{00000000-0005-0000-0000-000090A80000}"/>
    <cellStyle name="Separador de milhares 4 2 5 2 2 2 2" xfId="54455" xr:uid="{00000000-0005-0000-0000-000091A80000}"/>
    <cellStyle name="Separador de milhares 4 2 5 2 2 3" xfId="22360" xr:uid="{00000000-0005-0000-0000-000092A80000}"/>
    <cellStyle name="Separador de milhares 4 2 5 2 2 3 2" xfId="48547" xr:uid="{00000000-0005-0000-0000-000093A80000}"/>
    <cellStyle name="Separador de milhares 4 2 5 2 2 4" xfId="16446" xr:uid="{00000000-0005-0000-0000-000094A80000}"/>
    <cellStyle name="Separador de milhares 4 2 5 2 2 4 2" xfId="42639" xr:uid="{00000000-0005-0000-0000-000095A80000}"/>
    <cellStyle name="Separador de milhares 4 2 5 2 2 5" xfId="36253" xr:uid="{00000000-0005-0000-0000-000096A80000}"/>
    <cellStyle name="Separador de milhares 4 2 5 2 3" xfId="25317" xr:uid="{00000000-0005-0000-0000-000097A80000}"/>
    <cellStyle name="Separador de milhares 4 2 5 2 3 2" xfId="51501" xr:uid="{00000000-0005-0000-0000-000098A80000}"/>
    <cellStyle name="Separador de milhares 4 2 5 2 4" xfId="19403" xr:uid="{00000000-0005-0000-0000-000099A80000}"/>
    <cellStyle name="Separador de milhares 4 2 5 2 4 2" xfId="45593" xr:uid="{00000000-0005-0000-0000-00009AA80000}"/>
    <cellStyle name="Separador de milhares 4 2 5 2 5" xfId="13302" xr:uid="{00000000-0005-0000-0000-00009BA80000}"/>
    <cellStyle name="Separador de milhares 4 2 5 2 5 2" xfId="39495" xr:uid="{00000000-0005-0000-0000-00009CA80000}"/>
    <cellStyle name="Separador de milhares 4 2 5 2 6" xfId="33109" xr:uid="{00000000-0005-0000-0000-00009DA80000}"/>
    <cellStyle name="Separador de milhares 4 2 5 3" xfId="8592" xr:uid="{00000000-0005-0000-0000-00009EA80000}"/>
    <cellStyle name="Separador de milhares 4 2 5 3 2" xfId="26806" xr:uid="{00000000-0005-0000-0000-00009FA80000}"/>
    <cellStyle name="Separador de milhares 4 2 5 3 2 2" xfId="52987" xr:uid="{00000000-0005-0000-0000-0000A0A80000}"/>
    <cellStyle name="Separador de milhares 4 2 5 3 3" xfId="20892" xr:uid="{00000000-0005-0000-0000-0000A1A80000}"/>
    <cellStyle name="Separador de milhares 4 2 5 3 3 2" xfId="47079" xr:uid="{00000000-0005-0000-0000-0000A2A80000}"/>
    <cellStyle name="Separador de milhares 4 2 5 3 4" xfId="14978" xr:uid="{00000000-0005-0000-0000-0000A3A80000}"/>
    <cellStyle name="Separador de milhares 4 2 5 3 4 2" xfId="41171" xr:uid="{00000000-0005-0000-0000-0000A4A80000}"/>
    <cellStyle name="Separador de milhares 4 2 5 3 5" xfId="34785" xr:uid="{00000000-0005-0000-0000-0000A5A80000}"/>
    <cellStyle name="Separador de milhares 4 2 5 4" xfId="5214" xr:uid="{00000000-0005-0000-0000-0000A6A80000}"/>
    <cellStyle name="Separador de milhares 4 2 5 4 2" xfId="23849" xr:uid="{00000000-0005-0000-0000-0000A7A80000}"/>
    <cellStyle name="Separador de milhares 4 2 5 4 2 2" xfId="50033" xr:uid="{00000000-0005-0000-0000-0000A8A80000}"/>
    <cellStyle name="Separador de milhares 4 2 5 4 3" xfId="31410" xr:uid="{00000000-0005-0000-0000-0000A9A80000}"/>
    <cellStyle name="Separador de milhares 4 2 5 5" xfId="17935" xr:uid="{00000000-0005-0000-0000-0000AAA80000}"/>
    <cellStyle name="Separador de milhares 4 2 5 5 2" xfId="44125" xr:uid="{00000000-0005-0000-0000-0000ABA80000}"/>
    <cellStyle name="Separador de milhares 4 2 5 6" xfId="11601" xr:uid="{00000000-0005-0000-0000-0000ACA80000}"/>
    <cellStyle name="Separador de milhares 4 2 5 6 2" xfId="37794" xr:uid="{00000000-0005-0000-0000-0000ADA80000}"/>
    <cellStyle name="Separador de milhares 4 2 5 7" xfId="29712" xr:uid="{00000000-0005-0000-0000-0000AEA80000}"/>
    <cellStyle name="Separador de milhares 4 2 6" xfId="2267" xr:uid="{00000000-0005-0000-0000-0000AFA80000}"/>
    <cellStyle name="Separador de milhares 4 2 6 2" xfId="7063" xr:uid="{00000000-0005-0000-0000-0000B0A80000}"/>
    <cellStyle name="Separador de milhares 4 2 6 2 2" xfId="10207" xr:uid="{00000000-0005-0000-0000-0000B1A80000}"/>
    <cellStyle name="Separador de milhares 4 2 6 2 2 2" xfId="28421" xr:uid="{00000000-0005-0000-0000-0000B2A80000}"/>
    <cellStyle name="Separador de milhares 4 2 6 2 2 2 2" xfId="54602" xr:uid="{00000000-0005-0000-0000-0000B3A80000}"/>
    <cellStyle name="Separador de milhares 4 2 6 2 2 3" xfId="22507" xr:uid="{00000000-0005-0000-0000-0000B4A80000}"/>
    <cellStyle name="Separador de milhares 4 2 6 2 2 3 2" xfId="48694" xr:uid="{00000000-0005-0000-0000-0000B5A80000}"/>
    <cellStyle name="Separador de milhares 4 2 6 2 2 4" xfId="16593" xr:uid="{00000000-0005-0000-0000-0000B6A80000}"/>
    <cellStyle name="Separador de milhares 4 2 6 2 2 4 2" xfId="42786" xr:uid="{00000000-0005-0000-0000-0000B7A80000}"/>
    <cellStyle name="Separador de milhares 4 2 6 2 2 5" xfId="36400" xr:uid="{00000000-0005-0000-0000-0000B8A80000}"/>
    <cellStyle name="Separador de milhares 4 2 6 2 3" xfId="25464" xr:uid="{00000000-0005-0000-0000-0000B9A80000}"/>
    <cellStyle name="Separador de milhares 4 2 6 2 3 2" xfId="51648" xr:uid="{00000000-0005-0000-0000-0000BAA80000}"/>
    <cellStyle name="Separador de milhares 4 2 6 2 4" xfId="19550" xr:uid="{00000000-0005-0000-0000-0000BBA80000}"/>
    <cellStyle name="Separador de milhares 4 2 6 2 4 2" xfId="45740" xr:uid="{00000000-0005-0000-0000-0000BCA80000}"/>
    <cellStyle name="Separador de milhares 4 2 6 2 5" xfId="13452" xr:uid="{00000000-0005-0000-0000-0000BDA80000}"/>
    <cellStyle name="Separador de milhares 4 2 6 2 5 2" xfId="39645" xr:uid="{00000000-0005-0000-0000-0000BEA80000}"/>
    <cellStyle name="Separador de milhares 4 2 6 2 6" xfId="33259" xr:uid="{00000000-0005-0000-0000-0000BFA80000}"/>
    <cellStyle name="Separador de milhares 4 2 6 3" xfId="8739" xr:uid="{00000000-0005-0000-0000-0000C0A80000}"/>
    <cellStyle name="Separador de milhares 4 2 6 3 2" xfId="26953" xr:uid="{00000000-0005-0000-0000-0000C1A80000}"/>
    <cellStyle name="Separador de milhares 4 2 6 3 2 2" xfId="53134" xr:uid="{00000000-0005-0000-0000-0000C2A80000}"/>
    <cellStyle name="Separador de milhares 4 2 6 3 3" xfId="21039" xr:uid="{00000000-0005-0000-0000-0000C3A80000}"/>
    <cellStyle name="Separador de milhares 4 2 6 3 3 2" xfId="47226" xr:uid="{00000000-0005-0000-0000-0000C4A80000}"/>
    <cellStyle name="Separador de milhares 4 2 6 3 4" xfId="15125" xr:uid="{00000000-0005-0000-0000-0000C5A80000}"/>
    <cellStyle name="Separador de milhares 4 2 6 3 4 2" xfId="41318" xr:uid="{00000000-0005-0000-0000-0000C6A80000}"/>
    <cellStyle name="Separador de milhares 4 2 6 3 5" xfId="34932" xr:uid="{00000000-0005-0000-0000-0000C7A80000}"/>
    <cellStyle name="Separador de milhares 4 2 6 4" xfId="5364" xr:uid="{00000000-0005-0000-0000-0000C8A80000}"/>
    <cellStyle name="Separador de milhares 4 2 6 4 2" xfId="23996" xr:uid="{00000000-0005-0000-0000-0000C9A80000}"/>
    <cellStyle name="Separador de milhares 4 2 6 4 2 2" xfId="50180" xr:uid="{00000000-0005-0000-0000-0000CAA80000}"/>
    <cellStyle name="Separador de milhares 4 2 6 4 3" xfId="31560" xr:uid="{00000000-0005-0000-0000-0000CBA80000}"/>
    <cellStyle name="Separador de milhares 4 2 6 5" xfId="18082" xr:uid="{00000000-0005-0000-0000-0000CCA80000}"/>
    <cellStyle name="Separador de milhares 4 2 6 5 2" xfId="44272" xr:uid="{00000000-0005-0000-0000-0000CDA80000}"/>
    <cellStyle name="Separador de milhares 4 2 6 6" xfId="11751" xr:uid="{00000000-0005-0000-0000-0000CEA80000}"/>
    <cellStyle name="Separador de milhares 4 2 6 6 2" xfId="37944" xr:uid="{00000000-0005-0000-0000-0000CFA80000}"/>
    <cellStyle name="Separador de milhares 4 2 6 7" xfId="29862" xr:uid="{00000000-0005-0000-0000-0000D0A80000}"/>
    <cellStyle name="Separador de milhares 4 2 7" xfId="2794" xr:uid="{00000000-0005-0000-0000-0000D1A80000}"/>
    <cellStyle name="Separador de milhares 4 2 7 2" xfId="7210" xr:uid="{00000000-0005-0000-0000-0000D2A80000}"/>
    <cellStyle name="Separador de milhares 4 2 7 2 2" xfId="10354" xr:uid="{00000000-0005-0000-0000-0000D3A80000}"/>
    <cellStyle name="Separador de milhares 4 2 7 2 2 2" xfId="28568" xr:uid="{00000000-0005-0000-0000-0000D4A80000}"/>
    <cellStyle name="Separador de milhares 4 2 7 2 2 2 2" xfId="54749" xr:uid="{00000000-0005-0000-0000-0000D5A80000}"/>
    <cellStyle name="Separador de milhares 4 2 7 2 2 3" xfId="22654" xr:uid="{00000000-0005-0000-0000-0000D6A80000}"/>
    <cellStyle name="Separador de milhares 4 2 7 2 2 3 2" xfId="48841" xr:uid="{00000000-0005-0000-0000-0000D7A80000}"/>
    <cellStyle name="Separador de milhares 4 2 7 2 2 4" xfId="16740" xr:uid="{00000000-0005-0000-0000-0000D8A80000}"/>
    <cellStyle name="Separador de milhares 4 2 7 2 2 4 2" xfId="42933" xr:uid="{00000000-0005-0000-0000-0000D9A80000}"/>
    <cellStyle name="Separador de milhares 4 2 7 2 2 5" xfId="36547" xr:uid="{00000000-0005-0000-0000-0000DAA80000}"/>
    <cellStyle name="Separador de milhares 4 2 7 2 3" xfId="25611" xr:uid="{00000000-0005-0000-0000-0000DBA80000}"/>
    <cellStyle name="Separador de milhares 4 2 7 2 3 2" xfId="51795" xr:uid="{00000000-0005-0000-0000-0000DCA80000}"/>
    <cellStyle name="Separador de milhares 4 2 7 2 4" xfId="19697" xr:uid="{00000000-0005-0000-0000-0000DDA80000}"/>
    <cellStyle name="Separador de milhares 4 2 7 2 4 2" xfId="45887" xr:uid="{00000000-0005-0000-0000-0000DEA80000}"/>
    <cellStyle name="Separador de milhares 4 2 7 2 5" xfId="13599" xr:uid="{00000000-0005-0000-0000-0000DFA80000}"/>
    <cellStyle name="Separador de milhares 4 2 7 2 5 2" xfId="39792" xr:uid="{00000000-0005-0000-0000-0000E0A80000}"/>
    <cellStyle name="Separador de milhares 4 2 7 2 6" xfId="33406" xr:uid="{00000000-0005-0000-0000-0000E1A80000}"/>
    <cellStyle name="Separador de milhares 4 2 7 3" xfId="8886" xr:uid="{00000000-0005-0000-0000-0000E2A80000}"/>
    <cellStyle name="Separador de milhares 4 2 7 3 2" xfId="27100" xr:uid="{00000000-0005-0000-0000-0000E3A80000}"/>
    <cellStyle name="Separador de milhares 4 2 7 3 2 2" xfId="53281" xr:uid="{00000000-0005-0000-0000-0000E4A80000}"/>
    <cellStyle name="Separador de milhares 4 2 7 3 3" xfId="21186" xr:uid="{00000000-0005-0000-0000-0000E5A80000}"/>
    <cellStyle name="Separador de milhares 4 2 7 3 3 2" xfId="47373" xr:uid="{00000000-0005-0000-0000-0000E6A80000}"/>
    <cellStyle name="Separador de milhares 4 2 7 3 4" xfId="15272" xr:uid="{00000000-0005-0000-0000-0000E7A80000}"/>
    <cellStyle name="Separador de milhares 4 2 7 3 4 2" xfId="41465" xr:uid="{00000000-0005-0000-0000-0000E8A80000}"/>
    <cellStyle name="Separador de milhares 4 2 7 3 5" xfId="35079" xr:uid="{00000000-0005-0000-0000-0000E9A80000}"/>
    <cellStyle name="Separador de milhares 4 2 7 4" xfId="5511" xr:uid="{00000000-0005-0000-0000-0000EAA80000}"/>
    <cellStyle name="Separador de milhares 4 2 7 4 2" xfId="24143" xr:uid="{00000000-0005-0000-0000-0000EBA80000}"/>
    <cellStyle name="Separador de milhares 4 2 7 4 2 2" xfId="50327" xr:uid="{00000000-0005-0000-0000-0000ECA80000}"/>
    <cellStyle name="Separador de milhares 4 2 7 4 3" xfId="31707" xr:uid="{00000000-0005-0000-0000-0000EDA80000}"/>
    <cellStyle name="Separador de milhares 4 2 7 5" xfId="18229" xr:uid="{00000000-0005-0000-0000-0000EEA80000}"/>
    <cellStyle name="Separador de milhares 4 2 7 5 2" xfId="44419" xr:uid="{00000000-0005-0000-0000-0000EFA80000}"/>
    <cellStyle name="Separador de milhares 4 2 7 6" xfId="11898" xr:uid="{00000000-0005-0000-0000-0000F0A80000}"/>
    <cellStyle name="Separador de milhares 4 2 7 6 2" xfId="38091" xr:uid="{00000000-0005-0000-0000-0000F1A80000}"/>
    <cellStyle name="Separador de milhares 4 2 7 7" xfId="30009" xr:uid="{00000000-0005-0000-0000-0000F2A80000}"/>
    <cellStyle name="Separador de milhares 4 2 8" xfId="3321" xr:uid="{00000000-0005-0000-0000-0000F3A80000}"/>
    <cellStyle name="Separador de milhares 4 2 8 2" xfId="7357" xr:uid="{00000000-0005-0000-0000-0000F4A80000}"/>
    <cellStyle name="Separador de milhares 4 2 8 2 2" xfId="10501" xr:uid="{00000000-0005-0000-0000-0000F5A80000}"/>
    <cellStyle name="Separador de milhares 4 2 8 2 2 2" xfId="28715" xr:uid="{00000000-0005-0000-0000-0000F6A80000}"/>
    <cellStyle name="Separador de milhares 4 2 8 2 2 2 2" xfId="54896" xr:uid="{00000000-0005-0000-0000-0000F7A80000}"/>
    <cellStyle name="Separador de milhares 4 2 8 2 2 3" xfId="22801" xr:uid="{00000000-0005-0000-0000-0000F8A80000}"/>
    <cellStyle name="Separador de milhares 4 2 8 2 2 3 2" xfId="48988" xr:uid="{00000000-0005-0000-0000-0000F9A80000}"/>
    <cellStyle name="Separador de milhares 4 2 8 2 2 4" xfId="16887" xr:uid="{00000000-0005-0000-0000-0000FAA80000}"/>
    <cellStyle name="Separador de milhares 4 2 8 2 2 4 2" xfId="43080" xr:uid="{00000000-0005-0000-0000-0000FBA80000}"/>
    <cellStyle name="Separador de milhares 4 2 8 2 2 5" xfId="36694" xr:uid="{00000000-0005-0000-0000-0000FCA80000}"/>
    <cellStyle name="Separador de milhares 4 2 8 2 3" xfId="25758" xr:uid="{00000000-0005-0000-0000-0000FDA80000}"/>
    <cellStyle name="Separador de milhares 4 2 8 2 3 2" xfId="51942" xr:uid="{00000000-0005-0000-0000-0000FEA80000}"/>
    <cellStyle name="Separador de milhares 4 2 8 2 4" xfId="19844" xr:uid="{00000000-0005-0000-0000-0000FFA80000}"/>
    <cellStyle name="Separador de milhares 4 2 8 2 4 2" xfId="46034" xr:uid="{00000000-0005-0000-0000-000000A90000}"/>
    <cellStyle name="Separador de milhares 4 2 8 2 5" xfId="13746" xr:uid="{00000000-0005-0000-0000-000001A90000}"/>
    <cellStyle name="Separador de milhares 4 2 8 2 5 2" xfId="39939" xr:uid="{00000000-0005-0000-0000-000002A90000}"/>
    <cellStyle name="Separador de milhares 4 2 8 2 6" xfId="33553" xr:uid="{00000000-0005-0000-0000-000003A90000}"/>
    <cellStyle name="Separador de milhares 4 2 8 3" xfId="9033" xr:uid="{00000000-0005-0000-0000-000004A90000}"/>
    <cellStyle name="Separador de milhares 4 2 8 3 2" xfId="27247" xr:uid="{00000000-0005-0000-0000-000005A90000}"/>
    <cellStyle name="Separador de milhares 4 2 8 3 2 2" xfId="53428" xr:uid="{00000000-0005-0000-0000-000006A90000}"/>
    <cellStyle name="Separador de milhares 4 2 8 3 3" xfId="21333" xr:uid="{00000000-0005-0000-0000-000007A90000}"/>
    <cellStyle name="Separador de milhares 4 2 8 3 3 2" xfId="47520" xr:uid="{00000000-0005-0000-0000-000008A90000}"/>
    <cellStyle name="Separador de milhares 4 2 8 3 4" xfId="15419" xr:uid="{00000000-0005-0000-0000-000009A90000}"/>
    <cellStyle name="Separador de milhares 4 2 8 3 4 2" xfId="41612" xr:uid="{00000000-0005-0000-0000-00000AA90000}"/>
    <cellStyle name="Separador de milhares 4 2 8 3 5" xfId="35226" xr:uid="{00000000-0005-0000-0000-00000BA90000}"/>
    <cellStyle name="Separador de milhares 4 2 8 4" xfId="5658" xr:uid="{00000000-0005-0000-0000-00000CA90000}"/>
    <cellStyle name="Separador de milhares 4 2 8 4 2" xfId="24290" xr:uid="{00000000-0005-0000-0000-00000DA90000}"/>
    <cellStyle name="Separador de milhares 4 2 8 4 2 2" xfId="50474" xr:uid="{00000000-0005-0000-0000-00000EA90000}"/>
    <cellStyle name="Separador de milhares 4 2 8 4 3" xfId="31854" xr:uid="{00000000-0005-0000-0000-00000FA90000}"/>
    <cellStyle name="Separador de milhares 4 2 8 5" xfId="18376" xr:uid="{00000000-0005-0000-0000-000010A90000}"/>
    <cellStyle name="Separador de milhares 4 2 8 5 2" xfId="44566" xr:uid="{00000000-0005-0000-0000-000011A90000}"/>
    <cellStyle name="Separador de milhares 4 2 8 6" xfId="12045" xr:uid="{00000000-0005-0000-0000-000012A90000}"/>
    <cellStyle name="Separador de milhares 4 2 8 6 2" xfId="38238" xr:uid="{00000000-0005-0000-0000-000013A90000}"/>
    <cellStyle name="Separador de milhares 4 2 8 7" xfId="30156" xr:uid="{00000000-0005-0000-0000-000014A90000}"/>
    <cellStyle name="Separador de milhares 4 2 9" xfId="3848" xr:uid="{00000000-0005-0000-0000-000015A90000}"/>
    <cellStyle name="Separador de milhares 4 2 9 2" xfId="7504" xr:uid="{00000000-0005-0000-0000-000016A90000}"/>
    <cellStyle name="Separador de milhares 4 2 9 2 2" xfId="10648" xr:uid="{00000000-0005-0000-0000-000017A90000}"/>
    <cellStyle name="Separador de milhares 4 2 9 2 2 2" xfId="28862" xr:uid="{00000000-0005-0000-0000-000018A90000}"/>
    <cellStyle name="Separador de milhares 4 2 9 2 2 2 2" xfId="55043" xr:uid="{00000000-0005-0000-0000-000019A90000}"/>
    <cellStyle name="Separador de milhares 4 2 9 2 2 3" xfId="22948" xr:uid="{00000000-0005-0000-0000-00001AA90000}"/>
    <cellStyle name="Separador de milhares 4 2 9 2 2 3 2" xfId="49135" xr:uid="{00000000-0005-0000-0000-00001BA90000}"/>
    <cellStyle name="Separador de milhares 4 2 9 2 2 4" xfId="17034" xr:uid="{00000000-0005-0000-0000-00001CA90000}"/>
    <cellStyle name="Separador de milhares 4 2 9 2 2 4 2" xfId="43227" xr:uid="{00000000-0005-0000-0000-00001DA90000}"/>
    <cellStyle name="Separador de milhares 4 2 9 2 2 5" xfId="36841" xr:uid="{00000000-0005-0000-0000-00001EA90000}"/>
    <cellStyle name="Separador de milhares 4 2 9 2 3" xfId="25905" xr:uid="{00000000-0005-0000-0000-00001FA90000}"/>
    <cellStyle name="Separador de milhares 4 2 9 2 3 2" xfId="52089" xr:uid="{00000000-0005-0000-0000-000020A90000}"/>
    <cellStyle name="Separador de milhares 4 2 9 2 4" xfId="19991" xr:uid="{00000000-0005-0000-0000-000021A90000}"/>
    <cellStyle name="Separador de milhares 4 2 9 2 4 2" xfId="46181" xr:uid="{00000000-0005-0000-0000-000022A90000}"/>
    <cellStyle name="Separador de milhares 4 2 9 2 5" xfId="13893" xr:uid="{00000000-0005-0000-0000-000023A90000}"/>
    <cellStyle name="Separador de milhares 4 2 9 2 5 2" xfId="40086" xr:uid="{00000000-0005-0000-0000-000024A90000}"/>
    <cellStyle name="Separador de milhares 4 2 9 2 6" xfId="33700" xr:uid="{00000000-0005-0000-0000-000025A90000}"/>
    <cellStyle name="Separador de milhares 4 2 9 3" xfId="9180" xr:uid="{00000000-0005-0000-0000-000026A90000}"/>
    <cellStyle name="Separador de milhares 4 2 9 3 2" xfId="27394" xr:uid="{00000000-0005-0000-0000-000027A90000}"/>
    <cellStyle name="Separador de milhares 4 2 9 3 2 2" xfId="53575" xr:uid="{00000000-0005-0000-0000-000028A90000}"/>
    <cellStyle name="Separador de milhares 4 2 9 3 3" xfId="21480" xr:uid="{00000000-0005-0000-0000-000029A90000}"/>
    <cellStyle name="Separador de milhares 4 2 9 3 3 2" xfId="47667" xr:uid="{00000000-0005-0000-0000-00002AA90000}"/>
    <cellStyle name="Separador de milhares 4 2 9 3 4" xfId="15566" xr:uid="{00000000-0005-0000-0000-00002BA90000}"/>
    <cellStyle name="Separador de milhares 4 2 9 3 4 2" xfId="41759" xr:uid="{00000000-0005-0000-0000-00002CA90000}"/>
    <cellStyle name="Separador de milhares 4 2 9 3 5" xfId="35373" xr:uid="{00000000-0005-0000-0000-00002DA90000}"/>
    <cellStyle name="Separador de milhares 4 2 9 4" xfId="5805" xr:uid="{00000000-0005-0000-0000-00002EA90000}"/>
    <cellStyle name="Separador de milhares 4 2 9 4 2" xfId="24437" xr:uid="{00000000-0005-0000-0000-00002FA90000}"/>
    <cellStyle name="Separador de milhares 4 2 9 4 2 2" xfId="50621" xr:uid="{00000000-0005-0000-0000-000030A90000}"/>
    <cellStyle name="Separador de milhares 4 2 9 4 3" xfId="32001" xr:uid="{00000000-0005-0000-0000-000031A90000}"/>
    <cellStyle name="Separador de milhares 4 2 9 5" xfId="18523" xr:uid="{00000000-0005-0000-0000-000032A90000}"/>
    <cellStyle name="Separador de milhares 4 2 9 5 2" xfId="44713" xr:uid="{00000000-0005-0000-0000-000033A90000}"/>
    <cellStyle name="Separador de milhares 4 2 9 6" xfId="12192" xr:uid="{00000000-0005-0000-0000-000034A90000}"/>
    <cellStyle name="Separador de milhares 4 2 9 6 2" xfId="38385" xr:uid="{00000000-0005-0000-0000-000035A90000}"/>
    <cellStyle name="Separador de milhares 4 2 9 7" xfId="30303" xr:uid="{00000000-0005-0000-0000-000036A90000}"/>
    <cellStyle name="Separador de milhares 4 3" xfId="302" xr:uid="{00000000-0005-0000-0000-000037A90000}"/>
    <cellStyle name="Separador de milhares 4 3 10" xfId="6497" xr:uid="{00000000-0005-0000-0000-000038A90000}"/>
    <cellStyle name="Separador de milhares 4 3 10 2" xfId="9646" xr:uid="{00000000-0005-0000-0000-000039A90000}"/>
    <cellStyle name="Separador de milhares 4 3 10 2 2" xfId="27860" xr:uid="{00000000-0005-0000-0000-00003AA90000}"/>
    <cellStyle name="Separador de milhares 4 3 10 2 2 2" xfId="54041" xr:uid="{00000000-0005-0000-0000-00003BA90000}"/>
    <cellStyle name="Separador de milhares 4 3 10 2 3" xfId="21946" xr:uid="{00000000-0005-0000-0000-00003CA90000}"/>
    <cellStyle name="Separador de milhares 4 3 10 2 3 2" xfId="48133" xr:uid="{00000000-0005-0000-0000-00003DA90000}"/>
    <cellStyle name="Separador de milhares 4 3 10 2 4" xfId="16032" xr:uid="{00000000-0005-0000-0000-00003EA90000}"/>
    <cellStyle name="Separador de milhares 4 3 10 2 4 2" xfId="42225" xr:uid="{00000000-0005-0000-0000-00003FA90000}"/>
    <cellStyle name="Separador de milhares 4 3 10 2 5" xfId="35839" xr:uid="{00000000-0005-0000-0000-000040A90000}"/>
    <cellStyle name="Separador de milhares 4 3 10 3" xfId="24903" xr:uid="{00000000-0005-0000-0000-000041A90000}"/>
    <cellStyle name="Separador de milhares 4 3 10 3 2" xfId="51087" xr:uid="{00000000-0005-0000-0000-000042A90000}"/>
    <cellStyle name="Separador de milhares 4 3 10 4" xfId="18989" xr:uid="{00000000-0005-0000-0000-000043A90000}"/>
    <cellStyle name="Separador de milhares 4 3 10 4 2" xfId="45179" xr:uid="{00000000-0005-0000-0000-000044A90000}"/>
    <cellStyle name="Separador de milhares 4 3 10 5" xfId="12886" xr:uid="{00000000-0005-0000-0000-000045A90000}"/>
    <cellStyle name="Separador de milhares 4 3 10 5 2" xfId="39079" xr:uid="{00000000-0005-0000-0000-000046A90000}"/>
    <cellStyle name="Separador de milhares 4 3 10 6" xfId="32693" xr:uid="{00000000-0005-0000-0000-000047A90000}"/>
    <cellStyle name="Separador de milhares 4 3 11" xfId="8175" xr:uid="{00000000-0005-0000-0000-000048A90000}"/>
    <cellStyle name="Separador de milhares 4 3 11 2" xfId="26389" xr:uid="{00000000-0005-0000-0000-000049A90000}"/>
    <cellStyle name="Separador de milhares 4 3 11 2 2" xfId="52573" xr:uid="{00000000-0005-0000-0000-00004AA90000}"/>
    <cellStyle name="Separador de milhares 4 3 11 3" xfId="20475" xr:uid="{00000000-0005-0000-0000-00004BA90000}"/>
    <cellStyle name="Separador de milhares 4 3 11 3 2" xfId="46665" xr:uid="{00000000-0005-0000-0000-00004CA90000}"/>
    <cellStyle name="Separador de milhares 4 3 11 4" xfId="14564" xr:uid="{00000000-0005-0000-0000-00004DA90000}"/>
    <cellStyle name="Separador de milhares 4 3 11 4 2" xfId="40757" xr:uid="{00000000-0005-0000-0000-00004EA90000}"/>
    <cellStyle name="Separador de milhares 4 3 11 5" xfId="34371" xr:uid="{00000000-0005-0000-0000-00004FA90000}"/>
    <cellStyle name="Separador de milhares 4 3 12" xfId="4796" xr:uid="{00000000-0005-0000-0000-000050A90000}"/>
    <cellStyle name="Separador de milhares 4 3 12 2" xfId="23432" xr:uid="{00000000-0005-0000-0000-000051A90000}"/>
    <cellStyle name="Separador de milhares 4 3 12 2 2" xfId="49619" xr:uid="{00000000-0005-0000-0000-000052A90000}"/>
    <cellStyle name="Separador de milhares 4 3 12 3" xfId="30994" xr:uid="{00000000-0005-0000-0000-000053A90000}"/>
    <cellStyle name="Separador de milhares 4 3 13" xfId="17518" xr:uid="{00000000-0005-0000-0000-000054A90000}"/>
    <cellStyle name="Separador de milhares 4 3 13 2" xfId="43711" xr:uid="{00000000-0005-0000-0000-000055A90000}"/>
    <cellStyle name="Separador de milhares 4 3 14" xfId="11185" xr:uid="{00000000-0005-0000-0000-000056A90000}"/>
    <cellStyle name="Separador de milhares 4 3 14 2" xfId="37378" xr:uid="{00000000-0005-0000-0000-000057A90000}"/>
    <cellStyle name="Separador de milhares 4 3 15" xfId="29296" xr:uid="{00000000-0005-0000-0000-000058A90000}"/>
    <cellStyle name="Separador de milhares 4 3 2" xfId="656" xr:uid="{00000000-0005-0000-0000-000059A90000}"/>
    <cellStyle name="Separador de milhares 4 3 2 2" xfId="6591" xr:uid="{00000000-0005-0000-0000-00005AA90000}"/>
    <cellStyle name="Separador de milhares 4 3 2 2 2" xfId="9738" xr:uid="{00000000-0005-0000-0000-00005BA90000}"/>
    <cellStyle name="Separador de milhares 4 3 2 2 2 2" xfId="27952" xr:uid="{00000000-0005-0000-0000-00005CA90000}"/>
    <cellStyle name="Separador de milhares 4 3 2 2 2 2 2" xfId="54133" xr:uid="{00000000-0005-0000-0000-00005DA90000}"/>
    <cellStyle name="Separador de milhares 4 3 2 2 2 3" xfId="22038" xr:uid="{00000000-0005-0000-0000-00005EA90000}"/>
    <cellStyle name="Separador de milhares 4 3 2 2 2 3 2" xfId="48225" xr:uid="{00000000-0005-0000-0000-00005FA90000}"/>
    <cellStyle name="Separador de milhares 4 3 2 2 2 4" xfId="16124" xr:uid="{00000000-0005-0000-0000-000060A90000}"/>
    <cellStyle name="Separador de milhares 4 3 2 2 2 4 2" xfId="42317" xr:uid="{00000000-0005-0000-0000-000061A90000}"/>
    <cellStyle name="Separador de milhares 4 3 2 2 2 5" xfId="35931" xr:uid="{00000000-0005-0000-0000-000062A90000}"/>
    <cellStyle name="Separador de milhares 4 3 2 2 3" xfId="24995" xr:uid="{00000000-0005-0000-0000-000063A90000}"/>
    <cellStyle name="Separador de milhares 4 3 2 2 3 2" xfId="51179" xr:uid="{00000000-0005-0000-0000-000064A90000}"/>
    <cellStyle name="Separador de milhares 4 3 2 2 4" xfId="19081" xr:uid="{00000000-0005-0000-0000-000065A90000}"/>
    <cellStyle name="Separador de milhares 4 3 2 2 4 2" xfId="45271" xr:uid="{00000000-0005-0000-0000-000066A90000}"/>
    <cellStyle name="Separador de milhares 4 3 2 2 5" xfId="12980" xr:uid="{00000000-0005-0000-0000-000067A90000}"/>
    <cellStyle name="Separador de milhares 4 3 2 2 5 2" xfId="39173" xr:uid="{00000000-0005-0000-0000-000068A90000}"/>
    <cellStyle name="Separador de milhares 4 3 2 2 6" xfId="32787" xr:uid="{00000000-0005-0000-0000-000069A90000}"/>
    <cellStyle name="Separador de milhares 4 3 2 3" xfId="8270" xr:uid="{00000000-0005-0000-0000-00006AA90000}"/>
    <cellStyle name="Separador de milhares 4 3 2 3 2" xfId="26484" xr:uid="{00000000-0005-0000-0000-00006BA90000}"/>
    <cellStyle name="Separador de milhares 4 3 2 3 2 2" xfId="52665" xr:uid="{00000000-0005-0000-0000-00006CA90000}"/>
    <cellStyle name="Separador de milhares 4 3 2 3 3" xfId="20570" xr:uid="{00000000-0005-0000-0000-00006DA90000}"/>
    <cellStyle name="Separador de milhares 4 3 2 3 3 2" xfId="46757" xr:uid="{00000000-0005-0000-0000-00006EA90000}"/>
    <cellStyle name="Separador de milhares 4 3 2 3 4" xfId="14656" xr:uid="{00000000-0005-0000-0000-00006FA90000}"/>
    <cellStyle name="Separador de milhares 4 3 2 3 4 2" xfId="40849" xr:uid="{00000000-0005-0000-0000-000070A90000}"/>
    <cellStyle name="Separador de milhares 4 3 2 3 5" xfId="34463" xr:uid="{00000000-0005-0000-0000-000071A90000}"/>
    <cellStyle name="Separador de milhares 4 3 2 4" xfId="4892" xr:uid="{00000000-0005-0000-0000-000072A90000}"/>
    <cellStyle name="Separador de milhares 4 3 2 4 2" xfId="23527" xr:uid="{00000000-0005-0000-0000-000073A90000}"/>
    <cellStyle name="Separador de milhares 4 3 2 4 2 2" xfId="49711" xr:uid="{00000000-0005-0000-0000-000074A90000}"/>
    <cellStyle name="Separador de milhares 4 3 2 4 3" xfId="31088" xr:uid="{00000000-0005-0000-0000-000075A90000}"/>
    <cellStyle name="Separador de milhares 4 3 2 5" xfId="17613" xr:uid="{00000000-0005-0000-0000-000076A90000}"/>
    <cellStyle name="Separador de milhares 4 3 2 5 2" xfId="43803" xr:uid="{00000000-0005-0000-0000-000077A90000}"/>
    <cellStyle name="Separador de milhares 4 3 2 6" xfId="11279" xr:uid="{00000000-0005-0000-0000-000078A90000}"/>
    <cellStyle name="Separador de milhares 4 3 2 6 2" xfId="37472" xr:uid="{00000000-0005-0000-0000-000079A90000}"/>
    <cellStyle name="Separador de milhares 4 3 2 7" xfId="29390" xr:uid="{00000000-0005-0000-0000-00007AA90000}"/>
    <cellStyle name="Separador de milhares 4 3 3" xfId="860" xr:uid="{00000000-0005-0000-0000-00007BA90000}"/>
    <cellStyle name="Separador de milhares 4 3 3 2" xfId="6668" xr:uid="{00000000-0005-0000-0000-00007CA90000}"/>
    <cellStyle name="Separador de milhares 4 3 3 2 2" xfId="9815" xr:uid="{00000000-0005-0000-0000-00007DA90000}"/>
    <cellStyle name="Separador de milhares 4 3 3 2 2 2" xfId="28029" xr:uid="{00000000-0005-0000-0000-00007EA90000}"/>
    <cellStyle name="Separador de milhares 4 3 3 2 2 2 2" xfId="54210" xr:uid="{00000000-0005-0000-0000-00007FA90000}"/>
    <cellStyle name="Separador de milhares 4 3 3 2 2 3" xfId="22115" xr:uid="{00000000-0005-0000-0000-000080A90000}"/>
    <cellStyle name="Separador de milhares 4 3 3 2 2 3 2" xfId="48302" xr:uid="{00000000-0005-0000-0000-000081A90000}"/>
    <cellStyle name="Separador de milhares 4 3 3 2 2 4" xfId="16201" xr:uid="{00000000-0005-0000-0000-000082A90000}"/>
    <cellStyle name="Separador de milhares 4 3 3 2 2 4 2" xfId="42394" xr:uid="{00000000-0005-0000-0000-000083A90000}"/>
    <cellStyle name="Separador de milhares 4 3 3 2 2 5" xfId="36008" xr:uid="{00000000-0005-0000-0000-000084A90000}"/>
    <cellStyle name="Separador de milhares 4 3 3 2 3" xfId="25072" xr:uid="{00000000-0005-0000-0000-000085A90000}"/>
    <cellStyle name="Separador de milhares 4 3 3 2 3 2" xfId="51256" xr:uid="{00000000-0005-0000-0000-000086A90000}"/>
    <cellStyle name="Separador de milhares 4 3 3 2 4" xfId="19158" xr:uid="{00000000-0005-0000-0000-000087A90000}"/>
    <cellStyle name="Separador de milhares 4 3 3 2 4 2" xfId="45348" xr:uid="{00000000-0005-0000-0000-000088A90000}"/>
    <cellStyle name="Separador de milhares 4 3 3 2 5" xfId="13057" xr:uid="{00000000-0005-0000-0000-000089A90000}"/>
    <cellStyle name="Separador de milhares 4 3 3 2 5 2" xfId="39250" xr:uid="{00000000-0005-0000-0000-00008AA90000}"/>
    <cellStyle name="Separador de milhares 4 3 3 2 6" xfId="32864" xr:uid="{00000000-0005-0000-0000-00008BA90000}"/>
    <cellStyle name="Separador de milhares 4 3 3 3" xfId="8347" xr:uid="{00000000-0005-0000-0000-00008CA90000}"/>
    <cellStyle name="Separador de milhares 4 3 3 3 2" xfId="26561" xr:uid="{00000000-0005-0000-0000-00008DA90000}"/>
    <cellStyle name="Separador de milhares 4 3 3 3 2 2" xfId="52742" xr:uid="{00000000-0005-0000-0000-00008EA90000}"/>
    <cellStyle name="Separador de milhares 4 3 3 3 3" xfId="20647" xr:uid="{00000000-0005-0000-0000-00008FA90000}"/>
    <cellStyle name="Separador de milhares 4 3 3 3 3 2" xfId="46834" xr:uid="{00000000-0005-0000-0000-000090A90000}"/>
    <cellStyle name="Separador de milhares 4 3 3 3 4" xfId="14733" xr:uid="{00000000-0005-0000-0000-000091A90000}"/>
    <cellStyle name="Separador de milhares 4 3 3 3 4 2" xfId="40926" xr:uid="{00000000-0005-0000-0000-000092A90000}"/>
    <cellStyle name="Separador de milhares 4 3 3 3 5" xfId="34540" xr:uid="{00000000-0005-0000-0000-000093A90000}"/>
    <cellStyle name="Separador de milhares 4 3 3 4" xfId="4969" xr:uid="{00000000-0005-0000-0000-000094A90000}"/>
    <cellStyle name="Separador de milhares 4 3 3 4 2" xfId="23604" xr:uid="{00000000-0005-0000-0000-000095A90000}"/>
    <cellStyle name="Separador de milhares 4 3 3 4 2 2" xfId="49788" xr:uid="{00000000-0005-0000-0000-000096A90000}"/>
    <cellStyle name="Separador de milhares 4 3 3 4 3" xfId="31165" xr:uid="{00000000-0005-0000-0000-000097A90000}"/>
    <cellStyle name="Separador de milhares 4 3 3 5" xfId="17690" xr:uid="{00000000-0005-0000-0000-000098A90000}"/>
    <cellStyle name="Separador de milhares 4 3 3 5 2" xfId="43880" xr:uid="{00000000-0005-0000-0000-000099A90000}"/>
    <cellStyle name="Separador de milhares 4 3 3 6" xfId="11356" xr:uid="{00000000-0005-0000-0000-00009AA90000}"/>
    <cellStyle name="Separador de milhares 4 3 3 6 2" xfId="37549" xr:uid="{00000000-0005-0000-0000-00009BA90000}"/>
    <cellStyle name="Separador de milhares 4 3 3 7" xfId="29467" xr:uid="{00000000-0005-0000-0000-00009CA90000}"/>
    <cellStyle name="Separador de milhares 4 3 4" xfId="1211" xr:uid="{00000000-0005-0000-0000-00009DA90000}"/>
    <cellStyle name="Separador de milhares 4 3 4 2" xfId="6766" xr:uid="{00000000-0005-0000-0000-00009EA90000}"/>
    <cellStyle name="Separador de milhares 4 3 4 2 2" xfId="9913" xr:uid="{00000000-0005-0000-0000-00009FA90000}"/>
    <cellStyle name="Separador de milhares 4 3 4 2 2 2" xfId="28127" xr:uid="{00000000-0005-0000-0000-0000A0A90000}"/>
    <cellStyle name="Separador de milhares 4 3 4 2 2 2 2" xfId="54308" xr:uid="{00000000-0005-0000-0000-0000A1A90000}"/>
    <cellStyle name="Separador de milhares 4 3 4 2 2 3" xfId="22213" xr:uid="{00000000-0005-0000-0000-0000A2A90000}"/>
    <cellStyle name="Separador de milhares 4 3 4 2 2 3 2" xfId="48400" xr:uid="{00000000-0005-0000-0000-0000A3A90000}"/>
    <cellStyle name="Separador de milhares 4 3 4 2 2 4" xfId="16299" xr:uid="{00000000-0005-0000-0000-0000A4A90000}"/>
    <cellStyle name="Separador de milhares 4 3 4 2 2 4 2" xfId="42492" xr:uid="{00000000-0005-0000-0000-0000A5A90000}"/>
    <cellStyle name="Separador de milhares 4 3 4 2 2 5" xfId="36106" xr:uid="{00000000-0005-0000-0000-0000A6A90000}"/>
    <cellStyle name="Separador de milhares 4 3 4 2 3" xfId="25170" xr:uid="{00000000-0005-0000-0000-0000A7A90000}"/>
    <cellStyle name="Separador de milhares 4 3 4 2 3 2" xfId="51354" xr:uid="{00000000-0005-0000-0000-0000A8A90000}"/>
    <cellStyle name="Separador de milhares 4 3 4 2 4" xfId="19256" xr:uid="{00000000-0005-0000-0000-0000A9A90000}"/>
    <cellStyle name="Separador de milhares 4 3 4 2 4 2" xfId="45446" xr:uid="{00000000-0005-0000-0000-0000AAA90000}"/>
    <cellStyle name="Separador de milhares 4 3 4 2 5" xfId="13155" xr:uid="{00000000-0005-0000-0000-0000ABA90000}"/>
    <cellStyle name="Separador de milhares 4 3 4 2 5 2" xfId="39348" xr:uid="{00000000-0005-0000-0000-0000ACA90000}"/>
    <cellStyle name="Separador de milhares 4 3 4 2 6" xfId="32962" xr:uid="{00000000-0005-0000-0000-0000ADA90000}"/>
    <cellStyle name="Separador de milhares 4 3 4 3" xfId="8445" xr:uid="{00000000-0005-0000-0000-0000AEA90000}"/>
    <cellStyle name="Separador de milhares 4 3 4 3 2" xfId="26659" xr:uid="{00000000-0005-0000-0000-0000AFA90000}"/>
    <cellStyle name="Separador de milhares 4 3 4 3 2 2" xfId="52840" xr:uid="{00000000-0005-0000-0000-0000B0A90000}"/>
    <cellStyle name="Separador de milhares 4 3 4 3 3" xfId="20745" xr:uid="{00000000-0005-0000-0000-0000B1A90000}"/>
    <cellStyle name="Separador de milhares 4 3 4 3 3 2" xfId="46932" xr:uid="{00000000-0005-0000-0000-0000B2A90000}"/>
    <cellStyle name="Separador de milhares 4 3 4 3 4" xfId="14831" xr:uid="{00000000-0005-0000-0000-0000B3A90000}"/>
    <cellStyle name="Separador de milhares 4 3 4 3 4 2" xfId="41024" xr:uid="{00000000-0005-0000-0000-0000B4A90000}"/>
    <cellStyle name="Separador de milhares 4 3 4 3 5" xfId="34638" xr:uid="{00000000-0005-0000-0000-0000B5A90000}"/>
    <cellStyle name="Separador de milhares 4 3 4 4" xfId="5067" xr:uid="{00000000-0005-0000-0000-0000B6A90000}"/>
    <cellStyle name="Separador de milhares 4 3 4 4 2" xfId="23702" xr:uid="{00000000-0005-0000-0000-0000B7A90000}"/>
    <cellStyle name="Separador de milhares 4 3 4 4 2 2" xfId="49886" xr:uid="{00000000-0005-0000-0000-0000B8A90000}"/>
    <cellStyle name="Separador de milhares 4 3 4 4 3" xfId="31263" xr:uid="{00000000-0005-0000-0000-0000B9A90000}"/>
    <cellStyle name="Separador de milhares 4 3 4 5" xfId="17788" xr:uid="{00000000-0005-0000-0000-0000BAA90000}"/>
    <cellStyle name="Separador de milhares 4 3 4 5 2" xfId="43978" xr:uid="{00000000-0005-0000-0000-0000BBA90000}"/>
    <cellStyle name="Separador de milhares 4 3 4 6" xfId="11454" xr:uid="{00000000-0005-0000-0000-0000BCA90000}"/>
    <cellStyle name="Separador de milhares 4 3 4 6 2" xfId="37647" xr:uid="{00000000-0005-0000-0000-0000BDA90000}"/>
    <cellStyle name="Separador de milhares 4 3 4 7" xfId="29565" xr:uid="{00000000-0005-0000-0000-0000BEA90000}"/>
    <cellStyle name="Separador de milhares 4 3 5" xfId="1646" xr:uid="{00000000-0005-0000-0000-0000BFA90000}"/>
    <cellStyle name="Separador de milhares 4 3 5 2" xfId="6885" xr:uid="{00000000-0005-0000-0000-0000C0A90000}"/>
    <cellStyle name="Separador de milhares 4 3 5 2 2" xfId="10032" xr:uid="{00000000-0005-0000-0000-0000C1A90000}"/>
    <cellStyle name="Separador de milhares 4 3 5 2 2 2" xfId="28246" xr:uid="{00000000-0005-0000-0000-0000C2A90000}"/>
    <cellStyle name="Separador de milhares 4 3 5 2 2 2 2" xfId="54427" xr:uid="{00000000-0005-0000-0000-0000C3A90000}"/>
    <cellStyle name="Separador de milhares 4 3 5 2 2 3" xfId="22332" xr:uid="{00000000-0005-0000-0000-0000C4A90000}"/>
    <cellStyle name="Separador de milhares 4 3 5 2 2 3 2" xfId="48519" xr:uid="{00000000-0005-0000-0000-0000C5A90000}"/>
    <cellStyle name="Separador de milhares 4 3 5 2 2 4" xfId="16418" xr:uid="{00000000-0005-0000-0000-0000C6A90000}"/>
    <cellStyle name="Separador de milhares 4 3 5 2 2 4 2" xfId="42611" xr:uid="{00000000-0005-0000-0000-0000C7A90000}"/>
    <cellStyle name="Separador de milhares 4 3 5 2 2 5" xfId="36225" xr:uid="{00000000-0005-0000-0000-0000C8A90000}"/>
    <cellStyle name="Separador de milhares 4 3 5 2 3" xfId="25289" xr:uid="{00000000-0005-0000-0000-0000C9A90000}"/>
    <cellStyle name="Separador de milhares 4 3 5 2 3 2" xfId="51473" xr:uid="{00000000-0005-0000-0000-0000CAA90000}"/>
    <cellStyle name="Separador de milhares 4 3 5 2 4" xfId="19375" xr:uid="{00000000-0005-0000-0000-0000CBA90000}"/>
    <cellStyle name="Separador de milhares 4 3 5 2 4 2" xfId="45565" xr:uid="{00000000-0005-0000-0000-0000CCA90000}"/>
    <cellStyle name="Separador de milhares 4 3 5 2 5" xfId="13274" xr:uid="{00000000-0005-0000-0000-0000CDA90000}"/>
    <cellStyle name="Separador de milhares 4 3 5 2 5 2" xfId="39467" xr:uid="{00000000-0005-0000-0000-0000CEA90000}"/>
    <cellStyle name="Separador de milhares 4 3 5 2 6" xfId="33081" xr:uid="{00000000-0005-0000-0000-0000CFA90000}"/>
    <cellStyle name="Separador de milhares 4 3 5 3" xfId="8564" xr:uid="{00000000-0005-0000-0000-0000D0A90000}"/>
    <cellStyle name="Separador de milhares 4 3 5 3 2" xfId="26778" xr:uid="{00000000-0005-0000-0000-0000D1A90000}"/>
    <cellStyle name="Separador de milhares 4 3 5 3 2 2" xfId="52959" xr:uid="{00000000-0005-0000-0000-0000D2A90000}"/>
    <cellStyle name="Separador de milhares 4 3 5 3 3" xfId="20864" xr:uid="{00000000-0005-0000-0000-0000D3A90000}"/>
    <cellStyle name="Separador de milhares 4 3 5 3 3 2" xfId="47051" xr:uid="{00000000-0005-0000-0000-0000D4A90000}"/>
    <cellStyle name="Separador de milhares 4 3 5 3 4" xfId="14950" xr:uid="{00000000-0005-0000-0000-0000D5A90000}"/>
    <cellStyle name="Separador de milhares 4 3 5 3 4 2" xfId="41143" xr:uid="{00000000-0005-0000-0000-0000D6A90000}"/>
    <cellStyle name="Separador de milhares 4 3 5 3 5" xfId="34757" xr:uid="{00000000-0005-0000-0000-0000D7A90000}"/>
    <cellStyle name="Separador de milhares 4 3 5 4" xfId="5186" xr:uid="{00000000-0005-0000-0000-0000D8A90000}"/>
    <cellStyle name="Separador de milhares 4 3 5 4 2" xfId="23821" xr:uid="{00000000-0005-0000-0000-0000D9A90000}"/>
    <cellStyle name="Separador de milhares 4 3 5 4 2 2" xfId="50005" xr:uid="{00000000-0005-0000-0000-0000DAA90000}"/>
    <cellStyle name="Separador de milhares 4 3 5 4 3" xfId="31382" xr:uid="{00000000-0005-0000-0000-0000DBA90000}"/>
    <cellStyle name="Separador de milhares 4 3 5 5" xfId="17907" xr:uid="{00000000-0005-0000-0000-0000DCA90000}"/>
    <cellStyle name="Separador de milhares 4 3 5 5 2" xfId="44097" xr:uid="{00000000-0005-0000-0000-0000DDA90000}"/>
    <cellStyle name="Separador de milhares 4 3 5 6" xfId="11573" xr:uid="{00000000-0005-0000-0000-0000DEA90000}"/>
    <cellStyle name="Separador de milhares 4 3 5 6 2" xfId="37766" xr:uid="{00000000-0005-0000-0000-0000DFA90000}"/>
    <cellStyle name="Separador de milhares 4 3 5 7" xfId="29684" xr:uid="{00000000-0005-0000-0000-0000E0A90000}"/>
    <cellStyle name="Separador de milhares 4 3 6" xfId="2176" xr:uid="{00000000-0005-0000-0000-0000E1A90000}"/>
    <cellStyle name="Separador de milhares 4 3 6 2" xfId="7035" xr:uid="{00000000-0005-0000-0000-0000E2A90000}"/>
    <cellStyle name="Separador de milhares 4 3 6 2 2" xfId="10179" xr:uid="{00000000-0005-0000-0000-0000E3A90000}"/>
    <cellStyle name="Separador de milhares 4 3 6 2 2 2" xfId="28393" xr:uid="{00000000-0005-0000-0000-0000E4A90000}"/>
    <cellStyle name="Separador de milhares 4 3 6 2 2 2 2" xfId="54574" xr:uid="{00000000-0005-0000-0000-0000E5A90000}"/>
    <cellStyle name="Separador de milhares 4 3 6 2 2 3" xfId="22479" xr:uid="{00000000-0005-0000-0000-0000E6A90000}"/>
    <cellStyle name="Separador de milhares 4 3 6 2 2 3 2" xfId="48666" xr:uid="{00000000-0005-0000-0000-0000E7A90000}"/>
    <cellStyle name="Separador de milhares 4 3 6 2 2 4" xfId="16565" xr:uid="{00000000-0005-0000-0000-0000E8A90000}"/>
    <cellStyle name="Separador de milhares 4 3 6 2 2 4 2" xfId="42758" xr:uid="{00000000-0005-0000-0000-0000E9A90000}"/>
    <cellStyle name="Separador de milhares 4 3 6 2 2 5" xfId="36372" xr:uid="{00000000-0005-0000-0000-0000EAA90000}"/>
    <cellStyle name="Separador de milhares 4 3 6 2 3" xfId="25436" xr:uid="{00000000-0005-0000-0000-0000EBA90000}"/>
    <cellStyle name="Separador de milhares 4 3 6 2 3 2" xfId="51620" xr:uid="{00000000-0005-0000-0000-0000ECA90000}"/>
    <cellStyle name="Separador de milhares 4 3 6 2 4" xfId="19522" xr:uid="{00000000-0005-0000-0000-0000EDA90000}"/>
    <cellStyle name="Separador de milhares 4 3 6 2 4 2" xfId="45712" xr:uid="{00000000-0005-0000-0000-0000EEA90000}"/>
    <cellStyle name="Separador de milhares 4 3 6 2 5" xfId="13424" xr:uid="{00000000-0005-0000-0000-0000EFA90000}"/>
    <cellStyle name="Separador de milhares 4 3 6 2 5 2" xfId="39617" xr:uid="{00000000-0005-0000-0000-0000F0A90000}"/>
    <cellStyle name="Separador de milhares 4 3 6 2 6" xfId="33231" xr:uid="{00000000-0005-0000-0000-0000F1A90000}"/>
    <cellStyle name="Separador de milhares 4 3 6 3" xfId="8711" xr:uid="{00000000-0005-0000-0000-0000F2A90000}"/>
    <cellStyle name="Separador de milhares 4 3 6 3 2" xfId="26925" xr:uid="{00000000-0005-0000-0000-0000F3A90000}"/>
    <cellStyle name="Separador de milhares 4 3 6 3 2 2" xfId="53106" xr:uid="{00000000-0005-0000-0000-0000F4A90000}"/>
    <cellStyle name="Separador de milhares 4 3 6 3 3" xfId="21011" xr:uid="{00000000-0005-0000-0000-0000F5A90000}"/>
    <cellStyle name="Separador de milhares 4 3 6 3 3 2" xfId="47198" xr:uid="{00000000-0005-0000-0000-0000F6A90000}"/>
    <cellStyle name="Separador de milhares 4 3 6 3 4" xfId="15097" xr:uid="{00000000-0005-0000-0000-0000F7A90000}"/>
    <cellStyle name="Separador de milhares 4 3 6 3 4 2" xfId="41290" xr:uid="{00000000-0005-0000-0000-0000F8A90000}"/>
    <cellStyle name="Separador de milhares 4 3 6 3 5" xfId="34904" xr:uid="{00000000-0005-0000-0000-0000F9A90000}"/>
    <cellStyle name="Separador de milhares 4 3 6 4" xfId="5336" xr:uid="{00000000-0005-0000-0000-0000FAA90000}"/>
    <cellStyle name="Separador de milhares 4 3 6 4 2" xfId="23968" xr:uid="{00000000-0005-0000-0000-0000FBA90000}"/>
    <cellStyle name="Separador de milhares 4 3 6 4 2 2" xfId="50152" xr:uid="{00000000-0005-0000-0000-0000FCA90000}"/>
    <cellStyle name="Separador de milhares 4 3 6 4 3" xfId="31532" xr:uid="{00000000-0005-0000-0000-0000FDA90000}"/>
    <cellStyle name="Separador de milhares 4 3 6 5" xfId="18054" xr:uid="{00000000-0005-0000-0000-0000FEA90000}"/>
    <cellStyle name="Separador de milhares 4 3 6 5 2" xfId="44244" xr:uid="{00000000-0005-0000-0000-0000FFA90000}"/>
    <cellStyle name="Separador de milhares 4 3 6 6" xfId="11723" xr:uid="{00000000-0005-0000-0000-000000AA0000}"/>
    <cellStyle name="Separador de milhares 4 3 6 6 2" xfId="37916" xr:uid="{00000000-0005-0000-0000-000001AA0000}"/>
    <cellStyle name="Separador de milhares 4 3 6 7" xfId="29834" xr:uid="{00000000-0005-0000-0000-000002AA0000}"/>
    <cellStyle name="Separador de milhares 4 3 7" xfId="2703" xr:uid="{00000000-0005-0000-0000-000003AA0000}"/>
    <cellStyle name="Separador de milhares 4 3 7 2" xfId="7182" xr:uid="{00000000-0005-0000-0000-000004AA0000}"/>
    <cellStyle name="Separador de milhares 4 3 7 2 2" xfId="10326" xr:uid="{00000000-0005-0000-0000-000005AA0000}"/>
    <cellStyle name="Separador de milhares 4 3 7 2 2 2" xfId="28540" xr:uid="{00000000-0005-0000-0000-000006AA0000}"/>
    <cellStyle name="Separador de milhares 4 3 7 2 2 2 2" xfId="54721" xr:uid="{00000000-0005-0000-0000-000007AA0000}"/>
    <cellStyle name="Separador de milhares 4 3 7 2 2 3" xfId="22626" xr:uid="{00000000-0005-0000-0000-000008AA0000}"/>
    <cellStyle name="Separador de milhares 4 3 7 2 2 3 2" xfId="48813" xr:uid="{00000000-0005-0000-0000-000009AA0000}"/>
    <cellStyle name="Separador de milhares 4 3 7 2 2 4" xfId="16712" xr:uid="{00000000-0005-0000-0000-00000AAA0000}"/>
    <cellStyle name="Separador de milhares 4 3 7 2 2 4 2" xfId="42905" xr:uid="{00000000-0005-0000-0000-00000BAA0000}"/>
    <cellStyle name="Separador de milhares 4 3 7 2 2 5" xfId="36519" xr:uid="{00000000-0005-0000-0000-00000CAA0000}"/>
    <cellStyle name="Separador de milhares 4 3 7 2 3" xfId="25583" xr:uid="{00000000-0005-0000-0000-00000DAA0000}"/>
    <cellStyle name="Separador de milhares 4 3 7 2 3 2" xfId="51767" xr:uid="{00000000-0005-0000-0000-00000EAA0000}"/>
    <cellStyle name="Separador de milhares 4 3 7 2 4" xfId="19669" xr:uid="{00000000-0005-0000-0000-00000FAA0000}"/>
    <cellStyle name="Separador de milhares 4 3 7 2 4 2" xfId="45859" xr:uid="{00000000-0005-0000-0000-000010AA0000}"/>
    <cellStyle name="Separador de milhares 4 3 7 2 5" xfId="13571" xr:uid="{00000000-0005-0000-0000-000011AA0000}"/>
    <cellStyle name="Separador de milhares 4 3 7 2 5 2" xfId="39764" xr:uid="{00000000-0005-0000-0000-000012AA0000}"/>
    <cellStyle name="Separador de milhares 4 3 7 2 6" xfId="33378" xr:uid="{00000000-0005-0000-0000-000013AA0000}"/>
    <cellStyle name="Separador de milhares 4 3 7 3" xfId="8858" xr:uid="{00000000-0005-0000-0000-000014AA0000}"/>
    <cellStyle name="Separador de milhares 4 3 7 3 2" xfId="27072" xr:uid="{00000000-0005-0000-0000-000015AA0000}"/>
    <cellStyle name="Separador de milhares 4 3 7 3 2 2" xfId="53253" xr:uid="{00000000-0005-0000-0000-000016AA0000}"/>
    <cellStyle name="Separador de milhares 4 3 7 3 3" xfId="21158" xr:uid="{00000000-0005-0000-0000-000017AA0000}"/>
    <cellStyle name="Separador de milhares 4 3 7 3 3 2" xfId="47345" xr:uid="{00000000-0005-0000-0000-000018AA0000}"/>
    <cellStyle name="Separador de milhares 4 3 7 3 4" xfId="15244" xr:uid="{00000000-0005-0000-0000-000019AA0000}"/>
    <cellStyle name="Separador de milhares 4 3 7 3 4 2" xfId="41437" xr:uid="{00000000-0005-0000-0000-00001AAA0000}"/>
    <cellStyle name="Separador de milhares 4 3 7 3 5" xfId="35051" xr:uid="{00000000-0005-0000-0000-00001BAA0000}"/>
    <cellStyle name="Separador de milhares 4 3 7 4" xfId="5483" xr:uid="{00000000-0005-0000-0000-00001CAA0000}"/>
    <cellStyle name="Separador de milhares 4 3 7 4 2" xfId="24115" xr:uid="{00000000-0005-0000-0000-00001DAA0000}"/>
    <cellStyle name="Separador de milhares 4 3 7 4 2 2" xfId="50299" xr:uid="{00000000-0005-0000-0000-00001EAA0000}"/>
    <cellStyle name="Separador de milhares 4 3 7 4 3" xfId="31679" xr:uid="{00000000-0005-0000-0000-00001FAA0000}"/>
    <cellStyle name="Separador de milhares 4 3 7 5" xfId="18201" xr:uid="{00000000-0005-0000-0000-000020AA0000}"/>
    <cellStyle name="Separador de milhares 4 3 7 5 2" xfId="44391" xr:uid="{00000000-0005-0000-0000-000021AA0000}"/>
    <cellStyle name="Separador de milhares 4 3 7 6" xfId="11870" xr:uid="{00000000-0005-0000-0000-000022AA0000}"/>
    <cellStyle name="Separador de milhares 4 3 7 6 2" xfId="38063" xr:uid="{00000000-0005-0000-0000-000023AA0000}"/>
    <cellStyle name="Separador de milhares 4 3 7 7" xfId="29981" xr:uid="{00000000-0005-0000-0000-000024AA0000}"/>
    <cellStyle name="Separador de milhares 4 3 8" xfId="3230" xr:uid="{00000000-0005-0000-0000-000025AA0000}"/>
    <cellStyle name="Separador de milhares 4 3 8 2" xfId="7329" xr:uid="{00000000-0005-0000-0000-000026AA0000}"/>
    <cellStyle name="Separador de milhares 4 3 8 2 2" xfId="10473" xr:uid="{00000000-0005-0000-0000-000027AA0000}"/>
    <cellStyle name="Separador de milhares 4 3 8 2 2 2" xfId="28687" xr:uid="{00000000-0005-0000-0000-000028AA0000}"/>
    <cellStyle name="Separador de milhares 4 3 8 2 2 2 2" xfId="54868" xr:uid="{00000000-0005-0000-0000-000029AA0000}"/>
    <cellStyle name="Separador de milhares 4 3 8 2 2 3" xfId="22773" xr:uid="{00000000-0005-0000-0000-00002AAA0000}"/>
    <cellStyle name="Separador de milhares 4 3 8 2 2 3 2" xfId="48960" xr:uid="{00000000-0005-0000-0000-00002BAA0000}"/>
    <cellStyle name="Separador de milhares 4 3 8 2 2 4" xfId="16859" xr:uid="{00000000-0005-0000-0000-00002CAA0000}"/>
    <cellStyle name="Separador de milhares 4 3 8 2 2 4 2" xfId="43052" xr:uid="{00000000-0005-0000-0000-00002DAA0000}"/>
    <cellStyle name="Separador de milhares 4 3 8 2 2 5" xfId="36666" xr:uid="{00000000-0005-0000-0000-00002EAA0000}"/>
    <cellStyle name="Separador de milhares 4 3 8 2 3" xfId="25730" xr:uid="{00000000-0005-0000-0000-00002FAA0000}"/>
    <cellStyle name="Separador de milhares 4 3 8 2 3 2" xfId="51914" xr:uid="{00000000-0005-0000-0000-000030AA0000}"/>
    <cellStyle name="Separador de milhares 4 3 8 2 4" xfId="19816" xr:uid="{00000000-0005-0000-0000-000031AA0000}"/>
    <cellStyle name="Separador de milhares 4 3 8 2 4 2" xfId="46006" xr:uid="{00000000-0005-0000-0000-000032AA0000}"/>
    <cellStyle name="Separador de milhares 4 3 8 2 5" xfId="13718" xr:uid="{00000000-0005-0000-0000-000033AA0000}"/>
    <cellStyle name="Separador de milhares 4 3 8 2 5 2" xfId="39911" xr:uid="{00000000-0005-0000-0000-000034AA0000}"/>
    <cellStyle name="Separador de milhares 4 3 8 2 6" xfId="33525" xr:uid="{00000000-0005-0000-0000-000035AA0000}"/>
    <cellStyle name="Separador de milhares 4 3 8 3" xfId="9005" xr:uid="{00000000-0005-0000-0000-000036AA0000}"/>
    <cellStyle name="Separador de milhares 4 3 8 3 2" xfId="27219" xr:uid="{00000000-0005-0000-0000-000037AA0000}"/>
    <cellStyle name="Separador de milhares 4 3 8 3 2 2" xfId="53400" xr:uid="{00000000-0005-0000-0000-000038AA0000}"/>
    <cellStyle name="Separador de milhares 4 3 8 3 3" xfId="21305" xr:uid="{00000000-0005-0000-0000-000039AA0000}"/>
    <cellStyle name="Separador de milhares 4 3 8 3 3 2" xfId="47492" xr:uid="{00000000-0005-0000-0000-00003AAA0000}"/>
    <cellStyle name="Separador de milhares 4 3 8 3 4" xfId="15391" xr:uid="{00000000-0005-0000-0000-00003BAA0000}"/>
    <cellStyle name="Separador de milhares 4 3 8 3 4 2" xfId="41584" xr:uid="{00000000-0005-0000-0000-00003CAA0000}"/>
    <cellStyle name="Separador de milhares 4 3 8 3 5" xfId="35198" xr:uid="{00000000-0005-0000-0000-00003DAA0000}"/>
    <cellStyle name="Separador de milhares 4 3 8 4" xfId="5630" xr:uid="{00000000-0005-0000-0000-00003EAA0000}"/>
    <cellStyle name="Separador de milhares 4 3 8 4 2" xfId="24262" xr:uid="{00000000-0005-0000-0000-00003FAA0000}"/>
    <cellStyle name="Separador de milhares 4 3 8 4 2 2" xfId="50446" xr:uid="{00000000-0005-0000-0000-000040AA0000}"/>
    <cellStyle name="Separador de milhares 4 3 8 4 3" xfId="31826" xr:uid="{00000000-0005-0000-0000-000041AA0000}"/>
    <cellStyle name="Separador de milhares 4 3 8 5" xfId="18348" xr:uid="{00000000-0005-0000-0000-000042AA0000}"/>
    <cellStyle name="Separador de milhares 4 3 8 5 2" xfId="44538" xr:uid="{00000000-0005-0000-0000-000043AA0000}"/>
    <cellStyle name="Separador de milhares 4 3 8 6" xfId="12017" xr:uid="{00000000-0005-0000-0000-000044AA0000}"/>
    <cellStyle name="Separador de milhares 4 3 8 6 2" xfId="38210" xr:uid="{00000000-0005-0000-0000-000045AA0000}"/>
    <cellStyle name="Separador de milhares 4 3 8 7" xfId="30128" xr:uid="{00000000-0005-0000-0000-000046AA0000}"/>
    <cellStyle name="Separador de milhares 4 3 9" xfId="3757" xr:uid="{00000000-0005-0000-0000-000047AA0000}"/>
    <cellStyle name="Separador de milhares 4 3 9 2" xfId="7476" xr:uid="{00000000-0005-0000-0000-000048AA0000}"/>
    <cellStyle name="Separador de milhares 4 3 9 2 2" xfId="10620" xr:uid="{00000000-0005-0000-0000-000049AA0000}"/>
    <cellStyle name="Separador de milhares 4 3 9 2 2 2" xfId="28834" xr:uid="{00000000-0005-0000-0000-00004AAA0000}"/>
    <cellStyle name="Separador de milhares 4 3 9 2 2 2 2" xfId="55015" xr:uid="{00000000-0005-0000-0000-00004BAA0000}"/>
    <cellStyle name="Separador de milhares 4 3 9 2 2 3" xfId="22920" xr:uid="{00000000-0005-0000-0000-00004CAA0000}"/>
    <cellStyle name="Separador de milhares 4 3 9 2 2 3 2" xfId="49107" xr:uid="{00000000-0005-0000-0000-00004DAA0000}"/>
    <cellStyle name="Separador de milhares 4 3 9 2 2 4" xfId="17006" xr:uid="{00000000-0005-0000-0000-00004EAA0000}"/>
    <cellStyle name="Separador de milhares 4 3 9 2 2 4 2" xfId="43199" xr:uid="{00000000-0005-0000-0000-00004FAA0000}"/>
    <cellStyle name="Separador de milhares 4 3 9 2 2 5" xfId="36813" xr:uid="{00000000-0005-0000-0000-000050AA0000}"/>
    <cellStyle name="Separador de milhares 4 3 9 2 3" xfId="25877" xr:uid="{00000000-0005-0000-0000-000051AA0000}"/>
    <cellStyle name="Separador de milhares 4 3 9 2 3 2" xfId="52061" xr:uid="{00000000-0005-0000-0000-000052AA0000}"/>
    <cellStyle name="Separador de milhares 4 3 9 2 4" xfId="19963" xr:uid="{00000000-0005-0000-0000-000053AA0000}"/>
    <cellStyle name="Separador de milhares 4 3 9 2 4 2" xfId="46153" xr:uid="{00000000-0005-0000-0000-000054AA0000}"/>
    <cellStyle name="Separador de milhares 4 3 9 2 5" xfId="13865" xr:uid="{00000000-0005-0000-0000-000055AA0000}"/>
    <cellStyle name="Separador de milhares 4 3 9 2 5 2" xfId="40058" xr:uid="{00000000-0005-0000-0000-000056AA0000}"/>
    <cellStyle name="Separador de milhares 4 3 9 2 6" xfId="33672" xr:uid="{00000000-0005-0000-0000-000057AA0000}"/>
    <cellStyle name="Separador de milhares 4 3 9 3" xfId="9152" xr:uid="{00000000-0005-0000-0000-000058AA0000}"/>
    <cellStyle name="Separador de milhares 4 3 9 3 2" xfId="27366" xr:uid="{00000000-0005-0000-0000-000059AA0000}"/>
    <cellStyle name="Separador de milhares 4 3 9 3 2 2" xfId="53547" xr:uid="{00000000-0005-0000-0000-00005AAA0000}"/>
    <cellStyle name="Separador de milhares 4 3 9 3 3" xfId="21452" xr:uid="{00000000-0005-0000-0000-00005BAA0000}"/>
    <cellStyle name="Separador de milhares 4 3 9 3 3 2" xfId="47639" xr:uid="{00000000-0005-0000-0000-00005CAA0000}"/>
    <cellStyle name="Separador de milhares 4 3 9 3 4" xfId="15538" xr:uid="{00000000-0005-0000-0000-00005DAA0000}"/>
    <cellStyle name="Separador de milhares 4 3 9 3 4 2" xfId="41731" xr:uid="{00000000-0005-0000-0000-00005EAA0000}"/>
    <cellStyle name="Separador de milhares 4 3 9 3 5" xfId="35345" xr:uid="{00000000-0005-0000-0000-00005FAA0000}"/>
    <cellStyle name="Separador de milhares 4 3 9 4" xfId="5777" xr:uid="{00000000-0005-0000-0000-000060AA0000}"/>
    <cellStyle name="Separador de milhares 4 3 9 4 2" xfId="24409" xr:uid="{00000000-0005-0000-0000-000061AA0000}"/>
    <cellStyle name="Separador de milhares 4 3 9 4 2 2" xfId="50593" xr:uid="{00000000-0005-0000-0000-000062AA0000}"/>
    <cellStyle name="Separador de milhares 4 3 9 4 3" xfId="31973" xr:uid="{00000000-0005-0000-0000-000063AA0000}"/>
    <cellStyle name="Separador de milhares 4 3 9 5" xfId="18495" xr:uid="{00000000-0005-0000-0000-000064AA0000}"/>
    <cellStyle name="Separador de milhares 4 3 9 5 2" xfId="44685" xr:uid="{00000000-0005-0000-0000-000065AA0000}"/>
    <cellStyle name="Separador de milhares 4 3 9 6" xfId="12164" xr:uid="{00000000-0005-0000-0000-000066AA0000}"/>
    <cellStyle name="Separador de milhares 4 3 9 6 2" xfId="38357" xr:uid="{00000000-0005-0000-0000-000067AA0000}"/>
    <cellStyle name="Separador de milhares 4 3 9 7" xfId="30275" xr:uid="{00000000-0005-0000-0000-000068AA0000}"/>
    <cellStyle name="Separador de milhares 4 4" xfId="6435" xr:uid="{00000000-0005-0000-0000-000069AA0000}"/>
    <cellStyle name="Separador de milhares 4 4 2" xfId="9590" xr:uid="{00000000-0005-0000-0000-00006AAA0000}"/>
    <cellStyle name="Separador de milhares 4 4 2 2" xfId="27804" xr:uid="{00000000-0005-0000-0000-00006BAA0000}"/>
    <cellStyle name="Separador de milhares 4 4 2 2 2" xfId="53985" xr:uid="{00000000-0005-0000-0000-00006CAA0000}"/>
    <cellStyle name="Separador de milhares 4 4 2 3" xfId="21890" xr:uid="{00000000-0005-0000-0000-00006DAA0000}"/>
    <cellStyle name="Separador de milhares 4 4 2 3 2" xfId="48077" xr:uid="{00000000-0005-0000-0000-00006EAA0000}"/>
    <cellStyle name="Separador de milhares 4 4 2 4" xfId="15976" xr:uid="{00000000-0005-0000-0000-00006FAA0000}"/>
    <cellStyle name="Separador de milhares 4 4 2 4 2" xfId="42169" xr:uid="{00000000-0005-0000-0000-000070AA0000}"/>
    <cellStyle name="Separador de milhares 4 4 2 5" xfId="35783" xr:uid="{00000000-0005-0000-0000-000071AA0000}"/>
    <cellStyle name="Separador de milhares 4 4 3" xfId="24847" xr:uid="{00000000-0005-0000-0000-000072AA0000}"/>
    <cellStyle name="Separador de milhares 4 4 3 2" xfId="51031" xr:uid="{00000000-0005-0000-0000-000073AA0000}"/>
    <cellStyle name="Separador de milhares 4 4 4" xfId="18933" xr:uid="{00000000-0005-0000-0000-000074AA0000}"/>
    <cellStyle name="Separador de milhares 4 4 4 2" xfId="45123" xr:uid="{00000000-0005-0000-0000-000075AA0000}"/>
    <cellStyle name="Separador de milhares 4 4 5" xfId="12824" xr:uid="{00000000-0005-0000-0000-000076AA0000}"/>
    <cellStyle name="Separador de milhares 4 4 5 2" xfId="39017" xr:uid="{00000000-0005-0000-0000-000077AA0000}"/>
    <cellStyle name="Separador de milhares 4 4 6" xfId="32631" xr:uid="{00000000-0005-0000-0000-000078AA0000}"/>
    <cellStyle name="Separador de milhares 4 5" xfId="8119" xr:uid="{00000000-0005-0000-0000-000079AA0000}"/>
    <cellStyle name="Separador de milhares 4 5 2" xfId="26333" xr:uid="{00000000-0005-0000-0000-00007AAA0000}"/>
    <cellStyle name="Separador de milhares 4 5 2 2" xfId="52517" xr:uid="{00000000-0005-0000-0000-00007BAA0000}"/>
    <cellStyle name="Separador de milhares 4 5 3" xfId="20419" xr:uid="{00000000-0005-0000-0000-00007CAA0000}"/>
    <cellStyle name="Separador de milhares 4 5 3 2" xfId="46609" xr:uid="{00000000-0005-0000-0000-00007DAA0000}"/>
    <cellStyle name="Separador de milhares 4 5 4" xfId="14508" xr:uid="{00000000-0005-0000-0000-00007EAA0000}"/>
    <cellStyle name="Separador de milhares 4 5 4 2" xfId="40701" xr:uid="{00000000-0005-0000-0000-00007FAA0000}"/>
    <cellStyle name="Separador de milhares 4 5 5" xfId="34315" xr:uid="{00000000-0005-0000-0000-000080AA0000}"/>
    <cellStyle name="Separador de milhares 4 6" xfId="4734" xr:uid="{00000000-0005-0000-0000-000081AA0000}"/>
    <cellStyle name="Separador de milhares 4 6 2" xfId="23376" xr:uid="{00000000-0005-0000-0000-000082AA0000}"/>
    <cellStyle name="Separador de milhares 4 6 2 2" xfId="49563" xr:uid="{00000000-0005-0000-0000-000083AA0000}"/>
    <cellStyle name="Separador de milhares 4 6 3" xfId="30932" xr:uid="{00000000-0005-0000-0000-000084AA0000}"/>
    <cellStyle name="Separador de milhares 4 7" xfId="17462" xr:uid="{00000000-0005-0000-0000-000085AA0000}"/>
    <cellStyle name="Separador de milhares 4 7 2" xfId="43655" xr:uid="{00000000-0005-0000-0000-000086AA0000}"/>
    <cellStyle name="Separador de milhares 4 8" xfId="11123" xr:uid="{00000000-0005-0000-0000-000087AA0000}"/>
    <cellStyle name="Separador de milhares 4 8 2" xfId="37316" xr:uid="{00000000-0005-0000-0000-000088AA0000}"/>
    <cellStyle name="Separador de milhares 4 9" xfId="29235" xr:uid="{00000000-0005-0000-0000-000089AA0000}"/>
    <cellStyle name="Separador de milhares_MODELO CÂMARA" xfId="4" xr:uid="{00000000-0005-0000-0000-00008AAA0000}"/>
    <cellStyle name="Vírgula" xfId="1" builtinId="3"/>
    <cellStyle name="Vírgula 10" xfId="4350" xr:uid="{00000000-0005-0000-0000-00008CAA0000}"/>
    <cellStyle name="Vírgula 10 10" xfId="30550" xr:uid="{00000000-0005-0000-0000-00008DAA0000}"/>
    <cellStyle name="Vírgula 10 2" xfId="4458" xr:uid="{00000000-0005-0000-0000-00008EAA0000}"/>
    <cellStyle name="Vírgula 10 2 2" xfId="7860" xr:uid="{00000000-0005-0000-0000-00008FAA0000}"/>
    <cellStyle name="Vírgula 10 2 2 2" xfId="10889" xr:uid="{00000000-0005-0000-0000-000090AA0000}"/>
    <cellStyle name="Vírgula 10 2 2 2 2" xfId="29103" xr:uid="{00000000-0005-0000-0000-000091AA0000}"/>
    <cellStyle name="Vírgula 10 2 2 2 2 2" xfId="55284" xr:uid="{00000000-0005-0000-0000-000092AA0000}"/>
    <cellStyle name="Vírgula 10 2 2 2 3" xfId="23189" xr:uid="{00000000-0005-0000-0000-000093AA0000}"/>
    <cellStyle name="Vírgula 10 2 2 2 3 2" xfId="49376" xr:uid="{00000000-0005-0000-0000-000094AA0000}"/>
    <cellStyle name="Vírgula 10 2 2 2 4" xfId="17275" xr:uid="{00000000-0005-0000-0000-000095AA0000}"/>
    <cellStyle name="Vírgula 10 2 2 2 4 2" xfId="43468" xr:uid="{00000000-0005-0000-0000-000096AA0000}"/>
    <cellStyle name="Vírgula 10 2 2 2 5" xfId="37082" xr:uid="{00000000-0005-0000-0000-000097AA0000}"/>
    <cellStyle name="Vírgula 10 2 2 3" xfId="26146" xr:uid="{00000000-0005-0000-0000-000098AA0000}"/>
    <cellStyle name="Vírgula 10 2 2 3 2" xfId="52330" xr:uid="{00000000-0005-0000-0000-000099AA0000}"/>
    <cellStyle name="Vírgula 10 2 2 4" xfId="20232" xr:uid="{00000000-0005-0000-0000-00009AAA0000}"/>
    <cellStyle name="Vírgula 10 2 2 4 2" xfId="46422" xr:uid="{00000000-0005-0000-0000-00009BAA0000}"/>
    <cellStyle name="Vírgula 10 2 2 5" xfId="14249" xr:uid="{00000000-0005-0000-0000-00009CAA0000}"/>
    <cellStyle name="Vírgula 10 2 2 5 2" xfId="40442" xr:uid="{00000000-0005-0000-0000-00009DAA0000}"/>
    <cellStyle name="Vírgula 10 2 2 6" xfId="34056" xr:uid="{00000000-0005-0000-0000-00009EAA0000}"/>
    <cellStyle name="Vírgula 10 2 3" xfId="9421" xr:uid="{00000000-0005-0000-0000-00009FAA0000}"/>
    <cellStyle name="Vírgula 10 2 3 2" xfId="27635" xr:uid="{00000000-0005-0000-0000-0000A0AA0000}"/>
    <cellStyle name="Vírgula 10 2 3 2 2" xfId="53816" xr:uid="{00000000-0005-0000-0000-0000A1AA0000}"/>
    <cellStyle name="Vírgula 10 2 3 3" xfId="21721" xr:uid="{00000000-0005-0000-0000-0000A2AA0000}"/>
    <cellStyle name="Vírgula 10 2 3 3 2" xfId="47908" xr:uid="{00000000-0005-0000-0000-0000A3AA0000}"/>
    <cellStyle name="Vírgula 10 2 3 4" xfId="15807" xr:uid="{00000000-0005-0000-0000-0000A4AA0000}"/>
    <cellStyle name="Vírgula 10 2 3 4 2" xfId="42000" xr:uid="{00000000-0005-0000-0000-0000A5AA0000}"/>
    <cellStyle name="Vírgula 10 2 3 5" xfId="35614" xr:uid="{00000000-0005-0000-0000-0000A6AA0000}"/>
    <cellStyle name="Vírgula 10 2 4" xfId="6159" xr:uid="{00000000-0005-0000-0000-0000A7AA0000}"/>
    <cellStyle name="Vírgula 10 2 4 2" xfId="24678" xr:uid="{00000000-0005-0000-0000-0000A8AA0000}"/>
    <cellStyle name="Vírgula 10 2 4 2 2" xfId="50862" xr:uid="{00000000-0005-0000-0000-0000A9AA0000}"/>
    <cellStyle name="Vírgula 10 2 4 3" xfId="32355" xr:uid="{00000000-0005-0000-0000-0000AAAA0000}"/>
    <cellStyle name="Vírgula 10 2 5" xfId="18764" xr:uid="{00000000-0005-0000-0000-0000ABAA0000}"/>
    <cellStyle name="Vírgula 10 2 5 2" xfId="44954" xr:uid="{00000000-0005-0000-0000-0000ACAA0000}"/>
    <cellStyle name="Vírgula 10 2 6" xfId="12548" xr:uid="{00000000-0005-0000-0000-0000ADAA0000}"/>
    <cellStyle name="Vírgula 10 2 6 2" xfId="38741" xr:uid="{00000000-0005-0000-0000-0000AEAA0000}"/>
    <cellStyle name="Vírgula 10 2 7" xfId="30658" xr:uid="{00000000-0005-0000-0000-0000AFAA0000}"/>
    <cellStyle name="Vírgula 10 3" xfId="4566" xr:uid="{00000000-0005-0000-0000-0000B0AA0000}"/>
    <cellStyle name="Vírgula 10 3 2" xfId="7968" xr:uid="{00000000-0005-0000-0000-0000B1AA0000}"/>
    <cellStyle name="Vírgula 10 3 2 2" xfId="10951" xr:uid="{00000000-0005-0000-0000-0000B2AA0000}"/>
    <cellStyle name="Vírgula 10 3 2 2 2" xfId="29165" xr:uid="{00000000-0005-0000-0000-0000B3AA0000}"/>
    <cellStyle name="Vírgula 10 3 2 2 2 2" xfId="55346" xr:uid="{00000000-0005-0000-0000-0000B4AA0000}"/>
    <cellStyle name="Vírgula 10 3 2 2 3" xfId="23251" xr:uid="{00000000-0005-0000-0000-0000B5AA0000}"/>
    <cellStyle name="Vírgula 10 3 2 2 3 2" xfId="49438" xr:uid="{00000000-0005-0000-0000-0000B6AA0000}"/>
    <cellStyle name="Vírgula 10 3 2 2 4" xfId="17337" xr:uid="{00000000-0005-0000-0000-0000B7AA0000}"/>
    <cellStyle name="Vírgula 10 3 2 2 4 2" xfId="43530" xr:uid="{00000000-0005-0000-0000-0000B8AA0000}"/>
    <cellStyle name="Vírgula 10 3 2 2 5" xfId="37144" xr:uid="{00000000-0005-0000-0000-0000B9AA0000}"/>
    <cellStyle name="Vírgula 10 3 2 3" xfId="26208" xr:uid="{00000000-0005-0000-0000-0000BAAA0000}"/>
    <cellStyle name="Vírgula 10 3 2 3 2" xfId="52392" xr:uid="{00000000-0005-0000-0000-0000BBAA0000}"/>
    <cellStyle name="Vírgula 10 3 2 4" xfId="20294" xr:uid="{00000000-0005-0000-0000-0000BCAA0000}"/>
    <cellStyle name="Vírgula 10 3 2 4 2" xfId="46484" xr:uid="{00000000-0005-0000-0000-0000BDAA0000}"/>
    <cellStyle name="Vírgula 10 3 2 5" xfId="14357" xr:uid="{00000000-0005-0000-0000-0000BEAA0000}"/>
    <cellStyle name="Vírgula 10 3 2 5 2" xfId="40550" xr:uid="{00000000-0005-0000-0000-0000BFAA0000}"/>
    <cellStyle name="Vírgula 10 3 2 6" xfId="34164" xr:uid="{00000000-0005-0000-0000-0000C0AA0000}"/>
    <cellStyle name="Vírgula 10 3 3" xfId="9483" xr:uid="{00000000-0005-0000-0000-0000C1AA0000}"/>
    <cellStyle name="Vírgula 10 3 3 2" xfId="27697" xr:uid="{00000000-0005-0000-0000-0000C2AA0000}"/>
    <cellStyle name="Vírgula 10 3 3 2 2" xfId="53878" xr:uid="{00000000-0005-0000-0000-0000C3AA0000}"/>
    <cellStyle name="Vírgula 10 3 3 3" xfId="21783" xr:uid="{00000000-0005-0000-0000-0000C4AA0000}"/>
    <cellStyle name="Vírgula 10 3 3 3 2" xfId="47970" xr:uid="{00000000-0005-0000-0000-0000C5AA0000}"/>
    <cellStyle name="Vírgula 10 3 3 4" xfId="15869" xr:uid="{00000000-0005-0000-0000-0000C6AA0000}"/>
    <cellStyle name="Vírgula 10 3 3 4 2" xfId="42062" xr:uid="{00000000-0005-0000-0000-0000C7AA0000}"/>
    <cellStyle name="Vírgula 10 3 3 5" xfId="35676" xr:uid="{00000000-0005-0000-0000-0000C8AA0000}"/>
    <cellStyle name="Vírgula 10 3 4" xfId="6267" xr:uid="{00000000-0005-0000-0000-0000C9AA0000}"/>
    <cellStyle name="Vírgula 10 3 4 2" xfId="24740" xr:uid="{00000000-0005-0000-0000-0000CAAA0000}"/>
    <cellStyle name="Vírgula 10 3 4 2 2" xfId="50924" xr:uid="{00000000-0005-0000-0000-0000CBAA0000}"/>
    <cellStyle name="Vírgula 10 3 4 3" xfId="32463" xr:uid="{00000000-0005-0000-0000-0000CCAA0000}"/>
    <cellStyle name="Vírgula 10 3 5" xfId="18826" xr:uid="{00000000-0005-0000-0000-0000CDAA0000}"/>
    <cellStyle name="Vírgula 10 3 5 2" xfId="45016" xr:uid="{00000000-0005-0000-0000-0000CEAA0000}"/>
    <cellStyle name="Vírgula 10 3 6" xfId="12656" xr:uid="{00000000-0005-0000-0000-0000CFAA0000}"/>
    <cellStyle name="Vírgula 10 3 6 2" xfId="38849" xr:uid="{00000000-0005-0000-0000-0000D0AA0000}"/>
    <cellStyle name="Vírgula 10 3 7" xfId="30766" xr:uid="{00000000-0005-0000-0000-0000D1AA0000}"/>
    <cellStyle name="Vírgula 10 4" xfId="6051" xr:uid="{00000000-0005-0000-0000-0000D2AA0000}"/>
    <cellStyle name="Vírgula 10 4 2" xfId="7751" xr:uid="{00000000-0005-0000-0000-0000D3AA0000}"/>
    <cellStyle name="Vírgula 10 4 2 2" xfId="10827" xr:uid="{00000000-0005-0000-0000-0000D4AA0000}"/>
    <cellStyle name="Vírgula 10 4 2 2 2" xfId="29041" xr:uid="{00000000-0005-0000-0000-0000D5AA0000}"/>
    <cellStyle name="Vírgula 10 4 2 2 2 2" xfId="55222" xr:uid="{00000000-0005-0000-0000-0000D6AA0000}"/>
    <cellStyle name="Vírgula 10 4 2 2 3" xfId="23127" xr:uid="{00000000-0005-0000-0000-0000D7AA0000}"/>
    <cellStyle name="Vírgula 10 4 2 2 3 2" xfId="49314" xr:uid="{00000000-0005-0000-0000-0000D8AA0000}"/>
    <cellStyle name="Vírgula 10 4 2 2 4" xfId="17213" xr:uid="{00000000-0005-0000-0000-0000D9AA0000}"/>
    <cellStyle name="Vírgula 10 4 2 2 4 2" xfId="43406" xr:uid="{00000000-0005-0000-0000-0000DAAA0000}"/>
    <cellStyle name="Vírgula 10 4 2 2 5" xfId="37020" xr:uid="{00000000-0005-0000-0000-0000DBAA0000}"/>
    <cellStyle name="Vírgula 10 4 2 3" xfId="26084" xr:uid="{00000000-0005-0000-0000-0000DCAA0000}"/>
    <cellStyle name="Vírgula 10 4 2 3 2" xfId="52268" xr:uid="{00000000-0005-0000-0000-0000DDAA0000}"/>
    <cellStyle name="Vírgula 10 4 2 4" xfId="20170" xr:uid="{00000000-0005-0000-0000-0000DEAA0000}"/>
    <cellStyle name="Vírgula 10 4 2 4 2" xfId="46360" xr:uid="{00000000-0005-0000-0000-0000DFAA0000}"/>
    <cellStyle name="Vírgula 10 4 2 5" xfId="14140" xr:uid="{00000000-0005-0000-0000-0000E0AA0000}"/>
    <cellStyle name="Vírgula 10 4 2 5 2" xfId="40333" xr:uid="{00000000-0005-0000-0000-0000E1AA0000}"/>
    <cellStyle name="Vírgula 10 4 2 6" xfId="33947" xr:uid="{00000000-0005-0000-0000-0000E2AA0000}"/>
    <cellStyle name="Vírgula 10 4 3" xfId="9359" xr:uid="{00000000-0005-0000-0000-0000E3AA0000}"/>
    <cellStyle name="Vírgula 10 4 3 2" xfId="27573" xr:uid="{00000000-0005-0000-0000-0000E4AA0000}"/>
    <cellStyle name="Vírgula 10 4 3 2 2" xfId="53754" xr:uid="{00000000-0005-0000-0000-0000E5AA0000}"/>
    <cellStyle name="Vírgula 10 4 3 3" xfId="21659" xr:uid="{00000000-0005-0000-0000-0000E6AA0000}"/>
    <cellStyle name="Vírgula 10 4 3 3 2" xfId="47846" xr:uid="{00000000-0005-0000-0000-0000E7AA0000}"/>
    <cellStyle name="Vírgula 10 4 3 4" xfId="15745" xr:uid="{00000000-0005-0000-0000-0000E8AA0000}"/>
    <cellStyle name="Vírgula 10 4 3 4 2" xfId="41938" xr:uid="{00000000-0005-0000-0000-0000E9AA0000}"/>
    <cellStyle name="Vírgula 10 4 3 5" xfId="35552" xr:uid="{00000000-0005-0000-0000-0000EAAA0000}"/>
    <cellStyle name="Vírgula 10 4 4" xfId="24616" xr:uid="{00000000-0005-0000-0000-0000EBAA0000}"/>
    <cellStyle name="Vírgula 10 4 4 2" xfId="50800" xr:uid="{00000000-0005-0000-0000-0000ECAA0000}"/>
    <cellStyle name="Vírgula 10 4 5" xfId="18702" xr:uid="{00000000-0005-0000-0000-0000EDAA0000}"/>
    <cellStyle name="Vírgula 10 4 5 2" xfId="44892" xr:uid="{00000000-0005-0000-0000-0000EEAA0000}"/>
    <cellStyle name="Vírgula 10 4 6" xfId="12439" xr:uid="{00000000-0005-0000-0000-0000EFAA0000}"/>
    <cellStyle name="Vírgula 10 4 6 2" xfId="38632" xr:uid="{00000000-0005-0000-0000-0000F0AA0000}"/>
    <cellStyle name="Vírgula 10 4 7" xfId="32247" xr:uid="{00000000-0005-0000-0000-0000F1AA0000}"/>
    <cellStyle name="Vírgula 10 5" xfId="6376" xr:uid="{00000000-0005-0000-0000-0000F2AA0000}"/>
    <cellStyle name="Vírgula 10 5 2" xfId="9545" xr:uid="{00000000-0005-0000-0000-0000F3AA0000}"/>
    <cellStyle name="Vírgula 10 5 2 2" xfId="27759" xr:uid="{00000000-0005-0000-0000-0000F4AA0000}"/>
    <cellStyle name="Vírgula 10 5 2 2 2" xfId="53940" xr:uid="{00000000-0005-0000-0000-0000F5AA0000}"/>
    <cellStyle name="Vírgula 10 5 2 3" xfId="21845" xr:uid="{00000000-0005-0000-0000-0000F6AA0000}"/>
    <cellStyle name="Vírgula 10 5 2 3 2" xfId="48032" xr:uid="{00000000-0005-0000-0000-0000F7AA0000}"/>
    <cellStyle name="Vírgula 10 5 2 4" xfId="15931" xr:uid="{00000000-0005-0000-0000-0000F8AA0000}"/>
    <cellStyle name="Vírgula 10 5 2 4 2" xfId="42124" xr:uid="{00000000-0005-0000-0000-0000F9AA0000}"/>
    <cellStyle name="Vírgula 10 5 2 5" xfId="35738" xr:uid="{00000000-0005-0000-0000-0000FAAA0000}"/>
    <cellStyle name="Vírgula 10 5 3" xfId="24802" xr:uid="{00000000-0005-0000-0000-0000FBAA0000}"/>
    <cellStyle name="Vírgula 10 5 3 2" xfId="50986" xr:uid="{00000000-0005-0000-0000-0000FCAA0000}"/>
    <cellStyle name="Vírgula 10 5 4" xfId="18888" xr:uid="{00000000-0005-0000-0000-0000FDAA0000}"/>
    <cellStyle name="Vírgula 10 5 4 2" xfId="45078" xr:uid="{00000000-0005-0000-0000-0000FEAA0000}"/>
    <cellStyle name="Vírgula 10 5 5" xfId="12765" xr:uid="{00000000-0005-0000-0000-0000FFAA0000}"/>
    <cellStyle name="Vírgula 10 5 5 2" xfId="38958" xr:uid="{00000000-0005-0000-0000-000000AB0000}"/>
    <cellStyle name="Vírgula 10 5 6" xfId="32572" xr:uid="{00000000-0005-0000-0000-000001AB0000}"/>
    <cellStyle name="Vírgula 10 6" xfId="8074" xr:uid="{00000000-0005-0000-0000-000002AB0000}"/>
    <cellStyle name="Vírgula 10 6 2" xfId="26288" xr:uid="{00000000-0005-0000-0000-000003AB0000}"/>
    <cellStyle name="Vírgula 10 6 2 2" xfId="52472" xr:uid="{00000000-0005-0000-0000-000004AB0000}"/>
    <cellStyle name="Vírgula 10 6 3" xfId="20374" xr:uid="{00000000-0005-0000-0000-000005AB0000}"/>
    <cellStyle name="Vírgula 10 6 3 2" xfId="46564" xr:uid="{00000000-0005-0000-0000-000006AB0000}"/>
    <cellStyle name="Vírgula 10 6 4" xfId="14463" xr:uid="{00000000-0005-0000-0000-000007AB0000}"/>
    <cellStyle name="Vírgula 10 6 4 2" xfId="40656" xr:uid="{00000000-0005-0000-0000-000008AB0000}"/>
    <cellStyle name="Vírgula 10 6 5" xfId="34270" xr:uid="{00000000-0005-0000-0000-000009AB0000}"/>
    <cellStyle name="Vírgula 10 7" xfId="4673" xr:uid="{00000000-0005-0000-0000-00000AAB0000}"/>
    <cellStyle name="Vírgula 10 7 2" xfId="23331" xr:uid="{00000000-0005-0000-0000-00000BAB0000}"/>
    <cellStyle name="Vírgula 10 7 2 2" xfId="49518" xr:uid="{00000000-0005-0000-0000-00000CAB0000}"/>
    <cellStyle name="Vírgula 10 7 3" xfId="30873" xr:uid="{00000000-0005-0000-0000-00000DAB0000}"/>
    <cellStyle name="Vírgula 10 8" xfId="17417" xr:uid="{00000000-0005-0000-0000-00000EAB0000}"/>
    <cellStyle name="Vírgula 10 8 2" xfId="43610" xr:uid="{00000000-0005-0000-0000-00000FAB0000}"/>
    <cellStyle name="Vírgula 10 9" xfId="11064" xr:uid="{00000000-0005-0000-0000-000010AB0000}"/>
    <cellStyle name="Vírgula 10 9 2" xfId="37257" xr:uid="{00000000-0005-0000-0000-000011AB0000}"/>
    <cellStyle name="Vírgula 11" xfId="4380" xr:uid="{00000000-0005-0000-0000-000012AB0000}"/>
    <cellStyle name="Vírgula 11 10" xfId="30580" xr:uid="{00000000-0005-0000-0000-000013AB0000}"/>
    <cellStyle name="Vírgula 11 2" xfId="4488" xr:uid="{00000000-0005-0000-0000-000014AB0000}"/>
    <cellStyle name="Vírgula 11 2 2" xfId="7890" xr:uid="{00000000-0005-0000-0000-000015AB0000}"/>
    <cellStyle name="Vírgula 11 2 2 2" xfId="10907" xr:uid="{00000000-0005-0000-0000-000016AB0000}"/>
    <cellStyle name="Vírgula 11 2 2 2 2" xfId="29121" xr:uid="{00000000-0005-0000-0000-000017AB0000}"/>
    <cellStyle name="Vírgula 11 2 2 2 2 2" xfId="55302" xr:uid="{00000000-0005-0000-0000-000018AB0000}"/>
    <cellStyle name="Vírgula 11 2 2 2 3" xfId="23207" xr:uid="{00000000-0005-0000-0000-000019AB0000}"/>
    <cellStyle name="Vírgula 11 2 2 2 3 2" xfId="49394" xr:uid="{00000000-0005-0000-0000-00001AAB0000}"/>
    <cellStyle name="Vírgula 11 2 2 2 4" xfId="17293" xr:uid="{00000000-0005-0000-0000-00001BAB0000}"/>
    <cellStyle name="Vírgula 11 2 2 2 4 2" xfId="43486" xr:uid="{00000000-0005-0000-0000-00001CAB0000}"/>
    <cellStyle name="Vírgula 11 2 2 2 5" xfId="37100" xr:uid="{00000000-0005-0000-0000-00001DAB0000}"/>
    <cellStyle name="Vírgula 11 2 2 3" xfId="26164" xr:uid="{00000000-0005-0000-0000-00001EAB0000}"/>
    <cellStyle name="Vírgula 11 2 2 3 2" xfId="52348" xr:uid="{00000000-0005-0000-0000-00001FAB0000}"/>
    <cellStyle name="Vírgula 11 2 2 4" xfId="20250" xr:uid="{00000000-0005-0000-0000-000020AB0000}"/>
    <cellStyle name="Vírgula 11 2 2 4 2" xfId="46440" xr:uid="{00000000-0005-0000-0000-000021AB0000}"/>
    <cellStyle name="Vírgula 11 2 2 5" xfId="14279" xr:uid="{00000000-0005-0000-0000-000022AB0000}"/>
    <cellStyle name="Vírgula 11 2 2 5 2" xfId="40472" xr:uid="{00000000-0005-0000-0000-000023AB0000}"/>
    <cellStyle name="Vírgula 11 2 2 6" xfId="34086" xr:uid="{00000000-0005-0000-0000-000024AB0000}"/>
    <cellStyle name="Vírgula 11 2 3" xfId="9439" xr:uid="{00000000-0005-0000-0000-000025AB0000}"/>
    <cellStyle name="Vírgula 11 2 3 2" xfId="27653" xr:uid="{00000000-0005-0000-0000-000026AB0000}"/>
    <cellStyle name="Vírgula 11 2 3 2 2" xfId="53834" xr:uid="{00000000-0005-0000-0000-000027AB0000}"/>
    <cellStyle name="Vírgula 11 2 3 3" xfId="21739" xr:uid="{00000000-0005-0000-0000-000028AB0000}"/>
    <cellStyle name="Vírgula 11 2 3 3 2" xfId="47926" xr:uid="{00000000-0005-0000-0000-000029AB0000}"/>
    <cellStyle name="Vírgula 11 2 3 4" xfId="15825" xr:uid="{00000000-0005-0000-0000-00002AAB0000}"/>
    <cellStyle name="Vírgula 11 2 3 4 2" xfId="42018" xr:uid="{00000000-0005-0000-0000-00002BAB0000}"/>
    <cellStyle name="Vírgula 11 2 3 5" xfId="35632" xr:uid="{00000000-0005-0000-0000-00002CAB0000}"/>
    <cellStyle name="Vírgula 11 2 4" xfId="6189" xr:uid="{00000000-0005-0000-0000-00002DAB0000}"/>
    <cellStyle name="Vírgula 11 2 4 2" xfId="24696" xr:uid="{00000000-0005-0000-0000-00002EAB0000}"/>
    <cellStyle name="Vírgula 11 2 4 2 2" xfId="50880" xr:uid="{00000000-0005-0000-0000-00002FAB0000}"/>
    <cellStyle name="Vírgula 11 2 4 3" xfId="32385" xr:uid="{00000000-0005-0000-0000-000030AB0000}"/>
    <cellStyle name="Vírgula 11 2 5" xfId="18782" xr:uid="{00000000-0005-0000-0000-000031AB0000}"/>
    <cellStyle name="Vírgula 11 2 5 2" xfId="44972" xr:uid="{00000000-0005-0000-0000-000032AB0000}"/>
    <cellStyle name="Vírgula 11 2 6" xfId="12578" xr:uid="{00000000-0005-0000-0000-000033AB0000}"/>
    <cellStyle name="Vírgula 11 2 6 2" xfId="38771" xr:uid="{00000000-0005-0000-0000-000034AB0000}"/>
    <cellStyle name="Vírgula 11 2 7" xfId="30688" xr:uid="{00000000-0005-0000-0000-000035AB0000}"/>
    <cellStyle name="Vírgula 11 3" xfId="4596" xr:uid="{00000000-0005-0000-0000-000036AB0000}"/>
    <cellStyle name="Vírgula 11 3 2" xfId="7999" xr:uid="{00000000-0005-0000-0000-000037AB0000}"/>
    <cellStyle name="Vírgula 11 3 2 2" xfId="10969" xr:uid="{00000000-0005-0000-0000-000038AB0000}"/>
    <cellStyle name="Vírgula 11 3 2 2 2" xfId="29183" xr:uid="{00000000-0005-0000-0000-000039AB0000}"/>
    <cellStyle name="Vírgula 11 3 2 2 2 2" xfId="55364" xr:uid="{00000000-0005-0000-0000-00003AAB0000}"/>
    <cellStyle name="Vírgula 11 3 2 2 3" xfId="23269" xr:uid="{00000000-0005-0000-0000-00003BAB0000}"/>
    <cellStyle name="Vírgula 11 3 2 2 3 2" xfId="49456" xr:uid="{00000000-0005-0000-0000-00003CAB0000}"/>
    <cellStyle name="Vírgula 11 3 2 2 4" xfId="17355" xr:uid="{00000000-0005-0000-0000-00003DAB0000}"/>
    <cellStyle name="Vírgula 11 3 2 2 4 2" xfId="43548" xr:uid="{00000000-0005-0000-0000-00003EAB0000}"/>
    <cellStyle name="Vírgula 11 3 2 2 5" xfId="37162" xr:uid="{00000000-0005-0000-0000-00003FAB0000}"/>
    <cellStyle name="Vírgula 11 3 2 3" xfId="26226" xr:uid="{00000000-0005-0000-0000-000040AB0000}"/>
    <cellStyle name="Vírgula 11 3 2 3 2" xfId="52410" xr:uid="{00000000-0005-0000-0000-000041AB0000}"/>
    <cellStyle name="Vírgula 11 3 2 4" xfId="20312" xr:uid="{00000000-0005-0000-0000-000042AB0000}"/>
    <cellStyle name="Vírgula 11 3 2 4 2" xfId="46502" xr:uid="{00000000-0005-0000-0000-000043AB0000}"/>
    <cellStyle name="Vírgula 11 3 2 5" xfId="14388" xr:uid="{00000000-0005-0000-0000-000044AB0000}"/>
    <cellStyle name="Vírgula 11 3 2 5 2" xfId="40581" xr:uid="{00000000-0005-0000-0000-000045AB0000}"/>
    <cellStyle name="Vírgula 11 3 2 6" xfId="34195" xr:uid="{00000000-0005-0000-0000-000046AB0000}"/>
    <cellStyle name="Vírgula 11 3 3" xfId="9501" xr:uid="{00000000-0005-0000-0000-000047AB0000}"/>
    <cellStyle name="Vírgula 11 3 3 2" xfId="27715" xr:uid="{00000000-0005-0000-0000-000048AB0000}"/>
    <cellStyle name="Vírgula 11 3 3 2 2" xfId="53896" xr:uid="{00000000-0005-0000-0000-000049AB0000}"/>
    <cellStyle name="Vírgula 11 3 3 3" xfId="21801" xr:uid="{00000000-0005-0000-0000-00004AAB0000}"/>
    <cellStyle name="Vírgula 11 3 3 3 2" xfId="47988" xr:uid="{00000000-0005-0000-0000-00004BAB0000}"/>
    <cellStyle name="Vírgula 11 3 3 4" xfId="15887" xr:uid="{00000000-0005-0000-0000-00004CAB0000}"/>
    <cellStyle name="Vírgula 11 3 3 4 2" xfId="42080" xr:uid="{00000000-0005-0000-0000-00004DAB0000}"/>
    <cellStyle name="Vírgula 11 3 3 5" xfId="35694" xr:uid="{00000000-0005-0000-0000-00004EAB0000}"/>
    <cellStyle name="Vírgula 11 3 4" xfId="6298" xr:uid="{00000000-0005-0000-0000-00004FAB0000}"/>
    <cellStyle name="Vírgula 11 3 4 2" xfId="24758" xr:uid="{00000000-0005-0000-0000-000050AB0000}"/>
    <cellStyle name="Vírgula 11 3 4 2 2" xfId="50942" xr:uid="{00000000-0005-0000-0000-000051AB0000}"/>
    <cellStyle name="Vírgula 11 3 4 3" xfId="32494" xr:uid="{00000000-0005-0000-0000-000052AB0000}"/>
    <cellStyle name="Vírgula 11 3 5" xfId="18844" xr:uid="{00000000-0005-0000-0000-000053AB0000}"/>
    <cellStyle name="Vírgula 11 3 5 2" xfId="45034" xr:uid="{00000000-0005-0000-0000-000054AB0000}"/>
    <cellStyle name="Vírgula 11 3 6" xfId="12687" xr:uid="{00000000-0005-0000-0000-000055AB0000}"/>
    <cellStyle name="Vírgula 11 3 6 2" xfId="38880" xr:uid="{00000000-0005-0000-0000-000056AB0000}"/>
    <cellStyle name="Vírgula 11 3 7" xfId="30796" xr:uid="{00000000-0005-0000-0000-000057AB0000}"/>
    <cellStyle name="Vírgula 11 4" xfId="6082" xr:uid="{00000000-0005-0000-0000-000058AB0000}"/>
    <cellStyle name="Vírgula 11 4 2" xfId="7782" xr:uid="{00000000-0005-0000-0000-000059AB0000}"/>
    <cellStyle name="Vírgula 11 4 2 2" xfId="10845" xr:uid="{00000000-0005-0000-0000-00005AAB0000}"/>
    <cellStyle name="Vírgula 11 4 2 2 2" xfId="29059" xr:uid="{00000000-0005-0000-0000-00005BAB0000}"/>
    <cellStyle name="Vírgula 11 4 2 2 2 2" xfId="55240" xr:uid="{00000000-0005-0000-0000-00005CAB0000}"/>
    <cellStyle name="Vírgula 11 4 2 2 3" xfId="23145" xr:uid="{00000000-0005-0000-0000-00005DAB0000}"/>
    <cellStyle name="Vírgula 11 4 2 2 3 2" xfId="49332" xr:uid="{00000000-0005-0000-0000-00005EAB0000}"/>
    <cellStyle name="Vírgula 11 4 2 2 4" xfId="17231" xr:uid="{00000000-0005-0000-0000-00005FAB0000}"/>
    <cellStyle name="Vírgula 11 4 2 2 4 2" xfId="43424" xr:uid="{00000000-0005-0000-0000-000060AB0000}"/>
    <cellStyle name="Vírgula 11 4 2 2 5" xfId="37038" xr:uid="{00000000-0005-0000-0000-000061AB0000}"/>
    <cellStyle name="Vírgula 11 4 2 3" xfId="26102" xr:uid="{00000000-0005-0000-0000-000062AB0000}"/>
    <cellStyle name="Vírgula 11 4 2 3 2" xfId="52286" xr:uid="{00000000-0005-0000-0000-000063AB0000}"/>
    <cellStyle name="Vírgula 11 4 2 4" xfId="20188" xr:uid="{00000000-0005-0000-0000-000064AB0000}"/>
    <cellStyle name="Vírgula 11 4 2 4 2" xfId="46378" xr:uid="{00000000-0005-0000-0000-000065AB0000}"/>
    <cellStyle name="Vírgula 11 4 2 5" xfId="14171" xr:uid="{00000000-0005-0000-0000-000066AB0000}"/>
    <cellStyle name="Vírgula 11 4 2 5 2" xfId="40364" xr:uid="{00000000-0005-0000-0000-000067AB0000}"/>
    <cellStyle name="Vírgula 11 4 2 6" xfId="33978" xr:uid="{00000000-0005-0000-0000-000068AB0000}"/>
    <cellStyle name="Vírgula 11 4 3" xfId="9377" xr:uid="{00000000-0005-0000-0000-000069AB0000}"/>
    <cellStyle name="Vírgula 11 4 3 2" xfId="27591" xr:uid="{00000000-0005-0000-0000-00006AAB0000}"/>
    <cellStyle name="Vírgula 11 4 3 2 2" xfId="53772" xr:uid="{00000000-0005-0000-0000-00006BAB0000}"/>
    <cellStyle name="Vírgula 11 4 3 3" xfId="21677" xr:uid="{00000000-0005-0000-0000-00006CAB0000}"/>
    <cellStyle name="Vírgula 11 4 3 3 2" xfId="47864" xr:uid="{00000000-0005-0000-0000-00006DAB0000}"/>
    <cellStyle name="Vírgula 11 4 3 4" xfId="15763" xr:uid="{00000000-0005-0000-0000-00006EAB0000}"/>
    <cellStyle name="Vírgula 11 4 3 4 2" xfId="41956" xr:uid="{00000000-0005-0000-0000-00006FAB0000}"/>
    <cellStyle name="Vírgula 11 4 3 5" xfId="35570" xr:uid="{00000000-0005-0000-0000-000070AB0000}"/>
    <cellStyle name="Vírgula 11 4 4" xfId="24634" xr:uid="{00000000-0005-0000-0000-000071AB0000}"/>
    <cellStyle name="Vírgula 11 4 4 2" xfId="50818" xr:uid="{00000000-0005-0000-0000-000072AB0000}"/>
    <cellStyle name="Vírgula 11 4 5" xfId="18720" xr:uid="{00000000-0005-0000-0000-000073AB0000}"/>
    <cellStyle name="Vírgula 11 4 5 2" xfId="44910" xr:uid="{00000000-0005-0000-0000-000074AB0000}"/>
    <cellStyle name="Vírgula 11 4 6" xfId="12470" xr:uid="{00000000-0005-0000-0000-000075AB0000}"/>
    <cellStyle name="Vírgula 11 4 6 2" xfId="38663" xr:uid="{00000000-0005-0000-0000-000076AB0000}"/>
    <cellStyle name="Vírgula 11 4 7" xfId="32278" xr:uid="{00000000-0005-0000-0000-000077AB0000}"/>
    <cellStyle name="Vírgula 11 5" xfId="6407" xr:uid="{00000000-0005-0000-0000-000078AB0000}"/>
    <cellStyle name="Vírgula 11 5 2" xfId="9563" xr:uid="{00000000-0005-0000-0000-000079AB0000}"/>
    <cellStyle name="Vírgula 11 5 2 2" xfId="27777" xr:uid="{00000000-0005-0000-0000-00007AAB0000}"/>
    <cellStyle name="Vírgula 11 5 2 2 2" xfId="53958" xr:uid="{00000000-0005-0000-0000-00007BAB0000}"/>
    <cellStyle name="Vírgula 11 5 2 3" xfId="21863" xr:uid="{00000000-0005-0000-0000-00007CAB0000}"/>
    <cellStyle name="Vírgula 11 5 2 3 2" xfId="48050" xr:uid="{00000000-0005-0000-0000-00007DAB0000}"/>
    <cellStyle name="Vírgula 11 5 2 4" xfId="15949" xr:uid="{00000000-0005-0000-0000-00007EAB0000}"/>
    <cellStyle name="Vírgula 11 5 2 4 2" xfId="42142" xr:uid="{00000000-0005-0000-0000-00007FAB0000}"/>
    <cellStyle name="Vírgula 11 5 2 5" xfId="35756" xr:uid="{00000000-0005-0000-0000-000080AB0000}"/>
    <cellStyle name="Vírgula 11 5 3" xfId="24820" xr:uid="{00000000-0005-0000-0000-000081AB0000}"/>
    <cellStyle name="Vírgula 11 5 3 2" xfId="51004" xr:uid="{00000000-0005-0000-0000-000082AB0000}"/>
    <cellStyle name="Vírgula 11 5 4" xfId="18906" xr:uid="{00000000-0005-0000-0000-000083AB0000}"/>
    <cellStyle name="Vírgula 11 5 4 2" xfId="45096" xr:uid="{00000000-0005-0000-0000-000084AB0000}"/>
    <cellStyle name="Vírgula 11 5 5" xfId="12796" xr:uid="{00000000-0005-0000-0000-000085AB0000}"/>
    <cellStyle name="Vírgula 11 5 5 2" xfId="38989" xr:uid="{00000000-0005-0000-0000-000086AB0000}"/>
    <cellStyle name="Vírgula 11 5 6" xfId="32603" xr:uid="{00000000-0005-0000-0000-000087AB0000}"/>
    <cellStyle name="Vírgula 11 6" xfId="8092" xr:uid="{00000000-0005-0000-0000-000088AB0000}"/>
    <cellStyle name="Vírgula 11 6 2" xfId="26306" xr:uid="{00000000-0005-0000-0000-000089AB0000}"/>
    <cellStyle name="Vírgula 11 6 2 2" xfId="52490" xr:uid="{00000000-0005-0000-0000-00008AAB0000}"/>
    <cellStyle name="Vírgula 11 6 3" xfId="20392" xr:uid="{00000000-0005-0000-0000-00008BAB0000}"/>
    <cellStyle name="Vírgula 11 6 3 2" xfId="46582" xr:uid="{00000000-0005-0000-0000-00008CAB0000}"/>
    <cellStyle name="Vírgula 11 6 4" xfId="14481" xr:uid="{00000000-0005-0000-0000-00008DAB0000}"/>
    <cellStyle name="Vírgula 11 6 4 2" xfId="40674" xr:uid="{00000000-0005-0000-0000-00008EAB0000}"/>
    <cellStyle name="Vírgula 11 6 5" xfId="34288" xr:uid="{00000000-0005-0000-0000-00008FAB0000}"/>
    <cellStyle name="Vírgula 11 7" xfId="4704" xr:uid="{00000000-0005-0000-0000-000090AB0000}"/>
    <cellStyle name="Vírgula 11 7 2" xfId="23349" xr:uid="{00000000-0005-0000-0000-000091AB0000}"/>
    <cellStyle name="Vírgula 11 7 2 2" xfId="49536" xr:uid="{00000000-0005-0000-0000-000092AB0000}"/>
    <cellStyle name="Vírgula 11 7 3" xfId="30904" xr:uid="{00000000-0005-0000-0000-000093AB0000}"/>
    <cellStyle name="Vírgula 11 8" xfId="17435" xr:uid="{00000000-0005-0000-0000-000094AB0000}"/>
    <cellStyle name="Vírgula 11 8 2" xfId="43628" xr:uid="{00000000-0005-0000-0000-000095AB0000}"/>
    <cellStyle name="Vírgula 11 9" xfId="11095" xr:uid="{00000000-0005-0000-0000-000096AB0000}"/>
    <cellStyle name="Vírgula 11 9 2" xfId="37288" xr:uid="{00000000-0005-0000-0000-000097AB0000}"/>
    <cellStyle name="Vírgula 12" xfId="8000" xr:uid="{00000000-0005-0000-0000-000098AB0000}"/>
    <cellStyle name="Vírgula 12 2" xfId="10970" xr:uid="{00000000-0005-0000-0000-000099AB0000}"/>
    <cellStyle name="Vírgula 12 2 2" xfId="29184" xr:uid="{00000000-0005-0000-0000-00009AAB0000}"/>
    <cellStyle name="Vírgula 12 2 2 2" xfId="55365" xr:uid="{00000000-0005-0000-0000-00009BAB0000}"/>
    <cellStyle name="Vírgula 12 2 3" xfId="23270" xr:uid="{00000000-0005-0000-0000-00009CAB0000}"/>
    <cellStyle name="Vírgula 12 2 3 2" xfId="49457" xr:uid="{00000000-0005-0000-0000-00009DAB0000}"/>
    <cellStyle name="Vírgula 12 2 4" xfId="17356" xr:uid="{00000000-0005-0000-0000-00009EAB0000}"/>
    <cellStyle name="Vírgula 12 2 4 2" xfId="43549" xr:uid="{00000000-0005-0000-0000-00009FAB0000}"/>
    <cellStyle name="Vírgula 12 2 5" xfId="37163" xr:uid="{00000000-0005-0000-0000-0000A0AB0000}"/>
    <cellStyle name="Vírgula 12 3" xfId="26227" xr:uid="{00000000-0005-0000-0000-0000A1AB0000}"/>
    <cellStyle name="Vírgula 12 3 2" xfId="52411" xr:uid="{00000000-0005-0000-0000-0000A2AB0000}"/>
    <cellStyle name="Vírgula 12 4" xfId="20313" xr:uid="{00000000-0005-0000-0000-0000A3AB0000}"/>
    <cellStyle name="Vírgula 12 4 2" xfId="46503" xr:uid="{00000000-0005-0000-0000-0000A4AB0000}"/>
    <cellStyle name="Vírgula 12 5" xfId="14389" xr:uid="{00000000-0005-0000-0000-0000A5AB0000}"/>
    <cellStyle name="Vírgula 12 5 2" xfId="40582" xr:uid="{00000000-0005-0000-0000-0000A6AB0000}"/>
    <cellStyle name="Vírgula 12 6" xfId="34196" xr:uid="{00000000-0005-0000-0000-0000A7AB0000}"/>
    <cellStyle name="Vírgula 13" xfId="29202" xr:uid="{00000000-0005-0000-0000-0000A8AB0000}"/>
    <cellStyle name="Vírgula 14" xfId="55385" xr:uid="{00000000-0005-0000-0000-0000A9AB0000}"/>
    <cellStyle name="Vírgula 15" xfId="55387" xr:uid="{00000000-0005-0000-0000-0000AAAB0000}"/>
    <cellStyle name="Vírgula 2" xfId="8" xr:uid="{00000000-0005-0000-0000-0000ABAB0000}"/>
    <cellStyle name="Vírgula 2 2" xfId="204" xr:uid="{00000000-0005-0000-0000-0000ACAB0000}"/>
    <cellStyle name="Vírgula 2 2 10" xfId="4210" xr:uid="{00000000-0005-0000-0000-0000ADAB0000}"/>
    <cellStyle name="Vírgula 2 2 10 2" xfId="7610" xr:uid="{00000000-0005-0000-0000-0000AEAB0000}"/>
    <cellStyle name="Vírgula 2 2 10 2 2" xfId="10747" xr:uid="{00000000-0005-0000-0000-0000AFAB0000}"/>
    <cellStyle name="Vírgula 2 2 10 2 2 2" xfId="28961" xr:uid="{00000000-0005-0000-0000-0000B0AB0000}"/>
    <cellStyle name="Vírgula 2 2 10 2 2 2 2" xfId="55142" xr:uid="{00000000-0005-0000-0000-0000B1AB0000}"/>
    <cellStyle name="Vírgula 2 2 10 2 2 3" xfId="23047" xr:uid="{00000000-0005-0000-0000-0000B2AB0000}"/>
    <cellStyle name="Vírgula 2 2 10 2 2 3 2" xfId="49234" xr:uid="{00000000-0005-0000-0000-0000B3AB0000}"/>
    <cellStyle name="Vírgula 2 2 10 2 2 4" xfId="17133" xr:uid="{00000000-0005-0000-0000-0000B4AB0000}"/>
    <cellStyle name="Vírgula 2 2 10 2 2 4 2" xfId="43326" xr:uid="{00000000-0005-0000-0000-0000B5AB0000}"/>
    <cellStyle name="Vírgula 2 2 10 2 2 5" xfId="36940" xr:uid="{00000000-0005-0000-0000-0000B6AB0000}"/>
    <cellStyle name="Vírgula 2 2 10 2 3" xfId="26004" xr:uid="{00000000-0005-0000-0000-0000B7AB0000}"/>
    <cellStyle name="Vírgula 2 2 10 2 3 2" xfId="52188" xr:uid="{00000000-0005-0000-0000-0000B8AB0000}"/>
    <cellStyle name="Vírgula 2 2 10 2 4" xfId="20090" xr:uid="{00000000-0005-0000-0000-0000B9AB0000}"/>
    <cellStyle name="Vírgula 2 2 10 2 4 2" xfId="46280" xr:uid="{00000000-0005-0000-0000-0000BAAB0000}"/>
    <cellStyle name="Vírgula 2 2 10 2 5" xfId="13999" xr:uid="{00000000-0005-0000-0000-0000BBAB0000}"/>
    <cellStyle name="Vírgula 2 2 10 2 5 2" xfId="40192" xr:uid="{00000000-0005-0000-0000-0000BCAB0000}"/>
    <cellStyle name="Vírgula 2 2 10 2 6" xfId="33806" xr:uid="{00000000-0005-0000-0000-0000BDAB0000}"/>
    <cellStyle name="Vírgula 2 2 10 3" xfId="9279" xr:uid="{00000000-0005-0000-0000-0000BEAB0000}"/>
    <cellStyle name="Vírgula 2 2 10 3 2" xfId="27493" xr:uid="{00000000-0005-0000-0000-0000BFAB0000}"/>
    <cellStyle name="Vírgula 2 2 10 3 2 2" xfId="53674" xr:uid="{00000000-0005-0000-0000-0000C0AB0000}"/>
    <cellStyle name="Vírgula 2 2 10 3 3" xfId="21579" xr:uid="{00000000-0005-0000-0000-0000C1AB0000}"/>
    <cellStyle name="Vírgula 2 2 10 3 3 2" xfId="47766" xr:uid="{00000000-0005-0000-0000-0000C2AB0000}"/>
    <cellStyle name="Vírgula 2 2 10 3 4" xfId="15665" xr:uid="{00000000-0005-0000-0000-0000C3AB0000}"/>
    <cellStyle name="Vírgula 2 2 10 3 4 2" xfId="41858" xr:uid="{00000000-0005-0000-0000-0000C4AB0000}"/>
    <cellStyle name="Vírgula 2 2 10 3 5" xfId="35472" xr:uid="{00000000-0005-0000-0000-0000C5AB0000}"/>
    <cellStyle name="Vírgula 2 2 10 4" xfId="5911" xr:uid="{00000000-0005-0000-0000-0000C6AB0000}"/>
    <cellStyle name="Vírgula 2 2 10 4 2" xfId="24536" xr:uid="{00000000-0005-0000-0000-0000C7AB0000}"/>
    <cellStyle name="Vírgula 2 2 10 4 2 2" xfId="50720" xr:uid="{00000000-0005-0000-0000-0000C8AB0000}"/>
    <cellStyle name="Vírgula 2 2 10 4 3" xfId="32107" xr:uid="{00000000-0005-0000-0000-0000C9AB0000}"/>
    <cellStyle name="Vírgula 2 2 10 5" xfId="18622" xr:uid="{00000000-0005-0000-0000-0000CAAB0000}"/>
    <cellStyle name="Vírgula 2 2 10 5 2" xfId="44812" xr:uid="{00000000-0005-0000-0000-0000CBAB0000}"/>
    <cellStyle name="Vírgula 2 2 10 6" xfId="12298" xr:uid="{00000000-0005-0000-0000-0000CCAB0000}"/>
    <cellStyle name="Vírgula 2 2 10 6 2" xfId="38491" xr:uid="{00000000-0005-0000-0000-0000CDAB0000}"/>
    <cellStyle name="Vírgula 2 2 10 7" xfId="30410" xr:uid="{00000000-0005-0000-0000-0000CEAB0000}"/>
    <cellStyle name="Vírgula 2 2 11" xfId="4286" xr:uid="{00000000-0005-0000-0000-0000CFAB0000}"/>
    <cellStyle name="Vírgula 2 2 11 2" xfId="7687" xr:uid="{00000000-0005-0000-0000-0000D0AB0000}"/>
    <cellStyle name="Vírgula 2 2 11 2 2" xfId="10790" xr:uid="{00000000-0005-0000-0000-0000D1AB0000}"/>
    <cellStyle name="Vírgula 2 2 11 2 2 2" xfId="29004" xr:uid="{00000000-0005-0000-0000-0000D2AB0000}"/>
    <cellStyle name="Vírgula 2 2 11 2 2 2 2" xfId="55185" xr:uid="{00000000-0005-0000-0000-0000D3AB0000}"/>
    <cellStyle name="Vírgula 2 2 11 2 2 3" xfId="23090" xr:uid="{00000000-0005-0000-0000-0000D4AB0000}"/>
    <cellStyle name="Vírgula 2 2 11 2 2 3 2" xfId="49277" xr:uid="{00000000-0005-0000-0000-0000D5AB0000}"/>
    <cellStyle name="Vírgula 2 2 11 2 2 4" xfId="17176" xr:uid="{00000000-0005-0000-0000-0000D6AB0000}"/>
    <cellStyle name="Vírgula 2 2 11 2 2 4 2" xfId="43369" xr:uid="{00000000-0005-0000-0000-0000D7AB0000}"/>
    <cellStyle name="Vírgula 2 2 11 2 2 5" xfId="36983" xr:uid="{00000000-0005-0000-0000-0000D8AB0000}"/>
    <cellStyle name="Vírgula 2 2 11 2 3" xfId="26047" xr:uid="{00000000-0005-0000-0000-0000D9AB0000}"/>
    <cellStyle name="Vírgula 2 2 11 2 3 2" xfId="52231" xr:uid="{00000000-0005-0000-0000-0000DAAB0000}"/>
    <cellStyle name="Vírgula 2 2 11 2 4" xfId="20133" xr:uid="{00000000-0005-0000-0000-0000DBAB0000}"/>
    <cellStyle name="Vírgula 2 2 11 2 4 2" xfId="46323" xr:uid="{00000000-0005-0000-0000-0000DCAB0000}"/>
    <cellStyle name="Vírgula 2 2 11 2 5" xfId="14076" xr:uid="{00000000-0005-0000-0000-0000DDAB0000}"/>
    <cellStyle name="Vírgula 2 2 11 2 5 2" xfId="40269" xr:uid="{00000000-0005-0000-0000-0000DEAB0000}"/>
    <cellStyle name="Vírgula 2 2 11 2 6" xfId="33883" xr:uid="{00000000-0005-0000-0000-0000DFAB0000}"/>
    <cellStyle name="Vírgula 2 2 11 3" xfId="9322" xr:uid="{00000000-0005-0000-0000-0000E0AB0000}"/>
    <cellStyle name="Vírgula 2 2 11 3 2" xfId="27536" xr:uid="{00000000-0005-0000-0000-0000E1AB0000}"/>
    <cellStyle name="Vírgula 2 2 11 3 2 2" xfId="53717" xr:uid="{00000000-0005-0000-0000-0000E2AB0000}"/>
    <cellStyle name="Vírgula 2 2 11 3 3" xfId="21622" xr:uid="{00000000-0005-0000-0000-0000E3AB0000}"/>
    <cellStyle name="Vírgula 2 2 11 3 3 2" xfId="47809" xr:uid="{00000000-0005-0000-0000-0000E4AB0000}"/>
    <cellStyle name="Vírgula 2 2 11 3 4" xfId="15708" xr:uid="{00000000-0005-0000-0000-0000E5AB0000}"/>
    <cellStyle name="Vírgula 2 2 11 3 4 2" xfId="41901" xr:uid="{00000000-0005-0000-0000-0000E6AB0000}"/>
    <cellStyle name="Vírgula 2 2 11 3 5" xfId="35515" xr:uid="{00000000-0005-0000-0000-0000E7AB0000}"/>
    <cellStyle name="Vírgula 2 2 11 4" xfId="5987" xr:uid="{00000000-0005-0000-0000-0000E8AB0000}"/>
    <cellStyle name="Vírgula 2 2 11 4 2" xfId="24579" xr:uid="{00000000-0005-0000-0000-0000E9AB0000}"/>
    <cellStyle name="Vírgula 2 2 11 4 2 2" xfId="50763" xr:uid="{00000000-0005-0000-0000-0000EAAB0000}"/>
    <cellStyle name="Vírgula 2 2 11 4 3" xfId="32183" xr:uid="{00000000-0005-0000-0000-0000EBAB0000}"/>
    <cellStyle name="Vírgula 2 2 11 5" xfId="18665" xr:uid="{00000000-0005-0000-0000-0000ECAB0000}"/>
    <cellStyle name="Vírgula 2 2 11 5 2" xfId="44855" xr:uid="{00000000-0005-0000-0000-0000EDAB0000}"/>
    <cellStyle name="Vírgula 2 2 11 6" xfId="12375" xr:uid="{00000000-0005-0000-0000-0000EEAB0000}"/>
    <cellStyle name="Vírgula 2 2 11 6 2" xfId="38568" xr:uid="{00000000-0005-0000-0000-0000EFAB0000}"/>
    <cellStyle name="Vírgula 2 2 11 7" xfId="30486" xr:uid="{00000000-0005-0000-0000-0000F0AB0000}"/>
    <cellStyle name="Vírgula 2 2 12" xfId="4394" xr:uid="{00000000-0005-0000-0000-0000F1AB0000}"/>
    <cellStyle name="Vírgula 2 2 12 2" xfId="7796" xr:uid="{00000000-0005-0000-0000-0000F2AB0000}"/>
    <cellStyle name="Vírgula 2 2 12 2 2" xfId="10852" xr:uid="{00000000-0005-0000-0000-0000F3AB0000}"/>
    <cellStyle name="Vírgula 2 2 12 2 2 2" xfId="29066" xr:uid="{00000000-0005-0000-0000-0000F4AB0000}"/>
    <cellStyle name="Vírgula 2 2 12 2 2 2 2" xfId="55247" xr:uid="{00000000-0005-0000-0000-0000F5AB0000}"/>
    <cellStyle name="Vírgula 2 2 12 2 2 3" xfId="23152" xr:uid="{00000000-0005-0000-0000-0000F6AB0000}"/>
    <cellStyle name="Vírgula 2 2 12 2 2 3 2" xfId="49339" xr:uid="{00000000-0005-0000-0000-0000F7AB0000}"/>
    <cellStyle name="Vírgula 2 2 12 2 2 4" xfId="17238" xr:uid="{00000000-0005-0000-0000-0000F8AB0000}"/>
    <cellStyle name="Vírgula 2 2 12 2 2 4 2" xfId="43431" xr:uid="{00000000-0005-0000-0000-0000F9AB0000}"/>
    <cellStyle name="Vírgula 2 2 12 2 2 5" xfId="37045" xr:uid="{00000000-0005-0000-0000-0000FAAB0000}"/>
    <cellStyle name="Vírgula 2 2 12 2 3" xfId="26109" xr:uid="{00000000-0005-0000-0000-0000FBAB0000}"/>
    <cellStyle name="Vírgula 2 2 12 2 3 2" xfId="52293" xr:uid="{00000000-0005-0000-0000-0000FCAB0000}"/>
    <cellStyle name="Vírgula 2 2 12 2 4" xfId="20195" xr:uid="{00000000-0005-0000-0000-0000FDAB0000}"/>
    <cellStyle name="Vírgula 2 2 12 2 4 2" xfId="46385" xr:uid="{00000000-0005-0000-0000-0000FEAB0000}"/>
    <cellStyle name="Vírgula 2 2 12 2 5" xfId="14185" xr:uid="{00000000-0005-0000-0000-0000FFAB0000}"/>
    <cellStyle name="Vírgula 2 2 12 2 5 2" xfId="40378" xr:uid="{00000000-0005-0000-0000-000000AC0000}"/>
    <cellStyle name="Vírgula 2 2 12 2 6" xfId="33992" xr:uid="{00000000-0005-0000-0000-000001AC0000}"/>
    <cellStyle name="Vírgula 2 2 12 3" xfId="9384" xr:uid="{00000000-0005-0000-0000-000002AC0000}"/>
    <cellStyle name="Vírgula 2 2 12 3 2" xfId="27598" xr:uid="{00000000-0005-0000-0000-000003AC0000}"/>
    <cellStyle name="Vírgula 2 2 12 3 2 2" xfId="53779" xr:uid="{00000000-0005-0000-0000-000004AC0000}"/>
    <cellStyle name="Vírgula 2 2 12 3 3" xfId="21684" xr:uid="{00000000-0005-0000-0000-000005AC0000}"/>
    <cellStyle name="Vírgula 2 2 12 3 3 2" xfId="47871" xr:uid="{00000000-0005-0000-0000-000006AC0000}"/>
    <cellStyle name="Vírgula 2 2 12 3 4" xfId="15770" xr:uid="{00000000-0005-0000-0000-000007AC0000}"/>
    <cellStyle name="Vírgula 2 2 12 3 4 2" xfId="41963" xr:uid="{00000000-0005-0000-0000-000008AC0000}"/>
    <cellStyle name="Vírgula 2 2 12 3 5" xfId="35577" xr:uid="{00000000-0005-0000-0000-000009AC0000}"/>
    <cellStyle name="Vírgula 2 2 12 4" xfId="6096" xr:uid="{00000000-0005-0000-0000-00000AAC0000}"/>
    <cellStyle name="Vírgula 2 2 12 4 2" xfId="24641" xr:uid="{00000000-0005-0000-0000-00000BAC0000}"/>
    <cellStyle name="Vírgula 2 2 12 4 2 2" xfId="50825" xr:uid="{00000000-0005-0000-0000-00000CAC0000}"/>
    <cellStyle name="Vírgula 2 2 12 4 3" xfId="32292" xr:uid="{00000000-0005-0000-0000-00000DAC0000}"/>
    <cellStyle name="Vírgula 2 2 12 5" xfId="18727" xr:uid="{00000000-0005-0000-0000-00000EAC0000}"/>
    <cellStyle name="Vírgula 2 2 12 5 2" xfId="44917" xr:uid="{00000000-0005-0000-0000-00000FAC0000}"/>
    <cellStyle name="Vírgula 2 2 12 6" xfId="12484" xr:uid="{00000000-0005-0000-0000-000010AC0000}"/>
    <cellStyle name="Vírgula 2 2 12 6 2" xfId="38677" xr:uid="{00000000-0005-0000-0000-000011AC0000}"/>
    <cellStyle name="Vírgula 2 2 12 7" xfId="30594" xr:uid="{00000000-0005-0000-0000-000012AC0000}"/>
    <cellStyle name="Vírgula 2 2 13" xfId="4502" xr:uid="{00000000-0005-0000-0000-000013AC0000}"/>
    <cellStyle name="Vírgula 2 2 13 2" xfId="7904" xr:uid="{00000000-0005-0000-0000-000014AC0000}"/>
    <cellStyle name="Vírgula 2 2 13 2 2" xfId="10914" xr:uid="{00000000-0005-0000-0000-000015AC0000}"/>
    <cellStyle name="Vírgula 2 2 13 2 2 2" xfId="29128" xr:uid="{00000000-0005-0000-0000-000016AC0000}"/>
    <cellStyle name="Vírgula 2 2 13 2 2 2 2" xfId="55309" xr:uid="{00000000-0005-0000-0000-000017AC0000}"/>
    <cellStyle name="Vírgula 2 2 13 2 2 3" xfId="23214" xr:uid="{00000000-0005-0000-0000-000018AC0000}"/>
    <cellStyle name="Vírgula 2 2 13 2 2 3 2" xfId="49401" xr:uid="{00000000-0005-0000-0000-000019AC0000}"/>
    <cellStyle name="Vírgula 2 2 13 2 2 4" xfId="17300" xr:uid="{00000000-0005-0000-0000-00001AAC0000}"/>
    <cellStyle name="Vírgula 2 2 13 2 2 4 2" xfId="43493" xr:uid="{00000000-0005-0000-0000-00001BAC0000}"/>
    <cellStyle name="Vírgula 2 2 13 2 2 5" xfId="37107" xr:uid="{00000000-0005-0000-0000-00001CAC0000}"/>
    <cellStyle name="Vírgula 2 2 13 2 3" xfId="26171" xr:uid="{00000000-0005-0000-0000-00001DAC0000}"/>
    <cellStyle name="Vírgula 2 2 13 2 3 2" xfId="52355" xr:uid="{00000000-0005-0000-0000-00001EAC0000}"/>
    <cellStyle name="Vírgula 2 2 13 2 4" xfId="20257" xr:uid="{00000000-0005-0000-0000-00001FAC0000}"/>
    <cellStyle name="Vírgula 2 2 13 2 4 2" xfId="46447" xr:uid="{00000000-0005-0000-0000-000020AC0000}"/>
    <cellStyle name="Vírgula 2 2 13 2 5" xfId="14293" xr:uid="{00000000-0005-0000-0000-000021AC0000}"/>
    <cellStyle name="Vírgula 2 2 13 2 5 2" xfId="40486" xr:uid="{00000000-0005-0000-0000-000022AC0000}"/>
    <cellStyle name="Vírgula 2 2 13 2 6" xfId="34100" xr:uid="{00000000-0005-0000-0000-000023AC0000}"/>
    <cellStyle name="Vírgula 2 2 13 3" xfId="9446" xr:uid="{00000000-0005-0000-0000-000024AC0000}"/>
    <cellStyle name="Vírgula 2 2 13 3 2" xfId="27660" xr:uid="{00000000-0005-0000-0000-000025AC0000}"/>
    <cellStyle name="Vírgula 2 2 13 3 2 2" xfId="53841" xr:uid="{00000000-0005-0000-0000-000026AC0000}"/>
    <cellStyle name="Vírgula 2 2 13 3 3" xfId="21746" xr:uid="{00000000-0005-0000-0000-000027AC0000}"/>
    <cellStyle name="Vírgula 2 2 13 3 3 2" xfId="47933" xr:uid="{00000000-0005-0000-0000-000028AC0000}"/>
    <cellStyle name="Vírgula 2 2 13 3 4" xfId="15832" xr:uid="{00000000-0005-0000-0000-000029AC0000}"/>
    <cellStyle name="Vírgula 2 2 13 3 4 2" xfId="42025" xr:uid="{00000000-0005-0000-0000-00002AAC0000}"/>
    <cellStyle name="Vírgula 2 2 13 3 5" xfId="35639" xr:uid="{00000000-0005-0000-0000-00002BAC0000}"/>
    <cellStyle name="Vírgula 2 2 13 4" xfId="6203" xr:uid="{00000000-0005-0000-0000-00002CAC0000}"/>
    <cellStyle name="Vírgula 2 2 13 4 2" xfId="24703" xr:uid="{00000000-0005-0000-0000-00002DAC0000}"/>
    <cellStyle name="Vírgula 2 2 13 4 2 2" xfId="50887" xr:uid="{00000000-0005-0000-0000-00002EAC0000}"/>
    <cellStyle name="Vírgula 2 2 13 4 3" xfId="32399" xr:uid="{00000000-0005-0000-0000-00002FAC0000}"/>
    <cellStyle name="Vírgula 2 2 13 5" xfId="18789" xr:uid="{00000000-0005-0000-0000-000030AC0000}"/>
    <cellStyle name="Vírgula 2 2 13 5 2" xfId="44979" xr:uid="{00000000-0005-0000-0000-000031AC0000}"/>
    <cellStyle name="Vírgula 2 2 13 6" xfId="12592" xr:uid="{00000000-0005-0000-0000-000032AC0000}"/>
    <cellStyle name="Vírgula 2 2 13 6 2" xfId="38785" xr:uid="{00000000-0005-0000-0000-000033AC0000}"/>
    <cellStyle name="Vírgula 2 2 13 7" xfId="30702" xr:uid="{00000000-0005-0000-0000-000034AC0000}"/>
    <cellStyle name="Vírgula 2 2 14" xfId="4762" xr:uid="{00000000-0005-0000-0000-000035AC0000}"/>
    <cellStyle name="Vírgula 2 2 14 2" xfId="6463" xr:uid="{00000000-0005-0000-0000-000036AC0000}"/>
    <cellStyle name="Vírgula 2 2 14 2 2" xfId="9616" xr:uid="{00000000-0005-0000-0000-000037AC0000}"/>
    <cellStyle name="Vírgula 2 2 14 2 2 2" xfId="27830" xr:uid="{00000000-0005-0000-0000-000038AC0000}"/>
    <cellStyle name="Vírgula 2 2 14 2 2 2 2" xfId="54011" xr:uid="{00000000-0005-0000-0000-000039AC0000}"/>
    <cellStyle name="Vírgula 2 2 14 2 2 3" xfId="21916" xr:uid="{00000000-0005-0000-0000-00003AAC0000}"/>
    <cellStyle name="Vírgula 2 2 14 2 2 3 2" xfId="48103" xr:uid="{00000000-0005-0000-0000-00003BAC0000}"/>
    <cellStyle name="Vírgula 2 2 14 2 2 4" xfId="16002" xr:uid="{00000000-0005-0000-0000-00003CAC0000}"/>
    <cellStyle name="Vírgula 2 2 14 2 2 4 2" xfId="42195" xr:uid="{00000000-0005-0000-0000-00003DAC0000}"/>
    <cellStyle name="Vírgula 2 2 14 2 2 5" xfId="35809" xr:uid="{00000000-0005-0000-0000-00003EAC0000}"/>
    <cellStyle name="Vírgula 2 2 14 2 3" xfId="24873" xr:uid="{00000000-0005-0000-0000-00003FAC0000}"/>
    <cellStyle name="Vírgula 2 2 14 2 3 2" xfId="51057" xr:uid="{00000000-0005-0000-0000-000040AC0000}"/>
    <cellStyle name="Vírgula 2 2 14 2 4" xfId="18959" xr:uid="{00000000-0005-0000-0000-000041AC0000}"/>
    <cellStyle name="Vírgula 2 2 14 2 4 2" xfId="45149" xr:uid="{00000000-0005-0000-0000-000042AC0000}"/>
    <cellStyle name="Vírgula 2 2 14 2 5" xfId="12852" xr:uid="{00000000-0005-0000-0000-000043AC0000}"/>
    <cellStyle name="Vírgula 2 2 14 2 5 2" xfId="39045" xr:uid="{00000000-0005-0000-0000-000044AC0000}"/>
    <cellStyle name="Vírgula 2 2 14 2 6" xfId="32659" xr:uid="{00000000-0005-0000-0000-000045AC0000}"/>
    <cellStyle name="Vírgula 2 2 14 3" xfId="8145" xr:uid="{00000000-0005-0000-0000-000046AC0000}"/>
    <cellStyle name="Vírgula 2 2 14 3 2" xfId="26359" xr:uid="{00000000-0005-0000-0000-000047AC0000}"/>
    <cellStyle name="Vírgula 2 2 14 3 2 2" xfId="52543" xr:uid="{00000000-0005-0000-0000-000048AC0000}"/>
    <cellStyle name="Vírgula 2 2 14 3 3" xfId="20445" xr:uid="{00000000-0005-0000-0000-000049AC0000}"/>
    <cellStyle name="Vírgula 2 2 14 3 3 2" xfId="46635" xr:uid="{00000000-0005-0000-0000-00004AAC0000}"/>
    <cellStyle name="Vírgula 2 2 14 3 4" xfId="14534" xr:uid="{00000000-0005-0000-0000-00004BAC0000}"/>
    <cellStyle name="Vírgula 2 2 14 3 4 2" xfId="40727" xr:uid="{00000000-0005-0000-0000-00004CAC0000}"/>
    <cellStyle name="Vírgula 2 2 14 3 5" xfId="34341" xr:uid="{00000000-0005-0000-0000-00004DAC0000}"/>
    <cellStyle name="Vírgula 2 2 14 4" xfId="23402" xr:uid="{00000000-0005-0000-0000-00004EAC0000}"/>
    <cellStyle name="Vírgula 2 2 14 4 2" xfId="49589" xr:uid="{00000000-0005-0000-0000-00004FAC0000}"/>
    <cellStyle name="Vírgula 2 2 14 5" xfId="17488" xr:uid="{00000000-0005-0000-0000-000050AC0000}"/>
    <cellStyle name="Vírgula 2 2 14 5 2" xfId="43681" xr:uid="{00000000-0005-0000-0000-000051AC0000}"/>
    <cellStyle name="Vírgula 2 2 14 6" xfId="11151" xr:uid="{00000000-0005-0000-0000-000052AC0000}"/>
    <cellStyle name="Vírgula 2 2 14 6 2" xfId="37344" xr:uid="{00000000-0005-0000-0000-000053AC0000}"/>
    <cellStyle name="Vírgula 2 2 14 7" xfId="30960" xr:uid="{00000000-0005-0000-0000-000054AC0000}"/>
    <cellStyle name="Vírgula 2 2 15" xfId="6312" xr:uid="{00000000-0005-0000-0000-000055AC0000}"/>
    <cellStyle name="Vírgula 2 2 15 2" xfId="9508" xr:uid="{00000000-0005-0000-0000-000056AC0000}"/>
    <cellStyle name="Vírgula 2 2 15 2 2" xfId="27722" xr:uid="{00000000-0005-0000-0000-000057AC0000}"/>
    <cellStyle name="Vírgula 2 2 15 2 2 2" xfId="53903" xr:uid="{00000000-0005-0000-0000-000058AC0000}"/>
    <cellStyle name="Vírgula 2 2 15 2 3" xfId="21808" xr:uid="{00000000-0005-0000-0000-000059AC0000}"/>
    <cellStyle name="Vírgula 2 2 15 2 3 2" xfId="47995" xr:uid="{00000000-0005-0000-0000-00005AAC0000}"/>
    <cellStyle name="Vírgula 2 2 15 2 4" xfId="15894" xr:uid="{00000000-0005-0000-0000-00005BAC0000}"/>
    <cellStyle name="Vírgula 2 2 15 2 4 2" xfId="42087" xr:uid="{00000000-0005-0000-0000-00005CAC0000}"/>
    <cellStyle name="Vírgula 2 2 15 2 5" xfId="35701" xr:uid="{00000000-0005-0000-0000-00005DAC0000}"/>
    <cellStyle name="Vírgula 2 2 15 3" xfId="24765" xr:uid="{00000000-0005-0000-0000-00005EAC0000}"/>
    <cellStyle name="Vírgula 2 2 15 3 2" xfId="50949" xr:uid="{00000000-0005-0000-0000-00005FAC0000}"/>
    <cellStyle name="Vírgula 2 2 15 4" xfId="18851" xr:uid="{00000000-0005-0000-0000-000060AC0000}"/>
    <cellStyle name="Vírgula 2 2 15 4 2" xfId="45041" xr:uid="{00000000-0005-0000-0000-000061AC0000}"/>
    <cellStyle name="Vírgula 2 2 15 5" xfId="12701" xr:uid="{00000000-0005-0000-0000-000062AC0000}"/>
    <cellStyle name="Vírgula 2 2 15 5 2" xfId="38894" xr:uid="{00000000-0005-0000-0000-000063AC0000}"/>
    <cellStyle name="Vírgula 2 2 15 6" xfId="32508" xr:uid="{00000000-0005-0000-0000-000064AC0000}"/>
    <cellStyle name="Vírgula 2 2 16" xfId="8004" xr:uid="{00000000-0005-0000-0000-000065AC0000}"/>
    <cellStyle name="Vírgula 2 2 16 2" xfId="10972" xr:uid="{00000000-0005-0000-0000-000066AC0000}"/>
    <cellStyle name="Vírgula 2 2 16 2 2" xfId="29186" xr:uid="{00000000-0005-0000-0000-000067AC0000}"/>
    <cellStyle name="Vírgula 2 2 16 2 2 2" xfId="55367" xr:uid="{00000000-0005-0000-0000-000068AC0000}"/>
    <cellStyle name="Vírgula 2 2 16 2 3" xfId="23272" xr:uid="{00000000-0005-0000-0000-000069AC0000}"/>
    <cellStyle name="Vírgula 2 2 16 2 3 2" xfId="49459" xr:uid="{00000000-0005-0000-0000-00006AAC0000}"/>
    <cellStyle name="Vírgula 2 2 16 2 4" xfId="17358" xr:uid="{00000000-0005-0000-0000-00006BAC0000}"/>
    <cellStyle name="Vírgula 2 2 16 2 4 2" xfId="43551" xr:uid="{00000000-0005-0000-0000-00006CAC0000}"/>
    <cellStyle name="Vírgula 2 2 16 2 5" xfId="37165" xr:uid="{00000000-0005-0000-0000-00006DAC0000}"/>
    <cellStyle name="Vírgula 2 2 16 3" xfId="26229" xr:uid="{00000000-0005-0000-0000-00006EAC0000}"/>
    <cellStyle name="Vírgula 2 2 16 3 2" xfId="52413" xr:uid="{00000000-0005-0000-0000-00006FAC0000}"/>
    <cellStyle name="Vírgula 2 2 16 4" xfId="20315" xr:uid="{00000000-0005-0000-0000-000070AC0000}"/>
    <cellStyle name="Vírgula 2 2 16 4 2" xfId="46505" xr:uid="{00000000-0005-0000-0000-000071AC0000}"/>
    <cellStyle name="Vírgula 2 2 16 5" xfId="14393" xr:uid="{00000000-0005-0000-0000-000072AC0000}"/>
    <cellStyle name="Vírgula 2 2 16 5 2" xfId="40586" xr:uid="{00000000-0005-0000-0000-000073AC0000}"/>
    <cellStyle name="Vírgula 2 2 16 6" xfId="34200" xr:uid="{00000000-0005-0000-0000-000074AC0000}"/>
    <cellStyle name="Vírgula 2 2 17" xfId="8037" xr:uid="{00000000-0005-0000-0000-000075AC0000}"/>
    <cellStyle name="Vírgula 2 2 17 2" xfId="26251" xr:uid="{00000000-0005-0000-0000-000076AC0000}"/>
    <cellStyle name="Vírgula 2 2 17 2 2" xfId="52435" xr:uid="{00000000-0005-0000-0000-000077AC0000}"/>
    <cellStyle name="Vírgula 2 2 17 3" xfId="20337" xr:uid="{00000000-0005-0000-0000-000078AC0000}"/>
    <cellStyle name="Vírgula 2 2 17 3 2" xfId="46527" xr:uid="{00000000-0005-0000-0000-000079AC0000}"/>
    <cellStyle name="Vírgula 2 2 17 4" xfId="14426" xr:uid="{00000000-0005-0000-0000-00007AAC0000}"/>
    <cellStyle name="Vírgula 2 2 17 4 2" xfId="40619" xr:uid="{00000000-0005-0000-0000-00007BAC0000}"/>
    <cellStyle name="Vírgula 2 2 17 5" xfId="34233" xr:uid="{00000000-0005-0000-0000-00007CAC0000}"/>
    <cellStyle name="Vírgula 2 2 18" xfId="4610" xr:uid="{00000000-0005-0000-0000-00007DAC0000}"/>
    <cellStyle name="Vírgula 2 2 18 2" xfId="23294" xr:uid="{00000000-0005-0000-0000-00007EAC0000}"/>
    <cellStyle name="Vírgula 2 2 18 2 2" xfId="49481" xr:uid="{00000000-0005-0000-0000-00007FAC0000}"/>
    <cellStyle name="Vírgula 2 2 18 3" xfId="30810" xr:uid="{00000000-0005-0000-0000-000080AC0000}"/>
    <cellStyle name="Vírgula 2 2 19" xfId="17380" xr:uid="{00000000-0005-0000-0000-000081AC0000}"/>
    <cellStyle name="Vírgula 2 2 19 2" xfId="43573" xr:uid="{00000000-0005-0000-0000-000082AC0000}"/>
    <cellStyle name="Vírgula 2 2 2" xfId="661" xr:uid="{00000000-0005-0000-0000-000083AC0000}"/>
    <cellStyle name="Vírgula 2 2 2 10" xfId="4507" xr:uid="{00000000-0005-0000-0000-000084AC0000}"/>
    <cellStyle name="Vírgula 2 2 2 10 2" xfId="7909" xr:uid="{00000000-0005-0000-0000-000085AC0000}"/>
    <cellStyle name="Vírgula 2 2 2 10 2 2" xfId="10917" xr:uid="{00000000-0005-0000-0000-000086AC0000}"/>
    <cellStyle name="Vírgula 2 2 2 10 2 2 2" xfId="29131" xr:uid="{00000000-0005-0000-0000-000087AC0000}"/>
    <cellStyle name="Vírgula 2 2 2 10 2 2 2 2" xfId="55312" xr:uid="{00000000-0005-0000-0000-000088AC0000}"/>
    <cellStyle name="Vírgula 2 2 2 10 2 2 3" xfId="23217" xr:uid="{00000000-0005-0000-0000-000089AC0000}"/>
    <cellStyle name="Vírgula 2 2 2 10 2 2 3 2" xfId="49404" xr:uid="{00000000-0005-0000-0000-00008AAC0000}"/>
    <cellStyle name="Vírgula 2 2 2 10 2 2 4" xfId="17303" xr:uid="{00000000-0005-0000-0000-00008BAC0000}"/>
    <cellStyle name="Vírgula 2 2 2 10 2 2 4 2" xfId="43496" xr:uid="{00000000-0005-0000-0000-00008CAC0000}"/>
    <cellStyle name="Vírgula 2 2 2 10 2 2 5" xfId="37110" xr:uid="{00000000-0005-0000-0000-00008DAC0000}"/>
    <cellStyle name="Vírgula 2 2 2 10 2 3" xfId="26174" xr:uid="{00000000-0005-0000-0000-00008EAC0000}"/>
    <cellStyle name="Vírgula 2 2 2 10 2 3 2" xfId="52358" xr:uid="{00000000-0005-0000-0000-00008FAC0000}"/>
    <cellStyle name="Vírgula 2 2 2 10 2 4" xfId="20260" xr:uid="{00000000-0005-0000-0000-000090AC0000}"/>
    <cellStyle name="Vírgula 2 2 2 10 2 4 2" xfId="46450" xr:uid="{00000000-0005-0000-0000-000091AC0000}"/>
    <cellStyle name="Vírgula 2 2 2 10 2 5" xfId="14298" xr:uid="{00000000-0005-0000-0000-000092AC0000}"/>
    <cellStyle name="Vírgula 2 2 2 10 2 5 2" xfId="40491" xr:uid="{00000000-0005-0000-0000-000093AC0000}"/>
    <cellStyle name="Vírgula 2 2 2 10 2 6" xfId="34105" xr:uid="{00000000-0005-0000-0000-000094AC0000}"/>
    <cellStyle name="Vírgula 2 2 2 10 3" xfId="9449" xr:uid="{00000000-0005-0000-0000-000095AC0000}"/>
    <cellStyle name="Vírgula 2 2 2 10 3 2" xfId="27663" xr:uid="{00000000-0005-0000-0000-000096AC0000}"/>
    <cellStyle name="Vírgula 2 2 2 10 3 2 2" xfId="53844" xr:uid="{00000000-0005-0000-0000-000097AC0000}"/>
    <cellStyle name="Vírgula 2 2 2 10 3 3" xfId="21749" xr:uid="{00000000-0005-0000-0000-000098AC0000}"/>
    <cellStyle name="Vírgula 2 2 2 10 3 3 2" xfId="47936" xr:uid="{00000000-0005-0000-0000-000099AC0000}"/>
    <cellStyle name="Vírgula 2 2 2 10 3 4" xfId="15835" xr:uid="{00000000-0005-0000-0000-00009AAC0000}"/>
    <cellStyle name="Vírgula 2 2 2 10 3 4 2" xfId="42028" xr:uid="{00000000-0005-0000-0000-00009BAC0000}"/>
    <cellStyle name="Vírgula 2 2 2 10 3 5" xfId="35642" xr:uid="{00000000-0005-0000-0000-00009CAC0000}"/>
    <cellStyle name="Vírgula 2 2 2 10 4" xfId="6208" xr:uid="{00000000-0005-0000-0000-00009DAC0000}"/>
    <cellStyle name="Vírgula 2 2 2 10 4 2" xfId="24706" xr:uid="{00000000-0005-0000-0000-00009EAC0000}"/>
    <cellStyle name="Vírgula 2 2 2 10 4 2 2" xfId="50890" xr:uid="{00000000-0005-0000-0000-00009FAC0000}"/>
    <cellStyle name="Vírgula 2 2 2 10 4 3" xfId="32404" xr:uid="{00000000-0005-0000-0000-0000A0AC0000}"/>
    <cellStyle name="Vírgula 2 2 2 10 5" xfId="18792" xr:uid="{00000000-0005-0000-0000-0000A1AC0000}"/>
    <cellStyle name="Vírgula 2 2 2 10 5 2" xfId="44982" xr:uid="{00000000-0005-0000-0000-0000A2AC0000}"/>
    <cellStyle name="Vírgula 2 2 2 10 6" xfId="12597" xr:uid="{00000000-0005-0000-0000-0000A3AC0000}"/>
    <cellStyle name="Vírgula 2 2 2 10 6 2" xfId="38790" xr:uid="{00000000-0005-0000-0000-0000A4AC0000}"/>
    <cellStyle name="Vírgula 2 2 2 10 7" xfId="30707" xr:uid="{00000000-0005-0000-0000-0000A5AC0000}"/>
    <cellStyle name="Vírgula 2 2 2 11" xfId="4897" xr:uid="{00000000-0005-0000-0000-0000A6AC0000}"/>
    <cellStyle name="Vírgula 2 2 2 11 2" xfId="6596" xr:uid="{00000000-0005-0000-0000-0000A7AC0000}"/>
    <cellStyle name="Vírgula 2 2 2 11 2 2" xfId="9743" xr:uid="{00000000-0005-0000-0000-0000A8AC0000}"/>
    <cellStyle name="Vírgula 2 2 2 11 2 2 2" xfId="27957" xr:uid="{00000000-0005-0000-0000-0000A9AC0000}"/>
    <cellStyle name="Vírgula 2 2 2 11 2 2 2 2" xfId="54138" xr:uid="{00000000-0005-0000-0000-0000AAAC0000}"/>
    <cellStyle name="Vírgula 2 2 2 11 2 2 3" xfId="22043" xr:uid="{00000000-0005-0000-0000-0000ABAC0000}"/>
    <cellStyle name="Vírgula 2 2 2 11 2 2 3 2" xfId="48230" xr:uid="{00000000-0005-0000-0000-0000ACAC0000}"/>
    <cellStyle name="Vírgula 2 2 2 11 2 2 4" xfId="16129" xr:uid="{00000000-0005-0000-0000-0000ADAC0000}"/>
    <cellStyle name="Vírgula 2 2 2 11 2 2 4 2" xfId="42322" xr:uid="{00000000-0005-0000-0000-0000AEAC0000}"/>
    <cellStyle name="Vírgula 2 2 2 11 2 2 5" xfId="35936" xr:uid="{00000000-0005-0000-0000-0000AFAC0000}"/>
    <cellStyle name="Vírgula 2 2 2 11 2 3" xfId="25000" xr:uid="{00000000-0005-0000-0000-0000B0AC0000}"/>
    <cellStyle name="Vírgula 2 2 2 11 2 3 2" xfId="51184" xr:uid="{00000000-0005-0000-0000-0000B1AC0000}"/>
    <cellStyle name="Vírgula 2 2 2 11 2 4" xfId="19086" xr:uid="{00000000-0005-0000-0000-0000B2AC0000}"/>
    <cellStyle name="Vírgula 2 2 2 11 2 4 2" xfId="45276" xr:uid="{00000000-0005-0000-0000-0000B3AC0000}"/>
    <cellStyle name="Vírgula 2 2 2 11 2 5" xfId="12985" xr:uid="{00000000-0005-0000-0000-0000B4AC0000}"/>
    <cellStyle name="Vírgula 2 2 2 11 2 5 2" xfId="39178" xr:uid="{00000000-0005-0000-0000-0000B5AC0000}"/>
    <cellStyle name="Vírgula 2 2 2 11 2 6" xfId="32792" xr:uid="{00000000-0005-0000-0000-0000B6AC0000}"/>
    <cellStyle name="Vírgula 2 2 2 11 3" xfId="8275" xr:uid="{00000000-0005-0000-0000-0000B7AC0000}"/>
    <cellStyle name="Vírgula 2 2 2 11 3 2" xfId="26489" xr:uid="{00000000-0005-0000-0000-0000B8AC0000}"/>
    <cellStyle name="Vírgula 2 2 2 11 3 2 2" xfId="52670" xr:uid="{00000000-0005-0000-0000-0000B9AC0000}"/>
    <cellStyle name="Vírgula 2 2 2 11 3 3" xfId="20575" xr:uid="{00000000-0005-0000-0000-0000BAAC0000}"/>
    <cellStyle name="Vírgula 2 2 2 11 3 3 2" xfId="46762" xr:uid="{00000000-0005-0000-0000-0000BBAC0000}"/>
    <cellStyle name="Vírgula 2 2 2 11 3 4" xfId="14661" xr:uid="{00000000-0005-0000-0000-0000BCAC0000}"/>
    <cellStyle name="Vírgula 2 2 2 11 3 4 2" xfId="40854" xr:uid="{00000000-0005-0000-0000-0000BDAC0000}"/>
    <cellStyle name="Vírgula 2 2 2 11 3 5" xfId="34468" xr:uid="{00000000-0005-0000-0000-0000BEAC0000}"/>
    <cellStyle name="Vírgula 2 2 2 11 4" xfId="23532" xr:uid="{00000000-0005-0000-0000-0000BFAC0000}"/>
    <cellStyle name="Vírgula 2 2 2 11 4 2" xfId="49716" xr:uid="{00000000-0005-0000-0000-0000C0AC0000}"/>
    <cellStyle name="Vírgula 2 2 2 11 5" xfId="17618" xr:uid="{00000000-0005-0000-0000-0000C1AC0000}"/>
    <cellStyle name="Vírgula 2 2 2 11 5 2" xfId="43808" xr:uid="{00000000-0005-0000-0000-0000C2AC0000}"/>
    <cellStyle name="Vírgula 2 2 2 11 6" xfId="11284" xr:uid="{00000000-0005-0000-0000-0000C3AC0000}"/>
    <cellStyle name="Vírgula 2 2 2 11 6 2" xfId="37477" xr:uid="{00000000-0005-0000-0000-0000C4AC0000}"/>
    <cellStyle name="Vírgula 2 2 2 11 7" xfId="31093" xr:uid="{00000000-0005-0000-0000-0000C5AC0000}"/>
    <cellStyle name="Vírgula 2 2 2 12" xfId="6317" xr:uid="{00000000-0005-0000-0000-0000C6AC0000}"/>
    <cellStyle name="Vírgula 2 2 2 12 2" xfId="9511" xr:uid="{00000000-0005-0000-0000-0000C7AC0000}"/>
    <cellStyle name="Vírgula 2 2 2 12 2 2" xfId="27725" xr:uid="{00000000-0005-0000-0000-0000C8AC0000}"/>
    <cellStyle name="Vírgula 2 2 2 12 2 2 2" xfId="53906" xr:uid="{00000000-0005-0000-0000-0000C9AC0000}"/>
    <cellStyle name="Vírgula 2 2 2 12 2 3" xfId="21811" xr:uid="{00000000-0005-0000-0000-0000CAAC0000}"/>
    <cellStyle name="Vírgula 2 2 2 12 2 3 2" xfId="47998" xr:uid="{00000000-0005-0000-0000-0000CBAC0000}"/>
    <cellStyle name="Vírgula 2 2 2 12 2 4" xfId="15897" xr:uid="{00000000-0005-0000-0000-0000CCAC0000}"/>
    <cellStyle name="Vírgula 2 2 2 12 2 4 2" xfId="42090" xr:uid="{00000000-0005-0000-0000-0000CDAC0000}"/>
    <cellStyle name="Vírgula 2 2 2 12 2 5" xfId="35704" xr:uid="{00000000-0005-0000-0000-0000CEAC0000}"/>
    <cellStyle name="Vírgula 2 2 2 12 3" xfId="24768" xr:uid="{00000000-0005-0000-0000-0000CFAC0000}"/>
    <cellStyle name="Vírgula 2 2 2 12 3 2" xfId="50952" xr:uid="{00000000-0005-0000-0000-0000D0AC0000}"/>
    <cellStyle name="Vírgula 2 2 2 12 4" xfId="18854" xr:uid="{00000000-0005-0000-0000-0000D1AC0000}"/>
    <cellStyle name="Vírgula 2 2 2 12 4 2" xfId="45044" xr:uid="{00000000-0005-0000-0000-0000D2AC0000}"/>
    <cellStyle name="Vírgula 2 2 2 12 5" xfId="12706" xr:uid="{00000000-0005-0000-0000-0000D3AC0000}"/>
    <cellStyle name="Vírgula 2 2 2 12 5 2" xfId="38899" xr:uid="{00000000-0005-0000-0000-0000D4AC0000}"/>
    <cellStyle name="Vírgula 2 2 2 12 6" xfId="32513" xr:uid="{00000000-0005-0000-0000-0000D5AC0000}"/>
    <cellStyle name="Vírgula 2 2 2 13" xfId="8009" xr:uid="{00000000-0005-0000-0000-0000D6AC0000}"/>
    <cellStyle name="Vírgula 2 2 2 13 2" xfId="10975" xr:uid="{00000000-0005-0000-0000-0000D7AC0000}"/>
    <cellStyle name="Vírgula 2 2 2 13 2 2" xfId="29189" xr:uid="{00000000-0005-0000-0000-0000D8AC0000}"/>
    <cellStyle name="Vírgula 2 2 2 13 2 2 2" xfId="55370" xr:uid="{00000000-0005-0000-0000-0000D9AC0000}"/>
    <cellStyle name="Vírgula 2 2 2 13 2 3" xfId="23275" xr:uid="{00000000-0005-0000-0000-0000DAAC0000}"/>
    <cellStyle name="Vírgula 2 2 2 13 2 3 2" xfId="49462" xr:uid="{00000000-0005-0000-0000-0000DBAC0000}"/>
    <cellStyle name="Vírgula 2 2 2 13 2 4" xfId="17361" xr:uid="{00000000-0005-0000-0000-0000DCAC0000}"/>
    <cellStyle name="Vírgula 2 2 2 13 2 4 2" xfId="43554" xr:uid="{00000000-0005-0000-0000-0000DDAC0000}"/>
    <cellStyle name="Vírgula 2 2 2 13 2 5" xfId="37168" xr:uid="{00000000-0005-0000-0000-0000DEAC0000}"/>
    <cellStyle name="Vírgula 2 2 2 13 3" xfId="26232" xr:uid="{00000000-0005-0000-0000-0000DFAC0000}"/>
    <cellStyle name="Vírgula 2 2 2 13 3 2" xfId="52416" xr:uid="{00000000-0005-0000-0000-0000E0AC0000}"/>
    <cellStyle name="Vírgula 2 2 2 13 4" xfId="20318" xr:uid="{00000000-0005-0000-0000-0000E1AC0000}"/>
    <cellStyle name="Vírgula 2 2 2 13 4 2" xfId="46508" xr:uid="{00000000-0005-0000-0000-0000E2AC0000}"/>
    <cellStyle name="Vírgula 2 2 2 13 5" xfId="14398" xr:uid="{00000000-0005-0000-0000-0000E3AC0000}"/>
    <cellStyle name="Vírgula 2 2 2 13 5 2" xfId="40591" xr:uid="{00000000-0005-0000-0000-0000E4AC0000}"/>
    <cellStyle name="Vírgula 2 2 2 13 6" xfId="34205" xr:uid="{00000000-0005-0000-0000-0000E5AC0000}"/>
    <cellStyle name="Vírgula 2 2 2 14" xfId="8040" xr:uid="{00000000-0005-0000-0000-0000E6AC0000}"/>
    <cellStyle name="Vírgula 2 2 2 14 2" xfId="26254" xr:uid="{00000000-0005-0000-0000-0000E7AC0000}"/>
    <cellStyle name="Vírgula 2 2 2 14 2 2" xfId="52438" xr:uid="{00000000-0005-0000-0000-0000E8AC0000}"/>
    <cellStyle name="Vírgula 2 2 2 14 3" xfId="20340" xr:uid="{00000000-0005-0000-0000-0000E9AC0000}"/>
    <cellStyle name="Vírgula 2 2 2 14 3 2" xfId="46530" xr:uid="{00000000-0005-0000-0000-0000EAAC0000}"/>
    <cellStyle name="Vírgula 2 2 2 14 4" xfId="14429" xr:uid="{00000000-0005-0000-0000-0000EBAC0000}"/>
    <cellStyle name="Vírgula 2 2 2 14 4 2" xfId="40622" xr:uid="{00000000-0005-0000-0000-0000ECAC0000}"/>
    <cellStyle name="Vírgula 2 2 2 14 5" xfId="34236" xr:uid="{00000000-0005-0000-0000-0000EDAC0000}"/>
    <cellStyle name="Vírgula 2 2 2 15" xfId="4615" xr:uid="{00000000-0005-0000-0000-0000EEAC0000}"/>
    <cellStyle name="Vírgula 2 2 2 15 2" xfId="23297" xr:uid="{00000000-0005-0000-0000-0000EFAC0000}"/>
    <cellStyle name="Vírgula 2 2 2 15 2 2" xfId="49484" xr:uid="{00000000-0005-0000-0000-0000F0AC0000}"/>
    <cellStyle name="Vírgula 2 2 2 15 3" xfId="30815" xr:uid="{00000000-0005-0000-0000-0000F1AC0000}"/>
    <cellStyle name="Vírgula 2 2 2 16" xfId="17383" xr:uid="{00000000-0005-0000-0000-0000F2AC0000}"/>
    <cellStyle name="Vírgula 2 2 2 16 2" xfId="43576" xr:uid="{00000000-0005-0000-0000-0000F3AC0000}"/>
    <cellStyle name="Vírgula 2 2 2 17" xfId="11006" xr:uid="{00000000-0005-0000-0000-0000F4AC0000}"/>
    <cellStyle name="Vírgula 2 2 2 17 2" xfId="37199" xr:uid="{00000000-0005-0000-0000-0000F5AC0000}"/>
    <cellStyle name="Vírgula 2 2 2 18" xfId="29395" xr:uid="{00000000-0005-0000-0000-0000F6AC0000}"/>
    <cellStyle name="Vírgula 2 2 2 2" xfId="1996" xr:uid="{00000000-0005-0000-0000-0000F7AC0000}"/>
    <cellStyle name="Vírgula 2 2 2 2 10" xfId="8049" xr:uid="{00000000-0005-0000-0000-0000F8AC0000}"/>
    <cellStyle name="Vírgula 2 2 2 2 10 2" xfId="26263" xr:uid="{00000000-0005-0000-0000-0000F9AC0000}"/>
    <cellStyle name="Vírgula 2 2 2 2 10 2 2" xfId="52447" xr:uid="{00000000-0005-0000-0000-0000FAAC0000}"/>
    <cellStyle name="Vírgula 2 2 2 2 10 3" xfId="20349" xr:uid="{00000000-0005-0000-0000-0000FBAC0000}"/>
    <cellStyle name="Vírgula 2 2 2 2 10 3 2" xfId="46539" xr:uid="{00000000-0005-0000-0000-0000FCAC0000}"/>
    <cellStyle name="Vírgula 2 2 2 2 10 4" xfId="14438" xr:uid="{00000000-0005-0000-0000-0000FDAC0000}"/>
    <cellStyle name="Vírgula 2 2 2 2 10 4 2" xfId="40631" xr:uid="{00000000-0005-0000-0000-0000FEAC0000}"/>
    <cellStyle name="Vírgula 2 2 2 2 10 5" xfId="34245" xr:uid="{00000000-0005-0000-0000-0000FFAC0000}"/>
    <cellStyle name="Vírgula 2 2 2 2 11" xfId="4630" xr:uid="{00000000-0005-0000-0000-000000AD0000}"/>
    <cellStyle name="Vírgula 2 2 2 2 11 2" xfId="23306" xr:uid="{00000000-0005-0000-0000-000001AD0000}"/>
    <cellStyle name="Vírgula 2 2 2 2 11 2 2" xfId="49493" xr:uid="{00000000-0005-0000-0000-000002AD0000}"/>
    <cellStyle name="Vírgula 2 2 2 2 11 3" xfId="30830" xr:uid="{00000000-0005-0000-0000-000003AD0000}"/>
    <cellStyle name="Vírgula 2 2 2 2 12" xfId="17392" xr:uid="{00000000-0005-0000-0000-000004AD0000}"/>
    <cellStyle name="Vírgula 2 2 2 2 12 2" xfId="43585" xr:uid="{00000000-0005-0000-0000-000005AD0000}"/>
    <cellStyle name="Vírgula 2 2 2 2 13" xfId="11021" xr:uid="{00000000-0005-0000-0000-000006AD0000}"/>
    <cellStyle name="Vírgula 2 2 2 2 13 2" xfId="37214" xr:uid="{00000000-0005-0000-0000-000007AD0000}"/>
    <cellStyle name="Vírgula 2 2 2 2 14" xfId="29781" xr:uid="{00000000-0005-0000-0000-000008AD0000}"/>
    <cellStyle name="Vírgula 2 2 2 2 2" xfId="4265" xr:uid="{00000000-0005-0000-0000-000009AD0000}"/>
    <cellStyle name="Vírgula 2 2 2 2 2 10" xfId="11056" xr:uid="{00000000-0005-0000-0000-00000AAD0000}"/>
    <cellStyle name="Vírgula 2 2 2 2 2 10 2" xfId="37249" xr:uid="{00000000-0005-0000-0000-00000BAD0000}"/>
    <cellStyle name="Vírgula 2 2 2 2 2 11" xfId="30465" xr:uid="{00000000-0005-0000-0000-00000CAD0000}"/>
    <cellStyle name="Vírgula 2 2 2 2 2 2" xfId="4342" xr:uid="{00000000-0005-0000-0000-00000DAD0000}"/>
    <cellStyle name="Vírgula 2 2 2 2 2 2 2" xfId="7743" xr:uid="{00000000-0005-0000-0000-00000EAD0000}"/>
    <cellStyle name="Vírgula 2 2 2 2 2 2 2 2" xfId="10822" xr:uid="{00000000-0005-0000-0000-00000FAD0000}"/>
    <cellStyle name="Vírgula 2 2 2 2 2 2 2 2 2" xfId="29036" xr:uid="{00000000-0005-0000-0000-000010AD0000}"/>
    <cellStyle name="Vírgula 2 2 2 2 2 2 2 2 2 2" xfId="55217" xr:uid="{00000000-0005-0000-0000-000011AD0000}"/>
    <cellStyle name="Vírgula 2 2 2 2 2 2 2 2 3" xfId="23122" xr:uid="{00000000-0005-0000-0000-000012AD0000}"/>
    <cellStyle name="Vírgula 2 2 2 2 2 2 2 2 3 2" xfId="49309" xr:uid="{00000000-0005-0000-0000-000013AD0000}"/>
    <cellStyle name="Vírgula 2 2 2 2 2 2 2 2 4" xfId="17208" xr:uid="{00000000-0005-0000-0000-000014AD0000}"/>
    <cellStyle name="Vírgula 2 2 2 2 2 2 2 2 4 2" xfId="43401" xr:uid="{00000000-0005-0000-0000-000015AD0000}"/>
    <cellStyle name="Vírgula 2 2 2 2 2 2 2 2 5" xfId="37015" xr:uid="{00000000-0005-0000-0000-000016AD0000}"/>
    <cellStyle name="Vírgula 2 2 2 2 2 2 2 3" xfId="26079" xr:uid="{00000000-0005-0000-0000-000017AD0000}"/>
    <cellStyle name="Vírgula 2 2 2 2 2 2 2 3 2" xfId="52263" xr:uid="{00000000-0005-0000-0000-000018AD0000}"/>
    <cellStyle name="Vírgula 2 2 2 2 2 2 2 4" xfId="20165" xr:uid="{00000000-0005-0000-0000-000019AD0000}"/>
    <cellStyle name="Vírgula 2 2 2 2 2 2 2 4 2" xfId="46355" xr:uid="{00000000-0005-0000-0000-00001AAD0000}"/>
    <cellStyle name="Vírgula 2 2 2 2 2 2 2 5" xfId="14132" xr:uid="{00000000-0005-0000-0000-00001BAD0000}"/>
    <cellStyle name="Vírgula 2 2 2 2 2 2 2 5 2" xfId="40325" xr:uid="{00000000-0005-0000-0000-00001CAD0000}"/>
    <cellStyle name="Vírgula 2 2 2 2 2 2 2 6" xfId="33939" xr:uid="{00000000-0005-0000-0000-00001DAD0000}"/>
    <cellStyle name="Vírgula 2 2 2 2 2 2 3" xfId="9354" xr:uid="{00000000-0005-0000-0000-00001EAD0000}"/>
    <cellStyle name="Vírgula 2 2 2 2 2 2 3 2" xfId="27568" xr:uid="{00000000-0005-0000-0000-00001FAD0000}"/>
    <cellStyle name="Vírgula 2 2 2 2 2 2 3 2 2" xfId="53749" xr:uid="{00000000-0005-0000-0000-000020AD0000}"/>
    <cellStyle name="Vírgula 2 2 2 2 2 2 3 3" xfId="21654" xr:uid="{00000000-0005-0000-0000-000021AD0000}"/>
    <cellStyle name="Vírgula 2 2 2 2 2 2 3 3 2" xfId="47841" xr:uid="{00000000-0005-0000-0000-000022AD0000}"/>
    <cellStyle name="Vírgula 2 2 2 2 2 2 3 4" xfId="15740" xr:uid="{00000000-0005-0000-0000-000023AD0000}"/>
    <cellStyle name="Vírgula 2 2 2 2 2 2 3 4 2" xfId="41933" xr:uid="{00000000-0005-0000-0000-000024AD0000}"/>
    <cellStyle name="Vírgula 2 2 2 2 2 2 3 5" xfId="35547" xr:uid="{00000000-0005-0000-0000-000025AD0000}"/>
    <cellStyle name="Vírgula 2 2 2 2 2 2 4" xfId="6043" xr:uid="{00000000-0005-0000-0000-000026AD0000}"/>
    <cellStyle name="Vírgula 2 2 2 2 2 2 4 2" xfId="24611" xr:uid="{00000000-0005-0000-0000-000027AD0000}"/>
    <cellStyle name="Vírgula 2 2 2 2 2 2 4 2 2" xfId="50795" xr:uid="{00000000-0005-0000-0000-000028AD0000}"/>
    <cellStyle name="Vírgula 2 2 2 2 2 2 4 3" xfId="32239" xr:uid="{00000000-0005-0000-0000-000029AD0000}"/>
    <cellStyle name="Vírgula 2 2 2 2 2 2 5" xfId="18697" xr:uid="{00000000-0005-0000-0000-00002AAD0000}"/>
    <cellStyle name="Vírgula 2 2 2 2 2 2 5 2" xfId="44887" xr:uid="{00000000-0005-0000-0000-00002BAD0000}"/>
    <cellStyle name="Vírgula 2 2 2 2 2 2 6" xfId="12431" xr:uid="{00000000-0005-0000-0000-00002CAD0000}"/>
    <cellStyle name="Vírgula 2 2 2 2 2 2 6 2" xfId="38624" xr:uid="{00000000-0005-0000-0000-00002DAD0000}"/>
    <cellStyle name="Vírgula 2 2 2 2 2 2 7" xfId="30542" xr:uid="{00000000-0005-0000-0000-00002EAD0000}"/>
    <cellStyle name="Vírgula 2 2 2 2 2 3" xfId="4450" xr:uid="{00000000-0005-0000-0000-00002FAD0000}"/>
    <cellStyle name="Vírgula 2 2 2 2 2 3 2" xfId="7852" xr:uid="{00000000-0005-0000-0000-000030AD0000}"/>
    <cellStyle name="Vírgula 2 2 2 2 2 3 2 2" xfId="10884" xr:uid="{00000000-0005-0000-0000-000031AD0000}"/>
    <cellStyle name="Vírgula 2 2 2 2 2 3 2 2 2" xfId="29098" xr:uid="{00000000-0005-0000-0000-000032AD0000}"/>
    <cellStyle name="Vírgula 2 2 2 2 2 3 2 2 2 2" xfId="55279" xr:uid="{00000000-0005-0000-0000-000033AD0000}"/>
    <cellStyle name="Vírgula 2 2 2 2 2 3 2 2 3" xfId="23184" xr:uid="{00000000-0005-0000-0000-000034AD0000}"/>
    <cellStyle name="Vírgula 2 2 2 2 2 3 2 2 3 2" xfId="49371" xr:uid="{00000000-0005-0000-0000-000035AD0000}"/>
    <cellStyle name="Vírgula 2 2 2 2 2 3 2 2 4" xfId="17270" xr:uid="{00000000-0005-0000-0000-000036AD0000}"/>
    <cellStyle name="Vírgula 2 2 2 2 2 3 2 2 4 2" xfId="43463" xr:uid="{00000000-0005-0000-0000-000037AD0000}"/>
    <cellStyle name="Vírgula 2 2 2 2 2 3 2 2 5" xfId="37077" xr:uid="{00000000-0005-0000-0000-000038AD0000}"/>
    <cellStyle name="Vírgula 2 2 2 2 2 3 2 3" xfId="26141" xr:uid="{00000000-0005-0000-0000-000039AD0000}"/>
    <cellStyle name="Vírgula 2 2 2 2 2 3 2 3 2" xfId="52325" xr:uid="{00000000-0005-0000-0000-00003AAD0000}"/>
    <cellStyle name="Vírgula 2 2 2 2 2 3 2 4" xfId="20227" xr:uid="{00000000-0005-0000-0000-00003BAD0000}"/>
    <cellStyle name="Vírgula 2 2 2 2 2 3 2 4 2" xfId="46417" xr:uid="{00000000-0005-0000-0000-00003CAD0000}"/>
    <cellStyle name="Vírgula 2 2 2 2 2 3 2 5" xfId="14241" xr:uid="{00000000-0005-0000-0000-00003DAD0000}"/>
    <cellStyle name="Vírgula 2 2 2 2 2 3 2 5 2" xfId="40434" xr:uid="{00000000-0005-0000-0000-00003EAD0000}"/>
    <cellStyle name="Vírgula 2 2 2 2 2 3 2 6" xfId="34048" xr:uid="{00000000-0005-0000-0000-00003FAD0000}"/>
    <cellStyle name="Vírgula 2 2 2 2 2 3 3" xfId="9416" xr:uid="{00000000-0005-0000-0000-000040AD0000}"/>
    <cellStyle name="Vírgula 2 2 2 2 2 3 3 2" xfId="27630" xr:uid="{00000000-0005-0000-0000-000041AD0000}"/>
    <cellStyle name="Vírgula 2 2 2 2 2 3 3 2 2" xfId="53811" xr:uid="{00000000-0005-0000-0000-000042AD0000}"/>
    <cellStyle name="Vírgula 2 2 2 2 2 3 3 3" xfId="21716" xr:uid="{00000000-0005-0000-0000-000043AD0000}"/>
    <cellStyle name="Vírgula 2 2 2 2 2 3 3 3 2" xfId="47903" xr:uid="{00000000-0005-0000-0000-000044AD0000}"/>
    <cellStyle name="Vírgula 2 2 2 2 2 3 3 4" xfId="15802" xr:uid="{00000000-0005-0000-0000-000045AD0000}"/>
    <cellStyle name="Vírgula 2 2 2 2 2 3 3 4 2" xfId="41995" xr:uid="{00000000-0005-0000-0000-000046AD0000}"/>
    <cellStyle name="Vírgula 2 2 2 2 2 3 3 5" xfId="35609" xr:uid="{00000000-0005-0000-0000-000047AD0000}"/>
    <cellStyle name="Vírgula 2 2 2 2 2 3 4" xfId="6152" xr:uid="{00000000-0005-0000-0000-000048AD0000}"/>
    <cellStyle name="Vírgula 2 2 2 2 2 3 4 2" xfId="24673" xr:uid="{00000000-0005-0000-0000-000049AD0000}"/>
    <cellStyle name="Vírgula 2 2 2 2 2 3 4 2 2" xfId="50857" xr:uid="{00000000-0005-0000-0000-00004AAD0000}"/>
    <cellStyle name="Vírgula 2 2 2 2 2 3 4 3" xfId="32348" xr:uid="{00000000-0005-0000-0000-00004BAD0000}"/>
    <cellStyle name="Vírgula 2 2 2 2 2 3 5" xfId="18759" xr:uid="{00000000-0005-0000-0000-00004CAD0000}"/>
    <cellStyle name="Vírgula 2 2 2 2 2 3 5 2" xfId="44949" xr:uid="{00000000-0005-0000-0000-00004DAD0000}"/>
    <cellStyle name="Vírgula 2 2 2 2 2 3 6" xfId="12540" xr:uid="{00000000-0005-0000-0000-00004EAD0000}"/>
    <cellStyle name="Vírgula 2 2 2 2 2 3 6 2" xfId="38733" xr:uid="{00000000-0005-0000-0000-00004FAD0000}"/>
    <cellStyle name="Vírgula 2 2 2 2 2 3 7" xfId="30650" xr:uid="{00000000-0005-0000-0000-000050AD0000}"/>
    <cellStyle name="Vírgula 2 2 2 2 2 4" xfId="4558" xr:uid="{00000000-0005-0000-0000-000051AD0000}"/>
    <cellStyle name="Vírgula 2 2 2 2 2 4 2" xfId="7960" xr:uid="{00000000-0005-0000-0000-000052AD0000}"/>
    <cellStyle name="Vírgula 2 2 2 2 2 4 2 2" xfId="10946" xr:uid="{00000000-0005-0000-0000-000053AD0000}"/>
    <cellStyle name="Vírgula 2 2 2 2 2 4 2 2 2" xfId="29160" xr:uid="{00000000-0005-0000-0000-000054AD0000}"/>
    <cellStyle name="Vírgula 2 2 2 2 2 4 2 2 2 2" xfId="55341" xr:uid="{00000000-0005-0000-0000-000055AD0000}"/>
    <cellStyle name="Vírgula 2 2 2 2 2 4 2 2 3" xfId="23246" xr:uid="{00000000-0005-0000-0000-000056AD0000}"/>
    <cellStyle name="Vírgula 2 2 2 2 2 4 2 2 3 2" xfId="49433" xr:uid="{00000000-0005-0000-0000-000057AD0000}"/>
    <cellStyle name="Vírgula 2 2 2 2 2 4 2 2 4" xfId="17332" xr:uid="{00000000-0005-0000-0000-000058AD0000}"/>
    <cellStyle name="Vírgula 2 2 2 2 2 4 2 2 4 2" xfId="43525" xr:uid="{00000000-0005-0000-0000-000059AD0000}"/>
    <cellStyle name="Vírgula 2 2 2 2 2 4 2 2 5" xfId="37139" xr:uid="{00000000-0005-0000-0000-00005AAD0000}"/>
    <cellStyle name="Vírgula 2 2 2 2 2 4 2 3" xfId="26203" xr:uid="{00000000-0005-0000-0000-00005BAD0000}"/>
    <cellStyle name="Vírgula 2 2 2 2 2 4 2 3 2" xfId="52387" xr:uid="{00000000-0005-0000-0000-00005CAD0000}"/>
    <cellStyle name="Vírgula 2 2 2 2 2 4 2 4" xfId="20289" xr:uid="{00000000-0005-0000-0000-00005DAD0000}"/>
    <cellStyle name="Vírgula 2 2 2 2 2 4 2 4 2" xfId="46479" xr:uid="{00000000-0005-0000-0000-00005EAD0000}"/>
    <cellStyle name="Vírgula 2 2 2 2 2 4 2 5" xfId="14349" xr:uid="{00000000-0005-0000-0000-00005FAD0000}"/>
    <cellStyle name="Vírgula 2 2 2 2 2 4 2 5 2" xfId="40542" xr:uid="{00000000-0005-0000-0000-000060AD0000}"/>
    <cellStyle name="Vírgula 2 2 2 2 2 4 2 6" xfId="34156" xr:uid="{00000000-0005-0000-0000-000061AD0000}"/>
    <cellStyle name="Vírgula 2 2 2 2 2 4 3" xfId="9478" xr:uid="{00000000-0005-0000-0000-000062AD0000}"/>
    <cellStyle name="Vírgula 2 2 2 2 2 4 3 2" xfId="27692" xr:uid="{00000000-0005-0000-0000-000063AD0000}"/>
    <cellStyle name="Vírgula 2 2 2 2 2 4 3 2 2" xfId="53873" xr:uid="{00000000-0005-0000-0000-000064AD0000}"/>
    <cellStyle name="Vírgula 2 2 2 2 2 4 3 3" xfId="21778" xr:uid="{00000000-0005-0000-0000-000065AD0000}"/>
    <cellStyle name="Vírgula 2 2 2 2 2 4 3 3 2" xfId="47965" xr:uid="{00000000-0005-0000-0000-000066AD0000}"/>
    <cellStyle name="Vírgula 2 2 2 2 2 4 3 4" xfId="15864" xr:uid="{00000000-0005-0000-0000-000067AD0000}"/>
    <cellStyle name="Vírgula 2 2 2 2 2 4 3 4 2" xfId="42057" xr:uid="{00000000-0005-0000-0000-000068AD0000}"/>
    <cellStyle name="Vírgula 2 2 2 2 2 4 3 5" xfId="35671" xr:uid="{00000000-0005-0000-0000-000069AD0000}"/>
    <cellStyle name="Vírgula 2 2 2 2 2 4 4" xfId="6259" xr:uid="{00000000-0005-0000-0000-00006AAD0000}"/>
    <cellStyle name="Vírgula 2 2 2 2 2 4 4 2" xfId="24735" xr:uid="{00000000-0005-0000-0000-00006BAD0000}"/>
    <cellStyle name="Vírgula 2 2 2 2 2 4 4 2 2" xfId="50919" xr:uid="{00000000-0005-0000-0000-00006CAD0000}"/>
    <cellStyle name="Vírgula 2 2 2 2 2 4 4 3" xfId="32455" xr:uid="{00000000-0005-0000-0000-00006DAD0000}"/>
    <cellStyle name="Vírgula 2 2 2 2 2 4 5" xfId="18821" xr:uid="{00000000-0005-0000-0000-00006EAD0000}"/>
    <cellStyle name="Vírgula 2 2 2 2 2 4 5 2" xfId="45011" xr:uid="{00000000-0005-0000-0000-00006FAD0000}"/>
    <cellStyle name="Vírgula 2 2 2 2 2 4 6" xfId="12648" xr:uid="{00000000-0005-0000-0000-000070AD0000}"/>
    <cellStyle name="Vírgula 2 2 2 2 2 4 6 2" xfId="38841" xr:uid="{00000000-0005-0000-0000-000071AD0000}"/>
    <cellStyle name="Vírgula 2 2 2 2 2 4 7" xfId="30758" xr:uid="{00000000-0005-0000-0000-000072AD0000}"/>
    <cellStyle name="Vírgula 2 2 2 2 2 5" xfId="5966" xr:uid="{00000000-0005-0000-0000-000073AD0000}"/>
    <cellStyle name="Vírgula 2 2 2 2 2 5 2" xfId="7666" xr:uid="{00000000-0005-0000-0000-000074AD0000}"/>
    <cellStyle name="Vírgula 2 2 2 2 2 5 2 2" xfId="10779" xr:uid="{00000000-0005-0000-0000-000075AD0000}"/>
    <cellStyle name="Vírgula 2 2 2 2 2 5 2 2 2" xfId="28993" xr:uid="{00000000-0005-0000-0000-000076AD0000}"/>
    <cellStyle name="Vírgula 2 2 2 2 2 5 2 2 2 2" xfId="55174" xr:uid="{00000000-0005-0000-0000-000077AD0000}"/>
    <cellStyle name="Vírgula 2 2 2 2 2 5 2 2 3" xfId="23079" xr:uid="{00000000-0005-0000-0000-000078AD0000}"/>
    <cellStyle name="Vírgula 2 2 2 2 2 5 2 2 3 2" xfId="49266" xr:uid="{00000000-0005-0000-0000-000079AD0000}"/>
    <cellStyle name="Vírgula 2 2 2 2 2 5 2 2 4" xfId="17165" xr:uid="{00000000-0005-0000-0000-00007AAD0000}"/>
    <cellStyle name="Vírgula 2 2 2 2 2 5 2 2 4 2" xfId="43358" xr:uid="{00000000-0005-0000-0000-00007BAD0000}"/>
    <cellStyle name="Vírgula 2 2 2 2 2 5 2 2 5" xfId="36972" xr:uid="{00000000-0005-0000-0000-00007CAD0000}"/>
    <cellStyle name="Vírgula 2 2 2 2 2 5 2 3" xfId="26036" xr:uid="{00000000-0005-0000-0000-00007DAD0000}"/>
    <cellStyle name="Vírgula 2 2 2 2 2 5 2 3 2" xfId="52220" xr:uid="{00000000-0005-0000-0000-00007EAD0000}"/>
    <cellStyle name="Vírgula 2 2 2 2 2 5 2 4" xfId="20122" xr:uid="{00000000-0005-0000-0000-00007FAD0000}"/>
    <cellStyle name="Vírgula 2 2 2 2 2 5 2 4 2" xfId="46312" xr:uid="{00000000-0005-0000-0000-000080AD0000}"/>
    <cellStyle name="Vírgula 2 2 2 2 2 5 2 5" xfId="14055" xr:uid="{00000000-0005-0000-0000-000081AD0000}"/>
    <cellStyle name="Vírgula 2 2 2 2 2 5 2 5 2" xfId="40248" xr:uid="{00000000-0005-0000-0000-000082AD0000}"/>
    <cellStyle name="Vírgula 2 2 2 2 2 5 2 6" xfId="33862" xr:uid="{00000000-0005-0000-0000-000083AD0000}"/>
    <cellStyle name="Vírgula 2 2 2 2 2 5 3" xfId="9311" xr:uid="{00000000-0005-0000-0000-000084AD0000}"/>
    <cellStyle name="Vírgula 2 2 2 2 2 5 3 2" xfId="27525" xr:uid="{00000000-0005-0000-0000-000085AD0000}"/>
    <cellStyle name="Vírgula 2 2 2 2 2 5 3 2 2" xfId="53706" xr:uid="{00000000-0005-0000-0000-000086AD0000}"/>
    <cellStyle name="Vírgula 2 2 2 2 2 5 3 3" xfId="21611" xr:uid="{00000000-0005-0000-0000-000087AD0000}"/>
    <cellStyle name="Vírgula 2 2 2 2 2 5 3 3 2" xfId="47798" xr:uid="{00000000-0005-0000-0000-000088AD0000}"/>
    <cellStyle name="Vírgula 2 2 2 2 2 5 3 4" xfId="15697" xr:uid="{00000000-0005-0000-0000-000089AD0000}"/>
    <cellStyle name="Vírgula 2 2 2 2 2 5 3 4 2" xfId="41890" xr:uid="{00000000-0005-0000-0000-00008AAD0000}"/>
    <cellStyle name="Vírgula 2 2 2 2 2 5 3 5" xfId="35504" xr:uid="{00000000-0005-0000-0000-00008BAD0000}"/>
    <cellStyle name="Vírgula 2 2 2 2 2 5 4" xfId="24568" xr:uid="{00000000-0005-0000-0000-00008CAD0000}"/>
    <cellStyle name="Vírgula 2 2 2 2 2 5 4 2" xfId="50752" xr:uid="{00000000-0005-0000-0000-00008DAD0000}"/>
    <cellStyle name="Vírgula 2 2 2 2 2 5 5" xfId="18654" xr:uid="{00000000-0005-0000-0000-00008EAD0000}"/>
    <cellStyle name="Vírgula 2 2 2 2 2 5 5 2" xfId="44844" xr:uid="{00000000-0005-0000-0000-00008FAD0000}"/>
    <cellStyle name="Vírgula 2 2 2 2 2 5 6" xfId="12354" xr:uid="{00000000-0005-0000-0000-000090AD0000}"/>
    <cellStyle name="Vírgula 2 2 2 2 2 5 6 2" xfId="38547" xr:uid="{00000000-0005-0000-0000-000091AD0000}"/>
    <cellStyle name="Vírgula 2 2 2 2 2 5 7" xfId="32162" xr:uid="{00000000-0005-0000-0000-000092AD0000}"/>
    <cellStyle name="Vírgula 2 2 2 2 2 6" xfId="6368" xr:uid="{00000000-0005-0000-0000-000093AD0000}"/>
    <cellStyle name="Vírgula 2 2 2 2 2 6 2" xfId="9540" xr:uid="{00000000-0005-0000-0000-000094AD0000}"/>
    <cellStyle name="Vírgula 2 2 2 2 2 6 2 2" xfId="27754" xr:uid="{00000000-0005-0000-0000-000095AD0000}"/>
    <cellStyle name="Vírgula 2 2 2 2 2 6 2 2 2" xfId="53935" xr:uid="{00000000-0005-0000-0000-000096AD0000}"/>
    <cellStyle name="Vírgula 2 2 2 2 2 6 2 3" xfId="21840" xr:uid="{00000000-0005-0000-0000-000097AD0000}"/>
    <cellStyle name="Vírgula 2 2 2 2 2 6 2 3 2" xfId="48027" xr:uid="{00000000-0005-0000-0000-000098AD0000}"/>
    <cellStyle name="Vírgula 2 2 2 2 2 6 2 4" xfId="15926" xr:uid="{00000000-0005-0000-0000-000099AD0000}"/>
    <cellStyle name="Vírgula 2 2 2 2 2 6 2 4 2" xfId="42119" xr:uid="{00000000-0005-0000-0000-00009AAD0000}"/>
    <cellStyle name="Vírgula 2 2 2 2 2 6 2 5" xfId="35733" xr:uid="{00000000-0005-0000-0000-00009BAD0000}"/>
    <cellStyle name="Vírgula 2 2 2 2 2 6 3" xfId="24797" xr:uid="{00000000-0005-0000-0000-00009CAD0000}"/>
    <cellStyle name="Vírgula 2 2 2 2 2 6 3 2" xfId="50981" xr:uid="{00000000-0005-0000-0000-00009DAD0000}"/>
    <cellStyle name="Vírgula 2 2 2 2 2 6 4" xfId="18883" xr:uid="{00000000-0005-0000-0000-00009EAD0000}"/>
    <cellStyle name="Vírgula 2 2 2 2 2 6 4 2" xfId="45073" xr:uid="{00000000-0005-0000-0000-00009FAD0000}"/>
    <cellStyle name="Vírgula 2 2 2 2 2 6 5" xfId="12757" xr:uid="{00000000-0005-0000-0000-0000A0AD0000}"/>
    <cellStyle name="Vírgula 2 2 2 2 2 6 5 2" xfId="38950" xr:uid="{00000000-0005-0000-0000-0000A1AD0000}"/>
    <cellStyle name="Vírgula 2 2 2 2 2 6 6" xfId="32564" xr:uid="{00000000-0005-0000-0000-0000A2AD0000}"/>
    <cellStyle name="Vírgula 2 2 2 2 2 7" xfId="8069" xr:uid="{00000000-0005-0000-0000-0000A3AD0000}"/>
    <cellStyle name="Vírgula 2 2 2 2 2 7 2" xfId="26283" xr:uid="{00000000-0005-0000-0000-0000A4AD0000}"/>
    <cellStyle name="Vírgula 2 2 2 2 2 7 2 2" xfId="52467" xr:uid="{00000000-0005-0000-0000-0000A5AD0000}"/>
    <cellStyle name="Vírgula 2 2 2 2 2 7 3" xfId="20369" xr:uid="{00000000-0005-0000-0000-0000A6AD0000}"/>
    <cellStyle name="Vírgula 2 2 2 2 2 7 3 2" xfId="46559" xr:uid="{00000000-0005-0000-0000-0000A7AD0000}"/>
    <cellStyle name="Vírgula 2 2 2 2 2 7 4" xfId="14458" xr:uid="{00000000-0005-0000-0000-0000A8AD0000}"/>
    <cellStyle name="Vírgula 2 2 2 2 2 7 4 2" xfId="40651" xr:uid="{00000000-0005-0000-0000-0000A9AD0000}"/>
    <cellStyle name="Vírgula 2 2 2 2 2 7 5" xfId="34265" xr:uid="{00000000-0005-0000-0000-0000AAAD0000}"/>
    <cellStyle name="Vírgula 2 2 2 2 2 8" xfId="4665" xr:uid="{00000000-0005-0000-0000-0000ABAD0000}"/>
    <cellStyle name="Vírgula 2 2 2 2 2 8 2" xfId="23326" xr:uid="{00000000-0005-0000-0000-0000ACAD0000}"/>
    <cellStyle name="Vírgula 2 2 2 2 2 8 2 2" xfId="49513" xr:uid="{00000000-0005-0000-0000-0000ADAD0000}"/>
    <cellStyle name="Vírgula 2 2 2 2 2 8 3" xfId="30865" xr:uid="{00000000-0005-0000-0000-0000AEAD0000}"/>
    <cellStyle name="Vírgula 2 2 2 2 2 9" xfId="17412" xr:uid="{00000000-0005-0000-0000-0000AFAD0000}"/>
    <cellStyle name="Vírgula 2 2 2 2 2 9 2" xfId="43605" xr:uid="{00000000-0005-0000-0000-0000B0AD0000}"/>
    <cellStyle name="Vírgula 2 2 2 2 3" xfId="4230" xr:uid="{00000000-0005-0000-0000-0000B1AD0000}"/>
    <cellStyle name="Vírgula 2 2 2 2 3 10" xfId="11089" xr:uid="{00000000-0005-0000-0000-0000B2AD0000}"/>
    <cellStyle name="Vírgula 2 2 2 2 3 10 2" xfId="37282" xr:uid="{00000000-0005-0000-0000-0000B3AD0000}"/>
    <cellStyle name="Vírgula 2 2 2 2 3 11" xfId="30430" xr:uid="{00000000-0005-0000-0000-0000B4AD0000}"/>
    <cellStyle name="Vírgula 2 2 2 2 3 2" xfId="4374" xr:uid="{00000000-0005-0000-0000-0000B5AD0000}"/>
    <cellStyle name="Vírgula 2 2 2 2 3 2 2" xfId="7776" xr:uid="{00000000-0005-0000-0000-0000B6AD0000}"/>
    <cellStyle name="Vírgula 2 2 2 2 3 2 2 2" xfId="10841" xr:uid="{00000000-0005-0000-0000-0000B7AD0000}"/>
    <cellStyle name="Vírgula 2 2 2 2 3 2 2 2 2" xfId="29055" xr:uid="{00000000-0005-0000-0000-0000B8AD0000}"/>
    <cellStyle name="Vírgula 2 2 2 2 3 2 2 2 2 2" xfId="55236" xr:uid="{00000000-0005-0000-0000-0000B9AD0000}"/>
    <cellStyle name="Vírgula 2 2 2 2 3 2 2 2 3" xfId="23141" xr:uid="{00000000-0005-0000-0000-0000BAAD0000}"/>
    <cellStyle name="Vírgula 2 2 2 2 3 2 2 2 3 2" xfId="49328" xr:uid="{00000000-0005-0000-0000-0000BBAD0000}"/>
    <cellStyle name="Vírgula 2 2 2 2 3 2 2 2 4" xfId="17227" xr:uid="{00000000-0005-0000-0000-0000BCAD0000}"/>
    <cellStyle name="Vírgula 2 2 2 2 3 2 2 2 4 2" xfId="43420" xr:uid="{00000000-0005-0000-0000-0000BDAD0000}"/>
    <cellStyle name="Vírgula 2 2 2 2 3 2 2 2 5" xfId="37034" xr:uid="{00000000-0005-0000-0000-0000BEAD0000}"/>
    <cellStyle name="Vírgula 2 2 2 2 3 2 2 3" xfId="26098" xr:uid="{00000000-0005-0000-0000-0000BFAD0000}"/>
    <cellStyle name="Vírgula 2 2 2 2 3 2 2 3 2" xfId="52282" xr:uid="{00000000-0005-0000-0000-0000C0AD0000}"/>
    <cellStyle name="Vírgula 2 2 2 2 3 2 2 4" xfId="20184" xr:uid="{00000000-0005-0000-0000-0000C1AD0000}"/>
    <cellStyle name="Vírgula 2 2 2 2 3 2 2 4 2" xfId="46374" xr:uid="{00000000-0005-0000-0000-0000C2AD0000}"/>
    <cellStyle name="Vírgula 2 2 2 2 3 2 2 5" xfId="14165" xr:uid="{00000000-0005-0000-0000-0000C3AD0000}"/>
    <cellStyle name="Vírgula 2 2 2 2 3 2 2 5 2" xfId="40358" xr:uid="{00000000-0005-0000-0000-0000C4AD0000}"/>
    <cellStyle name="Vírgula 2 2 2 2 3 2 2 6" xfId="33972" xr:uid="{00000000-0005-0000-0000-0000C5AD0000}"/>
    <cellStyle name="Vírgula 2 2 2 2 3 2 3" xfId="9373" xr:uid="{00000000-0005-0000-0000-0000C6AD0000}"/>
    <cellStyle name="Vírgula 2 2 2 2 3 2 3 2" xfId="27587" xr:uid="{00000000-0005-0000-0000-0000C7AD0000}"/>
    <cellStyle name="Vírgula 2 2 2 2 3 2 3 2 2" xfId="53768" xr:uid="{00000000-0005-0000-0000-0000C8AD0000}"/>
    <cellStyle name="Vírgula 2 2 2 2 3 2 3 3" xfId="21673" xr:uid="{00000000-0005-0000-0000-0000C9AD0000}"/>
    <cellStyle name="Vírgula 2 2 2 2 3 2 3 3 2" xfId="47860" xr:uid="{00000000-0005-0000-0000-0000CAAD0000}"/>
    <cellStyle name="Vírgula 2 2 2 2 3 2 3 4" xfId="15759" xr:uid="{00000000-0005-0000-0000-0000CBAD0000}"/>
    <cellStyle name="Vírgula 2 2 2 2 3 2 3 4 2" xfId="41952" xr:uid="{00000000-0005-0000-0000-0000CCAD0000}"/>
    <cellStyle name="Vírgula 2 2 2 2 3 2 3 5" xfId="35566" xr:uid="{00000000-0005-0000-0000-0000CDAD0000}"/>
    <cellStyle name="Vírgula 2 2 2 2 3 2 4" xfId="6076" xr:uid="{00000000-0005-0000-0000-0000CEAD0000}"/>
    <cellStyle name="Vírgula 2 2 2 2 3 2 4 2" xfId="24630" xr:uid="{00000000-0005-0000-0000-0000CFAD0000}"/>
    <cellStyle name="Vírgula 2 2 2 2 3 2 4 2 2" xfId="50814" xr:uid="{00000000-0005-0000-0000-0000D0AD0000}"/>
    <cellStyle name="Vírgula 2 2 2 2 3 2 4 3" xfId="32272" xr:uid="{00000000-0005-0000-0000-0000D1AD0000}"/>
    <cellStyle name="Vírgula 2 2 2 2 3 2 5" xfId="18716" xr:uid="{00000000-0005-0000-0000-0000D2AD0000}"/>
    <cellStyle name="Vírgula 2 2 2 2 3 2 5 2" xfId="44906" xr:uid="{00000000-0005-0000-0000-0000D3AD0000}"/>
    <cellStyle name="Vírgula 2 2 2 2 3 2 6" xfId="12464" xr:uid="{00000000-0005-0000-0000-0000D4AD0000}"/>
    <cellStyle name="Vírgula 2 2 2 2 3 2 6 2" xfId="38657" xr:uid="{00000000-0005-0000-0000-0000D5AD0000}"/>
    <cellStyle name="Vírgula 2 2 2 2 3 2 7" xfId="30574" xr:uid="{00000000-0005-0000-0000-0000D6AD0000}"/>
    <cellStyle name="Vírgula 2 2 2 2 3 3" xfId="4482" xr:uid="{00000000-0005-0000-0000-0000D7AD0000}"/>
    <cellStyle name="Vírgula 2 2 2 2 3 3 2" xfId="7884" xr:uid="{00000000-0005-0000-0000-0000D8AD0000}"/>
    <cellStyle name="Vírgula 2 2 2 2 3 3 2 2" xfId="10903" xr:uid="{00000000-0005-0000-0000-0000D9AD0000}"/>
    <cellStyle name="Vírgula 2 2 2 2 3 3 2 2 2" xfId="29117" xr:uid="{00000000-0005-0000-0000-0000DAAD0000}"/>
    <cellStyle name="Vírgula 2 2 2 2 3 3 2 2 2 2" xfId="55298" xr:uid="{00000000-0005-0000-0000-0000DBAD0000}"/>
    <cellStyle name="Vírgula 2 2 2 2 3 3 2 2 3" xfId="23203" xr:uid="{00000000-0005-0000-0000-0000DCAD0000}"/>
    <cellStyle name="Vírgula 2 2 2 2 3 3 2 2 3 2" xfId="49390" xr:uid="{00000000-0005-0000-0000-0000DDAD0000}"/>
    <cellStyle name="Vírgula 2 2 2 2 3 3 2 2 4" xfId="17289" xr:uid="{00000000-0005-0000-0000-0000DEAD0000}"/>
    <cellStyle name="Vírgula 2 2 2 2 3 3 2 2 4 2" xfId="43482" xr:uid="{00000000-0005-0000-0000-0000DFAD0000}"/>
    <cellStyle name="Vírgula 2 2 2 2 3 3 2 2 5" xfId="37096" xr:uid="{00000000-0005-0000-0000-0000E0AD0000}"/>
    <cellStyle name="Vírgula 2 2 2 2 3 3 2 3" xfId="26160" xr:uid="{00000000-0005-0000-0000-0000E1AD0000}"/>
    <cellStyle name="Vírgula 2 2 2 2 3 3 2 3 2" xfId="52344" xr:uid="{00000000-0005-0000-0000-0000E2AD0000}"/>
    <cellStyle name="Vírgula 2 2 2 2 3 3 2 4" xfId="20246" xr:uid="{00000000-0005-0000-0000-0000E3AD0000}"/>
    <cellStyle name="Vírgula 2 2 2 2 3 3 2 4 2" xfId="46436" xr:uid="{00000000-0005-0000-0000-0000E4AD0000}"/>
    <cellStyle name="Vírgula 2 2 2 2 3 3 2 5" xfId="14273" xr:uid="{00000000-0005-0000-0000-0000E5AD0000}"/>
    <cellStyle name="Vírgula 2 2 2 2 3 3 2 5 2" xfId="40466" xr:uid="{00000000-0005-0000-0000-0000E6AD0000}"/>
    <cellStyle name="Vírgula 2 2 2 2 3 3 2 6" xfId="34080" xr:uid="{00000000-0005-0000-0000-0000E7AD0000}"/>
    <cellStyle name="Vírgula 2 2 2 2 3 3 3" xfId="9435" xr:uid="{00000000-0005-0000-0000-0000E8AD0000}"/>
    <cellStyle name="Vírgula 2 2 2 2 3 3 3 2" xfId="27649" xr:uid="{00000000-0005-0000-0000-0000E9AD0000}"/>
    <cellStyle name="Vírgula 2 2 2 2 3 3 3 2 2" xfId="53830" xr:uid="{00000000-0005-0000-0000-0000EAAD0000}"/>
    <cellStyle name="Vírgula 2 2 2 2 3 3 3 3" xfId="21735" xr:uid="{00000000-0005-0000-0000-0000EBAD0000}"/>
    <cellStyle name="Vírgula 2 2 2 2 3 3 3 3 2" xfId="47922" xr:uid="{00000000-0005-0000-0000-0000ECAD0000}"/>
    <cellStyle name="Vírgula 2 2 2 2 3 3 3 4" xfId="15821" xr:uid="{00000000-0005-0000-0000-0000EDAD0000}"/>
    <cellStyle name="Vírgula 2 2 2 2 3 3 3 4 2" xfId="42014" xr:uid="{00000000-0005-0000-0000-0000EEAD0000}"/>
    <cellStyle name="Vírgula 2 2 2 2 3 3 3 5" xfId="35628" xr:uid="{00000000-0005-0000-0000-0000EFAD0000}"/>
    <cellStyle name="Vírgula 2 2 2 2 3 3 4" xfId="6183" xr:uid="{00000000-0005-0000-0000-0000F0AD0000}"/>
    <cellStyle name="Vírgula 2 2 2 2 3 3 4 2" xfId="24692" xr:uid="{00000000-0005-0000-0000-0000F1AD0000}"/>
    <cellStyle name="Vírgula 2 2 2 2 3 3 4 2 2" xfId="50876" xr:uid="{00000000-0005-0000-0000-0000F2AD0000}"/>
    <cellStyle name="Vírgula 2 2 2 2 3 3 4 3" xfId="32379" xr:uid="{00000000-0005-0000-0000-0000F3AD0000}"/>
    <cellStyle name="Vírgula 2 2 2 2 3 3 5" xfId="18778" xr:uid="{00000000-0005-0000-0000-0000F4AD0000}"/>
    <cellStyle name="Vírgula 2 2 2 2 3 3 5 2" xfId="44968" xr:uid="{00000000-0005-0000-0000-0000F5AD0000}"/>
    <cellStyle name="Vírgula 2 2 2 2 3 3 6" xfId="12572" xr:uid="{00000000-0005-0000-0000-0000F6AD0000}"/>
    <cellStyle name="Vírgula 2 2 2 2 3 3 6 2" xfId="38765" xr:uid="{00000000-0005-0000-0000-0000F7AD0000}"/>
    <cellStyle name="Vírgula 2 2 2 2 3 3 7" xfId="30682" xr:uid="{00000000-0005-0000-0000-0000F8AD0000}"/>
    <cellStyle name="Vírgula 2 2 2 2 3 4" xfId="4590" xr:uid="{00000000-0005-0000-0000-0000F9AD0000}"/>
    <cellStyle name="Vírgula 2 2 2 2 3 4 2" xfId="7993" xr:uid="{00000000-0005-0000-0000-0000FAAD0000}"/>
    <cellStyle name="Vírgula 2 2 2 2 3 4 2 2" xfId="10965" xr:uid="{00000000-0005-0000-0000-0000FBAD0000}"/>
    <cellStyle name="Vírgula 2 2 2 2 3 4 2 2 2" xfId="29179" xr:uid="{00000000-0005-0000-0000-0000FCAD0000}"/>
    <cellStyle name="Vírgula 2 2 2 2 3 4 2 2 2 2" xfId="55360" xr:uid="{00000000-0005-0000-0000-0000FDAD0000}"/>
    <cellStyle name="Vírgula 2 2 2 2 3 4 2 2 3" xfId="23265" xr:uid="{00000000-0005-0000-0000-0000FEAD0000}"/>
    <cellStyle name="Vírgula 2 2 2 2 3 4 2 2 3 2" xfId="49452" xr:uid="{00000000-0005-0000-0000-0000FFAD0000}"/>
    <cellStyle name="Vírgula 2 2 2 2 3 4 2 2 4" xfId="17351" xr:uid="{00000000-0005-0000-0000-000000AE0000}"/>
    <cellStyle name="Vírgula 2 2 2 2 3 4 2 2 4 2" xfId="43544" xr:uid="{00000000-0005-0000-0000-000001AE0000}"/>
    <cellStyle name="Vírgula 2 2 2 2 3 4 2 2 5" xfId="37158" xr:uid="{00000000-0005-0000-0000-000002AE0000}"/>
    <cellStyle name="Vírgula 2 2 2 2 3 4 2 3" xfId="26222" xr:uid="{00000000-0005-0000-0000-000003AE0000}"/>
    <cellStyle name="Vírgula 2 2 2 2 3 4 2 3 2" xfId="52406" xr:uid="{00000000-0005-0000-0000-000004AE0000}"/>
    <cellStyle name="Vírgula 2 2 2 2 3 4 2 4" xfId="20308" xr:uid="{00000000-0005-0000-0000-000005AE0000}"/>
    <cellStyle name="Vírgula 2 2 2 2 3 4 2 4 2" xfId="46498" xr:uid="{00000000-0005-0000-0000-000006AE0000}"/>
    <cellStyle name="Vírgula 2 2 2 2 3 4 2 5" xfId="14382" xr:uid="{00000000-0005-0000-0000-000007AE0000}"/>
    <cellStyle name="Vírgula 2 2 2 2 3 4 2 5 2" xfId="40575" xr:uid="{00000000-0005-0000-0000-000008AE0000}"/>
    <cellStyle name="Vírgula 2 2 2 2 3 4 2 6" xfId="34189" xr:uid="{00000000-0005-0000-0000-000009AE0000}"/>
    <cellStyle name="Vírgula 2 2 2 2 3 4 3" xfId="9497" xr:uid="{00000000-0005-0000-0000-00000AAE0000}"/>
    <cellStyle name="Vírgula 2 2 2 2 3 4 3 2" xfId="27711" xr:uid="{00000000-0005-0000-0000-00000BAE0000}"/>
    <cellStyle name="Vírgula 2 2 2 2 3 4 3 2 2" xfId="53892" xr:uid="{00000000-0005-0000-0000-00000CAE0000}"/>
    <cellStyle name="Vírgula 2 2 2 2 3 4 3 3" xfId="21797" xr:uid="{00000000-0005-0000-0000-00000DAE0000}"/>
    <cellStyle name="Vírgula 2 2 2 2 3 4 3 3 2" xfId="47984" xr:uid="{00000000-0005-0000-0000-00000EAE0000}"/>
    <cellStyle name="Vírgula 2 2 2 2 3 4 3 4" xfId="15883" xr:uid="{00000000-0005-0000-0000-00000FAE0000}"/>
    <cellStyle name="Vírgula 2 2 2 2 3 4 3 4 2" xfId="42076" xr:uid="{00000000-0005-0000-0000-000010AE0000}"/>
    <cellStyle name="Vírgula 2 2 2 2 3 4 3 5" xfId="35690" xr:uid="{00000000-0005-0000-0000-000011AE0000}"/>
    <cellStyle name="Vírgula 2 2 2 2 3 4 4" xfId="6292" xr:uid="{00000000-0005-0000-0000-000012AE0000}"/>
    <cellStyle name="Vírgula 2 2 2 2 3 4 4 2" xfId="24754" xr:uid="{00000000-0005-0000-0000-000013AE0000}"/>
    <cellStyle name="Vírgula 2 2 2 2 3 4 4 2 2" xfId="50938" xr:uid="{00000000-0005-0000-0000-000014AE0000}"/>
    <cellStyle name="Vírgula 2 2 2 2 3 4 4 3" xfId="32488" xr:uid="{00000000-0005-0000-0000-000015AE0000}"/>
    <cellStyle name="Vírgula 2 2 2 2 3 4 5" xfId="18840" xr:uid="{00000000-0005-0000-0000-000016AE0000}"/>
    <cellStyle name="Vírgula 2 2 2 2 3 4 5 2" xfId="45030" xr:uid="{00000000-0005-0000-0000-000017AE0000}"/>
    <cellStyle name="Vírgula 2 2 2 2 3 4 6" xfId="12681" xr:uid="{00000000-0005-0000-0000-000018AE0000}"/>
    <cellStyle name="Vírgula 2 2 2 2 3 4 6 2" xfId="38874" xr:uid="{00000000-0005-0000-0000-000019AE0000}"/>
    <cellStyle name="Vírgula 2 2 2 2 3 4 7" xfId="30790" xr:uid="{00000000-0005-0000-0000-00001AAE0000}"/>
    <cellStyle name="Vírgula 2 2 2 2 3 5" xfId="5931" xr:uid="{00000000-0005-0000-0000-00001BAE0000}"/>
    <cellStyle name="Vírgula 2 2 2 2 3 5 2" xfId="7631" xr:uid="{00000000-0005-0000-0000-00001CAE0000}"/>
    <cellStyle name="Vírgula 2 2 2 2 3 5 2 2" xfId="10759" xr:uid="{00000000-0005-0000-0000-00001DAE0000}"/>
    <cellStyle name="Vírgula 2 2 2 2 3 5 2 2 2" xfId="28973" xr:uid="{00000000-0005-0000-0000-00001EAE0000}"/>
    <cellStyle name="Vírgula 2 2 2 2 3 5 2 2 2 2" xfId="55154" xr:uid="{00000000-0005-0000-0000-00001FAE0000}"/>
    <cellStyle name="Vírgula 2 2 2 2 3 5 2 2 3" xfId="23059" xr:uid="{00000000-0005-0000-0000-000020AE0000}"/>
    <cellStyle name="Vírgula 2 2 2 2 3 5 2 2 3 2" xfId="49246" xr:uid="{00000000-0005-0000-0000-000021AE0000}"/>
    <cellStyle name="Vírgula 2 2 2 2 3 5 2 2 4" xfId="17145" xr:uid="{00000000-0005-0000-0000-000022AE0000}"/>
    <cellStyle name="Vírgula 2 2 2 2 3 5 2 2 4 2" xfId="43338" xr:uid="{00000000-0005-0000-0000-000023AE0000}"/>
    <cellStyle name="Vírgula 2 2 2 2 3 5 2 2 5" xfId="36952" xr:uid="{00000000-0005-0000-0000-000024AE0000}"/>
    <cellStyle name="Vírgula 2 2 2 2 3 5 2 3" xfId="26016" xr:uid="{00000000-0005-0000-0000-000025AE0000}"/>
    <cellStyle name="Vírgula 2 2 2 2 3 5 2 3 2" xfId="52200" xr:uid="{00000000-0005-0000-0000-000026AE0000}"/>
    <cellStyle name="Vírgula 2 2 2 2 3 5 2 4" xfId="20102" xr:uid="{00000000-0005-0000-0000-000027AE0000}"/>
    <cellStyle name="Vírgula 2 2 2 2 3 5 2 4 2" xfId="46292" xr:uid="{00000000-0005-0000-0000-000028AE0000}"/>
    <cellStyle name="Vírgula 2 2 2 2 3 5 2 5" xfId="14020" xr:uid="{00000000-0005-0000-0000-000029AE0000}"/>
    <cellStyle name="Vírgula 2 2 2 2 3 5 2 5 2" xfId="40213" xr:uid="{00000000-0005-0000-0000-00002AAE0000}"/>
    <cellStyle name="Vírgula 2 2 2 2 3 5 2 6" xfId="33827" xr:uid="{00000000-0005-0000-0000-00002BAE0000}"/>
    <cellStyle name="Vírgula 2 2 2 2 3 5 3" xfId="9291" xr:uid="{00000000-0005-0000-0000-00002CAE0000}"/>
    <cellStyle name="Vírgula 2 2 2 2 3 5 3 2" xfId="27505" xr:uid="{00000000-0005-0000-0000-00002DAE0000}"/>
    <cellStyle name="Vírgula 2 2 2 2 3 5 3 2 2" xfId="53686" xr:uid="{00000000-0005-0000-0000-00002EAE0000}"/>
    <cellStyle name="Vírgula 2 2 2 2 3 5 3 3" xfId="21591" xr:uid="{00000000-0005-0000-0000-00002FAE0000}"/>
    <cellStyle name="Vírgula 2 2 2 2 3 5 3 3 2" xfId="47778" xr:uid="{00000000-0005-0000-0000-000030AE0000}"/>
    <cellStyle name="Vírgula 2 2 2 2 3 5 3 4" xfId="15677" xr:uid="{00000000-0005-0000-0000-000031AE0000}"/>
    <cellStyle name="Vírgula 2 2 2 2 3 5 3 4 2" xfId="41870" xr:uid="{00000000-0005-0000-0000-000032AE0000}"/>
    <cellStyle name="Vírgula 2 2 2 2 3 5 3 5" xfId="35484" xr:uid="{00000000-0005-0000-0000-000033AE0000}"/>
    <cellStyle name="Vírgula 2 2 2 2 3 5 4" xfId="24548" xr:uid="{00000000-0005-0000-0000-000034AE0000}"/>
    <cellStyle name="Vírgula 2 2 2 2 3 5 4 2" xfId="50732" xr:uid="{00000000-0005-0000-0000-000035AE0000}"/>
    <cellStyle name="Vírgula 2 2 2 2 3 5 5" xfId="18634" xr:uid="{00000000-0005-0000-0000-000036AE0000}"/>
    <cellStyle name="Vírgula 2 2 2 2 3 5 5 2" xfId="44824" xr:uid="{00000000-0005-0000-0000-000037AE0000}"/>
    <cellStyle name="Vírgula 2 2 2 2 3 5 6" xfId="12319" xr:uid="{00000000-0005-0000-0000-000038AE0000}"/>
    <cellStyle name="Vírgula 2 2 2 2 3 5 6 2" xfId="38512" xr:uid="{00000000-0005-0000-0000-000039AE0000}"/>
    <cellStyle name="Vírgula 2 2 2 2 3 5 7" xfId="32127" xr:uid="{00000000-0005-0000-0000-00003AAE0000}"/>
    <cellStyle name="Vírgula 2 2 2 2 3 6" xfId="6401" xr:uid="{00000000-0005-0000-0000-00003BAE0000}"/>
    <cellStyle name="Vírgula 2 2 2 2 3 6 2" xfId="9559" xr:uid="{00000000-0005-0000-0000-00003CAE0000}"/>
    <cellStyle name="Vírgula 2 2 2 2 3 6 2 2" xfId="27773" xr:uid="{00000000-0005-0000-0000-00003DAE0000}"/>
    <cellStyle name="Vírgula 2 2 2 2 3 6 2 2 2" xfId="53954" xr:uid="{00000000-0005-0000-0000-00003EAE0000}"/>
    <cellStyle name="Vírgula 2 2 2 2 3 6 2 3" xfId="21859" xr:uid="{00000000-0005-0000-0000-00003FAE0000}"/>
    <cellStyle name="Vírgula 2 2 2 2 3 6 2 3 2" xfId="48046" xr:uid="{00000000-0005-0000-0000-000040AE0000}"/>
    <cellStyle name="Vírgula 2 2 2 2 3 6 2 4" xfId="15945" xr:uid="{00000000-0005-0000-0000-000041AE0000}"/>
    <cellStyle name="Vírgula 2 2 2 2 3 6 2 4 2" xfId="42138" xr:uid="{00000000-0005-0000-0000-000042AE0000}"/>
    <cellStyle name="Vírgula 2 2 2 2 3 6 2 5" xfId="35752" xr:uid="{00000000-0005-0000-0000-000043AE0000}"/>
    <cellStyle name="Vírgula 2 2 2 2 3 6 3" xfId="24816" xr:uid="{00000000-0005-0000-0000-000044AE0000}"/>
    <cellStyle name="Vírgula 2 2 2 2 3 6 3 2" xfId="51000" xr:uid="{00000000-0005-0000-0000-000045AE0000}"/>
    <cellStyle name="Vírgula 2 2 2 2 3 6 4" xfId="18902" xr:uid="{00000000-0005-0000-0000-000046AE0000}"/>
    <cellStyle name="Vírgula 2 2 2 2 3 6 4 2" xfId="45092" xr:uid="{00000000-0005-0000-0000-000047AE0000}"/>
    <cellStyle name="Vírgula 2 2 2 2 3 6 5" xfId="12790" xr:uid="{00000000-0005-0000-0000-000048AE0000}"/>
    <cellStyle name="Vírgula 2 2 2 2 3 6 5 2" xfId="38983" xr:uid="{00000000-0005-0000-0000-000049AE0000}"/>
    <cellStyle name="Vírgula 2 2 2 2 3 6 6" xfId="32597" xr:uid="{00000000-0005-0000-0000-00004AAE0000}"/>
    <cellStyle name="Vírgula 2 2 2 2 3 7" xfId="8088" xr:uid="{00000000-0005-0000-0000-00004BAE0000}"/>
    <cellStyle name="Vírgula 2 2 2 2 3 7 2" xfId="26302" xr:uid="{00000000-0005-0000-0000-00004CAE0000}"/>
    <cellStyle name="Vírgula 2 2 2 2 3 7 2 2" xfId="52486" xr:uid="{00000000-0005-0000-0000-00004DAE0000}"/>
    <cellStyle name="Vírgula 2 2 2 2 3 7 3" xfId="20388" xr:uid="{00000000-0005-0000-0000-00004EAE0000}"/>
    <cellStyle name="Vírgula 2 2 2 2 3 7 3 2" xfId="46578" xr:uid="{00000000-0005-0000-0000-00004FAE0000}"/>
    <cellStyle name="Vírgula 2 2 2 2 3 7 4" xfId="14477" xr:uid="{00000000-0005-0000-0000-000050AE0000}"/>
    <cellStyle name="Vírgula 2 2 2 2 3 7 4 2" xfId="40670" xr:uid="{00000000-0005-0000-0000-000051AE0000}"/>
    <cellStyle name="Vírgula 2 2 2 2 3 7 5" xfId="34284" xr:uid="{00000000-0005-0000-0000-000052AE0000}"/>
    <cellStyle name="Vírgula 2 2 2 2 3 8" xfId="4698" xr:uid="{00000000-0005-0000-0000-000053AE0000}"/>
    <cellStyle name="Vírgula 2 2 2 2 3 8 2" xfId="23345" xr:uid="{00000000-0005-0000-0000-000054AE0000}"/>
    <cellStyle name="Vírgula 2 2 2 2 3 8 2 2" xfId="49532" xr:uid="{00000000-0005-0000-0000-000055AE0000}"/>
    <cellStyle name="Vírgula 2 2 2 2 3 8 3" xfId="30898" xr:uid="{00000000-0005-0000-0000-000056AE0000}"/>
    <cellStyle name="Vírgula 2 2 2 2 3 9" xfId="17431" xr:uid="{00000000-0005-0000-0000-000057AE0000}"/>
    <cellStyle name="Vírgula 2 2 2 2 3 9 2" xfId="43624" xr:uid="{00000000-0005-0000-0000-000058AE0000}"/>
    <cellStyle name="Vírgula 2 2 2 2 4" xfId="4307" xr:uid="{00000000-0005-0000-0000-000059AE0000}"/>
    <cellStyle name="Vírgula 2 2 2 2 4 2" xfId="7708" xr:uid="{00000000-0005-0000-0000-00005AAE0000}"/>
    <cellStyle name="Vírgula 2 2 2 2 4 2 2" xfId="10802" xr:uid="{00000000-0005-0000-0000-00005BAE0000}"/>
    <cellStyle name="Vírgula 2 2 2 2 4 2 2 2" xfId="29016" xr:uid="{00000000-0005-0000-0000-00005CAE0000}"/>
    <cellStyle name="Vírgula 2 2 2 2 4 2 2 2 2" xfId="55197" xr:uid="{00000000-0005-0000-0000-00005DAE0000}"/>
    <cellStyle name="Vírgula 2 2 2 2 4 2 2 3" xfId="23102" xr:uid="{00000000-0005-0000-0000-00005EAE0000}"/>
    <cellStyle name="Vírgula 2 2 2 2 4 2 2 3 2" xfId="49289" xr:uid="{00000000-0005-0000-0000-00005FAE0000}"/>
    <cellStyle name="Vírgula 2 2 2 2 4 2 2 4" xfId="17188" xr:uid="{00000000-0005-0000-0000-000060AE0000}"/>
    <cellStyle name="Vírgula 2 2 2 2 4 2 2 4 2" xfId="43381" xr:uid="{00000000-0005-0000-0000-000061AE0000}"/>
    <cellStyle name="Vírgula 2 2 2 2 4 2 2 5" xfId="36995" xr:uid="{00000000-0005-0000-0000-000062AE0000}"/>
    <cellStyle name="Vírgula 2 2 2 2 4 2 3" xfId="26059" xr:uid="{00000000-0005-0000-0000-000063AE0000}"/>
    <cellStyle name="Vírgula 2 2 2 2 4 2 3 2" xfId="52243" xr:uid="{00000000-0005-0000-0000-000064AE0000}"/>
    <cellStyle name="Vírgula 2 2 2 2 4 2 4" xfId="20145" xr:uid="{00000000-0005-0000-0000-000065AE0000}"/>
    <cellStyle name="Vírgula 2 2 2 2 4 2 4 2" xfId="46335" xr:uid="{00000000-0005-0000-0000-000066AE0000}"/>
    <cellStyle name="Vírgula 2 2 2 2 4 2 5" xfId="14097" xr:uid="{00000000-0005-0000-0000-000067AE0000}"/>
    <cellStyle name="Vírgula 2 2 2 2 4 2 5 2" xfId="40290" xr:uid="{00000000-0005-0000-0000-000068AE0000}"/>
    <cellStyle name="Vírgula 2 2 2 2 4 2 6" xfId="33904" xr:uid="{00000000-0005-0000-0000-000069AE0000}"/>
    <cellStyle name="Vírgula 2 2 2 2 4 3" xfId="9334" xr:uid="{00000000-0005-0000-0000-00006AAE0000}"/>
    <cellStyle name="Vírgula 2 2 2 2 4 3 2" xfId="27548" xr:uid="{00000000-0005-0000-0000-00006BAE0000}"/>
    <cellStyle name="Vírgula 2 2 2 2 4 3 2 2" xfId="53729" xr:uid="{00000000-0005-0000-0000-00006CAE0000}"/>
    <cellStyle name="Vírgula 2 2 2 2 4 3 3" xfId="21634" xr:uid="{00000000-0005-0000-0000-00006DAE0000}"/>
    <cellStyle name="Vírgula 2 2 2 2 4 3 3 2" xfId="47821" xr:uid="{00000000-0005-0000-0000-00006EAE0000}"/>
    <cellStyle name="Vírgula 2 2 2 2 4 3 4" xfId="15720" xr:uid="{00000000-0005-0000-0000-00006FAE0000}"/>
    <cellStyle name="Vírgula 2 2 2 2 4 3 4 2" xfId="41913" xr:uid="{00000000-0005-0000-0000-000070AE0000}"/>
    <cellStyle name="Vírgula 2 2 2 2 4 3 5" xfId="35527" xr:uid="{00000000-0005-0000-0000-000071AE0000}"/>
    <cellStyle name="Vírgula 2 2 2 2 4 4" xfId="6008" xr:uid="{00000000-0005-0000-0000-000072AE0000}"/>
    <cellStyle name="Vírgula 2 2 2 2 4 4 2" xfId="24591" xr:uid="{00000000-0005-0000-0000-000073AE0000}"/>
    <cellStyle name="Vírgula 2 2 2 2 4 4 2 2" xfId="50775" xr:uid="{00000000-0005-0000-0000-000074AE0000}"/>
    <cellStyle name="Vírgula 2 2 2 2 4 4 3" xfId="32204" xr:uid="{00000000-0005-0000-0000-000075AE0000}"/>
    <cellStyle name="Vírgula 2 2 2 2 4 5" xfId="18677" xr:uid="{00000000-0005-0000-0000-000076AE0000}"/>
    <cellStyle name="Vírgula 2 2 2 2 4 5 2" xfId="44867" xr:uid="{00000000-0005-0000-0000-000077AE0000}"/>
    <cellStyle name="Vírgula 2 2 2 2 4 6" xfId="12396" xr:uid="{00000000-0005-0000-0000-000078AE0000}"/>
    <cellStyle name="Vírgula 2 2 2 2 4 6 2" xfId="38589" xr:uid="{00000000-0005-0000-0000-000079AE0000}"/>
    <cellStyle name="Vírgula 2 2 2 2 4 7" xfId="30507" xr:uid="{00000000-0005-0000-0000-00007AAE0000}"/>
    <cellStyle name="Vírgula 2 2 2 2 5" xfId="4415" xr:uid="{00000000-0005-0000-0000-00007BAE0000}"/>
    <cellStyle name="Vírgula 2 2 2 2 5 2" xfId="7817" xr:uid="{00000000-0005-0000-0000-00007CAE0000}"/>
    <cellStyle name="Vírgula 2 2 2 2 5 2 2" xfId="10864" xr:uid="{00000000-0005-0000-0000-00007DAE0000}"/>
    <cellStyle name="Vírgula 2 2 2 2 5 2 2 2" xfId="29078" xr:uid="{00000000-0005-0000-0000-00007EAE0000}"/>
    <cellStyle name="Vírgula 2 2 2 2 5 2 2 2 2" xfId="55259" xr:uid="{00000000-0005-0000-0000-00007FAE0000}"/>
    <cellStyle name="Vírgula 2 2 2 2 5 2 2 3" xfId="23164" xr:uid="{00000000-0005-0000-0000-000080AE0000}"/>
    <cellStyle name="Vírgula 2 2 2 2 5 2 2 3 2" xfId="49351" xr:uid="{00000000-0005-0000-0000-000081AE0000}"/>
    <cellStyle name="Vírgula 2 2 2 2 5 2 2 4" xfId="17250" xr:uid="{00000000-0005-0000-0000-000082AE0000}"/>
    <cellStyle name="Vírgula 2 2 2 2 5 2 2 4 2" xfId="43443" xr:uid="{00000000-0005-0000-0000-000083AE0000}"/>
    <cellStyle name="Vírgula 2 2 2 2 5 2 2 5" xfId="37057" xr:uid="{00000000-0005-0000-0000-000084AE0000}"/>
    <cellStyle name="Vírgula 2 2 2 2 5 2 3" xfId="26121" xr:uid="{00000000-0005-0000-0000-000085AE0000}"/>
    <cellStyle name="Vírgula 2 2 2 2 5 2 3 2" xfId="52305" xr:uid="{00000000-0005-0000-0000-000086AE0000}"/>
    <cellStyle name="Vírgula 2 2 2 2 5 2 4" xfId="20207" xr:uid="{00000000-0005-0000-0000-000087AE0000}"/>
    <cellStyle name="Vírgula 2 2 2 2 5 2 4 2" xfId="46397" xr:uid="{00000000-0005-0000-0000-000088AE0000}"/>
    <cellStyle name="Vírgula 2 2 2 2 5 2 5" xfId="14206" xr:uid="{00000000-0005-0000-0000-000089AE0000}"/>
    <cellStyle name="Vírgula 2 2 2 2 5 2 5 2" xfId="40399" xr:uid="{00000000-0005-0000-0000-00008AAE0000}"/>
    <cellStyle name="Vírgula 2 2 2 2 5 2 6" xfId="34013" xr:uid="{00000000-0005-0000-0000-00008BAE0000}"/>
    <cellStyle name="Vírgula 2 2 2 2 5 3" xfId="9396" xr:uid="{00000000-0005-0000-0000-00008CAE0000}"/>
    <cellStyle name="Vírgula 2 2 2 2 5 3 2" xfId="27610" xr:uid="{00000000-0005-0000-0000-00008DAE0000}"/>
    <cellStyle name="Vírgula 2 2 2 2 5 3 2 2" xfId="53791" xr:uid="{00000000-0005-0000-0000-00008EAE0000}"/>
    <cellStyle name="Vírgula 2 2 2 2 5 3 3" xfId="21696" xr:uid="{00000000-0005-0000-0000-00008FAE0000}"/>
    <cellStyle name="Vírgula 2 2 2 2 5 3 3 2" xfId="47883" xr:uid="{00000000-0005-0000-0000-000090AE0000}"/>
    <cellStyle name="Vírgula 2 2 2 2 5 3 4" xfId="15782" xr:uid="{00000000-0005-0000-0000-000091AE0000}"/>
    <cellStyle name="Vírgula 2 2 2 2 5 3 4 2" xfId="41975" xr:uid="{00000000-0005-0000-0000-000092AE0000}"/>
    <cellStyle name="Vírgula 2 2 2 2 5 3 5" xfId="35589" xr:uid="{00000000-0005-0000-0000-000093AE0000}"/>
    <cellStyle name="Vírgula 2 2 2 2 5 4" xfId="6117" xr:uid="{00000000-0005-0000-0000-000094AE0000}"/>
    <cellStyle name="Vírgula 2 2 2 2 5 4 2" xfId="24653" xr:uid="{00000000-0005-0000-0000-000095AE0000}"/>
    <cellStyle name="Vírgula 2 2 2 2 5 4 2 2" xfId="50837" xr:uid="{00000000-0005-0000-0000-000096AE0000}"/>
    <cellStyle name="Vírgula 2 2 2 2 5 4 3" xfId="32313" xr:uid="{00000000-0005-0000-0000-000097AE0000}"/>
    <cellStyle name="Vírgula 2 2 2 2 5 5" xfId="18739" xr:uid="{00000000-0005-0000-0000-000098AE0000}"/>
    <cellStyle name="Vírgula 2 2 2 2 5 5 2" xfId="44929" xr:uid="{00000000-0005-0000-0000-000099AE0000}"/>
    <cellStyle name="Vírgula 2 2 2 2 5 6" xfId="12505" xr:uid="{00000000-0005-0000-0000-00009AAE0000}"/>
    <cellStyle name="Vírgula 2 2 2 2 5 6 2" xfId="38698" xr:uid="{00000000-0005-0000-0000-00009BAE0000}"/>
    <cellStyle name="Vírgula 2 2 2 2 5 7" xfId="30615" xr:uid="{00000000-0005-0000-0000-00009CAE0000}"/>
    <cellStyle name="Vírgula 2 2 2 2 6" xfId="4523" xr:uid="{00000000-0005-0000-0000-00009DAE0000}"/>
    <cellStyle name="Vírgula 2 2 2 2 6 2" xfId="7925" xr:uid="{00000000-0005-0000-0000-00009EAE0000}"/>
    <cellStyle name="Vírgula 2 2 2 2 6 2 2" xfId="10926" xr:uid="{00000000-0005-0000-0000-00009FAE0000}"/>
    <cellStyle name="Vírgula 2 2 2 2 6 2 2 2" xfId="29140" xr:uid="{00000000-0005-0000-0000-0000A0AE0000}"/>
    <cellStyle name="Vírgula 2 2 2 2 6 2 2 2 2" xfId="55321" xr:uid="{00000000-0005-0000-0000-0000A1AE0000}"/>
    <cellStyle name="Vírgula 2 2 2 2 6 2 2 3" xfId="23226" xr:uid="{00000000-0005-0000-0000-0000A2AE0000}"/>
    <cellStyle name="Vírgula 2 2 2 2 6 2 2 3 2" xfId="49413" xr:uid="{00000000-0005-0000-0000-0000A3AE0000}"/>
    <cellStyle name="Vírgula 2 2 2 2 6 2 2 4" xfId="17312" xr:uid="{00000000-0005-0000-0000-0000A4AE0000}"/>
    <cellStyle name="Vírgula 2 2 2 2 6 2 2 4 2" xfId="43505" xr:uid="{00000000-0005-0000-0000-0000A5AE0000}"/>
    <cellStyle name="Vírgula 2 2 2 2 6 2 2 5" xfId="37119" xr:uid="{00000000-0005-0000-0000-0000A6AE0000}"/>
    <cellStyle name="Vírgula 2 2 2 2 6 2 3" xfId="26183" xr:uid="{00000000-0005-0000-0000-0000A7AE0000}"/>
    <cellStyle name="Vírgula 2 2 2 2 6 2 3 2" xfId="52367" xr:uid="{00000000-0005-0000-0000-0000A8AE0000}"/>
    <cellStyle name="Vírgula 2 2 2 2 6 2 4" xfId="20269" xr:uid="{00000000-0005-0000-0000-0000A9AE0000}"/>
    <cellStyle name="Vírgula 2 2 2 2 6 2 4 2" xfId="46459" xr:uid="{00000000-0005-0000-0000-0000AAAE0000}"/>
    <cellStyle name="Vírgula 2 2 2 2 6 2 5" xfId="14314" xr:uid="{00000000-0005-0000-0000-0000ABAE0000}"/>
    <cellStyle name="Vírgula 2 2 2 2 6 2 5 2" xfId="40507" xr:uid="{00000000-0005-0000-0000-0000ACAE0000}"/>
    <cellStyle name="Vírgula 2 2 2 2 6 2 6" xfId="34121" xr:uid="{00000000-0005-0000-0000-0000ADAE0000}"/>
    <cellStyle name="Vírgula 2 2 2 2 6 3" xfId="9458" xr:uid="{00000000-0005-0000-0000-0000AEAE0000}"/>
    <cellStyle name="Vírgula 2 2 2 2 6 3 2" xfId="27672" xr:uid="{00000000-0005-0000-0000-0000AFAE0000}"/>
    <cellStyle name="Vírgula 2 2 2 2 6 3 2 2" xfId="53853" xr:uid="{00000000-0005-0000-0000-0000B0AE0000}"/>
    <cellStyle name="Vírgula 2 2 2 2 6 3 3" xfId="21758" xr:uid="{00000000-0005-0000-0000-0000B1AE0000}"/>
    <cellStyle name="Vírgula 2 2 2 2 6 3 3 2" xfId="47945" xr:uid="{00000000-0005-0000-0000-0000B2AE0000}"/>
    <cellStyle name="Vírgula 2 2 2 2 6 3 4" xfId="15844" xr:uid="{00000000-0005-0000-0000-0000B3AE0000}"/>
    <cellStyle name="Vírgula 2 2 2 2 6 3 4 2" xfId="42037" xr:uid="{00000000-0005-0000-0000-0000B4AE0000}"/>
    <cellStyle name="Vírgula 2 2 2 2 6 3 5" xfId="35651" xr:uid="{00000000-0005-0000-0000-0000B5AE0000}"/>
    <cellStyle name="Vírgula 2 2 2 2 6 4" xfId="6224" xr:uid="{00000000-0005-0000-0000-0000B6AE0000}"/>
    <cellStyle name="Vírgula 2 2 2 2 6 4 2" xfId="24715" xr:uid="{00000000-0005-0000-0000-0000B7AE0000}"/>
    <cellStyle name="Vírgula 2 2 2 2 6 4 2 2" xfId="50899" xr:uid="{00000000-0005-0000-0000-0000B8AE0000}"/>
    <cellStyle name="Vírgula 2 2 2 2 6 4 3" xfId="32420" xr:uid="{00000000-0005-0000-0000-0000B9AE0000}"/>
    <cellStyle name="Vírgula 2 2 2 2 6 5" xfId="18801" xr:uid="{00000000-0005-0000-0000-0000BAAE0000}"/>
    <cellStyle name="Vírgula 2 2 2 2 6 5 2" xfId="44991" xr:uid="{00000000-0005-0000-0000-0000BBAE0000}"/>
    <cellStyle name="Vírgula 2 2 2 2 6 6" xfId="12613" xr:uid="{00000000-0005-0000-0000-0000BCAE0000}"/>
    <cellStyle name="Vírgula 2 2 2 2 6 6 2" xfId="38806" xr:uid="{00000000-0005-0000-0000-0000BDAE0000}"/>
    <cellStyle name="Vírgula 2 2 2 2 6 7" xfId="30723" xr:uid="{00000000-0005-0000-0000-0000BEAE0000}"/>
    <cellStyle name="Vírgula 2 2 2 2 7" xfId="5283" xr:uid="{00000000-0005-0000-0000-0000BFAE0000}"/>
    <cellStyle name="Vírgula 2 2 2 2 7 2" xfId="6982" xr:uid="{00000000-0005-0000-0000-0000C0AE0000}"/>
    <cellStyle name="Vírgula 2 2 2 2 7 2 2" xfId="10128" xr:uid="{00000000-0005-0000-0000-0000C1AE0000}"/>
    <cellStyle name="Vírgula 2 2 2 2 7 2 2 2" xfId="28342" xr:uid="{00000000-0005-0000-0000-0000C2AE0000}"/>
    <cellStyle name="Vírgula 2 2 2 2 7 2 2 2 2" xfId="54523" xr:uid="{00000000-0005-0000-0000-0000C3AE0000}"/>
    <cellStyle name="Vírgula 2 2 2 2 7 2 2 3" xfId="22428" xr:uid="{00000000-0005-0000-0000-0000C4AE0000}"/>
    <cellStyle name="Vírgula 2 2 2 2 7 2 2 3 2" xfId="48615" xr:uid="{00000000-0005-0000-0000-0000C5AE0000}"/>
    <cellStyle name="Vírgula 2 2 2 2 7 2 2 4" xfId="16514" xr:uid="{00000000-0005-0000-0000-0000C6AE0000}"/>
    <cellStyle name="Vírgula 2 2 2 2 7 2 2 4 2" xfId="42707" xr:uid="{00000000-0005-0000-0000-0000C7AE0000}"/>
    <cellStyle name="Vírgula 2 2 2 2 7 2 2 5" xfId="36321" xr:uid="{00000000-0005-0000-0000-0000C8AE0000}"/>
    <cellStyle name="Vírgula 2 2 2 2 7 2 3" xfId="25385" xr:uid="{00000000-0005-0000-0000-0000C9AE0000}"/>
    <cellStyle name="Vírgula 2 2 2 2 7 2 3 2" xfId="51569" xr:uid="{00000000-0005-0000-0000-0000CAAE0000}"/>
    <cellStyle name="Vírgula 2 2 2 2 7 2 4" xfId="19471" xr:uid="{00000000-0005-0000-0000-0000CBAE0000}"/>
    <cellStyle name="Vírgula 2 2 2 2 7 2 4 2" xfId="45661" xr:uid="{00000000-0005-0000-0000-0000CCAE0000}"/>
    <cellStyle name="Vírgula 2 2 2 2 7 2 5" xfId="13371" xr:uid="{00000000-0005-0000-0000-0000CDAE0000}"/>
    <cellStyle name="Vírgula 2 2 2 2 7 2 5 2" xfId="39564" xr:uid="{00000000-0005-0000-0000-0000CEAE0000}"/>
    <cellStyle name="Vírgula 2 2 2 2 7 2 6" xfId="33178" xr:uid="{00000000-0005-0000-0000-0000CFAE0000}"/>
    <cellStyle name="Vírgula 2 2 2 2 7 3" xfId="8660" xr:uid="{00000000-0005-0000-0000-0000D0AE0000}"/>
    <cellStyle name="Vírgula 2 2 2 2 7 3 2" xfId="26874" xr:uid="{00000000-0005-0000-0000-0000D1AE0000}"/>
    <cellStyle name="Vírgula 2 2 2 2 7 3 2 2" xfId="53055" xr:uid="{00000000-0005-0000-0000-0000D2AE0000}"/>
    <cellStyle name="Vírgula 2 2 2 2 7 3 3" xfId="20960" xr:uid="{00000000-0005-0000-0000-0000D3AE0000}"/>
    <cellStyle name="Vírgula 2 2 2 2 7 3 3 2" xfId="47147" xr:uid="{00000000-0005-0000-0000-0000D4AE0000}"/>
    <cellStyle name="Vírgula 2 2 2 2 7 3 4" xfId="15046" xr:uid="{00000000-0005-0000-0000-0000D5AE0000}"/>
    <cellStyle name="Vírgula 2 2 2 2 7 3 4 2" xfId="41239" xr:uid="{00000000-0005-0000-0000-0000D6AE0000}"/>
    <cellStyle name="Vírgula 2 2 2 2 7 3 5" xfId="34853" xr:uid="{00000000-0005-0000-0000-0000D7AE0000}"/>
    <cellStyle name="Vírgula 2 2 2 2 7 4" xfId="23917" xr:uid="{00000000-0005-0000-0000-0000D8AE0000}"/>
    <cellStyle name="Vírgula 2 2 2 2 7 4 2" xfId="50101" xr:uid="{00000000-0005-0000-0000-0000D9AE0000}"/>
    <cellStyle name="Vírgula 2 2 2 2 7 5" xfId="18003" xr:uid="{00000000-0005-0000-0000-0000DAAE0000}"/>
    <cellStyle name="Vírgula 2 2 2 2 7 5 2" xfId="44193" xr:uid="{00000000-0005-0000-0000-0000DBAE0000}"/>
    <cellStyle name="Vírgula 2 2 2 2 7 6" xfId="11670" xr:uid="{00000000-0005-0000-0000-0000DCAE0000}"/>
    <cellStyle name="Vírgula 2 2 2 2 7 6 2" xfId="37863" xr:uid="{00000000-0005-0000-0000-0000DDAE0000}"/>
    <cellStyle name="Vírgula 2 2 2 2 7 7" xfId="31479" xr:uid="{00000000-0005-0000-0000-0000DEAE0000}"/>
    <cellStyle name="Vírgula 2 2 2 2 8" xfId="6333" xr:uid="{00000000-0005-0000-0000-0000DFAE0000}"/>
    <cellStyle name="Vírgula 2 2 2 2 8 2" xfId="9520" xr:uid="{00000000-0005-0000-0000-0000E0AE0000}"/>
    <cellStyle name="Vírgula 2 2 2 2 8 2 2" xfId="27734" xr:uid="{00000000-0005-0000-0000-0000E1AE0000}"/>
    <cellStyle name="Vírgula 2 2 2 2 8 2 2 2" xfId="53915" xr:uid="{00000000-0005-0000-0000-0000E2AE0000}"/>
    <cellStyle name="Vírgula 2 2 2 2 8 2 3" xfId="21820" xr:uid="{00000000-0005-0000-0000-0000E3AE0000}"/>
    <cellStyle name="Vírgula 2 2 2 2 8 2 3 2" xfId="48007" xr:uid="{00000000-0005-0000-0000-0000E4AE0000}"/>
    <cellStyle name="Vírgula 2 2 2 2 8 2 4" xfId="15906" xr:uid="{00000000-0005-0000-0000-0000E5AE0000}"/>
    <cellStyle name="Vírgula 2 2 2 2 8 2 4 2" xfId="42099" xr:uid="{00000000-0005-0000-0000-0000E6AE0000}"/>
    <cellStyle name="Vírgula 2 2 2 2 8 2 5" xfId="35713" xr:uid="{00000000-0005-0000-0000-0000E7AE0000}"/>
    <cellStyle name="Vírgula 2 2 2 2 8 3" xfId="24777" xr:uid="{00000000-0005-0000-0000-0000E8AE0000}"/>
    <cellStyle name="Vírgula 2 2 2 2 8 3 2" xfId="50961" xr:uid="{00000000-0005-0000-0000-0000E9AE0000}"/>
    <cellStyle name="Vírgula 2 2 2 2 8 4" xfId="18863" xr:uid="{00000000-0005-0000-0000-0000EAAE0000}"/>
    <cellStyle name="Vírgula 2 2 2 2 8 4 2" xfId="45053" xr:uid="{00000000-0005-0000-0000-0000EBAE0000}"/>
    <cellStyle name="Vírgula 2 2 2 2 8 5" xfId="12722" xr:uid="{00000000-0005-0000-0000-0000ECAE0000}"/>
    <cellStyle name="Vírgula 2 2 2 2 8 5 2" xfId="38915" xr:uid="{00000000-0005-0000-0000-0000EDAE0000}"/>
    <cellStyle name="Vírgula 2 2 2 2 8 6" xfId="32529" xr:uid="{00000000-0005-0000-0000-0000EEAE0000}"/>
    <cellStyle name="Vírgula 2 2 2 2 9" xfId="8025" xr:uid="{00000000-0005-0000-0000-0000EFAE0000}"/>
    <cellStyle name="Vírgula 2 2 2 2 9 2" xfId="10984" xr:uid="{00000000-0005-0000-0000-0000F0AE0000}"/>
    <cellStyle name="Vírgula 2 2 2 2 9 2 2" xfId="29198" xr:uid="{00000000-0005-0000-0000-0000F1AE0000}"/>
    <cellStyle name="Vírgula 2 2 2 2 9 2 2 2" xfId="55379" xr:uid="{00000000-0005-0000-0000-0000F2AE0000}"/>
    <cellStyle name="Vírgula 2 2 2 2 9 2 3" xfId="23284" xr:uid="{00000000-0005-0000-0000-0000F3AE0000}"/>
    <cellStyle name="Vírgula 2 2 2 2 9 2 3 2" xfId="49471" xr:uid="{00000000-0005-0000-0000-0000F4AE0000}"/>
    <cellStyle name="Vírgula 2 2 2 2 9 2 4" xfId="17370" xr:uid="{00000000-0005-0000-0000-0000F5AE0000}"/>
    <cellStyle name="Vírgula 2 2 2 2 9 2 4 2" xfId="43563" xr:uid="{00000000-0005-0000-0000-0000F6AE0000}"/>
    <cellStyle name="Vírgula 2 2 2 2 9 2 5" xfId="37177" xr:uid="{00000000-0005-0000-0000-0000F7AE0000}"/>
    <cellStyle name="Vírgula 2 2 2 2 9 3" xfId="26241" xr:uid="{00000000-0005-0000-0000-0000F8AE0000}"/>
    <cellStyle name="Vírgula 2 2 2 2 9 3 2" xfId="52425" xr:uid="{00000000-0005-0000-0000-0000F9AE0000}"/>
    <cellStyle name="Vírgula 2 2 2 2 9 4" xfId="20327" xr:uid="{00000000-0005-0000-0000-0000FAAE0000}"/>
    <cellStyle name="Vírgula 2 2 2 2 9 4 2" xfId="46517" xr:uid="{00000000-0005-0000-0000-0000FBAE0000}"/>
    <cellStyle name="Vírgula 2 2 2 2 9 5" xfId="14414" xr:uid="{00000000-0005-0000-0000-0000FCAE0000}"/>
    <cellStyle name="Vírgula 2 2 2 2 9 5 2" xfId="40607" xr:uid="{00000000-0005-0000-0000-0000FDAE0000}"/>
    <cellStyle name="Vírgula 2 2 2 2 9 6" xfId="34221" xr:uid="{00000000-0005-0000-0000-0000FEAE0000}"/>
    <cellStyle name="Vírgula 2 2 2 3" xfId="2525" xr:uid="{00000000-0005-0000-0000-0000FFAE0000}"/>
    <cellStyle name="Vírgula 2 2 2 3 10" xfId="17403" xr:uid="{00000000-0005-0000-0000-000000AF0000}"/>
    <cellStyle name="Vírgula 2 2 2 3 10 2" xfId="43596" xr:uid="{00000000-0005-0000-0000-000001AF0000}"/>
    <cellStyle name="Vírgula 2 2 2 3 11" xfId="11041" xr:uid="{00000000-0005-0000-0000-000002AF0000}"/>
    <cellStyle name="Vírgula 2 2 2 3 11 2" xfId="37234" xr:uid="{00000000-0005-0000-0000-000003AF0000}"/>
    <cellStyle name="Vírgula 2 2 2 3 12" xfId="29930" xr:uid="{00000000-0005-0000-0000-000004AF0000}"/>
    <cellStyle name="Vírgula 2 2 2 3 2" xfId="4250" xr:uid="{00000000-0005-0000-0000-000005AF0000}"/>
    <cellStyle name="Vírgula 2 2 2 3 2 2" xfId="7651" xr:uid="{00000000-0005-0000-0000-000006AF0000}"/>
    <cellStyle name="Vírgula 2 2 2 3 2 2 2" xfId="10770" xr:uid="{00000000-0005-0000-0000-000007AF0000}"/>
    <cellStyle name="Vírgula 2 2 2 3 2 2 2 2" xfId="28984" xr:uid="{00000000-0005-0000-0000-000008AF0000}"/>
    <cellStyle name="Vírgula 2 2 2 3 2 2 2 2 2" xfId="55165" xr:uid="{00000000-0005-0000-0000-000009AF0000}"/>
    <cellStyle name="Vírgula 2 2 2 3 2 2 2 3" xfId="23070" xr:uid="{00000000-0005-0000-0000-00000AAF0000}"/>
    <cellStyle name="Vírgula 2 2 2 3 2 2 2 3 2" xfId="49257" xr:uid="{00000000-0005-0000-0000-00000BAF0000}"/>
    <cellStyle name="Vírgula 2 2 2 3 2 2 2 4" xfId="17156" xr:uid="{00000000-0005-0000-0000-00000CAF0000}"/>
    <cellStyle name="Vírgula 2 2 2 3 2 2 2 4 2" xfId="43349" xr:uid="{00000000-0005-0000-0000-00000DAF0000}"/>
    <cellStyle name="Vírgula 2 2 2 3 2 2 2 5" xfId="36963" xr:uid="{00000000-0005-0000-0000-00000EAF0000}"/>
    <cellStyle name="Vírgula 2 2 2 3 2 2 3" xfId="26027" xr:uid="{00000000-0005-0000-0000-00000FAF0000}"/>
    <cellStyle name="Vírgula 2 2 2 3 2 2 3 2" xfId="52211" xr:uid="{00000000-0005-0000-0000-000010AF0000}"/>
    <cellStyle name="Vírgula 2 2 2 3 2 2 4" xfId="20113" xr:uid="{00000000-0005-0000-0000-000011AF0000}"/>
    <cellStyle name="Vírgula 2 2 2 3 2 2 4 2" xfId="46303" xr:uid="{00000000-0005-0000-0000-000012AF0000}"/>
    <cellStyle name="Vírgula 2 2 2 3 2 2 5" xfId="14040" xr:uid="{00000000-0005-0000-0000-000013AF0000}"/>
    <cellStyle name="Vírgula 2 2 2 3 2 2 5 2" xfId="40233" xr:uid="{00000000-0005-0000-0000-000014AF0000}"/>
    <cellStyle name="Vírgula 2 2 2 3 2 2 6" xfId="33847" xr:uid="{00000000-0005-0000-0000-000015AF0000}"/>
    <cellStyle name="Vírgula 2 2 2 3 2 3" xfId="9302" xr:uid="{00000000-0005-0000-0000-000016AF0000}"/>
    <cellStyle name="Vírgula 2 2 2 3 2 3 2" xfId="27516" xr:uid="{00000000-0005-0000-0000-000017AF0000}"/>
    <cellStyle name="Vírgula 2 2 2 3 2 3 2 2" xfId="53697" xr:uid="{00000000-0005-0000-0000-000018AF0000}"/>
    <cellStyle name="Vírgula 2 2 2 3 2 3 3" xfId="21602" xr:uid="{00000000-0005-0000-0000-000019AF0000}"/>
    <cellStyle name="Vírgula 2 2 2 3 2 3 3 2" xfId="47789" xr:uid="{00000000-0005-0000-0000-00001AAF0000}"/>
    <cellStyle name="Vírgula 2 2 2 3 2 3 4" xfId="15688" xr:uid="{00000000-0005-0000-0000-00001BAF0000}"/>
    <cellStyle name="Vírgula 2 2 2 3 2 3 4 2" xfId="41881" xr:uid="{00000000-0005-0000-0000-00001CAF0000}"/>
    <cellStyle name="Vírgula 2 2 2 3 2 3 5" xfId="35495" xr:uid="{00000000-0005-0000-0000-00001DAF0000}"/>
    <cellStyle name="Vírgula 2 2 2 3 2 4" xfId="5951" xr:uid="{00000000-0005-0000-0000-00001EAF0000}"/>
    <cellStyle name="Vírgula 2 2 2 3 2 4 2" xfId="24559" xr:uid="{00000000-0005-0000-0000-00001FAF0000}"/>
    <cellStyle name="Vírgula 2 2 2 3 2 4 2 2" xfId="50743" xr:uid="{00000000-0005-0000-0000-000020AF0000}"/>
    <cellStyle name="Vírgula 2 2 2 3 2 4 3" xfId="32147" xr:uid="{00000000-0005-0000-0000-000021AF0000}"/>
    <cellStyle name="Vírgula 2 2 2 3 2 5" xfId="18645" xr:uid="{00000000-0005-0000-0000-000022AF0000}"/>
    <cellStyle name="Vírgula 2 2 2 3 2 5 2" xfId="44835" xr:uid="{00000000-0005-0000-0000-000023AF0000}"/>
    <cellStyle name="Vírgula 2 2 2 3 2 6" xfId="12339" xr:uid="{00000000-0005-0000-0000-000024AF0000}"/>
    <cellStyle name="Vírgula 2 2 2 3 2 6 2" xfId="38532" xr:uid="{00000000-0005-0000-0000-000025AF0000}"/>
    <cellStyle name="Vírgula 2 2 2 3 2 7" xfId="30450" xr:uid="{00000000-0005-0000-0000-000026AF0000}"/>
    <cellStyle name="Vírgula 2 2 2 3 3" xfId="4327" xr:uid="{00000000-0005-0000-0000-000027AF0000}"/>
    <cellStyle name="Vírgula 2 2 2 3 3 2" xfId="7728" xr:uid="{00000000-0005-0000-0000-000028AF0000}"/>
    <cellStyle name="Vírgula 2 2 2 3 3 2 2" xfId="10813" xr:uid="{00000000-0005-0000-0000-000029AF0000}"/>
    <cellStyle name="Vírgula 2 2 2 3 3 2 2 2" xfId="29027" xr:uid="{00000000-0005-0000-0000-00002AAF0000}"/>
    <cellStyle name="Vírgula 2 2 2 3 3 2 2 2 2" xfId="55208" xr:uid="{00000000-0005-0000-0000-00002BAF0000}"/>
    <cellStyle name="Vírgula 2 2 2 3 3 2 2 3" xfId="23113" xr:uid="{00000000-0005-0000-0000-00002CAF0000}"/>
    <cellStyle name="Vírgula 2 2 2 3 3 2 2 3 2" xfId="49300" xr:uid="{00000000-0005-0000-0000-00002DAF0000}"/>
    <cellStyle name="Vírgula 2 2 2 3 3 2 2 4" xfId="17199" xr:uid="{00000000-0005-0000-0000-00002EAF0000}"/>
    <cellStyle name="Vírgula 2 2 2 3 3 2 2 4 2" xfId="43392" xr:uid="{00000000-0005-0000-0000-00002FAF0000}"/>
    <cellStyle name="Vírgula 2 2 2 3 3 2 2 5" xfId="37006" xr:uid="{00000000-0005-0000-0000-000030AF0000}"/>
    <cellStyle name="Vírgula 2 2 2 3 3 2 3" xfId="26070" xr:uid="{00000000-0005-0000-0000-000031AF0000}"/>
    <cellStyle name="Vírgula 2 2 2 3 3 2 3 2" xfId="52254" xr:uid="{00000000-0005-0000-0000-000032AF0000}"/>
    <cellStyle name="Vírgula 2 2 2 3 3 2 4" xfId="20156" xr:uid="{00000000-0005-0000-0000-000033AF0000}"/>
    <cellStyle name="Vírgula 2 2 2 3 3 2 4 2" xfId="46346" xr:uid="{00000000-0005-0000-0000-000034AF0000}"/>
    <cellStyle name="Vírgula 2 2 2 3 3 2 5" xfId="14117" xr:uid="{00000000-0005-0000-0000-000035AF0000}"/>
    <cellStyle name="Vírgula 2 2 2 3 3 2 5 2" xfId="40310" xr:uid="{00000000-0005-0000-0000-000036AF0000}"/>
    <cellStyle name="Vírgula 2 2 2 3 3 2 6" xfId="33924" xr:uid="{00000000-0005-0000-0000-000037AF0000}"/>
    <cellStyle name="Vírgula 2 2 2 3 3 3" xfId="9345" xr:uid="{00000000-0005-0000-0000-000038AF0000}"/>
    <cellStyle name="Vírgula 2 2 2 3 3 3 2" xfId="27559" xr:uid="{00000000-0005-0000-0000-000039AF0000}"/>
    <cellStyle name="Vírgula 2 2 2 3 3 3 2 2" xfId="53740" xr:uid="{00000000-0005-0000-0000-00003AAF0000}"/>
    <cellStyle name="Vírgula 2 2 2 3 3 3 3" xfId="21645" xr:uid="{00000000-0005-0000-0000-00003BAF0000}"/>
    <cellStyle name="Vírgula 2 2 2 3 3 3 3 2" xfId="47832" xr:uid="{00000000-0005-0000-0000-00003CAF0000}"/>
    <cellStyle name="Vírgula 2 2 2 3 3 3 4" xfId="15731" xr:uid="{00000000-0005-0000-0000-00003DAF0000}"/>
    <cellStyle name="Vírgula 2 2 2 3 3 3 4 2" xfId="41924" xr:uid="{00000000-0005-0000-0000-00003EAF0000}"/>
    <cellStyle name="Vírgula 2 2 2 3 3 3 5" xfId="35538" xr:uid="{00000000-0005-0000-0000-00003FAF0000}"/>
    <cellStyle name="Vírgula 2 2 2 3 3 4" xfId="6028" xr:uid="{00000000-0005-0000-0000-000040AF0000}"/>
    <cellStyle name="Vírgula 2 2 2 3 3 4 2" xfId="24602" xr:uid="{00000000-0005-0000-0000-000041AF0000}"/>
    <cellStyle name="Vírgula 2 2 2 3 3 4 2 2" xfId="50786" xr:uid="{00000000-0005-0000-0000-000042AF0000}"/>
    <cellStyle name="Vírgula 2 2 2 3 3 4 3" xfId="32224" xr:uid="{00000000-0005-0000-0000-000043AF0000}"/>
    <cellStyle name="Vírgula 2 2 2 3 3 5" xfId="18688" xr:uid="{00000000-0005-0000-0000-000044AF0000}"/>
    <cellStyle name="Vírgula 2 2 2 3 3 5 2" xfId="44878" xr:uid="{00000000-0005-0000-0000-000045AF0000}"/>
    <cellStyle name="Vírgula 2 2 2 3 3 6" xfId="12416" xr:uid="{00000000-0005-0000-0000-000046AF0000}"/>
    <cellStyle name="Vírgula 2 2 2 3 3 6 2" xfId="38609" xr:uid="{00000000-0005-0000-0000-000047AF0000}"/>
    <cellStyle name="Vírgula 2 2 2 3 3 7" xfId="30527" xr:uid="{00000000-0005-0000-0000-000048AF0000}"/>
    <cellStyle name="Vírgula 2 2 2 3 4" xfId="4435" xr:uid="{00000000-0005-0000-0000-000049AF0000}"/>
    <cellStyle name="Vírgula 2 2 2 3 4 2" xfId="7837" xr:uid="{00000000-0005-0000-0000-00004AAF0000}"/>
    <cellStyle name="Vírgula 2 2 2 3 4 2 2" xfId="10875" xr:uid="{00000000-0005-0000-0000-00004BAF0000}"/>
    <cellStyle name="Vírgula 2 2 2 3 4 2 2 2" xfId="29089" xr:uid="{00000000-0005-0000-0000-00004CAF0000}"/>
    <cellStyle name="Vírgula 2 2 2 3 4 2 2 2 2" xfId="55270" xr:uid="{00000000-0005-0000-0000-00004DAF0000}"/>
    <cellStyle name="Vírgula 2 2 2 3 4 2 2 3" xfId="23175" xr:uid="{00000000-0005-0000-0000-00004EAF0000}"/>
    <cellStyle name="Vírgula 2 2 2 3 4 2 2 3 2" xfId="49362" xr:uid="{00000000-0005-0000-0000-00004FAF0000}"/>
    <cellStyle name="Vírgula 2 2 2 3 4 2 2 4" xfId="17261" xr:uid="{00000000-0005-0000-0000-000050AF0000}"/>
    <cellStyle name="Vírgula 2 2 2 3 4 2 2 4 2" xfId="43454" xr:uid="{00000000-0005-0000-0000-000051AF0000}"/>
    <cellStyle name="Vírgula 2 2 2 3 4 2 2 5" xfId="37068" xr:uid="{00000000-0005-0000-0000-000052AF0000}"/>
    <cellStyle name="Vírgula 2 2 2 3 4 2 3" xfId="26132" xr:uid="{00000000-0005-0000-0000-000053AF0000}"/>
    <cellStyle name="Vírgula 2 2 2 3 4 2 3 2" xfId="52316" xr:uid="{00000000-0005-0000-0000-000054AF0000}"/>
    <cellStyle name="Vírgula 2 2 2 3 4 2 4" xfId="20218" xr:uid="{00000000-0005-0000-0000-000055AF0000}"/>
    <cellStyle name="Vírgula 2 2 2 3 4 2 4 2" xfId="46408" xr:uid="{00000000-0005-0000-0000-000056AF0000}"/>
    <cellStyle name="Vírgula 2 2 2 3 4 2 5" xfId="14226" xr:uid="{00000000-0005-0000-0000-000057AF0000}"/>
    <cellStyle name="Vírgula 2 2 2 3 4 2 5 2" xfId="40419" xr:uid="{00000000-0005-0000-0000-000058AF0000}"/>
    <cellStyle name="Vírgula 2 2 2 3 4 2 6" xfId="34033" xr:uid="{00000000-0005-0000-0000-000059AF0000}"/>
    <cellStyle name="Vírgula 2 2 2 3 4 3" xfId="9407" xr:uid="{00000000-0005-0000-0000-00005AAF0000}"/>
    <cellStyle name="Vírgula 2 2 2 3 4 3 2" xfId="27621" xr:uid="{00000000-0005-0000-0000-00005BAF0000}"/>
    <cellStyle name="Vírgula 2 2 2 3 4 3 2 2" xfId="53802" xr:uid="{00000000-0005-0000-0000-00005CAF0000}"/>
    <cellStyle name="Vírgula 2 2 2 3 4 3 3" xfId="21707" xr:uid="{00000000-0005-0000-0000-00005DAF0000}"/>
    <cellStyle name="Vírgula 2 2 2 3 4 3 3 2" xfId="47894" xr:uid="{00000000-0005-0000-0000-00005EAF0000}"/>
    <cellStyle name="Vírgula 2 2 2 3 4 3 4" xfId="15793" xr:uid="{00000000-0005-0000-0000-00005FAF0000}"/>
    <cellStyle name="Vírgula 2 2 2 3 4 3 4 2" xfId="41986" xr:uid="{00000000-0005-0000-0000-000060AF0000}"/>
    <cellStyle name="Vírgula 2 2 2 3 4 3 5" xfId="35600" xr:uid="{00000000-0005-0000-0000-000061AF0000}"/>
    <cellStyle name="Vírgula 2 2 2 3 4 4" xfId="6137" xr:uid="{00000000-0005-0000-0000-000062AF0000}"/>
    <cellStyle name="Vírgula 2 2 2 3 4 4 2" xfId="24664" xr:uid="{00000000-0005-0000-0000-000063AF0000}"/>
    <cellStyle name="Vírgula 2 2 2 3 4 4 2 2" xfId="50848" xr:uid="{00000000-0005-0000-0000-000064AF0000}"/>
    <cellStyle name="Vírgula 2 2 2 3 4 4 3" xfId="32333" xr:uid="{00000000-0005-0000-0000-000065AF0000}"/>
    <cellStyle name="Vírgula 2 2 2 3 4 5" xfId="18750" xr:uid="{00000000-0005-0000-0000-000066AF0000}"/>
    <cellStyle name="Vírgula 2 2 2 3 4 5 2" xfId="44940" xr:uid="{00000000-0005-0000-0000-000067AF0000}"/>
    <cellStyle name="Vírgula 2 2 2 3 4 6" xfId="12525" xr:uid="{00000000-0005-0000-0000-000068AF0000}"/>
    <cellStyle name="Vírgula 2 2 2 3 4 6 2" xfId="38718" xr:uid="{00000000-0005-0000-0000-000069AF0000}"/>
    <cellStyle name="Vírgula 2 2 2 3 4 7" xfId="30635" xr:uid="{00000000-0005-0000-0000-00006AAF0000}"/>
    <cellStyle name="Vírgula 2 2 2 3 5" xfId="4543" xr:uid="{00000000-0005-0000-0000-00006BAF0000}"/>
    <cellStyle name="Vírgula 2 2 2 3 5 2" xfId="7945" xr:uid="{00000000-0005-0000-0000-00006CAF0000}"/>
    <cellStyle name="Vírgula 2 2 2 3 5 2 2" xfId="10937" xr:uid="{00000000-0005-0000-0000-00006DAF0000}"/>
    <cellStyle name="Vírgula 2 2 2 3 5 2 2 2" xfId="29151" xr:uid="{00000000-0005-0000-0000-00006EAF0000}"/>
    <cellStyle name="Vírgula 2 2 2 3 5 2 2 2 2" xfId="55332" xr:uid="{00000000-0005-0000-0000-00006FAF0000}"/>
    <cellStyle name="Vírgula 2 2 2 3 5 2 2 3" xfId="23237" xr:uid="{00000000-0005-0000-0000-000070AF0000}"/>
    <cellStyle name="Vírgula 2 2 2 3 5 2 2 3 2" xfId="49424" xr:uid="{00000000-0005-0000-0000-000071AF0000}"/>
    <cellStyle name="Vírgula 2 2 2 3 5 2 2 4" xfId="17323" xr:uid="{00000000-0005-0000-0000-000072AF0000}"/>
    <cellStyle name="Vírgula 2 2 2 3 5 2 2 4 2" xfId="43516" xr:uid="{00000000-0005-0000-0000-000073AF0000}"/>
    <cellStyle name="Vírgula 2 2 2 3 5 2 2 5" xfId="37130" xr:uid="{00000000-0005-0000-0000-000074AF0000}"/>
    <cellStyle name="Vírgula 2 2 2 3 5 2 3" xfId="26194" xr:uid="{00000000-0005-0000-0000-000075AF0000}"/>
    <cellStyle name="Vírgula 2 2 2 3 5 2 3 2" xfId="52378" xr:uid="{00000000-0005-0000-0000-000076AF0000}"/>
    <cellStyle name="Vírgula 2 2 2 3 5 2 4" xfId="20280" xr:uid="{00000000-0005-0000-0000-000077AF0000}"/>
    <cellStyle name="Vírgula 2 2 2 3 5 2 4 2" xfId="46470" xr:uid="{00000000-0005-0000-0000-000078AF0000}"/>
    <cellStyle name="Vírgula 2 2 2 3 5 2 5" xfId="14334" xr:uid="{00000000-0005-0000-0000-000079AF0000}"/>
    <cellStyle name="Vírgula 2 2 2 3 5 2 5 2" xfId="40527" xr:uid="{00000000-0005-0000-0000-00007AAF0000}"/>
    <cellStyle name="Vírgula 2 2 2 3 5 2 6" xfId="34141" xr:uid="{00000000-0005-0000-0000-00007BAF0000}"/>
    <cellStyle name="Vírgula 2 2 2 3 5 3" xfId="9469" xr:uid="{00000000-0005-0000-0000-00007CAF0000}"/>
    <cellStyle name="Vírgula 2 2 2 3 5 3 2" xfId="27683" xr:uid="{00000000-0005-0000-0000-00007DAF0000}"/>
    <cellStyle name="Vírgula 2 2 2 3 5 3 2 2" xfId="53864" xr:uid="{00000000-0005-0000-0000-00007EAF0000}"/>
    <cellStyle name="Vírgula 2 2 2 3 5 3 3" xfId="21769" xr:uid="{00000000-0005-0000-0000-00007FAF0000}"/>
    <cellStyle name="Vírgula 2 2 2 3 5 3 3 2" xfId="47956" xr:uid="{00000000-0005-0000-0000-000080AF0000}"/>
    <cellStyle name="Vírgula 2 2 2 3 5 3 4" xfId="15855" xr:uid="{00000000-0005-0000-0000-000081AF0000}"/>
    <cellStyle name="Vírgula 2 2 2 3 5 3 4 2" xfId="42048" xr:uid="{00000000-0005-0000-0000-000082AF0000}"/>
    <cellStyle name="Vírgula 2 2 2 3 5 3 5" xfId="35662" xr:uid="{00000000-0005-0000-0000-000083AF0000}"/>
    <cellStyle name="Vírgula 2 2 2 3 5 4" xfId="6244" xr:uid="{00000000-0005-0000-0000-000084AF0000}"/>
    <cellStyle name="Vírgula 2 2 2 3 5 4 2" xfId="24726" xr:uid="{00000000-0005-0000-0000-000085AF0000}"/>
    <cellStyle name="Vírgula 2 2 2 3 5 4 2 2" xfId="50910" xr:uid="{00000000-0005-0000-0000-000086AF0000}"/>
    <cellStyle name="Vírgula 2 2 2 3 5 4 3" xfId="32440" xr:uid="{00000000-0005-0000-0000-000087AF0000}"/>
    <cellStyle name="Vírgula 2 2 2 3 5 5" xfId="18812" xr:uid="{00000000-0005-0000-0000-000088AF0000}"/>
    <cellStyle name="Vírgula 2 2 2 3 5 5 2" xfId="45002" xr:uid="{00000000-0005-0000-0000-000089AF0000}"/>
    <cellStyle name="Vírgula 2 2 2 3 5 6" xfId="12633" xr:uid="{00000000-0005-0000-0000-00008AAF0000}"/>
    <cellStyle name="Vírgula 2 2 2 3 5 6 2" xfId="38826" xr:uid="{00000000-0005-0000-0000-00008BAF0000}"/>
    <cellStyle name="Vírgula 2 2 2 3 5 7" xfId="30743" xr:uid="{00000000-0005-0000-0000-00008CAF0000}"/>
    <cellStyle name="Vírgula 2 2 2 3 6" xfId="5432" xr:uid="{00000000-0005-0000-0000-00008DAF0000}"/>
    <cellStyle name="Vírgula 2 2 2 3 6 2" xfId="7131" xr:uid="{00000000-0005-0000-0000-00008EAF0000}"/>
    <cellStyle name="Vírgula 2 2 2 3 6 2 2" xfId="10275" xr:uid="{00000000-0005-0000-0000-00008FAF0000}"/>
    <cellStyle name="Vírgula 2 2 2 3 6 2 2 2" xfId="28489" xr:uid="{00000000-0005-0000-0000-000090AF0000}"/>
    <cellStyle name="Vírgula 2 2 2 3 6 2 2 2 2" xfId="54670" xr:uid="{00000000-0005-0000-0000-000091AF0000}"/>
    <cellStyle name="Vírgula 2 2 2 3 6 2 2 3" xfId="22575" xr:uid="{00000000-0005-0000-0000-000092AF0000}"/>
    <cellStyle name="Vírgula 2 2 2 3 6 2 2 3 2" xfId="48762" xr:uid="{00000000-0005-0000-0000-000093AF0000}"/>
    <cellStyle name="Vírgula 2 2 2 3 6 2 2 4" xfId="16661" xr:uid="{00000000-0005-0000-0000-000094AF0000}"/>
    <cellStyle name="Vírgula 2 2 2 3 6 2 2 4 2" xfId="42854" xr:uid="{00000000-0005-0000-0000-000095AF0000}"/>
    <cellStyle name="Vírgula 2 2 2 3 6 2 2 5" xfId="36468" xr:uid="{00000000-0005-0000-0000-000096AF0000}"/>
    <cellStyle name="Vírgula 2 2 2 3 6 2 3" xfId="25532" xr:uid="{00000000-0005-0000-0000-000097AF0000}"/>
    <cellStyle name="Vírgula 2 2 2 3 6 2 3 2" xfId="51716" xr:uid="{00000000-0005-0000-0000-000098AF0000}"/>
    <cellStyle name="Vírgula 2 2 2 3 6 2 4" xfId="19618" xr:uid="{00000000-0005-0000-0000-000099AF0000}"/>
    <cellStyle name="Vírgula 2 2 2 3 6 2 4 2" xfId="45808" xr:uid="{00000000-0005-0000-0000-00009AAF0000}"/>
    <cellStyle name="Vírgula 2 2 2 3 6 2 5" xfId="13520" xr:uid="{00000000-0005-0000-0000-00009BAF0000}"/>
    <cellStyle name="Vírgula 2 2 2 3 6 2 5 2" xfId="39713" xr:uid="{00000000-0005-0000-0000-00009CAF0000}"/>
    <cellStyle name="Vírgula 2 2 2 3 6 2 6" xfId="33327" xr:uid="{00000000-0005-0000-0000-00009DAF0000}"/>
    <cellStyle name="Vírgula 2 2 2 3 6 3" xfId="8807" xr:uid="{00000000-0005-0000-0000-00009EAF0000}"/>
    <cellStyle name="Vírgula 2 2 2 3 6 3 2" xfId="27021" xr:uid="{00000000-0005-0000-0000-00009FAF0000}"/>
    <cellStyle name="Vírgula 2 2 2 3 6 3 2 2" xfId="53202" xr:uid="{00000000-0005-0000-0000-0000A0AF0000}"/>
    <cellStyle name="Vírgula 2 2 2 3 6 3 3" xfId="21107" xr:uid="{00000000-0005-0000-0000-0000A1AF0000}"/>
    <cellStyle name="Vírgula 2 2 2 3 6 3 3 2" xfId="47294" xr:uid="{00000000-0005-0000-0000-0000A2AF0000}"/>
    <cellStyle name="Vírgula 2 2 2 3 6 3 4" xfId="15193" xr:uid="{00000000-0005-0000-0000-0000A3AF0000}"/>
    <cellStyle name="Vírgula 2 2 2 3 6 3 4 2" xfId="41386" xr:uid="{00000000-0005-0000-0000-0000A4AF0000}"/>
    <cellStyle name="Vírgula 2 2 2 3 6 3 5" xfId="35000" xr:uid="{00000000-0005-0000-0000-0000A5AF0000}"/>
    <cellStyle name="Vírgula 2 2 2 3 6 4" xfId="24064" xr:uid="{00000000-0005-0000-0000-0000A6AF0000}"/>
    <cellStyle name="Vírgula 2 2 2 3 6 4 2" xfId="50248" xr:uid="{00000000-0005-0000-0000-0000A7AF0000}"/>
    <cellStyle name="Vírgula 2 2 2 3 6 5" xfId="18150" xr:uid="{00000000-0005-0000-0000-0000A8AF0000}"/>
    <cellStyle name="Vírgula 2 2 2 3 6 5 2" xfId="44340" xr:uid="{00000000-0005-0000-0000-0000A9AF0000}"/>
    <cellStyle name="Vírgula 2 2 2 3 6 6" xfId="11819" xr:uid="{00000000-0005-0000-0000-0000AAAF0000}"/>
    <cellStyle name="Vírgula 2 2 2 3 6 6 2" xfId="38012" xr:uid="{00000000-0005-0000-0000-0000ABAF0000}"/>
    <cellStyle name="Vírgula 2 2 2 3 6 7" xfId="31628" xr:uid="{00000000-0005-0000-0000-0000ACAF0000}"/>
    <cellStyle name="Vírgula 2 2 2 3 7" xfId="6353" xr:uid="{00000000-0005-0000-0000-0000ADAF0000}"/>
    <cellStyle name="Vírgula 2 2 2 3 7 2" xfId="9531" xr:uid="{00000000-0005-0000-0000-0000AEAF0000}"/>
    <cellStyle name="Vírgula 2 2 2 3 7 2 2" xfId="27745" xr:uid="{00000000-0005-0000-0000-0000AFAF0000}"/>
    <cellStyle name="Vírgula 2 2 2 3 7 2 2 2" xfId="53926" xr:uid="{00000000-0005-0000-0000-0000B0AF0000}"/>
    <cellStyle name="Vírgula 2 2 2 3 7 2 3" xfId="21831" xr:uid="{00000000-0005-0000-0000-0000B1AF0000}"/>
    <cellStyle name="Vírgula 2 2 2 3 7 2 3 2" xfId="48018" xr:uid="{00000000-0005-0000-0000-0000B2AF0000}"/>
    <cellStyle name="Vírgula 2 2 2 3 7 2 4" xfId="15917" xr:uid="{00000000-0005-0000-0000-0000B3AF0000}"/>
    <cellStyle name="Vírgula 2 2 2 3 7 2 4 2" xfId="42110" xr:uid="{00000000-0005-0000-0000-0000B4AF0000}"/>
    <cellStyle name="Vírgula 2 2 2 3 7 2 5" xfId="35724" xr:uid="{00000000-0005-0000-0000-0000B5AF0000}"/>
    <cellStyle name="Vírgula 2 2 2 3 7 3" xfId="24788" xr:uid="{00000000-0005-0000-0000-0000B6AF0000}"/>
    <cellStyle name="Vírgula 2 2 2 3 7 3 2" xfId="50972" xr:uid="{00000000-0005-0000-0000-0000B7AF0000}"/>
    <cellStyle name="Vírgula 2 2 2 3 7 4" xfId="18874" xr:uid="{00000000-0005-0000-0000-0000B8AF0000}"/>
    <cellStyle name="Vírgula 2 2 2 3 7 4 2" xfId="45064" xr:uid="{00000000-0005-0000-0000-0000B9AF0000}"/>
    <cellStyle name="Vírgula 2 2 2 3 7 5" xfId="12742" xr:uid="{00000000-0005-0000-0000-0000BAAF0000}"/>
    <cellStyle name="Vírgula 2 2 2 3 7 5 2" xfId="38935" xr:uid="{00000000-0005-0000-0000-0000BBAF0000}"/>
    <cellStyle name="Vírgula 2 2 2 3 7 6" xfId="32549" xr:uid="{00000000-0005-0000-0000-0000BCAF0000}"/>
    <cellStyle name="Vírgula 2 2 2 3 8" xfId="8060" xr:uid="{00000000-0005-0000-0000-0000BDAF0000}"/>
    <cellStyle name="Vírgula 2 2 2 3 8 2" xfId="26274" xr:uid="{00000000-0005-0000-0000-0000BEAF0000}"/>
    <cellStyle name="Vírgula 2 2 2 3 8 2 2" xfId="52458" xr:uid="{00000000-0005-0000-0000-0000BFAF0000}"/>
    <cellStyle name="Vírgula 2 2 2 3 8 3" xfId="20360" xr:uid="{00000000-0005-0000-0000-0000C0AF0000}"/>
    <cellStyle name="Vírgula 2 2 2 3 8 3 2" xfId="46550" xr:uid="{00000000-0005-0000-0000-0000C1AF0000}"/>
    <cellStyle name="Vírgula 2 2 2 3 8 4" xfId="14449" xr:uid="{00000000-0005-0000-0000-0000C2AF0000}"/>
    <cellStyle name="Vírgula 2 2 2 3 8 4 2" xfId="40642" xr:uid="{00000000-0005-0000-0000-0000C3AF0000}"/>
    <cellStyle name="Vírgula 2 2 2 3 8 5" xfId="34256" xr:uid="{00000000-0005-0000-0000-0000C4AF0000}"/>
    <cellStyle name="Vírgula 2 2 2 3 9" xfId="4650" xr:uid="{00000000-0005-0000-0000-0000C5AF0000}"/>
    <cellStyle name="Vírgula 2 2 2 3 9 2" xfId="23317" xr:uid="{00000000-0005-0000-0000-0000C6AF0000}"/>
    <cellStyle name="Vírgula 2 2 2 3 9 2 2" xfId="49504" xr:uid="{00000000-0005-0000-0000-0000C7AF0000}"/>
    <cellStyle name="Vírgula 2 2 2 3 9 3" xfId="30850" xr:uid="{00000000-0005-0000-0000-0000C8AF0000}"/>
    <cellStyle name="Vírgula 2 2 2 4" xfId="3052" xr:uid="{00000000-0005-0000-0000-0000C9AF0000}"/>
    <cellStyle name="Vírgula 2 2 2 4 10" xfId="11073" xr:uid="{00000000-0005-0000-0000-0000CAAF0000}"/>
    <cellStyle name="Vírgula 2 2 2 4 10 2" xfId="37266" xr:uid="{00000000-0005-0000-0000-0000CBAF0000}"/>
    <cellStyle name="Vírgula 2 2 2 4 11" xfId="30077" xr:uid="{00000000-0005-0000-0000-0000CCAF0000}"/>
    <cellStyle name="Vírgula 2 2 2 4 2" xfId="4359" xr:uid="{00000000-0005-0000-0000-0000CDAF0000}"/>
    <cellStyle name="Vírgula 2 2 2 4 2 2" xfId="7760" xr:uid="{00000000-0005-0000-0000-0000CEAF0000}"/>
    <cellStyle name="Vírgula 2 2 2 4 2 2 2" xfId="10832" xr:uid="{00000000-0005-0000-0000-0000CFAF0000}"/>
    <cellStyle name="Vírgula 2 2 2 4 2 2 2 2" xfId="29046" xr:uid="{00000000-0005-0000-0000-0000D0AF0000}"/>
    <cellStyle name="Vírgula 2 2 2 4 2 2 2 2 2" xfId="55227" xr:uid="{00000000-0005-0000-0000-0000D1AF0000}"/>
    <cellStyle name="Vírgula 2 2 2 4 2 2 2 3" xfId="23132" xr:uid="{00000000-0005-0000-0000-0000D2AF0000}"/>
    <cellStyle name="Vírgula 2 2 2 4 2 2 2 3 2" xfId="49319" xr:uid="{00000000-0005-0000-0000-0000D3AF0000}"/>
    <cellStyle name="Vírgula 2 2 2 4 2 2 2 4" xfId="17218" xr:uid="{00000000-0005-0000-0000-0000D4AF0000}"/>
    <cellStyle name="Vírgula 2 2 2 4 2 2 2 4 2" xfId="43411" xr:uid="{00000000-0005-0000-0000-0000D5AF0000}"/>
    <cellStyle name="Vírgula 2 2 2 4 2 2 2 5" xfId="37025" xr:uid="{00000000-0005-0000-0000-0000D6AF0000}"/>
    <cellStyle name="Vírgula 2 2 2 4 2 2 3" xfId="26089" xr:uid="{00000000-0005-0000-0000-0000D7AF0000}"/>
    <cellStyle name="Vírgula 2 2 2 4 2 2 3 2" xfId="52273" xr:uid="{00000000-0005-0000-0000-0000D8AF0000}"/>
    <cellStyle name="Vírgula 2 2 2 4 2 2 4" xfId="20175" xr:uid="{00000000-0005-0000-0000-0000D9AF0000}"/>
    <cellStyle name="Vírgula 2 2 2 4 2 2 4 2" xfId="46365" xr:uid="{00000000-0005-0000-0000-0000DAAF0000}"/>
    <cellStyle name="Vírgula 2 2 2 4 2 2 5" xfId="14149" xr:uid="{00000000-0005-0000-0000-0000DBAF0000}"/>
    <cellStyle name="Vírgula 2 2 2 4 2 2 5 2" xfId="40342" xr:uid="{00000000-0005-0000-0000-0000DCAF0000}"/>
    <cellStyle name="Vírgula 2 2 2 4 2 2 6" xfId="33956" xr:uid="{00000000-0005-0000-0000-0000DDAF0000}"/>
    <cellStyle name="Vírgula 2 2 2 4 2 3" xfId="9364" xr:uid="{00000000-0005-0000-0000-0000DEAF0000}"/>
    <cellStyle name="Vírgula 2 2 2 4 2 3 2" xfId="27578" xr:uid="{00000000-0005-0000-0000-0000DFAF0000}"/>
    <cellStyle name="Vírgula 2 2 2 4 2 3 2 2" xfId="53759" xr:uid="{00000000-0005-0000-0000-0000E0AF0000}"/>
    <cellStyle name="Vírgula 2 2 2 4 2 3 3" xfId="21664" xr:uid="{00000000-0005-0000-0000-0000E1AF0000}"/>
    <cellStyle name="Vírgula 2 2 2 4 2 3 3 2" xfId="47851" xr:uid="{00000000-0005-0000-0000-0000E2AF0000}"/>
    <cellStyle name="Vírgula 2 2 2 4 2 3 4" xfId="15750" xr:uid="{00000000-0005-0000-0000-0000E3AF0000}"/>
    <cellStyle name="Vírgula 2 2 2 4 2 3 4 2" xfId="41943" xr:uid="{00000000-0005-0000-0000-0000E4AF0000}"/>
    <cellStyle name="Vírgula 2 2 2 4 2 3 5" xfId="35557" xr:uid="{00000000-0005-0000-0000-0000E5AF0000}"/>
    <cellStyle name="Vírgula 2 2 2 4 2 4" xfId="6060" xr:uid="{00000000-0005-0000-0000-0000E6AF0000}"/>
    <cellStyle name="Vírgula 2 2 2 4 2 4 2" xfId="24621" xr:uid="{00000000-0005-0000-0000-0000E7AF0000}"/>
    <cellStyle name="Vírgula 2 2 2 4 2 4 2 2" xfId="50805" xr:uid="{00000000-0005-0000-0000-0000E8AF0000}"/>
    <cellStyle name="Vírgula 2 2 2 4 2 4 3" xfId="32256" xr:uid="{00000000-0005-0000-0000-0000E9AF0000}"/>
    <cellStyle name="Vírgula 2 2 2 4 2 5" xfId="18707" xr:uid="{00000000-0005-0000-0000-0000EAAF0000}"/>
    <cellStyle name="Vírgula 2 2 2 4 2 5 2" xfId="44897" xr:uid="{00000000-0005-0000-0000-0000EBAF0000}"/>
    <cellStyle name="Vírgula 2 2 2 4 2 6" xfId="12448" xr:uid="{00000000-0005-0000-0000-0000ECAF0000}"/>
    <cellStyle name="Vírgula 2 2 2 4 2 6 2" xfId="38641" xr:uid="{00000000-0005-0000-0000-0000EDAF0000}"/>
    <cellStyle name="Vírgula 2 2 2 4 2 7" xfId="30559" xr:uid="{00000000-0005-0000-0000-0000EEAF0000}"/>
    <cellStyle name="Vírgula 2 2 2 4 3" xfId="4467" xr:uid="{00000000-0005-0000-0000-0000EFAF0000}"/>
    <cellStyle name="Vírgula 2 2 2 4 3 2" xfId="7869" xr:uid="{00000000-0005-0000-0000-0000F0AF0000}"/>
    <cellStyle name="Vírgula 2 2 2 4 3 2 2" xfId="10894" xr:uid="{00000000-0005-0000-0000-0000F1AF0000}"/>
    <cellStyle name="Vírgula 2 2 2 4 3 2 2 2" xfId="29108" xr:uid="{00000000-0005-0000-0000-0000F2AF0000}"/>
    <cellStyle name="Vírgula 2 2 2 4 3 2 2 2 2" xfId="55289" xr:uid="{00000000-0005-0000-0000-0000F3AF0000}"/>
    <cellStyle name="Vírgula 2 2 2 4 3 2 2 3" xfId="23194" xr:uid="{00000000-0005-0000-0000-0000F4AF0000}"/>
    <cellStyle name="Vírgula 2 2 2 4 3 2 2 3 2" xfId="49381" xr:uid="{00000000-0005-0000-0000-0000F5AF0000}"/>
    <cellStyle name="Vírgula 2 2 2 4 3 2 2 4" xfId="17280" xr:uid="{00000000-0005-0000-0000-0000F6AF0000}"/>
    <cellStyle name="Vírgula 2 2 2 4 3 2 2 4 2" xfId="43473" xr:uid="{00000000-0005-0000-0000-0000F7AF0000}"/>
    <cellStyle name="Vírgula 2 2 2 4 3 2 2 5" xfId="37087" xr:uid="{00000000-0005-0000-0000-0000F8AF0000}"/>
    <cellStyle name="Vírgula 2 2 2 4 3 2 3" xfId="26151" xr:uid="{00000000-0005-0000-0000-0000F9AF0000}"/>
    <cellStyle name="Vírgula 2 2 2 4 3 2 3 2" xfId="52335" xr:uid="{00000000-0005-0000-0000-0000FAAF0000}"/>
    <cellStyle name="Vírgula 2 2 2 4 3 2 4" xfId="20237" xr:uid="{00000000-0005-0000-0000-0000FBAF0000}"/>
    <cellStyle name="Vírgula 2 2 2 4 3 2 4 2" xfId="46427" xr:uid="{00000000-0005-0000-0000-0000FCAF0000}"/>
    <cellStyle name="Vírgula 2 2 2 4 3 2 5" xfId="14258" xr:uid="{00000000-0005-0000-0000-0000FDAF0000}"/>
    <cellStyle name="Vírgula 2 2 2 4 3 2 5 2" xfId="40451" xr:uid="{00000000-0005-0000-0000-0000FEAF0000}"/>
    <cellStyle name="Vírgula 2 2 2 4 3 2 6" xfId="34065" xr:uid="{00000000-0005-0000-0000-0000FFAF0000}"/>
    <cellStyle name="Vírgula 2 2 2 4 3 3" xfId="9426" xr:uid="{00000000-0005-0000-0000-000000B00000}"/>
    <cellStyle name="Vírgula 2 2 2 4 3 3 2" xfId="27640" xr:uid="{00000000-0005-0000-0000-000001B00000}"/>
    <cellStyle name="Vírgula 2 2 2 4 3 3 2 2" xfId="53821" xr:uid="{00000000-0005-0000-0000-000002B00000}"/>
    <cellStyle name="Vírgula 2 2 2 4 3 3 3" xfId="21726" xr:uid="{00000000-0005-0000-0000-000003B00000}"/>
    <cellStyle name="Vírgula 2 2 2 4 3 3 3 2" xfId="47913" xr:uid="{00000000-0005-0000-0000-000004B00000}"/>
    <cellStyle name="Vírgula 2 2 2 4 3 3 4" xfId="15812" xr:uid="{00000000-0005-0000-0000-000005B00000}"/>
    <cellStyle name="Vírgula 2 2 2 4 3 3 4 2" xfId="42005" xr:uid="{00000000-0005-0000-0000-000006B00000}"/>
    <cellStyle name="Vírgula 2 2 2 4 3 3 5" xfId="35619" xr:uid="{00000000-0005-0000-0000-000007B00000}"/>
    <cellStyle name="Vírgula 2 2 2 4 3 4" xfId="6168" xr:uid="{00000000-0005-0000-0000-000008B00000}"/>
    <cellStyle name="Vírgula 2 2 2 4 3 4 2" xfId="24683" xr:uid="{00000000-0005-0000-0000-000009B00000}"/>
    <cellStyle name="Vírgula 2 2 2 4 3 4 2 2" xfId="50867" xr:uid="{00000000-0005-0000-0000-00000AB00000}"/>
    <cellStyle name="Vírgula 2 2 2 4 3 4 3" xfId="32364" xr:uid="{00000000-0005-0000-0000-00000BB00000}"/>
    <cellStyle name="Vírgula 2 2 2 4 3 5" xfId="18769" xr:uid="{00000000-0005-0000-0000-00000CB00000}"/>
    <cellStyle name="Vírgula 2 2 2 4 3 5 2" xfId="44959" xr:uid="{00000000-0005-0000-0000-00000DB00000}"/>
    <cellStyle name="Vírgula 2 2 2 4 3 6" xfId="12557" xr:uid="{00000000-0005-0000-0000-00000EB00000}"/>
    <cellStyle name="Vírgula 2 2 2 4 3 6 2" xfId="38750" xr:uid="{00000000-0005-0000-0000-00000FB00000}"/>
    <cellStyle name="Vírgula 2 2 2 4 3 7" xfId="30667" xr:uid="{00000000-0005-0000-0000-000010B00000}"/>
    <cellStyle name="Vírgula 2 2 2 4 4" xfId="4575" xr:uid="{00000000-0005-0000-0000-000011B00000}"/>
    <cellStyle name="Vírgula 2 2 2 4 4 2" xfId="7977" xr:uid="{00000000-0005-0000-0000-000012B00000}"/>
    <cellStyle name="Vírgula 2 2 2 4 4 2 2" xfId="10956" xr:uid="{00000000-0005-0000-0000-000013B00000}"/>
    <cellStyle name="Vírgula 2 2 2 4 4 2 2 2" xfId="29170" xr:uid="{00000000-0005-0000-0000-000014B00000}"/>
    <cellStyle name="Vírgula 2 2 2 4 4 2 2 2 2" xfId="55351" xr:uid="{00000000-0005-0000-0000-000015B00000}"/>
    <cellStyle name="Vírgula 2 2 2 4 4 2 2 3" xfId="23256" xr:uid="{00000000-0005-0000-0000-000016B00000}"/>
    <cellStyle name="Vírgula 2 2 2 4 4 2 2 3 2" xfId="49443" xr:uid="{00000000-0005-0000-0000-000017B00000}"/>
    <cellStyle name="Vírgula 2 2 2 4 4 2 2 4" xfId="17342" xr:uid="{00000000-0005-0000-0000-000018B00000}"/>
    <cellStyle name="Vírgula 2 2 2 4 4 2 2 4 2" xfId="43535" xr:uid="{00000000-0005-0000-0000-000019B00000}"/>
    <cellStyle name="Vírgula 2 2 2 4 4 2 2 5" xfId="37149" xr:uid="{00000000-0005-0000-0000-00001AB00000}"/>
    <cellStyle name="Vírgula 2 2 2 4 4 2 3" xfId="26213" xr:uid="{00000000-0005-0000-0000-00001BB00000}"/>
    <cellStyle name="Vírgula 2 2 2 4 4 2 3 2" xfId="52397" xr:uid="{00000000-0005-0000-0000-00001CB00000}"/>
    <cellStyle name="Vírgula 2 2 2 4 4 2 4" xfId="20299" xr:uid="{00000000-0005-0000-0000-00001DB00000}"/>
    <cellStyle name="Vírgula 2 2 2 4 4 2 4 2" xfId="46489" xr:uid="{00000000-0005-0000-0000-00001EB00000}"/>
    <cellStyle name="Vírgula 2 2 2 4 4 2 5" xfId="14366" xr:uid="{00000000-0005-0000-0000-00001FB00000}"/>
    <cellStyle name="Vírgula 2 2 2 4 4 2 5 2" xfId="40559" xr:uid="{00000000-0005-0000-0000-000020B00000}"/>
    <cellStyle name="Vírgula 2 2 2 4 4 2 6" xfId="34173" xr:uid="{00000000-0005-0000-0000-000021B00000}"/>
    <cellStyle name="Vírgula 2 2 2 4 4 3" xfId="9488" xr:uid="{00000000-0005-0000-0000-000022B00000}"/>
    <cellStyle name="Vírgula 2 2 2 4 4 3 2" xfId="27702" xr:uid="{00000000-0005-0000-0000-000023B00000}"/>
    <cellStyle name="Vírgula 2 2 2 4 4 3 2 2" xfId="53883" xr:uid="{00000000-0005-0000-0000-000024B00000}"/>
    <cellStyle name="Vírgula 2 2 2 4 4 3 3" xfId="21788" xr:uid="{00000000-0005-0000-0000-000025B00000}"/>
    <cellStyle name="Vírgula 2 2 2 4 4 3 3 2" xfId="47975" xr:uid="{00000000-0005-0000-0000-000026B00000}"/>
    <cellStyle name="Vírgula 2 2 2 4 4 3 4" xfId="15874" xr:uid="{00000000-0005-0000-0000-000027B00000}"/>
    <cellStyle name="Vírgula 2 2 2 4 4 3 4 2" xfId="42067" xr:uid="{00000000-0005-0000-0000-000028B00000}"/>
    <cellStyle name="Vírgula 2 2 2 4 4 3 5" xfId="35681" xr:uid="{00000000-0005-0000-0000-000029B00000}"/>
    <cellStyle name="Vírgula 2 2 2 4 4 4" xfId="6276" xr:uid="{00000000-0005-0000-0000-00002AB00000}"/>
    <cellStyle name="Vírgula 2 2 2 4 4 4 2" xfId="24745" xr:uid="{00000000-0005-0000-0000-00002BB00000}"/>
    <cellStyle name="Vírgula 2 2 2 4 4 4 2 2" xfId="50929" xr:uid="{00000000-0005-0000-0000-00002CB00000}"/>
    <cellStyle name="Vírgula 2 2 2 4 4 4 3" xfId="32472" xr:uid="{00000000-0005-0000-0000-00002DB00000}"/>
    <cellStyle name="Vírgula 2 2 2 4 4 5" xfId="18831" xr:uid="{00000000-0005-0000-0000-00002EB00000}"/>
    <cellStyle name="Vírgula 2 2 2 4 4 5 2" xfId="45021" xr:uid="{00000000-0005-0000-0000-00002FB00000}"/>
    <cellStyle name="Vírgula 2 2 2 4 4 6" xfId="12665" xr:uid="{00000000-0005-0000-0000-000030B00000}"/>
    <cellStyle name="Vírgula 2 2 2 4 4 6 2" xfId="38858" xr:uid="{00000000-0005-0000-0000-000031B00000}"/>
    <cellStyle name="Vírgula 2 2 2 4 4 7" xfId="30775" xr:uid="{00000000-0005-0000-0000-000032B00000}"/>
    <cellStyle name="Vírgula 2 2 2 4 5" xfId="5579" xr:uid="{00000000-0005-0000-0000-000033B00000}"/>
    <cellStyle name="Vírgula 2 2 2 4 5 2" xfId="7278" xr:uid="{00000000-0005-0000-0000-000034B00000}"/>
    <cellStyle name="Vírgula 2 2 2 4 5 2 2" xfId="10422" xr:uid="{00000000-0005-0000-0000-000035B00000}"/>
    <cellStyle name="Vírgula 2 2 2 4 5 2 2 2" xfId="28636" xr:uid="{00000000-0005-0000-0000-000036B00000}"/>
    <cellStyle name="Vírgula 2 2 2 4 5 2 2 2 2" xfId="54817" xr:uid="{00000000-0005-0000-0000-000037B00000}"/>
    <cellStyle name="Vírgula 2 2 2 4 5 2 2 3" xfId="22722" xr:uid="{00000000-0005-0000-0000-000038B00000}"/>
    <cellStyle name="Vírgula 2 2 2 4 5 2 2 3 2" xfId="48909" xr:uid="{00000000-0005-0000-0000-000039B00000}"/>
    <cellStyle name="Vírgula 2 2 2 4 5 2 2 4" xfId="16808" xr:uid="{00000000-0005-0000-0000-00003AB00000}"/>
    <cellStyle name="Vírgula 2 2 2 4 5 2 2 4 2" xfId="43001" xr:uid="{00000000-0005-0000-0000-00003BB00000}"/>
    <cellStyle name="Vírgula 2 2 2 4 5 2 2 5" xfId="36615" xr:uid="{00000000-0005-0000-0000-00003CB00000}"/>
    <cellStyle name="Vírgula 2 2 2 4 5 2 3" xfId="25679" xr:uid="{00000000-0005-0000-0000-00003DB00000}"/>
    <cellStyle name="Vírgula 2 2 2 4 5 2 3 2" xfId="51863" xr:uid="{00000000-0005-0000-0000-00003EB00000}"/>
    <cellStyle name="Vírgula 2 2 2 4 5 2 4" xfId="19765" xr:uid="{00000000-0005-0000-0000-00003FB00000}"/>
    <cellStyle name="Vírgula 2 2 2 4 5 2 4 2" xfId="45955" xr:uid="{00000000-0005-0000-0000-000040B00000}"/>
    <cellStyle name="Vírgula 2 2 2 4 5 2 5" xfId="13667" xr:uid="{00000000-0005-0000-0000-000041B00000}"/>
    <cellStyle name="Vírgula 2 2 2 4 5 2 5 2" xfId="39860" xr:uid="{00000000-0005-0000-0000-000042B00000}"/>
    <cellStyle name="Vírgula 2 2 2 4 5 2 6" xfId="33474" xr:uid="{00000000-0005-0000-0000-000043B00000}"/>
    <cellStyle name="Vírgula 2 2 2 4 5 3" xfId="8954" xr:uid="{00000000-0005-0000-0000-000044B00000}"/>
    <cellStyle name="Vírgula 2 2 2 4 5 3 2" xfId="27168" xr:uid="{00000000-0005-0000-0000-000045B00000}"/>
    <cellStyle name="Vírgula 2 2 2 4 5 3 2 2" xfId="53349" xr:uid="{00000000-0005-0000-0000-000046B00000}"/>
    <cellStyle name="Vírgula 2 2 2 4 5 3 3" xfId="21254" xr:uid="{00000000-0005-0000-0000-000047B00000}"/>
    <cellStyle name="Vírgula 2 2 2 4 5 3 3 2" xfId="47441" xr:uid="{00000000-0005-0000-0000-000048B00000}"/>
    <cellStyle name="Vírgula 2 2 2 4 5 3 4" xfId="15340" xr:uid="{00000000-0005-0000-0000-000049B00000}"/>
    <cellStyle name="Vírgula 2 2 2 4 5 3 4 2" xfId="41533" xr:uid="{00000000-0005-0000-0000-00004AB00000}"/>
    <cellStyle name="Vírgula 2 2 2 4 5 3 5" xfId="35147" xr:uid="{00000000-0005-0000-0000-00004BB00000}"/>
    <cellStyle name="Vírgula 2 2 2 4 5 4" xfId="24211" xr:uid="{00000000-0005-0000-0000-00004CB00000}"/>
    <cellStyle name="Vírgula 2 2 2 4 5 4 2" xfId="50395" xr:uid="{00000000-0005-0000-0000-00004DB00000}"/>
    <cellStyle name="Vírgula 2 2 2 4 5 5" xfId="18297" xr:uid="{00000000-0005-0000-0000-00004EB00000}"/>
    <cellStyle name="Vírgula 2 2 2 4 5 5 2" xfId="44487" xr:uid="{00000000-0005-0000-0000-00004FB00000}"/>
    <cellStyle name="Vírgula 2 2 2 4 5 6" xfId="11966" xr:uid="{00000000-0005-0000-0000-000050B00000}"/>
    <cellStyle name="Vírgula 2 2 2 4 5 6 2" xfId="38159" xr:uid="{00000000-0005-0000-0000-000051B00000}"/>
    <cellStyle name="Vírgula 2 2 2 4 5 7" xfId="31775" xr:uid="{00000000-0005-0000-0000-000052B00000}"/>
    <cellStyle name="Vírgula 2 2 2 4 6" xfId="6385" xr:uid="{00000000-0005-0000-0000-000053B00000}"/>
    <cellStyle name="Vírgula 2 2 2 4 6 2" xfId="9550" xr:uid="{00000000-0005-0000-0000-000054B00000}"/>
    <cellStyle name="Vírgula 2 2 2 4 6 2 2" xfId="27764" xr:uid="{00000000-0005-0000-0000-000055B00000}"/>
    <cellStyle name="Vírgula 2 2 2 4 6 2 2 2" xfId="53945" xr:uid="{00000000-0005-0000-0000-000056B00000}"/>
    <cellStyle name="Vírgula 2 2 2 4 6 2 3" xfId="21850" xr:uid="{00000000-0005-0000-0000-000057B00000}"/>
    <cellStyle name="Vírgula 2 2 2 4 6 2 3 2" xfId="48037" xr:uid="{00000000-0005-0000-0000-000058B00000}"/>
    <cellStyle name="Vírgula 2 2 2 4 6 2 4" xfId="15936" xr:uid="{00000000-0005-0000-0000-000059B00000}"/>
    <cellStyle name="Vírgula 2 2 2 4 6 2 4 2" xfId="42129" xr:uid="{00000000-0005-0000-0000-00005AB00000}"/>
    <cellStyle name="Vírgula 2 2 2 4 6 2 5" xfId="35743" xr:uid="{00000000-0005-0000-0000-00005BB00000}"/>
    <cellStyle name="Vírgula 2 2 2 4 6 3" xfId="24807" xr:uid="{00000000-0005-0000-0000-00005CB00000}"/>
    <cellStyle name="Vírgula 2 2 2 4 6 3 2" xfId="50991" xr:uid="{00000000-0005-0000-0000-00005DB00000}"/>
    <cellStyle name="Vírgula 2 2 2 4 6 4" xfId="18893" xr:uid="{00000000-0005-0000-0000-00005EB00000}"/>
    <cellStyle name="Vírgula 2 2 2 4 6 4 2" xfId="45083" xr:uid="{00000000-0005-0000-0000-00005FB00000}"/>
    <cellStyle name="Vírgula 2 2 2 4 6 5" xfId="12774" xr:uid="{00000000-0005-0000-0000-000060B00000}"/>
    <cellStyle name="Vírgula 2 2 2 4 6 5 2" xfId="38967" xr:uid="{00000000-0005-0000-0000-000061B00000}"/>
    <cellStyle name="Vírgula 2 2 2 4 6 6" xfId="32581" xr:uid="{00000000-0005-0000-0000-000062B00000}"/>
    <cellStyle name="Vírgula 2 2 2 4 7" xfId="8079" xr:uid="{00000000-0005-0000-0000-000063B00000}"/>
    <cellStyle name="Vírgula 2 2 2 4 7 2" xfId="26293" xr:uid="{00000000-0005-0000-0000-000064B00000}"/>
    <cellStyle name="Vírgula 2 2 2 4 7 2 2" xfId="52477" xr:uid="{00000000-0005-0000-0000-000065B00000}"/>
    <cellStyle name="Vírgula 2 2 2 4 7 3" xfId="20379" xr:uid="{00000000-0005-0000-0000-000066B00000}"/>
    <cellStyle name="Vírgula 2 2 2 4 7 3 2" xfId="46569" xr:uid="{00000000-0005-0000-0000-000067B00000}"/>
    <cellStyle name="Vírgula 2 2 2 4 7 4" xfId="14468" xr:uid="{00000000-0005-0000-0000-000068B00000}"/>
    <cellStyle name="Vírgula 2 2 2 4 7 4 2" xfId="40661" xr:uid="{00000000-0005-0000-0000-000069B00000}"/>
    <cellStyle name="Vírgula 2 2 2 4 7 5" xfId="34275" xr:uid="{00000000-0005-0000-0000-00006AB00000}"/>
    <cellStyle name="Vírgula 2 2 2 4 8" xfId="4682" xr:uid="{00000000-0005-0000-0000-00006BB00000}"/>
    <cellStyle name="Vírgula 2 2 2 4 8 2" xfId="23336" xr:uid="{00000000-0005-0000-0000-00006CB00000}"/>
    <cellStyle name="Vírgula 2 2 2 4 8 2 2" xfId="49523" xr:uid="{00000000-0005-0000-0000-00006DB00000}"/>
    <cellStyle name="Vírgula 2 2 2 4 8 3" xfId="30882" xr:uid="{00000000-0005-0000-0000-00006EB00000}"/>
    <cellStyle name="Vírgula 2 2 2 4 9" xfId="17422" xr:uid="{00000000-0005-0000-0000-00006FB00000}"/>
    <cellStyle name="Vírgula 2 2 2 4 9 2" xfId="43615" xr:uid="{00000000-0005-0000-0000-000070B00000}"/>
    <cellStyle name="Vírgula 2 2 2 5" xfId="3579" xr:uid="{00000000-0005-0000-0000-000071B00000}"/>
    <cellStyle name="Vírgula 2 2 2 5 2" xfId="7425" xr:uid="{00000000-0005-0000-0000-000072B00000}"/>
    <cellStyle name="Vírgula 2 2 2 5 2 2" xfId="10569" xr:uid="{00000000-0005-0000-0000-000073B00000}"/>
    <cellStyle name="Vírgula 2 2 2 5 2 2 2" xfId="28783" xr:uid="{00000000-0005-0000-0000-000074B00000}"/>
    <cellStyle name="Vírgula 2 2 2 5 2 2 2 2" xfId="54964" xr:uid="{00000000-0005-0000-0000-000075B00000}"/>
    <cellStyle name="Vírgula 2 2 2 5 2 2 3" xfId="22869" xr:uid="{00000000-0005-0000-0000-000076B00000}"/>
    <cellStyle name="Vírgula 2 2 2 5 2 2 3 2" xfId="49056" xr:uid="{00000000-0005-0000-0000-000077B00000}"/>
    <cellStyle name="Vírgula 2 2 2 5 2 2 4" xfId="16955" xr:uid="{00000000-0005-0000-0000-000078B00000}"/>
    <cellStyle name="Vírgula 2 2 2 5 2 2 4 2" xfId="43148" xr:uid="{00000000-0005-0000-0000-000079B00000}"/>
    <cellStyle name="Vírgula 2 2 2 5 2 2 5" xfId="36762" xr:uid="{00000000-0005-0000-0000-00007AB00000}"/>
    <cellStyle name="Vírgula 2 2 2 5 2 3" xfId="25826" xr:uid="{00000000-0005-0000-0000-00007BB00000}"/>
    <cellStyle name="Vírgula 2 2 2 5 2 3 2" xfId="52010" xr:uid="{00000000-0005-0000-0000-00007CB00000}"/>
    <cellStyle name="Vírgula 2 2 2 5 2 4" xfId="19912" xr:uid="{00000000-0005-0000-0000-00007DB00000}"/>
    <cellStyle name="Vírgula 2 2 2 5 2 4 2" xfId="46102" xr:uid="{00000000-0005-0000-0000-00007EB00000}"/>
    <cellStyle name="Vírgula 2 2 2 5 2 5" xfId="13814" xr:uid="{00000000-0005-0000-0000-00007FB00000}"/>
    <cellStyle name="Vírgula 2 2 2 5 2 5 2" xfId="40007" xr:uid="{00000000-0005-0000-0000-000080B00000}"/>
    <cellStyle name="Vírgula 2 2 2 5 2 6" xfId="33621" xr:uid="{00000000-0005-0000-0000-000081B00000}"/>
    <cellStyle name="Vírgula 2 2 2 5 3" xfId="9101" xr:uid="{00000000-0005-0000-0000-000082B00000}"/>
    <cellStyle name="Vírgula 2 2 2 5 3 2" xfId="27315" xr:uid="{00000000-0005-0000-0000-000083B00000}"/>
    <cellStyle name="Vírgula 2 2 2 5 3 2 2" xfId="53496" xr:uid="{00000000-0005-0000-0000-000084B00000}"/>
    <cellStyle name="Vírgula 2 2 2 5 3 3" xfId="21401" xr:uid="{00000000-0005-0000-0000-000085B00000}"/>
    <cellStyle name="Vírgula 2 2 2 5 3 3 2" xfId="47588" xr:uid="{00000000-0005-0000-0000-000086B00000}"/>
    <cellStyle name="Vírgula 2 2 2 5 3 4" xfId="15487" xr:uid="{00000000-0005-0000-0000-000087B00000}"/>
    <cellStyle name="Vírgula 2 2 2 5 3 4 2" xfId="41680" xr:uid="{00000000-0005-0000-0000-000088B00000}"/>
    <cellStyle name="Vírgula 2 2 2 5 3 5" xfId="35294" xr:uid="{00000000-0005-0000-0000-000089B00000}"/>
    <cellStyle name="Vírgula 2 2 2 5 4" xfId="5726" xr:uid="{00000000-0005-0000-0000-00008AB00000}"/>
    <cellStyle name="Vírgula 2 2 2 5 4 2" xfId="24358" xr:uid="{00000000-0005-0000-0000-00008BB00000}"/>
    <cellStyle name="Vírgula 2 2 2 5 4 2 2" xfId="50542" xr:uid="{00000000-0005-0000-0000-00008CB00000}"/>
    <cellStyle name="Vírgula 2 2 2 5 4 3" xfId="31922" xr:uid="{00000000-0005-0000-0000-00008DB00000}"/>
    <cellStyle name="Vírgula 2 2 2 5 5" xfId="18444" xr:uid="{00000000-0005-0000-0000-00008EB00000}"/>
    <cellStyle name="Vírgula 2 2 2 5 5 2" xfId="44634" xr:uid="{00000000-0005-0000-0000-00008FB00000}"/>
    <cellStyle name="Vírgula 2 2 2 5 6" xfId="12113" xr:uid="{00000000-0005-0000-0000-000090B00000}"/>
    <cellStyle name="Vírgula 2 2 2 5 6 2" xfId="38306" xr:uid="{00000000-0005-0000-0000-000091B00000}"/>
    <cellStyle name="Vírgula 2 2 2 5 7" xfId="30224" xr:uid="{00000000-0005-0000-0000-000092B00000}"/>
    <cellStyle name="Vírgula 2 2 2 6" xfId="4106" xr:uid="{00000000-0005-0000-0000-000093B00000}"/>
    <cellStyle name="Vírgula 2 2 2 6 2" xfId="7572" xr:uid="{00000000-0005-0000-0000-000094B00000}"/>
    <cellStyle name="Vírgula 2 2 2 6 2 2" xfId="10716" xr:uid="{00000000-0005-0000-0000-000095B00000}"/>
    <cellStyle name="Vírgula 2 2 2 6 2 2 2" xfId="28930" xr:uid="{00000000-0005-0000-0000-000096B00000}"/>
    <cellStyle name="Vírgula 2 2 2 6 2 2 2 2" xfId="55111" xr:uid="{00000000-0005-0000-0000-000097B00000}"/>
    <cellStyle name="Vírgula 2 2 2 6 2 2 3" xfId="23016" xr:uid="{00000000-0005-0000-0000-000098B00000}"/>
    <cellStyle name="Vírgula 2 2 2 6 2 2 3 2" xfId="49203" xr:uid="{00000000-0005-0000-0000-000099B00000}"/>
    <cellStyle name="Vírgula 2 2 2 6 2 2 4" xfId="17102" xr:uid="{00000000-0005-0000-0000-00009AB00000}"/>
    <cellStyle name="Vírgula 2 2 2 6 2 2 4 2" xfId="43295" xr:uid="{00000000-0005-0000-0000-00009BB00000}"/>
    <cellStyle name="Vírgula 2 2 2 6 2 2 5" xfId="36909" xr:uid="{00000000-0005-0000-0000-00009CB00000}"/>
    <cellStyle name="Vírgula 2 2 2 6 2 3" xfId="25973" xr:uid="{00000000-0005-0000-0000-00009DB00000}"/>
    <cellStyle name="Vírgula 2 2 2 6 2 3 2" xfId="52157" xr:uid="{00000000-0005-0000-0000-00009EB00000}"/>
    <cellStyle name="Vírgula 2 2 2 6 2 4" xfId="20059" xr:uid="{00000000-0005-0000-0000-00009FB00000}"/>
    <cellStyle name="Vírgula 2 2 2 6 2 4 2" xfId="46249" xr:uid="{00000000-0005-0000-0000-0000A0B00000}"/>
    <cellStyle name="Vírgula 2 2 2 6 2 5" xfId="13961" xr:uid="{00000000-0005-0000-0000-0000A1B00000}"/>
    <cellStyle name="Vírgula 2 2 2 6 2 5 2" xfId="40154" xr:uid="{00000000-0005-0000-0000-0000A2B00000}"/>
    <cellStyle name="Vírgula 2 2 2 6 2 6" xfId="33768" xr:uid="{00000000-0005-0000-0000-0000A3B00000}"/>
    <cellStyle name="Vírgula 2 2 2 6 3" xfId="9248" xr:uid="{00000000-0005-0000-0000-0000A4B00000}"/>
    <cellStyle name="Vírgula 2 2 2 6 3 2" xfId="27462" xr:uid="{00000000-0005-0000-0000-0000A5B00000}"/>
    <cellStyle name="Vírgula 2 2 2 6 3 2 2" xfId="53643" xr:uid="{00000000-0005-0000-0000-0000A6B00000}"/>
    <cellStyle name="Vírgula 2 2 2 6 3 3" xfId="21548" xr:uid="{00000000-0005-0000-0000-0000A7B00000}"/>
    <cellStyle name="Vírgula 2 2 2 6 3 3 2" xfId="47735" xr:uid="{00000000-0005-0000-0000-0000A8B00000}"/>
    <cellStyle name="Vírgula 2 2 2 6 3 4" xfId="15634" xr:uid="{00000000-0005-0000-0000-0000A9B00000}"/>
    <cellStyle name="Vírgula 2 2 2 6 3 4 2" xfId="41827" xr:uid="{00000000-0005-0000-0000-0000AAB00000}"/>
    <cellStyle name="Vírgula 2 2 2 6 3 5" xfId="35441" xr:uid="{00000000-0005-0000-0000-0000ABB00000}"/>
    <cellStyle name="Vírgula 2 2 2 6 4" xfId="5873" xr:uid="{00000000-0005-0000-0000-0000ACB00000}"/>
    <cellStyle name="Vírgula 2 2 2 6 4 2" xfId="24505" xr:uid="{00000000-0005-0000-0000-0000ADB00000}"/>
    <cellStyle name="Vírgula 2 2 2 6 4 2 2" xfId="50689" xr:uid="{00000000-0005-0000-0000-0000AEB00000}"/>
    <cellStyle name="Vírgula 2 2 2 6 4 3" xfId="32069" xr:uid="{00000000-0005-0000-0000-0000AFB00000}"/>
    <cellStyle name="Vírgula 2 2 2 6 5" xfId="18591" xr:uid="{00000000-0005-0000-0000-0000B0B00000}"/>
    <cellStyle name="Vírgula 2 2 2 6 5 2" xfId="44781" xr:uid="{00000000-0005-0000-0000-0000B1B00000}"/>
    <cellStyle name="Vírgula 2 2 2 6 6" xfId="12260" xr:uid="{00000000-0005-0000-0000-0000B2B00000}"/>
    <cellStyle name="Vírgula 2 2 2 6 6 2" xfId="38453" xr:uid="{00000000-0005-0000-0000-0000B3B00000}"/>
    <cellStyle name="Vírgula 2 2 2 6 7" xfId="30371" xr:uid="{00000000-0005-0000-0000-0000B4B00000}"/>
    <cellStyle name="Vírgula 2 2 2 7" xfId="4215" xr:uid="{00000000-0005-0000-0000-0000B5B00000}"/>
    <cellStyle name="Vírgula 2 2 2 7 2" xfId="7615" xr:uid="{00000000-0005-0000-0000-0000B6B00000}"/>
    <cellStyle name="Vírgula 2 2 2 7 2 2" xfId="10750" xr:uid="{00000000-0005-0000-0000-0000B7B00000}"/>
    <cellStyle name="Vírgula 2 2 2 7 2 2 2" xfId="28964" xr:uid="{00000000-0005-0000-0000-0000B8B00000}"/>
    <cellStyle name="Vírgula 2 2 2 7 2 2 2 2" xfId="55145" xr:uid="{00000000-0005-0000-0000-0000B9B00000}"/>
    <cellStyle name="Vírgula 2 2 2 7 2 2 3" xfId="23050" xr:uid="{00000000-0005-0000-0000-0000BAB00000}"/>
    <cellStyle name="Vírgula 2 2 2 7 2 2 3 2" xfId="49237" xr:uid="{00000000-0005-0000-0000-0000BBB00000}"/>
    <cellStyle name="Vírgula 2 2 2 7 2 2 4" xfId="17136" xr:uid="{00000000-0005-0000-0000-0000BCB00000}"/>
    <cellStyle name="Vírgula 2 2 2 7 2 2 4 2" xfId="43329" xr:uid="{00000000-0005-0000-0000-0000BDB00000}"/>
    <cellStyle name="Vírgula 2 2 2 7 2 2 5" xfId="36943" xr:uid="{00000000-0005-0000-0000-0000BEB00000}"/>
    <cellStyle name="Vírgula 2 2 2 7 2 3" xfId="26007" xr:uid="{00000000-0005-0000-0000-0000BFB00000}"/>
    <cellStyle name="Vírgula 2 2 2 7 2 3 2" xfId="52191" xr:uid="{00000000-0005-0000-0000-0000C0B00000}"/>
    <cellStyle name="Vírgula 2 2 2 7 2 4" xfId="20093" xr:uid="{00000000-0005-0000-0000-0000C1B00000}"/>
    <cellStyle name="Vírgula 2 2 2 7 2 4 2" xfId="46283" xr:uid="{00000000-0005-0000-0000-0000C2B00000}"/>
    <cellStyle name="Vírgula 2 2 2 7 2 5" xfId="14004" xr:uid="{00000000-0005-0000-0000-0000C3B00000}"/>
    <cellStyle name="Vírgula 2 2 2 7 2 5 2" xfId="40197" xr:uid="{00000000-0005-0000-0000-0000C4B00000}"/>
    <cellStyle name="Vírgula 2 2 2 7 2 6" xfId="33811" xr:uid="{00000000-0005-0000-0000-0000C5B00000}"/>
    <cellStyle name="Vírgula 2 2 2 7 3" xfId="9282" xr:uid="{00000000-0005-0000-0000-0000C6B00000}"/>
    <cellStyle name="Vírgula 2 2 2 7 3 2" xfId="27496" xr:uid="{00000000-0005-0000-0000-0000C7B00000}"/>
    <cellStyle name="Vírgula 2 2 2 7 3 2 2" xfId="53677" xr:uid="{00000000-0005-0000-0000-0000C8B00000}"/>
    <cellStyle name="Vírgula 2 2 2 7 3 3" xfId="21582" xr:uid="{00000000-0005-0000-0000-0000C9B00000}"/>
    <cellStyle name="Vírgula 2 2 2 7 3 3 2" xfId="47769" xr:uid="{00000000-0005-0000-0000-0000CAB00000}"/>
    <cellStyle name="Vírgula 2 2 2 7 3 4" xfId="15668" xr:uid="{00000000-0005-0000-0000-0000CBB00000}"/>
    <cellStyle name="Vírgula 2 2 2 7 3 4 2" xfId="41861" xr:uid="{00000000-0005-0000-0000-0000CCB00000}"/>
    <cellStyle name="Vírgula 2 2 2 7 3 5" xfId="35475" xr:uid="{00000000-0005-0000-0000-0000CDB00000}"/>
    <cellStyle name="Vírgula 2 2 2 7 4" xfId="5915" xr:uid="{00000000-0005-0000-0000-0000CEB00000}"/>
    <cellStyle name="Vírgula 2 2 2 7 4 2" xfId="24539" xr:uid="{00000000-0005-0000-0000-0000CFB00000}"/>
    <cellStyle name="Vírgula 2 2 2 7 4 2 2" xfId="50723" xr:uid="{00000000-0005-0000-0000-0000D0B00000}"/>
    <cellStyle name="Vírgula 2 2 2 7 4 3" xfId="32111" xr:uid="{00000000-0005-0000-0000-0000D1B00000}"/>
    <cellStyle name="Vírgula 2 2 2 7 5" xfId="18625" xr:uid="{00000000-0005-0000-0000-0000D2B00000}"/>
    <cellStyle name="Vírgula 2 2 2 7 5 2" xfId="44815" xr:uid="{00000000-0005-0000-0000-0000D3B00000}"/>
    <cellStyle name="Vírgula 2 2 2 7 6" xfId="12303" xr:uid="{00000000-0005-0000-0000-0000D4B00000}"/>
    <cellStyle name="Vírgula 2 2 2 7 6 2" xfId="38496" xr:uid="{00000000-0005-0000-0000-0000D5B00000}"/>
    <cellStyle name="Vírgula 2 2 2 7 7" xfId="30415" xr:uid="{00000000-0005-0000-0000-0000D6B00000}"/>
    <cellStyle name="Vírgula 2 2 2 8" xfId="4291" xr:uid="{00000000-0005-0000-0000-0000D7B00000}"/>
    <cellStyle name="Vírgula 2 2 2 8 2" xfId="7692" xr:uid="{00000000-0005-0000-0000-0000D8B00000}"/>
    <cellStyle name="Vírgula 2 2 2 8 2 2" xfId="10793" xr:uid="{00000000-0005-0000-0000-0000D9B00000}"/>
    <cellStyle name="Vírgula 2 2 2 8 2 2 2" xfId="29007" xr:uid="{00000000-0005-0000-0000-0000DAB00000}"/>
    <cellStyle name="Vírgula 2 2 2 8 2 2 2 2" xfId="55188" xr:uid="{00000000-0005-0000-0000-0000DBB00000}"/>
    <cellStyle name="Vírgula 2 2 2 8 2 2 3" xfId="23093" xr:uid="{00000000-0005-0000-0000-0000DCB00000}"/>
    <cellStyle name="Vírgula 2 2 2 8 2 2 3 2" xfId="49280" xr:uid="{00000000-0005-0000-0000-0000DDB00000}"/>
    <cellStyle name="Vírgula 2 2 2 8 2 2 4" xfId="17179" xr:uid="{00000000-0005-0000-0000-0000DEB00000}"/>
    <cellStyle name="Vírgula 2 2 2 8 2 2 4 2" xfId="43372" xr:uid="{00000000-0005-0000-0000-0000DFB00000}"/>
    <cellStyle name="Vírgula 2 2 2 8 2 2 5" xfId="36986" xr:uid="{00000000-0005-0000-0000-0000E0B00000}"/>
    <cellStyle name="Vírgula 2 2 2 8 2 3" xfId="26050" xr:uid="{00000000-0005-0000-0000-0000E1B00000}"/>
    <cellStyle name="Vírgula 2 2 2 8 2 3 2" xfId="52234" xr:uid="{00000000-0005-0000-0000-0000E2B00000}"/>
    <cellStyle name="Vírgula 2 2 2 8 2 4" xfId="20136" xr:uid="{00000000-0005-0000-0000-0000E3B00000}"/>
    <cellStyle name="Vírgula 2 2 2 8 2 4 2" xfId="46326" xr:uid="{00000000-0005-0000-0000-0000E4B00000}"/>
    <cellStyle name="Vírgula 2 2 2 8 2 5" xfId="14081" xr:uid="{00000000-0005-0000-0000-0000E5B00000}"/>
    <cellStyle name="Vírgula 2 2 2 8 2 5 2" xfId="40274" xr:uid="{00000000-0005-0000-0000-0000E6B00000}"/>
    <cellStyle name="Vírgula 2 2 2 8 2 6" xfId="33888" xr:uid="{00000000-0005-0000-0000-0000E7B00000}"/>
    <cellStyle name="Vírgula 2 2 2 8 3" xfId="9325" xr:uid="{00000000-0005-0000-0000-0000E8B00000}"/>
    <cellStyle name="Vírgula 2 2 2 8 3 2" xfId="27539" xr:uid="{00000000-0005-0000-0000-0000E9B00000}"/>
    <cellStyle name="Vírgula 2 2 2 8 3 2 2" xfId="53720" xr:uid="{00000000-0005-0000-0000-0000EAB00000}"/>
    <cellStyle name="Vírgula 2 2 2 8 3 3" xfId="21625" xr:uid="{00000000-0005-0000-0000-0000EBB00000}"/>
    <cellStyle name="Vírgula 2 2 2 8 3 3 2" xfId="47812" xr:uid="{00000000-0005-0000-0000-0000ECB00000}"/>
    <cellStyle name="Vírgula 2 2 2 8 3 4" xfId="15711" xr:uid="{00000000-0005-0000-0000-0000EDB00000}"/>
    <cellStyle name="Vírgula 2 2 2 8 3 4 2" xfId="41904" xr:uid="{00000000-0005-0000-0000-0000EEB00000}"/>
    <cellStyle name="Vírgula 2 2 2 8 3 5" xfId="35518" xr:uid="{00000000-0005-0000-0000-0000EFB00000}"/>
    <cellStyle name="Vírgula 2 2 2 8 4" xfId="5992" xr:uid="{00000000-0005-0000-0000-0000F0B00000}"/>
    <cellStyle name="Vírgula 2 2 2 8 4 2" xfId="24582" xr:uid="{00000000-0005-0000-0000-0000F1B00000}"/>
    <cellStyle name="Vírgula 2 2 2 8 4 2 2" xfId="50766" xr:uid="{00000000-0005-0000-0000-0000F2B00000}"/>
    <cellStyle name="Vírgula 2 2 2 8 4 3" xfId="32188" xr:uid="{00000000-0005-0000-0000-0000F3B00000}"/>
    <cellStyle name="Vírgula 2 2 2 8 5" xfId="18668" xr:uid="{00000000-0005-0000-0000-0000F4B00000}"/>
    <cellStyle name="Vírgula 2 2 2 8 5 2" xfId="44858" xr:uid="{00000000-0005-0000-0000-0000F5B00000}"/>
    <cellStyle name="Vírgula 2 2 2 8 6" xfId="12380" xr:uid="{00000000-0005-0000-0000-0000F6B00000}"/>
    <cellStyle name="Vírgula 2 2 2 8 6 2" xfId="38573" xr:uid="{00000000-0005-0000-0000-0000F7B00000}"/>
    <cellStyle name="Vírgula 2 2 2 8 7" xfId="30491" xr:uid="{00000000-0005-0000-0000-0000F8B00000}"/>
    <cellStyle name="Vírgula 2 2 2 9" xfId="4399" xr:uid="{00000000-0005-0000-0000-0000F9B00000}"/>
    <cellStyle name="Vírgula 2 2 2 9 2" xfId="7801" xr:uid="{00000000-0005-0000-0000-0000FAB00000}"/>
    <cellStyle name="Vírgula 2 2 2 9 2 2" xfId="10855" xr:uid="{00000000-0005-0000-0000-0000FBB00000}"/>
    <cellStyle name="Vírgula 2 2 2 9 2 2 2" xfId="29069" xr:uid="{00000000-0005-0000-0000-0000FCB00000}"/>
    <cellStyle name="Vírgula 2 2 2 9 2 2 2 2" xfId="55250" xr:uid="{00000000-0005-0000-0000-0000FDB00000}"/>
    <cellStyle name="Vírgula 2 2 2 9 2 2 3" xfId="23155" xr:uid="{00000000-0005-0000-0000-0000FEB00000}"/>
    <cellStyle name="Vírgula 2 2 2 9 2 2 3 2" xfId="49342" xr:uid="{00000000-0005-0000-0000-0000FFB00000}"/>
    <cellStyle name="Vírgula 2 2 2 9 2 2 4" xfId="17241" xr:uid="{00000000-0005-0000-0000-000000B10000}"/>
    <cellStyle name="Vírgula 2 2 2 9 2 2 4 2" xfId="43434" xr:uid="{00000000-0005-0000-0000-000001B10000}"/>
    <cellStyle name="Vírgula 2 2 2 9 2 2 5" xfId="37048" xr:uid="{00000000-0005-0000-0000-000002B10000}"/>
    <cellStyle name="Vírgula 2 2 2 9 2 3" xfId="26112" xr:uid="{00000000-0005-0000-0000-000003B10000}"/>
    <cellStyle name="Vírgula 2 2 2 9 2 3 2" xfId="52296" xr:uid="{00000000-0005-0000-0000-000004B10000}"/>
    <cellStyle name="Vírgula 2 2 2 9 2 4" xfId="20198" xr:uid="{00000000-0005-0000-0000-000005B10000}"/>
    <cellStyle name="Vírgula 2 2 2 9 2 4 2" xfId="46388" xr:uid="{00000000-0005-0000-0000-000006B10000}"/>
    <cellStyle name="Vírgula 2 2 2 9 2 5" xfId="14190" xr:uid="{00000000-0005-0000-0000-000007B10000}"/>
    <cellStyle name="Vírgula 2 2 2 9 2 5 2" xfId="40383" xr:uid="{00000000-0005-0000-0000-000008B10000}"/>
    <cellStyle name="Vírgula 2 2 2 9 2 6" xfId="33997" xr:uid="{00000000-0005-0000-0000-000009B10000}"/>
    <cellStyle name="Vírgula 2 2 2 9 3" xfId="9387" xr:uid="{00000000-0005-0000-0000-00000AB10000}"/>
    <cellStyle name="Vírgula 2 2 2 9 3 2" xfId="27601" xr:uid="{00000000-0005-0000-0000-00000BB10000}"/>
    <cellStyle name="Vírgula 2 2 2 9 3 2 2" xfId="53782" xr:uid="{00000000-0005-0000-0000-00000CB10000}"/>
    <cellStyle name="Vírgula 2 2 2 9 3 3" xfId="21687" xr:uid="{00000000-0005-0000-0000-00000DB10000}"/>
    <cellStyle name="Vírgula 2 2 2 9 3 3 2" xfId="47874" xr:uid="{00000000-0005-0000-0000-00000EB10000}"/>
    <cellStyle name="Vírgula 2 2 2 9 3 4" xfId="15773" xr:uid="{00000000-0005-0000-0000-00000FB10000}"/>
    <cellStyle name="Vírgula 2 2 2 9 3 4 2" xfId="41966" xr:uid="{00000000-0005-0000-0000-000010B10000}"/>
    <cellStyle name="Vírgula 2 2 2 9 3 5" xfId="35580" xr:uid="{00000000-0005-0000-0000-000011B10000}"/>
    <cellStyle name="Vírgula 2 2 2 9 4" xfId="6101" xr:uid="{00000000-0005-0000-0000-000012B10000}"/>
    <cellStyle name="Vírgula 2 2 2 9 4 2" xfId="24644" xr:uid="{00000000-0005-0000-0000-000013B10000}"/>
    <cellStyle name="Vírgula 2 2 2 9 4 2 2" xfId="50828" xr:uid="{00000000-0005-0000-0000-000014B10000}"/>
    <cellStyle name="Vírgula 2 2 2 9 4 3" xfId="32297" xr:uid="{00000000-0005-0000-0000-000015B10000}"/>
    <cellStyle name="Vírgula 2 2 2 9 5" xfId="18730" xr:uid="{00000000-0005-0000-0000-000016B10000}"/>
    <cellStyle name="Vírgula 2 2 2 9 5 2" xfId="44920" xr:uid="{00000000-0005-0000-0000-000017B10000}"/>
    <cellStyle name="Vírgula 2 2 2 9 6" xfId="12489" xr:uid="{00000000-0005-0000-0000-000018B10000}"/>
    <cellStyle name="Vírgula 2 2 2 9 6 2" xfId="38682" xr:uid="{00000000-0005-0000-0000-000019B10000}"/>
    <cellStyle name="Vírgula 2 2 2 9 7" xfId="30599" xr:uid="{00000000-0005-0000-0000-00001AB10000}"/>
    <cellStyle name="Vírgula 2 2 20" xfId="11001" xr:uid="{00000000-0005-0000-0000-00001BB10000}"/>
    <cellStyle name="Vírgula 2 2 20 2" xfId="37194" xr:uid="{00000000-0005-0000-0000-00001CB10000}"/>
    <cellStyle name="Vírgula 2 2 21" xfId="29263" xr:uid="{00000000-0005-0000-0000-00001DB10000}"/>
    <cellStyle name="Vírgula 2 2 3" xfId="949" xr:uid="{00000000-0005-0000-0000-00001EB10000}"/>
    <cellStyle name="Vírgula 2 2 3 10" xfId="8014" xr:uid="{00000000-0005-0000-0000-00001FB10000}"/>
    <cellStyle name="Vírgula 2 2 3 10 2" xfId="10978" xr:uid="{00000000-0005-0000-0000-000020B10000}"/>
    <cellStyle name="Vírgula 2 2 3 10 2 2" xfId="29192" xr:uid="{00000000-0005-0000-0000-000021B10000}"/>
    <cellStyle name="Vírgula 2 2 3 10 2 2 2" xfId="55373" xr:uid="{00000000-0005-0000-0000-000022B10000}"/>
    <cellStyle name="Vírgula 2 2 3 10 2 3" xfId="23278" xr:uid="{00000000-0005-0000-0000-000023B10000}"/>
    <cellStyle name="Vírgula 2 2 3 10 2 3 2" xfId="49465" xr:uid="{00000000-0005-0000-0000-000024B10000}"/>
    <cellStyle name="Vírgula 2 2 3 10 2 4" xfId="17364" xr:uid="{00000000-0005-0000-0000-000025B10000}"/>
    <cellStyle name="Vírgula 2 2 3 10 2 4 2" xfId="43557" xr:uid="{00000000-0005-0000-0000-000026B10000}"/>
    <cellStyle name="Vírgula 2 2 3 10 2 5" xfId="37171" xr:uid="{00000000-0005-0000-0000-000027B10000}"/>
    <cellStyle name="Vírgula 2 2 3 10 3" xfId="26235" xr:uid="{00000000-0005-0000-0000-000028B10000}"/>
    <cellStyle name="Vírgula 2 2 3 10 3 2" xfId="52419" xr:uid="{00000000-0005-0000-0000-000029B10000}"/>
    <cellStyle name="Vírgula 2 2 3 10 4" xfId="20321" xr:uid="{00000000-0005-0000-0000-00002AB10000}"/>
    <cellStyle name="Vírgula 2 2 3 10 4 2" xfId="46511" xr:uid="{00000000-0005-0000-0000-00002BB10000}"/>
    <cellStyle name="Vírgula 2 2 3 10 5" xfId="14403" xr:uid="{00000000-0005-0000-0000-00002CB10000}"/>
    <cellStyle name="Vírgula 2 2 3 10 5 2" xfId="40596" xr:uid="{00000000-0005-0000-0000-00002DB10000}"/>
    <cellStyle name="Vírgula 2 2 3 10 6" xfId="34210" xr:uid="{00000000-0005-0000-0000-00002EB10000}"/>
    <cellStyle name="Vírgula 2 2 3 11" xfId="8043" xr:uid="{00000000-0005-0000-0000-00002FB10000}"/>
    <cellStyle name="Vírgula 2 2 3 11 2" xfId="26257" xr:uid="{00000000-0005-0000-0000-000030B10000}"/>
    <cellStyle name="Vírgula 2 2 3 11 2 2" xfId="52441" xr:uid="{00000000-0005-0000-0000-000031B10000}"/>
    <cellStyle name="Vírgula 2 2 3 11 3" xfId="20343" xr:uid="{00000000-0005-0000-0000-000032B10000}"/>
    <cellStyle name="Vírgula 2 2 3 11 3 2" xfId="46533" xr:uid="{00000000-0005-0000-0000-000033B10000}"/>
    <cellStyle name="Vírgula 2 2 3 11 4" xfId="14432" xr:uid="{00000000-0005-0000-0000-000034B10000}"/>
    <cellStyle name="Vírgula 2 2 3 11 4 2" xfId="40625" xr:uid="{00000000-0005-0000-0000-000035B10000}"/>
    <cellStyle name="Vírgula 2 2 3 11 5" xfId="34239" xr:uid="{00000000-0005-0000-0000-000036B10000}"/>
    <cellStyle name="Vírgula 2 2 3 12" xfId="4620" xr:uid="{00000000-0005-0000-0000-000037B10000}"/>
    <cellStyle name="Vírgula 2 2 3 12 2" xfId="23300" xr:uid="{00000000-0005-0000-0000-000038B10000}"/>
    <cellStyle name="Vírgula 2 2 3 12 2 2" xfId="49487" xr:uid="{00000000-0005-0000-0000-000039B10000}"/>
    <cellStyle name="Vírgula 2 2 3 12 3" xfId="30820" xr:uid="{00000000-0005-0000-0000-00003AB10000}"/>
    <cellStyle name="Vírgula 2 2 3 13" xfId="17386" xr:uid="{00000000-0005-0000-0000-00003BB10000}"/>
    <cellStyle name="Vírgula 2 2 3 13 2" xfId="43579" xr:uid="{00000000-0005-0000-0000-00003CB10000}"/>
    <cellStyle name="Vírgula 2 2 3 14" xfId="11011" xr:uid="{00000000-0005-0000-0000-00003DB10000}"/>
    <cellStyle name="Vírgula 2 2 3 14 2" xfId="37204" xr:uid="{00000000-0005-0000-0000-00003EB10000}"/>
    <cellStyle name="Vírgula 2 2 3 15" xfId="29493" xr:uid="{00000000-0005-0000-0000-00003FB10000}"/>
    <cellStyle name="Vírgula 2 2 3 2" xfId="4235" xr:uid="{00000000-0005-0000-0000-000040B10000}"/>
    <cellStyle name="Vírgula 2 2 3 2 10" xfId="8052" xr:uid="{00000000-0005-0000-0000-000041B10000}"/>
    <cellStyle name="Vírgula 2 2 3 2 10 2" xfId="26266" xr:uid="{00000000-0005-0000-0000-000042B10000}"/>
    <cellStyle name="Vírgula 2 2 3 2 10 2 2" xfId="52450" xr:uid="{00000000-0005-0000-0000-000043B10000}"/>
    <cellStyle name="Vírgula 2 2 3 2 10 3" xfId="20352" xr:uid="{00000000-0005-0000-0000-000044B10000}"/>
    <cellStyle name="Vírgula 2 2 3 2 10 3 2" xfId="46542" xr:uid="{00000000-0005-0000-0000-000045B10000}"/>
    <cellStyle name="Vírgula 2 2 3 2 10 4" xfId="14441" xr:uid="{00000000-0005-0000-0000-000046B10000}"/>
    <cellStyle name="Vírgula 2 2 3 2 10 4 2" xfId="40634" xr:uid="{00000000-0005-0000-0000-000047B10000}"/>
    <cellStyle name="Vírgula 2 2 3 2 10 5" xfId="34248" xr:uid="{00000000-0005-0000-0000-000048B10000}"/>
    <cellStyle name="Vírgula 2 2 3 2 11" xfId="4635" xr:uid="{00000000-0005-0000-0000-000049B10000}"/>
    <cellStyle name="Vírgula 2 2 3 2 11 2" xfId="23309" xr:uid="{00000000-0005-0000-0000-00004AB10000}"/>
    <cellStyle name="Vírgula 2 2 3 2 11 2 2" xfId="49496" xr:uid="{00000000-0005-0000-0000-00004BB10000}"/>
    <cellStyle name="Vírgula 2 2 3 2 11 3" xfId="30835" xr:uid="{00000000-0005-0000-0000-00004CB10000}"/>
    <cellStyle name="Vírgula 2 2 3 2 12" xfId="17395" xr:uid="{00000000-0005-0000-0000-00004DB10000}"/>
    <cellStyle name="Vírgula 2 2 3 2 12 2" xfId="43588" xr:uid="{00000000-0005-0000-0000-00004EB10000}"/>
    <cellStyle name="Vírgula 2 2 3 2 13" xfId="11026" xr:uid="{00000000-0005-0000-0000-00004FB10000}"/>
    <cellStyle name="Vírgula 2 2 3 2 13 2" xfId="37219" xr:uid="{00000000-0005-0000-0000-000050B10000}"/>
    <cellStyle name="Vírgula 2 2 3 2 14" xfId="30435" xr:uid="{00000000-0005-0000-0000-000051B10000}"/>
    <cellStyle name="Vírgula 2 2 3 2 2" xfId="4270" xr:uid="{00000000-0005-0000-0000-000052B10000}"/>
    <cellStyle name="Vírgula 2 2 3 2 2 10" xfId="11061" xr:uid="{00000000-0005-0000-0000-000053B10000}"/>
    <cellStyle name="Vírgula 2 2 3 2 2 10 2" xfId="37254" xr:uid="{00000000-0005-0000-0000-000054B10000}"/>
    <cellStyle name="Vírgula 2 2 3 2 2 11" xfId="30470" xr:uid="{00000000-0005-0000-0000-000055B10000}"/>
    <cellStyle name="Vírgula 2 2 3 2 2 2" xfId="4347" xr:uid="{00000000-0005-0000-0000-000056B10000}"/>
    <cellStyle name="Vírgula 2 2 3 2 2 2 2" xfId="7748" xr:uid="{00000000-0005-0000-0000-000057B10000}"/>
    <cellStyle name="Vírgula 2 2 3 2 2 2 2 2" xfId="10825" xr:uid="{00000000-0005-0000-0000-000058B10000}"/>
    <cellStyle name="Vírgula 2 2 3 2 2 2 2 2 2" xfId="29039" xr:uid="{00000000-0005-0000-0000-000059B10000}"/>
    <cellStyle name="Vírgula 2 2 3 2 2 2 2 2 2 2" xfId="55220" xr:uid="{00000000-0005-0000-0000-00005AB10000}"/>
    <cellStyle name="Vírgula 2 2 3 2 2 2 2 2 3" xfId="23125" xr:uid="{00000000-0005-0000-0000-00005BB10000}"/>
    <cellStyle name="Vírgula 2 2 3 2 2 2 2 2 3 2" xfId="49312" xr:uid="{00000000-0005-0000-0000-00005CB10000}"/>
    <cellStyle name="Vírgula 2 2 3 2 2 2 2 2 4" xfId="17211" xr:uid="{00000000-0005-0000-0000-00005DB10000}"/>
    <cellStyle name="Vírgula 2 2 3 2 2 2 2 2 4 2" xfId="43404" xr:uid="{00000000-0005-0000-0000-00005EB10000}"/>
    <cellStyle name="Vírgula 2 2 3 2 2 2 2 2 5" xfId="37018" xr:uid="{00000000-0005-0000-0000-00005FB10000}"/>
    <cellStyle name="Vírgula 2 2 3 2 2 2 2 3" xfId="26082" xr:uid="{00000000-0005-0000-0000-000060B10000}"/>
    <cellStyle name="Vírgula 2 2 3 2 2 2 2 3 2" xfId="52266" xr:uid="{00000000-0005-0000-0000-000061B10000}"/>
    <cellStyle name="Vírgula 2 2 3 2 2 2 2 4" xfId="20168" xr:uid="{00000000-0005-0000-0000-000062B10000}"/>
    <cellStyle name="Vírgula 2 2 3 2 2 2 2 4 2" xfId="46358" xr:uid="{00000000-0005-0000-0000-000063B10000}"/>
    <cellStyle name="Vírgula 2 2 3 2 2 2 2 5" xfId="14137" xr:uid="{00000000-0005-0000-0000-000064B10000}"/>
    <cellStyle name="Vírgula 2 2 3 2 2 2 2 5 2" xfId="40330" xr:uid="{00000000-0005-0000-0000-000065B10000}"/>
    <cellStyle name="Vírgula 2 2 3 2 2 2 2 6" xfId="33944" xr:uid="{00000000-0005-0000-0000-000066B10000}"/>
    <cellStyle name="Vírgula 2 2 3 2 2 2 3" xfId="9357" xr:uid="{00000000-0005-0000-0000-000067B10000}"/>
    <cellStyle name="Vírgula 2 2 3 2 2 2 3 2" xfId="27571" xr:uid="{00000000-0005-0000-0000-000068B10000}"/>
    <cellStyle name="Vírgula 2 2 3 2 2 2 3 2 2" xfId="53752" xr:uid="{00000000-0005-0000-0000-000069B10000}"/>
    <cellStyle name="Vírgula 2 2 3 2 2 2 3 3" xfId="21657" xr:uid="{00000000-0005-0000-0000-00006AB10000}"/>
    <cellStyle name="Vírgula 2 2 3 2 2 2 3 3 2" xfId="47844" xr:uid="{00000000-0005-0000-0000-00006BB10000}"/>
    <cellStyle name="Vírgula 2 2 3 2 2 2 3 4" xfId="15743" xr:uid="{00000000-0005-0000-0000-00006CB10000}"/>
    <cellStyle name="Vírgula 2 2 3 2 2 2 3 4 2" xfId="41936" xr:uid="{00000000-0005-0000-0000-00006DB10000}"/>
    <cellStyle name="Vírgula 2 2 3 2 2 2 3 5" xfId="35550" xr:uid="{00000000-0005-0000-0000-00006EB10000}"/>
    <cellStyle name="Vírgula 2 2 3 2 2 2 4" xfId="6048" xr:uid="{00000000-0005-0000-0000-00006FB10000}"/>
    <cellStyle name="Vírgula 2 2 3 2 2 2 4 2" xfId="24614" xr:uid="{00000000-0005-0000-0000-000070B10000}"/>
    <cellStyle name="Vírgula 2 2 3 2 2 2 4 2 2" xfId="50798" xr:uid="{00000000-0005-0000-0000-000071B10000}"/>
    <cellStyle name="Vírgula 2 2 3 2 2 2 4 3" xfId="32244" xr:uid="{00000000-0005-0000-0000-000072B10000}"/>
    <cellStyle name="Vírgula 2 2 3 2 2 2 5" xfId="18700" xr:uid="{00000000-0005-0000-0000-000073B10000}"/>
    <cellStyle name="Vírgula 2 2 3 2 2 2 5 2" xfId="44890" xr:uid="{00000000-0005-0000-0000-000074B10000}"/>
    <cellStyle name="Vírgula 2 2 3 2 2 2 6" xfId="12436" xr:uid="{00000000-0005-0000-0000-000075B10000}"/>
    <cellStyle name="Vírgula 2 2 3 2 2 2 6 2" xfId="38629" xr:uid="{00000000-0005-0000-0000-000076B10000}"/>
    <cellStyle name="Vírgula 2 2 3 2 2 2 7" xfId="30547" xr:uid="{00000000-0005-0000-0000-000077B10000}"/>
    <cellStyle name="Vírgula 2 2 3 2 2 3" xfId="4455" xr:uid="{00000000-0005-0000-0000-000078B10000}"/>
    <cellStyle name="Vírgula 2 2 3 2 2 3 2" xfId="7857" xr:uid="{00000000-0005-0000-0000-000079B10000}"/>
    <cellStyle name="Vírgula 2 2 3 2 2 3 2 2" xfId="10887" xr:uid="{00000000-0005-0000-0000-00007AB10000}"/>
    <cellStyle name="Vírgula 2 2 3 2 2 3 2 2 2" xfId="29101" xr:uid="{00000000-0005-0000-0000-00007BB10000}"/>
    <cellStyle name="Vírgula 2 2 3 2 2 3 2 2 2 2" xfId="55282" xr:uid="{00000000-0005-0000-0000-00007CB10000}"/>
    <cellStyle name="Vírgula 2 2 3 2 2 3 2 2 3" xfId="23187" xr:uid="{00000000-0005-0000-0000-00007DB10000}"/>
    <cellStyle name="Vírgula 2 2 3 2 2 3 2 2 3 2" xfId="49374" xr:uid="{00000000-0005-0000-0000-00007EB10000}"/>
    <cellStyle name="Vírgula 2 2 3 2 2 3 2 2 4" xfId="17273" xr:uid="{00000000-0005-0000-0000-00007FB10000}"/>
    <cellStyle name="Vírgula 2 2 3 2 2 3 2 2 4 2" xfId="43466" xr:uid="{00000000-0005-0000-0000-000080B10000}"/>
    <cellStyle name="Vírgula 2 2 3 2 2 3 2 2 5" xfId="37080" xr:uid="{00000000-0005-0000-0000-000081B10000}"/>
    <cellStyle name="Vírgula 2 2 3 2 2 3 2 3" xfId="26144" xr:uid="{00000000-0005-0000-0000-000082B10000}"/>
    <cellStyle name="Vírgula 2 2 3 2 2 3 2 3 2" xfId="52328" xr:uid="{00000000-0005-0000-0000-000083B10000}"/>
    <cellStyle name="Vírgula 2 2 3 2 2 3 2 4" xfId="20230" xr:uid="{00000000-0005-0000-0000-000084B10000}"/>
    <cellStyle name="Vírgula 2 2 3 2 2 3 2 4 2" xfId="46420" xr:uid="{00000000-0005-0000-0000-000085B10000}"/>
    <cellStyle name="Vírgula 2 2 3 2 2 3 2 5" xfId="14246" xr:uid="{00000000-0005-0000-0000-000086B10000}"/>
    <cellStyle name="Vírgula 2 2 3 2 2 3 2 5 2" xfId="40439" xr:uid="{00000000-0005-0000-0000-000087B10000}"/>
    <cellStyle name="Vírgula 2 2 3 2 2 3 2 6" xfId="34053" xr:uid="{00000000-0005-0000-0000-000088B10000}"/>
    <cellStyle name="Vírgula 2 2 3 2 2 3 3" xfId="9419" xr:uid="{00000000-0005-0000-0000-000089B10000}"/>
    <cellStyle name="Vírgula 2 2 3 2 2 3 3 2" xfId="27633" xr:uid="{00000000-0005-0000-0000-00008AB10000}"/>
    <cellStyle name="Vírgula 2 2 3 2 2 3 3 2 2" xfId="53814" xr:uid="{00000000-0005-0000-0000-00008BB10000}"/>
    <cellStyle name="Vírgula 2 2 3 2 2 3 3 3" xfId="21719" xr:uid="{00000000-0005-0000-0000-00008CB10000}"/>
    <cellStyle name="Vírgula 2 2 3 2 2 3 3 3 2" xfId="47906" xr:uid="{00000000-0005-0000-0000-00008DB10000}"/>
    <cellStyle name="Vírgula 2 2 3 2 2 3 3 4" xfId="15805" xr:uid="{00000000-0005-0000-0000-00008EB10000}"/>
    <cellStyle name="Vírgula 2 2 3 2 2 3 3 4 2" xfId="41998" xr:uid="{00000000-0005-0000-0000-00008FB10000}"/>
    <cellStyle name="Vírgula 2 2 3 2 2 3 3 5" xfId="35612" xr:uid="{00000000-0005-0000-0000-000090B10000}"/>
    <cellStyle name="Vírgula 2 2 3 2 2 3 4" xfId="6156" xr:uid="{00000000-0005-0000-0000-000091B10000}"/>
    <cellStyle name="Vírgula 2 2 3 2 2 3 4 2" xfId="24676" xr:uid="{00000000-0005-0000-0000-000092B10000}"/>
    <cellStyle name="Vírgula 2 2 3 2 2 3 4 2 2" xfId="50860" xr:uid="{00000000-0005-0000-0000-000093B10000}"/>
    <cellStyle name="Vírgula 2 2 3 2 2 3 4 3" xfId="32352" xr:uid="{00000000-0005-0000-0000-000094B10000}"/>
    <cellStyle name="Vírgula 2 2 3 2 2 3 5" xfId="18762" xr:uid="{00000000-0005-0000-0000-000095B10000}"/>
    <cellStyle name="Vírgula 2 2 3 2 2 3 5 2" xfId="44952" xr:uid="{00000000-0005-0000-0000-000096B10000}"/>
    <cellStyle name="Vírgula 2 2 3 2 2 3 6" xfId="12545" xr:uid="{00000000-0005-0000-0000-000097B10000}"/>
    <cellStyle name="Vírgula 2 2 3 2 2 3 6 2" xfId="38738" xr:uid="{00000000-0005-0000-0000-000098B10000}"/>
    <cellStyle name="Vírgula 2 2 3 2 2 3 7" xfId="30655" xr:uid="{00000000-0005-0000-0000-000099B10000}"/>
    <cellStyle name="Vírgula 2 2 3 2 2 4" xfId="4563" xr:uid="{00000000-0005-0000-0000-00009AB10000}"/>
    <cellStyle name="Vírgula 2 2 3 2 2 4 2" xfId="7965" xr:uid="{00000000-0005-0000-0000-00009BB10000}"/>
    <cellStyle name="Vírgula 2 2 3 2 2 4 2 2" xfId="10949" xr:uid="{00000000-0005-0000-0000-00009CB10000}"/>
    <cellStyle name="Vírgula 2 2 3 2 2 4 2 2 2" xfId="29163" xr:uid="{00000000-0005-0000-0000-00009DB10000}"/>
    <cellStyle name="Vírgula 2 2 3 2 2 4 2 2 2 2" xfId="55344" xr:uid="{00000000-0005-0000-0000-00009EB10000}"/>
    <cellStyle name="Vírgula 2 2 3 2 2 4 2 2 3" xfId="23249" xr:uid="{00000000-0005-0000-0000-00009FB10000}"/>
    <cellStyle name="Vírgula 2 2 3 2 2 4 2 2 3 2" xfId="49436" xr:uid="{00000000-0005-0000-0000-0000A0B10000}"/>
    <cellStyle name="Vírgula 2 2 3 2 2 4 2 2 4" xfId="17335" xr:uid="{00000000-0005-0000-0000-0000A1B10000}"/>
    <cellStyle name="Vírgula 2 2 3 2 2 4 2 2 4 2" xfId="43528" xr:uid="{00000000-0005-0000-0000-0000A2B10000}"/>
    <cellStyle name="Vírgula 2 2 3 2 2 4 2 2 5" xfId="37142" xr:uid="{00000000-0005-0000-0000-0000A3B10000}"/>
    <cellStyle name="Vírgula 2 2 3 2 2 4 2 3" xfId="26206" xr:uid="{00000000-0005-0000-0000-0000A4B10000}"/>
    <cellStyle name="Vírgula 2 2 3 2 2 4 2 3 2" xfId="52390" xr:uid="{00000000-0005-0000-0000-0000A5B10000}"/>
    <cellStyle name="Vírgula 2 2 3 2 2 4 2 4" xfId="20292" xr:uid="{00000000-0005-0000-0000-0000A6B10000}"/>
    <cellStyle name="Vírgula 2 2 3 2 2 4 2 4 2" xfId="46482" xr:uid="{00000000-0005-0000-0000-0000A7B10000}"/>
    <cellStyle name="Vírgula 2 2 3 2 2 4 2 5" xfId="14354" xr:uid="{00000000-0005-0000-0000-0000A8B10000}"/>
    <cellStyle name="Vírgula 2 2 3 2 2 4 2 5 2" xfId="40547" xr:uid="{00000000-0005-0000-0000-0000A9B10000}"/>
    <cellStyle name="Vírgula 2 2 3 2 2 4 2 6" xfId="34161" xr:uid="{00000000-0005-0000-0000-0000AAB10000}"/>
    <cellStyle name="Vírgula 2 2 3 2 2 4 3" xfId="9481" xr:uid="{00000000-0005-0000-0000-0000ABB10000}"/>
    <cellStyle name="Vírgula 2 2 3 2 2 4 3 2" xfId="27695" xr:uid="{00000000-0005-0000-0000-0000ACB10000}"/>
    <cellStyle name="Vírgula 2 2 3 2 2 4 3 2 2" xfId="53876" xr:uid="{00000000-0005-0000-0000-0000ADB10000}"/>
    <cellStyle name="Vírgula 2 2 3 2 2 4 3 3" xfId="21781" xr:uid="{00000000-0005-0000-0000-0000AEB10000}"/>
    <cellStyle name="Vírgula 2 2 3 2 2 4 3 3 2" xfId="47968" xr:uid="{00000000-0005-0000-0000-0000AFB10000}"/>
    <cellStyle name="Vírgula 2 2 3 2 2 4 3 4" xfId="15867" xr:uid="{00000000-0005-0000-0000-0000B0B10000}"/>
    <cellStyle name="Vírgula 2 2 3 2 2 4 3 4 2" xfId="42060" xr:uid="{00000000-0005-0000-0000-0000B1B10000}"/>
    <cellStyle name="Vírgula 2 2 3 2 2 4 3 5" xfId="35674" xr:uid="{00000000-0005-0000-0000-0000B2B10000}"/>
    <cellStyle name="Vírgula 2 2 3 2 2 4 4" xfId="6264" xr:uid="{00000000-0005-0000-0000-0000B3B10000}"/>
    <cellStyle name="Vírgula 2 2 3 2 2 4 4 2" xfId="24738" xr:uid="{00000000-0005-0000-0000-0000B4B10000}"/>
    <cellStyle name="Vírgula 2 2 3 2 2 4 4 2 2" xfId="50922" xr:uid="{00000000-0005-0000-0000-0000B5B10000}"/>
    <cellStyle name="Vírgula 2 2 3 2 2 4 4 3" xfId="32460" xr:uid="{00000000-0005-0000-0000-0000B6B10000}"/>
    <cellStyle name="Vírgula 2 2 3 2 2 4 5" xfId="18824" xr:uid="{00000000-0005-0000-0000-0000B7B10000}"/>
    <cellStyle name="Vírgula 2 2 3 2 2 4 5 2" xfId="45014" xr:uid="{00000000-0005-0000-0000-0000B8B10000}"/>
    <cellStyle name="Vírgula 2 2 3 2 2 4 6" xfId="12653" xr:uid="{00000000-0005-0000-0000-0000B9B10000}"/>
    <cellStyle name="Vírgula 2 2 3 2 2 4 6 2" xfId="38846" xr:uid="{00000000-0005-0000-0000-0000BAB10000}"/>
    <cellStyle name="Vírgula 2 2 3 2 2 4 7" xfId="30763" xr:uid="{00000000-0005-0000-0000-0000BBB10000}"/>
    <cellStyle name="Vírgula 2 2 3 2 2 5" xfId="5971" xr:uid="{00000000-0005-0000-0000-0000BCB10000}"/>
    <cellStyle name="Vírgula 2 2 3 2 2 5 2" xfId="7671" xr:uid="{00000000-0005-0000-0000-0000BDB10000}"/>
    <cellStyle name="Vírgula 2 2 3 2 2 5 2 2" xfId="10782" xr:uid="{00000000-0005-0000-0000-0000BEB10000}"/>
    <cellStyle name="Vírgula 2 2 3 2 2 5 2 2 2" xfId="28996" xr:uid="{00000000-0005-0000-0000-0000BFB10000}"/>
    <cellStyle name="Vírgula 2 2 3 2 2 5 2 2 2 2" xfId="55177" xr:uid="{00000000-0005-0000-0000-0000C0B10000}"/>
    <cellStyle name="Vírgula 2 2 3 2 2 5 2 2 3" xfId="23082" xr:uid="{00000000-0005-0000-0000-0000C1B10000}"/>
    <cellStyle name="Vírgula 2 2 3 2 2 5 2 2 3 2" xfId="49269" xr:uid="{00000000-0005-0000-0000-0000C2B10000}"/>
    <cellStyle name="Vírgula 2 2 3 2 2 5 2 2 4" xfId="17168" xr:uid="{00000000-0005-0000-0000-0000C3B10000}"/>
    <cellStyle name="Vírgula 2 2 3 2 2 5 2 2 4 2" xfId="43361" xr:uid="{00000000-0005-0000-0000-0000C4B10000}"/>
    <cellStyle name="Vírgula 2 2 3 2 2 5 2 2 5" xfId="36975" xr:uid="{00000000-0005-0000-0000-0000C5B10000}"/>
    <cellStyle name="Vírgula 2 2 3 2 2 5 2 3" xfId="26039" xr:uid="{00000000-0005-0000-0000-0000C6B10000}"/>
    <cellStyle name="Vírgula 2 2 3 2 2 5 2 3 2" xfId="52223" xr:uid="{00000000-0005-0000-0000-0000C7B10000}"/>
    <cellStyle name="Vírgula 2 2 3 2 2 5 2 4" xfId="20125" xr:uid="{00000000-0005-0000-0000-0000C8B10000}"/>
    <cellStyle name="Vírgula 2 2 3 2 2 5 2 4 2" xfId="46315" xr:uid="{00000000-0005-0000-0000-0000C9B10000}"/>
    <cellStyle name="Vírgula 2 2 3 2 2 5 2 5" xfId="14060" xr:uid="{00000000-0005-0000-0000-0000CAB10000}"/>
    <cellStyle name="Vírgula 2 2 3 2 2 5 2 5 2" xfId="40253" xr:uid="{00000000-0005-0000-0000-0000CBB10000}"/>
    <cellStyle name="Vírgula 2 2 3 2 2 5 2 6" xfId="33867" xr:uid="{00000000-0005-0000-0000-0000CCB10000}"/>
    <cellStyle name="Vírgula 2 2 3 2 2 5 3" xfId="9314" xr:uid="{00000000-0005-0000-0000-0000CDB10000}"/>
    <cellStyle name="Vírgula 2 2 3 2 2 5 3 2" xfId="27528" xr:uid="{00000000-0005-0000-0000-0000CEB10000}"/>
    <cellStyle name="Vírgula 2 2 3 2 2 5 3 2 2" xfId="53709" xr:uid="{00000000-0005-0000-0000-0000CFB10000}"/>
    <cellStyle name="Vírgula 2 2 3 2 2 5 3 3" xfId="21614" xr:uid="{00000000-0005-0000-0000-0000D0B10000}"/>
    <cellStyle name="Vírgula 2 2 3 2 2 5 3 3 2" xfId="47801" xr:uid="{00000000-0005-0000-0000-0000D1B10000}"/>
    <cellStyle name="Vírgula 2 2 3 2 2 5 3 4" xfId="15700" xr:uid="{00000000-0005-0000-0000-0000D2B10000}"/>
    <cellStyle name="Vírgula 2 2 3 2 2 5 3 4 2" xfId="41893" xr:uid="{00000000-0005-0000-0000-0000D3B10000}"/>
    <cellStyle name="Vírgula 2 2 3 2 2 5 3 5" xfId="35507" xr:uid="{00000000-0005-0000-0000-0000D4B10000}"/>
    <cellStyle name="Vírgula 2 2 3 2 2 5 4" xfId="24571" xr:uid="{00000000-0005-0000-0000-0000D5B10000}"/>
    <cellStyle name="Vírgula 2 2 3 2 2 5 4 2" xfId="50755" xr:uid="{00000000-0005-0000-0000-0000D6B10000}"/>
    <cellStyle name="Vírgula 2 2 3 2 2 5 5" xfId="18657" xr:uid="{00000000-0005-0000-0000-0000D7B10000}"/>
    <cellStyle name="Vírgula 2 2 3 2 2 5 5 2" xfId="44847" xr:uid="{00000000-0005-0000-0000-0000D8B10000}"/>
    <cellStyle name="Vírgula 2 2 3 2 2 5 6" xfId="12359" xr:uid="{00000000-0005-0000-0000-0000D9B10000}"/>
    <cellStyle name="Vírgula 2 2 3 2 2 5 6 2" xfId="38552" xr:uid="{00000000-0005-0000-0000-0000DAB10000}"/>
    <cellStyle name="Vírgula 2 2 3 2 2 5 7" xfId="32167" xr:uid="{00000000-0005-0000-0000-0000DBB10000}"/>
    <cellStyle name="Vírgula 2 2 3 2 2 6" xfId="6373" xr:uid="{00000000-0005-0000-0000-0000DCB10000}"/>
    <cellStyle name="Vírgula 2 2 3 2 2 6 2" xfId="9543" xr:uid="{00000000-0005-0000-0000-0000DDB10000}"/>
    <cellStyle name="Vírgula 2 2 3 2 2 6 2 2" xfId="27757" xr:uid="{00000000-0005-0000-0000-0000DEB10000}"/>
    <cellStyle name="Vírgula 2 2 3 2 2 6 2 2 2" xfId="53938" xr:uid="{00000000-0005-0000-0000-0000DFB10000}"/>
    <cellStyle name="Vírgula 2 2 3 2 2 6 2 3" xfId="21843" xr:uid="{00000000-0005-0000-0000-0000E0B10000}"/>
    <cellStyle name="Vírgula 2 2 3 2 2 6 2 3 2" xfId="48030" xr:uid="{00000000-0005-0000-0000-0000E1B10000}"/>
    <cellStyle name="Vírgula 2 2 3 2 2 6 2 4" xfId="15929" xr:uid="{00000000-0005-0000-0000-0000E2B10000}"/>
    <cellStyle name="Vírgula 2 2 3 2 2 6 2 4 2" xfId="42122" xr:uid="{00000000-0005-0000-0000-0000E3B10000}"/>
    <cellStyle name="Vírgula 2 2 3 2 2 6 2 5" xfId="35736" xr:uid="{00000000-0005-0000-0000-0000E4B10000}"/>
    <cellStyle name="Vírgula 2 2 3 2 2 6 3" xfId="24800" xr:uid="{00000000-0005-0000-0000-0000E5B10000}"/>
    <cellStyle name="Vírgula 2 2 3 2 2 6 3 2" xfId="50984" xr:uid="{00000000-0005-0000-0000-0000E6B10000}"/>
    <cellStyle name="Vírgula 2 2 3 2 2 6 4" xfId="18886" xr:uid="{00000000-0005-0000-0000-0000E7B10000}"/>
    <cellStyle name="Vírgula 2 2 3 2 2 6 4 2" xfId="45076" xr:uid="{00000000-0005-0000-0000-0000E8B10000}"/>
    <cellStyle name="Vírgula 2 2 3 2 2 6 5" xfId="12762" xr:uid="{00000000-0005-0000-0000-0000E9B10000}"/>
    <cellStyle name="Vírgula 2 2 3 2 2 6 5 2" xfId="38955" xr:uid="{00000000-0005-0000-0000-0000EAB10000}"/>
    <cellStyle name="Vírgula 2 2 3 2 2 6 6" xfId="32569" xr:uid="{00000000-0005-0000-0000-0000EBB10000}"/>
    <cellStyle name="Vírgula 2 2 3 2 2 7" xfId="8072" xr:uid="{00000000-0005-0000-0000-0000ECB10000}"/>
    <cellStyle name="Vírgula 2 2 3 2 2 7 2" xfId="26286" xr:uid="{00000000-0005-0000-0000-0000EDB10000}"/>
    <cellStyle name="Vírgula 2 2 3 2 2 7 2 2" xfId="52470" xr:uid="{00000000-0005-0000-0000-0000EEB10000}"/>
    <cellStyle name="Vírgula 2 2 3 2 2 7 3" xfId="20372" xr:uid="{00000000-0005-0000-0000-0000EFB10000}"/>
    <cellStyle name="Vírgula 2 2 3 2 2 7 3 2" xfId="46562" xr:uid="{00000000-0005-0000-0000-0000F0B10000}"/>
    <cellStyle name="Vírgula 2 2 3 2 2 7 4" xfId="14461" xr:uid="{00000000-0005-0000-0000-0000F1B10000}"/>
    <cellStyle name="Vírgula 2 2 3 2 2 7 4 2" xfId="40654" xr:uid="{00000000-0005-0000-0000-0000F2B10000}"/>
    <cellStyle name="Vírgula 2 2 3 2 2 7 5" xfId="34268" xr:uid="{00000000-0005-0000-0000-0000F3B10000}"/>
    <cellStyle name="Vírgula 2 2 3 2 2 8" xfId="4670" xr:uid="{00000000-0005-0000-0000-0000F4B10000}"/>
    <cellStyle name="Vírgula 2 2 3 2 2 8 2" xfId="23329" xr:uid="{00000000-0005-0000-0000-0000F5B10000}"/>
    <cellStyle name="Vírgula 2 2 3 2 2 8 2 2" xfId="49516" xr:uid="{00000000-0005-0000-0000-0000F6B10000}"/>
    <cellStyle name="Vírgula 2 2 3 2 2 8 3" xfId="30870" xr:uid="{00000000-0005-0000-0000-0000F7B10000}"/>
    <cellStyle name="Vírgula 2 2 3 2 2 9" xfId="17415" xr:uid="{00000000-0005-0000-0000-0000F8B10000}"/>
    <cellStyle name="Vírgula 2 2 3 2 2 9 2" xfId="43608" xr:uid="{00000000-0005-0000-0000-0000F9B10000}"/>
    <cellStyle name="Vírgula 2 2 3 2 3" xfId="4379" xr:uid="{00000000-0005-0000-0000-0000FAB10000}"/>
    <cellStyle name="Vírgula 2 2 3 2 3 10" xfId="30579" xr:uid="{00000000-0005-0000-0000-0000FBB10000}"/>
    <cellStyle name="Vírgula 2 2 3 2 3 2" xfId="4487" xr:uid="{00000000-0005-0000-0000-0000FCB10000}"/>
    <cellStyle name="Vírgula 2 2 3 2 3 2 2" xfId="7889" xr:uid="{00000000-0005-0000-0000-0000FDB10000}"/>
    <cellStyle name="Vírgula 2 2 3 2 3 2 2 2" xfId="10906" xr:uid="{00000000-0005-0000-0000-0000FEB10000}"/>
    <cellStyle name="Vírgula 2 2 3 2 3 2 2 2 2" xfId="29120" xr:uid="{00000000-0005-0000-0000-0000FFB10000}"/>
    <cellStyle name="Vírgula 2 2 3 2 3 2 2 2 2 2" xfId="55301" xr:uid="{00000000-0005-0000-0000-000000B20000}"/>
    <cellStyle name="Vírgula 2 2 3 2 3 2 2 2 3" xfId="23206" xr:uid="{00000000-0005-0000-0000-000001B20000}"/>
    <cellStyle name="Vírgula 2 2 3 2 3 2 2 2 3 2" xfId="49393" xr:uid="{00000000-0005-0000-0000-000002B20000}"/>
    <cellStyle name="Vírgula 2 2 3 2 3 2 2 2 4" xfId="17292" xr:uid="{00000000-0005-0000-0000-000003B20000}"/>
    <cellStyle name="Vírgula 2 2 3 2 3 2 2 2 4 2" xfId="43485" xr:uid="{00000000-0005-0000-0000-000004B20000}"/>
    <cellStyle name="Vírgula 2 2 3 2 3 2 2 2 5" xfId="37099" xr:uid="{00000000-0005-0000-0000-000005B20000}"/>
    <cellStyle name="Vírgula 2 2 3 2 3 2 2 3" xfId="26163" xr:uid="{00000000-0005-0000-0000-000006B20000}"/>
    <cellStyle name="Vírgula 2 2 3 2 3 2 2 3 2" xfId="52347" xr:uid="{00000000-0005-0000-0000-000007B20000}"/>
    <cellStyle name="Vírgula 2 2 3 2 3 2 2 4" xfId="20249" xr:uid="{00000000-0005-0000-0000-000008B20000}"/>
    <cellStyle name="Vírgula 2 2 3 2 3 2 2 4 2" xfId="46439" xr:uid="{00000000-0005-0000-0000-000009B20000}"/>
    <cellStyle name="Vírgula 2 2 3 2 3 2 2 5" xfId="14278" xr:uid="{00000000-0005-0000-0000-00000AB20000}"/>
    <cellStyle name="Vírgula 2 2 3 2 3 2 2 5 2" xfId="40471" xr:uid="{00000000-0005-0000-0000-00000BB20000}"/>
    <cellStyle name="Vírgula 2 2 3 2 3 2 2 6" xfId="34085" xr:uid="{00000000-0005-0000-0000-00000CB20000}"/>
    <cellStyle name="Vírgula 2 2 3 2 3 2 3" xfId="9438" xr:uid="{00000000-0005-0000-0000-00000DB20000}"/>
    <cellStyle name="Vírgula 2 2 3 2 3 2 3 2" xfId="27652" xr:uid="{00000000-0005-0000-0000-00000EB20000}"/>
    <cellStyle name="Vírgula 2 2 3 2 3 2 3 2 2" xfId="53833" xr:uid="{00000000-0005-0000-0000-00000FB20000}"/>
    <cellStyle name="Vírgula 2 2 3 2 3 2 3 3" xfId="21738" xr:uid="{00000000-0005-0000-0000-000010B20000}"/>
    <cellStyle name="Vírgula 2 2 3 2 3 2 3 3 2" xfId="47925" xr:uid="{00000000-0005-0000-0000-000011B20000}"/>
    <cellStyle name="Vírgula 2 2 3 2 3 2 3 4" xfId="15824" xr:uid="{00000000-0005-0000-0000-000012B20000}"/>
    <cellStyle name="Vírgula 2 2 3 2 3 2 3 4 2" xfId="42017" xr:uid="{00000000-0005-0000-0000-000013B20000}"/>
    <cellStyle name="Vírgula 2 2 3 2 3 2 3 5" xfId="35631" xr:uid="{00000000-0005-0000-0000-000014B20000}"/>
    <cellStyle name="Vírgula 2 2 3 2 3 2 4" xfId="6188" xr:uid="{00000000-0005-0000-0000-000015B20000}"/>
    <cellStyle name="Vírgula 2 2 3 2 3 2 4 2" xfId="24695" xr:uid="{00000000-0005-0000-0000-000016B20000}"/>
    <cellStyle name="Vírgula 2 2 3 2 3 2 4 2 2" xfId="50879" xr:uid="{00000000-0005-0000-0000-000017B20000}"/>
    <cellStyle name="Vírgula 2 2 3 2 3 2 4 3" xfId="32384" xr:uid="{00000000-0005-0000-0000-000018B20000}"/>
    <cellStyle name="Vírgula 2 2 3 2 3 2 5" xfId="18781" xr:uid="{00000000-0005-0000-0000-000019B20000}"/>
    <cellStyle name="Vírgula 2 2 3 2 3 2 5 2" xfId="44971" xr:uid="{00000000-0005-0000-0000-00001AB20000}"/>
    <cellStyle name="Vírgula 2 2 3 2 3 2 6" xfId="12577" xr:uid="{00000000-0005-0000-0000-00001BB20000}"/>
    <cellStyle name="Vírgula 2 2 3 2 3 2 6 2" xfId="38770" xr:uid="{00000000-0005-0000-0000-00001CB20000}"/>
    <cellStyle name="Vírgula 2 2 3 2 3 2 7" xfId="30687" xr:uid="{00000000-0005-0000-0000-00001DB20000}"/>
    <cellStyle name="Vírgula 2 2 3 2 3 3" xfId="4595" xr:uid="{00000000-0005-0000-0000-00001EB20000}"/>
    <cellStyle name="Vírgula 2 2 3 2 3 3 2" xfId="7998" xr:uid="{00000000-0005-0000-0000-00001FB20000}"/>
    <cellStyle name="Vírgula 2 2 3 2 3 3 2 2" xfId="10968" xr:uid="{00000000-0005-0000-0000-000020B20000}"/>
    <cellStyle name="Vírgula 2 2 3 2 3 3 2 2 2" xfId="29182" xr:uid="{00000000-0005-0000-0000-000021B20000}"/>
    <cellStyle name="Vírgula 2 2 3 2 3 3 2 2 2 2" xfId="55363" xr:uid="{00000000-0005-0000-0000-000022B20000}"/>
    <cellStyle name="Vírgula 2 2 3 2 3 3 2 2 3" xfId="23268" xr:uid="{00000000-0005-0000-0000-000023B20000}"/>
    <cellStyle name="Vírgula 2 2 3 2 3 3 2 2 3 2" xfId="49455" xr:uid="{00000000-0005-0000-0000-000024B20000}"/>
    <cellStyle name="Vírgula 2 2 3 2 3 3 2 2 4" xfId="17354" xr:uid="{00000000-0005-0000-0000-000025B20000}"/>
    <cellStyle name="Vírgula 2 2 3 2 3 3 2 2 4 2" xfId="43547" xr:uid="{00000000-0005-0000-0000-000026B20000}"/>
    <cellStyle name="Vírgula 2 2 3 2 3 3 2 2 5" xfId="37161" xr:uid="{00000000-0005-0000-0000-000027B20000}"/>
    <cellStyle name="Vírgula 2 2 3 2 3 3 2 3" xfId="26225" xr:uid="{00000000-0005-0000-0000-000028B20000}"/>
    <cellStyle name="Vírgula 2 2 3 2 3 3 2 3 2" xfId="52409" xr:uid="{00000000-0005-0000-0000-000029B20000}"/>
    <cellStyle name="Vírgula 2 2 3 2 3 3 2 4" xfId="20311" xr:uid="{00000000-0005-0000-0000-00002AB20000}"/>
    <cellStyle name="Vírgula 2 2 3 2 3 3 2 4 2" xfId="46501" xr:uid="{00000000-0005-0000-0000-00002BB20000}"/>
    <cellStyle name="Vírgula 2 2 3 2 3 3 2 5" xfId="14387" xr:uid="{00000000-0005-0000-0000-00002CB20000}"/>
    <cellStyle name="Vírgula 2 2 3 2 3 3 2 5 2" xfId="40580" xr:uid="{00000000-0005-0000-0000-00002DB20000}"/>
    <cellStyle name="Vírgula 2 2 3 2 3 3 2 6" xfId="34194" xr:uid="{00000000-0005-0000-0000-00002EB20000}"/>
    <cellStyle name="Vírgula 2 2 3 2 3 3 3" xfId="9500" xr:uid="{00000000-0005-0000-0000-00002FB20000}"/>
    <cellStyle name="Vírgula 2 2 3 2 3 3 3 2" xfId="27714" xr:uid="{00000000-0005-0000-0000-000030B20000}"/>
    <cellStyle name="Vírgula 2 2 3 2 3 3 3 2 2" xfId="53895" xr:uid="{00000000-0005-0000-0000-000031B20000}"/>
    <cellStyle name="Vírgula 2 2 3 2 3 3 3 3" xfId="21800" xr:uid="{00000000-0005-0000-0000-000032B20000}"/>
    <cellStyle name="Vírgula 2 2 3 2 3 3 3 3 2" xfId="47987" xr:uid="{00000000-0005-0000-0000-000033B20000}"/>
    <cellStyle name="Vírgula 2 2 3 2 3 3 3 4" xfId="15886" xr:uid="{00000000-0005-0000-0000-000034B20000}"/>
    <cellStyle name="Vírgula 2 2 3 2 3 3 3 4 2" xfId="42079" xr:uid="{00000000-0005-0000-0000-000035B20000}"/>
    <cellStyle name="Vírgula 2 2 3 2 3 3 3 5" xfId="35693" xr:uid="{00000000-0005-0000-0000-000036B20000}"/>
    <cellStyle name="Vírgula 2 2 3 2 3 3 4" xfId="6297" xr:uid="{00000000-0005-0000-0000-000037B20000}"/>
    <cellStyle name="Vírgula 2 2 3 2 3 3 4 2" xfId="24757" xr:uid="{00000000-0005-0000-0000-000038B20000}"/>
    <cellStyle name="Vírgula 2 2 3 2 3 3 4 2 2" xfId="50941" xr:uid="{00000000-0005-0000-0000-000039B20000}"/>
    <cellStyle name="Vírgula 2 2 3 2 3 3 4 3" xfId="32493" xr:uid="{00000000-0005-0000-0000-00003AB20000}"/>
    <cellStyle name="Vírgula 2 2 3 2 3 3 5" xfId="18843" xr:uid="{00000000-0005-0000-0000-00003BB20000}"/>
    <cellStyle name="Vírgula 2 2 3 2 3 3 5 2" xfId="45033" xr:uid="{00000000-0005-0000-0000-00003CB20000}"/>
    <cellStyle name="Vírgula 2 2 3 2 3 3 6" xfId="12686" xr:uid="{00000000-0005-0000-0000-00003DB20000}"/>
    <cellStyle name="Vírgula 2 2 3 2 3 3 6 2" xfId="38879" xr:uid="{00000000-0005-0000-0000-00003EB20000}"/>
    <cellStyle name="Vírgula 2 2 3 2 3 3 7" xfId="30795" xr:uid="{00000000-0005-0000-0000-00003FB20000}"/>
    <cellStyle name="Vírgula 2 2 3 2 3 4" xfId="6081" xr:uid="{00000000-0005-0000-0000-000040B20000}"/>
    <cellStyle name="Vírgula 2 2 3 2 3 4 2" xfId="7781" xr:uid="{00000000-0005-0000-0000-000041B20000}"/>
    <cellStyle name="Vírgula 2 2 3 2 3 4 2 2" xfId="10844" xr:uid="{00000000-0005-0000-0000-000042B20000}"/>
    <cellStyle name="Vírgula 2 2 3 2 3 4 2 2 2" xfId="29058" xr:uid="{00000000-0005-0000-0000-000043B20000}"/>
    <cellStyle name="Vírgula 2 2 3 2 3 4 2 2 2 2" xfId="55239" xr:uid="{00000000-0005-0000-0000-000044B20000}"/>
    <cellStyle name="Vírgula 2 2 3 2 3 4 2 2 3" xfId="23144" xr:uid="{00000000-0005-0000-0000-000045B20000}"/>
    <cellStyle name="Vírgula 2 2 3 2 3 4 2 2 3 2" xfId="49331" xr:uid="{00000000-0005-0000-0000-000046B20000}"/>
    <cellStyle name="Vírgula 2 2 3 2 3 4 2 2 4" xfId="17230" xr:uid="{00000000-0005-0000-0000-000047B20000}"/>
    <cellStyle name="Vírgula 2 2 3 2 3 4 2 2 4 2" xfId="43423" xr:uid="{00000000-0005-0000-0000-000048B20000}"/>
    <cellStyle name="Vírgula 2 2 3 2 3 4 2 2 5" xfId="37037" xr:uid="{00000000-0005-0000-0000-000049B20000}"/>
    <cellStyle name="Vírgula 2 2 3 2 3 4 2 3" xfId="26101" xr:uid="{00000000-0005-0000-0000-00004AB20000}"/>
    <cellStyle name="Vírgula 2 2 3 2 3 4 2 3 2" xfId="52285" xr:uid="{00000000-0005-0000-0000-00004BB20000}"/>
    <cellStyle name="Vírgula 2 2 3 2 3 4 2 4" xfId="20187" xr:uid="{00000000-0005-0000-0000-00004CB20000}"/>
    <cellStyle name="Vírgula 2 2 3 2 3 4 2 4 2" xfId="46377" xr:uid="{00000000-0005-0000-0000-00004DB20000}"/>
    <cellStyle name="Vírgula 2 2 3 2 3 4 2 5" xfId="14170" xr:uid="{00000000-0005-0000-0000-00004EB20000}"/>
    <cellStyle name="Vírgula 2 2 3 2 3 4 2 5 2" xfId="40363" xr:uid="{00000000-0005-0000-0000-00004FB20000}"/>
    <cellStyle name="Vírgula 2 2 3 2 3 4 2 6" xfId="33977" xr:uid="{00000000-0005-0000-0000-000050B20000}"/>
    <cellStyle name="Vírgula 2 2 3 2 3 4 3" xfId="9376" xr:uid="{00000000-0005-0000-0000-000051B20000}"/>
    <cellStyle name="Vírgula 2 2 3 2 3 4 3 2" xfId="27590" xr:uid="{00000000-0005-0000-0000-000052B20000}"/>
    <cellStyle name="Vírgula 2 2 3 2 3 4 3 2 2" xfId="53771" xr:uid="{00000000-0005-0000-0000-000053B20000}"/>
    <cellStyle name="Vírgula 2 2 3 2 3 4 3 3" xfId="21676" xr:uid="{00000000-0005-0000-0000-000054B20000}"/>
    <cellStyle name="Vírgula 2 2 3 2 3 4 3 3 2" xfId="47863" xr:uid="{00000000-0005-0000-0000-000055B20000}"/>
    <cellStyle name="Vírgula 2 2 3 2 3 4 3 4" xfId="15762" xr:uid="{00000000-0005-0000-0000-000056B20000}"/>
    <cellStyle name="Vírgula 2 2 3 2 3 4 3 4 2" xfId="41955" xr:uid="{00000000-0005-0000-0000-000057B20000}"/>
    <cellStyle name="Vírgula 2 2 3 2 3 4 3 5" xfId="35569" xr:uid="{00000000-0005-0000-0000-000058B20000}"/>
    <cellStyle name="Vírgula 2 2 3 2 3 4 4" xfId="24633" xr:uid="{00000000-0005-0000-0000-000059B20000}"/>
    <cellStyle name="Vírgula 2 2 3 2 3 4 4 2" xfId="50817" xr:uid="{00000000-0005-0000-0000-00005AB20000}"/>
    <cellStyle name="Vírgula 2 2 3 2 3 4 5" xfId="18719" xr:uid="{00000000-0005-0000-0000-00005BB20000}"/>
    <cellStyle name="Vírgula 2 2 3 2 3 4 5 2" xfId="44909" xr:uid="{00000000-0005-0000-0000-00005CB20000}"/>
    <cellStyle name="Vírgula 2 2 3 2 3 4 6" xfId="12469" xr:uid="{00000000-0005-0000-0000-00005DB20000}"/>
    <cellStyle name="Vírgula 2 2 3 2 3 4 6 2" xfId="38662" xr:uid="{00000000-0005-0000-0000-00005EB20000}"/>
    <cellStyle name="Vírgula 2 2 3 2 3 4 7" xfId="32277" xr:uid="{00000000-0005-0000-0000-00005FB20000}"/>
    <cellStyle name="Vírgula 2 2 3 2 3 5" xfId="6406" xr:uid="{00000000-0005-0000-0000-000060B20000}"/>
    <cellStyle name="Vírgula 2 2 3 2 3 5 2" xfId="9562" xr:uid="{00000000-0005-0000-0000-000061B20000}"/>
    <cellStyle name="Vírgula 2 2 3 2 3 5 2 2" xfId="27776" xr:uid="{00000000-0005-0000-0000-000062B20000}"/>
    <cellStyle name="Vírgula 2 2 3 2 3 5 2 2 2" xfId="53957" xr:uid="{00000000-0005-0000-0000-000063B20000}"/>
    <cellStyle name="Vírgula 2 2 3 2 3 5 2 3" xfId="21862" xr:uid="{00000000-0005-0000-0000-000064B20000}"/>
    <cellStyle name="Vírgula 2 2 3 2 3 5 2 3 2" xfId="48049" xr:uid="{00000000-0005-0000-0000-000065B20000}"/>
    <cellStyle name="Vírgula 2 2 3 2 3 5 2 4" xfId="15948" xr:uid="{00000000-0005-0000-0000-000066B20000}"/>
    <cellStyle name="Vírgula 2 2 3 2 3 5 2 4 2" xfId="42141" xr:uid="{00000000-0005-0000-0000-000067B20000}"/>
    <cellStyle name="Vírgula 2 2 3 2 3 5 2 5" xfId="35755" xr:uid="{00000000-0005-0000-0000-000068B20000}"/>
    <cellStyle name="Vírgula 2 2 3 2 3 5 3" xfId="24819" xr:uid="{00000000-0005-0000-0000-000069B20000}"/>
    <cellStyle name="Vírgula 2 2 3 2 3 5 3 2" xfId="51003" xr:uid="{00000000-0005-0000-0000-00006AB20000}"/>
    <cellStyle name="Vírgula 2 2 3 2 3 5 4" xfId="18905" xr:uid="{00000000-0005-0000-0000-00006BB20000}"/>
    <cellStyle name="Vírgula 2 2 3 2 3 5 4 2" xfId="45095" xr:uid="{00000000-0005-0000-0000-00006CB20000}"/>
    <cellStyle name="Vírgula 2 2 3 2 3 5 5" xfId="12795" xr:uid="{00000000-0005-0000-0000-00006DB20000}"/>
    <cellStyle name="Vírgula 2 2 3 2 3 5 5 2" xfId="38988" xr:uid="{00000000-0005-0000-0000-00006EB20000}"/>
    <cellStyle name="Vírgula 2 2 3 2 3 5 6" xfId="32602" xr:uid="{00000000-0005-0000-0000-00006FB20000}"/>
    <cellStyle name="Vírgula 2 2 3 2 3 6" xfId="8091" xr:uid="{00000000-0005-0000-0000-000070B20000}"/>
    <cellStyle name="Vírgula 2 2 3 2 3 6 2" xfId="26305" xr:uid="{00000000-0005-0000-0000-000071B20000}"/>
    <cellStyle name="Vírgula 2 2 3 2 3 6 2 2" xfId="52489" xr:uid="{00000000-0005-0000-0000-000072B20000}"/>
    <cellStyle name="Vírgula 2 2 3 2 3 6 3" xfId="20391" xr:uid="{00000000-0005-0000-0000-000073B20000}"/>
    <cellStyle name="Vírgula 2 2 3 2 3 6 3 2" xfId="46581" xr:uid="{00000000-0005-0000-0000-000074B20000}"/>
    <cellStyle name="Vírgula 2 2 3 2 3 6 4" xfId="14480" xr:uid="{00000000-0005-0000-0000-000075B20000}"/>
    <cellStyle name="Vírgula 2 2 3 2 3 6 4 2" xfId="40673" xr:uid="{00000000-0005-0000-0000-000076B20000}"/>
    <cellStyle name="Vírgula 2 2 3 2 3 6 5" xfId="34287" xr:uid="{00000000-0005-0000-0000-000077B20000}"/>
    <cellStyle name="Vírgula 2 2 3 2 3 7" xfId="4703" xr:uid="{00000000-0005-0000-0000-000078B20000}"/>
    <cellStyle name="Vírgula 2 2 3 2 3 7 2" xfId="23348" xr:uid="{00000000-0005-0000-0000-000079B20000}"/>
    <cellStyle name="Vírgula 2 2 3 2 3 7 2 2" xfId="49535" xr:uid="{00000000-0005-0000-0000-00007AB20000}"/>
    <cellStyle name="Vírgula 2 2 3 2 3 7 3" xfId="30903" xr:uid="{00000000-0005-0000-0000-00007BB20000}"/>
    <cellStyle name="Vírgula 2 2 3 2 3 8" xfId="17434" xr:uid="{00000000-0005-0000-0000-00007CB20000}"/>
    <cellStyle name="Vírgula 2 2 3 2 3 8 2" xfId="43627" xr:uid="{00000000-0005-0000-0000-00007DB20000}"/>
    <cellStyle name="Vírgula 2 2 3 2 3 9" xfId="11094" xr:uid="{00000000-0005-0000-0000-00007EB20000}"/>
    <cellStyle name="Vírgula 2 2 3 2 3 9 2" xfId="37287" xr:uid="{00000000-0005-0000-0000-00007FB20000}"/>
    <cellStyle name="Vírgula 2 2 3 2 4" xfId="4312" xr:uid="{00000000-0005-0000-0000-000080B20000}"/>
    <cellStyle name="Vírgula 2 2 3 2 4 2" xfId="7713" xr:uid="{00000000-0005-0000-0000-000081B20000}"/>
    <cellStyle name="Vírgula 2 2 3 2 4 2 2" xfId="10805" xr:uid="{00000000-0005-0000-0000-000082B20000}"/>
    <cellStyle name="Vírgula 2 2 3 2 4 2 2 2" xfId="29019" xr:uid="{00000000-0005-0000-0000-000083B20000}"/>
    <cellStyle name="Vírgula 2 2 3 2 4 2 2 2 2" xfId="55200" xr:uid="{00000000-0005-0000-0000-000084B20000}"/>
    <cellStyle name="Vírgula 2 2 3 2 4 2 2 3" xfId="23105" xr:uid="{00000000-0005-0000-0000-000085B20000}"/>
    <cellStyle name="Vírgula 2 2 3 2 4 2 2 3 2" xfId="49292" xr:uid="{00000000-0005-0000-0000-000086B20000}"/>
    <cellStyle name="Vírgula 2 2 3 2 4 2 2 4" xfId="17191" xr:uid="{00000000-0005-0000-0000-000087B20000}"/>
    <cellStyle name="Vírgula 2 2 3 2 4 2 2 4 2" xfId="43384" xr:uid="{00000000-0005-0000-0000-000088B20000}"/>
    <cellStyle name="Vírgula 2 2 3 2 4 2 2 5" xfId="36998" xr:uid="{00000000-0005-0000-0000-000089B20000}"/>
    <cellStyle name="Vírgula 2 2 3 2 4 2 3" xfId="26062" xr:uid="{00000000-0005-0000-0000-00008AB20000}"/>
    <cellStyle name="Vírgula 2 2 3 2 4 2 3 2" xfId="52246" xr:uid="{00000000-0005-0000-0000-00008BB20000}"/>
    <cellStyle name="Vírgula 2 2 3 2 4 2 4" xfId="20148" xr:uid="{00000000-0005-0000-0000-00008CB20000}"/>
    <cellStyle name="Vírgula 2 2 3 2 4 2 4 2" xfId="46338" xr:uid="{00000000-0005-0000-0000-00008DB20000}"/>
    <cellStyle name="Vírgula 2 2 3 2 4 2 5" xfId="14102" xr:uid="{00000000-0005-0000-0000-00008EB20000}"/>
    <cellStyle name="Vírgula 2 2 3 2 4 2 5 2" xfId="40295" xr:uid="{00000000-0005-0000-0000-00008FB20000}"/>
    <cellStyle name="Vírgula 2 2 3 2 4 2 6" xfId="33909" xr:uid="{00000000-0005-0000-0000-000090B20000}"/>
    <cellStyle name="Vírgula 2 2 3 2 4 3" xfId="9337" xr:uid="{00000000-0005-0000-0000-000091B20000}"/>
    <cellStyle name="Vírgula 2 2 3 2 4 3 2" xfId="27551" xr:uid="{00000000-0005-0000-0000-000092B20000}"/>
    <cellStyle name="Vírgula 2 2 3 2 4 3 2 2" xfId="53732" xr:uid="{00000000-0005-0000-0000-000093B20000}"/>
    <cellStyle name="Vírgula 2 2 3 2 4 3 3" xfId="21637" xr:uid="{00000000-0005-0000-0000-000094B20000}"/>
    <cellStyle name="Vírgula 2 2 3 2 4 3 3 2" xfId="47824" xr:uid="{00000000-0005-0000-0000-000095B20000}"/>
    <cellStyle name="Vírgula 2 2 3 2 4 3 4" xfId="15723" xr:uid="{00000000-0005-0000-0000-000096B20000}"/>
    <cellStyle name="Vírgula 2 2 3 2 4 3 4 2" xfId="41916" xr:uid="{00000000-0005-0000-0000-000097B20000}"/>
    <cellStyle name="Vírgula 2 2 3 2 4 3 5" xfId="35530" xr:uid="{00000000-0005-0000-0000-000098B20000}"/>
    <cellStyle name="Vírgula 2 2 3 2 4 4" xfId="6013" xr:uid="{00000000-0005-0000-0000-000099B20000}"/>
    <cellStyle name="Vírgula 2 2 3 2 4 4 2" xfId="24594" xr:uid="{00000000-0005-0000-0000-00009AB20000}"/>
    <cellStyle name="Vírgula 2 2 3 2 4 4 2 2" xfId="50778" xr:uid="{00000000-0005-0000-0000-00009BB20000}"/>
    <cellStyle name="Vírgula 2 2 3 2 4 4 3" xfId="32209" xr:uid="{00000000-0005-0000-0000-00009CB20000}"/>
    <cellStyle name="Vírgula 2 2 3 2 4 5" xfId="18680" xr:uid="{00000000-0005-0000-0000-00009DB20000}"/>
    <cellStyle name="Vírgula 2 2 3 2 4 5 2" xfId="44870" xr:uid="{00000000-0005-0000-0000-00009EB20000}"/>
    <cellStyle name="Vírgula 2 2 3 2 4 6" xfId="12401" xr:uid="{00000000-0005-0000-0000-00009FB20000}"/>
    <cellStyle name="Vírgula 2 2 3 2 4 6 2" xfId="38594" xr:uid="{00000000-0005-0000-0000-0000A0B20000}"/>
    <cellStyle name="Vírgula 2 2 3 2 4 7" xfId="30512" xr:uid="{00000000-0005-0000-0000-0000A1B20000}"/>
    <cellStyle name="Vírgula 2 2 3 2 5" xfId="4420" xr:uid="{00000000-0005-0000-0000-0000A2B20000}"/>
    <cellStyle name="Vírgula 2 2 3 2 5 2" xfId="7822" xr:uid="{00000000-0005-0000-0000-0000A3B20000}"/>
    <cellStyle name="Vírgula 2 2 3 2 5 2 2" xfId="10867" xr:uid="{00000000-0005-0000-0000-0000A4B20000}"/>
    <cellStyle name="Vírgula 2 2 3 2 5 2 2 2" xfId="29081" xr:uid="{00000000-0005-0000-0000-0000A5B20000}"/>
    <cellStyle name="Vírgula 2 2 3 2 5 2 2 2 2" xfId="55262" xr:uid="{00000000-0005-0000-0000-0000A6B20000}"/>
    <cellStyle name="Vírgula 2 2 3 2 5 2 2 3" xfId="23167" xr:uid="{00000000-0005-0000-0000-0000A7B20000}"/>
    <cellStyle name="Vírgula 2 2 3 2 5 2 2 3 2" xfId="49354" xr:uid="{00000000-0005-0000-0000-0000A8B20000}"/>
    <cellStyle name="Vírgula 2 2 3 2 5 2 2 4" xfId="17253" xr:uid="{00000000-0005-0000-0000-0000A9B20000}"/>
    <cellStyle name="Vírgula 2 2 3 2 5 2 2 4 2" xfId="43446" xr:uid="{00000000-0005-0000-0000-0000AAB20000}"/>
    <cellStyle name="Vírgula 2 2 3 2 5 2 2 5" xfId="37060" xr:uid="{00000000-0005-0000-0000-0000ABB20000}"/>
    <cellStyle name="Vírgula 2 2 3 2 5 2 3" xfId="26124" xr:uid="{00000000-0005-0000-0000-0000ACB20000}"/>
    <cellStyle name="Vírgula 2 2 3 2 5 2 3 2" xfId="52308" xr:uid="{00000000-0005-0000-0000-0000ADB20000}"/>
    <cellStyle name="Vírgula 2 2 3 2 5 2 4" xfId="20210" xr:uid="{00000000-0005-0000-0000-0000AEB20000}"/>
    <cellStyle name="Vírgula 2 2 3 2 5 2 4 2" xfId="46400" xr:uid="{00000000-0005-0000-0000-0000AFB20000}"/>
    <cellStyle name="Vírgula 2 2 3 2 5 2 5" xfId="14211" xr:uid="{00000000-0005-0000-0000-0000B0B20000}"/>
    <cellStyle name="Vírgula 2 2 3 2 5 2 5 2" xfId="40404" xr:uid="{00000000-0005-0000-0000-0000B1B20000}"/>
    <cellStyle name="Vírgula 2 2 3 2 5 2 6" xfId="34018" xr:uid="{00000000-0005-0000-0000-0000B2B20000}"/>
    <cellStyle name="Vírgula 2 2 3 2 5 3" xfId="9399" xr:uid="{00000000-0005-0000-0000-0000B3B20000}"/>
    <cellStyle name="Vírgula 2 2 3 2 5 3 2" xfId="27613" xr:uid="{00000000-0005-0000-0000-0000B4B20000}"/>
    <cellStyle name="Vírgula 2 2 3 2 5 3 2 2" xfId="53794" xr:uid="{00000000-0005-0000-0000-0000B5B20000}"/>
    <cellStyle name="Vírgula 2 2 3 2 5 3 3" xfId="21699" xr:uid="{00000000-0005-0000-0000-0000B6B20000}"/>
    <cellStyle name="Vírgula 2 2 3 2 5 3 3 2" xfId="47886" xr:uid="{00000000-0005-0000-0000-0000B7B20000}"/>
    <cellStyle name="Vírgula 2 2 3 2 5 3 4" xfId="15785" xr:uid="{00000000-0005-0000-0000-0000B8B20000}"/>
    <cellStyle name="Vírgula 2 2 3 2 5 3 4 2" xfId="41978" xr:uid="{00000000-0005-0000-0000-0000B9B20000}"/>
    <cellStyle name="Vírgula 2 2 3 2 5 3 5" xfId="35592" xr:uid="{00000000-0005-0000-0000-0000BAB20000}"/>
    <cellStyle name="Vírgula 2 2 3 2 5 4" xfId="6122" xr:uid="{00000000-0005-0000-0000-0000BBB20000}"/>
    <cellStyle name="Vírgula 2 2 3 2 5 4 2" xfId="24656" xr:uid="{00000000-0005-0000-0000-0000BCB20000}"/>
    <cellStyle name="Vírgula 2 2 3 2 5 4 2 2" xfId="50840" xr:uid="{00000000-0005-0000-0000-0000BDB20000}"/>
    <cellStyle name="Vírgula 2 2 3 2 5 4 3" xfId="32318" xr:uid="{00000000-0005-0000-0000-0000BEB20000}"/>
    <cellStyle name="Vírgula 2 2 3 2 5 5" xfId="18742" xr:uid="{00000000-0005-0000-0000-0000BFB20000}"/>
    <cellStyle name="Vírgula 2 2 3 2 5 5 2" xfId="44932" xr:uid="{00000000-0005-0000-0000-0000C0B20000}"/>
    <cellStyle name="Vírgula 2 2 3 2 5 6" xfId="12510" xr:uid="{00000000-0005-0000-0000-0000C1B20000}"/>
    <cellStyle name="Vírgula 2 2 3 2 5 6 2" xfId="38703" xr:uid="{00000000-0005-0000-0000-0000C2B20000}"/>
    <cellStyle name="Vírgula 2 2 3 2 5 7" xfId="30620" xr:uid="{00000000-0005-0000-0000-0000C3B20000}"/>
    <cellStyle name="Vírgula 2 2 3 2 6" xfId="4528" xr:uid="{00000000-0005-0000-0000-0000C4B20000}"/>
    <cellStyle name="Vírgula 2 2 3 2 6 2" xfId="7930" xr:uid="{00000000-0005-0000-0000-0000C5B20000}"/>
    <cellStyle name="Vírgula 2 2 3 2 6 2 2" xfId="10929" xr:uid="{00000000-0005-0000-0000-0000C6B20000}"/>
    <cellStyle name="Vírgula 2 2 3 2 6 2 2 2" xfId="29143" xr:uid="{00000000-0005-0000-0000-0000C7B20000}"/>
    <cellStyle name="Vírgula 2 2 3 2 6 2 2 2 2" xfId="55324" xr:uid="{00000000-0005-0000-0000-0000C8B20000}"/>
    <cellStyle name="Vírgula 2 2 3 2 6 2 2 3" xfId="23229" xr:uid="{00000000-0005-0000-0000-0000C9B20000}"/>
    <cellStyle name="Vírgula 2 2 3 2 6 2 2 3 2" xfId="49416" xr:uid="{00000000-0005-0000-0000-0000CAB20000}"/>
    <cellStyle name="Vírgula 2 2 3 2 6 2 2 4" xfId="17315" xr:uid="{00000000-0005-0000-0000-0000CBB20000}"/>
    <cellStyle name="Vírgula 2 2 3 2 6 2 2 4 2" xfId="43508" xr:uid="{00000000-0005-0000-0000-0000CCB20000}"/>
    <cellStyle name="Vírgula 2 2 3 2 6 2 2 5" xfId="37122" xr:uid="{00000000-0005-0000-0000-0000CDB20000}"/>
    <cellStyle name="Vírgula 2 2 3 2 6 2 3" xfId="26186" xr:uid="{00000000-0005-0000-0000-0000CEB20000}"/>
    <cellStyle name="Vírgula 2 2 3 2 6 2 3 2" xfId="52370" xr:uid="{00000000-0005-0000-0000-0000CFB20000}"/>
    <cellStyle name="Vírgula 2 2 3 2 6 2 4" xfId="20272" xr:uid="{00000000-0005-0000-0000-0000D0B20000}"/>
    <cellStyle name="Vírgula 2 2 3 2 6 2 4 2" xfId="46462" xr:uid="{00000000-0005-0000-0000-0000D1B20000}"/>
    <cellStyle name="Vírgula 2 2 3 2 6 2 5" xfId="14319" xr:uid="{00000000-0005-0000-0000-0000D2B20000}"/>
    <cellStyle name="Vírgula 2 2 3 2 6 2 5 2" xfId="40512" xr:uid="{00000000-0005-0000-0000-0000D3B20000}"/>
    <cellStyle name="Vírgula 2 2 3 2 6 2 6" xfId="34126" xr:uid="{00000000-0005-0000-0000-0000D4B20000}"/>
    <cellStyle name="Vírgula 2 2 3 2 6 3" xfId="9461" xr:uid="{00000000-0005-0000-0000-0000D5B20000}"/>
    <cellStyle name="Vírgula 2 2 3 2 6 3 2" xfId="27675" xr:uid="{00000000-0005-0000-0000-0000D6B20000}"/>
    <cellStyle name="Vírgula 2 2 3 2 6 3 2 2" xfId="53856" xr:uid="{00000000-0005-0000-0000-0000D7B20000}"/>
    <cellStyle name="Vírgula 2 2 3 2 6 3 3" xfId="21761" xr:uid="{00000000-0005-0000-0000-0000D8B20000}"/>
    <cellStyle name="Vírgula 2 2 3 2 6 3 3 2" xfId="47948" xr:uid="{00000000-0005-0000-0000-0000D9B20000}"/>
    <cellStyle name="Vírgula 2 2 3 2 6 3 4" xfId="15847" xr:uid="{00000000-0005-0000-0000-0000DAB20000}"/>
    <cellStyle name="Vírgula 2 2 3 2 6 3 4 2" xfId="42040" xr:uid="{00000000-0005-0000-0000-0000DBB20000}"/>
    <cellStyle name="Vírgula 2 2 3 2 6 3 5" xfId="35654" xr:uid="{00000000-0005-0000-0000-0000DCB20000}"/>
    <cellStyle name="Vírgula 2 2 3 2 6 4" xfId="6229" xr:uid="{00000000-0005-0000-0000-0000DDB20000}"/>
    <cellStyle name="Vírgula 2 2 3 2 6 4 2" xfId="24718" xr:uid="{00000000-0005-0000-0000-0000DEB20000}"/>
    <cellStyle name="Vírgula 2 2 3 2 6 4 2 2" xfId="50902" xr:uid="{00000000-0005-0000-0000-0000DFB20000}"/>
    <cellStyle name="Vírgula 2 2 3 2 6 4 3" xfId="32425" xr:uid="{00000000-0005-0000-0000-0000E0B20000}"/>
    <cellStyle name="Vírgula 2 2 3 2 6 5" xfId="18804" xr:uid="{00000000-0005-0000-0000-0000E1B20000}"/>
    <cellStyle name="Vírgula 2 2 3 2 6 5 2" xfId="44994" xr:uid="{00000000-0005-0000-0000-0000E2B20000}"/>
    <cellStyle name="Vírgula 2 2 3 2 6 6" xfId="12618" xr:uid="{00000000-0005-0000-0000-0000E3B20000}"/>
    <cellStyle name="Vírgula 2 2 3 2 6 6 2" xfId="38811" xr:uid="{00000000-0005-0000-0000-0000E4B20000}"/>
    <cellStyle name="Vírgula 2 2 3 2 6 7" xfId="30728" xr:uid="{00000000-0005-0000-0000-0000E5B20000}"/>
    <cellStyle name="Vírgula 2 2 3 2 7" xfId="5936" xr:uid="{00000000-0005-0000-0000-0000E6B20000}"/>
    <cellStyle name="Vírgula 2 2 3 2 7 2" xfId="7636" xr:uid="{00000000-0005-0000-0000-0000E7B20000}"/>
    <cellStyle name="Vírgula 2 2 3 2 7 2 2" xfId="10762" xr:uid="{00000000-0005-0000-0000-0000E8B20000}"/>
    <cellStyle name="Vírgula 2 2 3 2 7 2 2 2" xfId="28976" xr:uid="{00000000-0005-0000-0000-0000E9B20000}"/>
    <cellStyle name="Vírgula 2 2 3 2 7 2 2 2 2" xfId="55157" xr:uid="{00000000-0005-0000-0000-0000EAB20000}"/>
    <cellStyle name="Vírgula 2 2 3 2 7 2 2 3" xfId="23062" xr:uid="{00000000-0005-0000-0000-0000EBB20000}"/>
    <cellStyle name="Vírgula 2 2 3 2 7 2 2 3 2" xfId="49249" xr:uid="{00000000-0005-0000-0000-0000ECB20000}"/>
    <cellStyle name="Vírgula 2 2 3 2 7 2 2 4" xfId="17148" xr:uid="{00000000-0005-0000-0000-0000EDB20000}"/>
    <cellStyle name="Vírgula 2 2 3 2 7 2 2 4 2" xfId="43341" xr:uid="{00000000-0005-0000-0000-0000EEB20000}"/>
    <cellStyle name="Vírgula 2 2 3 2 7 2 2 5" xfId="36955" xr:uid="{00000000-0005-0000-0000-0000EFB20000}"/>
    <cellStyle name="Vírgula 2 2 3 2 7 2 3" xfId="26019" xr:uid="{00000000-0005-0000-0000-0000F0B20000}"/>
    <cellStyle name="Vírgula 2 2 3 2 7 2 3 2" xfId="52203" xr:uid="{00000000-0005-0000-0000-0000F1B20000}"/>
    <cellStyle name="Vírgula 2 2 3 2 7 2 4" xfId="20105" xr:uid="{00000000-0005-0000-0000-0000F2B20000}"/>
    <cellStyle name="Vírgula 2 2 3 2 7 2 4 2" xfId="46295" xr:uid="{00000000-0005-0000-0000-0000F3B20000}"/>
    <cellStyle name="Vírgula 2 2 3 2 7 2 5" xfId="14025" xr:uid="{00000000-0005-0000-0000-0000F4B20000}"/>
    <cellStyle name="Vírgula 2 2 3 2 7 2 5 2" xfId="40218" xr:uid="{00000000-0005-0000-0000-0000F5B20000}"/>
    <cellStyle name="Vírgula 2 2 3 2 7 2 6" xfId="33832" xr:uid="{00000000-0005-0000-0000-0000F6B20000}"/>
    <cellStyle name="Vírgula 2 2 3 2 7 3" xfId="9294" xr:uid="{00000000-0005-0000-0000-0000F7B20000}"/>
    <cellStyle name="Vírgula 2 2 3 2 7 3 2" xfId="27508" xr:uid="{00000000-0005-0000-0000-0000F8B20000}"/>
    <cellStyle name="Vírgula 2 2 3 2 7 3 2 2" xfId="53689" xr:uid="{00000000-0005-0000-0000-0000F9B20000}"/>
    <cellStyle name="Vírgula 2 2 3 2 7 3 3" xfId="21594" xr:uid="{00000000-0005-0000-0000-0000FAB20000}"/>
    <cellStyle name="Vírgula 2 2 3 2 7 3 3 2" xfId="47781" xr:uid="{00000000-0005-0000-0000-0000FBB20000}"/>
    <cellStyle name="Vírgula 2 2 3 2 7 3 4" xfId="15680" xr:uid="{00000000-0005-0000-0000-0000FCB20000}"/>
    <cellStyle name="Vírgula 2 2 3 2 7 3 4 2" xfId="41873" xr:uid="{00000000-0005-0000-0000-0000FDB20000}"/>
    <cellStyle name="Vírgula 2 2 3 2 7 3 5" xfId="35487" xr:uid="{00000000-0005-0000-0000-0000FEB20000}"/>
    <cellStyle name="Vírgula 2 2 3 2 7 4" xfId="24551" xr:uid="{00000000-0005-0000-0000-0000FFB20000}"/>
    <cellStyle name="Vírgula 2 2 3 2 7 4 2" xfId="50735" xr:uid="{00000000-0005-0000-0000-000000B30000}"/>
    <cellStyle name="Vírgula 2 2 3 2 7 5" xfId="18637" xr:uid="{00000000-0005-0000-0000-000001B30000}"/>
    <cellStyle name="Vírgula 2 2 3 2 7 5 2" xfId="44827" xr:uid="{00000000-0005-0000-0000-000002B30000}"/>
    <cellStyle name="Vírgula 2 2 3 2 7 6" xfId="12324" xr:uid="{00000000-0005-0000-0000-000003B30000}"/>
    <cellStyle name="Vírgula 2 2 3 2 7 6 2" xfId="38517" xr:uid="{00000000-0005-0000-0000-000004B30000}"/>
    <cellStyle name="Vírgula 2 2 3 2 7 7" xfId="32132" xr:uid="{00000000-0005-0000-0000-000005B30000}"/>
    <cellStyle name="Vírgula 2 2 3 2 8" xfId="6338" xr:uid="{00000000-0005-0000-0000-000006B30000}"/>
    <cellStyle name="Vírgula 2 2 3 2 8 2" xfId="9523" xr:uid="{00000000-0005-0000-0000-000007B30000}"/>
    <cellStyle name="Vírgula 2 2 3 2 8 2 2" xfId="27737" xr:uid="{00000000-0005-0000-0000-000008B30000}"/>
    <cellStyle name="Vírgula 2 2 3 2 8 2 2 2" xfId="53918" xr:uid="{00000000-0005-0000-0000-000009B30000}"/>
    <cellStyle name="Vírgula 2 2 3 2 8 2 3" xfId="21823" xr:uid="{00000000-0005-0000-0000-00000AB30000}"/>
    <cellStyle name="Vírgula 2 2 3 2 8 2 3 2" xfId="48010" xr:uid="{00000000-0005-0000-0000-00000BB30000}"/>
    <cellStyle name="Vírgula 2 2 3 2 8 2 4" xfId="15909" xr:uid="{00000000-0005-0000-0000-00000CB30000}"/>
    <cellStyle name="Vírgula 2 2 3 2 8 2 4 2" xfId="42102" xr:uid="{00000000-0005-0000-0000-00000DB30000}"/>
    <cellStyle name="Vírgula 2 2 3 2 8 2 5" xfId="35716" xr:uid="{00000000-0005-0000-0000-00000EB30000}"/>
    <cellStyle name="Vírgula 2 2 3 2 8 3" xfId="24780" xr:uid="{00000000-0005-0000-0000-00000FB30000}"/>
    <cellStyle name="Vírgula 2 2 3 2 8 3 2" xfId="50964" xr:uid="{00000000-0005-0000-0000-000010B30000}"/>
    <cellStyle name="Vírgula 2 2 3 2 8 4" xfId="18866" xr:uid="{00000000-0005-0000-0000-000011B30000}"/>
    <cellStyle name="Vírgula 2 2 3 2 8 4 2" xfId="45056" xr:uid="{00000000-0005-0000-0000-000012B30000}"/>
    <cellStyle name="Vírgula 2 2 3 2 8 5" xfId="12727" xr:uid="{00000000-0005-0000-0000-000013B30000}"/>
    <cellStyle name="Vírgula 2 2 3 2 8 5 2" xfId="38920" xr:uid="{00000000-0005-0000-0000-000014B30000}"/>
    <cellStyle name="Vírgula 2 2 3 2 8 6" xfId="32534" xr:uid="{00000000-0005-0000-0000-000015B30000}"/>
    <cellStyle name="Vírgula 2 2 3 2 9" xfId="8030" xr:uid="{00000000-0005-0000-0000-000016B30000}"/>
    <cellStyle name="Vírgula 2 2 3 2 9 2" xfId="10987" xr:uid="{00000000-0005-0000-0000-000017B30000}"/>
    <cellStyle name="Vírgula 2 2 3 2 9 2 2" xfId="29201" xr:uid="{00000000-0005-0000-0000-000018B30000}"/>
    <cellStyle name="Vírgula 2 2 3 2 9 2 2 2" xfId="55382" xr:uid="{00000000-0005-0000-0000-000019B30000}"/>
    <cellStyle name="Vírgula 2 2 3 2 9 2 3" xfId="23287" xr:uid="{00000000-0005-0000-0000-00001AB30000}"/>
    <cellStyle name="Vírgula 2 2 3 2 9 2 3 2" xfId="49474" xr:uid="{00000000-0005-0000-0000-00001BB30000}"/>
    <cellStyle name="Vírgula 2 2 3 2 9 2 4" xfId="17373" xr:uid="{00000000-0005-0000-0000-00001CB30000}"/>
    <cellStyle name="Vírgula 2 2 3 2 9 2 4 2" xfId="43566" xr:uid="{00000000-0005-0000-0000-00001DB30000}"/>
    <cellStyle name="Vírgula 2 2 3 2 9 2 5" xfId="37180" xr:uid="{00000000-0005-0000-0000-00001EB30000}"/>
    <cellStyle name="Vírgula 2 2 3 2 9 3" xfId="26244" xr:uid="{00000000-0005-0000-0000-00001FB30000}"/>
    <cellStyle name="Vírgula 2 2 3 2 9 3 2" xfId="52428" xr:uid="{00000000-0005-0000-0000-000020B30000}"/>
    <cellStyle name="Vírgula 2 2 3 2 9 4" xfId="20330" xr:uid="{00000000-0005-0000-0000-000021B30000}"/>
    <cellStyle name="Vírgula 2 2 3 2 9 4 2" xfId="46520" xr:uid="{00000000-0005-0000-0000-000022B30000}"/>
    <cellStyle name="Vírgula 2 2 3 2 9 5" xfId="14419" xr:uid="{00000000-0005-0000-0000-000023B30000}"/>
    <cellStyle name="Vírgula 2 2 3 2 9 5 2" xfId="40612" xr:uid="{00000000-0005-0000-0000-000024B30000}"/>
    <cellStyle name="Vírgula 2 2 3 2 9 6" xfId="34226" xr:uid="{00000000-0005-0000-0000-000025B30000}"/>
    <cellStyle name="Vírgula 2 2 3 3" xfId="4255" xr:uid="{00000000-0005-0000-0000-000026B30000}"/>
    <cellStyle name="Vírgula 2 2 3 3 10" xfId="11046" xr:uid="{00000000-0005-0000-0000-000027B30000}"/>
    <cellStyle name="Vírgula 2 2 3 3 10 2" xfId="37239" xr:uid="{00000000-0005-0000-0000-000028B30000}"/>
    <cellStyle name="Vírgula 2 2 3 3 11" xfId="30455" xr:uid="{00000000-0005-0000-0000-000029B30000}"/>
    <cellStyle name="Vírgula 2 2 3 3 2" xfId="4332" xr:uid="{00000000-0005-0000-0000-00002AB30000}"/>
    <cellStyle name="Vírgula 2 2 3 3 2 2" xfId="7733" xr:uid="{00000000-0005-0000-0000-00002BB30000}"/>
    <cellStyle name="Vírgula 2 2 3 3 2 2 2" xfId="10816" xr:uid="{00000000-0005-0000-0000-00002CB30000}"/>
    <cellStyle name="Vírgula 2 2 3 3 2 2 2 2" xfId="29030" xr:uid="{00000000-0005-0000-0000-00002DB30000}"/>
    <cellStyle name="Vírgula 2 2 3 3 2 2 2 2 2" xfId="55211" xr:uid="{00000000-0005-0000-0000-00002EB30000}"/>
    <cellStyle name="Vírgula 2 2 3 3 2 2 2 3" xfId="23116" xr:uid="{00000000-0005-0000-0000-00002FB30000}"/>
    <cellStyle name="Vírgula 2 2 3 3 2 2 2 3 2" xfId="49303" xr:uid="{00000000-0005-0000-0000-000030B30000}"/>
    <cellStyle name="Vírgula 2 2 3 3 2 2 2 4" xfId="17202" xr:uid="{00000000-0005-0000-0000-000031B30000}"/>
    <cellStyle name="Vírgula 2 2 3 3 2 2 2 4 2" xfId="43395" xr:uid="{00000000-0005-0000-0000-000032B30000}"/>
    <cellStyle name="Vírgula 2 2 3 3 2 2 2 5" xfId="37009" xr:uid="{00000000-0005-0000-0000-000033B30000}"/>
    <cellStyle name="Vírgula 2 2 3 3 2 2 3" xfId="26073" xr:uid="{00000000-0005-0000-0000-000034B30000}"/>
    <cellStyle name="Vírgula 2 2 3 3 2 2 3 2" xfId="52257" xr:uid="{00000000-0005-0000-0000-000035B30000}"/>
    <cellStyle name="Vírgula 2 2 3 3 2 2 4" xfId="20159" xr:uid="{00000000-0005-0000-0000-000036B30000}"/>
    <cellStyle name="Vírgula 2 2 3 3 2 2 4 2" xfId="46349" xr:uid="{00000000-0005-0000-0000-000037B30000}"/>
    <cellStyle name="Vírgula 2 2 3 3 2 2 5" xfId="14122" xr:uid="{00000000-0005-0000-0000-000038B30000}"/>
    <cellStyle name="Vírgula 2 2 3 3 2 2 5 2" xfId="40315" xr:uid="{00000000-0005-0000-0000-000039B30000}"/>
    <cellStyle name="Vírgula 2 2 3 3 2 2 6" xfId="33929" xr:uid="{00000000-0005-0000-0000-00003AB30000}"/>
    <cellStyle name="Vírgula 2 2 3 3 2 3" xfId="9348" xr:uid="{00000000-0005-0000-0000-00003BB30000}"/>
    <cellStyle name="Vírgula 2 2 3 3 2 3 2" xfId="27562" xr:uid="{00000000-0005-0000-0000-00003CB30000}"/>
    <cellStyle name="Vírgula 2 2 3 3 2 3 2 2" xfId="53743" xr:uid="{00000000-0005-0000-0000-00003DB30000}"/>
    <cellStyle name="Vírgula 2 2 3 3 2 3 3" xfId="21648" xr:uid="{00000000-0005-0000-0000-00003EB30000}"/>
    <cellStyle name="Vírgula 2 2 3 3 2 3 3 2" xfId="47835" xr:uid="{00000000-0005-0000-0000-00003FB30000}"/>
    <cellStyle name="Vírgula 2 2 3 3 2 3 4" xfId="15734" xr:uid="{00000000-0005-0000-0000-000040B30000}"/>
    <cellStyle name="Vírgula 2 2 3 3 2 3 4 2" xfId="41927" xr:uid="{00000000-0005-0000-0000-000041B30000}"/>
    <cellStyle name="Vírgula 2 2 3 3 2 3 5" xfId="35541" xr:uid="{00000000-0005-0000-0000-000042B30000}"/>
    <cellStyle name="Vírgula 2 2 3 3 2 4" xfId="6033" xr:uid="{00000000-0005-0000-0000-000043B30000}"/>
    <cellStyle name="Vírgula 2 2 3 3 2 4 2" xfId="24605" xr:uid="{00000000-0005-0000-0000-000044B30000}"/>
    <cellStyle name="Vírgula 2 2 3 3 2 4 2 2" xfId="50789" xr:uid="{00000000-0005-0000-0000-000045B30000}"/>
    <cellStyle name="Vírgula 2 2 3 3 2 4 3" xfId="32229" xr:uid="{00000000-0005-0000-0000-000046B30000}"/>
    <cellStyle name="Vírgula 2 2 3 3 2 5" xfId="18691" xr:uid="{00000000-0005-0000-0000-000047B30000}"/>
    <cellStyle name="Vírgula 2 2 3 3 2 5 2" xfId="44881" xr:uid="{00000000-0005-0000-0000-000048B30000}"/>
    <cellStyle name="Vírgula 2 2 3 3 2 6" xfId="12421" xr:uid="{00000000-0005-0000-0000-000049B30000}"/>
    <cellStyle name="Vírgula 2 2 3 3 2 6 2" xfId="38614" xr:uid="{00000000-0005-0000-0000-00004AB30000}"/>
    <cellStyle name="Vírgula 2 2 3 3 2 7" xfId="30532" xr:uid="{00000000-0005-0000-0000-00004BB30000}"/>
    <cellStyle name="Vírgula 2 2 3 3 3" xfId="4440" xr:uid="{00000000-0005-0000-0000-00004CB30000}"/>
    <cellStyle name="Vírgula 2 2 3 3 3 2" xfId="7842" xr:uid="{00000000-0005-0000-0000-00004DB30000}"/>
    <cellStyle name="Vírgula 2 2 3 3 3 2 2" xfId="10878" xr:uid="{00000000-0005-0000-0000-00004EB30000}"/>
    <cellStyle name="Vírgula 2 2 3 3 3 2 2 2" xfId="29092" xr:uid="{00000000-0005-0000-0000-00004FB30000}"/>
    <cellStyle name="Vírgula 2 2 3 3 3 2 2 2 2" xfId="55273" xr:uid="{00000000-0005-0000-0000-000050B30000}"/>
    <cellStyle name="Vírgula 2 2 3 3 3 2 2 3" xfId="23178" xr:uid="{00000000-0005-0000-0000-000051B30000}"/>
    <cellStyle name="Vírgula 2 2 3 3 3 2 2 3 2" xfId="49365" xr:uid="{00000000-0005-0000-0000-000052B30000}"/>
    <cellStyle name="Vírgula 2 2 3 3 3 2 2 4" xfId="17264" xr:uid="{00000000-0005-0000-0000-000053B30000}"/>
    <cellStyle name="Vírgula 2 2 3 3 3 2 2 4 2" xfId="43457" xr:uid="{00000000-0005-0000-0000-000054B30000}"/>
    <cellStyle name="Vírgula 2 2 3 3 3 2 2 5" xfId="37071" xr:uid="{00000000-0005-0000-0000-000055B30000}"/>
    <cellStyle name="Vírgula 2 2 3 3 3 2 3" xfId="26135" xr:uid="{00000000-0005-0000-0000-000056B30000}"/>
    <cellStyle name="Vírgula 2 2 3 3 3 2 3 2" xfId="52319" xr:uid="{00000000-0005-0000-0000-000057B30000}"/>
    <cellStyle name="Vírgula 2 2 3 3 3 2 4" xfId="20221" xr:uid="{00000000-0005-0000-0000-000058B30000}"/>
    <cellStyle name="Vírgula 2 2 3 3 3 2 4 2" xfId="46411" xr:uid="{00000000-0005-0000-0000-000059B30000}"/>
    <cellStyle name="Vírgula 2 2 3 3 3 2 5" xfId="14231" xr:uid="{00000000-0005-0000-0000-00005AB30000}"/>
    <cellStyle name="Vírgula 2 2 3 3 3 2 5 2" xfId="40424" xr:uid="{00000000-0005-0000-0000-00005BB30000}"/>
    <cellStyle name="Vírgula 2 2 3 3 3 2 6" xfId="34038" xr:uid="{00000000-0005-0000-0000-00005CB30000}"/>
    <cellStyle name="Vírgula 2 2 3 3 3 3" xfId="9410" xr:uid="{00000000-0005-0000-0000-00005DB30000}"/>
    <cellStyle name="Vírgula 2 2 3 3 3 3 2" xfId="27624" xr:uid="{00000000-0005-0000-0000-00005EB30000}"/>
    <cellStyle name="Vírgula 2 2 3 3 3 3 2 2" xfId="53805" xr:uid="{00000000-0005-0000-0000-00005FB30000}"/>
    <cellStyle name="Vírgula 2 2 3 3 3 3 3" xfId="21710" xr:uid="{00000000-0005-0000-0000-000060B30000}"/>
    <cellStyle name="Vírgula 2 2 3 3 3 3 3 2" xfId="47897" xr:uid="{00000000-0005-0000-0000-000061B30000}"/>
    <cellStyle name="Vírgula 2 2 3 3 3 3 4" xfId="15796" xr:uid="{00000000-0005-0000-0000-000062B30000}"/>
    <cellStyle name="Vírgula 2 2 3 3 3 3 4 2" xfId="41989" xr:uid="{00000000-0005-0000-0000-000063B30000}"/>
    <cellStyle name="Vírgula 2 2 3 3 3 3 5" xfId="35603" xr:uid="{00000000-0005-0000-0000-000064B30000}"/>
    <cellStyle name="Vírgula 2 2 3 3 3 4" xfId="6142" xr:uid="{00000000-0005-0000-0000-000065B30000}"/>
    <cellStyle name="Vírgula 2 2 3 3 3 4 2" xfId="24667" xr:uid="{00000000-0005-0000-0000-000066B30000}"/>
    <cellStyle name="Vírgula 2 2 3 3 3 4 2 2" xfId="50851" xr:uid="{00000000-0005-0000-0000-000067B30000}"/>
    <cellStyle name="Vírgula 2 2 3 3 3 4 3" xfId="32338" xr:uid="{00000000-0005-0000-0000-000068B30000}"/>
    <cellStyle name="Vírgula 2 2 3 3 3 5" xfId="18753" xr:uid="{00000000-0005-0000-0000-000069B30000}"/>
    <cellStyle name="Vírgula 2 2 3 3 3 5 2" xfId="44943" xr:uid="{00000000-0005-0000-0000-00006AB30000}"/>
    <cellStyle name="Vírgula 2 2 3 3 3 6" xfId="12530" xr:uid="{00000000-0005-0000-0000-00006BB30000}"/>
    <cellStyle name="Vírgula 2 2 3 3 3 6 2" xfId="38723" xr:uid="{00000000-0005-0000-0000-00006CB30000}"/>
    <cellStyle name="Vírgula 2 2 3 3 3 7" xfId="30640" xr:uid="{00000000-0005-0000-0000-00006DB30000}"/>
    <cellStyle name="Vírgula 2 2 3 3 4" xfId="4548" xr:uid="{00000000-0005-0000-0000-00006EB30000}"/>
    <cellStyle name="Vírgula 2 2 3 3 4 2" xfId="7950" xr:uid="{00000000-0005-0000-0000-00006FB30000}"/>
    <cellStyle name="Vírgula 2 2 3 3 4 2 2" xfId="10940" xr:uid="{00000000-0005-0000-0000-000070B30000}"/>
    <cellStyle name="Vírgula 2 2 3 3 4 2 2 2" xfId="29154" xr:uid="{00000000-0005-0000-0000-000071B30000}"/>
    <cellStyle name="Vírgula 2 2 3 3 4 2 2 2 2" xfId="55335" xr:uid="{00000000-0005-0000-0000-000072B30000}"/>
    <cellStyle name="Vírgula 2 2 3 3 4 2 2 3" xfId="23240" xr:uid="{00000000-0005-0000-0000-000073B30000}"/>
    <cellStyle name="Vírgula 2 2 3 3 4 2 2 3 2" xfId="49427" xr:uid="{00000000-0005-0000-0000-000074B30000}"/>
    <cellStyle name="Vírgula 2 2 3 3 4 2 2 4" xfId="17326" xr:uid="{00000000-0005-0000-0000-000075B30000}"/>
    <cellStyle name="Vírgula 2 2 3 3 4 2 2 4 2" xfId="43519" xr:uid="{00000000-0005-0000-0000-000076B30000}"/>
    <cellStyle name="Vírgula 2 2 3 3 4 2 2 5" xfId="37133" xr:uid="{00000000-0005-0000-0000-000077B30000}"/>
    <cellStyle name="Vírgula 2 2 3 3 4 2 3" xfId="26197" xr:uid="{00000000-0005-0000-0000-000078B30000}"/>
    <cellStyle name="Vírgula 2 2 3 3 4 2 3 2" xfId="52381" xr:uid="{00000000-0005-0000-0000-000079B30000}"/>
    <cellStyle name="Vírgula 2 2 3 3 4 2 4" xfId="20283" xr:uid="{00000000-0005-0000-0000-00007AB30000}"/>
    <cellStyle name="Vírgula 2 2 3 3 4 2 4 2" xfId="46473" xr:uid="{00000000-0005-0000-0000-00007BB30000}"/>
    <cellStyle name="Vírgula 2 2 3 3 4 2 5" xfId="14339" xr:uid="{00000000-0005-0000-0000-00007CB30000}"/>
    <cellStyle name="Vírgula 2 2 3 3 4 2 5 2" xfId="40532" xr:uid="{00000000-0005-0000-0000-00007DB30000}"/>
    <cellStyle name="Vírgula 2 2 3 3 4 2 6" xfId="34146" xr:uid="{00000000-0005-0000-0000-00007EB30000}"/>
    <cellStyle name="Vírgula 2 2 3 3 4 3" xfId="9472" xr:uid="{00000000-0005-0000-0000-00007FB30000}"/>
    <cellStyle name="Vírgula 2 2 3 3 4 3 2" xfId="27686" xr:uid="{00000000-0005-0000-0000-000080B30000}"/>
    <cellStyle name="Vírgula 2 2 3 3 4 3 2 2" xfId="53867" xr:uid="{00000000-0005-0000-0000-000081B30000}"/>
    <cellStyle name="Vírgula 2 2 3 3 4 3 3" xfId="21772" xr:uid="{00000000-0005-0000-0000-000082B30000}"/>
    <cellStyle name="Vírgula 2 2 3 3 4 3 3 2" xfId="47959" xr:uid="{00000000-0005-0000-0000-000083B30000}"/>
    <cellStyle name="Vírgula 2 2 3 3 4 3 4" xfId="15858" xr:uid="{00000000-0005-0000-0000-000084B30000}"/>
    <cellStyle name="Vírgula 2 2 3 3 4 3 4 2" xfId="42051" xr:uid="{00000000-0005-0000-0000-000085B30000}"/>
    <cellStyle name="Vírgula 2 2 3 3 4 3 5" xfId="35665" xr:uid="{00000000-0005-0000-0000-000086B30000}"/>
    <cellStyle name="Vírgula 2 2 3 3 4 4" xfId="6249" xr:uid="{00000000-0005-0000-0000-000087B30000}"/>
    <cellStyle name="Vírgula 2 2 3 3 4 4 2" xfId="24729" xr:uid="{00000000-0005-0000-0000-000088B30000}"/>
    <cellStyle name="Vírgula 2 2 3 3 4 4 2 2" xfId="50913" xr:uid="{00000000-0005-0000-0000-000089B30000}"/>
    <cellStyle name="Vírgula 2 2 3 3 4 4 3" xfId="32445" xr:uid="{00000000-0005-0000-0000-00008AB30000}"/>
    <cellStyle name="Vírgula 2 2 3 3 4 5" xfId="18815" xr:uid="{00000000-0005-0000-0000-00008BB30000}"/>
    <cellStyle name="Vírgula 2 2 3 3 4 5 2" xfId="45005" xr:uid="{00000000-0005-0000-0000-00008CB30000}"/>
    <cellStyle name="Vírgula 2 2 3 3 4 6" xfId="12638" xr:uid="{00000000-0005-0000-0000-00008DB30000}"/>
    <cellStyle name="Vírgula 2 2 3 3 4 6 2" xfId="38831" xr:uid="{00000000-0005-0000-0000-00008EB30000}"/>
    <cellStyle name="Vírgula 2 2 3 3 4 7" xfId="30748" xr:uid="{00000000-0005-0000-0000-00008FB30000}"/>
    <cellStyle name="Vírgula 2 2 3 3 5" xfId="5956" xr:uid="{00000000-0005-0000-0000-000090B30000}"/>
    <cellStyle name="Vírgula 2 2 3 3 5 2" xfId="7656" xr:uid="{00000000-0005-0000-0000-000091B30000}"/>
    <cellStyle name="Vírgula 2 2 3 3 5 2 2" xfId="10773" xr:uid="{00000000-0005-0000-0000-000092B30000}"/>
    <cellStyle name="Vírgula 2 2 3 3 5 2 2 2" xfId="28987" xr:uid="{00000000-0005-0000-0000-000093B30000}"/>
    <cellStyle name="Vírgula 2 2 3 3 5 2 2 2 2" xfId="55168" xr:uid="{00000000-0005-0000-0000-000094B30000}"/>
    <cellStyle name="Vírgula 2 2 3 3 5 2 2 3" xfId="23073" xr:uid="{00000000-0005-0000-0000-000095B30000}"/>
    <cellStyle name="Vírgula 2 2 3 3 5 2 2 3 2" xfId="49260" xr:uid="{00000000-0005-0000-0000-000096B30000}"/>
    <cellStyle name="Vírgula 2 2 3 3 5 2 2 4" xfId="17159" xr:uid="{00000000-0005-0000-0000-000097B30000}"/>
    <cellStyle name="Vírgula 2 2 3 3 5 2 2 4 2" xfId="43352" xr:uid="{00000000-0005-0000-0000-000098B30000}"/>
    <cellStyle name="Vírgula 2 2 3 3 5 2 2 5" xfId="36966" xr:uid="{00000000-0005-0000-0000-000099B30000}"/>
    <cellStyle name="Vírgula 2 2 3 3 5 2 3" xfId="26030" xr:uid="{00000000-0005-0000-0000-00009AB30000}"/>
    <cellStyle name="Vírgula 2 2 3 3 5 2 3 2" xfId="52214" xr:uid="{00000000-0005-0000-0000-00009BB30000}"/>
    <cellStyle name="Vírgula 2 2 3 3 5 2 4" xfId="20116" xr:uid="{00000000-0005-0000-0000-00009CB30000}"/>
    <cellStyle name="Vírgula 2 2 3 3 5 2 4 2" xfId="46306" xr:uid="{00000000-0005-0000-0000-00009DB30000}"/>
    <cellStyle name="Vírgula 2 2 3 3 5 2 5" xfId="14045" xr:uid="{00000000-0005-0000-0000-00009EB30000}"/>
    <cellStyle name="Vírgula 2 2 3 3 5 2 5 2" xfId="40238" xr:uid="{00000000-0005-0000-0000-00009FB30000}"/>
    <cellStyle name="Vírgula 2 2 3 3 5 2 6" xfId="33852" xr:uid="{00000000-0005-0000-0000-0000A0B30000}"/>
    <cellStyle name="Vírgula 2 2 3 3 5 3" xfId="9305" xr:uid="{00000000-0005-0000-0000-0000A1B30000}"/>
    <cellStyle name="Vírgula 2 2 3 3 5 3 2" xfId="27519" xr:uid="{00000000-0005-0000-0000-0000A2B30000}"/>
    <cellStyle name="Vírgula 2 2 3 3 5 3 2 2" xfId="53700" xr:uid="{00000000-0005-0000-0000-0000A3B30000}"/>
    <cellStyle name="Vírgula 2 2 3 3 5 3 3" xfId="21605" xr:uid="{00000000-0005-0000-0000-0000A4B30000}"/>
    <cellStyle name="Vírgula 2 2 3 3 5 3 3 2" xfId="47792" xr:uid="{00000000-0005-0000-0000-0000A5B30000}"/>
    <cellStyle name="Vírgula 2 2 3 3 5 3 4" xfId="15691" xr:uid="{00000000-0005-0000-0000-0000A6B30000}"/>
    <cellStyle name="Vírgula 2 2 3 3 5 3 4 2" xfId="41884" xr:uid="{00000000-0005-0000-0000-0000A7B30000}"/>
    <cellStyle name="Vírgula 2 2 3 3 5 3 5" xfId="35498" xr:uid="{00000000-0005-0000-0000-0000A8B30000}"/>
    <cellStyle name="Vírgula 2 2 3 3 5 4" xfId="24562" xr:uid="{00000000-0005-0000-0000-0000A9B30000}"/>
    <cellStyle name="Vírgula 2 2 3 3 5 4 2" xfId="50746" xr:uid="{00000000-0005-0000-0000-0000AAB30000}"/>
    <cellStyle name="Vírgula 2 2 3 3 5 5" xfId="18648" xr:uid="{00000000-0005-0000-0000-0000ABB30000}"/>
    <cellStyle name="Vírgula 2 2 3 3 5 5 2" xfId="44838" xr:uid="{00000000-0005-0000-0000-0000ACB30000}"/>
    <cellStyle name="Vírgula 2 2 3 3 5 6" xfId="12344" xr:uid="{00000000-0005-0000-0000-0000ADB30000}"/>
    <cellStyle name="Vírgula 2 2 3 3 5 6 2" xfId="38537" xr:uid="{00000000-0005-0000-0000-0000AEB30000}"/>
    <cellStyle name="Vírgula 2 2 3 3 5 7" xfId="32152" xr:uid="{00000000-0005-0000-0000-0000AFB30000}"/>
    <cellStyle name="Vírgula 2 2 3 3 6" xfId="6358" xr:uid="{00000000-0005-0000-0000-0000B0B30000}"/>
    <cellStyle name="Vírgula 2 2 3 3 6 2" xfId="9534" xr:uid="{00000000-0005-0000-0000-0000B1B30000}"/>
    <cellStyle name="Vírgula 2 2 3 3 6 2 2" xfId="27748" xr:uid="{00000000-0005-0000-0000-0000B2B30000}"/>
    <cellStyle name="Vírgula 2 2 3 3 6 2 2 2" xfId="53929" xr:uid="{00000000-0005-0000-0000-0000B3B30000}"/>
    <cellStyle name="Vírgula 2 2 3 3 6 2 3" xfId="21834" xr:uid="{00000000-0005-0000-0000-0000B4B30000}"/>
    <cellStyle name="Vírgula 2 2 3 3 6 2 3 2" xfId="48021" xr:uid="{00000000-0005-0000-0000-0000B5B30000}"/>
    <cellStyle name="Vírgula 2 2 3 3 6 2 4" xfId="15920" xr:uid="{00000000-0005-0000-0000-0000B6B30000}"/>
    <cellStyle name="Vírgula 2 2 3 3 6 2 4 2" xfId="42113" xr:uid="{00000000-0005-0000-0000-0000B7B30000}"/>
    <cellStyle name="Vírgula 2 2 3 3 6 2 5" xfId="35727" xr:uid="{00000000-0005-0000-0000-0000B8B30000}"/>
    <cellStyle name="Vírgula 2 2 3 3 6 3" xfId="24791" xr:uid="{00000000-0005-0000-0000-0000B9B30000}"/>
    <cellStyle name="Vírgula 2 2 3 3 6 3 2" xfId="50975" xr:uid="{00000000-0005-0000-0000-0000BAB30000}"/>
    <cellStyle name="Vírgula 2 2 3 3 6 4" xfId="18877" xr:uid="{00000000-0005-0000-0000-0000BBB30000}"/>
    <cellStyle name="Vírgula 2 2 3 3 6 4 2" xfId="45067" xr:uid="{00000000-0005-0000-0000-0000BCB30000}"/>
    <cellStyle name="Vírgula 2 2 3 3 6 5" xfId="12747" xr:uid="{00000000-0005-0000-0000-0000BDB30000}"/>
    <cellStyle name="Vírgula 2 2 3 3 6 5 2" xfId="38940" xr:uid="{00000000-0005-0000-0000-0000BEB30000}"/>
    <cellStyle name="Vírgula 2 2 3 3 6 6" xfId="32554" xr:uid="{00000000-0005-0000-0000-0000BFB30000}"/>
    <cellStyle name="Vírgula 2 2 3 3 7" xfId="8063" xr:uid="{00000000-0005-0000-0000-0000C0B30000}"/>
    <cellStyle name="Vírgula 2 2 3 3 7 2" xfId="26277" xr:uid="{00000000-0005-0000-0000-0000C1B30000}"/>
    <cellStyle name="Vírgula 2 2 3 3 7 2 2" xfId="52461" xr:uid="{00000000-0005-0000-0000-0000C2B30000}"/>
    <cellStyle name="Vírgula 2 2 3 3 7 3" xfId="20363" xr:uid="{00000000-0005-0000-0000-0000C3B30000}"/>
    <cellStyle name="Vírgula 2 2 3 3 7 3 2" xfId="46553" xr:uid="{00000000-0005-0000-0000-0000C4B30000}"/>
    <cellStyle name="Vírgula 2 2 3 3 7 4" xfId="14452" xr:uid="{00000000-0005-0000-0000-0000C5B30000}"/>
    <cellStyle name="Vírgula 2 2 3 3 7 4 2" xfId="40645" xr:uid="{00000000-0005-0000-0000-0000C6B30000}"/>
    <cellStyle name="Vírgula 2 2 3 3 7 5" xfId="34259" xr:uid="{00000000-0005-0000-0000-0000C7B30000}"/>
    <cellStyle name="Vírgula 2 2 3 3 8" xfId="4655" xr:uid="{00000000-0005-0000-0000-0000C8B30000}"/>
    <cellStyle name="Vírgula 2 2 3 3 8 2" xfId="23320" xr:uid="{00000000-0005-0000-0000-0000C9B30000}"/>
    <cellStyle name="Vírgula 2 2 3 3 8 2 2" xfId="49507" xr:uid="{00000000-0005-0000-0000-0000CAB30000}"/>
    <cellStyle name="Vírgula 2 2 3 3 8 3" xfId="30855" xr:uid="{00000000-0005-0000-0000-0000CBB30000}"/>
    <cellStyle name="Vírgula 2 2 3 3 9" xfId="17406" xr:uid="{00000000-0005-0000-0000-0000CCB30000}"/>
    <cellStyle name="Vírgula 2 2 3 3 9 2" xfId="43599" xr:uid="{00000000-0005-0000-0000-0000CDB30000}"/>
    <cellStyle name="Vírgula 2 2 3 4" xfId="4220" xr:uid="{00000000-0005-0000-0000-0000CEB30000}"/>
    <cellStyle name="Vírgula 2 2 3 4 10" xfId="11078" xr:uid="{00000000-0005-0000-0000-0000CFB30000}"/>
    <cellStyle name="Vírgula 2 2 3 4 10 2" xfId="37271" xr:uid="{00000000-0005-0000-0000-0000D0B30000}"/>
    <cellStyle name="Vírgula 2 2 3 4 11" xfId="30420" xr:uid="{00000000-0005-0000-0000-0000D1B30000}"/>
    <cellStyle name="Vírgula 2 2 3 4 2" xfId="4364" xr:uid="{00000000-0005-0000-0000-0000D2B30000}"/>
    <cellStyle name="Vírgula 2 2 3 4 2 2" xfId="7765" xr:uid="{00000000-0005-0000-0000-0000D3B30000}"/>
    <cellStyle name="Vírgula 2 2 3 4 2 2 2" xfId="10835" xr:uid="{00000000-0005-0000-0000-0000D4B30000}"/>
    <cellStyle name="Vírgula 2 2 3 4 2 2 2 2" xfId="29049" xr:uid="{00000000-0005-0000-0000-0000D5B30000}"/>
    <cellStyle name="Vírgula 2 2 3 4 2 2 2 2 2" xfId="55230" xr:uid="{00000000-0005-0000-0000-0000D6B30000}"/>
    <cellStyle name="Vírgula 2 2 3 4 2 2 2 3" xfId="23135" xr:uid="{00000000-0005-0000-0000-0000D7B30000}"/>
    <cellStyle name="Vírgula 2 2 3 4 2 2 2 3 2" xfId="49322" xr:uid="{00000000-0005-0000-0000-0000D8B30000}"/>
    <cellStyle name="Vírgula 2 2 3 4 2 2 2 4" xfId="17221" xr:uid="{00000000-0005-0000-0000-0000D9B30000}"/>
    <cellStyle name="Vírgula 2 2 3 4 2 2 2 4 2" xfId="43414" xr:uid="{00000000-0005-0000-0000-0000DAB30000}"/>
    <cellStyle name="Vírgula 2 2 3 4 2 2 2 5" xfId="37028" xr:uid="{00000000-0005-0000-0000-0000DBB30000}"/>
    <cellStyle name="Vírgula 2 2 3 4 2 2 3" xfId="26092" xr:uid="{00000000-0005-0000-0000-0000DCB30000}"/>
    <cellStyle name="Vírgula 2 2 3 4 2 2 3 2" xfId="52276" xr:uid="{00000000-0005-0000-0000-0000DDB30000}"/>
    <cellStyle name="Vírgula 2 2 3 4 2 2 4" xfId="20178" xr:uid="{00000000-0005-0000-0000-0000DEB30000}"/>
    <cellStyle name="Vírgula 2 2 3 4 2 2 4 2" xfId="46368" xr:uid="{00000000-0005-0000-0000-0000DFB30000}"/>
    <cellStyle name="Vírgula 2 2 3 4 2 2 5" xfId="14154" xr:uid="{00000000-0005-0000-0000-0000E0B30000}"/>
    <cellStyle name="Vírgula 2 2 3 4 2 2 5 2" xfId="40347" xr:uid="{00000000-0005-0000-0000-0000E1B30000}"/>
    <cellStyle name="Vírgula 2 2 3 4 2 2 6" xfId="33961" xr:uid="{00000000-0005-0000-0000-0000E2B30000}"/>
    <cellStyle name="Vírgula 2 2 3 4 2 3" xfId="9367" xr:uid="{00000000-0005-0000-0000-0000E3B30000}"/>
    <cellStyle name="Vírgula 2 2 3 4 2 3 2" xfId="27581" xr:uid="{00000000-0005-0000-0000-0000E4B30000}"/>
    <cellStyle name="Vírgula 2 2 3 4 2 3 2 2" xfId="53762" xr:uid="{00000000-0005-0000-0000-0000E5B30000}"/>
    <cellStyle name="Vírgula 2 2 3 4 2 3 3" xfId="21667" xr:uid="{00000000-0005-0000-0000-0000E6B30000}"/>
    <cellStyle name="Vírgula 2 2 3 4 2 3 3 2" xfId="47854" xr:uid="{00000000-0005-0000-0000-0000E7B30000}"/>
    <cellStyle name="Vírgula 2 2 3 4 2 3 4" xfId="15753" xr:uid="{00000000-0005-0000-0000-0000E8B30000}"/>
    <cellStyle name="Vírgula 2 2 3 4 2 3 4 2" xfId="41946" xr:uid="{00000000-0005-0000-0000-0000E9B30000}"/>
    <cellStyle name="Vírgula 2 2 3 4 2 3 5" xfId="35560" xr:uid="{00000000-0005-0000-0000-0000EAB30000}"/>
    <cellStyle name="Vírgula 2 2 3 4 2 4" xfId="6065" xr:uid="{00000000-0005-0000-0000-0000EBB30000}"/>
    <cellStyle name="Vírgula 2 2 3 4 2 4 2" xfId="24624" xr:uid="{00000000-0005-0000-0000-0000ECB30000}"/>
    <cellStyle name="Vírgula 2 2 3 4 2 4 2 2" xfId="50808" xr:uid="{00000000-0005-0000-0000-0000EDB30000}"/>
    <cellStyle name="Vírgula 2 2 3 4 2 4 3" xfId="32261" xr:uid="{00000000-0005-0000-0000-0000EEB30000}"/>
    <cellStyle name="Vírgula 2 2 3 4 2 5" xfId="18710" xr:uid="{00000000-0005-0000-0000-0000EFB30000}"/>
    <cellStyle name="Vírgula 2 2 3 4 2 5 2" xfId="44900" xr:uid="{00000000-0005-0000-0000-0000F0B30000}"/>
    <cellStyle name="Vírgula 2 2 3 4 2 6" xfId="12453" xr:uid="{00000000-0005-0000-0000-0000F1B30000}"/>
    <cellStyle name="Vírgula 2 2 3 4 2 6 2" xfId="38646" xr:uid="{00000000-0005-0000-0000-0000F2B30000}"/>
    <cellStyle name="Vírgula 2 2 3 4 2 7" xfId="30564" xr:uid="{00000000-0005-0000-0000-0000F3B30000}"/>
    <cellStyle name="Vírgula 2 2 3 4 3" xfId="4472" xr:uid="{00000000-0005-0000-0000-0000F4B30000}"/>
    <cellStyle name="Vírgula 2 2 3 4 3 2" xfId="7874" xr:uid="{00000000-0005-0000-0000-0000F5B30000}"/>
    <cellStyle name="Vírgula 2 2 3 4 3 2 2" xfId="10897" xr:uid="{00000000-0005-0000-0000-0000F6B30000}"/>
    <cellStyle name="Vírgula 2 2 3 4 3 2 2 2" xfId="29111" xr:uid="{00000000-0005-0000-0000-0000F7B30000}"/>
    <cellStyle name="Vírgula 2 2 3 4 3 2 2 2 2" xfId="55292" xr:uid="{00000000-0005-0000-0000-0000F8B30000}"/>
    <cellStyle name="Vírgula 2 2 3 4 3 2 2 3" xfId="23197" xr:uid="{00000000-0005-0000-0000-0000F9B30000}"/>
    <cellStyle name="Vírgula 2 2 3 4 3 2 2 3 2" xfId="49384" xr:uid="{00000000-0005-0000-0000-0000FAB30000}"/>
    <cellStyle name="Vírgula 2 2 3 4 3 2 2 4" xfId="17283" xr:uid="{00000000-0005-0000-0000-0000FBB30000}"/>
    <cellStyle name="Vírgula 2 2 3 4 3 2 2 4 2" xfId="43476" xr:uid="{00000000-0005-0000-0000-0000FCB30000}"/>
    <cellStyle name="Vírgula 2 2 3 4 3 2 2 5" xfId="37090" xr:uid="{00000000-0005-0000-0000-0000FDB30000}"/>
    <cellStyle name="Vírgula 2 2 3 4 3 2 3" xfId="26154" xr:uid="{00000000-0005-0000-0000-0000FEB30000}"/>
    <cellStyle name="Vírgula 2 2 3 4 3 2 3 2" xfId="52338" xr:uid="{00000000-0005-0000-0000-0000FFB30000}"/>
    <cellStyle name="Vírgula 2 2 3 4 3 2 4" xfId="20240" xr:uid="{00000000-0005-0000-0000-000000B40000}"/>
    <cellStyle name="Vírgula 2 2 3 4 3 2 4 2" xfId="46430" xr:uid="{00000000-0005-0000-0000-000001B40000}"/>
    <cellStyle name="Vírgula 2 2 3 4 3 2 5" xfId="14263" xr:uid="{00000000-0005-0000-0000-000002B40000}"/>
    <cellStyle name="Vírgula 2 2 3 4 3 2 5 2" xfId="40456" xr:uid="{00000000-0005-0000-0000-000003B40000}"/>
    <cellStyle name="Vírgula 2 2 3 4 3 2 6" xfId="34070" xr:uid="{00000000-0005-0000-0000-000004B40000}"/>
    <cellStyle name="Vírgula 2 2 3 4 3 3" xfId="9429" xr:uid="{00000000-0005-0000-0000-000005B40000}"/>
    <cellStyle name="Vírgula 2 2 3 4 3 3 2" xfId="27643" xr:uid="{00000000-0005-0000-0000-000006B40000}"/>
    <cellStyle name="Vírgula 2 2 3 4 3 3 2 2" xfId="53824" xr:uid="{00000000-0005-0000-0000-000007B40000}"/>
    <cellStyle name="Vírgula 2 2 3 4 3 3 3" xfId="21729" xr:uid="{00000000-0005-0000-0000-000008B40000}"/>
    <cellStyle name="Vírgula 2 2 3 4 3 3 3 2" xfId="47916" xr:uid="{00000000-0005-0000-0000-000009B40000}"/>
    <cellStyle name="Vírgula 2 2 3 4 3 3 4" xfId="15815" xr:uid="{00000000-0005-0000-0000-00000AB40000}"/>
    <cellStyle name="Vírgula 2 2 3 4 3 3 4 2" xfId="42008" xr:uid="{00000000-0005-0000-0000-00000BB40000}"/>
    <cellStyle name="Vírgula 2 2 3 4 3 3 5" xfId="35622" xr:uid="{00000000-0005-0000-0000-00000CB40000}"/>
    <cellStyle name="Vírgula 2 2 3 4 3 4" xfId="6173" xr:uid="{00000000-0005-0000-0000-00000DB40000}"/>
    <cellStyle name="Vírgula 2 2 3 4 3 4 2" xfId="24686" xr:uid="{00000000-0005-0000-0000-00000EB40000}"/>
    <cellStyle name="Vírgula 2 2 3 4 3 4 2 2" xfId="50870" xr:uid="{00000000-0005-0000-0000-00000FB40000}"/>
    <cellStyle name="Vírgula 2 2 3 4 3 4 3" xfId="32369" xr:uid="{00000000-0005-0000-0000-000010B40000}"/>
    <cellStyle name="Vírgula 2 2 3 4 3 5" xfId="18772" xr:uid="{00000000-0005-0000-0000-000011B40000}"/>
    <cellStyle name="Vírgula 2 2 3 4 3 5 2" xfId="44962" xr:uid="{00000000-0005-0000-0000-000012B40000}"/>
    <cellStyle name="Vírgula 2 2 3 4 3 6" xfId="12562" xr:uid="{00000000-0005-0000-0000-000013B40000}"/>
    <cellStyle name="Vírgula 2 2 3 4 3 6 2" xfId="38755" xr:uid="{00000000-0005-0000-0000-000014B40000}"/>
    <cellStyle name="Vírgula 2 2 3 4 3 7" xfId="30672" xr:uid="{00000000-0005-0000-0000-000015B40000}"/>
    <cellStyle name="Vírgula 2 2 3 4 4" xfId="4580" xr:uid="{00000000-0005-0000-0000-000016B40000}"/>
    <cellStyle name="Vírgula 2 2 3 4 4 2" xfId="7982" xr:uid="{00000000-0005-0000-0000-000017B40000}"/>
    <cellStyle name="Vírgula 2 2 3 4 4 2 2" xfId="10959" xr:uid="{00000000-0005-0000-0000-000018B40000}"/>
    <cellStyle name="Vírgula 2 2 3 4 4 2 2 2" xfId="29173" xr:uid="{00000000-0005-0000-0000-000019B40000}"/>
    <cellStyle name="Vírgula 2 2 3 4 4 2 2 2 2" xfId="55354" xr:uid="{00000000-0005-0000-0000-00001AB40000}"/>
    <cellStyle name="Vírgula 2 2 3 4 4 2 2 3" xfId="23259" xr:uid="{00000000-0005-0000-0000-00001BB40000}"/>
    <cellStyle name="Vírgula 2 2 3 4 4 2 2 3 2" xfId="49446" xr:uid="{00000000-0005-0000-0000-00001CB40000}"/>
    <cellStyle name="Vírgula 2 2 3 4 4 2 2 4" xfId="17345" xr:uid="{00000000-0005-0000-0000-00001DB40000}"/>
    <cellStyle name="Vírgula 2 2 3 4 4 2 2 4 2" xfId="43538" xr:uid="{00000000-0005-0000-0000-00001EB40000}"/>
    <cellStyle name="Vírgula 2 2 3 4 4 2 2 5" xfId="37152" xr:uid="{00000000-0005-0000-0000-00001FB40000}"/>
    <cellStyle name="Vírgula 2 2 3 4 4 2 3" xfId="26216" xr:uid="{00000000-0005-0000-0000-000020B40000}"/>
    <cellStyle name="Vírgula 2 2 3 4 4 2 3 2" xfId="52400" xr:uid="{00000000-0005-0000-0000-000021B40000}"/>
    <cellStyle name="Vírgula 2 2 3 4 4 2 4" xfId="20302" xr:uid="{00000000-0005-0000-0000-000022B40000}"/>
    <cellStyle name="Vírgula 2 2 3 4 4 2 4 2" xfId="46492" xr:uid="{00000000-0005-0000-0000-000023B40000}"/>
    <cellStyle name="Vírgula 2 2 3 4 4 2 5" xfId="14371" xr:uid="{00000000-0005-0000-0000-000024B40000}"/>
    <cellStyle name="Vírgula 2 2 3 4 4 2 5 2" xfId="40564" xr:uid="{00000000-0005-0000-0000-000025B40000}"/>
    <cellStyle name="Vírgula 2 2 3 4 4 2 6" xfId="34178" xr:uid="{00000000-0005-0000-0000-000026B40000}"/>
    <cellStyle name="Vírgula 2 2 3 4 4 3" xfId="9491" xr:uid="{00000000-0005-0000-0000-000027B40000}"/>
    <cellStyle name="Vírgula 2 2 3 4 4 3 2" xfId="27705" xr:uid="{00000000-0005-0000-0000-000028B40000}"/>
    <cellStyle name="Vírgula 2 2 3 4 4 3 2 2" xfId="53886" xr:uid="{00000000-0005-0000-0000-000029B40000}"/>
    <cellStyle name="Vírgula 2 2 3 4 4 3 3" xfId="21791" xr:uid="{00000000-0005-0000-0000-00002AB40000}"/>
    <cellStyle name="Vírgula 2 2 3 4 4 3 3 2" xfId="47978" xr:uid="{00000000-0005-0000-0000-00002BB40000}"/>
    <cellStyle name="Vírgula 2 2 3 4 4 3 4" xfId="15877" xr:uid="{00000000-0005-0000-0000-00002CB40000}"/>
    <cellStyle name="Vírgula 2 2 3 4 4 3 4 2" xfId="42070" xr:uid="{00000000-0005-0000-0000-00002DB40000}"/>
    <cellStyle name="Vírgula 2 2 3 4 4 3 5" xfId="35684" xr:uid="{00000000-0005-0000-0000-00002EB40000}"/>
    <cellStyle name="Vírgula 2 2 3 4 4 4" xfId="6281" xr:uid="{00000000-0005-0000-0000-00002FB40000}"/>
    <cellStyle name="Vírgula 2 2 3 4 4 4 2" xfId="24748" xr:uid="{00000000-0005-0000-0000-000030B40000}"/>
    <cellStyle name="Vírgula 2 2 3 4 4 4 2 2" xfId="50932" xr:uid="{00000000-0005-0000-0000-000031B40000}"/>
    <cellStyle name="Vírgula 2 2 3 4 4 4 3" xfId="32477" xr:uid="{00000000-0005-0000-0000-000032B40000}"/>
    <cellStyle name="Vírgula 2 2 3 4 4 5" xfId="18834" xr:uid="{00000000-0005-0000-0000-000033B40000}"/>
    <cellStyle name="Vírgula 2 2 3 4 4 5 2" xfId="45024" xr:uid="{00000000-0005-0000-0000-000034B40000}"/>
    <cellStyle name="Vírgula 2 2 3 4 4 6" xfId="12670" xr:uid="{00000000-0005-0000-0000-000035B40000}"/>
    <cellStyle name="Vírgula 2 2 3 4 4 6 2" xfId="38863" xr:uid="{00000000-0005-0000-0000-000036B40000}"/>
    <cellStyle name="Vírgula 2 2 3 4 4 7" xfId="30780" xr:uid="{00000000-0005-0000-0000-000037B40000}"/>
    <cellStyle name="Vírgula 2 2 3 4 5" xfId="5920" xr:uid="{00000000-0005-0000-0000-000038B40000}"/>
    <cellStyle name="Vírgula 2 2 3 4 5 2" xfId="7620" xr:uid="{00000000-0005-0000-0000-000039B40000}"/>
    <cellStyle name="Vírgula 2 2 3 4 5 2 2" xfId="10753" xr:uid="{00000000-0005-0000-0000-00003AB40000}"/>
    <cellStyle name="Vírgula 2 2 3 4 5 2 2 2" xfId="28967" xr:uid="{00000000-0005-0000-0000-00003BB40000}"/>
    <cellStyle name="Vírgula 2 2 3 4 5 2 2 2 2" xfId="55148" xr:uid="{00000000-0005-0000-0000-00003CB40000}"/>
    <cellStyle name="Vírgula 2 2 3 4 5 2 2 3" xfId="23053" xr:uid="{00000000-0005-0000-0000-00003DB40000}"/>
    <cellStyle name="Vírgula 2 2 3 4 5 2 2 3 2" xfId="49240" xr:uid="{00000000-0005-0000-0000-00003EB40000}"/>
    <cellStyle name="Vírgula 2 2 3 4 5 2 2 4" xfId="17139" xr:uid="{00000000-0005-0000-0000-00003FB40000}"/>
    <cellStyle name="Vírgula 2 2 3 4 5 2 2 4 2" xfId="43332" xr:uid="{00000000-0005-0000-0000-000040B40000}"/>
    <cellStyle name="Vírgula 2 2 3 4 5 2 2 5" xfId="36946" xr:uid="{00000000-0005-0000-0000-000041B40000}"/>
    <cellStyle name="Vírgula 2 2 3 4 5 2 3" xfId="26010" xr:uid="{00000000-0005-0000-0000-000042B40000}"/>
    <cellStyle name="Vírgula 2 2 3 4 5 2 3 2" xfId="52194" xr:uid="{00000000-0005-0000-0000-000043B40000}"/>
    <cellStyle name="Vírgula 2 2 3 4 5 2 4" xfId="20096" xr:uid="{00000000-0005-0000-0000-000044B40000}"/>
    <cellStyle name="Vírgula 2 2 3 4 5 2 4 2" xfId="46286" xr:uid="{00000000-0005-0000-0000-000045B40000}"/>
    <cellStyle name="Vírgula 2 2 3 4 5 2 5" xfId="14009" xr:uid="{00000000-0005-0000-0000-000046B40000}"/>
    <cellStyle name="Vírgula 2 2 3 4 5 2 5 2" xfId="40202" xr:uid="{00000000-0005-0000-0000-000047B40000}"/>
    <cellStyle name="Vírgula 2 2 3 4 5 2 6" xfId="33816" xr:uid="{00000000-0005-0000-0000-000048B40000}"/>
    <cellStyle name="Vírgula 2 2 3 4 5 3" xfId="9285" xr:uid="{00000000-0005-0000-0000-000049B40000}"/>
    <cellStyle name="Vírgula 2 2 3 4 5 3 2" xfId="27499" xr:uid="{00000000-0005-0000-0000-00004AB40000}"/>
    <cellStyle name="Vírgula 2 2 3 4 5 3 2 2" xfId="53680" xr:uid="{00000000-0005-0000-0000-00004BB40000}"/>
    <cellStyle name="Vírgula 2 2 3 4 5 3 3" xfId="21585" xr:uid="{00000000-0005-0000-0000-00004CB40000}"/>
    <cellStyle name="Vírgula 2 2 3 4 5 3 3 2" xfId="47772" xr:uid="{00000000-0005-0000-0000-00004DB40000}"/>
    <cellStyle name="Vírgula 2 2 3 4 5 3 4" xfId="15671" xr:uid="{00000000-0005-0000-0000-00004EB40000}"/>
    <cellStyle name="Vírgula 2 2 3 4 5 3 4 2" xfId="41864" xr:uid="{00000000-0005-0000-0000-00004FB40000}"/>
    <cellStyle name="Vírgula 2 2 3 4 5 3 5" xfId="35478" xr:uid="{00000000-0005-0000-0000-000050B40000}"/>
    <cellStyle name="Vírgula 2 2 3 4 5 4" xfId="24542" xr:uid="{00000000-0005-0000-0000-000051B40000}"/>
    <cellStyle name="Vírgula 2 2 3 4 5 4 2" xfId="50726" xr:uid="{00000000-0005-0000-0000-000052B40000}"/>
    <cellStyle name="Vírgula 2 2 3 4 5 5" xfId="18628" xr:uid="{00000000-0005-0000-0000-000053B40000}"/>
    <cellStyle name="Vírgula 2 2 3 4 5 5 2" xfId="44818" xr:uid="{00000000-0005-0000-0000-000054B40000}"/>
    <cellStyle name="Vírgula 2 2 3 4 5 6" xfId="12308" xr:uid="{00000000-0005-0000-0000-000055B40000}"/>
    <cellStyle name="Vírgula 2 2 3 4 5 6 2" xfId="38501" xr:uid="{00000000-0005-0000-0000-000056B40000}"/>
    <cellStyle name="Vírgula 2 2 3 4 5 7" xfId="32116" xr:uid="{00000000-0005-0000-0000-000057B40000}"/>
    <cellStyle name="Vírgula 2 2 3 4 6" xfId="6390" xr:uid="{00000000-0005-0000-0000-000058B40000}"/>
    <cellStyle name="Vírgula 2 2 3 4 6 2" xfId="9553" xr:uid="{00000000-0005-0000-0000-000059B40000}"/>
    <cellStyle name="Vírgula 2 2 3 4 6 2 2" xfId="27767" xr:uid="{00000000-0005-0000-0000-00005AB40000}"/>
    <cellStyle name="Vírgula 2 2 3 4 6 2 2 2" xfId="53948" xr:uid="{00000000-0005-0000-0000-00005BB40000}"/>
    <cellStyle name="Vírgula 2 2 3 4 6 2 3" xfId="21853" xr:uid="{00000000-0005-0000-0000-00005CB40000}"/>
    <cellStyle name="Vírgula 2 2 3 4 6 2 3 2" xfId="48040" xr:uid="{00000000-0005-0000-0000-00005DB40000}"/>
    <cellStyle name="Vírgula 2 2 3 4 6 2 4" xfId="15939" xr:uid="{00000000-0005-0000-0000-00005EB40000}"/>
    <cellStyle name="Vírgula 2 2 3 4 6 2 4 2" xfId="42132" xr:uid="{00000000-0005-0000-0000-00005FB40000}"/>
    <cellStyle name="Vírgula 2 2 3 4 6 2 5" xfId="35746" xr:uid="{00000000-0005-0000-0000-000060B40000}"/>
    <cellStyle name="Vírgula 2 2 3 4 6 3" xfId="24810" xr:uid="{00000000-0005-0000-0000-000061B40000}"/>
    <cellStyle name="Vírgula 2 2 3 4 6 3 2" xfId="50994" xr:uid="{00000000-0005-0000-0000-000062B40000}"/>
    <cellStyle name="Vírgula 2 2 3 4 6 4" xfId="18896" xr:uid="{00000000-0005-0000-0000-000063B40000}"/>
    <cellStyle name="Vírgula 2 2 3 4 6 4 2" xfId="45086" xr:uid="{00000000-0005-0000-0000-000064B40000}"/>
    <cellStyle name="Vírgula 2 2 3 4 6 5" xfId="12779" xr:uid="{00000000-0005-0000-0000-000065B40000}"/>
    <cellStyle name="Vírgula 2 2 3 4 6 5 2" xfId="38972" xr:uid="{00000000-0005-0000-0000-000066B40000}"/>
    <cellStyle name="Vírgula 2 2 3 4 6 6" xfId="32586" xr:uid="{00000000-0005-0000-0000-000067B40000}"/>
    <cellStyle name="Vírgula 2 2 3 4 7" xfId="8082" xr:uid="{00000000-0005-0000-0000-000068B40000}"/>
    <cellStyle name="Vírgula 2 2 3 4 7 2" xfId="26296" xr:uid="{00000000-0005-0000-0000-000069B40000}"/>
    <cellStyle name="Vírgula 2 2 3 4 7 2 2" xfId="52480" xr:uid="{00000000-0005-0000-0000-00006AB40000}"/>
    <cellStyle name="Vírgula 2 2 3 4 7 3" xfId="20382" xr:uid="{00000000-0005-0000-0000-00006BB40000}"/>
    <cellStyle name="Vírgula 2 2 3 4 7 3 2" xfId="46572" xr:uid="{00000000-0005-0000-0000-00006CB40000}"/>
    <cellStyle name="Vírgula 2 2 3 4 7 4" xfId="14471" xr:uid="{00000000-0005-0000-0000-00006DB40000}"/>
    <cellStyle name="Vírgula 2 2 3 4 7 4 2" xfId="40664" xr:uid="{00000000-0005-0000-0000-00006EB40000}"/>
    <cellStyle name="Vírgula 2 2 3 4 7 5" xfId="34278" xr:uid="{00000000-0005-0000-0000-00006FB40000}"/>
    <cellStyle name="Vírgula 2 2 3 4 8" xfId="4687" xr:uid="{00000000-0005-0000-0000-000070B40000}"/>
    <cellStyle name="Vírgula 2 2 3 4 8 2" xfId="23339" xr:uid="{00000000-0005-0000-0000-000071B40000}"/>
    <cellStyle name="Vírgula 2 2 3 4 8 2 2" xfId="49526" xr:uid="{00000000-0005-0000-0000-000072B40000}"/>
    <cellStyle name="Vírgula 2 2 3 4 8 3" xfId="30887" xr:uid="{00000000-0005-0000-0000-000073B40000}"/>
    <cellStyle name="Vírgula 2 2 3 4 9" xfId="17425" xr:uid="{00000000-0005-0000-0000-000074B40000}"/>
    <cellStyle name="Vírgula 2 2 3 4 9 2" xfId="43618" xr:uid="{00000000-0005-0000-0000-000075B40000}"/>
    <cellStyle name="Vírgula 2 2 3 5" xfId="4296" xr:uid="{00000000-0005-0000-0000-000076B40000}"/>
    <cellStyle name="Vírgula 2 2 3 5 2" xfId="7697" xr:uid="{00000000-0005-0000-0000-000077B40000}"/>
    <cellStyle name="Vírgula 2 2 3 5 2 2" xfId="10796" xr:uid="{00000000-0005-0000-0000-000078B40000}"/>
    <cellStyle name="Vírgula 2 2 3 5 2 2 2" xfId="29010" xr:uid="{00000000-0005-0000-0000-000079B40000}"/>
    <cellStyle name="Vírgula 2 2 3 5 2 2 2 2" xfId="55191" xr:uid="{00000000-0005-0000-0000-00007AB40000}"/>
    <cellStyle name="Vírgula 2 2 3 5 2 2 3" xfId="23096" xr:uid="{00000000-0005-0000-0000-00007BB40000}"/>
    <cellStyle name="Vírgula 2 2 3 5 2 2 3 2" xfId="49283" xr:uid="{00000000-0005-0000-0000-00007CB40000}"/>
    <cellStyle name="Vírgula 2 2 3 5 2 2 4" xfId="17182" xr:uid="{00000000-0005-0000-0000-00007DB40000}"/>
    <cellStyle name="Vírgula 2 2 3 5 2 2 4 2" xfId="43375" xr:uid="{00000000-0005-0000-0000-00007EB40000}"/>
    <cellStyle name="Vírgula 2 2 3 5 2 2 5" xfId="36989" xr:uid="{00000000-0005-0000-0000-00007FB40000}"/>
    <cellStyle name="Vírgula 2 2 3 5 2 3" xfId="26053" xr:uid="{00000000-0005-0000-0000-000080B40000}"/>
    <cellStyle name="Vírgula 2 2 3 5 2 3 2" xfId="52237" xr:uid="{00000000-0005-0000-0000-000081B40000}"/>
    <cellStyle name="Vírgula 2 2 3 5 2 4" xfId="20139" xr:uid="{00000000-0005-0000-0000-000082B40000}"/>
    <cellStyle name="Vírgula 2 2 3 5 2 4 2" xfId="46329" xr:uid="{00000000-0005-0000-0000-000083B40000}"/>
    <cellStyle name="Vírgula 2 2 3 5 2 5" xfId="14086" xr:uid="{00000000-0005-0000-0000-000084B40000}"/>
    <cellStyle name="Vírgula 2 2 3 5 2 5 2" xfId="40279" xr:uid="{00000000-0005-0000-0000-000085B40000}"/>
    <cellStyle name="Vírgula 2 2 3 5 2 6" xfId="33893" xr:uid="{00000000-0005-0000-0000-000086B40000}"/>
    <cellStyle name="Vírgula 2 2 3 5 3" xfId="9328" xr:uid="{00000000-0005-0000-0000-000087B40000}"/>
    <cellStyle name="Vírgula 2 2 3 5 3 2" xfId="27542" xr:uid="{00000000-0005-0000-0000-000088B40000}"/>
    <cellStyle name="Vírgula 2 2 3 5 3 2 2" xfId="53723" xr:uid="{00000000-0005-0000-0000-000089B40000}"/>
    <cellStyle name="Vírgula 2 2 3 5 3 3" xfId="21628" xr:uid="{00000000-0005-0000-0000-00008AB40000}"/>
    <cellStyle name="Vírgula 2 2 3 5 3 3 2" xfId="47815" xr:uid="{00000000-0005-0000-0000-00008BB40000}"/>
    <cellStyle name="Vírgula 2 2 3 5 3 4" xfId="15714" xr:uid="{00000000-0005-0000-0000-00008CB40000}"/>
    <cellStyle name="Vírgula 2 2 3 5 3 4 2" xfId="41907" xr:uid="{00000000-0005-0000-0000-00008DB40000}"/>
    <cellStyle name="Vírgula 2 2 3 5 3 5" xfId="35521" xr:uid="{00000000-0005-0000-0000-00008EB40000}"/>
    <cellStyle name="Vírgula 2 2 3 5 4" xfId="5997" xr:uid="{00000000-0005-0000-0000-00008FB40000}"/>
    <cellStyle name="Vírgula 2 2 3 5 4 2" xfId="24585" xr:uid="{00000000-0005-0000-0000-000090B40000}"/>
    <cellStyle name="Vírgula 2 2 3 5 4 2 2" xfId="50769" xr:uid="{00000000-0005-0000-0000-000091B40000}"/>
    <cellStyle name="Vírgula 2 2 3 5 4 3" xfId="32193" xr:uid="{00000000-0005-0000-0000-000092B40000}"/>
    <cellStyle name="Vírgula 2 2 3 5 5" xfId="18671" xr:uid="{00000000-0005-0000-0000-000093B40000}"/>
    <cellStyle name="Vírgula 2 2 3 5 5 2" xfId="44861" xr:uid="{00000000-0005-0000-0000-000094B40000}"/>
    <cellStyle name="Vírgula 2 2 3 5 6" xfId="12385" xr:uid="{00000000-0005-0000-0000-000095B40000}"/>
    <cellStyle name="Vírgula 2 2 3 5 6 2" xfId="38578" xr:uid="{00000000-0005-0000-0000-000096B40000}"/>
    <cellStyle name="Vírgula 2 2 3 5 7" xfId="30496" xr:uid="{00000000-0005-0000-0000-000097B40000}"/>
    <cellStyle name="Vírgula 2 2 3 6" xfId="4404" xr:uid="{00000000-0005-0000-0000-000098B40000}"/>
    <cellStyle name="Vírgula 2 2 3 6 2" xfId="7806" xr:uid="{00000000-0005-0000-0000-000099B40000}"/>
    <cellStyle name="Vírgula 2 2 3 6 2 2" xfId="10858" xr:uid="{00000000-0005-0000-0000-00009AB40000}"/>
    <cellStyle name="Vírgula 2 2 3 6 2 2 2" xfId="29072" xr:uid="{00000000-0005-0000-0000-00009BB40000}"/>
    <cellStyle name="Vírgula 2 2 3 6 2 2 2 2" xfId="55253" xr:uid="{00000000-0005-0000-0000-00009CB40000}"/>
    <cellStyle name="Vírgula 2 2 3 6 2 2 3" xfId="23158" xr:uid="{00000000-0005-0000-0000-00009DB40000}"/>
    <cellStyle name="Vírgula 2 2 3 6 2 2 3 2" xfId="49345" xr:uid="{00000000-0005-0000-0000-00009EB40000}"/>
    <cellStyle name="Vírgula 2 2 3 6 2 2 4" xfId="17244" xr:uid="{00000000-0005-0000-0000-00009FB40000}"/>
    <cellStyle name="Vírgula 2 2 3 6 2 2 4 2" xfId="43437" xr:uid="{00000000-0005-0000-0000-0000A0B40000}"/>
    <cellStyle name="Vírgula 2 2 3 6 2 2 5" xfId="37051" xr:uid="{00000000-0005-0000-0000-0000A1B40000}"/>
    <cellStyle name="Vírgula 2 2 3 6 2 3" xfId="26115" xr:uid="{00000000-0005-0000-0000-0000A2B40000}"/>
    <cellStyle name="Vírgula 2 2 3 6 2 3 2" xfId="52299" xr:uid="{00000000-0005-0000-0000-0000A3B40000}"/>
    <cellStyle name="Vírgula 2 2 3 6 2 4" xfId="20201" xr:uid="{00000000-0005-0000-0000-0000A4B40000}"/>
    <cellStyle name="Vírgula 2 2 3 6 2 4 2" xfId="46391" xr:uid="{00000000-0005-0000-0000-0000A5B40000}"/>
    <cellStyle name="Vírgula 2 2 3 6 2 5" xfId="14195" xr:uid="{00000000-0005-0000-0000-0000A6B40000}"/>
    <cellStyle name="Vírgula 2 2 3 6 2 5 2" xfId="40388" xr:uid="{00000000-0005-0000-0000-0000A7B40000}"/>
    <cellStyle name="Vírgula 2 2 3 6 2 6" xfId="34002" xr:uid="{00000000-0005-0000-0000-0000A8B40000}"/>
    <cellStyle name="Vírgula 2 2 3 6 3" xfId="9390" xr:uid="{00000000-0005-0000-0000-0000A9B40000}"/>
    <cellStyle name="Vírgula 2 2 3 6 3 2" xfId="27604" xr:uid="{00000000-0005-0000-0000-0000AAB40000}"/>
    <cellStyle name="Vírgula 2 2 3 6 3 2 2" xfId="53785" xr:uid="{00000000-0005-0000-0000-0000ABB40000}"/>
    <cellStyle name="Vírgula 2 2 3 6 3 3" xfId="21690" xr:uid="{00000000-0005-0000-0000-0000ACB40000}"/>
    <cellStyle name="Vírgula 2 2 3 6 3 3 2" xfId="47877" xr:uid="{00000000-0005-0000-0000-0000ADB40000}"/>
    <cellStyle name="Vírgula 2 2 3 6 3 4" xfId="15776" xr:uid="{00000000-0005-0000-0000-0000AEB40000}"/>
    <cellStyle name="Vírgula 2 2 3 6 3 4 2" xfId="41969" xr:uid="{00000000-0005-0000-0000-0000AFB40000}"/>
    <cellStyle name="Vírgula 2 2 3 6 3 5" xfId="35583" xr:uid="{00000000-0005-0000-0000-0000B0B40000}"/>
    <cellStyle name="Vírgula 2 2 3 6 4" xfId="6106" xr:uid="{00000000-0005-0000-0000-0000B1B40000}"/>
    <cellStyle name="Vírgula 2 2 3 6 4 2" xfId="24647" xr:uid="{00000000-0005-0000-0000-0000B2B40000}"/>
    <cellStyle name="Vírgula 2 2 3 6 4 2 2" xfId="50831" xr:uid="{00000000-0005-0000-0000-0000B3B40000}"/>
    <cellStyle name="Vírgula 2 2 3 6 4 3" xfId="32302" xr:uid="{00000000-0005-0000-0000-0000B4B40000}"/>
    <cellStyle name="Vírgula 2 2 3 6 5" xfId="18733" xr:uid="{00000000-0005-0000-0000-0000B5B40000}"/>
    <cellStyle name="Vírgula 2 2 3 6 5 2" xfId="44923" xr:uid="{00000000-0005-0000-0000-0000B6B40000}"/>
    <cellStyle name="Vírgula 2 2 3 6 6" xfId="12494" xr:uid="{00000000-0005-0000-0000-0000B7B40000}"/>
    <cellStyle name="Vírgula 2 2 3 6 6 2" xfId="38687" xr:uid="{00000000-0005-0000-0000-0000B8B40000}"/>
    <cellStyle name="Vírgula 2 2 3 6 7" xfId="30604" xr:uid="{00000000-0005-0000-0000-0000B9B40000}"/>
    <cellStyle name="Vírgula 2 2 3 7" xfId="4512" xr:uid="{00000000-0005-0000-0000-0000BAB40000}"/>
    <cellStyle name="Vírgula 2 2 3 7 2" xfId="7914" xr:uid="{00000000-0005-0000-0000-0000BBB40000}"/>
    <cellStyle name="Vírgula 2 2 3 7 2 2" xfId="10920" xr:uid="{00000000-0005-0000-0000-0000BCB40000}"/>
    <cellStyle name="Vírgula 2 2 3 7 2 2 2" xfId="29134" xr:uid="{00000000-0005-0000-0000-0000BDB40000}"/>
    <cellStyle name="Vírgula 2 2 3 7 2 2 2 2" xfId="55315" xr:uid="{00000000-0005-0000-0000-0000BEB40000}"/>
    <cellStyle name="Vírgula 2 2 3 7 2 2 3" xfId="23220" xr:uid="{00000000-0005-0000-0000-0000BFB40000}"/>
    <cellStyle name="Vírgula 2 2 3 7 2 2 3 2" xfId="49407" xr:uid="{00000000-0005-0000-0000-0000C0B40000}"/>
    <cellStyle name="Vírgula 2 2 3 7 2 2 4" xfId="17306" xr:uid="{00000000-0005-0000-0000-0000C1B40000}"/>
    <cellStyle name="Vírgula 2 2 3 7 2 2 4 2" xfId="43499" xr:uid="{00000000-0005-0000-0000-0000C2B40000}"/>
    <cellStyle name="Vírgula 2 2 3 7 2 2 5" xfId="37113" xr:uid="{00000000-0005-0000-0000-0000C3B40000}"/>
    <cellStyle name="Vírgula 2 2 3 7 2 3" xfId="26177" xr:uid="{00000000-0005-0000-0000-0000C4B40000}"/>
    <cellStyle name="Vírgula 2 2 3 7 2 3 2" xfId="52361" xr:uid="{00000000-0005-0000-0000-0000C5B40000}"/>
    <cellStyle name="Vírgula 2 2 3 7 2 4" xfId="20263" xr:uid="{00000000-0005-0000-0000-0000C6B40000}"/>
    <cellStyle name="Vírgula 2 2 3 7 2 4 2" xfId="46453" xr:uid="{00000000-0005-0000-0000-0000C7B40000}"/>
    <cellStyle name="Vírgula 2 2 3 7 2 5" xfId="14303" xr:uid="{00000000-0005-0000-0000-0000C8B40000}"/>
    <cellStyle name="Vírgula 2 2 3 7 2 5 2" xfId="40496" xr:uid="{00000000-0005-0000-0000-0000C9B40000}"/>
    <cellStyle name="Vírgula 2 2 3 7 2 6" xfId="34110" xr:uid="{00000000-0005-0000-0000-0000CAB40000}"/>
    <cellStyle name="Vírgula 2 2 3 7 3" xfId="9452" xr:uid="{00000000-0005-0000-0000-0000CBB40000}"/>
    <cellStyle name="Vírgula 2 2 3 7 3 2" xfId="27666" xr:uid="{00000000-0005-0000-0000-0000CCB40000}"/>
    <cellStyle name="Vírgula 2 2 3 7 3 2 2" xfId="53847" xr:uid="{00000000-0005-0000-0000-0000CDB40000}"/>
    <cellStyle name="Vírgula 2 2 3 7 3 3" xfId="21752" xr:uid="{00000000-0005-0000-0000-0000CEB40000}"/>
    <cellStyle name="Vírgula 2 2 3 7 3 3 2" xfId="47939" xr:uid="{00000000-0005-0000-0000-0000CFB40000}"/>
    <cellStyle name="Vírgula 2 2 3 7 3 4" xfId="15838" xr:uid="{00000000-0005-0000-0000-0000D0B40000}"/>
    <cellStyle name="Vírgula 2 2 3 7 3 4 2" xfId="42031" xr:uid="{00000000-0005-0000-0000-0000D1B40000}"/>
    <cellStyle name="Vírgula 2 2 3 7 3 5" xfId="35645" xr:uid="{00000000-0005-0000-0000-0000D2B40000}"/>
    <cellStyle name="Vírgula 2 2 3 7 4" xfId="6213" xr:uid="{00000000-0005-0000-0000-0000D3B40000}"/>
    <cellStyle name="Vírgula 2 2 3 7 4 2" xfId="24709" xr:uid="{00000000-0005-0000-0000-0000D4B40000}"/>
    <cellStyle name="Vírgula 2 2 3 7 4 2 2" xfId="50893" xr:uid="{00000000-0005-0000-0000-0000D5B40000}"/>
    <cellStyle name="Vírgula 2 2 3 7 4 3" xfId="32409" xr:uid="{00000000-0005-0000-0000-0000D6B40000}"/>
    <cellStyle name="Vírgula 2 2 3 7 5" xfId="18795" xr:uid="{00000000-0005-0000-0000-0000D7B40000}"/>
    <cellStyle name="Vírgula 2 2 3 7 5 2" xfId="44985" xr:uid="{00000000-0005-0000-0000-0000D8B40000}"/>
    <cellStyle name="Vírgula 2 2 3 7 6" xfId="12602" xr:uid="{00000000-0005-0000-0000-0000D9B40000}"/>
    <cellStyle name="Vírgula 2 2 3 7 6 2" xfId="38795" xr:uid="{00000000-0005-0000-0000-0000DAB40000}"/>
    <cellStyle name="Vírgula 2 2 3 7 7" xfId="30712" xr:uid="{00000000-0005-0000-0000-0000DBB40000}"/>
    <cellStyle name="Vírgula 2 2 3 8" xfId="4995" xr:uid="{00000000-0005-0000-0000-0000DCB40000}"/>
    <cellStyle name="Vírgula 2 2 3 8 2" xfId="6694" xr:uid="{00000000-0005-0000-0000-0000DDB40000}"/>
    <cellStyle name="Vírgula 2 2 3 8 2 2" xfId="9841" xr:uid="{00000000-0005-0000-0000-0000DEB40000}"/>
    <cellStyle name="Vírgula 2 2 3 8 2 2 2" xfId="28055" xr:uid="{00000000-0005-0000-0000-0000DFB40000}"/>
    <cellStyle name="Vírgula 2 2 3 8 2 2 2 2" xfId="54236" xr:uid="{00000000-0005-0000-0000-0000E0B40000}"/>
    <cellStyle name="Vírgula 2 2 3 8 2 2 3" xfId="22141" xr:uid="{00000000-0005-0000-0000-0000E1B40000}"/>
    <cellStyle name="Vírgula 2 2 3 8 2 2 3 2" xfId="48328" xr:uid="{00000000-0005-0000-0000-0000E2B40000}"/>
    <cellStyle name="Vírgula 2 2 3 8 2 2 4" xfId="16227" xr:uid="{00000000-0005-0000-0000-0000E3B40000}"/>
    <cellStyle name="Vírgula 2 2 3 8 2 2 4 2" xfId="42420" xr:uid="{00000000-0005-0000-0000-0000E4B40000}"/>
    <cellStyle name="Vírgula 2 2 3 8 2 2 5" xfId="36034" xr:uid="{00000000-0005-0000-0000-0000E5B40000}"/>
    <cellStyle name="Vírgula 2 2 3 8 2 3" xfId="25098" xr:uid="{00000000-0005-0000-0000-0000E6B40000}"/>
    <cellStyle name="Vírgula 2 2 3 8 2 3 2" xfId="51282" xr:uid="{00000000-0005-0000-0000-0000E7B40000}"/>
    <cellStyle name="Vírgula 2 2 3 8 2 4" xfId="19184" xr:uid="{00000000-0005-0000-0000-0000E8B40000}"/>
    <cellStyle name="Vírgula 2 2 3 8 2 4 2" xfId="45374" xr:uid="{00000000-0005-0000-0000-0000E9B40000}"/>
    <cellStyle name="Vírgula 2 2 3 8 2 5" xfId="13083" xr:uid="{00000000-0005-0000-0000-0000EAB40000}"/>
    <cellStyle name="Vírgula 2 2 3 8 2 5 2" xfId="39276" xr:uid="{00000000-0005-0000-0000-0000EBB40000}"/>
    <cellStyle name="Vírgula 2 2 3 8 2 6" xfId="32890" xr:uid="{00000000-0005-0000-0000-0000ECB40000}"/>
    <cellStyle name="Vírgula 2 2 3 8 3" xfId="8373" xr:uid="{00000000-0005-0000-0000-0000EDB40000}"/>
    <cellStyle name="Vírgula 2 2 3 8 3 2" xfId="26587" xr:uid="{00000000-0005-0000-0000-0000EEB40000}"/>
    <cellStyle name="Vírgula 2 2 3 8 3 2 2" xfId="52768" xr:uid="{00000000-0005-0000-0000-0000EFB40000}"/>
    <cellStyle name="Vírgula 2 2 3 8 3 3" xfId="20673" xr:uid="{00000000-0005-0000-0000-0000F0B40000}"/>
    <cellStyle name="Vírgula 2 2 3 8 3 3 2" xfId="46860" xr:uid="{00000000-0005-0000-0000-0000F1B40000}"/>
    <cellStyle name="Vírgula 2 2 3 8 3 4" xfId="14759" xr:uid="{00000000-0005-0000-0000-0000F2B40000}"/>
    <cellStyle name="Vírgula 2 2 3 8 3 4 2" xfId="40952" xr:uid="{00000000-0005-0000-0000-0000F3B40000}"/>
    <cellStyle name="Vírgula 2 2 3 8 3 5" xfId="34566" xr:uid="{00000000-0005-0000-0000-0000F4B40000}"/>
    <cellStyle name="Vírgula 2 2 3 8 4" xfId="23630" xr:uid="{00000000-0005-0000-0000-0000F5B40000}"/>
    <cellStyle name="Vírgula 2 2 3 8 4 2" xfId="49814" xr:uid="{00000000-0005-0000-0000-0000F6B40000}"/>
    <cellStyle name="Vírgula 2 2 3 8 5" xfId="17716" xr:uid="{00000000-0005-0000-0000-0000F7B40000}"/>
    <cellStyle name="Vírgula 2 2 3 8 5 2" xfId="43906" xr:uid="{00000000-0005-0000-0000-0000F8B40000}"/>
    <cellStyle name="Vírgula 2 2 3 8 6" xfId="11382" xr:uid="{00000000-0005-0000-0000-0000F9B40000}"/>
    <cellStyle name="Vírgula 2 2 3 8 6 2" xfId="37575" xr:uid="{00000000-0005-0000-0000-0000FAB40000}"/>
    <cellStyle name="Vírgula 2 2 3 8 7" xfId="31191" xr:uid="{00000000-0005-0000-0000-0000FBB40000}"/>
    <cellStyle name="Vírgula 2 2 3 9" xfId="6322" xr:uid="{00000000-0005-0000-0000-0000FCB40000}"/>
    <cellStyle name="Vírgula 2 2 3 9 2" xfId="9514" xr:uid="{00000000-0005-0000-0000-0000FDB40000}"/>
    <cellStyle name="Vírgula 2 2 3 9 2 2" xfId="27728" xr:uid="{00000000-0005-0000-0000-0000FEB40000}"/>
    <cellStyle name="Vírgula 2 2 3 9 2 2 2" xfId="53909" xr:uid="{00000000-0005-0000-0000-0000FFB40000}"/>
    <cellStyle name="Vírgula 2 2 3 9 2 3" xfId="21814" xr:uid="{00000000-0005-0000-0000-000000B50000}"/>
    <cellStyle name="Vírgula 2 2 3 9 2 3 2" xfId="48001" xr:uid="{00000000-0005-0000-0000-000001B50000}"/>
    <cellStyle name="Vírgula 2 2 3 9 2 4" xfId="15900" xr:uid="{00000000-0005-0000-0000-000002B50000}"/>
    <cellStyle name="Vírgula 2 2 3 9 2 4 2" xfId="42093" xr:uid="{00000000-0005-0000-0000-000003B50000}"/>
    <cellStyle name="Vírgula 2 2 3 9 2 5" xfId="35707" xr:uid="{00000000-0005-0000-0000-000004B50000}"/>
    <cellStyle name="Vírgula 2 2 3 9 3" xfId="24771" xr:uid="{00000000-0005-0000-0000-000005B50000}"/>
    <cellStyle name="Vírgula 2 2 3 9 3 2" xfId="50955" xr:uid="{00000000-0005-0000-0000-000006B50000}"/>
    <cellStyle name="Vírgula 2 2 3 9 4" xfId="18857" xr:uid="{00000000-0005-0000-0000-000007B50000}"/>
    <cellStyle name="Vírgula 2 2 3 9 4 2" xfId="45047" xr:uid="{00000000-0005-0000-0000-000008B50000}"/>
    <cellStyle name="Vírgula 2 2 3 9 5" xfId="12711" xr:uid="{00000000-0005-0000-0000-000009B50000}"/>
    <cellStyle name="Vírgula 2 2 3 9 5 2" xfId="38904" xr:uid="{00000000-0005-0000-0000-00000AB50000}"/>
    <cellStyle name="Vírgula 2 2 3 9 6" xfId="32518" xr:uid="{00000000-0005-0000-0000-00000BB50000}"/>
    <cellStyle name="Vírgula 2 2 4" xfId="1300" xr:uid="{00000000-0005-0000-0000-00000CB50000}"/>
    <cellStyle name="Vírgula 2 2 4 10" xfId="8046" xr:uid="{00000000-0005-0000-0000-00000DB50000}"/>
    <cellStyle name="Vírgula 2 2 4 10 2" xfId="26260" xr:uid="{00000000-0005-0000-0000-00000EB50000}"/>
    <cellStyle name="Vírgula 2 2 4 10 2 2" xfId="52444" xr:uid="{00000000-0005-0000-0000-00000FB50000}"/>
    <cellStyle name="Vírgula 2 2 4 10 3" xfId="20346" xr:uid="{00000000-0005-0000-0000-000010B50000}"/>
    <cellStyle name="Vírgula 2 2 4 10 3 2" xfId="46536" xr:uid="{00000000-0005-0000-0000-000011B50000}"/>
    <cellStyle name="Vírgula 2 2 4 10 4" xfId="14435" xr:uid="{00000000-0005-0000-0000-000012B50000}"/>
    <cellStyle name="Vírgula 2 2 4 10 4 2" xfId="40628" xr:uid="{00000000-0005-0000-0000-000013B50000}"/>
    <cellStyle name="Vírgula 2 2 4 10 5" xfId="34242" xr:uid="{00000000-0005-0000-0000-000014B50000}"/>
    <cellStyle name="Vírgula 2 2 4 11" xfId="4625" xr:uid="{00000000-0005-0000-0000-000015B50000}"/>
    <cellStyle name="Vírgula 2 2 4 11 2" xfId="23303" xr:uid="{00000000-0005-0000-0000-000016B50000}"/>
    <cellStyle name="Vírgula 2 2 4 11 2 2" xfId="49490" xr:uid="{00000000-0005-0000-0000-000017B50000}"/>
    <cellStyle name="Vírgula 2 2 4 11 3" xfId="30825" xr:uid="{00000000-0005-0000-0000-000018B50000}"/>
    <cellStyle name="Vírgula 2 2 4 12" xfId="17389" xr:uid="{00000000-0005-0000-0000-000019B50000}"/>
    <cellStyle name="Vírgula 2 2 4 12 2" xfId="43582" xr:uid="{00000000-0005-0000-0000-00001AB50000}"/>
    <cellStyle name="Vírgula 2 2 4 13" xfId="11016" xr:uid="{00000000-0005-0000-0000-00001BB50000}"/>
    <cellStyle name="Vírgula 2 2 4 13 2" xfId="37209" xr:uid="{00000000-0005-0000-0000-00001CB50000}"/>
    <cellStyle name="Vírgula 2 2 4 14" xfId="29591" xr:uid="{00000000-0005-0000-0000-00001DB50000}"/>
    <cellStyle name="Vírgula 2 2 4 2" xfId="4260" xr:uid="{00000000-0005-0000-0000-00001EB50000}"/>
    <cellStyle name="Vírgula 2 2 4 2 10" xfId="11051" xr:uid="{00000000-0005-0000-0000-00001FB50000}"/>
    <cellStyle name="Vírgula 2 2 4 2 10 2" xfId="37244" xr:uid="{00000000-0005-0000-0000-000020B50000}"/>
    <cellStyle name="Vírgula 2 2 4 2 11" xfId="30460" xr:uid="{00000000-0005-0000-0000-000021B50000}"/>
    <cellStyle name="Vírgula 2 2 4 2 2" xfId="4337" xr:uid="{00000000-0005-0000-0000-000022B50000}"/>
    <cellStyle name="Vírgula 2 2 4 2 2 2" xfId="7738" xr:uid="{00000000-0005-0000-0000-000023B50000}"/>
    <cellStyle name="Vírgula 2 2 4 2 2 2 2" xfId="10819" xr:uid="{00000000-0005-0000-0000-000024B50000}"/>
    <cellStyle name="Vírgula 2 2 4 2 2 2 2 2" xfId="29033" xr:uid="{00000000-0005-0000-0000-000025B50000}"/>
    <cellStyle name="Vírgula 2 2 4 2 2 2 2 2 2" xfId="55214" xr:uid="{00000000-0005-0000-0000-000026B50000}"/>
    <cellStyle name="Vírgula 2 2 4 2 2 2 2 3" xfId="23119" xr:uid="{00000000-0005-0000-0000-000027B50000}"/>
    <cellStyle name="Vírgula 2 2 4 2 2 2 2 3 2" xfId="49306" xr:uid="{00000000-0005-0000-0000-000028B50000}"/>
    <cellStyle name="Vírgula 2 2 4 2 2 2 2 4" xfId="17205" xr:uid="{00000000-0005-0000-0000-000029B50000}"/>
    <cellStyle name="Vírgula 2 2 4 2 2 2 2 4 2" xfId="43398" xr:uid="{00000000-0005-0000-0000-00002AB50000}"/>
    <cellStyle name="Vírgula 2 2 4 2 2 2 2 5" xfId="37012" xr:uid="{00000000-0005-0000-0000-00002BB50000}"/>
    <cellStyle name="Vírgula 2 2 4 2 2 2 3" xfId="26076" xr:uid="{00000000-0005-0000-0000-00002CB50000}"/>
    <cellStyle name="Vírgula 2 2 4 2 2 2 3 2" xfId="52260" xr:uid="{00000000-0005-0000-0000-00002DB50000}"/>
    <cellStyle name="Vírgula 2 2 4 2 2 2 4" xfId="20162" xr:uid="{00000000-0005-0000-0000-00002EB50000}"/>
    <cellStyle name="Vírgula 2 2 4 2 2 2 4 2" xfId="46352" xr:uid="{00000000-0005-0000-0000-00002FB50000}"/>
    <cellStyle name="Vírgula 2 2 4 2 2 2 5" xfId="14127" xr:uid="{00000000-0005-0000-0000-000030B50000}"/>
    <cellStyle name="Vírgula 2 2 4 2 2 2 5 2" xfId="40320" xr:uid="{00000000-0005-0000-0000-000031B50000}"/>
    <cellStyle name="Vírgula 2 2 4 2 2 2 6" xfId="33934" xr:uid="{00000000-0005-0000-0000-000032B50000}"/>
    <cellStyle name="Vírgula 2 2 4 2 2 3" xfId="9351" xr:uid="{00000000-0005-0000-0000-000033B50000}"/>
    <cellStyle name="Vírgula 2 2 4 2 2 3 2" xfId="27565" xr:uid="{00000000-0005-0000-0000-000034B50000}"/>
    <cellStyle name="Vírgula 2 2 4 2 2 3 2 2" xfId="53746" xr:uid="{00000000-0005-0000-0000-000035B50000}"/>
    <cellStyle name="Vírgula 2 2 4 2 2 3 3" xfId="21651" xr:uid="{00000000-0005-0000-0000-000036B50000}"/>
    <cellStyle name="Vírgula 2 2 4 2 2 3 3 2" xfId="47838" xr:uid="{00000000-0005-0000-0000-000037B50000}"/>
    <cellStyle name="Vírgula 2 2 4 2 2 3 4" xfId="15737" xr:uid="{00000000-0005-0000-0000-000038B50000}"/>
    <cellStyle name="Vírgula 2 2 4 2 2 3 4 2" xfId="41930" xr:uid="{00000000-0005-0000-0000-000039B50000}"/>
    <cellStyle name="Vírgula 2 2 4 2 2 3 5" xfId="35544" xr:uid="{00000000-0005-0000-0000-00003AB50000}"/>
    <cellStyle name="Vírgula 2 2 4 2 2 4" xfId="6038" xr:uid="{00000000-0005-0000-0000-00003BB50000}"/>
    <cellStyle name="Vírgula 2 2 4 2 2 4 2" xfId="24608" xr:uid="{00000000-0005-0000-0000-00003CB50000}"/>
    <cellStyle name="Vírgula 2 2 4 2 2 4 2 2" xfId="50792" xr:uid="{00000000-0005-0000-0000-00003DB50000}"/>
    <cellStyle name="Vírgula 2 2 4 2 2 4 3" xfId="32234" xr:uid="{00000000-0005-0000-0000-00003EB50000}"/>
    <cellStyle name="Vírgula 2 2 4 2 2 5" xfId="18694" xr:uid="{00000000-0005-0000-0000-00003FB50000}"/>
    <cellStyle name="Vírgula 2 2 4 2 2 5 2" xfId="44884" xr:uid="{00000000-0005-0000-0000-000040B50000}"/>
    <cellStyle name="Vírgula 2 2 4 2 2 6" xfId="12426" xr:uid="{00000000-0005-0000-0000-000041B50000}"/>
    <cellStyle name="Vírgula 2 2 4 2 2 6 2" xfId="38619" xr:uid="{00000000-0005-0000-0000-000042B50000}"/>
    <cellStyle name="Vírgula 2 2 4 2 2 7" xfId="30537" xr:uid="{00000000-0005-0000-0000-000043B50000}"/>
    <cellStyle name="Vírgula 2 2 4 2 3" xfId="4445" xr:uid="{00000000-0005-0000-0000-000044B50000}"/>
    <cellStyle name="Vírgula 2 2 4 2 3 2" xfId="7847" xr:uid="{00000000-0005-0000-0000-000045B50000}"/>
    <cellStyle name="Vírgula 2 2 4 2 3 2 2" xfId="10881" xr:uid="{00000000-0005-0000-0000-000046B50000}"/>
    <cellStyle name="Vírgula 2 2 4 2 3 2 2 2" xfId="29095" xr:uid="{00000000-0005-0000-0000-000047B50000}"/>
    <cellStyle name="Vírgula 2 2 4 2 3 2 2 2 2" xfId="55276" xr:uid="{00000000-0005-0000-0000-000048B50000}"/>
    <cellStyle name="Vírgula 2 2 4 2 3 2 2 3" xfId="23181" xr:uid="{00000000-0005-0000-0000-000049B50000}"/>
    <cellStyle name="Vírgula 2 2 4 2 3 2 2 3 2" xfId="49368" xr:uid="{00000000-0005-0000-0000-00004AB50000}"/>
    <cellStyle name="Vírgula 2 2 4 2 3 2 2 4" xfId="17267" xr:uid="{00000000-0005-0000-0000-00004BB50000}"/>
    <cellStyle name="Vírgula 2 2 4 2 3 2 2 4 2" xfId="43460" xr:uid="{00000000-0005-0000-0000-00004CB50000}"/>
    <cellStyle name="Vírgula 2 2 4 2 3 2 2 5" xfId="37074" xr:uid="{00000000-0005-0000-0000-00004DB50000}"/>
    <cellStyle name="Vírgula 2 2 4 2 3 2 3" xfId="26138" xr:uid="{00000000-0005-0000-0000-00004EB50000}"/>
    <cellStyle name="Vírgula 2 2 4 2 3 2 3 2" xfId="52322" xr:uid="{00000000-0005-0000-0000-00004FB50000}"/>
    <cellStyle name="Vírgula 2 2 4 2 3 2 4" xfId="20224" xr:uid="{00000000-0005-0000-0000-000050B50000}"/>
    <cellStyle name="Vírgula 2 2 4 2 3 2 4 2" xfId="46414" xr:uid="{00000000-0005-0000-0000-000051B50000}"/>
    <cellStyle name="Vírgula 2 2 4 2 3 2 5" xfId="14236" xr:uid="{00000000-0005-0000-0000-000052B50000}"/>
    <cellStyle name="Vírgula 2 2 4 2 3 2 5 2" xfId="40429" xr:uid="{00000000-0005-0000-0000-000053B50000}"/>
    <cellStyle name="Vírgula 2 2 4 2 3 2 6" xfId="34043" xr:uid="{00000000-0005-0000-0000-000054B50000}"/>
    <cellStyle name="Vírgula 2 2 4 2 3 3" xfId="9413" xr:uid="{00000000-0005-0000-0000-000055B50000}"/>
    <cellStyle name="Vírgula 2 2 4 2 3 3 2" xfId="27627" xr:uid="{00000000-0005-0000-0000-000056B50000}"/>
    <cellStyle name="Vírgula 2 2 4 2 3 3 2 2" xfId="53808" xr:uid="{00000000-0005-0000-0000-000057B50000}"/>
    <cellStyle name="Vírgula 2 2 4 2 3 3 3" xfId="21713" xr:uid="{00000000-0005-0000-0000-000058B50000}"/>
    <cellStyle name="Vírgula 2 2 4 2 3 3 3 2" xfId="47900" xr:uid="{00000000-0005-0000-0000-000059B50000}"/>
    <cellStyle name="Vírgula 2 2 4 2 3 3 4" xfId="15799" xr:uid="{00000000-0005-0000-0000-00005AB50000}"/>
    <cellStyle name="Vírgula 2 2 4 2 3 3 4 2" xfId="41992" xr:uid="{00000000-0005-0000-0000-00005BB50000}"/>
    <cellStyle name="Vírgula 2 2 4 2 3 3 5" xfId="35606" xr:uid="{00000000-0005-0000-0000-00005CB50000}"/>
    <cellStyle name="Vírgula 2 2 4 2 3 4" xfId="6147" xr:uid="{00000000-0005-0000-0000-00005DB50000}"/>
    <cellStyle name="Vírgula 2 2 4 2 3 4 2" xfId="24670" xr:uid="{00000000-0005-0000-0000-00005EB50000}"/>
    <cellStyle name="Vírgula 2 2 4 2 3 4 2 2" xfId="50854" xr:uid="{00000000-0005-0000-0000-00005FB50000}"/>
    <cellStyle name="Vírgula 2 2 4 2 3 4 3" xfId="32343" xr:uid="{00000000-0005-0000-0000-000060B50000}"/>
    <cellStyle name="Vírgula 2 2 4 2 3 5" xfId="18756" xr:uid="{00000000-0005-0000-0000-000061B50000}"/>
    <cellStyle name="Vírgula 2 2 4 2 3 5 2" xfId="44946" xr:uid="{00000000-0005-0000-0000-000062B50000}"/>
    <cellStyle name="Vírgula 2 2 4 2 3 6" xfId="12535" xr:uid="{00000000-0005-0000-0000-000063B50000}"/>
    <cellStyle name="Vírgula 2 2 4 2 3 6 2" xfId="38728" xr:uid="{00000000-0005-0000-0000-000064B50000}"/>
    <cellStyle name="Vírgula 2 2 4 2 3 7" xfId="30645" xr:uid="{00000000-0005-0000-0000-000065B50000}"/>
    <cellStyle name="Vírgula 2 2 4 2 4" xfId="4553" xr:uid="{00000000-0005-0000-0000-000066B50000}"/>
    <cellStyle name="Vírgula 2 2 4 2 4 2" xfId="7955" xr:uid="{00000000-0005-0000-0000-000067B50000}"/>
    <cellStyle name="Vírgula 2 2 4 2 4 2 2" xfId="10943" xr:uid="{00000000-0005-0000-0000-000068B50000}"/>
    <cellStyle name="Vírgula 2 2 4 2 4 2 2 2" xfId="29157" xr:uid="{00000000-0005-0000-0000-000069B50000}"/>
    <cellStyle name="Vírgula 2 2 4 2 4 2 2 2 2" xfId="55338" xr:uid="{00000000-0005-0000-0000-00006AB50000}"/>
    <cellStyle name="Vírgula 2 2 4 2 4 2 2 3" xfId="23243" xr:uid="{00000000-0005-0000-0000-00006BB50000}"/>
    <cellStyle name="Vírgula 2 2 4 2 4 2 2 3 2" xfId="49430" xr:uid="{00000000-0005-0000-0000-00006CB50000}"/>
    <cellStyle name="Vírgula 2 2 4 2 4 2 2 4" xfId="17329" xr:uid="{00000000-0005-0000-0000-00006DB50000}"/>
    <cellStyle name="Vírgula 2 2 4 2 4 2 2 4 2" xfId="43522" xr:uid="{00000000-0005-0000-0000-00006EB50000}"/>
    <cellStyle name="Vírgula 2 2 4 2 4 2 2 5" xfId="37136" xr:uid="{00000000-0005-0000-0000-00006FB50000}"/>
    <cellStyle name="Vírgula 2 2 4 2 4 2 3" xfId="26200" xr:uid="{00000000-0005-0000-0000-000070B50000}"/>
    <cellStyle name="Vírgula 2 2 4 2 4 2 3 2" xfId="52384" xr:uid="{00000000-0005-0000-0000-000071B50000}"/>
    <cellStyle name="Vírgula 2 2 4 2 4 2 4" xfId="20286" xr:uid="{00000000-0005-0000-0000-000072B50000}"/>
    <cellStyle name="Vírgula 2 2 4 2 4 2 4 2" xfId="46476" xr:uid="{00000000-0005-0000-0000-000073B50000}"/>
    <cellStyle name="Vírgula 2 2 4 2 4 2 5" xfId="14344" xr:uid="{00000000-0005-0000-0000-000074B50000}"/>
    <cellStyle name="Vírgula 2 2 4 2 4 2 5 2" xfId="40537" xr:uid="{00000000-0005-0000-0000-000075B50000}"/>
    <cellStyle name="Vírgula 2 2 4 2 4 2 6" xfId="34151" xr:uid="{00000000-0005-0000-0000-000076B50000}"/>
    <cellStyle name="Vírgula 2 2 4 2 4 3" xfId="9475" xr:uid="{00000000-0005-0000-0000-000077B50000}"/>
    <cellStyle name="Vírgula 2 2 4 2 4 3 2" xfId="27689" xr:uid="{00000000-0005-0000-0000-000078B50000}"/>
    <cellStyle name="Vírgula 2 2 4 2 4 3 2 2" xfId="53870" xr:uid="{00000000-0005-0000-0000-000079B50000}"/>
    <cellStyle name="Vírgula 2 2 4 2 4 3 3" xfId="21775" xr:uid="{00000000-0005-0000-0000-00007AB50000}"/>
    <cellStyle name="Vírgula 2 2 4 2 4 3 3 2" xfId="47962" xr:uid="{00000000-0005-0000-0000-00007BB50000}"/>
    <cellStyle name="Vírgula 2 2 4 2 4 3 4" xfId="15861" xr:uid="{00000000-0005-0000-0000-00007CB50000}"/>
    <cellStyle name="Vírgula 2 2 4 2 4 3 4 2" xfId="42054" xr:uid="{00000000-0005-0000-0000-00007DB50000}"/>
    <cellStyle name="Vírgula 2 2 4 2 4 3 5" xfId="35668" xr:uid="{00000000-0005-0000-0000-00007EB50000}"/>
    <cellStyle name="Vírgula 2 2 4 2 4 4" xfId="6254" xr:uid="{00000000-0005-0000-0000-00007FB50000}"/>
    <cellStyle name="Vírgula 2 2 4 2 4 4 2" xfId="24732" xr:uid="{00000000-0005-0000-0000-000080B50000}"/>
    <cellStyle name="Vírgula 2 2 4 2 4 4 2 2" xfId="50916" xr:uid="{00000000-0005-0000-0000-000081B50000}"/>
    <cellStyle name="Vírgula 2 2 4 2 4 4 3" xfId="32450" xr:uid="{00000000-0005-0000-0000-000082B50000}"/>
    <cellStyle name="Vírgula 2 2 4 2 4 5" xfId="18818" xr:uid="{00000000-0005-0000-0000-000083B50000}"/>
    <cellStyle name="Vírgula 2 2 4 2 4 5 2" xfId="45008" xr:uid="{00000000-0005-0000-0000-000084B50000}"/>
    <cellStyle name="Vírgula 2 2 4 2 4 6" xfId="12643" xr:uid="{00000000-0005-0000-0000-000085B50000}"/>
    <cellStyle name="Vírgula 2 2 4 2 4 6 2" xfId="38836" xr:uid="{00000000-0005-0000-0000-000086B50000}"/>
    <cellStyle name="Vírgula 2 2 4 2 4 7" xfId="30753" xr:uid="{00000000-0005-0000-0000-000087B50000}"/>
    <cellStyle name="Vírgula 2 2 4 2 5" xfId="5961" xr:uid="{00000000-0005-0000-0000-000088B50000}"/>
    <cellStyle name="Vírgula 2 2 4 2 5 2" xfId="7661" xr:uid="{00000000-0005-0000-0000-000089B50000}"/>
    <cellStyle name="Vírgula 2 2 4 2 5 2 2" xfId="10776" xr:uid="{00000000-0005-0000-0000-00008AB50000}"/>
    <cellStyle name="Vírgula 2 2 4 2 5 2 2 2" xfId="28990" xr:uid="{00000000-0005-0000-0000-00008BB50000}"/>
    <cellStyle name="Vírgula 2 2 4 2 5 2 2 2 2" xfId="55171" xr:uid="{00000000-0005-0000-0000-00008CB50000}"/>
    <cellStyle name="Vírgula 2 2 4 2 5 2 2 3" xfId="23076" xr:uid="{00000000-0005-0000-0000-00008DB50000}"/>
    <cellStyle name="Vírgula 2 2 4 2 5 2 2 3 2" xfId="49263" xr:uid="{00000000-0005-0000-0000-00008EB50000}"/>
    <cellStyle name="Vírgula 2 2 4 2 5 2 2 4" xfId="17162" xr:uid="{00000000-0005-0000-0000-00008FB50000}"/>
    <cellStyle name="Vírgula 2 2 4 2 5 2 2 4 2" xfId="43355" xr:uid="{00000000-0005-0000-0000-000090B50000}"/>
    <cellStyle name="Vírgula 2 2 4 2 5 2 2 5" xfId="36969" xr:uid="{00000000-0005-0000-0000-000091B50000}"/>
    <cellStyle name="Vírgula 2 2 4 2 5 2 3" xfId="26033" xr:uid="{00000000-0005-0000-0000-000092B50000}"/>
    <cellStyle name="Vírgula 2 2 4 2 5 2 3 2" xfId="52217" xr:uid="{00000000-0005-0000-0000-000093B50000}"/>
    <cellStyle name="Vírgula 2 2 4 2 5 2 4" xfId="20119" xr:uid="{00000000-0005-0000-0000-000094B50000}"/>
    <cellStyle name="Vírgula 2 2 4 2 5 2 4 2" xfId="46309" xr:uid="{00000000-0005-0000-0000-000095B50000}"/>
    <cellStyle name="Vírgula 2 2 4 2 5 2 5" xfId="14050" xr:uid="{00000000-0005-0000-0000-000096B50000}"/>
    <cellStyle name="Vírgula 2 2 4 2 5 2 5 2" xfId="40243" xr:uid="{00000000-0005-0000-0000-000097B50000}"/>
    <cellStyle name="Vírgula 2 2 4 2 5 2 6" xfId="33857" xr:uid="{00000000-0005-0000-0000-000098B50000}"/>
    <cellStyle name="Vírgula 2 2 4 2 5 3" xfId="9308" xr:uid="{00000000-0005-0000-0000-000099B50000}"/>
    <cellStyle name="Vírgula 2 2 4 2 5 3 2" xfId="27522" xr:uid="{00000000-0005-0000-0000-00009AB50000}"/>
    <cellStyle name="Vírgula 2 2 4 2 5 3 2 2" xfId="53703" xr:uid="{00000000-0005-0000-0000-00009BB50000}"/>
    <cellStyle name="Vírgula 2 2 4 2 5 3 3" xfId="21608" xr:uid="{00000000-0005-0000-0000-00009CB50000}"/>
    <cellStyle name="Vírgula 2 2 4 2 5 3 3 2" xfId="47795" xr:uid="{00000000-0005-0000-0000-00009DB50000}"/>
    <cellStyle name="Vírgula 2 2 4 2 5 3 4" xfId="15694" xr:uid="{00000000-0005-0000-0000-00009EB50000}"/>
    <cellStyle name="Vírgula 2 2 4 2 5 3 4 2" xfId="41887" xr:uid="{00000000-0005-0000-0000-00009FB50000}"/>
    <cellStyle name="Vírgula 2 2 4 2 5 3 5" xfId="35501" xr:uid="{00000000-0005-0000-0000-0000A0B50000}"/>
    <cellStyle name="Vírgula 2 2 4 2 5 4" xfId="24565" xr:uid="{00000000-0005-0000-0000-0000A1B50000}"/>
    <cellStyle name="Vírgula 2 2 4 2 5 4 2" xfId="50749" xr:uid="{00000000-0005-0000-0000-0000A2B50000}"/>
    <cellStyle name="Vírgula 2 2 4 2 5 5" xfId="18651" xr:uid="{00000000-0005-0000-0000-0000A3B50000}"/>
    <cellStyle name="Vírgula 2 2 4 2 5 5 2" xfId="44841" xr:uid="{00000000-0005-0000-0000-0000A4B50000}"/>
    <cellStyle name="Vírgula 2 2 4 2 5 6" xfId="12349" xr:uid="{00000000-0005-0000-0000-0000A5B50000}"/>
    <cellStyle name="Vírgula 2 2 4 2 5 6 2" xfId="38542" xr:uid="{00000000-0005-0000-0000-0000A6B50000}"/>
    <cellStyle name="Vírgula 2 2 4 2 5 7" xfId="32157" xr:uid="{00000000-0005-0000-0000-0000A7B50000}"/>
    <cellStyle name="Vírgula 2 2 4 2 6" xfId="6363" xr:uid="{00000000-0005-0000-0000-0000A8B50000}"/>
    <cellStyle name="Vírgula 2 2 4 2 6 2" xfId="9537" xr:uid="{00000000-0005-0000-0000-0000A9B50000}"/>
    <cellStyle name="Vírgula 2 2 4 2 6 2 2" xfId="27751" xr:uid="{00000000-0005-0000-0000-0000AAB50000}"/>
    <cellStyle name="Vírgula 2 2 4 2 6 2 2 2" xfId="53932" xr:uid="{00000000-0005-0000-0000-0000ABB50000}"/>
    <cellStyle name="Vírgula 2 2 4 2 6 2 3" xfId="21837" xr:uid="{00000000-0005-0000-0000-0000ACB50000}"/>
    <cellStyle name="Vírgula 2 2 4 2 6 2 3 2" xfId="48024" xr:uid="{00000000-0005-0000-0000-0000ADB50000}"/>
    <cellStyle name="Vírgula 2 2 4 2 6 2 4" xfId="15923" xr:uid="{00000000-0005-0000-0000-0000AEB50000}"/>
    <cellStyle name="Vírgula 2 2 4 2 6 2 4 2" xfId="42116" xr:uid="{00000000-0005-0000-0000-0000AFB50000}"/>
    <cellStyle name="Vírgula 2 2 4 2 6 2 5" xfId="35730" xr:uid="{00000000-0005-0000-0000-0000B0B50000}"/>
    <cellStyle name="Vírgula 2 2 4 2 6 3" xfId="24794" xr:uid="{00000000-0005-0000-0000-0000B1B50000}"/>
    <cellStyle name="Vírgula 2 2 4 2 6 3 2" xfId="50978" xr:uid="{00000000-0005-0000-0000-0000B2B50000}"/>
    <cellStyle name="Vírgula 2 2 4 2 6 4" xfId="18880" xr:uid="{00000000-0005-0000-0000-0000B3B50000}"/>
    <cellStyle name="Vírgula 2 2 4 2 6 4 2" xfId="45070" xr:uid="{00000000-0005-0000-0000-0000B4B50000}"/>
    <cellStyle name="Vírgula 2 2 4 2 6 5" xfId="12752" xr:uid="{00000000-0005-0000-0000-0000B5B50000}"/>
    <cellStyle name="Vírgula 2 2 4 2 6 5 2" xfId="38945" xr:uid="{00000000-0005-0000-0000-0000B6B50000}"/>
    <cellStyle name="Vírgula 2 2 4 2 6 6" xfId="32559" xr:uid="{00000000-0005-0000-0000-0000B7B50000}"/>
    <cellStyle name="Vírgula 2 2 4 2 7" xfId="8066" xr:uid="{00000000-0005-0000-0000-0000B8B50000}"/>
    <cellStyle name="Vírgula 2 2 4 2 7 2" xfId="26280" xr:uid="{00000000-0005-0000-0000-0000B9B50000}"/>
    <cellStyle name="Vírgula 2 2 4 2 7 2 2" xfId="52464" xr:uid="{00000000-0005-0000-0000-0000BAB50000}"/>
    <cellStyle name="Vírgula 2 2 4 2 7 3" xfId="20366" xr:uid="{00000000-0005-0000-0000-0000BBB50000}"/>
    <cellStyle name="Vírgula 2 2 4 2 7 3 2" xfId="46556" xr:uid="{00000000-0005-0000-0000-0000BCB50000}"/>
    <cellStyle name="Vírgula 2 2 4 2 7 4" xfId="14455" xr:uid="{00000000-0005-0000-0000-0000BDB50000}"/>
    <cellStyle name="Vírgula 2 2 4 2 7 4 2" xfId="40648" xr:uid="{00000000-0005-0000-0000-0000BEB50000}"/>
    <cellStyle name="Vírgula 2 2 4 2 7 5" xfId="34262" xr:uid="{00000000-0005-0000-0000-0000BFB50000}"/>
    <cellStyle name="Vírgula 2 2 4 2 8" xfId="4660" xr:uid="{00000000-0005-0000-0000-0000C0B50000}"/>
    <cellStyle name="Vírgula 2 2 4 2 8 2" xfId="23323" xr:uid="{00000000-0005-0000-0000-0000C1B50000}"/>
    <cellStyle name="Vírgula 2 2 4 2 8 2 2" xfId="49510" xr:uid="{00000000-0005-0000-0000-0000C2B50000}"/>
    <cellStyle name="Vírgula 2 2 4 2 8 3" xfId="30860" xr:uid="{00000000-0005-0000-0000-0000C3B50000}"/>
    <cellStyle name="Vírgula 2 2 4 2 9" xfId="17409" xr:uid="{00000000-0005-0000-0000-0000C4B50000}"/>
    <cellStyle name="Vírgula 2 2 4 2 9 2" xfId="43602" xr:uid="{00000000-0005-0000-0000-0000C5B50000}"/>
    <cellStyle name="Vírgula 2 2 4 3" xfId="4225" xr:uid="{00000000-0005-0000-0000-0000C6B50000}"/>
    <cellStyle name="Vírgula 2 2 4 3 10" xfId="11084" xr:uid="{00000000-0005-0000-0000-0000C7B50000}"/>
    <cellStyle name="Vírgula 2 2 4 3 10 2" xfId="37277" xr:uid="{00000000-0005-0000-0000-0000C8B50000}"/>
    <cellStyle name="Vírgula 2 2 4 3 11" xfId="30425" xr:uid="{00000000-0005-0000-0000-0000C9B50000}"/>
    <cellStyle name="Vírgula 2 2 4 3 2" xfId="4369" xr:uid="{00000000-0005-0000-0000-0000CAB50000}"/>
    <cellStyle name="Vírgula 2 2 4 3 2 2" xfId="7771" xr:uid="{00000000-0005-0000-0000-0000CBB50000}"/>
    <cellStyle name="Vírgula 2 2 4 3 2 2 2" xfId="10838" xr:uid="{00000000-0005-0000-0000-0000CCB50000}"/>
    <cellStyle name="Vírgula 2 2 4 3 2 2 2 2" xfId="29052" xr:uid="{00000000-0005-0000-0000-0000CDB50000}"/>
    <cellStyle name="Vírgula 2 2 4 3 2 2 2 2 2" xfId="55233" xr:uid="{00000000-0005-0000-0000-0000CEB50000}"/>
    <cellStyle name="Vírgula 2 2 4 3 2 2 2 3" xfId="23138" xr:uid="{00000000-0005-0000-0000-0000CFB50000}"/>
    <cellStyle name="Vírgula 2 2 4 3 2 2 2 3 2" xfId="49325" xr:uid="{00000000-0005-0000-0000-0000D0B50000}"/>
    <cellStyle name="Vírgula 2 2 4 3 2 2 2 4" xfId="17224" xr:uid="{00000000-0005-0000-0000-0000D1B50000}"/>
    <cellStyle name="Vírgula 2 2 4 3 2 2 2 4 2" xfId="43417" xr:uid="{00000000-0005-0000-0000-0000D2B50000}"/>
    <cellStyle name="Vírgula 2 2 4 3 2 2 2 5" xfId="37031" xr:uid="{00000000-0005-0000-0000-0000D3B50000}"/>
    <cellStyle name="Vírgula 2 2 4 3 2 2 3" xfId="26095" xr:uid="{00000000-0005-0000-0000-0000D4B50000}"/>
    <cellStyle name="Vírgula 2 2 4 3 2 2 3 2" xfId="52279" xr:uid="{00000000-0005-0000-0000-0000D5B50000}"/>
    <cellStyle name="Vírgula 2 2 4 3 2 2 4" xfId="20181" xr:uid="{00000000-0005-0000-0000-0000D6B50000}"/>
    <cellStyle name="Vírgula 2 2 4 3 2 2 4 2" xfId="46371" xr:uid="{00000000-0005-0000-0000-0000D7B50000}"/>
    <cellStyle name="Vírgula 2 2 4 3 2 2 5" xfId="14160" xr:uid="{00000000-0005-0000-0000-0000D8B50000}"/>
    <cellStyle name="Vírgula 2 2 4 3 2 2 5 2" xfId="40353" xr:uid="{00000000-0005-0000-0000-0000D9B50000}"/>
    <cellStyle name="Vírgula 2 2 4 3 2 2 6" xfId="33967" xr:uid="{00000000-0005-0000-0000-0000DAB50000}"/>
    <cellStyle name="Vírgula 2 2 4 3 2 3" xfId="9370" xr:uid="{00000000-0005-0000-0000-0000DBB50000}"/>
    <cellStyle name="Vírgula 2 2 4 3 2 3 2" xfId="27584" xr:uid="{00000000-0005-0000-0000-0000DCB50000}"/>
    <cellStyle name="Vírgula 2 2 4 3 2 3 2 2" xfId="53765" xr:uid="{00000000-0005-0000-0000-0000DDB50000}"/>
    <cellStyle name="Vírgula 2 2 4 3 2 3 3" xfId="21670" xr:uid="{00000000-0005-0000-0000-0000DEB50000}"/>
    <cellStyle name="Vírgula 2 2 4 3 2 3 3 2" xfId="47857" xr:uid="{00000000-0005-0000-0000-0000DFB50000}"/>
    <cellStyle name="Vírgula 2 2 4 3 2 3 4" xfId="15756" xr:uid="{00000000-0005-0000-0000-0000E0B50000}"/>
    <cellStyle name="Vírgula 2 2 4 3 2 3 4 2" xfId="41949" xr:uid="{00000000-0005-0000-0000-0000E1B50000}"/>
    <cellStyle name="Vírgula 2 2 4 3 2 3 5" xfId="35563" xr:uid="{00000000-0005-0000-0000-0000E2B50000}"/>
    <cellStyle name="Vírgula 2 2 4 3 2 4" xfId="6071" xr:uid="{00000000-0005-0000-0000-0000E3B50000}"/>
    <cellStyle name="Vírgula 2 2 4 3 2 4 2" xfId="24627" xr:uid="{00000000-0005-0000-0000-0000E4B50000}"/>
    <cellStyle name="Vírgula 2 2 4 3 2 4 2 2" xfId="50811" xr:uid="{00000000-0005-0000-0000-0000E5B50000}"/>
    <cellStyle name="Vírgula 2 2 4 3 2 4 3" xfId="32267" xr:uid="{00000000-0005-0000-0000-0000E6B50000}"/>
    <cellStyle name="Vírgula 2 2 4 3 2 5" xfId="18713" xr:uid="{00000000-0005-0000-0000-0000E7B50000}"/>
    <cellStyle name="Vírgula 2 2 4 3 2 5 2" xfId="44903" xr:uid="{00000000-0005-0000-0000-0000E8B50000}"/>
    <cellStyle name="Vírgula 2 2 4 3 2 6" xfId="12459" xr:uid="{00000000-0005-0000-0000-0000E9B50000}"/>
    <cellStyle name="Vírgula 2 2 4 3 2 6 2" xfId="38652" xr:uid="{00000000-0005-0000-0000-0000EAB50000}"/>
    <cellStyle name="Vírgula 2 2 4 3 2 7" xfId="30569" xr:uid="{00000000-0005-0000-0000-0000EBB50000}"/>
    <cellStyle name="Vírgula 2 2 4 3 3" xfId="4477" xr:uid="{00000000-0005-0000-0000-0000ECB50000}"/>
    <cellStyle name="Vírgula 2 2 4 3 3 2" xfId="7879" xr:uid="{00000000-0005-0000-0000-0000EDB50000}"/>
    <cellStyle name="Vírgula 2 2 4 3 3 2 2" xfId="10900" xr:uid="{00000000-0005-0000-0000-0000EEB50000}"/>
    <cellStyle name="Vírgula 2 2 4 3 3 2 2 2" xfId="29114" xr:uid="{00000000-0005-0000-0000-0000EFB50000}"/>
    <cellStyle name="Vírgula 2 2 4 3 3 2 2 2 2" xfId="55295" xr:uid="{00000000-0005-0000-0000-0000F0B50000}"/>
    <cellStyle name="Vírgula 2 2 4 3 3 2 2 3" xfId="23200" xr:uid="{00000000-0005-0000-0000-0000F1B50000}"/>
    <cellStyle name="Vírgula 2 2 4 3 3 2 2 3 2" xfId="49387" xr:uid="{00000000-0005-0000-0000-0000F2B50000}"/>
    <cellStyle name="Vírgula 2 2 4 3 3 2 2 4" xfId="17286" xr:uid="{00000000-0005-0000-0000-0000F3B50000}"/>
    <cellStyle name="Vírgula 2 2 4 3 3 2 2 4 2" xfId="43479" xr:uid="{00000000-0005-0000-0000-0000F4B50000}"/>
    <cellStyle name="Vírgula 2 2 4 3 3 2 2 5" xfId="37093" xr:uid="{00000000-0005-0000-0000-0000F5B50000}"/>
    <cellStyle name="Vírgula 2 2 4 3 3 2 3" xfId="26157" xr:uid="{00000000-0005-0000-0000-0000F6B50000}"/>
    <cellStyle name="Vírgula 2 2 4 3 3 2 3 2" xfId="52341" xr:uid="{00000000-0005-0000-0000-0000F7B50000}"/>
    <cellStyle name="Vírgula 2 2 4 3 3 2 4" xfId="20243" xr:uid="{00000000-0005-0000-0000-0000F8B50000}"/>
    <cellStyle name="Vírgula 2 2 4 3 3 2 4 2" xfId="46433" xr:uid="{00000000-0005-0000-0000-0000F9B50000}"/>
    <cellStyle name="Vírgula 2 2 4 3 3 2 5" xfId="14268" xr:uid="{00000000-0005-0000-0000-0000FAB50000}"/>
    <cellStyle name="Vírgula 2 2 4 3 3 2 5 2" xfId="40461" xr:uid="{00000000-0005-0000-0000-0000FBB50000}"/>
    <cellStyle name="Vírgula 2 2 4 3 3 2 6" xfId="34075" xr:uid="{00000000-0005-0000-0000-0000FCB50000}"/>
    <cellStyle name="Vírgula 2 2 4 3 3 3" xfId="9432" xr:uid="{00000000-0005-0000-0000-0000FDB50000}"/>
    <cellStyle name="Vírgula 2 2 4 3 3 3 2" xfId="27646" xr:uid="{00000000-0005-0000-0000-0000FEB50000}"/>
    <cellStyle name="Vírgula 2 2 4 3 3 3 2 2" xfId="53827" xr:uid="{00000000-0005-0000-0000-0000FFB50000}"/>
    <cellStyle name="Vírgula 2 2 4 3 3 3 3" xfId="21732" xr:uid="{00000000-0005-0000-0000-000000B60000}"/>
    <cellStyle name="Vírgula 2 2 4 3 3 3 3 2" xfId="47919" xr:uid="{00000000-0005-0000-0000-000001B60000}"/>
    <cellStyle name="Vírgula 2 2 4 3 3 3 4" xfId="15818" xr:uid="{00000000-0005-0000-0000-000002B60000}"/>
    <cellStyle name="Vírgula 2 2 4 3 3 3 4 2" xfId="42011" xr:uid="{00000000-0005-0000-0000-000003B60000}"/>
    <cellStyle name="Vírgula 2 2 4 3 3 3 5" xfId="35625" xr:uid="{00000000-0005-0000-0000-000004B60000}"/>
    <cellStyle name="Vírgula 2 2 4 3 3 4" xfId="6178" xr:uid="{00000000-0005-0000-0000-000005B60000}"/>
    <cellStyle name="Vírgula 2 2 4 3 3 4 2" xfId="24689" xr:uid="{00000000-0005-0000-0000-000006B60000}"/>
    <cellStyle name="Vírgula 2 2 4 3 3 4 2 2" xfId="50873" xr:uid="{00000000-0005-0000-0000-000007B60000}"/>
    <cellStyle name="Vírgula 2 2 4 3 3 4 3" xfId="32374" xr:uid="{00000000-0005-0000-0000-000008B60000}"/>
    <cellStyle name="Vírgula 2 2 4 3 3 5" xfId="18775" xr:uid="{00000000-0005-0000-0000-000009B60000}"/>
    <cellStyle name="Vírgula 2 2 4 3 3 5 2" xfId="44965" xr:uid="{00000000-0005-0000-0000-00000AB60000}"/>
    <cellStyle name="Vírgula 2 2 4 3 3 6" xfId="12567" xr:uid="{00000000-0005-0000-0000-00000BB60000}"/>
    <cellStyle name="Vírgula 2 2 4 3 3 6 2" xfId="38760" xr:uid="{00000000-0005-0000-0000-00000CB60000}"/>
    <cellStyle name="Vírgula 2 2 4 3 3 7" xfId="30677" xr:uid="{00000000-0005-0000-0000-00000DB60000}"/>
    <cellStyle name="Vírgula 2 2 4 3 4" xfId="4585" xr:uid="{00000000-0005-0000-0000-00000EB60000}"/>
    <cellStyle name="Vírgula 2 2 4 3 4 2" xfId="7988" xr:uid="{00000000-0005-0000-0000-00000FB60000}"/>
    <cellStyle name="Vírgula 2 2 4 3 4 2 2" xfId="10962" xr:uid="{00000000-0005-0000-0000-000010B60000}"/>
    <cellStyle name="Vírgula 2 2 4 3 4 2 2 2" xfId="29176" xr:uid="{00000000-0005-0000-0000-000011B60000}"/>
    <cellStyle name="Vírgula 2 2 4 3 4 2 2 2 2" xfId="55357" xr:uid="{00000000-0005-0000-0000-000012B60000}"/>
    <cellStyle name="Vírgula 2 2 4 3 4 2 2 3" xfId="23262" xr:uid="{00000000-0005-0000-0000-000013B60000}"/>
    <cellStyle name="Vírgula 2 2 4 3 4 2 2 3 2" xfId="49449" xr:uid="{00000000-0005-0000-0000-000014B60000}"/>
    <cellStyle name="Vírgula 2 2 4 3 4 2 2 4" xfId="17348" xr:uid="{00000000-0005-0000-0000-000015B60000}"/>
    <cellStyle name="Vírgula 2 2 4 3 4 2 2 4 2" xfId="43541" xr:uid="{00000000-0005-0000-0000-000016B60000}"/>
    <cellStyle name="Vírgula 2 2 4 3 4 2 2 5" xfId="37155" xr:uid="{00000000-0005-0000-0000-000017B60000}"/>
    <cellStyle name="Vírgula 2 2 4 3 4 2 3" xfId="26219" xr:uid="{00000000-0005-0000-0000-000018B60000}"/>
    <cellStyle name="Vírgula 2 2 4 3 4 2 3 2" xfId="52403" xr:uid="{00000000-0005-0000-0000-000019B60000}"/>
    <cellStyle name="Vírgula 2 2 4 3 4 2 4" xfId="20305" xr:uid="{00000000-0005-0000-0000-00001AB60000}"/>
    <cellStyle name="Vírgula 2 2 4 3 4 2 4 2" xfId="46495" xr:uid="{00000000-0005-0000-0000-00001BB60000}"/>
    <cellStyle name="Vírgula 2 2 4 3 4 2 5" xfId="14377" xr:uid="{00000000-0005-0000-0000-00001CB60000}"/>
    <cellStyle name="Vírgula 2 2 4 3 4 2 5 2" xfId="40570" xr:uid="{00000000-0005-0000-0000-00001DB60000}"/>
    <cellStyle name="Vírgula 2 2 4 3 4 2 6" xfId="34184" xr:uid="{00000000-0005-0000-0000-00001EB60000}"/>
    <cellStyle name="Vírgula 2 2 4 3 4 3" xfId="9494" xr:uid="{00000000-0005-0000-0000-00001FB60000}"/>
    <cellStyle name="Vírgula 2 2 4 3 4 3 2" xfId="27708" xr:uid="{00000000-0005-0000-0000-000020B60000}"/>
    <cellStyle name="Vírgula 2 2 4 3 4 3 2 2" xfId="53889" xr:uid="{00000000-0005-0000-0000-000021B60000}"/>
    <cellStyle name="Vírgula 2 2 4 3 4 3 3" xfId="21794" xr:uid="{00000000-0005-0000-0000-000022B60000}"/>
    <cellStyle name="Vírgula 2 2 4 3 4 3 3 2" xfId="47981" xr:uid="{00000000-0005-0000-0000-000023B60000}"/>
    <cellStyle name="Vírgula 2 2 4 3 4 3 4" xfId="15880" xr:uid="{00000000-0005-0000-0000-000024B60000}"/>
    <cellStyle name="Vírgula 2 2 4 3 4 3 4 2" xfId="42073" xr:uid="{00000000-0005-0000-0000-000025B60000}"/>
    <cellStyle name="Vírgula 2 2 4 3 4 3 5" xfId="35687" xr:uid="{00000000-0005-0000-0000-000026B60000}"/>
    <cellStyle name="Vírgula 2 2 4 3 4 4" xfId="6287" xr:uid="{00000000-0005-0000-0000-000027B60000}"/>
    <cellStyle name="Vírgula 2 2 4 3 4 4 2" xfId="24751" xr:uid="{00000000-0005-0000-0000-000028B60000}"/>
    <cellStyle name="Vírgula 2 2 4 3 4 4 2 2" xfId="50935" xr:uid="{00000000-0005-0000-0000-000029B60000}"/>
    <cellStyle name="Vírgula 2 2 4 3 4 4 3" xfId="32483" xr:uid="{00000000-0005-0000-0000-00002AB60000}"/>
    <cellStyle name="Vírgula 2 2 4 3 4 5" xfId="18837" xr:uid="{00000000-0005-0000-0000-00002BB60000}"/>
    <cellStyle name="Vírgula 2 2 4 3 4 5 2" xfId="45027" xr:uid="{00000000-0005-0000-0000-00002CB60000}"/>
    <cellStyle name="Vírgula 2 2 4 3 4 6" xfId="12676" xr:uid="{00000000-0005-0000-0000-00002DB60000}"/>
    <cellStyle name="Vírgula 2 2 4 3 4 6 2" xfId="38869" xr:uid="{00000000-0005-0000-0000-00002EB60000}"/>
    <cellStyle name="Vírgula 2 2 4 3 4 7" xfId="30785" xr:uid="{00000000-0005-0000-0000-00002FB60000}"/>
    <cellStyle name="Vírgula 2 2 4 3 5" xfId="5926" xr:uid="{00000000-0005-0000-0000-000030B60000}"/>
    <cellStyle name="Vírgula 2 2 4 3 5 2" xfId="7626" xr:uid="{00000000-0005-0000-0000-000031B60000}"/>
    <cellStyle name="Vírgula 2 2 4 3 5 2 2" xfId="10756" xr:uid="{00000000-0005-0000-0000-000032B60000}"/>
    <cellStyle name="Vírgula 2 2 4 3 5 2 2 2" xfId="28970" xr:uid="{00000000-0005-0000-0000-000033B60000}"/>
    <cellStyle name="Vírgula 2 2 4 3 5 2 2 2 2" xfId="55151" xr:uid="{00000000-0005-0000-0000-000034B60000}"/>
    <cellStyle name="Vírgula 2 2 4 3 5 2 2 3" xfId="23056" xr:uid="{00000000-0005-0000-0000-000035B60000}"/>
    <cellStyle name="Vírgula 2 2 4 3 5 2 2 3 2" xfId="49243" xr:uid="{00000000-0005-0000-0000-000036B60000}"/>
    <cellStyle name="Vírgula 2 2 4 3 5 2 2 4" xfId="17142" xr:uid="{00000000-0005-0000-0000-000037B60000}"/>
    <cellStyle name="Vírgula 2 2 4 3 5 2 2 4 2" xfId="43335" xr:uid="{00000000-0005-0000-0000-000038B60000}"/>
    <cellStyle name="Vírgula 2 2 4 3 5 2 2 5" xfId="36949" xr:uid="{00000000-0005-0000-0000-000039B60000}"/>
    <cellStyle name="Vírgula 2 2 4 3 5 2 3" xfId="26013" xr:uid="{00000000-0005-0000-0000-00003AB60000}"/>
    <cellStyle name="Vírgula 2 2 4 3 5 2 3 2" xfId="52197" xr:uid="{00000000-0005-0000-0000-00003BB60000}"/>
    <cellStyle name="Vírgula 2 2 4 3 5 2 4" xfId="20099" xr:uid="{00000000-0005-0000-0000-00003CB60000}"/>
    <cellStyle name="Vírgula 2 2 4 3 5 2 4 2" xfId="46289" xr:uid="{00000000-0005-0000-0000-00003DB60000}"/>
    <cellStyle name="Vírgula 2 2 4 3 5 2 5" xfId="14015" xr:uid="{00000000-0005-0000-0000-00003EB60000}"/>
    <cellStyle name="Vírgula 2 2 4 3 5 2 5 2" xfId="40208" xr:uid="{00000000-0005-0000-0000-00003FB60000}"/>
    <cellStyle name="Vírgula 2 2 4 3 5 2 6" xfId="33822" xr:uid="{00000000-0005-0000-0000-000040B60000}"/>
    <cellStyle name="Vírgula 2 2 4 3 5 3" xfId="9288" xr:uid="{00000000-0005-0000-0000-000041B60000}"/>
    <cellStyle name="Vírgula 2 2 4 3 5 3 2" xfId="27502" xr:uid="{00000000-0005-0000-0000-000042B60000}"/>
    <cellStyle name="Vírgula 2 2 4 3 5 3 2 2" xfId="53683" xr:uid="{00000000-0005-0000-0000-000043B60000}"/>
    <cellStyle name="Vírgula 2 2 4 3 5 3 3" xfId="21588" xr:uid="{00000000-0005-0000-0000-000044B60000}"/>
    <cellStyle name="Vírgula 2 2 4 3 5 3 3 2" xfId="47775" xr:uid="{00000000-0005-0000-0000-000045B60000}"/>
    <cellStyle name="Vírgula 2 2 4 3 5 3 4" xfId="15674" xr:uid="{00000000-0005-0000-0000-000046B60000}"/>
    <cellStyle name="Vírgula 2 2 4 3 5 3 4 2" xfId="41867" xr:uid="{00000000-0005-0000-0000-000047B60000}"/>
    <cellStyle name="Vírgula 2 2 4 3 5 3 5" xfId="35481" xr:uid="{00000000-0005-0000-0000-000048B60000}"/>
    <cellStyle name="Vírgula 2 2 4 3 5 4" xfId="24545" xr:uid="{00000000-0005-0000-0000-000049B60000}"/>
    <cellStyle name="Vírgula 2 2 4 3 5 4 2" xfId="50729" xr:uid="{00000000-0005-0000-0000-00004AB60000}"/>
    <cellStyle name="Vírgula 2 2 4 3 5 5" xfId="18631" xr:uid="{00000000-0005-0000-0000-00004BB60000}"/>
    <cellStyle name="Vírgula 2 2 4 3 5 5 2" xfId="44821" xr:uid="{00000000-0005-0000-0000-00004CB60000}"/>
    <cellStyle name="Vírgula 2 2 4 3 5 6" xfId="12314" xr:uid="{00000000-0005-0000-0000-00004DB60000}"/>
    <cellStyle name="Vírgula 2 2 4 3 5 6 2" xfId="38507" xr:uid="{00000000-0005-0000-0000-00004EB60000}"/>
    <cellStyle name="Vírgula 2 2 4 3 5 7" xfId="32122" xr:uid="{00000000-0005-0000-0000-00004FB60000}"/>
    <cellStyle name="Vírgula 2 2 4 3 6" xfId="6396" xr:uid="{00000000-0005-0000-0000-000050B60000}"/>
    <cellStyle name="Vírgula 2 2 4 3 6 2" xfId="9556" xr:uid="{00000000-0005-0000-0000-000051B60000}"/>
    <cellStyle name="Vírgula 2 2 4 3 6 2 2" xfId="27770" xr:uid="{00000000-0005-0000-0000-000052B60000}"/>
    <cellStyle name="Vírgula 2 2 4 3 6 2 2 2" xfId="53951" xr:uid="{00000000-0005-0000-0000-000053B60000}"/>
    <cellStyle name="Vírgula 2 2 4 3 6 2 3" xfId="21856" xr:uid="{00000000-0005-0000-0000-000054B60000}"/>
    <cellStyle name="Vírgula 2 2 4 3 6 2 3 2" xfId="48043" xr:uid="{00000000-0005-0000-0000-000055B60000}"/>
    <cellStyle name="Vírgula 2 2 4 3 6 2 4" xfId="15942" xr:uid="{00000000-0005-0000-0000-000056B60000}"/>
    <cellStyle name="Vírgula 2 2 4 3 6 2 4 2" xfId="42135" xr:uid="{00000000-0005-0000-0000-000057B60000}"/>
    <cellStyle name="Vírgula 2 2 4 3 6 2 5" xfId="35749" xr:uid="{00000000-0005-0000-0000-000058B60000}"/>
    <cellStyle name="Vírgula 2 2 4 3 6 3" xfId="24813" xr:uid="{00000000-0005-0000-0000-000059B60000}"/>
    <cellStyle name="Vírgula 2 2 4 3 6 3 2" xfId="50997" xr:uid="{00000000-0005-0000-0000-00005AB60000}"/>
    <cellStyle name="Vírgula 2 2 4 3 6 4" xfId="18899" xr:uid="{00000000-0005-0000-0000-00005BB60000}"/>
    <cellStyle name="Vírgula 2 2 4 3 6 4 2" xfId="45089" xr:uid="{00000000-0005-0000-0000-00005CB60000}"/>
    <cellStyle name="Vírgula 2 2 4 3 6 5" xfId="12785" xr:uid="{00000000-0005-0000-0000-00005DB60000}"/>
    <cellStyle name="Vírgula 2 2 4 3 6 5 2" xfId="38978" xr:uid="{00000000-0005-0000-0000-00005EB60000}"/>
    <cellStyle name="Vírgula 2 2 4 3 6 6" xfId="32592" xr:uid="{00000000-0005-0000-0000-00005FB60000}"/>
    <cellStyle name="Vírgula 2 2 4 3 7" xfId="8085" xr:uid="{00000000-0005-0000-0000-000060B60000}"/>
    <cellStyle name="Vírgula 2 2 4 3 7 2" xfId="26299" xr:uid="{00000000-0005-0000-0000-000061B60000}"/>
    <cellStyle name="Vírgula 2 2 4 3 7 2 2" xfId="52483" xr:uid="{00000000-0005-0000-0000-000062B60000}"/>
    <cellStyle name="Vírgula 2 2 4 3 7 3" xfId="20385" xr:uid="{00000000-0005-0000-0000-000063B60000}"/>
    <cellStyle name="Vírgula 2 2 4 3 7 3 2" xfId="46575" xr:uid="{00000000-0005-0000-0000-000064B60000}"/>
    <cellStyle name="Vírgula 2 2 4 3 7 4" xfId="14474" xr:uid="{00000000-0005-0000-0000-000065B60000}"/>
    <cellStyle name="Vírgula 2 2 4 3 7 4 2" xfId="40667" xr:uid="{00000000-0005-0000-0000-000066B60000}"/>
    <cellStyle name="Vírgula 2 2 4 3 7 5" xfId="34281" xr:uid="{00000000-0005-0000-0000-000067B60000}"/>
    <cellStyle name="Vírgula 2 2 4 3 8" xfId="4693" xr:uid="{00000000-0005-0000-0000-000068B60000}"/>
    <cellStyle name="Vírgula 2 2 4 3 8 2" xfId="23342" xr:uid="{00000000-0005-0000-0000-000069B60000}"/>
    <cellStyle name="Vírgula 2 2 4 3 8 2 2" xfId="49529" xr:uid="{00000000-0005-0000-0000-00006AB60000}"/>
    <cellStyle name="Vírgula 2 2 4 3 8 3" xfId="30893" xr:uid="{00000000-0005-0000-0000-00006BB60000}"/>
    <cellStyle name="Vírgula 2 2 4 3 9" xfId="17428" xr:uid="{00000000-0005-0000-0000-00006CB60000}"/>
    <cellStyle name="Vírgula 2 2 4 3 9 2" xfId="43621" xr:uid="{00000000-0005-0000-0000-00006DB60000}"/>
    <cellStyle name="Vírgula 2 2 4 4" xfId="4302" xr:uid="{00000000-0005-0000-0000-00006EB60000}"/>
    <cellStyle name="Vírgula 2 2 4 4 2" xfId="7703" xr:uid="{00000000-0005-0000-0000-00006FB60000}"/>
    <cellStyle name="Vírgula 2 2 4 4 2 2" xfId="10799" xr:uid="{00000000-0005-0000-0000-000070B60000}"/>
    <cellStyle name="Vírgula 2 2 4 4 2 2 2" xfId="29013" xr:uid="{00000000-0005-0000-0000-000071B60000}"/>
    <cellStyle name="Vírgula 2 2 4 4 2 2 2 2" xfId="55194" xr:uid="{00000000-0005-0000-0000-000072B60000}"/>
    <cellStyle name="Vírgula 2 2 4 4 2 2 3" xfId="23099" xr:uid="{00000000-0005-0000-0000-000073B60000}"/>
    <cellStyle name="Vírgula 2 2 4 4 2 2 3 2" xfId="49286" xr:uid="{00000000-0005-0000-0000-000074B60000}"/>
    <cellStyle name="Vírgula 2 2 4 4 2 2 4" xfId="17185" xr:uid="{00000000-0005-0000-0000-000075B60000}"/>
    <cellStyle name="Vírgula 2 2 4 4 2 2 4 2" xfId="43378" xr:uid="{00000000-0005-0000-0000-000076B60000}"/>
    <cellStyle name="Vírgula 2 2 4 4 2 2 5" xfId="36992" xr:uid="{00000000-0005-0000-0000-000077B60000}"/>
    <cellStyle name="Vírgula 2 2 4 4 2 3" xfId="26056" xr:uid="{00000000-0005-0000-0000-000078B60000}"/>
    <cellStyle name="Vírgula 2 2 4 4 2 3 2" xfId="52240" xr:uid="{00000000-0005-0000-0000-000079B60000}"/>
    <cellStyle name="Vírgula 2 2 4 4 2 4" xfId="20142" xr:uid="{00000000-0005-0000-0000-00007AB60000}"/>
    <cellStyle name="Vírgula 2 2 4 4 2 4 2" xfId="46332" xr:uid="{00000000-0005-0000-0000-00007BB60000}"/>
    <cellStyle name="Vírgula 2 2 4 4 2 5" xfId="14092" xr:uid="{00000000-0005-0000-0000-00007CB60000}"/>
    <cellStyle name="Vírgula 2 2 4 4 2 5 2" xfId="40285" xr:uid="{00000000-0005-0000-0000-00007DB60000}"/>
    <cellStyle name="Vírgula 2 2 4 4 2 6" xfId="33899" xr:uid="{00000000-0005-0000-0000-00007EB60000}"/>
    <cellStyle name="Vírgula 2 2 4 4 3" xfId="9331" xr:uid="{00000000-0005-0000-0000-00007FB60000}"/>
    <cellStyle name="Vírgula 2 2 4 4 3 2" xfId="27545" xr:uid="{00000000-0005-0000-0000-000080B60000}"/>
    <cellStyle name="Vírgula 2 2 4 4 3 2 2" xfId="53726" xr:uid="{00000000-0005-0000-0000-000081B60000}"/>
    <cellStyle name="Vírgula 2 2 4 4 3 3" xfId="21631" xr:uid="{00000000-0005-0000-0000-000082B60000}"/>
    <cellStyle name="Vírgula 2 2 4 4 3 3 2" xfId="47818" xr:uid="{00000000-0005-0000-0000-000083B60000}"/>
    <cellStyle name="Vírgula 2 2 4 4 3 4" xfId="15717" xr:uid="{00000000-0005-0000-0000-000084B60000}"/>
    <cellStyle name="Vírgula 2 2 4 4 3 4 2" xfId="41910" xr:uid="{00000000-0005-0000-0000-000085B60000}"/>
    <cellStyle name="Vírgula 2 2 4 4 3 5" xfId="35524" xr:uid="{00000000-0005-0000-0000-000086B60000}"/>
    <cellStyle name="Vírgula 2 2 4 4 4" xfId="6003" xr:uid="{00000000-0005-0000-0000-000087B60000}"/>
    <cellStyle name="Vírgula 2 2 4 4 4 2" xfId="24588" xr:uid="{00000000-0005-0000-0000-000088B60000}"/>
    <cellStyle name="Vírgula 2 2 4 4 4 2 2" xfId="50772" xr:uid="{00000000-0005-0000-0000-000089B60000}"/>
    <cellStyle name="Vírgula 2 2 4 4 4 3" xfId="32199" xr:uid="{00000000-0005-0000-0000-00008AB60000}"/>
    <cellStyle name="Vírgula 2 2 4 4 5" xfId="18674" xr:uid="{00000000-0005-0000-0000-00008BB60000}"/>
    <cellStyle name="Vírgula 2 2 4 4 5 2" xfId="44864" xr:uid="{00000000-0005-0000-0000-00008CB60000}"/>
    <cellStyle name="Vírgula 2 2 4 4 6" xfId="12391" xr:uid="{00000000-0005-0000-0000-00008DB60000}"/>
    <cellStyle name="Vírgula 2 2 4 4 6 2" xfId="38584" xr:uid="{00000000-0005-0000-0000-00008EB60000}"/>
    <cellStyle name="Vírgula 2 2 4 4 7" xfId="30502" xr:uid="{00000000-0005-0000-0000-00008FB60000}"/>
    <cellStyle name="Vírgula 2 2 4 5" xfId="4410" xr:uid="{00000000-0005-0000-0000-000090B60000}"/>
    <cellStyle name="Vírgula 2 2 4 5 2" xfId="7812" xr:uid="{00000000-0005-0000-0000-000091B60000}"/>
    <cellStyle name="Vírgula 2 2 4 5 2 2" xfId="10861" xr:uid="{00000000-0005-0000-0000-000092B60000}"/>
    <cellStyle name="Vírgula 2 2 4 5 2 2 2" xfId="29075" xr:uid="{00000000-0005-0000-0000-000093B60000}"/>
    <cellStyle name="Vírgula 2 2 4 5 2 2 2 2" xfId="55256" xr:uid="{00000000-0005-0000-0000-000094B60000}"/>
    <cellStyle name="Vírgula 2 2 4 5 2 2 3" xfId="23161" xr:uid="{00000000-0005-0000-0000-000095B60000}"/>
    <cellStyle name="Vírgula 2 2 4 5 2 2 3 2" xfId="49348" xr:uid="{00000000-0005-0000-0000-000096B60000}"/>
    <cellStyle name="Vírgula 2 2 4 5 2 2 4" xfId="17247" xr:uid="{00000000-0005-0000-0000-000097B60000}"/>
    <cellStyle name="Vírgula 2 2 4 5 2 2 4 2" xfId="43440" xr:uid="{00000000-0005-0000-0000-000098B60000}"/>
    <cellStyle name="Vírgula 2 2 4 5 2 2 5" xfId="37054" xr:uid="{00000000-0005-0000-0000-000099B60000}"/>
    <cellStyle name="Vírgula 2 2 4 5 2 3" xfId="26118" xr:uid="{00000000-0005-0000-0000-00009AB60000}"/>
    <cellStyle name="Vírgula 2 2 4 5 2 3 2" xfId="52302" xr:uid="{00000000-0005-0000-0000-00009BB60000}"/>
    <cellStyle name="Vírgula 2 2 4 5 2 4" xfId="20204" xr:uid="{00000000-0005-0000-0000-00009CB60000}"/>
    <cellStyle name="Vírgula 2 2 4 5 2 4 2" xfId="46394" xr:uid="{00000000-0005-0000-0000-00009DB60000}"/>
    <cellStyle name="Vírgula 2 2 4 5 2 5" xfId="14201" xr:uid="{00000000-0005-0000-0000-00009EB60000}"/>
    <cellStyle name="Vírgula 2 2 4 5 2 5 2" xfId="40394" xr:uid="{00000000-0005-0000-0000-00009FB60000}"/>
    <cellStyle name="Vírgula 2 2 4 5 2 6" xfId="34008" xr:uid="{00000000-0005-0000-0000-0000A0B60000}"/>
    <cellStyle name="Vírgula 2 2 4 5 3" xfId="9393" xr:uid="{00000000-0005-0000-0000-0000A1B60000}"/>
    <cellStyle name="Vírgula 2 2 4 5 3 2" xfId="27607" xr:uid="{00000000-0005-0000-0000-0000A2B60000}"/>
    <cellStyle name="Vírgula 2 2 4 5 3 2 2" xfId="53788" xr:uid="{00000000-0005-0000-0000-0000A3B60000}"/>
    <cellStyle name="Vírgula 2 2 4 5 3 3" xfId="21693" xr:uid="{00000000-0005-0000-0000-0000A4B60000}"/>
    <cellStyle name="Vírgula 2 2 4 5 3 3 2" xfId="47880" xr:uid="{00000000-0005-0000-0000-0000A5B60000}"/>
    <cellStyle name="Vírgula 2 2 4 5 3 4" xfId="15779" xr:uid="{00000000-0005-0000-0000-0000A6B60000}"/>
    <cellStyle name="Vírgula 2 2 4 5 3 4 2" xfId="41972" xr:uid="{00000000-0005-0000-0000-0000A7B60000}"/>
    <cellStyle name="Vírgula 2 2 4 5 3 5" xfId="35586" xr:uid="{00000000-0005-0000-0000-0000A8B60000}"/>
    <cellStyle name="Vírgula 2 2 4 5 4" xfId="6112" xr:uid="{00000000-0005-0000-0000-0000A9B60000}"/>
    <cellStyle name="Vírgula 2 2 4 5 4 2" xfId="24650" xr:uid="{00000000-0005-0000-0000-0000AAB60000}"/>
    <cellStyle name="Vírgula 2 2 4 5 4 2 2" xfId="50834" xr:uid="{00000000-0005-0000-0000-0000ABB60000}"/>
    <cellStyle name="Vírgula 2 2 4 5 4 3" xfId="32308" xr:uid="{00000000-0005-0000-0000-0000ACB60000}"/>
    <cellStyle name="Vírgula 2 2 4 5 5" xfId="18736" xr:uid="{00000000-0005-0000-0000-0000ADB60000}"/>
    <cellStyle name="Vírgula 2 2 4 5 5 2" xfId="44926" xr:uid="{00000000-0005-0000-0000-0000AEB60000}"/>
    <cellStyle name="Vírgula 2 2 4 5 6" xfId="12500" xr:uid="{00000000-0005-0000-0000-0000AFB60000}"/>
    <cellStyle name="Vírgula 2 2 4 5 6 2" xfId="38693" xr:uid="{00000000-0005-0000-0000-0000B0B60000}"/>
    <cellStyle name="Vírgula 2 2 4 5 7" xfId="30610" xr:uid="{00000000-0005-0000-0000-0000B1B60000}"/>
    <cellStyle name="Vírgula 2 2 4 6" xfId="4518" xr:uid="{00000000-0005-0000-0000-0000B2B60000}"/>
    <cellStyle name="Vírgula 2 2 4 6 2" xfId="7920" xr:uid="{00000000-0005-0000-0000-0000B3B60000}"/>
    <cellStyle name="Vírgula 2 2 4 6 2 2" xfId="10923" xr:uid="{00000000-0005-0000-0000-0000B4B60000}"/>
    <cellStyle name="Vírgula 2 2 4 6 2 2 2" xfId="29137" xr:uid="{00000000-0005-0000-0000-0000B5B60000}"/>
    <cellStyle name="Vírgula 2 2 4 6 2 2 2 2" xfId="55318" xr:uid="{00000000-0005-0000-0000-0000B6B60000}"/>
    <cellStyle name="Vírgula 2 2 4 6 2 2 3" xfId="23223" xr:uid="{00000000-0005-0000-0000-0000B7B60000}"/>
    <cellStyle name="Vírgula 2 2 4 6 2 2 3 2" xfId="49410" xr:uid="{00000000-0005-0000-0000-0000B8B60000}"/>
    <cellStyle name="Vírgula 2 2 4 6 2 2 4" xfId="17309" xr:uid="{00000000-0005-0000-0000-0000B9B60000}"/>
    <cellStyle name="Vírgula 2 2 4 6 2 2 4 2" xfId="43502" xr:uid="{00000000-0005-0000-0000-0000BAB60000}"/>
    <cellStyle name="Vírgula 2 2 4 6 2 2 5" xfId="37116" xr:uid="{00000000-0005-0000-0000-0000BBB60000}"/>
    <cellStyle name="Vírgula 2 2 4 6 2 3" xfId="26180" xr:uid="{00000000-0005-0000-0000-0000BCB60000}"/>
    <cellStyle name="Vírgula 2 2 4 6 2 3 2" xfId="52364" xr:uid="{00000000-0005-0000-0000-0000BDB60000}"/>
    <cellStyle name="Vírgula 2 2 4 6 2 4" xfId="20266" xr:uid="{00000000-0005-0000-0000-0000BEB60000}"/>
    <cellStyle name="Vírgula 2 2 4 6 2 4 2" xfId="46456" xr:uid="{00000000-0005-0000-0000-0000BFB60000}"/>
    <cellStyle name="Vírgula 2 2 4 6 2 5" xfId="14309" xr:uid="{00000000-0005-0000-0000-0000C0B60000}"/>
    <cellStyle name="Vírgula 2 2 4 6 2 5 2" xfId="40502" xr:uid="{00000000-0005-0000-0000-0000C1B60000}"/>
    <cellStyle name="Vírgula 2 2 4 6 2 6" xfId="34116" xr:uid="{00000000-0005-0000-0000-0000C2B60000}"/>
    <cellStyle name="Vírgula 2 2 4 6 3" xfId="9455" xr:uid="{00000000-0005-0000-0000-0000C3B60000}"/>
    <cellStyle name="Vírgula 2 2 4 6 3 2" xfId="27669" xr:uid="{00000000-0005-0000-0000-0000C4B60000}"/>
    <cellStyle name="Vírgula 2 2 4 6 3 2 2" xfId="53850" xr:uid="{00000000-0005-0000-0000-0000C5B60000}"/>
    <cellStyle name="Vírgula 2 2 4 6 3 3" xfId="21755" xr:uid="{00000000-0005-0000-0000-0000C6B60000}"/>
    <cellStyle name="Vírgula 2 2 4 6 3 3 2" xfId="47942" xr:uid="{00000000-0005-0000-0000-0000C7B60000}"/>
    <cellStyle name="Vírgula 2 2 4 6 3 4" xfId="15841" xr:uid="{00000000-0005-0000-0000-0000C8B60000}"/>
    <cellStyle name="Vírgula 2 2 4 6 3 4 2" xfId="42034" xr:uid="{00000000-0005-0000-0000-0000C9B60000}"/>
    <cellStyle name="Vírgula 2 2 4 6 3 5" xfId="35648" xr:uid="{00000000-0005-0000-0000-0000CAB60000}"/>
    <cellStyle name="Vírgula 2 2 4 6 4" xfId="6219" xr:uid="{00000000-0005-0000-0000-0000CBB60000}"/>
    <cellStyle name="Vírgula 2 2 4 6 4 2" xfId="24712" xr:uid="{00000000-0005-0000-0000-0000CCB60000}"/>
    <cellStyle name="Vírgula 2 2 4 6 4 2 2" xfId="50896" xr:uid="{00000000-0005-0000-0000-0000CDB60000}"/>
    <cellStyle name="Vírgula 2 2 4 6 4 3" xfId="32415" xr:uid="{00000000-0005-0000-0000-0000CEB60000}"/>
    <cellStyle name="Vírgula 2 2 4 6 5" xfId="18798" xr:uid="{00000000-0005-0000-0000-0000CFB60000}"/>
    <cellStyle name="Vírgula 2 2 4 6 5 2" xfId="44988" xr:uid="{00000000-0005-0000-0000-0000D0B60000}"/>
    <cellStyle name="Vírgula 2 2 4 6 6" xfId="12608" xr:uid="{00000000-0005-0000-0000-0000D1B60000}"/>
    <cellStyle name="Vírgula 2 2 4 6 6 2" xfId="38801" xr:uid="{00000000-0005-0000-0000-0000D2B60000}"/>
    <cellStyle name="Vírgula 2 2 4 6 7" xfId="30718" xr:uid="{00000000-0005-0000-0000-0000D3B60000}"/>
    <cellStyle name="Vírgula 2 2 4 7" xfId="5093" xr:uid="{00000000-0005-0000-0000-0000D4B60000}"/>
    <cellStyle name="Vírgula 2 2 4 7 2" xfId="6792" xr:uid="{00000000-0005-0000-0000-0000D5B60000}"/>
    <cellStyle name="Vírgula 2 2 4 7 2 2" xfId="9939" xr:uid="{00000000-0005-0000-0000-0000D6B60000}"/>
    <cellStyle name="Vírgula 2 2 4 7 2 2 2" xfId="28153" xr:uid="{00000000-0005-0000-0000-0000D7B60000}"/>
    <cellStyle name="Vírgula 2 2 4 7 2 2 2 2" xfId="54334" xr:uid="{00000000-0005-0000-0000-0000D8B60000}"/>
    <cellStyle name="Vírgula 2 2 4 7 2 2 3" xfId="22239" xr:uid="{00000000-0005-0000-0000-0000D9B60000}"/>
    <cellStyle name="Vírgula 2 2 4 7 2 2 3 2" xfId="48426" xr:uid="{00000000-0005-0000-0000-0000DAB60000}"/>
    <cellStyle name="Vírgula 2 2 4 7 2 2 4" xfId="16325" xr:uid="{00000000-0005-0000-0000-0000DBB60000}"/>
    <cellStyle name="Vírgula 2 2 4 7 2 2 4 2" xfId="42518" xr:uid="{00000000-0005-0000-0000-0000DCB60000}"/>
    <cellStyle name="Vírgula 2 2 4 7 2 2 5" xfId="36132" xr:uid="{00000000-0005-0000-0000-0000DDB60000}"/>
    <cellStyle name="Vírgula 2 2 4 7 2 3" xfId="25196" xr:uid="{00000000-0005-0000-0000-0000DEB60000}"/>
    <cellStyle name="Vírgula 2 2 4 7 2 3 2" xfId="51380" xr:uid="{00000000-0005-0000-0000-0000DFB60000}"/>
    <cellStyle name="Vírgula 2 2 4 7 2 4" xfId="19282" xr:uid="{00000000-0005-0000-0000-0000E0B60000}"/>
    <cellStyle name="Vírgula 2 2 4 7 2 4 2" xfId="45472" xr:uid="{00000000-0005-0000-0000-0000E1B60000}"/>
    <cellStyle name="Vírgula 2 2 4 7 2 5" xfId="13181" xr:uid="{00000000-0005-0000-0000-0000E2B60000}"/>
    <cellStyle name="Vírgula 2 2 4 7 2 5 2" xfId="39374" xr:uid="{00000000-0005-0000-0000-0000E3B60000}"/>
    <cellStyle name="Vírgula 2 2 4 7 2 6" xfId="32988" xr:uid="{00000000-0005-0000-0000-0000E4B60000}"/>
    <cellStyle name="Vírgula 2 2 4 7 3" xfId="8471" xr:uid="{00000000-0005-0000-0000-0000E5B60000}"/>
    <cellStyle name="Vírgula 2 2 4 7 3 2" xfId="26685" xr:uid="{00000000-0005-0000-0000-0000E6B60000}"/>
    <cellStyle name="Vírgula 2 2 4 7 3 2 2" xfId="52866" xr:uid="{00000000-0005-0000-0000-0000E7B60000}"/>
    <cellStyle name="Vírgula 2 2 4 7 3 3" xfId="20771" xr:uid="{00000000-0005-0000-0000-0000E8B60000}"/>
    <cellStyle name="Vírgula 2 2 4 7 3 3 2" xfId="46958" xr:uid="{00000000-0005-0000-0000-0000E9B60000}"/>
    <cellStyle name="Vírgula 2 2 4 7 3 4" xfId="14857" xr:uid="{00000000-0005-0000-0000-0000EAB60000}"/>
    <cellStyle name="Vírgula 2 2 4 7 3 4 2" xfId="41050" xr:uid="{00000000-0005-0000-0000-0000EBB60000}"/>
    <cellStyle name="Vírgula 2 2 4 7 3 5" xfId="34664" xr:uid="{00000000-0005-0000-0000-0000ECB60000}"/>
    <cellStyle name="Vírgula 2 2 4 7 4" xfId="23728" xr:uid="{00000000-0005-0000-0000-0000EDB60000}"/>
    <cellStyle name="Vírgula 2 2 4 7 4 2" xfId="49912" xr:uid="{00000000-0005-0000-0000-0000EEB60000}"/>
    <cellStyle name="Vírgula 2 2 4 7 5" xfId="17814" xr:uid="{00000000-0005-0000-0000-0000EFB60000}"/>
    <cellStyle name="Vírgula 2 2 4 7 5 2" xfId="44004" xr:uid="{00000000-0005-0000-0000-0000F0B60000}"/>
    <cellStyle name="Vírgula 2 2 4 7 6" xfId="11480" xr:uid="{00000000-0005-0000-0000-0000F1B60000}"/>
    <cellStyle name="Vírgula 2 2 4 7 6 2" xfId="37673" xr:uid="{00000000-0005-0000-0000-0000F2B60000}"/>
    <cellStyle name="Vírgula 2 2 4 7 7" xfId="31289" xr:uid="{00000000-0005-0000-0000-0000F3B60000}"/>
    <cellStyle name="Vírgula 2 2 4 8" xfId="6328" xr:uid="{00000000-0005-0000-0000-0000F4B60000}"/>
    <cellStyle name="Vírgula 2 2 4 8 2" xfId="9517" xr:uid="{00000000-0005-0000-0000-0000F5B60000}"/>
    <cellStyle name="Vírgula 2 2 4 8 2 2" xfId="27731" xr:uid="{00000000-0005-0000-0000-0000F6B60000}"/>
    <cellStyle name="Vírgula 2 2 4 8 2 2 2" xfId="53912" xr:uid="{00000000-0005-0000-0000-0000F7B60000}"/>
    <cellStyle name="Vírgula 2 2 4 8 2 3" xfId="21817" xr:uid="{00000000-0005-0000-0000-0000F8B60000}"/>
    <cellStyle name="Vírgula 2 2 4 8 2 3 2" xfId="48004" xr:uid="{00000000-0005-0000-0000-0000F9B60000}"/>
    <cellStyle name="Vírgula 2 2 4 8 2 4" xfId="15903" xr:uid="{00000000-0005-0000-0000-0000FAB60000}"/>
    <cellStyle name="Vírgula 2 2 4 8 2 4 2" xfId="42096" xr:uid="{00000000-0005-0000-0000-0000FBB60000}"/>
    <cellStyle name="Vírgula 2 2 4 8 2 5" xfId="35710" xr:uid="{00000000-0005-0000-0000-0000FCB60000}"/>
    <cellStyle name="Vírgula 2 2 4 8 3" xfId="24774" xr:uid="{00000000-0005-0000-0000-0000FDB60000}"/>
    <cellStyle name="Vírgula 2 2 4 8 3 2" xfId="50958" xr:uid="{00000000-0005-0000-0000-0000FEB60000}"/>
    <cellStyle name="Vírgula 2 2 4 8 4" xfId="18860" xr:uid="{00000000-0005-0000-0000-0000FFB60000}"/>
    <cellStyle name="Vírgula 2 2 4 8 4 2" xfId="45050" xr:uid="{00000000-0005-0000-0000-000000B70000}"/>
    <cellStyle name="Vírgula 2 2 4 8 5" xfId="12717" xr:uid="{00000000-0005-0000-0000-000001B70000}"/>
    <cellStyle name="Vírgula 2 2 4 8 5 2" xfId="38910" xr:uid="{00000000-0005-0000-0000-000002B70000}"/>
    <cellStyle name="Vírgula 2 2 4 8 6" xfId="32524" xr:uid="{00000000-0005-0000-0000-000003B70000}"/>
    <cellStyle name="Vírgula 2 2 4 9" xfId="8020" xr:uid="{00000000-0005-0000-0000-000004B70000}"/>
    <cellStyle name="Vírgula 2 2 4 9 2" xfId="10981" xr:uid="{00000000-0005-0000-0000-000005B70000}"/>
    <cellStyle name="Vírgula 2 2 4 9 2 2" xfId="29195" xr:uid="{00000000-0005-0000-0000-000006B70000}"/>
    <cellStyle name="Vírgula 2 2 4 9 2 2 2" xfId="55376" xr:uid="{00000000-0005-0000-0000-000007B70000}"/>
    <cellStyle name="Vírgula 2 2 4 9 2 3" xfId="23281" xr:uid="{00000000-0005-0000-0000-000008B70000}"/>
    <cellStyle name="Vírgula 2 2 4 9 2 3 2" xfId="49468" xr:uid="{00000000-0005-0000-0000-000009B70000}"/>
    <cellStyle name="Vírgula 2 2 4 9 2 4" xfId="17367" xr:uid="{00000000-0005-0000-0000-00000AB70000}"/>
    <cellStyle name="Vírgula 2 2 4 9 2 4 2" xfId="43560" xr:uid="{00000000-0005-0000-0000-00000BB70000}"/>
    <cellStyle name="Vírgula 2 2 4 9 2 5" xfId="37174" xr:uid="{00000000-0005-0000-0000-00000CB70000}"/>
    <cellStyle name="Vírgula 2 2 4 9 3" xfId="26238" xr:uid="{00000000-0005-0000-0000-00000DB70000}"/>
    <cellStyle name="Vírgula 2 2 4 9 3 2" xfId="52422" xr:uid="{00000000-0005-0000-0000-00000EB70000}"/>
    <cellStyle name="Vírgula 2 2 4 9 4" xfId="20324" xr:uid="{00000000-0005-0000-0000-00000FB70000}"/>
    <cellStyle name="Vírgula 2 2 4 9 4 2" xfId="46514" xr:uid="{00000000-0005-0000-0000-000010B70000}"/>
    <cellStyle name="Vírgula 2 2 4 9 5" xfId="14409" xr:uid="{00000000-0005-0000-0000-000011B70000}"/>
    <cellStyle name="Vírgula 2 2 4 9 5 2" xfId="40602" xr:uid="{00000000-0005-0000-0000-000012B70000}"/>
    <cellStyle name="Vírgula 2 2 4 9 6" xfId="34216" xr:uid="{00000000-0005-0000-0000-000013B70000}"/>
    <cellStyle name="Vírgula 2 2 5" xfId="1735" xr:uid="{00000000-0005-0000-0000-000014B70000}"/>
    <cellStyle name="Vírgula 2 2 5 10" xfId="17400" xr:uid="{00000000-0005-0000-0000-000015B70000}"/>
    <cellStyle name="Vírgula 2 2 5 10 2" xfId="43593" xr:uid="{00000000-0005-0000-0000-000016B70000}"/>
    <cellStyle name="Vírgula 2 2 5 11" xfId="11036" xr:uid="{00000000-0005-0000-0000-000017B70000}"/>
    <cellStyle name="Vírgula 2 2 5 11 2" xfId="37229" xr:uid="{00000000-0005-0000-0000-000018B70000}"/>
    <cellStyle name="Vírgula 2 2 5 12" xfId="29710" xr:uid="{00000000-0005-0000-0000-000019B70000}"/>
    <cellStyle name="Vírgula 2 2 5 2" xfId="4245" xr:uid="{00000000-0005-0000-0000-00001AB70000}"/>
    <cellStyle name="Vírgula 2 2 5 2 2" xfId="7646" xr:uid="{00000000-0005-0000-0000-00001BB70000}"/>
    <cellStyle name="Vírgula 2 2 5 2 2 2" xfId="10767" xr:uid="{00000000-0005-0000-0000-00001CB70000}"/>
    <cellStyle name="Vírgula 2 2 5 2 2 2 2" xfId="28981" xr:uid="{00000000-0005-0000-0000-00001DB70000}"/>
    <cellStyle name="Vírgula 2 2 5 2 2 2 2 2" xfId="55162" xr:uid="{00000000-0005-0000-0000-00001EB70000}"/>
    <cellStyle name="Vírgula 2 2 5 2 2 2 3" xfId="23067" xr:uid="{00000000-0005-0000-0000-00001FB70000}"/>
    <cellStyle name="Vírgula 2 2 5 2 2 2 3 2" xfId="49254" xr:uid="{00000000-0005-0000-0000-000020B70000}"/>
    <cellStyle name="Vírgula 2 2 5 2 2 2 4" xfId="17153" xr:uid="{00000000-0005-0000-0000-000021B70000}"/>
    <cellStyle name="Vírgula 2 2 5 2 2 2 4 2" xfId="43346" xr:uid="{00000000-0005-0000-0000-000022B70000}"/>
    <cellStyle name="Vírgula 2 2 5 2 2 2 5" xfId="36960" xr:uid="{00000000-0005-0000-0000-000023B70000}"/>
    <cellStyle name="Vírgula 2 2 5 2 2 3" xfId="26024" xr:uid="{00000000-0005-0000-0000-000024B70000}"/>
    <cellStyle name="Vírgula 2 2 5 2 2 3 2" xfId="52208" xr:uid="{00000000-0005-0000-0000-000025B70000}"/>
    <cellStyle name="Vírgula 2 2 5 2 2 4" xfId="20110" xr:uid="{00000000-0005-0000-0000-000026B70000}"/>
    <cellStyle name="Vírgula 2 2 5 2 2 4 2" xfId="46300" xr:uid="{00000000-0005-0000-0000-000027B70000}"/>
    <cellStyle name="Vírgula 2 2 5 2 2 5" xfId="14035" xr:uid="{00000000-0005-0000-0000-000028B70000}"/>
    <cellStyle name="Vírgula 2 2 5 2 2 5 2" xfId="40228" xr:uid="{00000000-0005-0000-0000-000029B70000}"/>
    <cellStyle name="Vírgula 2 2 5 2 2 6" xfId="33842" xr:uid="{00000000-0005-0000-0000-00002AB70000}"/>
    <cellStyle name="Vírgula 2 2 5 2 3" xfId="9299" xr:uid="{00000000-0005-0000-0000-00002BB70000}"/>
    <cellStyle name="Vírgula 2 2 5 2 3 2" xfId="27513" xr:uid="{00000000-0005-0000-0000-00002CB70000}"/>
    <cellStyle name="Vírgula 2 2 5 2 3 2 2" xfId="53694" xr:uid="{00000000-0005-0000-0000-00002DB70000}"/>
    <cellStyle name="Vírgula 2 2 5 2 3 3" xfId="21599" xr:uid="{00000000-0005-0000-0000-00002EB70000}"/>
    <cellStyle name="Vírgula 2 2 5 2 3 3 2" xfId="47786" xr:uid="{00000000-0005-0000-0000-00002FB70000}"/>
    <cellStyle name="Vírgula 2 2 5 2 3 4" xfId="15685" xr:uid="{00000000-0005-0000-0000-000030B70000}"/>
    <cellStyle name="Vírgula 2 2 5 2 3 4 2" xfId="41878" xr:uid="{00000000-0005-0000-0000-000031B70000}"/>
    <cellStyle name="Vírgula 2 2 5 2 3 5" xfId="35492" xr:uid="{00000000-0005-0000-0000-000032B70000}"/>
    <cellStyle name="Vírgula 2 2 5 2 4" xfId="5946" xr:uid="{00000000-0005-0000-0000-000033B70000}"/>
    <cellStyle name="Vírgula 2 2 5 2 4 2" xfId="24556" xr:uid="{00000000-0005-0000-0000-000034B70000}"/>
    <cellStyle name="Vírgula 2 2 5 2 4 2 2" xfId="50740" xr:uid="{00000000-0005-0000-0000-000035B70000}"/>
    <cellStyle name="Vírgula 2 2 5 2 4 3" xfId="32142" xr:uid="{00000000-0005-0000-0000-000036B70000}"/>
    <cellStyle name="Vírgula 2 2 5 2 5" xfId="18642" xr:uid="{00000000-0005-0000-0000-000037B70000}"/>
    <cellStyle name="Vírgula 2 2 5 2 5 2" xfId="44832" xr:uid="{00000000-0005-0000-0000-000038B70000}"/>
    <cellStyle name="Vírgula 2 2 5 2 6" xfId="12334" xr:uid="{00000000-0005-0000-0000-000039B70000}"/>
    <cellStyle name="Vírgula 2 2 5 2 6 2" xfId="38527" xr:uid="{00000000-0005-0000-0000-00003AB70000}"/>
    <cellStyle name="Vírgula 2 2 5 2 7" xfId="30445" xr:uid="{00000000-0005-0000-0000-00003BB70000}"/>
    <cellStyle name="Vírgula 2 2 5 3" xfId="4322" xr:uid="{00000000-0005-0000-0000-00003CB70000}"/>
    <cellStyle name="Vírgula 2 2 5 3 2" xfId="7723" xr:uid="{00000000-0005-0000-0000-00003DB70000}"/>
    <cellStyle name="Vírgula 2 2 5 3 2 2" xfId="10810" xr:uid="{00000000-0005-0000-0000-00003EB70000}"/>
    <cellStyle name="Vírgula 2 2 5 3 2 2 2" xfId="29024" xr:uid="{00000000-0005-0000-0000-00003FB70000}"/>
    <cellStyle name="Vírgula 2 2 5 3 2 2 2 2" xfId="55205" xr:uid="{00000000-0005-0000-0000-000040B70000}"/>
    <cellStyle name="Vírgula 2 2 5 3 2 2 3" xfId="23110" xr:uid="{00000000-0005-0000-0000-000041B70000}"/>
    <cellStyle name="Vírgula 2 2 5 3 2 2 3 2" xfId="49297" xr:uid="{00000000-0005-0000-0000-000042B70000}"/>
    <cellStyle name="Vírgula 2 2 5 3 2 2 4" xfId="17196" xr:uid="{00000000-0005-0000-0000-000043B70000}"/>
    <cellStyle name="Vírgula 2 2 5 3 2 2 4 2" xfId="43389" xr:uid="{00000000-0005-0000-0000-000044B70000}"/>
    <cellStyle name="Vírgula 2 2 5 3 2 2 5" xfId="37003" xr:uid="{00000000-0005-0000-0000-000045B70000}"/>
    <cellStyle name="Vírgula 2 2 5 3 2 3" xfId="26067" xr:uid="{00000000-0005-0000-0000-000046B70000}"/>
    <cellStyle name="Vírgula 2 2 5 3 2 3 2" xfId="52251" xr:uid="{00000000-0005-0000-0000-000047B70000}"/>
    <cellStyle name="Vírgula 2 2 5 3 2 4" xfId="20153" xr:uid="{00000000-0005-0000-0000-000048B70000}"/>
    <cellStyle name="Vírgula 2 2 5 3 2 4 2" xfId="46343" xr:uid="{00000000-0005-0000-0000-000049B70000}"/>
    <cellStyle name="Vírgula 2 2 5 3 2 5" xfId="14112" xr:uid="{00000000-0005-0000-0000-00004AB70000}"/>
    <cellStyle name="Vírgula 2 2 5 3 2 5 2" xfId="40305" xr:uid="{00000000-0005-0000-0000-00004BB70000}"/>
    <cellStyle name="Vírgula 2 2 5 3 2 6" xfId="33919" xr:uid="{00000000-0005-0000-0000-00004CB70000}"/>
    <cellStyle name="Vírgula 2 2 5 3 3" xfId="9342" xr:uid="{00000000-0005-0000-0000-00004DB70000}"/>
    <cellStyle name="Vírgula 2 2 5 3 3 2" xfId="27556" xr:uid="{00000000-0005-0000-0000-00004EB70000}"/>
    <cellStyle name="Vírgula 2 2 5 3 3 2 2" xfId="53737" xr:uid="{00000000-0005-0000-0000-00004FB70000}"/>
    <cellStyle name="Vírgula 2 2 5 3 3 3" xfId="21642" xr:uid="{00000000-0005-0000-0000-000050B70000}"/>
    <cellStyle name="Vírgula 2 2 5 3 3 3 2" xfId="47829" xr:uid="{00000000-0005-0000-0000-000051B70000}"/>
    <cellStyle name="Vírgula 2 2 5 3 3 4" xfId="15728" xr:uid="{00000000-0005-0000-0000-000052B70000}"/>
    <cellStyle name="Vírgula 2 2 5 3 3 4 2" xfId="41921" xr:uid="{00000000-0005-0000-0000-000053B70000}"/>
    <cellStyle name="Vírgula 2 2 5 3 3 5" xfId="35535" xr:uid="{00000000-0005-0000-0000-000054B70000}"/>
    <cellStyle name="Vírgula 2 2 5 3 4" xfId="6023" xr:uid="{00000000-0005-0000-0000-000055B70000}"/>
    <cellStyle name="Vírgula 2 2 5 3 4 2" xfId="24599" xr:uid="{00000000-0005-0000-0000-000056B70000}"/>
    <cellStyle name="Vírgula 2 2 5 3 4 2 2" xfId="50783" xr:uid="{00000000-0005-0000-0000-000057B70000}"/>
    <cellStyle name="Vírgula 2 2 5 3 4 3" xfId="32219" xr:uid="{00000000-0005-0000-0000-000058B70000}"/>
    <cellStyle name="Vírgula 2 2 5 3 5" xfId="18685" xr:uid="{00000000-0005-0000-0000-000059B70000}"/>
    <cellStyle name="Vírgula 2 2 5 3 5 2" xfId="44875" xr:uid="{00000000-0005-0000-0000-00005AB70000}"/>
    <cellStyle name="Vírgula 2 2 5 3 6" xfId="12411" xr:uid="{00000000-0005-0000-0000-00005BB70000}"/>
    <cellStyle name="Vírgula 2 2 5 3 6 2" xfId="38604" xr:uid="{00000000-0005-0000-0000-00005CB70000}"/>
    <cellStyle name="Vírgula 2 2 5 3 7" xfId="30522" xr:uid="{00000000-0005-0000-0000-00005DB70000}"/>
    <cellStyle name="Vírgula 2 2 5 4" xfId="4430" xr:uid="{00000000-0005-0000-0000-00005EB70000}"/>
    <cellStyle name="Vírgula 2 2 5 4 2" xfId="7832" xr:uid="{00000000-0005-0000-0000-00005FB70000}"/>
    <cellStyle name="Vírgula 2 2 5 4 2 2" xfId="10872" xr:uid="{00000000-0005-0000-0000-000060B70000}"/>
    <cellStyle name="Vírgula 2 2 5 4 2 2 2" xfId="29086" xr:uid="{00000000-0005-0000-0000-000061B70000}"/>
    <cellStyle name="Vírgula 2 2 5 4 2 2 2 2" xfId="55267" xr:uid="{00000000-0005-0000-0000-000062B70000}"/>
    <cellStyle name="Vírgula 2 2 5 4 2 2 3" xfId="23172" xr:uid="{00000000-0005-0000-0000-000063B70000}"/>
    <cellStyle name="Vírgula 2 2 5 4 2 2 3 2" xfId="49359" xr:uid="{00000000-0005-0000-0000-000064B70000}"/>
    <cellStyle name="Vírgula 2 2 5 4 2 2 4" xfId="17258" xr:uid="{00000000-0005-0000-0000-000065B70000}"/>
    <cellStyle name="Vírgula 2 2 5 4 2 2 4 2" xfId="43451" xr:uid="{00000000-0005-0000-0000-000066B70000}"/>
    <cellStyle name="Vírgula 2 2 5 4 2 2 5" xfId="37065" xr:uid="{00000000-0005-0000-0000-000067B70000}"/>
    <cellStyle name="Vírgula 2 2 5 4 2 3" xfId="26129" xr:uid="{00000000-0005-0000-0000-000068B70000}"/>
    <cellStyle name="Vírgula 2 2 5 4 2 3 2" xfId="52313" xr:uid="{00000000-0005-0000-0000-000069B70000}"/>
    <cellStyle name="Vírgula 2 2 5 4 2 4" xfId="20215" xr:uid="{00000000-0005-0000-0000-00006AB70000}"/>
    <cellStyle name="Vírgula 2 2 5 4 2 4 2" xfId="46405" xr:uid="{00000000-0005-0000-0000-00006BB70000}"/>
    <cellStyle name="Vírgula 2 2 5 4 2 5" xfId="14221" xr:uid="{00000000-0005-0000-0000-00006CB70000}"/>
    <cellStyle name="Vírgula 2 2 5 4 2 5 2" xfId="40414" xr:uid="{00000000-0005-0000-0000-00006DB70000}"/>
    <cellStyle name="Vírgula 2 2 5 4 2 6" xfId="34028" xr:uid="{00000000-0005-0000-0000-00006EB70000}"/>
    <cellStyle name="Vírgula 2 2 5 4 3" xfId="9404" xr:uid="{00000000-0005-0000-0000-00006FB70000}"/>
    <cellStyle name="Vírgula 2 2 5 4 3 2" xfId="27618" xr:uid="{00000000-0005-0000-0000-000070B70000}"/>
    <cellStyle name="Vírgula 2 2 5 4 3 2 2" xfId="53799" xr:uid="{00000000-0005-0000-0000-000071B70000}"/>
    <cellStyle name="Vírgula 2 2 5 4 3 3" xfId="21704" xr:uid="{00000000-0005-0000-0000-000072B70000}"/>
    <cellStyle name="Vírgula 2 2 5 4 3 3 2" xfId="47891" xr:uid="{00000000-0005-0000-0000-000073B70000}"/>
    <cellStyle name="Vírgula 2 2 5 4 3 4" xfId="15790" xr:uid="{00000000-0005-0000-0000-000074B70000}"/>
    <cellStyle name="Vírgula 2 2 5 4 3 4 2" xfId="41983" xr:uid="{00000000-0005-0000-0000-000075B70000}"/>
    <cellStyle name="Vírgula 2 2 5 4 3 5" xfId="35597" xr:uid="{00000000-0005-0000-0000-000076B70000}"/>
    <cellStyle name="Vírgula 2 2 5 4 4" xfId="6132" xr:uid="{00000000-0005-0000-0000-000077B70000}"/>
    <cellStyle name="Vírgula 2 2 5 4 4 2" xfId="24661" xr:uid="{00000000-0005-0000-0000-000078B70000}"/>
    <cellStyle name="Vírgula 2 2 5 4 4 2 2" xfId="50845" xr:uid="{00000000-0005-0000-0000-000079B70000}"/>
    <cellStyle name="Vírgula 2 2 5 4 4 3" xfId="32328" xr:uid="{00000000-0005-0000-0000-00007AB70000}"/>
    <cellStyle name="Vírgula 2 2 5 4 5" xfId="18747" xr:uid="{00000000-0005-0000-0000-00007BB70000}"/>
    <cellStyle name="Vírgula 2 2 5 4 5 2" xfId="44937" xr:uid="{00000000-0005-0000-0000-00007CB70000}"/>
    <cellStyle name="Vírgula 2 2 5 4 6" xfId="12520" xr:uid="{00000000-0005-0000-0000-00007DB70000}"/>
    <cellStyle name="Vírgula 2 2 5 4 6 2" xfId="38713" xr:uid="{00000000-0005-0000-0000-00007EB70000}"/>
    <cellStyle name="Vírgula 2 2 5 4 7" xfId="30630" xr:uid="{00000000-0005-0000-0000-00007FB70000}"/>
    <cellStyle name="Vírgula 2 2 5 5" xfId="4538" xr:uid="{00000000-0005-0000-0000-000080B70000}"/>
    <cellStyle name="Vírgula 2 2 5 5 2" xfId="7940" xr:uid="{00000000-0005-0000-0000-000081B70000}"/>
    <cellStyle name="Vírgula 2 2 5 5 2 2" xfId="10934" xr:uid="{00000000-0005-0000-0000-000082B70000}"/>
    <cellStyle name="Vírgula 2 2 5 5 2 2 2" xfId="29148" xr:uid="{00000000-0005-0000-0000-000083B70000}"/>
    <cellStyle name="Vírgula 2 2 5 5 2 2 2 2" xfId="55329" xr:uid="{00000000-0005-0000-0000-000084B70000}"/>
    <cellStyle name="Vírgula 2 2 5 5 2 2 3" xfId="23234" xr:uid="{00000000-0005-0000-0000-000085B70000}"/>
    <cellStyle name="Vírgula 2 2 5 5 2 2 3 2" xfId="49421" xr:uid="{00000000-0005-0000-0000-000086B70000}"/>
    <cellStyle name="Vírgula 2 2 5 5 2 2 4" xfId="17320" xr:uid="{00000000-0005-0000-0000-000087B70000}"/>
    <cellStyle name="Vírgula 2 2 5 5 2 2 4 2" xfId="43513" xr:uid="{00000000-0005-0000-0000-000088B70000}"/>
    <cellStyle name="Vírgula 2 2 5 5 2 2 5" xfId="37127" xr:uid="{00000000-0005-0000-0000-000089B70000}"/>
    <cellStyle name="Vírgula 2 2 5 5 2 3" xfId="26191" xr:uid="{00000000-0005-0000-0000-00008AB70000}"/>
    <cellStyle name="Vírgula 2 2 5 5 2 3 2" xfId="52375" xr:uid="{00000000-0005-0000-0000-00008BB70000}"/>
    <cellStyle name="Vírgula 2 2 5 5 2 4" xfId="20277" xr:uid="{00000000-0005-0000-0000-00008CB70000}"/>
    <cellStyle name="Vírgula 2 2 5 5 2 4 2" xfId="46467" xr:uid="{00000000-0005-0000-0000-00008DB70000}"/>
    <cellStyle name="Vírgula 2 2 5 5 2 5" xfId="14329" xr:uid="{00000000-0005-0000-0000-00008EB70000}"/>
    <cellStyle name="Vírgula 2 2 5 5 2 5 2" xfId="40522" xr:uid="{00000000-0005-0000-0000-00008FB70000}"/>
    <cellStyle name="Vírgula 2 2 5 5 2 6" xfId="34136" xr:uid="{00000000-0005-0000-0000-000090B70000}"/>
    <cellStyle name="Vírgula 2 2 5 5 3" xfId="9466" xr:uid="{00000000-0005-0000-0000-000091B70000}"/>
    <cellStyle name="Vírgula 2 2 5 5 3 2" xfId="27680" xr:uid="{00000000-0005-0000-0000-000092B70000}"/>
    <cellStyle name="Vírgula 2 2 5 5 3 2 2" xfId="53861" xr:uid="{00000000-0005-0000-0000-000093B70000}"/>
    <cellStyle name="Vírgula 2 2 5 5 3 3" xfId="21766" xr:uid="{00000000-0005-0000-0000-000094B70000}"/>
    <cellStyle name="Vírgula 2 2 5 5 3 3 2" xfId="47953" xr:uid="{00000000-0005-0000-0000-000095B70000}"/>
    <cellStyle name="Vírgula 2 2 5 5 3 4" xfId="15852" xr:uid="{00000000-0005-0000-0000-000096B70000}"/>
    <cellStyle name="Vírgula 2 2 5 5 3 4 2" xfId="42045" xr:uid="{00000000-0005-0000-0000-000097B70000}"/>
    <cellStyle name="Vírgula 2 2 5 5 3 5" xfId="35659" xr:uid="{00000000-0005-0000-0000-000098B70000}"/>
    <cellStyle name="Vírgula 2 2 5 5 4" xfId="6239" xr:uid="{00000000-0005-0000-0000-000099B70000}"/>
    <cellStyle name="Vírgula 2 2 5 5 4 2" xfId="24723" xr:uid="{00000000-0005-0000-0000-00009AB70000}"/>
    <cellStyle name="Vírgula 2 2 5 5 4 2 2" xfId="50907" xr:uid="{00000000-0005-0000-0000-00009BB70000}"/>
    <cellStyle name="Vírgula 2 2 5 5 4 3" xfId="32435" xr:uid="{00000000-0005-0000-0000-00009CB70000}"/>
    <cellStyle name="Vírgula 2 2 5 5 5" xfId="18809" xr:uid="{00000000-0005-0000-0000-00009DB70000}"/>
    <cellStyle name="Vírgula 2 2 5 5 5 2" xfId="44999" xr:uid="{00000000-0005-0000-0000-00009EB70000}"/>
    <cellStyle name="Vírgula 2 2 5 5 6" xfId="12628" xr:uid="{00000000-0005-0000-0000-00009FB70000}"/>
    <cellStyle name="Vírgula 2 2 5 5 6 2" xfId="38821" xr:uid="{00000000-0005-0000-0000-0000A0B70000}"/>
    <cellStyle name="Vírgula 2 2 5 5 7" xfId="30738" xr:uid="{00000000-0005-0000-0000-0000A1B70000}"/>
    <cellStyle name="Vírgula 2 2 5 6" xfId="5212" xr:uid="{00000000-0005-0000-0000-0000A2B70000}"/>
    <cellStyle name="Vírgula 2 2 5 6 2" xfId="6911" xr:uid="{00000000-0005-0000-0000-0000A3B70000}"/>
    <cellStyle name="Vírgula 2 2 5 6 2 2" xfId="10058" xr:uid="{00000000-0005-0000-0000-0000A4B70000}"/>
    <cellStyle name="Vírgula 2 2 5 6 2 2 2" xfId="28272" xr:uid="{00000000-0005-0000-0000-0000A5B70000}"/>
    <cellStyle name="Vírgula 2 2 5 6 2 2 2 2" xfId="54453" xr:uid="{00000000-0005-0000-0000-0000A6B70000}"/>
    <cellStyle name="Vírgula 2 2 5 6 2 2 3" xfId="22358" xr:uid="{00000000-0005-0000-0000-0000A7B70000}"/>
    <cellStyle name="Vírgula 2 2 5 6 2 2 3 2" xfId="48545" xr:uid="{00000000-0005-0000-0000-0000A8B70000}"/>
    <cellStyle name="Vírgula 2 2 5 6 2 2 4" xfId="16444" xr:uid="{00000000-0005-0000-0000-0000A9B70000}"/>
    <cellStyle name="Vírgula 2 2 5 6 2 2 4 2" xfId="42637" xr:uid="{00000000-0005-0000-0000-0000AAB70000}"/>
    <cellStyle name="Vírgula 2 2 5 6 2 2 5" xfId="36251" xr:uid="{00000000-0005-0000-0000-0000ABB70000}"/>
    <cellStyle name="Vírgula 2 2 5 6 2 3" xfId="25315" xr:uid="{00000000-0005-0000-0000-0000ACB70000}"/>
    <cellStyle name="Vírgula 2 2 5 6 2 3 2" xfId="51499" xr:uid="{00000000-0005-0000-0000-0000ADB70000}"/>
    <cellStyle name="Vírgula 2 2 5 6 2 4" xfId="19401" xr:uid="{00000000-0005-0000-0000-0000AEB70000}"/>
    <cellStyle name="Vírgula 2 2 5 6 2 4 2" xfId="45591" xr:uid="{00000000-0005-0000-0000-0000AFB70000}"/>
    <cellStyle name="Vírgula 2 2 5 6 2 5" xfId="13300" xr:uid="{00000000-0005-0000-0000-0000B0B70000}"/>
    <cellStyle name="Vírgula 2 2 5 6 2 5 2" xfId="39493" xr:uid="{00000000-0005-0000-0000-0000B1B70000}"/>
    <cellStyle name="Vírgula 2 2 5 6 2 6" xfId="33107" xr:uid="{00000000-0005-0000-0000-0000B2B70000}"/>
    <cellStyle name="Vírgula 2 2 5 6 3" xfId="8590" xr:uid="{00000000-0005-0000-0000-0000B3B70000}"/>
    <cellStyle name="Vírgula 2 2 5 6 3 2" xfId="26804" xr:uid="{00000000-0005-0000-0000-0000B4B70000}"/>
    <cellStyle name="Vírgula 2 2 5 6 3 2 2" xfId="52985" xr:uid="{00000000-0005-0000-0000-0000B5B70000}"/>
    <cellStyle name="Vírgula 2 2 5 6 3 3" xfId="20890" xr:uid="{00000000-0005-0000-0000-0000B6B70000}"/>
    <cellStyle name="Vírgula 2 2 5 6 3 3 2" xfId="47077" xr:uid="{00000000-0005-0000-0000-0000B7B70000}"/>
    <cellStyle name="Vírgula 2 2 5 6 3 4" xfId="14976" xr:uid="{00000000-0005-0000-0000-0000B8B70000}"/>
    <cellStyle name="Vírgula 2 2 5 6 3 4 2" xfId="41169" xr:uid="{00000000-0005-0000-0000-0000B9B70000}"/>
    <cellStyle name="Vírgula 2 2 5 6 3 5" xfId="34783" xr:uid="{00000000-0005-0000-0000-0000BAB70000}"/>
    <cellStyle name="Vírgula 2 2 5 6 4" xfId="23847" xr:uid="{00000000-0005-0000-0000-0000BBB70000}"/>
    <cellStyle name="Vírgula 2 2 5 6 4 2" xfId="50031" xr:uid="{00000000-0005-0000-0000-0000BCB70000}"/>
    <cellStyle name="Vírgula 2 2 5 6 5" xfId="17933" xr:uid="{00000000-0005-0000-0000-0000BDB70000}"/>
    <cellStyle name="Vírgula 2 2 5 6 5 2" xfId="44123" xr:uid="{00000000-0005-0000-0000-0000BEB70000}"/>
    <cellStyle name="Vírgula 2 2 5 6 6" xfId="11599" xr:uid="{00000000-0005-0000-0000-0000BFB70000}"/>
    <cellStyle name="Vírgula 2 2 5 6 6 2" xfId="37792" xr:uid="{00000000-0005-0000-0000-0000C0B70000}"/>
    <cellStyle name="Vírgula 2 2 5 6 7" xfId="31408" xr:uid="{00000000-0005-0000-0000-0000C1B70000}"/>
    <cellStyle name="Vírgula 2 2 5 7" xfId="6348" xr:uid="{00000000-0005-0000-0000-0000C2B70000}"/>
    <cellStyle name="Vírgula 2 2 5 7 2" xfId="9528" xr:uid="{00000000-0005-0000-0000-0000C3B70000}"/>
    <cellStyle name="Vírgula 2 2 5 7 2 2" xfId="27742" xr:uid="{00000000-0005-0000-0000-0000C4B70000}"/>
    <cellStyle name="Vírgula 2 2 5 7 2 2 2" xfId="53923" xr:uid="{00000000-0005-0000-0000-0000C5B70000}"/>
    <cellStyle name="Vírgula 2 2 5 7 2 3" xfId="21828" xr:uid="{00000000-0005-0000-0000-0000C6B70000}"/>
    <cellStyle name="Vírgula 2 2 5 7 2 3 2" xfId="48015" xr:uid="{00000000-0005-0000-0000-0000C7B70000}"/>
    <cellStyle name="Vírgula 2 2 5 7 2 4" xfId="15914" xr:uid="{00000000-0005-0000-0000-0000C8B70000}"/>
    <cellStyle name="Vírgula 2 2 5 7 2 4 2" xfId="42107" xr:uid="{00000000-0005-0000-0000-0000C9B70000}"/>
    <cellStyle name="Vírgula 2 2 5 7 2 5" xfId="35721" xr:uid="{00000000-0005-0000-0000-0000CAB70000}"/>
    <cellStyle name="Vírgula 2 2 5 7 3" xfId="24785" xr:uid="{00000000-0005-0000-0000-0000CBB70000}"/>
    <cellStyle name="Vírgula 2 2 5 7 3 2" xfId="50969" xr:uid="{00000000-0005-0000-0000-0000CCB70000}"/>
    <cellStyle name="Vírgula 2 2 5 7 4" xfId="18871" xr:uid="{00000000-0005-0000-0000-0000CDB70000}"/>
    <cellStyle name="Vírgula 2 2 5 7 4 2" xfId="45061" xr:uid="{00000000-0005-0000-0000-0000CEB70000}"/>
    <cellStyle name="Vírgula 2 2 5 7 5" xfId="12737" xr:uid="{00000000-0005-0000-0000-0000CFB70000}"/>
    <cellStyle name="Vírgula 2 2 5 7 5 2" xfId="38930" xr:uid="{00000000-0005-0000-0000-0000D0B70000}"/>
    <cellStyle name="Vírgula 2 2 5 7 6" xfId="32544" xr:uid="{00000000-0005-0000-0000-0000D1B70000}"/>
    <cellStyle name="Vírgula 2 2 5 8" xfId="8057" xr:uid="{00000000-0005-0000-0000-0000D2B70000}"/>
    <cellStyle name="Vírgula 2 2 5 8 2" xfId="26271" xr:uid="{00000000-0005-0000-0000-0000D3B70000}"/>
    <cellStyle name="Vírgula 2 2 5 8 2 2" xfId="52455" xr:uid="{00000000-0005-0000-0000-0000D4B70000}"/>
    <cellStyle name="Vírgula 2 2 5 8 3" xfId="20357" xr:uid="{00000000-0005-0000-0000-0000D5B70000}"/>
    <cellStyle name="Vírgula 2 2 5 8 3 2" xfId="46547" xr:uid="{00000000-0005-0000-0000-0000D6B70000}"/>
    <cellStyle name="Vírgula 2 2 5 8 4" xfId="14446" xr:uid="{00000000-0005-0000-0000-0000D7B70000}"/>
    <cellStyle name="Vírgula 2 2 5 8 4 2" xfId="40639" xr:uid="{00000000-0005-0000-0000-0000D8B70000}"/>
    <cellStyle name="Vírgula 2 2 5 8 5" xfId="34253" xr:uid="{00000000-0005-0000-0000-0000D9B70000}"/>
    <cellStyle name="Vírgula 2 2 5 9" xfId="4645" xr:uid="{00000000-0005-0000-0000-0000DAB70000}"/>
    <cellStyle name="Vírgula 2 2 5 9 2" xfId="23314" xr:uid="{00000000-0005-0000-0000-0000DBB70000}"/>
    <cellStyle name="Vírgula 2 2 5 9 2 2" xfId="49501" xr:uid="{00000000-0005-0000-0000-0000DCB70000}"/>
    <cellStyle name="Vírgula 2 2 5 9 3" xfId="30845" xr:uid="{00000000-0005-0000-0000-0000DDB70000}"/>
    <cellStyle name="Vírgula 2 2 6" xfId="2265" xr:uid="{00000000-0005-0000-0000-0000DEB70000}"/>
    <cellStyle name="Vírgula 2 2 6 10" xfId="11068" xr:uid="{00000000-0005-0000-0000-0000DFB70000}"/>
    <cellStyle name="Vírgula 2 2 6 10 2" xfId="37261" xr:uid="{00000000-0005-0000-0000-0000E0B70000}"/>
    <cellStyle name="Vírgula 2 2 6 11" xfId="29860" xr:uid="{00000000-0005-0000-0000-0000E1B70000}"/>
    <cellStyle name="Vírgula 2 2 6 2" xfId="4354" xr:uid="{00000000-0005-0000-0000-0000E2B70000}"/>
    <cellStyle name="Vírgula 2 2 6 2 2" xfId="7755" xr:uid="{00000000-0005-0000-0000-0000E3B70000}"/>
    <cellStyle name="Vírgula 2 2 6 2 2 2" xfId="10829" xr:uid="{00000000-0005-0000-0000-0000E4B70000}"/>
    <cellStyle name="Vírgula 2 2 6 2 2 2 2" xfId="29043" xr:uid="{00000000-0005-0000-0000-0000E5B70000}"/>
    <cellStyle name="Vírgula 2 2 6 2 2 2 2 2" xfId="55224" xr:uid="{00000000-0005-0000-0000-0000E6B70000}"/>
    <cellStyle name="Vírgula 2 2 6 2 2 2 3" xfId="23129" xr:uid="{00000000-0005-0000-0000-0000E7B70000}"/>
    <cellStyle name="Vírgula 2 2 6 2 2 2 3 2" xfId="49316" xr:uid="{00000000-0005-0000-0000-0000E8B70000}"/>
    <cellStyle name="Vírgula 2 2 6 2 2 2 4" xfId="17215" xr:uid="{00000000-0005-0000-0000-0000E9B70000}"/>
    <cellStyle name="Vírgula 2 2 6 2 2 2 4 2" xfId="43408" xr:uid="{00000000-0005-0000-0000-0000EAB70000}"/>
    <cellStyle name="Vírgula 2 2 6 2 2 2 5" xfId="37022" xr:uid="{00000000-0005-0000-0000-0000EBB70000}"/>
    <cellStyle name="Vírgula 2 2 6 2 2 3" xfId="26086" xr:uid="{00000000-0005-0000-0000-0000ECB70000}"/>
    <cellStyle name="Vírgula 2 2 6 2 2 3 2" xfId="52270" xr:uid="{00000000-0005-0000-0000-0000EDB70000}"/>
    <cellStyle name="Vírgula 2 2 6 2 2 4" xfId="20172" xr:uid="{00000000-0005-0000-0000-0000EEB70000}"/>
    <cellStyle name="Vírgula 2 2 6 2 2 4 2" xfId="46362" xr:uid="{00000000-0005-0000-0000-0000EFB70000}"/>
    <cellStyle name="Vírgula 2 2 6 2 2 5" xfId="14144" xr:uid="{00000000-0005-0000-0000-0000F0B70000}"/>
    <cellStyle name="Vírgula 2 2 6 2 2 5 2" xfId="40337" xr:uid="{00000000-0005-0000-0000-0000F1B70000}"/>
    <cellStyle name="Vírgula 2 2 6 2 2 6" xfId="33951" xr:uid="{00000000-0005-0000-0000-0000F2B70000}"/>
    <cellStyle name="Vírgula 2 2 6 2 3" xfId="9361" xr:uid="{00000000-0005-0000-0000-0000F3B70000}"/>
    <cellStyle name="Vírgula 2 2 6 2 3 2" xfId="27575" xr:uid="{00000000-0005-0000-0000-0000F4B70000}"/>
    <cellStyle name="Vírgula 2 2 6 2 3 2 2" xfId="53756" xr:uid="{00000000-0005-0000-0000-0000F5B70000}"/>
    <cellStyle name="Vírgula 2 2 6 2 3 3" xfId="21661" xr:uid="{00000000-0005-0000-0000-0000F6B70000}"/>
    <cellStyle name="Vírgula 2 2 6 2 3 3 2" xfId="47848" xr:uid="{00000000-0005-0000-0000-0000F7B70000}"/>
    <cellStyle name="Vírgula 2 2 6 2 3 4" xfId="15747" xr:uid="{00000000-0005-0000-0000-0000F8B70000}"/>
    <cellStyle name="Vírgula 2 2 6 2 3 4 2" xfId="41940" xr:uid="{00000000-0005-0000-0000-0000F9B70000}"/>
    <cellStyle name="Vírgula 2 2 6 2 3 5" xfId="35554" xr:uid="{00000000-0005-0000-0000-0000FAB70000}"/>
    <cellStyle name="Vírgula 2 2 6 2 4" xfId="6055" xr:uid="{00000000-0005-0000-0000-0000FBB70000}"/>
    <cellStyle name="Vírgula 2 2 6 2 4 2" xfId="24618" xr:uid="{00000000-0005-0000-0000-0000FCB70000}"/>
    <cellStyle name="Vírgula 2 2 6 2 4 2 2" xfId="50802" xr:uid="{00000000-0005-0000-0000-0000FDB70000}"/>
    <cellStyle name="Vírgula 2 2 6 2 4 3" xfId="32251" xr:uid="{00000000-0005-0000-0000-0000FEB70000}"/>
    <cellStyle name="Vírgula 2 2 6 2 5" xfId="18704" xr:uid="{00000000-0005-0000-0000-0000FFB70000}"/>
    <cellStyle name="Vírgula 2 2 6 2 5 2" xfId="44894" xr:uid="{00000000-0005-0000-0000-000000B80000}"/>
    <cellStyle name="Vírgula 2 2 6 2 6" xfId="12443" xr:uid="{00000000-0005-0000-0000-000001B80000}"/>
    <cellStyle name="Vírgula 2 2 6 2 6 2" xfId="38636" xr:uid="{00000000-0005-0000-0000-000002B80000}"/>
    <cellStyle name="Vírgula 2 2 6 2 7" xfId="30554" xr:uid="{00000000-0005-0000-0000-000003B80000}"/>
    <cellStyle name="Vírgula 2 2 6 3" xfId="4462" xr:uid="{00000000-0005-0000-0000-000004B80000}"/>
    <cellStyle name="Vírgula 2 2 6 3 2" xfId="7864" xr:uid="{00000000-0005-0000-0000-000005B80000}"/>
    <cellStyle name="Vírgula 2 2 6 3 2 2" xfId="10891" xr:uid="{00000000-0005-0000-0000-000006B80000}"/>
    <cellStyle name="Vírgula 2 2 6 3 2 2 2" xfId="29105" xr:uid="{00000000-0005-0000-0000-000007B80000}"/>
    <cellStyle name="Vírgula 2 2 6 3 2 2 2 2" xfId="55286" xr:uid="{00000000-0005-0000-0000-000008B80000}"/>
    <cellStyle name="Vírgula 2 2 6 3 2 2 3" xfId="23191" xr:uid="{00000000-0005-0000-0000-000009B80000}"/>
    <cellStyle name="Vírgula 2 2 6 3 2 2 3 2" xfId="49378" xr:uid="{00000000-0005-0000-0000-00000AB80000}"/>
    <cellStyle name="Vírgula 2 2 6 3 2 2 4" xfId="17277" xr:uid="{00000000-0005-0000-0000-00000BB80000}"/>
    <cellStyle name="Vírgula 2 2 6 3 2 2 4 2" xfId="43470" xr:uid="{00000000-0005-0000-0000-00000CB80000}"/>
    <cellStyle name="Vírgula 2 2 6 3 2 2 5" xfId="37084" xr:uid="{00000000-0005-0000-0000-00000DB80000}"/>
    <cellStyle name="Vírgula 2 2 6 3 2 3" xfId="26148" xr:uid="{00000000-0005-0000-0000-00000EB80000}"/>
    <cellStyle name="Vírgula 2 2 6 3 2 3 2" xfId="52332" xr:uid="{00000000-0005-0000-0000-00000FB80000}"/>
    <cellStyle name="Vírgula 2 2 6 3 2 4" xfId="20234" xr:uid="{00000000-0005-0000-0000-000010B80000}"/>
    <cellStyle name="Vírgula 2 2 6 3 2 4 2" xfId="46424" xr:uid="{00000000-0005-0000-0000-000011B80000}"/>
    <cellStyle name="Vírgula 2 2 6 3 2 5" xfId="14253" xr:uid="{00000000-0005-0000-0000-000012B80000}"/>
    <cellStyle name="Vírgula 2 2 6 3 2 5 2" xfId="40446" xr:uid="{00000000-0005-0000-0000-000013B80000}"/>
    <cellStyle name="Vírgula 2 2 6 3 2 6" xfId="34060" xr:uid="{00000000-0005-0000-0000-000014B80000}"/>
    <cellStyle name="Vírgula 2 2 6 3 3" xfId="9423" xr:uid="{00000000-0005-0000-0000-000015B80000}"/>
    <cellStyle name="Vírgula 2 2 6 3 3 2" xfId="27637" xr:uid="{00000000-0005-0000-0000-000016B80000}"/>
    <cellStyle name="Vírgula 2 2 6 3 3 2 2" xfId="53818" xr:uid="{00000000-0005-0000-0000-000017B80000}"/>
    <cellStyle name="Vírgula 2 2 6 3 3 3" xfId="21723" xr:uid="{00000000-0005-0000-0000-000018B80000}"/>
    <cellStyle name="Vírgula 2 2 6 3 3 3 2" xfId="47910" xr:uid="{00000000-0005-0000-0000-000019B80000}"/>
    <cellStyle name="Vírgula 2 2 6 3 3 4" xfId="15809" xr:uid="{00000000-0005-0000-0000-00001AB80000}"/>
    <cellStyle name="Vírgula 2 2 6 3 3 4 2" xfId="42002" xr:uid="{00000000-0005-0000-0000-00001BB80000}"/>
    <cellStyle name="Vírgula 2 2 6 3 3 5" xfId="35616" xr:uid="{00000000-0005-0000-0000-00001CB80000}"/>
    <cellStyle name="Vírgula 2 2 6 3 4" xfId="6163" xr:uid="{00000000-0005-0000-0000-00001DB80000}"/>
    <cellStyle name="Vírgula 2 2 6 3 4 2" xfId="24680" xr:uid="{00000000-0005-0000-0000-00001EB80000}"/>
    <cellStyle name="Vírgula 2 2 6 3 4 2 2" xfId="50864" xr:uid="{00000000-0005-0000-0000-00001FB80000}"/>
    <cellStyle name="Vírgula 2 2 6 3 4 3" xfId="32359" xr:uid="{00000000-0005-0000-0000-000020B80000}"/>
    <cellStyle name="Vírgula 2 2 6 3 5" xfId="18766" xr:uid="{00000000-0005-0000-0000-000021B80000}"/>
    <cellStyle name="Vírgula 2 2 6 3 5 2" xfId="44956" xr:uid="{00000000-0005-0000-0000-000022B80000}"/>
    <cellStyle name="Vírgula 2 2 6 3 6" xfId="12552" xr:uid="{00000000-0005-0000-0000-000023B80000}"/>
    <cellStyle name="Vírgula 2 2 6 3 6 2" xfId="38745" xr:uid="{00000000-0005-0000-0000-000024B80000}"/>
    <cellStyle name="Vírgula 2 2 6 3 7" xfId="30662" xr:uid="{00000000-0005-0000-0000-000025B80000}"/>
    <cellStyle name="Vírgula 2 2 6 4" xfId="4570" xr:uid="{00000000-0005-0000-0000-000026B80000}"/>
    <cellStyle name="Vírgula 2 2 6 4 2" xfId="7972" xr:uid="{00000000-0005-0000-0000-000027B80000}"/>
    <cellStyle name="Vírgula 2 2 6 4 2 2" xfId="10953" xr:uid="{00000000-0005-0000-0000-000028B80000}"/>
    <cellStyle name="Vírgula 2 2 6 4 2 2 2" xfId="29167" xr:uid="{00000000-0005-0000-0000-000029B80000}"/>
    <cellStyle name="Vírgula 2 2 6 4 2 2 2 2" xfId="55348" xr:uid="{00000000-0005-0000-0000-00002AB80000}"/>
    <cellStyle name="Vírgula 2 2 6 4 2 2 3" xfId="23253" xr:uid="{00000000-0005-0000-0000-00002BB80000}"/>
    <cellStyle name="Vírgula 2 2 6 4 2 2 3 2" xfId="49440" xr:uid="{00000000-0005-0000-0000-00002CB80000}"/>
    <cellStyle name="Vírgula 2 2 6 4 2 2 4" xfId="17339" xr:uid="{00000000-0005-0000-0000-00002DB80000}"/>
    <cellStyle name="Vírgula 2 2 6 4 2 2 4 2" xfId="43532" xr:uid="{00000000-0005-0000-0000-00002EB80000}"/>
    <cellStyle name="Vírgula 2 2 6 4 2 2 5" xfId="37146" xr:uid="{00000000-0005-0000-0000-00002FB80000}"/>
    <cellStyle name="Vírgula 2 2 6 4 2 3" xfId="26210" xr:uid="{00000000-0005-0000-0000-000030B80000}"/>
    <cellStyle name="Vírgula 2 2 6 4 2 3 2" xfId="52394" xr:uid="{00000000-0005-0000-0000-000031B80000}"/>
    <cellStyle name="Vírgula 2 2 6 4 2 4" xfId="20296" xr:uid="{00000000-0005-0000-0000-000032B80000}"/>
    <cellStyle name="Vírgula 2 2 6 4 2 4 2" xfId="46486" xr:uid="{00000000-0005-0000-0000-000033B80000}"/>
    <cellStyle name="Vírgula 2 2 6 4 2 5" xfId="14361" xr:uid="{00000000-0005-0000-0000-000034B80000}"/>
    <cellStyle name="Vírgula 2 2 6 4 2 5 2" xfId="40554" xr:uid="{00000000-0005-0000-0000-000035B80000}"/>
    <cellStyle name="Vírgula 2 2 6 4 2 6" xfId="34168" xr:uid="{00000000-0005-0000-0000-000036B80000}"/>
    <cellStyle name="Vírgula 2 2 6 4 3" xfId="9485" xr:uid="{00000000-0005-0000-0000-000037B80000}"/>
    <cellStyle name="Vírgula 2 2 6 4 3 2" xfId="27699" xr:uid="{00000000-0005-0000-0000-000038B80000}"/>
    <cellStyle name="Vírgula 2 2 6 4 3 2 2" xfId="53880" xr:uid="{00000000-0005-0000-0000-000039B80000}"/>
    <cellStyle name="Vírgula 2 2 6 4 3 3" xfId="21785" xr:uid="{00000000-0005-0000-0000-00003AB80000}"/>
    <cellStyle name="Vírgula 2 2 6 4 3 3 2" xfId="47972" xr:uid="{00000000-0005-0000-0000-00003BB80000}"/>
    <cellStyle name="Vírgula 2 2 6 4 3 4" xfId="15871" xr:uid="{00000000-0005-0000-0000-00003CB80000}"/>
    <cellStyle name="Vírgula 2 2 6 4 3 4 2" xfId="42064" xr:uid="{00000000-0005-0000-0000-00003DB80000}"/>
    <cellStyle name="Vírgula 2 2 6 4 3 5" xfId="35678" xr:uid="{00000000-0005-0000-0000-00003EB80000}"/>
    <cellStyle name="Vírgula 2 2 6 4 4" xfId="6271" xr:uid="{00000000-0005-0000-0000-00003FB80000}"/>
    <cellStyle name="Vírgula 2 2 6 4 4 2" xfId="24742" xr:uid="{00000000-0005-0000-0000-000040B80000}"/>
    <cellStyle name="Vírgula 2 2 6 4 4 2 2" xfId="50926" xr:uid="{00000000-0005-0000-0000-000041B80000}"/>
    <cellStyle name="Vírgula 2 2 6 4 4 3" xfId="32467" xr:uid="{00000000-0005-0000-0000-000042B80000}"/>
    <cellStyle name="Vírgula 2 2 6 4 5" xfId="18828" xr:uid="{00000000-0005-0000-0000-000043B80000}"/>
    <cellStyle name="Vírgula 2 2 6 4 5 2" xfId="45018" xr:uid="{00000000-0005-0000-0000-000044B80000}"/>
    <cellStyle name="Vírgula 2 2 6 4 6" xfId="12660" xr:uid="{00000000-0005-0000-0000-000045B80000}"/>
    <cellStyle name="Vírgula 2 2 6 4 6 2" xfId="38853" xr:uid="{00000000-0005-0000-0000-000046B80000}"/>
    <cellStyle name="Vírgula 2 2 6 4 7" xfId="30770" xr:uid="{00000000-0005-0000-0000-000047B80000}"/>
    <cellStyle name="Vírgula 2 2 6 5" xfId="5362" xr:uid="{00000000-0005-0000-0000-000048B80000}"/>
    <cellStyle name="Vírgula 2 2 6 5 2" xfId="7061" xr:uid="{00000000-0005-0000-0000-000049B80000}"/>
    <cellStyle name="Vírgula 2 2 6 5 2 2" xfId="10205" xr:uid="{00000000-0005-0000-0000-00004AB80000}"/>
    <cellStyle name="Vírgula 2 2 6 5 2 2 2" xfId="28419" xr:uid="{00000000-0005-0000-0000-00004BB80000}"/>
    <cellStyle name="Vírgula 2 2 6 5 2 2 2 2" xfId="54600" xr:uid="{00000000-0005-0000-0000-00004CB80000}"/>
    <cellStyle name="Vírgula 2 2 6 5 2 2 3" xfId="22505" xr:uid="{00000000-0005-0000-0000-00004DB80000}"/>
    <cellStyle name="Vírgula 2 2 6 5 2 2 3 2" xfId="48692" xr:uid="{00000000-0005-0000-0000-00004EB80000}"/>
    <cellStyle name="Vírgula 2 2 6 5 2 2 4" xfId="16591" xr:uid="{00000000-0005-0000-0000-00004FB80000}"/>
    <cellStyle name="Vírgula 2 2 6 5 2 2 4 2" xfId="42784" xr:uid="{00000000-0005-0000-0000-000050B80000}"/>
    <cellStyle name="Vírgula 2 2 6 5 2 2 5" xfId="36398" xr:uid="{00000000-0005-0000-0000-000051B80000}"/>
    <cellStyle name="Vírgula 2 2 6 5 2 3" xfId="25462" xr:uid="{00000000-0005-0000-0000-000052B80000}"/>
    <cellStyle name="Vírgula 2 2 6 5 2 3 2" xfId="51646" xr:uid="{00000000-0005-0000-0000-000053B80000}"/>
    <cellStyle name="Vírgula 2 2 6 5 2 4" xfId="19548" xr:uid="{00000000-0005-0000-0000-000054B80000}"/>
    <cellStyle name="Vírgula 2 2 6 5 2 4 2" xfId="45738" xr:uid="{00000000-0005-0000-0000-000055B80000}"/>
    <cellStyle name="Vírgula 2 2 6 5 2 5" xfId="13450" xr:uid="{00000000-0005-0000-0000-000056B80000}"/>
    <cellStyle name="Vírgula 2 2 6 5 2 5 2" xfId="39643" xr:uid="{00000000-0005-0000-0000-000057B80000}"/>
    <cellStyle name="Vírgula 2 2 6 5 2 6" xfId="33257" xr:uid="{00000000-0005-0000-0000-000058B80000}"/>
    <cellStyle name="Vírgula 2 2 6 5 3" xfId="8737" xr:uid="{00000000-0005-0000-0000-000059B80000}"/>
    <cellStyle name="Vírgula 2 2 6 5 3 2" xfId="26951" xr:uid="{00000000-0005-0000-0000-00005AB80000}"/>
    <cellStyle name="Vírgula 2 2 6 5 3 2 2" xfId="53132" xr:uid="{00000000-0005-0000-0000-00005BB80000}"/>
    <cellStyle name="Vírgula 2 2 6 5 3 3" xfId="21037" xr:uid="{00000000-0005-0000-0000-00005CB80000}"/>
    <cellStyle name="Vírgula 2 2 6 5 3 3 2" xfId="47224" xr:uid="{00000000-0005-0000-0000-00005DB80000}"/>
    <cellStyle name="Vírgula 2 2 6 5 3 4" xfId="15123" xr:uid="{00000000-0005-0000-0000-00005EB80000}"/>
    <cellStyle name="Vírgula 2 2 6 5 3 4 2" xfId="41316" xr:uid="{00000000-0005-0000-0000-00005FB80000}"/>
    <cellStyle name="Vírgula 2 2 6 5 3 5" xfId="34930" xr:uid="{00000000-0005-0000-0000-000060B80000}"/>
    <cellStyle name="Vírgula 2 2 6 5 4" xfId="23994" xr:uid="{00000000-0005-0000-0000-000061B80000}"/>
    <cellStyle name="Vírgula 2 2 6 5 4 2" xfId="50178" xr:uid="{00000000-0005-0000-0000-000062B80000}"/>
    <cellStyle name="Vírgula 2 2 6 5 5" xfId="18080" xr:uid="{00000000-0005-0000-0000-000063B80000}"/>
    <cellStyle name="Vírgula 2 2 6 5 5 2" xfId="44270" xr:uid="{00000000-0005-0000-0000-000064B80000}"/>
    <cellStyle name="Vírgula 2 2 6 5 6" xfId="11749" xr:uid="{00000000-0005-0000-0000-000065B80000}"/>
    <cellStyle name="Vírgula 2 2 6 5 6 2" xfId="37942" xr:uid="{00000000-0005-0000-0000-000066B80000}"/>
    <cellStyle name="Vírgula 2 2 6 5 7" xfId="31558" xr:uid="{00000000-0005-0000-0000-000067B80000}"/>
    <cellStyle name="Vírgula 2 2 6 6" xfId="6380" xr:uid="{00000000-0005-0000-0000-000068B80000}"/>
    <cellStyle name="Vírgula 2 2 6 6 2" xfId="9547" xr:uid="{00000000-0005-0000-0000-000069B80000}"/>
    <cellStyle name="Vírgula 2 2 6 6 2 2" xfId="27761" xr:uid="{00000000-0005-0000-0000-00006AB80000}"/>
    <cellStyle name="Vírgula 2 2 6 6 2 2 2" xfId="53942" xr:uid="{00000000-0005-0000-0000-00006BB80000}"/>
    <cellStyle name="Vírgula 2 2 6 6 2 3" xfId="21847" xr:uid="{00000000-0005-0000-0000-00006CB80000}"/>
    <cellStyle name="Vírgula 2 2 6 6 2 3 2" xfId="48034" xr:uid="{00000000-0005-0000-0000-00006DB80000}"/>
    <cellStyle name="Vírgula 2 2 6 6 2 4" xfId="15933" xr:uid="{00000000-0005-0000-0000-00006EB80000}"/>
    <cellStyle name="Vírgula 2 2 6 6 2 4 2" xfId="42126" xr:uid="{00000000-0005-0000-0000-00006FB80000}"/>
    <cellStyle name="Vírgula 2 2 6 6 2 5" xfId="35740" xr:uid="{00000000-0005-0000-0000-000070B80000}"/>
    <cellStyle name="Vírgula 2 2 6 6 3" xfId="24804" xr:uid="{00000000-0005-0000-0000-000071B80000}"/>
    <cellStyle name="Vírgula 2 2 6 6 3 2" xfId="50988" xr:uid="{00000000-0005-0000-0000-000072B80000}"/>
    <cellStyle name="Vírgula 2 2 6 6 4" xfId="18890" xr:uid="{00000000-0005-0000-0000-000073B80000}"/>
    <cellStyle name="Vírgula 2 2 6 6 4 2" xfId="45080" xr:uid="{00000000-0005-0000-0000-000074B80000}"/>
    <cellStyle name="Vírgula 2 2 6 6 5" xfId="12769" xr:uid="{00000000-0005-0000-0000-000075B80000}"/>
    <cellStyle name="Vírgula 2 2 6 6 5 2" xfId="38962" xr:uid="{00000000-0005-0000-0000-000076B80000}"/>
    <cellStyle name="Vírgula 2 2 6 6 6" xfId="32576" xr:uid="{00000000-0005-0000-0000-000077B80000}"/>
    <cellStyle name="Vírgula 2 2 6 7" xfId="8076" xr:uid="{00000000-0005-0000-0000-000078B80000}"/>
    <cellStyle name="Vírgula 2 2 6 7 2" xfId="26290" xr:uid="{00000000-0005-0000-0000-000079B80000}"/>
    <cellStyle name="Vírgula 2 2 6 7 2 2" xfId="52474" xr:uid="{00000000-0005-0000-0000-00007AB80000}"/>
    <cellStyle name="Vírgula 2 2 6 7 3" xfId="20376" xr:uid="{00000000-0005-0000-0000-00007BB80000}"/>
    <cellStyle name="Vírgula 2 2 6 7 3 2" xfId="46566" xr:uid="{00000000-0005-0000-0000-00007CB80000}"/>
    <cellStyle name="Vírgula 2 2 6 7 4" xfId="14465" xr:uid="{00000000-0005-0000-0000-00007DB80000}"/>
    <cellStyle name="Vírgula 2 2 6 7 4 2" xfId="40658" xr:uid="{00000000-0005-0000-0000-00007EB80000}"/>
    <cellStyle name="Vírgula 2 2 6 7 5" xfId="34272" xr:uid="{00000000-0005-0000-0000-00007FB80000}"/>
    <cellStyle name="Vírgula 2 2 6 8" xfId="4677" xr:uid="{00000000-0005-0000-0000-000080B80000}"/>
    <cellStyle name="Vírgula 2 2 6 8 2" xfId="23333" xr:uid="{00000000-0005-0000-0000-000081B80000}"/>
    <cellStyle name="Vírgula 2 2 6 8 2 2" xfId="49520" xr:uid="{00000000-0005-0000-0000-000082B80000}"/>
    <cellStyle name="Vírgula 2 2 6 8 3" xfId="30877" xr:uid="{00000000-0005-0000-0000-000083B80000}"/>
    <cellStyle name="Vírgula 2 2 6 9" xfId="17419" xr:uid="{00000000-0005-0000-0000-000084B80000}"/>
    <cellStyle name="Vírgula 2 2 6 9 2" xfId="43612" xr:uid="{00000000-0005-0000-0000-000085B80000}"/>
    <cellStyle name="Vírgula 2 2 7" xfId="2792" xr:uid="{00000000-0005-0000-0000-000086B80000}"/>
    <cellStyle name="Vírgula 2 2 7 2" xfId="7208" xr:uid="{00000000-0005-0000-0000-000087B80000}"/>
    <cellStyle name="Vírgula 2 2 7 2 2" xfId="10352" xr:uid="{00000000-0005-0000-0000-000088B80000}"/>
    <cellStyle name="Vírgula 2 2 7 2 2 2" xfId="28566" xr:uid="{00000000-0005-0000-0000-000089B80000}"/>
    <cellStyle name="Vírgula 2 2 7 2 2 2 2" xfId="54747" xr:uid="{00000000-0005-0000-0000-00008AB80000}"/>
    <cellStyle name="Vírgula 2 2 7 2 2 3" xfId="22652" xr:uid="{00000000-0005-0000-0000-00008BB80000}"/>
    <cellStyle name="Vírgula 2 2 7 2 2 3 2" xfId="48839" xr:uid="{00000000-0005-0000-0000-00008CB80000}"/>
    <cellStyle name="Vírgula 2 2 7 2 2 4" xfId="16738" xr:uid="{00000000-0005-0000-0000-00008DB80000}"/>
    <cellStyle name="Vírgula 2 2 7 2 2 4 2" xfId="42931" xr:uid="{00000000-0005-0000-0000-00008EB80000}"/>
    <cellStyle name="Vírgula 2 2 7 2 2 5" xfId="36545" xr:uid="{00000000-0005-0000-0000-00008FB80000}"/>
    <cellStyle name="Vírgula 2 2 7 2 3" xfId="25609" xr:uid="{00000000-0005-0000-0000-000090B80000}"/>
    <cellStyle name="Vírgula 2 2 7 2 3 2" xfId="51793" xr:uid="{00000000-0005-0000-0000-000091B80000}"/>
    <cellStyle name="Vírgula 2 2 7 2 4" xfId="19695" xr:uid="{00000000-0005-0000-0000-000092B80000}"/>
    <cellStyle name="Vírgula 2 2 7 2 4 2" xfId="45885" xr:uid="{00000000-0005-0000-0000-000093B80000}"/>
    <cellStyle name="Vírgula 2 2 7 2 5" xfId="13597" xr:uid="{00000000-0005-0000-0000-000094B80000}"/>
    <cellStyle name="Vírgula 2 2 7 2 5 2" xfId="39790" xr:uid="{00000000-0005-0000-0000-000095B80000}"/>
    <cellStyle name="Vírgula 2 2 7 2 6" xfId="33404" xr:uid="{00000000-0005-0000-0000-000096B80000}"/>
    <cellStyle name="Vírgula 2 2 7 3" xfId="8884" xr:uid="{00000000-0005-0000-0000-000097B80000}"/>
    <cellStyle name="Vírgula 2 2 7 3 2" xfId="27098" xr:uid="{00000000-0005-0000-0000-000098B80000}"/>
    <cellStyle name="Vírgula 2 2 7 3 2 2" xfId="53279" xr:uid="{00000000-0005-0000-0000-000099B80000}"/>
    <cellStyle name="Vírgula 2 2 7 3 3" xfId="21184" xr:uid="{00000000-0005-0000-0000-00009AB80000}"/>
    <cellStyle name="Vírgula 2 2 7 3 3 2" xfId="47371" xr:uid="{00000000-0005-0000-0000-00009BB80000}"/>
    <cellStyle name="Vírgula 2 2 7 3 4" xfId="15270" xr:uid="{00000000-0005-0000-0000-00009CB80000}"/>
    <cellStyle name="Vírgula 2 2 7 3 4 2" xfId="41463" xr:uid="{00000000-0005-0000-0000-00009DB80000}"/>
    <cellStyle name="Vírgula 2 2 7 3 5" xfId="35077" xr:uid="{00000000-0005-0000-0000-00009EB80000}"/>
    <cellStyle name="Vírgula 2 2 7 4" xfId="5509" xr:uid="{00000000-0005-0000-0000-00009FB80000}"/>
    <cellStyle name="Vírgula 2 2 7 4 2" xfId="24141" xr:uid="{00000000-0005-0000-0000-0000A0B80000}"/>
    <cellStyle name="Vírgula 2 2 7 4 2 2" xfId="50325" xr:uid="{00000000-0005-0000-0000-0000A1B80000}"/>
    <cellStyle name="Vírgula 2 2 7 4 3" xfId="31705" xr:uid="{00000000-0005-0000-0000-0000A2B80000}"/>
    <cellStyle name="Vírgula 2 2 7 5" xfId="18227" xr:uid="{00000000-0005-0000-0000-0000A3B80000}"/>
    <cellStyle name="Vírgula 2 2 7 5 2" xfId="44417" xr:uid="{00000000-0005-0000-0000-0000A4B80000}"/>
    <cellStyle name="Vírgula 2 2 7 6" xfId="11896" xr:uid="{00000000-0005-0000-0000-0000A5B80000}"/>
    <cellStyle name="Vírgula 2 2 7 6 2" xfId="38089" xr:uid="{00000000-0005-0000-0000-0000A6B80000}"/>
    <cellStyle name="Vírgula 2 2 7 7" xfId="30007" xr:uid="{00000000-0005-0000-0000-0000A7B80000}"/>
    <cellStyle name="Vírgula 2 2 8" xfId="3319" xr:uid="{00000000-0005-0000-0000-0000A8B80000}"/>
    <cellStyle name="Vírgula 2 2 8 2" xfId="7355" xr:uid="{00000000-0005-0000-0000-0000A9B80000}"/>
    <cellStyle name="Vírgula 2 2 8 2 2" xfId="10499" xr:uid="{00000000-0005-0000-0000-0000AAB80000}"/>
    <cellStyle name="Vírgula 2 2 8 2 2 2" xfId="28713" xr:uid="{00000000-0005-0000-0000-0000ABB80000}"/>
    <cellStyle name="Vírgula 2 2 8 2 2 2 2" xfId="54894" xr:uid="{00000000-0005-0000-0000-0000ACB80000}"/>
    <cellStyle name="Vírgula 2 2 8 2 2 3" xfId="22799" xr:uid="{00000000-0005-0000-0000-0000ADB80000}"/>
    <cellStyle name="Vírgula 2 2 8 2 2 3 2" xfId="48986" xr:uid="{00000000-0005-0000-0000-0000AEB80000}"/>
    <cellStyle name="Vírgula 2 2 8 2 2 4" xfId="16885" xr:uid="{00000000-0005-0000-0000-0000AFB80000}"/>
    <cellStyle name="Vírgula 2 2 8 2 2 4 2" xfId="43078" xr:uid="{00000000-0005-0000-0000-0000B0B80000}"/>
    <cellStyle name="Vírgula 2 2 8 2 2 5" xfId="36692" xr:uid="{00000000-0005-0000-0000-0000B1B80000}"/>
    <cellStyle name="Vírgula 2 2 8 2 3" xfId="25756" xr:uid="{00000000-0005-0000-0000-0000B2B80000}"/>
    <cellStyle name="Vírgula 2 2 8 2 3 2" xfId="51940" xr:uid="{00000000-0005-0000-0000-0000B3B80000}"/>
    <cellStyle name="Vírgula 2 2 8 2 4" xfId="19842" xr:uid="{00000000-0005-0000-0000-0000B4B80000}"/>
    <cellStyle name="Vírgula 2 2 8 2 4 2" xfId="46032" xr:uid="{00000000-0005-0000-0000-0000B5B80000}"/>
    <cellStyle name="Vírgula 2 2 8 2 5" xfId="13744" xr:uid="{00000000-0005-0000-0000-0000B6B80000}"/>
    <cellStyle name="Vírgula 2 2 8 2 5 2" xfId="39937" xr:uid="{00000000-0005-0000-0000-0000B7B80000}"/>
    <cellStyle name="Vírgula 2 2 8 2 6" xfId="33551" xr:uid="{00000000-0005-0000-0000-0000B8B80000}"/>
    <cellStyle name="Vírgula 2 2 8 3" xfId="9031" xr:uid="{00000000-0005-0000-0000-0000B9B80000}"/>
    <cellStyle name="Vírgula 2 2 8 3 2" xfId="27245" xr:uid="{00000000-0005-0000-0000-0000BAB80000}"/>
    <cellStyle name="Vírgula 2 2 8 3 2 2" xfId="53426" xr:uid="{00000000-0005-0000-0000-0000BBB80000}"/>
    <cellStyle name="Vírgula 2 2 8 3 3" xfId="21331" xr:uid="{00000000-0005-0000-0000-0000BCB80000}"/>
    <cellStyle name="Vírgula 2 2 8 3 3 2" xfId="47518" xr:uid="{00000000-0005-0000-0000-0000BDB80000}"/>
    <cellStyle name="Vírgula 2 2 8 3 4" xfId="15417" xr:uid="{00000000-0005-0000-0000-0000BEB80000}"/>
    <cellStyle name="Vírgula 2 2 8 3 4 2" xfId="41610" xr:uid="{00000000-0005-0000-0000-0000BFB80000}"/>
    <cellStyle name="Vírgula 2 2 8 3 5" xfId="35224" xr:uid="{00000000-0005-0000-0000-0000C0B80000}"/>
    <cellStyle name="Vírgula 2 2 8 4" xfId="5656" xr:uid="{00000000-0005-0000-0000-0000C1B80000}"/>
    <cellStyle name="Vírgula 2 2 8 4 2" xfId="24288" xr:uid="{00000000-0005-0000-0000-0000C2B80000}"/>
    <cellStyle name="Vírgula 2 2 8 4 2 2" xfId="50472" xr:uid="{00000000-0005-0000-0000-0000C3B80000}"/>
    <cellStyle name="Vírgula 2 2 8 4 3" xfId="31852" xr:uid="{00000000-0005-0000-0000-0000C4B80000}"/>
    <cellStyle name="Vírgula 2 2 8 5" xfId="18374" xr:uid="{00000000-0005-0000-0000-0000C5B80000}"/>
    <cellStyle name="Vírgula 2 2 8 5 2" xfId="44564" xr:uid="{00000000-0005-0000-0000-0000C6B80000}"/>
    <cellStyle name="Vírgula 2 2 8 6" xfId="12043" xr:uid="{00000000-0005-0000-0000-0000C7B80000}"/>
    <cellStyle name="Vírgula 2 2 8 6 2" xfId="38236" xr:uid="{00000000-0005-0000-0000-0000C8B80000}"/>
    <cellStyle name="Vírgula 2 2 8 7" xfId="30154" xr:uid="{00000000-0005-0000-0000-0000C9B80000}"/>
    <cellStyle name="Vírgula 2 2 9" xfId="3846" xr:uid="{00000000-0005-0000-0000-0000CAB80000}"/>
    <cellStyle name="Vírgula 2 2 9 2" xfId="7502" xr:uid="{00000000-0005-0000-0000-0000CBB80000}"/>
    <cellStyle name="Vírgula 2 2 9 2 2" xfId="10646" xr:uid="{00000000-0005-0000-0000-0000CCB80000}"/>
    <cellStyle name="Vírgula 2 2 9 2 2 2" xfId="28860" xr:uid="{00000000-0005-0000-0000-0000CDB80000}"/>
    <cellStyle name="Vírgula 2 2 9 2 2 2 2" xfId="55041" xr:uid="{00000000-0005-0000-0000-0000CEB80000}"/>
    <cellStyle name="Vírgula 2 2 9 2 2 3" xfId="22946" xr:uid="{00000000-0005-0000-0000-0000CFB80000}"/>
    <cellStyle name="Vírgula 2 2 9 2 2 3 2" xfId="49133" xr:uid="{00000000-0005-0000-0000-0000D0B80000}"/>
    <cellStyle name="Vírgula 2 2 9 2 2 4" xfId="17032" xr:uid="{00000000-0005-0000-0000-0000D1B80000}"/>
    <cellStyle name="Vírgula 2 2 9 2 2 4 2" xfId="43225" xr:uid="{00000000-0005-0000-0000-0000D2B80000}"/>
    <cellStyle name="Vírgula 2 2 9 2 2 5" xfId="36839" xr:uid="{00000000-0005-0000-0000-0000D3B80000}"/>
    <cellStyle name="Vírgula 2 2 9 2 3" xfId="25903" xr:uid="{00000000-0005-0000-0000-0000D4B80000}"/>
    <cellStyle name="Vírgula 2 2 9 2 3 2" xfId="52087" xr:uid="{00000000-0005-0000-0000-0000D5B80000}"/>
    <cellStyle name="Vírgula 2 2 9 2 4" xfId="19989" xr:uid="{00000000-0005-0000-0000-0000D6B80000}"/>
    <cellStyle name="Vírgula 2 2 9 2 4 2" xfId="46179" xr:uid="{00000000-0005-0000-0000-0000D7B80000}"/>
    <cellStyle name="Vírgula 2 2 9 2 5" xfId="13891" xr:uid="{00000000-0005-0000-0000-0000D8B80000}"/>
    <cellStyle name="Vírgula 2 2 9 2 5 2" xfId="40084" xr:uid="{00000000-0005-0000-0000-0000D9B80000}"/>
    <cellStyle name="Vírgula 2 2 9 2 6" xfId="33698" xr:uid="{00000000-0005-0000-0000-0000DAB80000}"/>
    <cellStyle name="Vírgula 2 2 9 3" xfId="9178" xr:uid="{00000000-0005-0000-0000-0000DBB80000}"/>
    <cellStyle name="Vírgula 2 2 9 3 2" xfId="27392" xr:uid="{00000000-0005-0000-0000-0000DCB80000}"/>
    <cellStyle name="Vírgula 2 2 9 3 2 2" xfId="53573" xr:uid="{00000000-0005-0000-0000-0000DDB80000}"/>
    <cellStyle name="Vírgula 2 2 9 3 3" xfId="21478" xr:uid="{00000000-0005-0000-0000-0000DEB80000}"/>
    <cellStyle name="Vírgula 2 2 9 3 3 2" xfId="47665" xr:uid="{00000000-0005-0000-0000-0000DFB80000}"/>
    <cellStyle name="Vírgula 2 2 9 3 4" xfId="15564" xr:uid="{00000000-0005-0000-0000-0000E0B80000}"/>
    <cellStyle name="Vírgula 2 2 9 3 4 2" xfId="41757" xr:uid="{00000000-0005-0000-0000-0000E1B80000}"/>
    <cellStyle name="Vírgula 2 2 9 3 5" xfId="35371" xr:uid="{00000000-0005-0000-0000-0000E2B80000}"/>
    <cellStyle name="Vírgula 2 2 9 4" xfId="5803" xr:uid="{00000000-0005-0000-0000-0000E3B80000}"/>
    <cellStyle name="Vírgula 2 2 9 4 2" xfId="24435" xr:uid="{00000000-0005-0000-0000-0000E4B80000}"/>
    <cellStyle name="Vírgula 2 2 9 4 2 2" xfId="50619" xr:uid="{00000000-0005-0000-0000-0000E5B80000}"/>
    <cellStyle name="Vírgula 2 2 9 4 3" xfId="31999" xr:uid="{00000000-0005-0000-0000-0000E6B80000}"/>
    <cellStyle name="Vírgula 2 2 9 5" xfId="18521" xr:uid="{00000000-0005-0000-0000-0000E7B80000}"/>
    <cellStyle name="Vírgula 2 2 9 5 2" xfId="44711" xr:uid="{00000000-0005-0000-0000-0000E8B80000}"/>
    <cellStyle name="Vírgula 2 2 9 6" xfId="12190" xr:uid="{00000000-0005-0000-0000-0000E9B80000}"/>
    <cellStyle name="Vírgula 2 2 9 6 2" xfId="38383" xr:uid="{00000000-0005-0000-0000-0000EAB80000}"/>
    <cellStyle name="Vírgula 2 2 9 7" xfId="30301" xr:uid="{00000000-0005-0000-0000-0000EBB80000}"/>
    <cellStyle name="Vírgula 2 3" xfId="299" xr:uid="{00000000-0005-0000-0000-0000ECB80000}"/>
    <cellStyle name="Vírgula 2 3 10" xfId="4206" xr:uid="{00000000-0005-0000-0000-0000EDB80000}"/>
    <cellStyle name="Vírgula 2 3 10 2" xfId="7606" xr:uid="{00000000-0005-0000-0000-0000EEB80000}"/>
    <cellStyle name="Vírgula 2 3 10 2 2" xfId="10745" xr:uid="{00000000-0005-0000-0000-0000EFB80000}"/>
    <cellStyle name="Vírgula 2 3 10 2 2 2" xfId="28959" xr:uid="{00000000-0005-0000-0000-0000F0B80000}"/>
    <cellStyle name="Vírgula 2 3 10 2 2 2 2" xfId="55140" xr:uid="{00000000-0005-0000-0000-0000F1B80000}"/>
    <cellStyle name="Vírgula 2 3 10 2 2 3" xfId="23045" xr:uid="{00000000-0005-0000-0000-0000F2B80000}"/>
    <cellStyle name="Vírgula 2 3 10 2 2 3 2" xfId="49232" xr:uid="{00000000-0005-0000-0000-0000F3B80000}"/>
    <cellStyle name="Vírgula 2 3 10 2 2 4" xfId="17131" xr:uid="{00000000-0005-0000-0000-0000F4B80000}"/>
    <cellStyle name="Vírgula 2 3 10 2 2 4 2" xfId="43324" xr:uid="{00000000-0005-0000-0000-0000F5B80000}"/>
    <cellStyle name="Vírgula 2 3 10 2 2 5" xfId="36938" xr:uid="{00000000-0005-0000-0000-0000F6B80000}"/>
    <cellStyle name="Vírgula 2 3 10 2 3" xfId="26002" xr:uid="{00000000-0005-0000-0000-0000F7B80000}"/>
    <cellStyle name="Vírgula 2 3 10 2 3 2" xfId="52186" xr:uid="{00000000-0005-0000-0000-0000F8B80000}"/>
    <cellStyle name="Vírgula 2 3 10 2 4" xfId="20088" xr:uid="{00000000-0005-0000-0000-0000F9B80000}"/>
    <cellStyle name="Vírgula 2 3 10 2 4 2" xfId="46278" xr:uid="{00000000-0005-0000-0000-0000FAB80000}"/>
    <cellStyle name="Vírgula 2 3 10 2 5" xfId="13995" xr:uid="{00000000-0005-0000-0000-0000FBB80000}"/>
    <cellStyle name="Vírgula 2 3 10 2 5 2" xfId="40188" xr:uid="{00000000-0005-0000-0000-0000FCB80000}"/>
    <cellStyle name="Vírgula 2 3 10 2 6" xfId="33802" xr:uid="{00000000-0005-0000-0000-0000FDB80000}"/>
    <cellStyle name="Vírgula 2 3 10 3" xfId="9277" xr:uid="{00000000-0005-0000-0000-0000FEB80000}"/>
    <cellStyle name="Vírgula 2 3 10 3 2" xfId="27491" xr:uid="{00000000-0005-0000-0000-0000FFB80000}"/>
    <cellStyle name="Vírgula 2 3 10 3 2 2" xfId="53672" xr:uid="{00000000-0005-0000-0000-000000B90000}"/>
    <cellStyle name="Vírgula 2 3 10 3 3" xfId="21577" xr:uid="{00000000-0005-0000-0000-000001B90000}"/>
    <cellStyle name="Vírgula 2 3 10 3 3 2" xfId="47764" xr:uid="{00000000-0005-0000-0000-000002B90000}"/>
    <cellStyle name="Vírgula 2 3 10 3 4" xfId="15663" xr:uid="{00000000-0005-0000-0000-000003B90000}"/>
    <cellStyle name="Vírgula 2 3 10 3 4 2" xfId="41856" xr:uid="{00000000-0005-0000-0000-000004B90000}"/>
    <cellStyle name="Vírgula 2 3 10 3 5" xfId="35470" xr:uid="{00000000-0005-0000-0000-000005B90000}"/>
    <cellStyle name="Vírgula 2 3 10 4" xfId="5907" xr:uid="{00000000-0005-0000-0000-000006B90000}"/>
    <cellStyle name="Vírgula 2 3 10 4 2" xfId="24534" xr:uid="{00000000-0005-0000-0000-000007B90000}"/>
    <cellStyle name="Vírgula 2 3 10 4 2 2" xfId="50718" xr:uid="{00000000-0005-0000-0000-000008B90000}"/>
    <cellStyle name="Vírgula 2 3 10 4 3" xfId="32103" xr:uid="{00000000-0005-0000-0000-000009B90000}"/>
    <cellStyle name="Vírgula 2 3 10 5" xfId="18620" xr:uid="{00000000-0005-0000-0000-00000AB90000}"/>
    <cellStyle name="Vírgula 2 3 10 5 2" xfId="44810" xr:uid="{00000000-0005-0000-0000-00000BB90000}"/>
    <cellStyle name="Vírgula 2 3 10 6" xfId="12294" xr:uid="{00000000-0005-0000-0000-00000CB90000}"/>
    <cellStyle name="Vírgula 2 3 10 6 2" xfId="38487" xr:uid="{00000000-0005-0000-0000-00000DB90000}"/>
    <cellStyle name="Vírgula 2 3 10 7" xfId="30406" xr:uid="{00000000-0005-0000-0000-00000EB90000}"/>
    <cellStyle name="Vírgula 2 3 11" xfId="4282" xr:uid="{00000000-0005-0000-0000-00000FB90000}"/>
    <cellStyle name="Vírgula 2 3 11 2" xfId="7683" xr:uid="{00000000-0005-0000-0000-000010B90000}"/>
    <cellStyle name="Vírgula 2 3 11 2 2" xfId="10788" xr:uid="{00000000-0005-0000-0000-000011B90000}"/>
    <cellStyle name="Vírgula 2 3 11 2 2 2" xfId="29002" xr:uid="{00000000-0005-0000-0000-000012B90000}"/>
    <cellStyle name="Vírgula 2 3 11 2 2 2 2" xfId="55183" xr:uid="{00000000-0005-0000-0000-000013B90000}"/>
    <cellStyle name="Vírgula 2 3 11 2 2 3" xfId="23088" xr:uid="{00000000-0005-0000-0000-000014B90000}"/>
    <cellStyle name="Vírgula 2 3 11 2 2 3 2" xfId="49275" xr:uid="{00000000-0005-0000-0000-000015B90000}"/>
    <cellStyle name="Vírgula 2 3 11 2 2 4" xfId="17174" xr:uid="{00000000-0005-0000-0000-000016B90000}"/>
    <cellStyle name="Vírgula 2 3 11 2 2 4 2" xfId="43367" xr:uid="{00000000-0005-0000-0000-000017B90000}"/>
    <cellStyle name="Vírgula 2 3 11 2 2 5" xfId="36981" xr:uid="{00000000-0005-0000-0000-000018B90000}"/>
    <cellStyle name="Vírgula 2 3 11 2 3" xfId="26045" xr:uid="{00000000-0005-0000-0000-000019B90000}"/>
    <cellStyle name="Vírgula 2 3 11 2 3 2" xfId="52229" xr:uid="{00000000-0005-0000-0000-00001AB90000}"/>
    <cellStyle name="Vírgula 2 3 11 2 4" xfId="20131" xr:uid="{00000000-0005-0000-0000-00001BB90000}"/>
    <cellStyle name="Vírgula 2 3 11 2 4 2" xfId="46321" xr:uid="{00000000-0005-0000-0000-00001CB90000}"/>
    <cellStyle name="Vírgula 2 3 11 2 5" xfId="14072" xr:uid="{00000000-0005-0000-0000-00001DB90000}"/>
    <cellStyle name="Vírgula 2 3 11 2 5 2" xfId="40265" xr:uid="{00000000-0005-0000-0000-00001EB90000}"/>
    <cellStyle name="Vírgula 2 3 11 2 6" xfId="33879" xr:uid="{00000000-0005-0000-0000-00001FB90000}"/>
    <cellStyle name="Vírgula 2 3 11 3" xfId="9320" xr:uid="{00000000-0005-0000-0000-000020B90000}"/>
    <cellStyle name="Vírgula 2 3 11 3 2" xfId="27534" xr:uid="{00000000-0005-0000-0000-000021B90000}"/>
    <cellStyle name="Vírgula 2 3 11 3 2 2" xfId="53715" xr:uid="{00000000-0005-0000-0000-000022B90000}"/>
    <cellStyle name="Vírgula 2 3 11 3 3" xfId="21620" xr:uid="{00000000-0005-0000-0000-000023B90000}"/>
    <cellStyle name="Vírgula 2 3 11 3 3 2" xfId="47807" xr:uid="{00000000-0005-0000-0000-000024B90000}"/>
    <cellStyle name="Vírgula 2 3 11 3 4" xfId="15706" xr:uid="{00000000-0005-0000-0000-000025B90000}"/>
    <cellStyle name="Vírgula 2 3 11 3 4 2" xfId="41899" xr:uid="{00000000-0005-0000-0000-000026B90000}"/>
    <cellStyle name="Vírgula 2 3 11 3 5" xfId="35513" xr:uid="{00000000-0005-0000-0000-000027B90000}"/>
    <cellStyle name="Vírgula 2 3 11 4" xfId="5983" xr:uid="{00000000-0005-0000-0000-000028B90000}"/>
    <cellStyle name="Vírgula 2 3 11 4 2" xfId="24577" xr:uid="{00000000-0005-0000-0000-000029B90000}"/>
    <cellStyle name="Vírgula 2 3 11 4 2 2" xfId="50761" xr:uid="{00000000-0005-0000-0000-00002AB90000}"/>
    <cellStyle name="Vírgula 2 3 11 4 3" xfId="32179" xr:uid="{00000000-0005-0000-0000-00002BB90000}"/>
    <cellStyle name="Vírgula 2 3 11 5" xfId="18663" xr:uid="{00000000-0005-0000-0000-00002CB90000}"/>
    <cellStyle name="Vírgula 2 3 11 5 2" xfId="44853" xr:uid="{00000000-0005-0000-0000-00002DB90000}"/>
    <cellStyle name="Vírgula 2 3 11 6" xfId="12371" xr:uid="{00000000-0005-0000-0000-00002EB90000}"/>
    <cellStyle name="Vírgula 2 3 11 6 2" xfId="38564" xr:uid="{00000000-0005-0000-0000-00002FB90000}"/>
    <cellStyle name="Vírgula 2 3 11 7" xfId="30482" xr:uid="{00000000-0005-0000-0000-000030B90000}"/>
    <cellStyle name="Vírgula 2 3 12" xfId="4390" xr:uid="{00000000-0005-0000-0000-000031B90000}"/>
    <cellStyle name="Vírgula 2 3 12 2" xfId="7792" xr:uid="{00000000-0005-0000-0000-000032B90000}"/>
    <cellStyle name="Vírgula 2 3 12 2 2" xfId="10850" xr:uid="{00000000-0005-0000-0000-000033B90000}"/>
    <cellStyle name="Vírgula 2 3 12 2 2 2" xfId="29064" xr:uid="{00000000-0005-0000-0000-000034B90000}"/>
    <cellStyle name="Vírgula 2 3 12 2 2 2 2" xfId="55245" xr:uid="{00000000-0005-0000-0000-000035B90000}"/>
    <cellStyle name="Vírgula 2 3 12 2 2 3" xfId="23150" xr:uid="{00000000-0005-0000-0000-000036B90000}"/>
    <cellStyle name="Vírgula 2 3 12 2 2 3 2" xfId="49337" xr:uid="{00000000-0005-0000-0000-000037B90000}"/>
    <cellStyle name="Vírgula 2 3 12 2 2 4" xfId="17236" xr:uid="{00000000-0005-0000-0000-000038B90000}"/>
    <cellStyle name="Vírgula 2 3 12 2 2 4 2" xfId="43429" xr:uid="{00000000-0005-0000-0000-000039B90000}"/>
    <cellStyle name="Vírgula 2 3 12 2 2 5" xfId="37043" xr:uid="{00000000-0005-0000-0000-00003AB90000}"/>
    <cellStyle name="Vírgula 2 3 12 2 3" xfId="26107" xr:uid="{00000000-0005-0000-0000-00003BB90000}"/>
    <cellStyle name="Vírgula 2 3 12 2 3 2" xfId="52291" xr:uid="{00000000-0005-0000-0000-00003CB90000}"/>
    <cellStyle name="Vírgula 2 3 12 2 4" xfId="20193" xr:uid="{00000000-0005-0000-0000-00003DB90000}"/>
    <cellStyle name="Vírgula 2 3 12 2 4 2" xfId="46383" xr:uid="{00000000-0005-0000-0000-00003EB90000}"/>
    <cellStyle name="Vírgula 2 3 12 2 5" xfId="14181" xr:uid="{00000000-0005-0000-0000-00003FB90000}"/>
    <cellStyle name="Vírgula 2 3 12 2 5 2" xfId="40374" xr:uid="{00000000-0005-0000-0000-000040B90000}"/>
    <cellStyle name="Vírgula 2 3 12 2 6" xfId="33988" xr:uid="{00000000-0005-0000-0000-000041B90000}"/>
    <cellStyle name="Vírgula 2 3 12 3" xfId="9382" xr:uid="{00000000-0005-0000-0000-000042B90000}"/>
    <cellStyle name="Vírgula 2 3 12 3 2" xfId="27596" xr:uid="{00000000-0005-0000-0000-000043B90000}"/>
    <cellStyle name="Vírgula 2 3 12 3 2 2" xfId="53777" xr:uid="{00000000-0005-0000-0000-000044B90000}"/>
    <cellStyle name="Vírgula 2 3 12 3 3" xfId="21682" xr:uid="{00000000-0005-0000-0000-000045B90000}"/>
    <cellStyle name="Vírgula 2 3 12 3 3 2" xfId="47869" xr:uid="{00000000-0005-0000-0000-000046B90000}"/>
    <cellStyle name="Vírgula 2 3 12 3 4" xfId="15768" xr:uid="{00000000-0005-0000-0000-000047B90000}"/>
    <cellStyle name="Vírgula 2 3 12 3 4 2" xfId="41961" xr:uid="{00000000-0005-0000-0000-000048B90000}"/>
    <cellStyle name="Vírgula 2 3 12 3 5" xfId="35575" xr:uid="{00000000-0005-0000-0000-000049B90000}"/>
    <cellStyle name="Vírgula 2 3 12 4" xfId="6092" xr:uid="{00000000-0005-0000-0000-00004AB90000}"/>
    <cellStyle name="Vírgula 2 3 12 4 2" xfId="24639" xr:uid="{00000000-0005-0000-0000-00004BB90000}"/>
    <cellStyle name="Vírgula 2 3 12 4 2 2" xfId="50823" xr:uid="{00000000-0005-0000-0000-00004CB90000}"/>
    <cellStyle name="Vírgula 2 3 12 4 3" xfId="32288" xr:uid="{00000000-0005-0000-0000-00004DB90000}"/>
    <cellStyle name="Vírgula 2 3 12 5" xfId="18725" xr:uid="{00000000-0005-0000-0000-00004EB90000}"/>
    <cellStyle name="Vírgula 2 3 12 5 2" xfId="44915" xr:uid="{00000000-0005-0000-0000-00004FB90000}"/>
    <cellStyle name="Vírgula 2 3 12 6" xfId="12480" xr:uid="{00000000-0005-0000-0000-000050B90000}"/>
    <cellStyle name="Vírgula 2 3 12 6 2" xfId="38673" xr:uid="{00000000-0005-0000-0000-000051B90000}"/>
    <cellStyle name="Vírgula 2 3 12 7" xfId="30590" xr:uid="{00000000-0005-0000-0000-000052B90000}"/>
    <cellStyle name="Vírgula 2 3 13" xfId="4498" xr:uid="{00000000-0005-0000-0000-000053B90000}"/>
    <cellStyle name="Vírgula 2 3 13 2" xfId="7900" xr:uid="{00000000-0005-0000-0000-000054B90000}"/>
    <cellStyle name="Vírgula 2 3 13 2 2" xfId="10912" xr:uid="{00000000-0005-0000-0000-000055B90000}"/>
    <cellStyle name="Vírgula 2 3 13 2 2 2" xfId="29126" xr:uid="{00000000-0005-0000-0000-000056B90000}"/>
    <cellStyle name="Vírgula 2 3 13 2 2 2 2" xfId="55307" xr:uid="{00000000-0005-0000-0000-000057B90000}"/>
    <cellStyle name="Vírgula 2 3 13 2 2 3" xfId="23212" xr:uid="{00000000-0005-0000-0000-000058B90000}"/>
    <cellStyle name="Vírgula 2 3 13 2 2 3 2" xfId="49399" xr:uid="{00000000-0005-0000-0000-000059B90000}"/>
    <cellStyle name="Vírgula 2 3 13 2 2 4" xfId="17298" xr:uid="{00000000-0005-0000-0000-00005AB90000}"/>
    <cellStyle name="Vírgula 2 3 13 2 2 4 2" xfId="43491" xr:uid="{00000000-0005-0000-0000-00005BB90000}"/>
    <cellStyle name="Vírgula 2 3 13 2 2 5" xfId="37105" xr:uid="{00000000-0005-0000-0000-00005CB90000}"/>
    <cellStyle name="Vírgula 2 3 13 2 3" xfId="26169" xr:uid="{00000000-0005-0000-0000-00005DB90000}"/>
    <cellStyle name="Vírgula 2 3 13 2 3 2" xfId="52353" xr:uid="{00000000-0005-0000-0000-00005EB90000}"/>
    <cellStyle name="Vírgula 2 3 13 2 4" xfId="20255" xr:uid="{00000000-0005-0000-0000-00005FB90000}"/>
    <cellStyle name="Vírgula 2 3 13 2 4 2" xfId="46445" xr:uid="{00000000-0005-0000-0000-000060B90000}"/>
    <cellStyle name="Vírgula 2 3 13 2 5" xfId="14289" xr:uid="{00000000-0005-0000-0000-000061B90000}"/>
    <cellStyle name="Vírgula 2 3 13 2 5 2" xfId="40482" xr:uid="{00000000-0005-0000-0000-000062B90000}"/>
    <cellStyle name="Vírgula 2 3 13 2 6" xfId="34096" xr:uid="{00000000-0005-0000-0000-000063B90000}"/>
    <cellStyle name="Vírgula 2 3 13 3" xfId="9444" xr:uid="{00000000-0005-0000-0000-000064B90000}"/>
    <cellStyle name="Vírgula 2 3 13 3 2" xfId="27658" xr:uid="{00000000-0005-0000-0000-000065B90000}"/>
    <cellStyle name="Vírgula 2 3 13 3 2 2" xfId="53839" xr:uid="{00000000-0005-0000-0000-000066B90000}"/>
    <cellStyle name="Vírgula 2 3 13 3 3" xfId="21744" xr:uid="{00000000-0005-0000-0000-000067B90000}"/>
    <cellStyle name="Vírgula 2 3 13 3 3 2" xfId="47931" xr:uid="{00000000-0005-0000-0000-000068B90000}"/>
    <cellStyle name="Vírgula 2 3 13 3 4" xfId="15830" xr:uid="{00000000-0005-0000-0000-000069B90000}"/>
    <cellStyle name="Vírgula 2 3 13 3 4 2" xfId="42023" xr:uid="{00000000-0005-0000-0000-00006AB90000}"/>
    <cellStyle name="Vírgula 2 3 13 3 5" xfId="35637" xr:uid="{00000000-0005-0000-0000-00006BB90000}"/>
    <cellStyle name="Vírgula 2 3 13 4" xfId="6199" xr:uid="{00000000-0005-0000-0000-00006CB90000}"/>
    <cellStyle name="Vírgula 2 3 13 4 2" xfId="24701" xr:uid="{00000000-0005-0000-0000-00006DB90000}"/>
    <cellStyle name="Vírgula 2 3 13 4 2 2" xfId="50885" xr:uid="{00000000-0005-0000-0000-00006EB90000}"/>
    <cellStyle name="Vírgula 2 3 13 4 3" xfId="32395" xr:uid="{00000000-0005-0000-0000-00006FB90000}"/>
    <cellStyle name="Vírgula 2 3 13 5" xfId="18787" xr:uid="{00000000-0005-0000-0000-000070B90000}"/>
    <cellStyle name="Vírgula 2 3 13 5 2" xfId="44977" xr:uid="{00000000-0005-0000-0000-000071B90000}"/>
    <cellStyle name="Vírgula 2 3 13 6" xfId="12588" xr:uid="{00000000-0005-0000-0000-000072B90000}"/>
    <cellStyle name="Vírgula 2 3 13 6 2" xfId="38781" xr:uid="{00000000-0005-0000-0000-000073B90000}"/>
    <cellStyle name="Vírgula 2 3 13 7" xfId="30698" xr:uid="{00000000-0005-0000-0000-000074B90000}"/>
    <cellStyle name="Vírgula 2 3 14" xfId="4793" xr:uid="{00000000-0005-0000-0000-000075B90000}"/>
    <cellStyle name="Vírgula 2 3 14 2" xfId="6494" xr:uid="{00000000-0005-0000-0000-000076B90000}"/>
    <cellStyle name="Vírgula 2 3 14 2 2" xfId="9644" xr:uid="{00000000-0005-0000-0000-000077B90000}"/>
    <cellStyle name="Vírgula 2 3 14 2 2 2" xfId="27858" xr:uid="{00000000-0005-0000-0000-000078B90000}"/>
    <cellStyle name="Vírgula 2 3 14 2 2 2 2" xfId="54039" xr:uid="{00000000-0005-0000-0000-000079B90000}"/>
    <cellStyle name="Vírgula 2 3 14 2 2 3" xfId="21944" xr:uid="{00000000-0005-0000-0000-00007AB90000}"/>
    <cellStyle name="Vírgula 2 3 14 2 2 3 2" xfId="48131" xr:uid="{00000000-0005-0000-0000-00007BB90000}"/>
    <cellStyle name="Vírgula 2 3 14 2 2 4" xfId="16030" xr:uid="{00000000-0005-0000-0000-00007CB90000}"/>
    <cellStyle name="Vírgula 2 3 14 2 2 4 2" xfId="42223" xr:uid="{00000000-0005-0000-0000-00007DB90000}"/>
    <cellStyle name="Vírgula 2 3 14 2 2 5" xfId="35837" xr:uid="{00000000-0005-0000-0000-00007EB90000}"/>
    <cellStyle name="Vírgula 2 3 14 2 3" xfId="24901" xr:uid="{00000000-0005-0000-0000-00007FB90000}"/>
    <cellStyle name="Vírgula 2 3 14 2 3 2" xfId="51085" xr:uid="{00000000-0005-0000-0000-000080B90000}"/>
    <cellStyle name="Vírgula 2 3 14 2 4" xfId="18987" xr:uid="{00000000-0005-0000-0000-000081B90000}"/>
    <cellStyle name="Vírgula 2 3 14 2 4 2" xfId="45177" xr:uid="{00000000-0005-0000-0000-000082B90000}"/>
    <cellStyle name="Vírgula 2 3 14 2 5" xfId="12883" xr:uid="{00000000-0005-0000-0000-000083B90000}"/>
    <cellStyle name="Vírgula 2 3 14 2 5 2" xfId="39076" xr:uid="{00000000-0005-0000-0000-000084B90000}"/>
    <cellStyle name="Vírgula 2 3 14 2 6" xfId="32690" xr:uid="{00000000-0005-0000-0000-000085B90000}"/>
    <cellStyle name="Vírgula 2 3 14 3" xfId="8173" xr:uid="{00000000-0005-0000-0000-000086B90000}"/>
    <cellStyle name="Vírgula 2 3 14 3 2" xfId="26387" xr:uid="{00000000-0005-0000-0000-000087B90000}"/>
    <cellStyle name="Vírgula 2 3 14 3 2 2" xfId="52571" xr:uid="{00000000-0005-0000-0000-000088B90000}"/>
    <cellStyle name="Vírgula 2 3 14 3 3" xfId="20473" xr:uid="{00000000-0005-0000-0000-000089B90000}"/>
    <cellStyle name="Vírgula 2 3 14 3 3 2" xfId="46663" xr:uid="{00000000-0005-0000-0000-00008AB90000}"/>
    <cellStyle name="Vírgula 2 3 14 3 4" xfId="14562" xr:uid="{00000000-0005-0000-0000-00008BB90000}"/>
    <cellStyle name="Vírgula 2 3 14 3 4 2" xfId="40755" xr:uid="{00000000-0005-0000-0000-00008CB90000}"/>
    <cellStyle name="Vírgula 2 3 14 3 5" xfId="34369" xr:uid="{00000000-0005-0000-0000-00008DB90000}"/>
    <cellStyle name="Vírgula 2 3 14 4" xfId="23430" xr:uid="{00000000-0005-0000-0000-00008EB90000}"/>
    <cellStyle name="Vírgula 2 3 14 4 2" xfId="49617" xr:uid="{00000000-0005-0000-0000-00008FB90000}"/>
    <cellStyle name="Vírgula 2 3 14 5" xfId="17516" xr:uid="{00000000-0005-0000-0000-000090B90000}"/>
    <cellStyle name="Vírgula 2 3 14 5 2" xfId="43709" xr:uid="{00000000-0005-0000-0000-000091B90000}"/>
    <cellStyle name="Vírgula 2 3 14 6" xfId="11182" xr:uid="{00000000-0005-0000-0000-000092B90000}"/>
    <cellStyle name="Vírgula 2 3 14 6 2" xfId="37375" xr:uid="{00000000-0005-0000-0000-000093B90000}"/>
    <cellStyle name="Vírgula 2 3 14 7" xfId="30991" xr:uid="{00000000-0005-0000-0000-000094B90000}"/>
    <cellStyle name="Vírgula 2 3 15" xfId="6308" xr:uid="{00000000-0005-0000-0000-000095B90000}"/>
    <cellStyle name="Vírgula 2 3 15 2" xfId="9506" xr:uid="{00000000-0005-0000-0000-000096B90000}"/>
    <cellStyle name="Vírgula 2 3 15 2 2" xfId="27720" xr:uid="{00000000-0005-0000-0000-000097B90000}"/>
    <cellStyle name="Vírgula 2 3 15 2 2 2" xfId="53901" xr:uid="{00000000-0005-0000-0000-000098B90000}"/>
    <cellStyle name="Vírgula 2 3 15 2 3" xfId="21806" xr:uid="{00000000-0005-0000-0000-000099B90000}"/>
    <cellStyle name="Vírgula 2 3 15 2 3 2" xfId="47993" xr:uid="{00000000-0005-0000-0000-00009AB90000}"/>
    <cellStyle name="Vírgula 2 3 15 2 4" xfId="15892" xr:uid="{00000000-0005-0000-0000-00009BB90000}"/>
    <cellStyle name="Vírgula 2 3 15 2 4 2" xfId="42085" xr:uid="{00000000-0005-0000-0000-00009CB90000}"/>
    <cellStyle name="Vírgula 2 3 15 2 5" xfId="35699" xr:uid="{00000000-0005-0000-0000-00009DB90000}"/>
    <cellStyle name="Vírgula 2 3 15 3" xfId="24763" xr:uid="{00000000-0005-0000-0000-00009EB90000}"/>
    <cellStyle name="Vírgula 2 3 15 3 2" xfId="50947" xr:uid="{00000000-0005-0000-0000-00009FB90000}"/>
    <cellStyle name="Vírgula 2 3 15 4" xfId="18849" xr:uid="{00000000-0005-0000-0000-0000A0B90000}"/>
    <cellStyle name="Vírgula 2 3 15 4 2" xfId="45039" xr:uid="{00000000-0005-0000-0000-0000A1B90000}"/>
    <cellStyle name="Vírgula 2 3 15 5" xfId="12697" xr:uid="{00000000-0005-0000-0000-0000A2B90000}"/>
    <cellStyle name="Vírgula 2 3 15 5 2" xfId="38890" xr:uid="{00000000-0005-0000-0000-0000A3B90000}"/>
    <cellStyle name="Vírgula 2 3 15 6" xfId="32504" xr:uid="{00000000-0005-0000-0000-0000A4B90000}"/>
    <cellStyle name="Vírgula 2 3 16" xfId="8035" xr:uid="{00000000-0005-0000-0000-0000A5B90000}"/>
    <cellStyle name="Vírgula 2 3 16 2" xfId="26249" xr:uid="{00000000-0005-0000-0000-0000A6B90000}"/>
    <cellStyle name="Vírgula 2 3 16 2 2" xfId="52433" xr:uid="{00000000-0005-0000-0000-0000A7B90000}"/>
    <cellStyle name="Vírgula 2 3 16 3" xfId="20335" xr:uid="{00000000-0005-0000-0000-0000A8B90000}"/>
    <cellStyle name="Vírgula 2 3 16 3 2" xfId="46525" xr:uid="{00000000-0005-0000-0000-0000A9B90000}"/>
    <cellStyle name="Vírgula 2 3 16 4" xfId="14424" xr:uid="{00000000-0005-0000-0000-0000AAB90000}"/>
    <cellStyle name="Vírgula 2 3 16 4 2" xfId="40617" xr:uid="{00000000-0005-0000-0000-0000ABB90000}"/>
    <cellStyle name="Vírgula 2 3 16 5" xfId="34231" xr:uid="{00000000-0005-0000-0000-0000ACB90000}"/>
    <cellStyle name="Vírgula 2 3 17" xfId="4606" xr:uid="{00000000-0005-0000-0000-0000ADB90000}"/>
    <cellStyle name="Vírgula 2 3 17 2" xfId="23292" xr:uid="{00000000-0005-0000-0000-0000AEB90000}"/>
    <cellStyle name="Vírgula 2 3 17 2 2" xfId="49479" xr:uid="{00000000-0005-0000-0000-0000AFB90000}"/>
    <cellStyle name="Vírgula 2 3 17 3" xfId="30806" xr:uid="{00000000-0005-0000-0000-0000B0B90000}"/>
    <cellStyle name="Vírgula 2 3 18" xfId="17378" xr:uid="{00000000-0005-0000-0000-0000B1B90000}"/>
    <cellStyle name="Vírgula 2 3 18 2" xfId="43571" xr:uid="{00000000-0005-0000-0000-0000B2B90000}"/>
    <cellStyle name="Vírgula 2 3 19" xfId="10997" xr:uid="{00000000-0005-0000-0000-0000B3B90000}"/>
    <cellStyle name="Vírgula 2 3 19 2" xfId="37190" xr:uid="{00000000-0005-0000-0000-0000B4B90000}"/>
    <cellStyle name="Vírgula 2 3 2" xfId="654" xr:uid="{00000000-0005-0000-0000-0000B5B90000}"/>
    <cellStyle name="Vírgula 2 3 2 2" xfId="6589" xr:uid="{00000000-0005-0000-0000-0000B6B90000}"/>
    <cellStyle name="Vírgula 2 3 2 2 2" xfId="9736" xr:uid="{00000000-0005-0000-0000-0000B7B90000}"/>
    <cellStyle name="Vírgula 2 3 2 2 2 2" xfId="27950" xr:uid="{00000000-0005-0000-0000-0000B8B90000}"/>
    <cellStyle name="Vírgula 2 3 2 2 2 2 2" xfId="54131" xr:uid="{00000000-0005-0000-0000-0000B9B90000}"/>
    <cellStyle name="Vírgula 2 3 2 2 2 3" xfId="22036" xr:uid="{00000000-0005-0000-0000-0000BAB90000}"/>
    <cellStyle name="Vírgula 2 3 2 2 2 3 2" xfId="48223" xr:uid="{00000000-0005-0000-0000-0000BBB90000}"/>
    <cellStyle name="Vírgula 2 3 2 2 2 4" xfId="16122" xr:uid="{00000000-0005-0000-0000-0000BCB90000}"/>
    <cellStyle name="Vírgula 2 3 2 2 2 4 2" xfId="42315" xr:uid="{00000000-0005-0000-0000-0000BDB90000}"/>
    <cellStyle name="Vírgula 2 3 2 2 2 5" xfId="35929" xr:uid="{00000000-0005-0000-0000-0000BEB90000}"/>
    <cellStyle name="Vírgula 2 3 2 2 3" xfId="24993" xr:uid="{00000000-0005-0000-0000-0000BFB90000}"/>
    <cellStyle name="Vírgula 2 3 2 2 3 2" xfId="51177" xr:uid="{00000000-0005-0000-0000-0000C0B90000}"/>
    <cellStyle name="Vírgula 2 3 2 2 4" xfId="19079" xr:uid="{00000000-0005-0000-0000-0000C1B90000}"/>
    <cellStyle name="Vírgula 2 3 2 2 4 2" xfId="45269" xr:uid="{00000000-0005-0000-0000-0000C2B90000}"/>
    <cellStyle name="Vírgula 2 3 2 2 5" xfId="12978" xr:uid="{00000000-0005-0000-0000-0000C3B90000}"/>
    <cellStyle name="Vírgula 2 3 2 2 5 2" xfId="39171" xr:uid="{00000000-0005-0000-0000-0000C4B90000}"/>
    <cellStyle name="Vírgula 2 3 2 2 6" xfId="32785" xr:uid="{00000000-0005-0000-0000-0000C5B90000}"/>
    <cellStyle name="Vírgula 2 3 2 3" xfId="8268" xr:uid="{00000000-0005-0000-0000-0000C6B90000}"/>
    <cellStyle name="Vírgula 2 3 2 3 2" xfId="26482" xr:uid="{00000000-0005-0000-0000-0000C7B90000}"/>
    <cellStyle name="Vírgula 2 3 2 3 2 2" xfId="52663" xr:uid="{00000000-0005-0000-0000-0000C8B90000}"/>
    <cellStyle name="Vírgula 2 3 2 3 3" xfId="20568" xr:uid="{00000000-0005-0000-0000-0000C9B90000}"/>
    <cellStyle name="Vírgula 2 3 2 3 3 2" xfId="46755" xr:uid="{00000000-0005-0000-0000-0000CAB90000}"/>
    <cellStyle name="Vírgula 2 3 2 3 4" xfId="14654" xr:uid="{00000000-0005-0000-0000-0000CBB90000}"/>
    <cellStyle name="Vírgula 2 3 2 3 4 2" xfId="40847" xr:uid="{00000000-0005-0000-0000-0000CCB90000}"/>
    <cellStyle name="Vírgula 2 3 2 3 5" xfId="34461" xr:uid="{00000000-0005-0000-0000-0000CDB90000}"/>
    <cellStyle name="Vírgula 2 3 2 4" xfId="4890" xr:uid="{00000000-0005-0000-0000-0000CEB90000}"/>
    <cellStyle name="Vírgula 2 3 2 4 2" xfId="23525" xr:uid="{00000000-0005-0000-0000-0000CFB90000}"/>
    <cellStyle name="Vírgula 2 3 2 4 2 2" xfId="49709" xr:uid="{00000000-0005-0000-0000-0000D0B90000}"/>
    <cellStyle name="Vírgula 2 3 2 4 3" xfId="31086" xr:uid="{00000000-0005-0000-0000-0000D1B90000}"/>
    <cellStyle name="Vírgula 2 3 2 5" xfId="17611" xr:uid="{00000000-0005-0000-0000-0000D2B90000}"/>
    <cellStyle name="Vírgula 2 3 2 5 2" xfId="43801" xr:uid="{00000000-0005-0000-0000-0000D3B90000}"/>
    <cellStyle name="Vírgula 2 3 2 6" xfId="11277" xr:uid="{00000000-0005-0000-0000-0000D4B90000}"/>
    <cellStyle name="Vírgula 2 3 2 6 2" xfId="37470" xr:uid="{00000000-0005-0000-0000-0000D5B90000}"/>
    <cellStyle name="Vírgula 2 3 2 7" xfId="29388" xr:uid="{00000000-0005-0000-0000-0000D6B90000}"/>
    <cellStyle name="Vírgula 2 3 20" xfId="29293" xr:uid="{00000000-0005-0000-0000-0000D7B90000}"/>
    <cellStyle name="Vírgula 2 3 3" xfId="858" xr:uid="{00000000-0005-0000-0000-0000D8B90000}"/>
    <cellStyle name="Vírgula 2 3 3 2" xfId="6666" xr:uid="{00000000-0005-0000-0000-0000D9B90000}"/>
    <cellStyle name="Vírgula 2 3 3 2 2" xfId="9813" xr:uid="{00000000-0005-0000-0000-0000DAB90000}"/>
    <cellStyle name="Vírgula 2 3 3 2 2 2" xfId="28027" xr:uid="{00000000-0005-0000-0000-0000DBB90000}"/>
    <cellStyle name="Vírgula 2 3 3 2 2 2 2" xfId="54208" xr:uid="{00000000-0005-0000-0000-0000DCB90000}"/>
    <cellStyle name="Vírgula 2 3 3 2 2 3" xfId="22113" xr:uid="{00000000-0005-0000-0000-0000DDB90000}"/>
    <cellStyle name="Vírgula 2 3 3 2 2 3 2" xfId="48300" xr:uid="{00000000-0005-0000-0000-0000DEB90000}"/>
    <cellStyle name="Vírgula 2 3 3 2 2 4" xfId="16199" xr:uid="{00000000-0005-0000-0000-0000DFB90000}"/>
    <cellStyle name="Vírgula 2 3 3 2 2 4 2" xfId="42392" xr:uid="{00000000-0005-0000-0000-0000E0B90000}"/>
    <cellStyle name="Vírgula 2 3 3 2 2 5" xfId="36006" xr:uid="{00000000-0005-0000-0000-0000E1B90000}"/>
    <cellStyle name="Vírgula 2 3 3 2 3" xfId="25070" xr:uid="{00000000-0005-0000-0000-0000E2B90000}"/>
    <cellStyle name="Vírgula 2 3 3 2 3 2" xfId="51254" xr:uid="{00000000-0005-0000-0000-0000E3B90000}"/>
    <cellStyle name="Vírgula 2 3 3 2 4" xfId="19156" xr:uid="{00000000-0005-0000-0000-0000E4B90000}"/>
    <cellStyle name="Vírgula 2 3 3 2 4 2" xfId="45346" xr:uid="{00000000-0005-0000-0000-0000E5B90000}"/>
    <cellStyle name="Vírgula 2 3 3 2 5" xfId="13055" xr:uid="{00000000-0005-0000-0000-0000E6B90000}"/>
    <cellStyle name="Vírgula 2 3 3 2 5 2" xfId="39248" xr:uid="{00000000-0005-0000-0000-0000E7B90000}"/>
    <cellStyle name="Vírgula 2 3 3 2 6" xfId="32862" xr:uid="{00000000-0005-0000-0000-0000E8B90000}"/>
    <cellStyle name="Vírgula 2 3 3 3" xfId="8345" xr:uid="{00000000-0005-0000-0000-0000E9B90000}"/>
    <cellStyle name="Vírgula 2 3 3 3 2" xfId="26559" xr:uid="{00000000-0005-0000-0000-0000EAB90000}"/>
    <cellStyle name="Vírgula 2 3 3 3 2 2" xfId="52740" xr:uid="{00000000-0005-0000-0000-0000EBB90000}"/>
    <cellStyle name="Vírgula 2 3 3 3 3" xfId="20645" xr:uid="{00000000-0005-0000-0000-0000ECB90000}"/>
    <cellStyle name="Vírgula 2 3 3 3 3 2" xfId="46832" xr:uid="{00000000-0005-0000-0000-0000EDB90000}"/>
    <cellStyle name="Vírgula 2 3 3 3 4" xfId="14731" xr:uid="{00000000-0005-0000-0000-0000EEB90000}"/>
    <cellStyle name="Vírgula 2 3 3 3 4 2" xfId="40924" xr:uid="{00000000-0005-0000-0000-0000EFB90000}"/>
    <cellStyle name="Vírgula 2 3 3 3 5" xfId="34538" xr:uid="{00000000-0005-0000-0000-0000F0B90000}"/>
    <cellStyle name="Vírgula 2 3 3 4" xfId="4967" xr:uid="{00000000-0005-0000-0000-0000F1B90000}"/>
    <cellStyle name="Vírgula 2 3 3 4 2" xfId="23602" xr:uid="{00000000-0005-0000-0000-0000F2B90000}"/>
    <cellStyle name="Vírgula 2 3 3 4 2 2" xfId="49786" xr:uid="{00000000-0005-0000-0000-0000F3B90000}"/>
    <cellStyle name="Vírgula 2 3 3 4 3" xfId="31163" xr:uid="{00000000-0005-0000-0000-0000F4B90000}"/>
    <cellStyle name="Vírgula 2 3 3 5" xfId="17688" xr:uid="{00000000-0005-0000-0000-0000F5B90000}"/>
    <cellStyle name="Vírgula 2 3 3 5 2" xfId="43878" xr:uid="{00000000-0005-0000-0000-0000F6B90000}"/>
    <cellStyle name="Vírgula 2 3 3 6" xfId="11354" xr:uid="{00000000-0005-0000-0000-0000F7B90000}"/>
    <cellStyle name="Vírgula 2 3 3 6 2" xfId="37547" xr:uid="{00000000-0005-0000-0000-0000F8B90000}"/>
    <cellStyle name="Vírgula 2 3 3 7" xfId="29465" xr:uid="{00000000-0005-0000-0000-0000F9B90000}"/>
    <cellStyle name="Vírgula 2 3 4" xfId="1209" xr:uid="{00000000-0005-0000-0000-0000FAB90000}"/>
    <cellStyle name="Vírgula 2 3 4 2" xfId="6764" xr:uid="{00000000-0005-0000-0000-0000FBB90000}"/>
    <cellStyle name="Vírgula 2 3 4 2 2" xfId="9911" xr:uid="{00000000-0005-0000-0000-0000FCB90000}"/>
    <cellStyle name="Vírgula 2 3 4 2 2 2" xfId="28125" xr:uid="{00000000-0005-0000-0000-0000FDB90000}"/>
    <cellStyle name="Vírgula 2 3 4 2 2 2 2" xfId="54306" xr:uid="{00000000-0005-0000-0000-0000FEB90000}"/>
    <cellStyle name="Vírgula 2 3 4 2 2 3" xfId="22211" xr:uid="{00000000-0005-0000-0000-0000FFB90000}"/>
    <cellStyle name="Vírgula 2 3 4 2 2 3 2" xfId="48398" xr:uid="{00000000-0005-0000-0000-000000BA0000}"/>
    <cellStyle name="Vírgula 2 3 4 2 2 4" xfId="16297" xr:uid="{00000000-0005-0000-0000-000001BA0000}"/>
    <cellStyle name="Vírgula 2 3 4 2 2 4 2" xfId="42490" xr:uid="{00000000-0005-0000-0000-000002BA0000}"/>
    <cellStyle name="Vírgula 2 3 4 2 2 5" xfId="36104" xr:uid="{00000000-0005-0000-0000-000003BA0000}"/>
    <cellStyle name="Vírgula 2 3 4 2 3" xfId="25168" xr:uid="{00000000-0005-0000-0000-000004BA0000}"/>
    <cellStyle name="Vírgula 2 3 4 2 3 2" xfId="51352" xr:uid="{00000000-0005-0000-0000-000005BA0000}"/>
    <cellStyle name="Vírgula 2 3 4 2 4" xfId="19254" xr:uid="{00000000-0005-0000-0000-000006BA0000}"/>
    <cellStyle name="Vírgula 2 3 4 2 4 2" xfId="45444" xr:uid="{00000000-0005-0000-0000-000007BA0000}"/>
    <cellStyle name="Vírgula 2 3 4 2 5" xfId="13153" xr:uid="{00000000-0005-0000-0000-000008BA0000}"/>
    <cellStyle name="Vírgula 2 3 4 2 5 2" xfId="39346" xr:uid="{00000000-0005-0000-0000-000009BA0000}"/>
    <cellStyle name="Vírgula 2 3 4 2 6" xfId="32960" xr:uid="{00000000-0005-0000-0000-00000ABA0000}"/>
    <cellStyle name="Vírgula 2 3 4 3" xfId="8443" xr:uid="{00000000-0005-0000-0000-00000BBA0000}"/>
    <cellStyle name="Vírgula 2 3 4 3 2" xfId="26657" xr:uid="{00000000-0005-0000-0000-00000CBA0000}"/>
    <cellStyle name="Vírgula 2 3 4 3 2 2" xfId="52838" xr:uid="{00000000-0005-0000-0000-00000DBA0000}"/>
    <cellStyle name="Vírgula 2 3 4 3 3" xfId="20743" xr:uid="{00000000-0005-0000-0000-00000EBA0000}"/>
    <cellStyle name="Vírgula 2 3 4 3 3 2" xfId="46930" xr:uid="{00000000-0005-0000-0000-00000FBA0000}"/>
    <cellStyle name="Vírgula 2 3 4 3 4" xfId="14829" xr:uid="{00000000-0005-0000-0000-000010BA0000}"/>
    <cellStyle name="Vírgula 2 3 4 3 4 2" xfId="41022" xr:uid="{00000000-0005-0000-0000-000011BA0000}"/>
    <cellStyle name="Vírgula 2 3 4 3 5" xfId="34636" xr:uid="{00000000-0005-0000-0000-000012BA0000}"/>
    <cellStyle name="Vírgula 2 3 4 4" xfId="5065" xr:uid="{00000000-0005-0000-0000-000013BA0000}"/>
    <cellStyle name="Vírgula 2 3 4 4 2" xfId="23700" xr:uid="{00000000-0005-0000-0000-000014BA0000}"/>
    <cellStyle name="Vírgula 2 3 4 4 2 2" xfId="49884" xr:uid="{00000000-0005-0000-0000-000015BA0000}"/>
    <cellStyle name="Vírgula 2 3 4 4 3" xfId="31261" xr:uid="{00000000-0005-0000-0000-000016BA0000}"/>
    <cellStyle name="Vírgula 2 3 4 5" xfId="17786" xr:uid="{00000000-0005-0000-0000-000017BA0000}"/>
    <cellStyle name="Vírgula 2 3 4 5 2" xfId="43976" xr:uid="{00000000-0005-0000-0000-000018BA0000}"/>
    <cellStyle name="Vírgula 2 3 4 6" xfId="11452" xr:uid="{00000000-0005-0000-0000-000019BA0000}"/>
    <cellStyle name="Vírgula 2 3 4 6 2" xfId="37645" xr:uid="{00000000-0005-0000-0000-00001ABA0000}"/>
    <cellStyle name="Vírgula 2 3 4 7" xfId="29563" xr:uid="{00000000-0005-0000-0000-00001BBA0000}"/>
    <cellStyle name="Vírgula 2 3 5" xfId="1644" xr:uid="{00000000-0005-0000-0000-00001CBA0000}"/>
    <cellStyle name="Vírgula 2 3 5 2" xfId="6883" xr:uid="{00000000-0005-0000-0000-00001DBA0000}"/>
    <cellStyle name="Vírgula 2 3 5 2 2" xfId="10030" xr:uid="{00000000-0005-0000-0000-00001EBA0000}"/>
    <cellStyle name="Vírgula 2 3 5 2 2 2" xfId="28244" xr:uid="{00000000-0005-0000-0000-00001FBA0000}"/>
    <cellStyle name="Vírgula 2 3 5 2 2 2 2" xfId="54425" xr:uid="{00000000-0005-0000-0000-000020BA0000}"/>
    <cellStyle name="Vírgula 2 3 5 2 2 3" xfId="22330" xr:uid="{00000000-0005-0000-0000-000021BA0000}"/>
    <cellStyle name="Vírgula 2 3 5 2 2 3 2" xfId="48517" xr:uid="{00000000-0005-0000-0000-000022BA0000}"/>
    <cellStyle name="Vírgula 2 3 5 2 2 4" xfId="16416" xr:uid="{00000000-0005-0000-0000-000023BA0000}"/>
    <cellStyle name="Vírgula 2 3 5 2 2 4 2" xfId="42609" xr:uid="{00000000-0005-0000-0000-000024BA0000}"/>
    <cellStyle name="Vírgula 2 3 5 2 2 5" xfId="36223" xr:uid="{00000000-0005-0000-0000-000025BA0000}"/>
    <cellStyle name="Vírgula 2 3 5 2 3" xfId="25287" xr:uid="{00000000-0005-0000-0000-000026BA0000}"/>
    <cellStyle name="Vírgula 2 3 5 2 3 2" xfId="51471" xr:uid="{00000000-0005-0000-0000-000027BA0000}"/>
    <cellStyle name="Vírgula 2 3 5 2 4" xfId="19373" xr:uid="{00000000-0005-0000-0000-000028BA0000}"/>
    <cellStyle name="Vírgula 2 3 5 2 4 2" xfId="45563" xr:uid="{00000000-0005-0000-0000-000029BA0000}"/>
    <cellStyle name="Vírgula 2 3 5 2 5" xfId="13272" xr:uid="{00000000-0005-0000-0000-00002ABA0000}"/>
    <cellStyle name="Vírgula 2 3 5 2 5 2" xfId="39465" xr:uid="{00000000-0005-0000-0000-00002BBA0000}"/>
    <cellStyle name="Vírgula 2 3 5 2 6" xfId="33079" xr:uid="{00000000-0005-0000-0000-00002CBA0000}"/>
    <cellStyle name="Vírgula 2 3 5 3" xfId="8562" xr:uid="{00000000-0005-0000-0000-00002DBA0000}"/>
    <cellStyle name="Vírgula 2 3 5 3 2" xfId="26776" xr:uid="{00000000-0005-0000-0000-00002EBA0000}"/>
    <cellStyle name="Vírgula 2 3 5 3 2 2" xfId="52957" xr:uid="{00000000-0005-0000-0000-00002FBA0000}"/>
    <cellStyle name="Vírgula 2 3 5 3 3" xfId="20862" xr:uid="{00000000-0005-0000-0000-000030BA0000}"/>
    <cellStyle name="Vírgula 2 3 5 3 3 2" xfId="47049" xr:uid="{00000000-0005-0000-0000-000031BA0000}"/>
    <cellStyle name="Vírgula 2 3 5 3 4" xfId="14948" xr:uid="{00000000-0005-0000-0000-000032BA0000}"/>
    <cellStyle name="Vírgula 2 3 5 3 4 2" xfId="41141" xr:uid="{00000000-0005-0000-0000-000033BA0000}"/>
    <cellStyle name="Vírgula 2 3 5 3 5" xfId="34755" xr:uid="{00000000-0005-0000-0000-000034BA0000}"/>
    <cellStyle name="Vírgula 2 3 5 4" xfId="5184" xr:uid="{00000000-0005-0000-0000-000035BA0000}"/>
    <cellStyle name="Vírgula 2 3 5 4 2" xfId="23819" xr:uid="{00000000-0005-0000-0000-000036BA0000}"/>
    <cellStyle name="Vírgula 2 3 5 4 2 2" xfId="50003" xr:uid="{00000000-0005-0000-0000-000037BA0000}"/>
    <cellStyle name="Vírgula 2 3 5 4 3" xfId="31380" xr:uid="{00000000-0005-0000-0000-000038BA0000}"/>
    <cellStyle name="Vírgula 2 3 5 5" xfId="17905" xr:uid="{00000000-0005-0000-0000-000039BA0000}"/>
    <cellStyle name="Vírgula 2 3 5 5 2" xfId="44095" xr:uid="{00000000-0005-0000-0000-00003ABA0000}"/>
    <cellStyle name="Vírgula 2 3 5 6" xfId="11571" xr:uid="{00000000-0005-0000-0000-00003BBA0000}"/>
    <cellStyle name="Vírgula 2 3 5 6 2" xfId="37764" xr:uid="{00000000-0005-0000-0000-00003CBA0000}"/>
    <cellStyle name="Vírgula 2 3 5 7" xfId="29682" xr:uid="{00000000-0005-0000-0000-00003DBA0000}"/>
    <cellStyle name="Vírgula 2 3 6" xfId="2174" xr:uid="{00000000-0005-0000-0000-00003EBA0000}"/>
    <cellStyle name="Vírgula 2 3 6 2" xfId="7033" xr:uid="{00000000-0005-0000-0000-00003FBA0000}"/>
    <cellStyle name="Vírgula 2 3 6 2 2" xfId="10177" xr:uid="{00000000-0005-0000-0000-000040BA0000}"/>
    <cellStyle name="Vírgula 2 3 6 2 2 2" xfId="28391" xr:uid="{00000000-0005-0000-0000-000041BA0000}"/>
    <cellStyle name="Vírgula 2 3 6 2 2 2 2" xfId="54572" xr:uid="{00000000-0005-0000-0000-000042BA0000}"/>
    <cellStyle name="Vírgula 2 3 6 2 2 3" xfId="22477" xr:uid="{00000000-0005-0000-0000-000043BA0000}"/>
    <cellStyle name="Vírgula 2 3 6 2 2 3 2" xfId="48664" xr:uid="{00000000-0005-0000-0000-000044BA0000}"/>
    <cellStyle name="Vírgula 2 3 6 2 2 4" xfId="16563" xr:uid="{00000000-0005-0000-0000-000045BA0000}"/>
    <cellStyle name="Vírgula 2 3 6 2 2 4 2" xfId="42756" xr:uid="{00000000-0005-0000-0000-000046BA0000}"/>
    <cellStyle name="Vírgula 2 3 6 2 2 5" xfId="36370" xr:uid="{00000000-0005-0000-0000-000047BA0000}"/>
    <cellStyle name="Vírgula 2 3 6 2 3" xfId="25434" xr:uid="{00000000-0005-0000-0000-000048BA0000}"/>
    <cellStyle name="Vírgula 2 3 6 2 3 2" xfId="51618" xr:uid="{00000000-0005-0000-0000-000049BA0000}"/>
    <cellStyle name="Vírgula 2 3 6 2 4" xfId="19520" xr:uid="{00000000-0005-0000-0000-00004ABA0000}"/>
    <cellStyle name="Vírgula 2 3 6 2 4 2" xfId="45710" xr:uid="{00000000-0005-0000-0000-00004BBA0000}"/>
    <cellStyle name="Vírgula 2 3 6 2 5" xfId="13422" xr:uid="{00000000-0005-0000-0000-00004CBA0000}"/>
    <cellStyle name="Vírgula 2 3 6 2 5 2" xfId="39615" xr:uid="{00000000-0005-0000-0000-00004DBA0000}"/>
    <cellStyle name="Vírgula 2 3 6 2 6" xfId="33229" xr:uid="{00000000-0005-0000-0000-00004EBA0000}"/>
    <cellStyle name="Vírgula 2 3 6 3" xfId="8709" xr:uid="{00000000-0005-0000-0000-00004FBA0000}"/>
    <cellStyle name="Vírgula 2 3 6 3 2" xfId="26923" xr:uid="{00000000-0005-0000-0000-000050BA0000}"/>
    <cellStyle name="Vírgula 2 3 6 3 2 2" xfId="53104" xr:uid="{00000000-0005-0000-0000-000051BA0000}"/>
    <cellStyle name="Vírgula 2 3 6 3 3" xfId="21009" xr:uid="{00000000-0005-0000-0000-000052BA0000}"/>
    <cellStyle name="Vírgula 2 3 6 3 3 2" xfId="47196" xr:uid="{00000000-0005-0000-0000-000053BA0000}"/>
    <cellStyle name="Vírgula 2 3 6 3 4" xfId="15095" xr:uid="{00000000-0005-0000-0000-000054BA0000}"/>
    <cellStyle name="Vírgula 2 3 6 3 4 2" xfId="41288" xr:uid="{00000000-0005-0000-0000-000055BA0000}"/>
    <cellStyle name="Vírgula 2 3 6 3 5" xfId="34902" xr:uid="{00000000-0005-0000-0000-000056BA0000}"/>
    <cellStyle name="Vírgula 2 3 6 4" xfId="5334" xr:uid="{00000000-0005-0000-0000-000057BA0000}"/>
    <cellStyle name="Vírgula 2 3 6 4 2" xfId="23966" xr:uid="{00000000-0005-0000-0000-000058BA0000}"/>
    <cellStyle name="Vírgula 2 3 6 4 2 2" xfId="50150" xr:uid="{00000000-0005-0000-0000-000059BA0000}"/>
    <cellStyle name="Vírgula 2 3 6 4 3" xfId="31530" xr:uid="{00000000-0005-0000-0000-00005ABA0000}"/>
    <cellStyle name="Vírgula 2 3 6 5" xfId="18052" xr:uid="{00000000-0005-0000-0000-00005BBA0000}"/>
    <cellStyle name="Vírgula 2 3 6 5 2" xfId="44242" xr:uid="{00000000-0005-0000-0000-00005CBA0000}"/>
    <cellStyle name="Vírgula 2 3 6 6" xfId="11721" xr:uid="{00000000-0005-0000-0000-00005DBA0000}"/>
    <cellStyle name="Vírgula 2 3 6 6 2" xfId="37914" xr:uid="{00000000-0005-0000-0000-00005EBA0000}"/>
    <cellStyle name="Vírgula 2 3 6 7" xfId="29832" xr:uid="{00000000-0005-0000-0000-00005FBA0000}"/>
    <cellStyle name="Vírgula 2 3 7" xfId="2701" xr:uid="{00000000-0005-0000-0000-000060BA0000}"/>
    <cellStyle name="Vírgula 2 3 7 2" xfId="7180" xr:uid="{00000000-0005-0000-0000-000061BA0000}"/>
    <cellStyle name="Vírgula 2 3 7 2 2" xfId="10324" xr:uid="{00000000-0005-0000-0000-000062BA0000}"/>
    <cellStyle name="Vírgula 2 3 7 2 2 2" xfId="28538" xr:uid="{00000000-0005-0000-0000-000063BA0000}"/>
    <cellStyle name="Vírgula 2 3 7 2 2 2 2" xfId="54719" xr:uid="{00000000-0005-0000-0000-000064BA0000}"/>
    <cellStyle name="Vírgula 2 3 7 2 2 3" xfId="22624" xr:uid="{00000000-0005-0000-0000-000065BA0000}"/>
    <cellStyle name="Vírgula 2 3 7 2 2 3 2" xfId="48811" xr:uid="{00000000-0005-0000-0000-000066BA0000}"/>
    <cellStyle name="Vírgula 2 3 7 2 2 4" xfId="16710" xr:uid="{00000000-0005-0000-0000-000067BA0000}"/>
    <cellStyle name="Vírgula 2 3 7 2 2 4 2" xfId="42903" xr:uid="{00000000-0005-0000-0000-000068BA0000}"/>
    <cellStyle name="Vírgula 2 3 7 2 2 5" xfId="36517" xr:uid="{00000000-0005-0000-0000-000069BA0000}"/>
    <cellStyle name="Vírgula 2 3 7 2 3" xfId="25581" xr:uid="{00000000-0005-0000-0000-00006ABA0000}"/>
    <cellStyle name="Vírgula 2 3 7 2 3 2" xfId="51765" xr:uid="{00000000-0005-0000-0000-00006BBA0000}"/>
    <cellStyle name="Vírgula 2 3 7 2 4" xfId="19667" xr:uid="{00000000-0005-0000-0000-00006CBA0000}"/>
    <cellStyle name="Vírgula 2 3 7 2 4 2" xfId="45857" xr:uid="{00000000-0005-0000-0000-00006DBA0000}"/>
    <cellStyle name="Vírgula 2 3 7 2 5" xfId="13569" xr:uid="{00000000-0005-0000-0000-00006EBA0000}"/>
    <cellStyle name="Vírgula 2 3 7 2 5 2" xfId="39762" xr:uid="{00000000-0005-0000-0000-00006FBA0000}"/>
    <cellStyle name="Vírgula 2 3 7 2 6" xfId="33376" xr:uid="{00000000-0005-0000-0000-000070BA0000}"/>
    <cellStyle name="Vírgula 2 3 7 3" xfId="8856" xr:uid="{00000000-0005-0000-0000-000071BA0000}"/>
    <cellStyle name="Vírgula 2 3 7 3 2" xfId="27070" xr:uid="{00000000-0005-0000-0000-000072BA0000}"/>
    <cellStyle name="Vírgula 2 3 7 3 2 2" xfId="53251" xr:uid="{00000000-0005-0000-0000-000073BA0000}"/>
    <cellStyle name="Vírgula 2 3 7 3 3" xfId="21156" xr:uid="{00000000-0005-0000-0000-000074BA0000}"/>
    <cellStyle name="Vírgula 2 3 7 3 3 2" xfId="47343" xr:uid="{00000000-0005-0000-0000-000075BA0000}"/>
    <cellStyle name="Vírgula 2 3 7 3 4" xfId="15242" xr:uid="{00000000-0005-0000-0000-000076BA0000}"/>
    <cellStyle name="Vírgula 2 3 7 3 4 2" xfId="41435" xr:uid="{00000000-0005-0000-0000-000077BA0000}"/>
    <cellStyle name="Vírgula 2 3 7 3 5" xfId="35049" xr:uid="{00000000-0005-0000-0000-000078BA0000}"/>
    <cellStyle name="Vírgula 2 3 7 4" xfId="5481" xr:uid="{00000000-0005-0000-0000-000079BA0000}"/>
    <cellStyle name="Vírgula 2 3 7 4 2" xfId="24113" xr:uid="{00000000-0005-0000-0000-00007ABA0000}"/>
    <cellStyle name="Vírgula 2 3 7 4 2 2" xfId="50297" xr:uid="{00000000-0005-0000-0000-00007BBA0000}"/>
    <cellStyle name="Vírgula 2 3 7 4 3" xfId="31677" xr:uid="{00000000-0005-0000-0000-00007CBA0000}"/>
    <cellStyle name="Vírgula 2 3 7 5" xfId="18199" xr:uid="{00000000-0005-0000-0000-00007DBA0000}"/>
    <cellStyle name="Vírgula 2 3 7 5 2" xfId="44389" xr:uid="{00000000-0005-0000-0000-00007EBA0000}"/>
    <cellStyle name="Vírgula 2 3 7 6" xfId="11868" xr:uid="{00000000-0005-0000-0000-00007FBA0000}"/>
    <cellStyle name="Vírgula 2 3 7 6 2" xfId="38061" xr:uid="{00000000-0005-0000-0000-000080BA0000}"/>
    <cellStyle name="Vírgula 2 3 7 7" xfId="29979" xr:uid="{00000000-0005-0000-0000-000081BA0000}"/>
    <cellStyle name="Vírgula 2 3 8" xfId="3228" xr:uid="{00000000-0005-0000-0000-000082BA0000}"/>
    <cellStyle name="Vírgula 2 3 8 2" xfId="7327" xr:uid="{00000000-0005-0000-0000-000083BA0000}"/>
    <cellStyle name="Vírgula 2 3 8 2 2" xfId="10471" xr:uid="{00000000-0005-0000-0000-000084BA0000}"/>
    <cellStyle name="Vírgula 2 3 8 2 2 2" xfId="28685" xr:uid="{00000000-0005-0000-0000-000085BA0000}"/>
    <cellStyle name="Vírgula 2 3 8 2 2 2 2" xfId="54866" xr:uid="{00000000-0005-0000-0000-000086BA0000}"/>
    <cellStyle name="Vírgula 2 3 8 2 2 3" xfId="22771" xr:uid="{00000000-0005-0000-0000-000087BA0000}"/>
    <cellStyle name="Vírgula 2 3 8 2 2 3 2" xfId="48958" xr:uid="{00000000-0005-0000-0000-000088BA0000}"/>
    <cellStyle name="Vírgula 2 3 8 2 2 4" xfId="16857" xr:uid="{00000000-0005-0000-0000-000089BA0000}"/>
    <cellStyle name="Vírgula 2 3 8 2 2 4 2" xfId="43050" xr:uid="{00000000-0005-0000-0000-00008ABA0000}"/>
    <cellStyle name="Vírgula 2 3 8 2 2 5" xfId="36664" xr:uid="{00000000-0005-0000-0000-00008BBA0000}"/>
    <cellStyle name="Vírgula 2 3 8 2 3" xfId="25728" xr:uid="{00000000-0005-0000-0000-00008CBA0000}"/>
    <cellStyle name="Vírgula 2 3 8 2 3 2" xfId="51912" xr:uid="{00000000-0005-0000-0000-00008DBA0000}"/>
    <cellStyle name="Vírgula 2 3 8 2 4" xfId="19814" xr:uid="{00000000-0005-0000-0000-00008EBA0000}"/>
    <cellStyle name="Vírgula 2 3 8 2 4 2" xfId="46004" xr:uid="{00000000-0005-0000-0000-00008FBA0000}"/>
    <cellStyle name="Vírgula 2 3 8 2 5" xfId="13716" xr:uid="{00000000-0005-0000-0000-000090BA0000}"/>
    <cellStyle name="Vírgula 2 3 8 2 5 2" xfId="39909" xr:uid="{00000000-0005-0000-0000-000091BA0000}"/>
    <cellStyle name="Vírgula 2 3 8 2 6" xfId="33523" xr:uid="{00000000-0005-0000-0000-000092BA0000}"/>
    <cellStyle name="Vírgula 2 3 8 3" xfId="9003" xr:uid="{00000000-0005-0000-0000-000093BA0000}"/>
    <cellStyle name="Vírgula 2 3 8 3 2" xfId="27217" xr:uid="{00000000-0005-0000-0000-000094BA0000}"/>
    <cellStyle name="Vírgula 2 3 8 3 2 2" xfId="53398" xr:uid="{00000000-0005-0000-0000-000095BA0000}"/>
    <cellStyle name="Vírgula 2 3 8 3 3" xfId="21303" xr:uid="{00000000-0005-0000-0000-000096BA0000}"/>
    <cellStyle name="Vírgula 2 3 8 3 3 2" xfId="47490" xr:uid="{00000000-0005-0000-0000-000097BA0000}"/>
    <cellStyle name="Vírgula 2 3 8 3 4" xfId="15389" xr:uid="{00000000-0005-0000-0000-000098BA0000}"/>
    <cellStyle name="Vírgula 2 3 8 3 4 2" xfId="41582" xr:uid="{00000000-0005-0000-0000-000099BA0000}"/>
    <cellStyle name="Vírgula 2 3 8 3 5" xfId="35196" xr:uid="{00000000-0005-0000-0000-00009ABA0000}"/>
    <cellStyle name="Vírgula 2 3 8 4" xfId="5628" xr:uid="{00000000-0005-0000-0000-00009BBA0000}"/>
    <cellStyle name="Vírgula 2 3 8 4 2" xfId="24260" xr:uid="{00000000-0005-0000-0000-00009CBA0000}"/>
    <cellStyle name="Vírgula 2 3 8 4 2 2" xfId="50444" xr:uid="{00000000-0005-0000-0000-00009DBA0000}"/>
    <cellStyle name="Vírgula 2 3 8 4 3" xfId="31824" xr:uid="{00000000-0005-0000-0000-00009EBA0000}"/>
    <cellStyle name="Vírgula 2 3 8 5" xfId="18346" xr:uid="{00000000-0005-0000-0000-00009FBA0000}"/>
    <cellStyle name="Vírgula 2 3 8 5 2" xfId="44536" xr:uid="{00000000-0005-0000-0000-0000A0BA0000}"/>
    <cellStyle name="Vírgula 2 3 8 6" xfId="12015" xr:uid="{00000000-0005-0000-0000-0000A1BA0000}"/>
    <cellStyle name="Vírgula 2 3 8 6 2" xfId="38208" xr:uid="{00000000-0005-0000-0000-0000A2BA0000}"/>
    <cellStyle name="Vírgula 2 3 8 7" xfId="30126" xr:uid="{00000000-0005-0000-0000-0000A3BA0000}"/>
    <cellStyle name="Vírgula 2 3 9" xfId="3755" xr:uid="{00000000-0005-0000-0000-0000A4BA0000}"/>
    <cellStyle name="Vírgula 2 3 9 2" xfId="7474" xr:uid="{00000000-0005-0000-0000-0000A5BA0000}"/>
    <cellStyle name="Vírgula 2 3 9 2 2" xfId="10618" xr:uid="{00000000-0005-0000-0000-0000A6BA0000}"/>
    <cellStyle name="Vírgula 2 3 9 2 2 2" xfId="28832" xr:uid="{00000000-0005-0000-0000-0000A7BA0000}"/>
    <cellStyle name="Vírgula 2 3 9 2 2 2 2" xfId="55013" xr:uid="{00000000-0005-0000-0000-0000A8BA0000}"/>
    <cellStyle name="Vírgula 2 3 9 2 2 3" xfId="22918" xr:uid="{00000000-0005-0000-0000-0000A9BA0000}"/>
    <cellStyle name="Vírgula 2 3 9 2 2 3 2" xfId="49105" xr:uid="{00000000-0005-0000-0000-0000AABA0000}"/>
    <cellStyle name="Vírgula 2 3 9 2 2 4" xfId="17004" xr:uid="{00000000-0005-0000-0000-0000ABBA0000}"/>
    <cellStyle name="Vírgula 2 3 9 2 2 4 2" xfId="43197" xr:uid="{00000000-0005-0000-0000-0000ACBA0000}"/>
    <cellStyle name="Vírgula 2 3 9 2 2 5" xfId="36811" xr:uid="{00000000-0005-0000-0000-0000ADBA0000}"/>
    <cellStyle name="Vírgula 2 3 9 2 3" xfId="25875" xr:uid="{00000000-0005-0000-0000-0000AEBA0000}"/>
    <cellStyle name="Vírgula 2 3 9 2 3 2" xfId="52059" xr:uid="{00000000-0005-0000-0000-0000AFBA0000}"/>
    <cellStyle name="Vírgula 2 3 9 2 4" xfId="19961" xr:uid="{00000000-0005-0000-0000-0000B0BA0000}"/>
    <cellStyle name="Vírgula 2 3 9 2 4 2" xfId="46151" xr:uid="{00000000-0005-0000-0000-0000B1BA0000}"/>
    <cellStyle name="Vírgula 2 3 9 2 5" xfId="13863" xr:uid="{00000000-0005-0000-0000-0000B2BA0000}"/>
    <cellStyle name="Vírgula 2 3 9 2 5 2" xfId="40056" xr:uid="{00000000-0005-0000-0000-0000B3BA0000}"/>
    <cellStyle name="Vírgula 2 3 9 2 6" xfId="33670" xr:uid="{00000000-0005-0000-0000-0000B4BA0000}"/>
    <cellStyle name="Vírgula 2 3 9 3" xfId="9150" xr:uid="{00000000-0005-0000-0000-0000B5BA0000}"/>
    <cellStyle name="Vírgula 2 3 9 3 2" xfId="27364" xr:uid="{00000000-0005-0000-0000-0000B6BA0000}"/>
    <cellStyle name="Vírgula 2 3 9 3 2 2" xfId="53545" xr:uid="{00000000-0005-0000-0000-0000B7BA0000}"/>
    <cellStyle name="Vírgula 2 3 9 3 3" xfId="21450" xr:uid="{00000000-0005-0000-0000-0000B8BA0000}"/>
    <cellStyle name="Vírgula 2 3 9 3 3 2" xfId="47637" xr:uid="{00000000-0005-0000-0000-0000B9BA0000}"/>
    <cellStyle name="Vírgula 2 3 9 3 4" xfId="15536" xr:uid="{00000000-0005-0000-0000-0000BABA0000}"/>
    <cellStyle name="Vírgula 2 3 9 3 4 2" xfId="41729" xr:uid="{00000000-0005-0000-0000-0000BBBA0000}"/>
    <cellStyle name="Vírgula 2 3 9 3 5" xfId="35343" xr:uid="{00000000-0005-0000-0000-0000BCBA0000}"/>
    <cellStyle name="Vírgula 2 3 9 4" xfId="5775" xr:uid="{00000000-0005-0000-0000-0000BDBA0000}"/>
    <cellStyle name="Vírgula 2 3 9 4 2" xfId="24407" xr:uid="{00000000-0005-0000-0000-0000BEBA0000}"/>
    <cellStyle name="Vírgula 2 3 9 4 2 2" xfId="50591" xr:uid="{00000000-0005-0000-0000-0000BFBA0000}"/>
    <cellStyle name="Vírgula 2 3 9 4 3" xfId="31971" xr:uid="{00000000-0005-0000-0000-0000C0BA0000}"/>
    <cellStyle name="Vírgula 2 3 9 5" xfId="18493" xr:uid="{00000000-0005-0000-0000-0000C1BA0000}"/>
    <cellStyle name="Vírgula 2 3 9 5 2" xfId="44683" xr:uid="{00000000-0005-0000-0000-0000C2BA0000}"/>
    <cellStyle name="Vírgula 2 3 9 6" xfId="12162" xr:uid="{00000000-0005-0000-0000-0000C3BA0000}"/>
    <cellStyle name="Vírgula 2 3 9 6 2" xfId="38355" xr:uid="{00000000-0005-0000-0000-0000C4BA0000}"/>
    <cellStyle name="Vírgula 2 3 9 7" xfId="30273" xr:uid="{00000000-0005-0000-0000-0000C5BA0000}"/>
    <cellStyle name="Vírgula 2 4" xfId="4236" xr:uid="{00000000-0005-0000-0000-0000C6BA0000}"/>
    <cellStyle name="Vírgula 2 4 10" xfId="11027" xr:uid="{00000000-0005-0000-0000-0000C7BA0000}"/>
    <cellStyle name="Vírgula 2 4 10 2" xfId="37220" xr:uid="{00000000-0005-0000-0000-0000C8BA0000}"/>
    <cellStyle name="Vírgula 2 4 11" xfId="30436" xr:uid="{00000000-0005-0000-0000-0000C9BA0000}"/>
    <cellStyle name="Vírgula 2 4 2" xfId="4313" xr:uid="{00000000-0005-0000-0000-0000CABA0000}"/>
    <cellStyle name="Vírgula 2 4 2 2" xfId="7714" xr:uid="{00000000-0005-0000-0000-0000CBBA0000}"/>
    <cellStyle name="Vírgula 2 4 2 2 2" xfId="10806" xr:uid="{00000000-0005-0000-0000-0000CCBA0000}"/>
    <cellStyle name="Vírgula 2 4 2 2 2 2" xfId="29020" xr:uid="{00000000-0005-0000-0000-0000CDBA0000}"/>
    <cellStyle name="Vírgula 2 4 2 2 2 2 2" xfId="55201" xr:uid="{00000000-0005-0000-0000-0000CEBA0000}"/>
    <cellStyle name="Vírgula 2 4 2 2 2 3" xfId="23106" xr:uid="{00000000-0005-0000-0000-0000CFBA0000}"/>
    <cellStyle name="Vírgula 2 4 2 2 2 3 2" xfId="49293" xr:uid="{00000000-0005-0000-0000-0000D0BA0000}"/>
    <cellStyle name="Vírgula 2 4 2 2 2 4" xfId="17192" xr:uid="{00000000-0005-0000-0000-0000D1BA0000}"/>
    <cellStyle name="Vírgula 2 4 2 2 2 4 2" xfId="43385" xr:uid="{00000000-0005-0000-0000-0000D2BA0000}"/>
    <cellStyle name="Vírgula 2 4 2 2 2 5" xfId="36999" xr:uid="{00000000-0005-0000-0000-0000D3BA0000}"/>
    <cellStyle name="Vírgula 2 4 2 2 3" xfId="26063" xr:uid="{00000000-0005-0000-0000-0000D4BA0000}"/>
    <cellStyle name="Vírgula 2 4 2 2 3 2" xfId="52247" xr:uid="{00000000-0005-0000-0000-0000D5BA0000}"/>
    <cellStyle name="Vírgula 2 4 2 2 4" xfId="20149" xr:uid="{00000000-0005-0000-0000-0000D6BA0000}"/>
    <cellStyle name="Vírgula 2 4 2 2 4 2" xfId="46339" xr:uid="{00000000-0005-0000-0000-0000D7BA0000}"/>
    <cellStyle name="Vírgula 2 4 2 2 5" xfId="14103" xr:uid="{00000000-0005-0000-0000-0000D8BA0000}"/>
    <cellStyle name="Vírgula 2 4 2 2 5 2" xfId="40296" xr:uid="{00000000-0005-0000-0000-0000D9BA0000}"/>
    <cellStyle name="Vírgula 2 4 2 2 6" xfId="33910" xr:uid="{00000000-0005-0000-0000-0000DABA0000}"/>
    <cellStyle name="Vírgula 2 4 2 3" xfId="9338" xr:uid="{00000000-0005-0000-0000-0000DBBA0000}"/>
    <cellStyle name="Vírgula 2 4 2 3 2" xfId="27552" xr:uid="{00000000-0005-0000-0000-0000DCBA0000}"/>
    <cellStyle name="Vírgula 2 4 2 3 2 2" xfId="53733" xr:uid="{00000000-0005-0000-0000-0000DDBA0000}"/>
    <cellStyle name="Vírgula 2 4 2 3 3" xfId="21638" xr:uid="{00000000-0005-0000-0000-0000DEBA0000}"/>
    <cellStyle name="Vírgula 2 4 2 3 3 2" xfId="47825" xr:uid="{00000000-0005-0000-0000-0000DFBA0000}"/>
    <cellStyle name="Vírgula 2 4 2 3 4" xfId="15724" xr:uid="{00000000-0005-0000-0000-0000E0BA0000}"/>
    <cellStyle name="Vírgula 2 4 2 3 4 2" xfId="41917" xr:uid="{00000000-0005-0000-0000-0000E1BA0000}"/>
    <cellStyle name="Vírgula 2 4 2 3 5" xfId="35531" xr:uid="{00000000-0005-0000-0000-0000E2BA0000}"/>
    <cellStyle name="Vírgula 2 4 2 4" xfId="6014" xr:uid="{00000000-0005-0000-0000-0000E3BA0000}"/>
    <cellStyle name="Vírgula 2 4 2 4 2" xfId="24595" xr:uid="{00000000-0005-0000-0000-0000E4BA0000}"/>
    <cellStyle name="Vírgula 2 4 2 4 2 2" xfId="50779" xr:uid="{00000000-0005-0000-0000-0000E5BA0000}"/>
    <cellStyle name="Vírgula 2 4 2 4 3" xfId="32210" xr:uid="{00000000-0005-0000-0000-0000E6BA0000}"/>
    <cellStyle name="Vírgula 2 4 2 5" xfId="18681" xr:uid="{00000000-0005-0000-0000-0000E7BA0000}"/>
    <cellStyle name="Vírgula 2 4 2 5 2" xfId="44871" xr:uid="{00000000-0005-0000-0000-0000E8BA0000}"/>
    <cellStyle name="Vírgula 2 4 2 6" xfId="12402" xr:uid="{00000000-0005-0000-0000-0000E9BA0000}"/>
    <cellStyle name="Vírgula 2 4 2 6 2" xfId="38595" xr:uid="{00000000-0005-0000-0000-0000EABA0000}"/>
    <cellStyle name="Vírgula 2 4 2 7" xfId="30513" xr:uid="{00000000-0005-0000-0000-0000EBBA0000}"/>
    <cellStyle name="Vírgula 2 4 3" xfId="4421" xr:uid="{00000000-0005-0000-0000-0000ECBA0000}"/>
    <cellStyle name="Vírgula 2 4 3 2" xfId="7823" xr:uid="{00000000-0005-0000-0000-0000EDBA0000}"/>
    <cellStyle name="Vírgula 2 4 3 2 2" xfId="10868" xr:uid="{00000000-0005-0000-0000-0000EEBA0000}"/>
    <cellStyle name="Vírgula 2 4 3 2 2 2" xfId="29082" xr:uid="{00000000-0005-0000-0000-0000EFBA0000}"/>
    <cellStyle name="Vírgula 2 4 3 2 2 2 2" xfId="55263" xr:uid="{00000000-0005-0000-0000-0000F0BA0000}"/>
    <cellStyle name="Vírgula 2 4 3 2 2 3" xfId="23168" xr:uid="{00000000-0005-0000-0000-0000F1BA0000}"/>
    <cellStyle name="Vírgula 2 4 3 2 2 3 2" xfId="49355" xr:uid="{00000000-0005-0000-0000-0000F2BA0000}"/>
    <cellStyle name="Vírgula 2 4 3 2 2 4" xfId="17254" xr:uid="{00000000-0005-0000-0000-0000F3BA0000}"/>
    <cellStyle name="Vírgula 2 4 3 2 2 4 2" xfId="43447" xr:uid="{00000000-0005-0000-0000-0000F4BA0000}"/>
    <cellStyle name="Vírgula 2 4 3 2 2 5" xfId="37061" xr:uid="{00000000-0005-0000-0000-0000F5BA0000}"/>
    <cellStyle name="Vírgula 2 4 3 2 3" xfId="26125" xr:uid="{00000000-0005-0000-0000-0000F6BA0000}"/>
    <cellStyle name="Vírgula 2 4 3 2 3 2" xfId="52309" xr:uid="{00000000-0005-0000-0000-0000F7BA0000}"/>
    <cellStyle name="Vírgula 2 4 3 2 4" xfId="20211" xr:uid="{00000000-0005-0000-0000-0000F8BA0000}"/>
    <cellStyle name="Vírgula 2 4 3 2 4 2" xfId="46401" xr:uid="{00000000-0005-0000-0000-0000F9BA0000}"/>
    <cellStyle name="Vírgula 2 4 3 2 5" xfId="14212" xr:uid="{00000000-0005-0000-0000-0000FABA0000}"/>
    <cellStyle name="Vírgula 2 4 3 2 5 2" xfId="40405" xr:uid="{00000000-0005-0000-0000-0000FBBA0000}"/>
    <cellStyle name="Vírgula 2 4 3 2 6" xfId="34019" xr:uid="{00000000-0005-0000-0000-0000FCBA0000}"/>
    <cellStyle name="Vírgula 2 4 3 3" xfId="9400" xr:uid="{00000000-0005-0000-0000-0000FDBA0000}"/>
    <cellStyle name="Vírgula 2 4 3 3 2" xfId="27614" xr:uid="{00000000-0005-0000-0000-0000FEBA0000}"/>
    <cellStyle name="Vírgula 2 4 3 3 2 2" xfId="53795" xr:uid="{00000000-0005-0000-0000-0000FFBA0000}"/>
    <cellStyle name="Vírgula 2 4 3 3 3" xfId="21700" xr:uid="{00000000-0005-0000-0000-000000BB0000}"/>
    <cellStyle name="Vírgula 2 4 3 3 3 2" xfId="47887" xr:uid="{00000000-0005-0000-0000-000001BB0000}"/>
    <cellStyle name="Vírgula 2 4 3 3 4" xfId="15786" xr:uid="{00000000-0005-0000-0000-000002BB0000}"/>
    <cellStyle name="Vírgula 2 4 3 3 4 2" xfId="41979" xr:uid="{00000000-0005-0000-0000-000003BB0000}"/>
    <cellStyle name="Vírgula 2 4 3 3 5" xfId="35593" xr:uid="{00000000-0005-0000-0000-000004BB0000}"/>
    <cellStyle name="Vírgula 2 4 3 4" xfId="6123" xr:uid="{00000000-0005-0000-0000-000005BB0000}"/>
    <cellStyle name="Vírgula 2 4 3 4 2" xfId="24657" xr:uid="{00000000-0005-0000-0000-000006BB0000}"/>
    <cellStyle name="Vírgula 2 4 3 4 2 2" xfId="50841" xr:uid="{00000000-0005-0000-0000-000007BB0000}"/>
    <cellStyle name="Vírgula 2 4 3 4 3" xfId="32319" xr:uid="{00000000-0005-0000-0000-000008BB0000}"/>
    <cellStyle name="Vírgula 2 4 3 5" xfId="18743" xr:uid="{00000000-0005-0000-0000-000009BB0000}"/>
    <cellStyle name="Vírgula 2 4 3 5 2" xfId="44933" xr:uid="{00000000-0005-0000-0000-00000ABB0000}"/>
    <cellStyle name="Vírgula 2 4 3 6" xfId="12511" xr:uid="{00000000-0005-0000-0000-00000BBB0000}"/>
    <cellStyle name="Vírgula 2 4 3 6 2" xfId="38704" xr:uid="{00000000-0005-0000-0000-00000CBB0000}"/>
    <cellStyle name="Vírgula 2 4 3 7" xfId="30621" xr:uid="{00000000-0005-0000-0000-00000DBB0000}"/>
    <cellStyle name="Vírgula 2 4 4" xfId="4529" xr:uid="{00000000-0005-0000-0000-00000EBB0000}"/>
    <cellStyle name="Vírgula 2 4 4 2" xfId="7931" xr:uid="{00000000-0005-0000-0000-00000FBB0000}"/>
    <cellStyle name="Vírgula 2 4 4 2 2" xfId="10930" xr:uid="{00000000-0005-0000-0000-000010BB0000}"/>
    <cellStyle name="Vírgula 2 4 4 2 2 2" xfId="29144" xr:uid="{00000000-0005-0000-0000-000011BB0000}"/>
    <cellStyle name="Vírgula 2 4 4 2 2 2 2" xfId="55325" xr:uid="{00000000-0005-0000-0000-000012BB0000}"/>
    <cellStyle name="Vírgula 2 4 4 2 2 3" xfId="23230" xr:uid="{00000000-0005-0000-0000-000013BB0000}"/>
    <cellStyle name="Vírgula 2 4 4 2 2 3 2" xfId="49417" xr:uid="{00000000-0005-0000-0000-000014BB0000}"/>
    <cellStyle name="Vírgula 2 4 4 2 2 4" xfId="17316" xr:uid="{00000000-0005-0000-0000-000015BB0000}"/>
    <cellStyle name="Vírgula 2 4 4 2 2 4 2" xfId="43509" xr:uid="{00000000-0005-0000-0000-000016BB0000}"/>
    <cellStyle name="Vírgula 2 4 4 2 2 5" xfId="37123" xr:uid="{00000000-0005-0000-0000-000017BB0000}"/>
    <cellStyle name="Vírgula 2 4 4 2 3" xfId="26187" xr:uid="{00000000-0005-0000-0000-000018BB0000}"/>
    <cellStyle name="Vírgula 2 4 4 2 3 2" xfId="52371" xr:uid="{00000000-0005-0000-0000-000019BB0000}"/>
    <cellStyle name="Vírgula 2 4 4 2 4" xfId="20273" xr:uid="{00000000-0005-0000-0000-00001ABB0000}"/>
    <cellStyle name="Vírgula 2 4 4 2 4 2" xfId="46463" xr:uid="{00000000-0005-0000-0000-00001BBB0000}"/>
    <cellStyle name="Vírgula 2 4 4 2 5" xfId="14320" xr:uid="{00000000-0005-0000-0000-00001CBB0000}"/>
    <cellStyle name="Vírgula 2 4 4 2 5 2" xfId="40513" xr:uid="{00000000-0005-0000-0000-00001DBB0000}"/>
    <cellStyle name="Vírgula 2 4 4 2 6" xfId="34127" xr:uid="{00000000-0005-0000-0000-00001EBB0000}"/>
    <cellStyle name="Vírgula 2 4 4 3" xfId="9462" xr:uid="{00000000-0005-0000-0000-00001FBB0000}"/>
    <cellStyle name="Vírgula 2 4 4 3 2" xfId="27676" xr:uid="{00000000-0005-0000-0000-000020BB0000}"/>
    <cellStyle name="Vírgula 2 4 4 3 2 2" xfId="53857" xr:uid="{00000000-0005-0000-0000-000021BB0000}"/>
    <cellStyle name="Vírgula 2 4 4 3 3" xfId="21762" xr:uid="{00000000-0005-0000-0000-000022BB0000}"/>
    <cellStyle name="Vírgula 2 4 4 3 3 2" xfId="47949" xr:uid="{00000000-0005-0000-0000-000023BB0000}"/>
    <cellStyle name="Vírgula 2 4 4 3 4" xfId="15848" xr:uid="{00000000-0005-0000-0000-000024BB0000}"/>
    <cellStyle name="Vírgula 2 4 4 3 4 2" xfId="42041" xr:uid="{00000000-0005-0000-0000-000025BB0000}"/>
    <cellStyle name="Vírgula 2 4 4 3 5" xfId="35655" xr:uid="{00000000-0005-0000-0000-000026BB0000}"/>
    <cellStyle name="Vírgula 2 4 4 4" xfId="6230" xr:uid="{00000000-0005-0000-0000-000027BB0000}"/>
    <cellStyle name="Vírgula 2 4 4 4 2" xfId="24719" xr:uid="{00000000-0005-0000-0000-000028BB0000}"/>
    <cellStyle name="Vírgula 2 4 4 4 2 2" xfId="50903" xr:uid="{00000000-0005-0000-0000-000029BB0000}"/>
    <cellStyle name="Vírgula 2 4 4 4 3" xfId="32426" xr:uid="{00000000-0005-0000-0000-00002ABB0000}"/>
    <cellStyle name="Vírgula 2 4 4 5" xfId="18805" xr:uid="{00000000-0005-0000-0000-00002BBB0000}"/>
    <cellStyle name="Vírgula 2 4 4 5 2" xfId="44995" xr:uid="{00000000-0005-0000-0000-00002CBB0000}"/>
    <cellStyle name="Vírgula 2 4 4 6" xfId="12619" xr:uid="{00000000-0005-0000-0000-00002DBB0000}"/>
    <cellStyle name="Vírgula 2 4 4 6 2" xfId="38812" xr:uid="{00000000-0005-0000-0000-00002EBB0000}"/>
    <cellStyle name="Vírgula 2 4 4 7" xfId="30729" xr:uid="{00000000-0005-0000-0000-00002FBB0000}"/>
    <cellStyle name="Vírgula 2 4 5" xfId="5937" xr:uid="{00000000-0005-0000-0000-000030BB0000}"/>
    <cellStyle name="Vírgula 2 4 5 2" xfId="7637" xr:uid="{00000000-0005-0000-0000-000031BB0000}"/>
    <cellStyle name="Vírgula 2 4 5 2 2" xfId="10763" xr:uid="{00000000-0005-0000-0000-000032BB0000}"/>
    <cellStyle name="Vírgula 2 4 5 2 2 2" xfId="28977" xr:uid="{00000000-0005-0000-0000-000033BB0000}"/>
    <cellStyle name="Vírgula 2 4 5 2 2 2 2" xfId="55158" xr:uid="{00000000-0005-0000-0000-000034BB0000}"/>
    <cellStyle name="Vírgula 2 4 5 2 2 3" xfId="23063" xr:uid="{00000000-0005-0000-0000-000035BB0000}"/>
    <cellStyle name="Vírgula 2 4 5 2 2 3 2" xfId="49250" xr:uid="{00000000-0005-0000-0000-000036BB0000}"/>
    <cellStyle name="Vírgula 2 4 5 2 2 4" xfId="17149" xr:uid="{00000000-0005-0000-0000-000037BB0000}"/>
    <cellStyle name="Vírgula 2 4 5 2 2 4 2" xfId="43342" xr:uid="{00000000-0005-0000-0000-000038BB0000}"/>
    <cellStyle name="Vírgula 2 4 5 2 2 5" xfId="36956" xr:uid="{00000000-0005-0000-0000-000039BB0000}"/>
    <cellStyle name="Vírgula 2 4 5 2 3" xfId="26020" xr:uid="{00000000-0005-0000-0000-00003ABB0000}"/>
    <cellStyle name="Vírgula 2 4 5 2 3 2" xfId="52204" xr:uid="{00000000-0005-0000-0000-00003BBB0000}"/>
    <cellStyle name="Vírgula 2 4 5 2 4" xfId="20106" xr:uid="{00000000-0005-0000-0000-00003CBB0000}"/>
    <cellStyle name="Vírgula 2 4 5 2 4 2" xfId="46296" xr:uid="{00000000-0005-0000-0000-00003DBB0000}"/>
    <cellStyle name="Vírgula 2 4 5 2 5" xfId="14026" xr:uid="{00000000-0005-0000-0000-00003EBB0000}"/>
    <cellStyle name="Vírgula 2 4 5 2 5 2" xfId="40219" xr:uid="{00000000-0005-0000-0000-00003FBB0000}"/>
    <cellStyle name="Vírgula 2 4 5 2 6" xfId="33833" xr:uid="{00000000-0005-0000-0000-000040BB0000}"/>
    <cellStyle name="Vírgula 2 4 5 3" xfId="9295" xr:uid="{00000000-0005-0000-0000-000041BB0000}"/>
    <cellStyle name="Vírgula 2 4 5 3 2" xfId="27509" xr:uid="{00000000-0005-0000-0000-000042BB0000}"/>
    <cellStyle name="Vírgula 2 4 5 3 2 2" xfId="53690" xr:uid="{00000000-0005-0000-0000-000043BB0000}"/>
    <cellStyle name="Vírgula 2 4 5 3 3" xfId="21595" xr:uid="{00000000-0005-0000-0000-000044BB0000}"/>
    <cellStyle name="Vírgula 2 4 5 3 3 2" xfId="47782" xr:uid="{00000000-0005-0000-0000-000045BB0000}"/>
    <cellStyle name="Vírgula 2 4 5 3 4" xfId="15681" xr:uid="{00000000-0005-0000-0000-000046BB0000}"/>
    <cellStyle name="Vírgula 2 4 5 3 4 2" xfId="41874" xr:uid="{00000000-0005-0000-0000-000047BB0000}"/>
    <cellStyle name="Vírgula 2 4 5 3 5" xfId="35488" xr:uid="{00000000-0005-0000-0000-000048BB0000}"/>
    <cellStyle name="Vírgula 2 4 5 4" xfId="24552" xr:uid="{00000000-0005-0000-0000-000049BB0000}"/>
    <cellStyle name="Vírgula 2 4 5 4 2" xfId="50736" xr:uid="{00000000-0005-0000-0000-00004ABB0000}"/>
    <cellStyle name="Vírgula 2 4 5 5" xfId="18638" xr:uid="{00000000-0005-0000-0000-00004BBB0000}"/>
    <cellStyle name="Vírgula 2 4 5 5 2" xfId="44828" xr:uid="{00000000-0005-0000-0000-00004CBB0000}"/>
    <cellStyle name="Vírgula 2 4 5 6" xfId="12325" xr:uid="{00000000-0005-0000-0000-00004DBB0000}"/>
    <cellStyle name="Vírgula 2 4 5 6 2" xfId="38518" xr:uid="{00000000-0005-0000-0000-00004EBB0000}"/>
    <cellStyle name="Vírgula 2 4 5 7" xfId="32133" xr:uid="{00000000-0005-0000-0000-00004FBB0000}"/>
    <cellStyle name="Vírgula 2 4 6" xfId="6339" xr:uid="{00000000-0005-0000-0000-000050BB0000}"/>
    <cellStyle name="Vírgula 2 4 6 2" xfId="9524" xr:uid="{00000000-0005-0000-0000-000051BB0000}"/>
    <cellStyle name="Vírgula 2 4 6 2 2" xfId="27738" xr:uid="{00000000-0005-0000-0000-000052BB0000}"/>
    <cellStyle name="Vírgula 2 4 6 2 2 2" xfId="53919" xr:uid="{00000000-0005-0000-0000-000053BB0000}"/>
    <cellStyle name="Vírgula 2 4 6 2 3" xfId="21824" xr:uid="{00000000-0005-0000-0000-000054BB0000}"/>
    <cellStyle name="Vírgula 2 4 6 2 3 2" xfId="48011" xr:uid="{00000000-0005-0000-0000-000055BB0000}"/>
    <cellStyle name="Vírgula 2 4 6 2 4" xfId="15910" xr:uid="{00000000-0005-0000-0000-000056BB0000}"/>
    <cellStyle name="Vírgula 2 4 6 2 4 2" xfId="42103" xr:uid="{00000000-0005-0000-0000-000057BB0000}"/>
    <cellStyle name="Vírgula 2 4 6 2 5" xfId="35717" xr:uid="{00000000-0005-0000-0000-000058BB0000}"/>
    <cellStyle name="Vírgula 2 4 6 3" xfId="24781" xr:uid="{00000000-0005-0000-0000-000059BB0000}"/>
    <cellStyle name="Vírgula 2 4 6 3 2" xfId="50965" xr:uid="{00000000-0005-0000-0000-00005ABB0000}"/>
    <cellStyle name="Vírgula 2 4 6 4" xfId="18867" xr:uid="{00000000-0005-0000-0000-00005BBB0000}"/>
    <cellStyle name="Vírgula 2 4 6 4 2" xfId="45057" xr:uid="{00000000-0005-0000-0000-00005CBB0000}"/>
    <cellStyle name="Vírgula 2 4 6 5" xfId="12728" xr:uid="{00000000-0005-0000-0000-00005DBB0000}"/>
    <cellStyle name="Vírgula 2 4 6 5 2" xfId="38921" xr:uid="{00000000-0005-0000-0000-00005EBB0000}"/>
    <cellStyle name="Vírgula 2 4 6 6" xfId="32535" xr:uid="{00000000-0005-0000-0000-00005FBB0000}"/>
    <cellStyle name="Vírgula 2 4 7" xfId="8053" xr:uid="{00000000-0005-0000-0000-000060BB0000}"/>
    <cellStyle name="Vírgula 2 4 7 2" xfId="26267" xr:uid="{00000000-0005-0000-0000-000061BB0000}"/>
    <cellStyle name="Vírgula 2 4 7 2 2" xfId="52451" xr:uid="{00000000-0005-0000-0000-000062BB0000}"/>
    <cellStyle name="Vírgula 2 4 7 3" xfId="20353" xr:uid="{00000000-0005-0000-0000-000063BB0000}"/>
    <cellStyle name="Vírgula 2 4 7 3 2" xfId="46543" xr:uid="{00000000-0005-0000-0000-000064BB0000}"/>
    <cellStyle name="Vírgula 2 4 7 4" xfId="14442" xr:uid="{00000000-0005-0000-0000-000065BB0000}"/>
    <cellStyle name="Vírgula 2 4 7 4 2" xfId="40635" xr:uid="{00000000-0005-0000-0000-000066BB0000}"/>
    <cellStyle name="Vírgula 2 4 7 5" xfId="34249" xr:uid="{00000000-0005-0000-0000-000067BB0000}"/>
    <cellStyle name="Vírgula 2 4 8" xfId="4636" xr:uid="{00000000-0005-0000-0000-000068BB0000}"/>
    <cellStyle name="Vírgula 2 4 8 2" xfId="23310" xr:uid="{00000000-0005-0000-0000-000069BB0000}"/>
    <cellStyle name="Vírgula 2 4 8 2 2" xfId="49497" xr:uid="{00000000-0005-0000-0000-00006ABB0000}"/>
    <cellStyle name="Vírgula 2 4 8 3" xfId="30836" xr:uid="{00000000-0005-0000-0000-00006BBB0000}"/>
    <cellStyle name="Vírgula 2 4 9" xfId="17396" xr:uid="{00000000-0005-0000-0000-00006CBB0000}"/>
    <cellStyle name="Vírgula 2 4 9 2" xfId="43589" xr:uid="{00000000-0005-0000-0000-00006DBB0000}"/>
    <cellStyle name="Vírgula 2 5" xfId="4200" xr:uid="{00000000-0005-0000-0000-00006EBB0000}"/>
    <cellStyle name="Vírgula 2 5 10" xfId="10991" xr:uid="{00000000-0005-0000-0000-00006FBB0000}"/>
    <cellStyle name="Vírgula 2 5 10 2" xfId="37184" xr:uid="{00000000-0005-0000-0000-000070BB0000}"/>
    <cellStyle name="Vírgula 2 5 11" xfId="30400" xr:uid="{00000000-0005-0000-0000-000071BB0000}"/>
    <cellStyle name="Vírgula 2 5 2" xfId="4276" xr:uid="{00000000-0005-0000-0000-000072BB0000}"/>
    <cellStyle name="Vírgula 2 5 2 2" xfId="7677" xr:uid="{00000000-0005-0000-0000-000073BB0000}"/>
    <cellStyle name="Vírgula 2 5 2 2 2" xfId="10785" xr:uid="{00000000-0005-0000-0000-000074BB0000}"/>
    <cellStyle name="Vírgula 2 5 2 2 2 2" xfId="28999" xr:uid="{00000000-0005-0000-0000-000075BB0000}"/>
    <cellStyle name="Vírgula 2 5 2 2 2 2 2" xfId="55180" xr:uid="{00000000-0005-0000-0000-000076BB0000}"/>
    <cellStyle name="Vírgula 2 5 2 2 2 3" xfId="23085" xr:uid="{00000000-0005-0000-0000-000077BB0000}"/>
    <cellStyle name="Vírgula 2 5 2 2 2 3 2" xfId="49272" xr:uid="{00000000-0005-0000-0000-000078BB0000}"/>
    <cellStyle name="Vírgula 2 5 2 2 2 4" xfId="17171" xr:uid="{00000000-0005-0000-0000-000079BB0000}"/>
    <cellStyle name="Vírgula 2 5 2 2 2 4 2" xfId="43364" xr:uid="{00000000-0005-0000-0000-00007ABB0000}"/>
    <cellStyle name="Vírgula 2 5 2 2 2 5" xfId="36978" xr:uid="{00000000-0005-0000-0000-00007BBB0000}"/>
    <cellStyle name="Vírgula 2 5 2 2 3" xfId="26042" xr:uid="{00000000-0005-0000-0000-00007CBB0000}"/>
    <cellStyle name="Vírgula 2 5 2 2 3 2" xfId="52226" xr:uid="{00000000-0005-0000-0000-00007DBB0000}"/>
    <cellStyle name="Vírgula 2 5 2 2 4" xfId="20128" xr:uid="{00000000-0005-0000-0000-00007EBB0000}"/>
    <cellStyle name="Vírgula 2 5 2 2 4 2" xfId="46318" xr:uid="{00000000-0005-0000-0000-00007FBB0000}"/>
    <cellStyle name="Vírgula 2 5 2 2 5" xfId="14066" xr:uid="{00000000-0005-0000-0000-000080BB0000}"/>
    <cellStyle name="Vírgula 2 5 2 2 5 2" xfId="40259" xr:uid="{00000000-0005-0000-0000-000081BB0000}"/>
    <cellStyle name="Vírgula 2 5 2 2 6" xfId="33873" xr:uid="{00000000-0005-0000-0000-000082BB0000}"/>
    <cellStyle name="Vírgula 2 5 2 3" xfId="9317" xr:uid="{00000000-0005-0000-0000-000083BB0000}"/>
    <cellStyle name="Vírgula 2 5 2 3 2" xfId="27531" xr:uid="{00000000-0005-0000-0000-000084BB0000}"/>
    <cellStyle name="Vírgula 2 5 2 3 2 2" xfId="53712" xr:uid="{00000000-0005-0000-0000-000085BB0000}"/>
    <cellStyle name="Vírgula 2 5 2 3 3" xfId="21617" xr:uid="{00000000-0005-0000-0000-000086BB0000}"/>
    <cellStyle name="Vírgula 2 5 2 3 3 2" xfId="47804" xr:uid="{00000000-0005-0000-0000-000087BB0000}"/>
    <cellStyle name="Vírgula 2 5 2 3 4" xfId="15703" xr:uid="{00000000-0005-0000-0000-000088BB0000}"/>
    <cellStyle name="Vírgula 2 5 2 3 4 2" xfId="41896" xr:uid="{00000000-0005-0000-0000-000089BB0000}"/>
    <cellStyle name="Vírgula 2 5 2 3 5" xfId="35510" xr:uid="{00000000-0005-0000-0000-00008ABB0000}"/>
    <cellStyle name="Vírgula 2 5 2 4" xfId="5977" xr:uid="{00000000-0005-0000-0000-00008BBB0000}"/>
    <cellStyle name="Vírgula 2 5 2 4 2" xfId="24574" xr:uid="{00000000-0005-0000-0000-00008CBB0000}"/>
    <cellStyle name="Vírgula 2 5 2 4 2 2" xfId="50758" xr:uid="{00000000-0005-0000-0000-00008DBB0000}"/>
    <cellStyle name="Vírgula 2 5 2 4 3" xfId="32173" xr:uid="{00000000-0005-0000-0000-00008EBB0000}"/>
    <cellStyle name="Vírgula 2 5 2 5" xfId="18660" xr:uid="{00000000-0005-0000-0000-00008FBB0000}"/>
    <cellStyle name="Vírgula 2 5 2 5 2" xfId="44850" xr:uid="{00000000-0005-0000-0000-000090BB0000}"/>
    <cellStyle name="Vírgula 2 5 2 6" xfId="12365" xr:uid="{00000000-0005-0000-0000-000091BB0000}"/>
    <cellStyle name="Vírgula 2 5 2 6 2" xfId="38558" xr:uid="{00000000-0005-0000-0000-000092BB0000}"/>
    <cellStyle name="Vírgula 2 5 2 7" xfId="30476" xr:uid="{00000000-0005-0000-0000-000093BB0000}"/>
    <cellStyle name="Vírgula 2 5 3" xfId="4384" xr:uid="{00000000-0005-0000-0000-000094BB0000}"/>
    <cellStyle name="Vírgula 2 5 3 2" xfId="7786" xr:uid="{00000000-0005-0000-0000-000095BB0000}"/>
    <cellStyle name="Vírgula 2 5 3 2 2" xfId="10847" xr:uid="{00000000-0005-0000-0000-000096BB0000}"/>
    <cellStyle name="Vírgula 2 5 3 2 2 2" xfId="29061" xr:uid="{00000000-0005-0000-0000-000097BB0000}"/>
    <cellStyle name="Vírgula 2 5 3 2 2 2 2" xfId="55242" xr:uid="{00000000-0005-0000-0000-000098BB0000}"/>
    <cellStyle name="Vírgula 2 5 3 2 2 3" xfId="23147" xr:uid="{00000000-0005-0000-0000-000099BB0000}"/>
    <cellStyle name="Vírgula 2 5 3 2 2 3 2" xfId="49334" xr:uid="{00000000-0005-0000-0000-00009ABB0000}"/>
    <cellStyle name="Vírgula 2 5 3 2 2 4" xfId="17233" xr:uid="{00000000-0005-0000-0000-00009BBB0000}"/>
    <cellStyle name="Vírgula 2 5 3 2 2 4 2" xfId="43426" xr:uid="{00000000-0005-0000-0000-00009CBB0000}"/>
    <cellStyle name="Vírgula 2 5 3 2 2 5" xfId="37040" xr:uid="{00000000-0005-0000-0000-00009DBB0000}"/>
    <cellStyle name="Vírgula 2 5 3 2 3" xfId="26104" xr:uid="{00000000-0005-0000-0000-00009EBB0000}"/>
    <cellStyle name="Vírgula 2 5 3 2 3 2" xfId="52288" xr:uid="{00000000-0005-0000-0000-00009FBB0000}"/>
    <cellStyle name="Vírgula 2 5 3 2 4" xfId="20190" xr:uid="{00000000-0005-0000-0000-0000A0BB0000}"/>
    <cellStyle name="Vírgula 2 5 3 2 4 2" xfId="46380" xr:uid="{00000000-0005-0000-0000-0000A1BB0000}"/>
    <cellStyle name="Vírgula 2 5 3 2 5" xfId="14175" xr:uid="{00000000-0005-0000-0000-0000A2BB0000}"/>
    <cellStyle name="Vírgula 2 5 3 2 5 2" xfId="40368" xr:uid="{00000000-0005-0000-0000-0000A3BB0000}"/>
    <cellStyle name="Vírgula 2 5 3 2 6" xfId="33982" xr:uid="{00000000-0005-0000-0000-0000A4BB0000}"/>
    <cellStyle name="Vírgula 2 5 3 3" xfId="9379" xr:uid="{00000000-0005-0000-0000-0000A5BB0000}"/>
    <cellStyle name="Vírgula 2 5 3 3 2" xfId="27593" xr:uid="{00000000-0005-0000-0000-0000A6BB0000}"/>
    <cellStyle name="Vírgula 2 5 3 3 2 2" xfId="53774" xr:uid="{00000000-0005-0000-0000-0000A7BB0000}"/>
    <cellStyle name="Vírgula 2 5 3 3 3" xfId="21679" xr:uid="{00000000-0005-0000-0000-0000A8BB0000}"/>
    <cellStyle name="Vírgula 2 5 3 3 3 2" xfId="47866" xr:uid="{00000000-0005-0000-0000-0000A9BB0000}"/>
    <cellStyle name="Vírgula 2 5 3 3 4" xfId="15765" xr:uid="{00000000-0005-0000-0000-0000AABB0000}"/>
    <cellStyle name="Vírgula 2 5 3 3 4 2" xfId="41958" xr:uid="{00000000-0005-0000-0000-0000ABBB0000}"/>
    <cellStyle name="Vírgula 2 5 3 3 5" xfId="35572" xr:uid="{00000000-0005-0000-0000-0000ACBB0000}"/>
    <cellStyle name="Vírgula 2 5 3 4" xfId="6086" xr:uid="{00000000-0005-0000-0000-0000ADBB0000}"/>
    <cellStyle name="Vírgula 2 5 3 4 2" xfId="24636" xr:uid="{00000000-0005-0000-0000-0000AEBB0000}"/>
    <cellStyle name="Vírgula 2 5 3 4 2 2" xfId="50820" xr:uid="{00000000-0005-0000-0000-0000AFBB0000}"/>
    <cellStyle name="Vírgula 2 5 3 4 3" xfId="32282" xr:uid="{00000000-0005-0000-0000-0000B0BB0000}"/>
    <cellStyle name="Vírgula 2 5 3 5" xfId="18722" xr:uid="{00000000-0005-0000-0000-0000B1BB0000}"/>
    <cellStyle name="Vírgula 2 5 3 5 2" xfId="44912" xr:uid="{00000000-0005-0000-0000-0000B2BB0000}"/>
    <cellStyle name="Vírgula 2 5 3 6" xfId="12474" xr:uid="{00000000-0005-0000-0000-0000B3BB0000}"/>
    <cellStyle name="Vírgula 2 5 3 6 2" xfId="38667" xr:uid="{00000000-0005-0000-0000-0000B4BB0000}"/>
    <cellStyle name="Vírgula 2 5 3 7" xfId="30584" xr:uid="{00000000-0005-0000-0000-0000B5BB0000}"/>
    <cellStyle name="Vírgula 2 5 4" xfId="4492" xr:uid="{00000000-0005-0000-0000-0000B6BB0000}"/>
    <cellStyle name="Vírgula 2 5 4 2" xfId="7894" xr:uid="{00000000-0005-0000-0000-0000B7BB0000}"/>
    <cellStyle name="Vírgula 2 5 4 2 2" xfId="10909" xr:uid="{00000000-0005-0000-0000-0000B8BB0000}"/>
    <cellStyle name="Vírgula 2 5 4 2 2 2" xfId="29123" xr:uid="{00000000-0005-0000-0000-0000B9BB0000}"/>
    <cellStyle name="Vírgula 2 5 4 2 2 2 2" xfId="55304" xr:uid="{00000000-0005-0000-0000-0000BABB0000}"/>
    <cellStyle name="Vírgula 2 5 4 2 2 3" xfId="23209" xr:uid="{00000000-0005-0000-0000-0000BBBB0000}"/>
    <cellStyle name="Vírgula 2 5 4 2 2 3 2" xfId="49396" xr:uid="{00000000-0005-0000-0000-0000BCBB0000}"/>
    <cellStyle name="Vírgula 2 5 4 2 2 4" xfId="17295" xr:uid="{00000000-0005-0000-0000-0000BDBB0000}"/>
    <cellStyle name="Vírgula 2 5 4 2 2 4 2" xfId="43488" xr:uid="{00000000-0005-0000-0000-0000BEBB0000}"/>
    <cellStyle name="Vírgula 2 5 4 2 2 5" xfId="37102" xr:uid="{00000000-0005-0000-0000-0000BFBB0000}"/>
    <cellStyle name="Vírgula 2 5 4 2 3" xfId="26166" xr:uid="{00000000-0005-0000-0000-0000C0BB0000}"/>
    <cellStyle name="Vírgula 2 5 4 2 3 2" xfId="52350" xr:uid="{00000000-0005-0000-0000-0000C1BB0000}"/>
    <cellStyle name="Vírgula 2 5 4 2 4" xfId="20252" xr:uid="{00000000-0005-0000-0000-0000C2BB0000}"/>
    <cellStyle name="Vírgula 2 5 4 2 4 2" xfId="46442" xr:uid="{00000000-0005-0000-0000-0000C3BB0000}"/>
    <cellStyle name="Vírgula 2 5 4 2 5" xfId="14283" xr:uid="{00000000-0005-0000-0000-0000C4BB0000}"/>
    <cellStyle name="Vírgula 2 5 4 2 5 2" xfId="40476" xr:uid="{00000000-0005-0000-0000-0000C5BB0000}"/>
    <cellStyle name="Vírgula 2 5 4 2 6" xfId="34090" xr:uid="{00000000-0005-0000-0000-0000C6BB0000}"/>
    <cellStyle name="Vírgula 2 5 4 3" xfId="9441" xr:uid="{00000000-0005-0000-0000-0000C7BB0000}"/>
    <cellStyle name="Vírgula 2 5 4 3 2" xfId="27655" xr:uid="{00000000-0005-0000-0000-0000C8BB0000}"/>
    <cellStyle name="Vírgula 2 5 4 3 2 2" xfId="53836" xr:uid="{00000000-0005-0000-0000-0000C9BB0000}"/>
    <cellStyle name="Vírgula 2 5 4 3 3" xfId="21741" xr:uid="{00000000-0005-0000-0000-0000CABB0000}"/>
    <cellStyle name="Vírgula 2 5 4 3 3 2" xfId="47928" xr:uid="{00000000-0005-0000-0000-0000CBBB0000}"/>
    <cellStyle name="Vírgula 2 5 4 3 4" xfId="15827" xr:uid="{00000000-0005-0000-0000-0000CCBB0000}"/>
    <cellStyle name="Vírgula 2 5 4 3 4 2" xfId="42020" xr:uid="{00000000-0005-0000-0000-0000CDBB0000}"/>
    <cellStyle name="Vírgula 2 5 4 3 5" xfId="35634" xr:uid="{00000000-0005-0000-0000-0000CEBB0000}"/>
    <cellStyle name="Vírgula 2 5 4 4" xfId="6193" xr:uid="{00000000-0005-0000-0000-0000CFBB0000}"/>
    <cellStyle name="Vírgula 2 5 4 4 2" xfId="24698" xr:uid="{00000000-0005-0000-0000-0000D0BB0000}"/>
    <cellStyle name="Vírgula 2 5 4 4 2 2" xfId="50882" xr:uid="{00000000-0005-0000-0000-0000D1BB0000}"/>
    <cellStyle name="Vírgula 2 5 4 4 3" xfId="32389" xr:uid="{00000000-0005-0000-0000-0000D2BB0000}"/>
    <cellStyle name="Vírgula 2 5 4 5" xfId="18784" xr:uid="{00000000-0005-0000-0000-0000D3BB0000}"/>
    <cellStyle name="Vírgula 2 5 4 5 2" xfId="44974" xr:uid="{00000000-0005-0000-0000-0000D4BB0000}"/>
    <cellStyle name="Vírgula 2 5 4 6" xfId="12582" xr:uid="{00000000-0005-0000-0000-0000D5BB0000}"/>
    <cellStyle name="Vírgula 2 5 4 6 2" xfId="38775" xr:uid="{00000000-0005-0000-0000-0000D6BB0000}"/>
    <cellStyle name="Vírgula 2 5 4 7" xfId="30692" xr:uid="{00000000-0005-0000-0000-0000D7BB0000}"/>
    <cellStyle name="Vírgula 2 5 5" xfId="5901" xr:uid="{00000000-0005-0000-0000-0000D8BB0000}"/>
    <cellStyle name="Vírgula 2 5 5 2" xfId="7600" xr:uid="{00000000-0005-0000-0000-0000D9BB0000}"/>
    <cellStyle name="Vírgula 2 5 5 2 2" xfId="10742" xr:uid="{00000000-0005-0000-0000-0000DABB0000}"/>
    <cellStyle name="Vírgula 2 5 5 2 2 2" xfId="28956" xr:uid="{00000000-0005-0000-0000-0000DBBB0000}"/>
    <cellStyle name="Vírgula 2 5 5 2 2 2 2" xfId="55137" xr:uid="{00000000-0005-0000-0000-0000DCBB0000}"/>
    <cellStyle name="Vírgula 2 5 5 2 2 3" xfId="23042" xr:uid="{00000000-0005-0000-0000-0000DDBB0000}"/>
    <cellStyle name="Vírgula 2 5 5 2 2 3 2" xfId="49229" xr:uid="{00000000-0005-0000-0000-0000DEBB0000}"/>
    <cellStyle name="Vírgula 2 5 5 2 2 4" xfId="17128" xr:uid="{00000000-0005-0000-0000-0000DFBB0000}"/>
    <cellStyle name="Vírgula 2 5 5 2 2 4 2" xfId="43321" xr:uid="{00000000-0005-0000-0000-0000E0BB0000}"/>
    <cellStyle name="Vírgula 2 5 5 2 2 5" xfId="36935" xr:uid="{00000000-0005-0000-0000-0000E1BB0000}"/>
    <cellStyle name="Vírgula 2 5 5 2 3" xfId="25999" xr:uid="{00000000-0005-0000-0000-0000E2BB0000}"/>
    <cellStyle name="Vírgula 2 5 5 2 3 2" xfId="52183" xr:uid="{00000000-0005-0000-0000-0000E3BB0000}"/>
    <cellStyle name="Vírgula 2 5 5 2 4" xfId="20085" xr:uid="{00000000-0005-0000-0000-0000E4BB0000}"/>
    <cellStyle name="Vírgula 2 5 5 2 4 2" xfId="46275" xr:uid="{00000000-0005-0000-0000-0000E5BB0000}"/>
    <cellStyle name="Vírgula 2 5 5 2 5" xfId="13989" xr:uid="{00000000-0005-0000-0000-0000E6BB0000}"/>
    <cellStyle name="Vírgula 2 5 5 2 5 2" xfId="40182" xr:uid="{00000000-0005-0000-0000-0000E7BB0000}"/>
    <cellStyle name="Vírgula 2 5 5 2 6" xfId="33796" xr:uid="{00000000-0005-0000-0000-0000E8BB0000}"/>
    <cellStyle name="Vírgula 2 5 5 3" xfId="9274" xr:uid="{00000000-0005-0000-0000-0000E9BB0000}"/>
    <cellStyle name="Vírgula 2 5 5 3 2" xfId="27488" xr:uid="{00000000-0005-0000-0000-0000EABB0000}"/>
    <cellStyle name="Vírgula 2 5 5 3 2 2" xfId="53669" xr:uid="{00000000-0005-0000-0000-0000EBBB0000}"/>
    <cellStyle name="Vírgula 2 5 5 3 3" xfId="21574" xr:uid="{00000000-0005-0000-0000-0000ECBB0000}"/>
    <cellStyle name="Vírgula 2 5 5 3 3 2" xfId="47761" xr:uid="{00000000-0005-0000-0000-0000EDBB0000}"/>
    <cellStyle name="Vírgula 2 5 5 3 4" xfId="15660" xr:uid="{00000000-0005-0000-0000-0000EEBB0000}"/>
    <cellStyle name="Vírgula 2 5 5 3 4 2" xfId="41853" xr:uid="{00000000-0005-0000-0000-0000EFBB0000}"/>
    <cellStyle name="Vírgula 2 5 5 3 5" xfId="35467" xr:uid="{00000000-0005-0000-0000-0000F0BB0000}"/>
    <cellStyle name="Vírgula 2 5 5 4" xfId="24531" xr:uid="{00000000-0005-0000-0000-0000F1BB0000}"/>
    <cellStyle name="Vírgula 2 5 5 4 2" xfId="50715" xr:uid="{00000000-0005-0000-0000-0000F2BB0000}"/>
    <cellStyle name="Vírgula 2 5 5 5" xfId="18617" xr:uid="{00000000-0005-0000-0000-0000F3BB0000}"/>
    <cellStyle name="Vírgula 2 5 5 5 2" xfId="44807" xr:uid="{00000000-0005-0000-0000-0000F4BB0000}"/>
    <cellStyle name="Vírgula 2 5 5 6" xfId="12288" xr:uid="{00000000-0005-0000-0000-0000F5BB0000}"/>
    <cellStyle name="Vírgula 2 5 5 6 2" xfId="38481" xr:uid="{00000000-0005-0000-0000-0000F6BB0000}"/>
    <cellStyle name="Vírgula 2 5 5 7" xfId="32097" xr:uid="{00000000-0005-0000-0000-0000F7BB0000}"/>
    <cellStyle name="Vírgula 2 5 6" xfId="6302" xr:uid="{00000000-0005-0000-0000-0000F8BB0000}"/>
    <cellStyle name="Vírgula 2 5 6 2" xfId="9503" xr:uid="{00000000-0005-0000-0000-0000F9BB0000}"/>
    <cellStyle name="Vírgula 2 5 6 2 2" xfId="27717" xr:uid="{00000000-0005-0000-0000-0000FABB0000}"/>
    <cellStyle name="Vírgula 2 5 6 2 2 2" xfId="53898" xr:uid="{00000000-0005-0000-0000-0000FBBB0000}"/>
    <cellStyle name="Vírgula 2 5 6 2 3" xfId="21803" xr:uid="{00000000-0005-0000-0000-0000FCBB0000}"/>
    <cellStyle name="Vírgula 2 5 6 2 3 2" xfId="47990" xr:uid="{00000000-0005-0000-0000-0000FDBB0000}"/>
    <cellStyle name="Vírgula 2 5 6 2 4" xfId="15889" xr:uid="{00000000-0005-0000-0000-0000FEBB0000}"/>
    <cellStyle name="Vírgula 2 5 6 2 4 2" xfId="42082" xr:uid="{00000000-0005-0000-0000-0000FFBB0000}"/>
    <cellStyle name="Vírgula 2 5 6 2 5" xfId="35696" xr:uid="{00000000-0005-0000-0000-000000BC0000}"/>
    <cellStyle name="Vírgula 2 5 6 3" xfId="24760" xr:uid="{00000000-0005-0000-0000-000001BC0000}"/>
    <cellStyle name="Vírgula 2 5 6 3 2" xfId="50944" xr:uid="{00000000-0005-0000-0000-000002BC0000}"/>
    <cellStyle name="Vírgula 2 5 6 4" xfId="18846" xr:uid="{00000000-0005-0000-0000-000003BC0000}"/>
    <cellStyle name="Vírgula 2 5 6 4 2" xfId="45036" xr:uid="{00000000-0005-0000-0000-000004BC0000}"/>
    <cellStyle name="Vírgula 2 5 6 5" xfId="12691" xr:uid="{00000000-0005-0000-0000-000005BC0000}"/>
    <cellStyle name="Vírgula 2 5 6 5 2" xfId="38884" xr:uid="{00000000-0005-0000-0000-000006BC0000}"/>
    <cellStyle name="Vírgula 2 5 6 6" xfId="32498" xr:uid="{00000000-0005-0000-0000-000007BC0000}"/>
    <cellStyle name="Vírgula 2 5 7" xfId="8032" xr:uid="{00000000-0005-0000-0000-000008BC0000}"/>
    <cellStyle name="Vírgula 2 5 7 2" xfId="26246" xr:uid="{00000000-0005-0000-0000-000009BC0000}"/>
    <cellStyle name="Vírgula 2 5 7 2 2" xfId="52430" xr:uid="{00000000-0005-0000-0000-00000ABC0000}"/>
    <cellStyle name="Vírgula 2 5 7 3" xfId="20332" xr:uid="{00000000-0005-0000-0000-00000BBC0000}"/>
    <cellStyle name="Vírgula 2 5 7 3 2" xfId="46522" xr:uid="{00000000-0005-0000-0000-00000CBC0000}"/>
    <cellStyle name="Vírgula 2 5 7 4" xfId="14421" xr:uid="{00000000-0005-0000-0000-00000DBC0000}"/>
    <cellStyle name="Vírgula 2 5 7 4 2" xfId="40614" xr:uid="{00000000-0005-0000-0000-00000EBC0000}"/>
    <cellStyle name="Vírgula 2 5 7 5" xfId="34228" xr:uid="{00000000-0005-0000-0000-00000FBC0000}"/>
    <cellStyle name="Vírgula 2 5 8" xfId="4600" xr:uid="{00000000-0005-0000-0000-000010BC0000}"/>
    <cellStyle name="Vírgula 2 5 8 2" xfId="23289" xr:uid="{00000000-0005-0000-0000-000011BC0000}"/>
    <cellStyle name="Vírgula 2 5 8 2 2" xfId="49476" xr:uid="{00000000-0005-0000-0000-000012BC0000}"/>
    <cellStyle name="Vírgula 2 5 8 3" xfId="30800" xr:uid="{00000000-0005-0000-0000-000013BC0000}"/>
    <cellStyle name="Vírgula 2 5 9" xfId="17375" xr:uid="{00000000-0005-0000-0000-000014BC0000}"/>
    <cellStyle name="Vírgula 2 5 9 2" xfId="43568" xr:uid="{00000000-0005-0000-0000-000015BC0000}"/>
    <cellStyle name="Vírgula 2 6" xfId="4194" xr:uid="{00000000-0005-0000-0000-000016BC0000}"/>
    <cellStyle name="Vírgula 2 6 2" xfId="7596" xr:uid="{00000000-0005-0000-0000-000017BC0000}"/>
    <cellStyle name="Vírgula 2 6 2 2" xfId="10740" xr:uid="{00000000-0005-0000-0000-000018BC0000}"/>
    <cellStyle name="Vírgula 2 6 2 2 2" xfId="28954" xr:uid="{00000000-0005-0000-0000-000019BC0000}"/>
    <cellStyle name="Vírgula 2 6 2 2 2 2" xfId="55135" xr:uid="{00000000-0005-0000-0000-00001ABC0000}"/>
    <cellStyle name="Vírgula 2 6 2 2 3" xfId="23040" xr:uid="{00000000-0005-0000-0000-00001BBC0000}"/>
    <cellStyle name="Vírgula 2 6 2 2 3 2" xfId="49227" xr:uid="{00000000-0005-0000-0000-00001CBC0000}"/>
    <cellStyle name="Vírgula 2 6 2 2 4" xfId="17126" xr:uid="{00000000-0005-0000-0000-00001DBC0000}"/>
    <cellStyle name="Vírgula 2 6 2 2 4 2" xfId="43319" xr:uid="{00000000-0005-0000-0000-00001EBC0000}"/>
    <cellStyle name="Vírgula 2 6 2 2 5" xfId="36933" xr:uid="{00000000-0005-0000-0000-00001FBC0000}"/>
    <cellStyle name="Vírgula 2 6 2 3" xfId="25997" xr:uid="{00000000-0005-0000-0000-000020BC0000}"/>
    <cellStyle name="Vírgula 2 6 2 3 2" xfId="52181" xr:uid="{00000000-0005-0000-0000-000021BC0000}"/>
    <cellStyle name="Vírgula 2 6 2 4" xfId="20083" xr:uid="{00000000-0005-0000-0000-000022BC0000}"/>
    <cellStyle name="Vírgula 2 6 2 4 2" xfId="46273" xr:uid="{00000000-0005-0000-0000-000023BC0000}"/>
    <cellStyle name="Vírgula 2 6 2 5" xfId="13985" xr:uid="{00000000-0005-0000-0000-000024BC0000}"/>
    <cellStyle name="Vírgula 2 6 2 5 2" xfId="40178" xr:uid="{00000000-0005-0000-0000-000025BC0000}"/>
    <cellStyle name="Vírgula 2 6 2 6" xfId="33792" xr:uid="{00000000-0005-0000-0000-000026BC0000}"/>
    <cellStyle name="Vírgula 2 6 3" xfId="9272" xr:uid="{00000000-0005-0000-0000-000027BC0000}"/>
    <cellStyle name="Vírgula 2 6 3 2" xfId="27486" xr:uid="{00000000-0005-0000-0000-000028BC0000}"/>
    <cellStyle name="Vírgula 2 6 3 2 2" xfId="53667" xr:uid="{00000000-0005-0000-0000-000029BC0000}"/>
    <cellStyle name="Vírgula 2 6 3 3" xfId="21572" xr:uid="{00000000-0005-0000-0000-00002ABC0000}"/>
    <cellStyle name="Vírgula 2 6 3 3 2" xfId="47759" xr:uid="{00000000-0005-0000-0000-00002BBC0000}"/>
    <cellStyle name="Vírgula 2 6 3 4" xfId="15658" xr:uid="{00000000-0005-0000-0000-00002CBC0000}"/>
    <cellStyle name="Vírgula 2 6 3 4 2" xfId="41851" xr:uid="{00000000-0005-0000-0000-00002DBC0000}"/>
    <cellStyle name="Vírgula 2 6 3 5" xfId="35465" xr:uid="{00000000-0005-0000-0000-00002EBC0000}"/>
    <cellStyle name="Vírgula 2 6 4" xfId="5897" xr:uid="{00000000-0005-0000-0000-00002FBC0000}"/>
    <cellStyle name="Vírgula 2 6 4 2" xfId="24529" xr:uid="{00000000-0005-0000-0000-000030BC0000}"/>
    <cellStyle name="Vírgula 2 6 4 2 2" xfId="50713" xr:uid="{00000000-0005-0000-0000-000031BC0000}"/>
    <cellStyle name="Vírgula 2 6 4 3" xfId="32093" xr:uid="{00000000-0005-0000-0000-000032BC0000}"/>
    <cellStyle name="Vírgula 2 6 5" xfId="18615" xr:uid="{00000000-0005-0000-0000-000033BC0000}"/>
    <cellStyle name="Vírgula 2 6 5 2" xfId="44805" xr:uid="{00000000-0005-0000-0000-000034BC0000}"/>
    <cellStyle name="Vírgula 2 6 6" xfId="12284" xr:uid="{00000000-0005-0000-0000-000035BC0000}"/>
    <cellStyle name="Vírgula 2 6 6 2" xfId="38477" xr:uid="{00000000-0005-0000-0000-000036BC0000}"/>
    <cellStyle name="Vírgula 2 6 7" xfId="30396" xr:uid="{00000000-0005-0000-0000-000037BC0000}"/>
    <cellStyle name="Vírgula 2 7" xfId="29233" xr:uid="{00000000-0005-0000-0000-000038BC0000}"/>
    <cellStyle name="Vírgula 2 8" xfId="110" xr:uid="{00000000-0005-0000-0000-000039BC0000}"/>
    <cellStyle name="Vírgula 3" xfId="115" xr:uid="{00000000-0005-0000-0000-00003ABC0000}"/>
    <cellStyle name="Vírgula 3 10" xfId="4195" xr:uid="{00000000-0005-0000-0000-00003BBC0000}"/>
    <cellStyle name="Vírgula 3 10 2" xfId="7597" xr:uid="{00000000-0005-0000-0000-00003CBC0000}"/>
    <cellStyle name="Vírgula 3 10 2 2" xfId="10741" xr:uid="{00000000-0005-0000-0000-00003DBC0000}"/>
    <cellStyle name="Vírgula 3 10 2 2 2" xfId="28955" xr:uid="{00000000-0005-0000-0000-00003EBC0000}"/>
    <cellStyle name="Vírgula 3 10 2 2 2 2" xfId="55136" xr:uid="{00000000-0005-0000-0000-00003FBC0000}"/>
    <cellStyle name="Vírgula 3 10 2 2 3" xfId="23041" xr:uid="{00000000-0005-0000-0000-000040BC0000}"/>
    <cellStyle name="Vírgula 3 10 2 2 3 2" xfId="49228" xr:uid="{00000000-0005-0000-0000-000041BC0000}"/>
    <cellStyle name="Vírgula 3 10 2 2 4" xfId="17127" xr:uid="{00000000-0005-0000-0000-000042BC0000}"/>
    <cellStyle name="Vírgula 3 10 2 2 4 2" xfId="43320" xr:uid="{00000000-0005-0000-0000-000043BC0000}"/>
    <cellStyle name="Vírgula 3 10 2 2 5" xfId="36934" xr:uid="{00000000-0005-0000-0000-000044BC0000}"/>
    <cellStyle name="Vírgula 3 10 2 3" xfId="25998" xr:uid="{00000000-0005-0000-0000-000045BC0000}"/>
    <cellStyle name="Vírgula 3 10 2 3 2" xfId="52182" xr:uid="{00000000-0005-0000-0000-000046BC0000}"/>
    <cellStyle name="Vírgula 3 10 2 4" xfId="20084" xr:uid="{00000000-0005-0000-0000-000047BC0000}"/>
    <cellStyle name="Vírgula 3 10 2 4 2" xfId="46274" xr:uid="{00000000-0005-0000-0000-000048BC0000}"/>
    <cellStyle name="Vírgula 3 10 2 5" xfId="13986" xr:uid="{00000000-0005-0000-0000-000049BC0000}"/>
    <cellStyle name="Vírgula 3 10 2 5 2" xfId="40179" xr:uid="{00000000-0005-0000-0000-00004ABC0000}"/>
    <cellStyle name="Vírgula 3 10 2 6" xfId="33793" xr:uid="{00000000-0005-0000-0000-00004BBC0000}"/>
    <cellStyle name="Vírgula 3 10 3" xfId="9273" xr:uid="{00000000-0005-0000-0000-00004CBC0000}"/>
    <cellStyle name="Vírgula 3 10 3 2" xfId="27487" xr:uid="{00000000-0005-0000-0000-00004DBC0000}"/>
    <cellStyle name="Vírgula 3 10 3 2 2" xfId="53668" xr:uid="{00000000-0005-0000-0000-00004EBC0000}"/>
    <cellStyle name="Vírgula 3 10 3 3" xfId="21573" xr:uid="{00000000-0005-0000-0000-00004FBC0000}"/>
    <cellStyle name="Vírgula 3 10 3 3 2" xfId="47760" xr:uid="{00000000-0005-0000-0000-000050BC0000}"/>
    <cellStyle name="Vírgula 3 10 3 4" xfId="15659" xr:uid="{00000000-0005-0000-0000-000051BC0000}"/>
    <cellStyle name="Vírgula 3 10 3 4 2" xfId="41852" xr:uid="{00000000-0005-0000-0000-000052BC0000}"/>
    <cellStyle name="Vírgula 3 10 3 5" xfId="35466" xr:uid="{00000000-0005-0000-0000-000053BC0000}"/>
    <cellStyle name="Vírgula 3 10 4" xfId="5898" xr:uid="{00000000-0005-0000-0000-000054BC0000}"/>
    <cellStyle name="Vírgula 3 10 4 2" xfId="24530" xr:uid="{00000000-0005-0000-0000-000055BC0000}"/>
    <cellStyle name="Vírgula 3 10 4 2 2" xfId="50714" xr:uid="{00000000-0005-0000-0000-000056BC0000}"/>
    <cellStyle name="Vírgula 3 10 4 3" xfId="32094" xr:uid="{00000000-0005-0000-0000-000057BC0000}"/>
    <cellStyle name="Vírgula 3 10 5" xfId="18616" xr:uid="{00000000-0005-0000-0000-000058BC0000}"/>
    <cellStyle name="Vírgula 3 10 5 2" xfId="44806" xr:uid="{00000000-0005-0000-0000-000059BC0000}"/>
    <cellStyle name="Vírgula 3 10 6" xfId="12285" xr:uid="{00000000-0005-0000-0000-00005ABC0000}"/>
    <cellStyle name="Vírgula 3 10 6 2" xfId="38478" xr:uid="{00000000-0005-0000-0000-00005BBC0000}"/>
    <cellStyle name="Vírgula 3 10 7" xfId="30397" xr:uid="{00000000-0005-0000-0000-00005CBC0000}"/>
    <cellStyle name="Vírgula 3 11" xfId="4273" xr:uid="{00000000-0005-0000-0000-00005DBC0000}"/>
    <cellStyle name="Vírgula 3 11 2" xfId="7674" xr:uid="{00000000-0005-0000-0000-00005EBC0000}"/>
    <cellStyle name="Vírgula 3 11 2 2" xfId="10784" xr:uid="{00000000-0005-0000-0000-00005FBC0000}"/>
    <cellStyle name="Vírgula 3 11 2 2 2" xfId="28998" xr:uid="{00000000-0005-0000-0000-000060BC0000}"/>
    <cellStyle name="Vírgula 3 11 2 2 2 2" xfId="55179" xr:uid="{00000000-0005-0000-0000-000061BC0000}"/>
    <cellStyle name="Vírgula 3 11 2 2 3" xfId="23084" xr:uid="{00000000-0005-0000-0000-000062BC0000}"/>
    <cellStyle name="Vírgula 3 11 2 2 3 2" xfId="49271" xr:uid="{00000000-0005-0000-0000-000063BC0000}"/>
    <cellStyle name="Vírgula 3 11 2 2 4" xfId="17170" xr:uid="{00000000-0005-0000-0000-000064BC0000}"/>
    <cellStyle name="Vírgula 3 11 2 2 4 2" xfId="43363" xr:uid="{00000000-0005-0000-0000-000065BC0000}"/>
    <cellStyle name="Vírgula 3 11 2 2 5" xfId="36977" xr:uid="{00000000-0005-0000-0000-000066BC0000}"/>
    <cellStyle name="Vírgula 3 11 2 3" xfId="26041" xr:uid="{00000000-0005-0000-0000-000067BC0000}"/>
    <cellStyle name="Vírgula 3 11 2 3 2" xfId="52225" xr:uid="{00000000-0005-0000-0000-000068BC0000}"/>
    <cellStyle name="Vírgula 3 11 2 4" xfId="20127" xr:uid="{00000000-0005-0000-0000-000069BC0000}"/>
    <cellStyle name="Vírgula 3 11 2 4 2" xfId="46317" xr:uid="{00000000-0005-0000-0000-00006ABC0000}"/>
    <cellStyle name="Vírgula 3 11 2 5" xfId="14063" xr:uid="{00000000-0005-0000-0000-00006BBC0000}"/>
    <cellStyle name="Vírgula 3 11 2 5 2" xfId="40256" xr:uid="{00000000-0005-0000-0000-00006CBC0000}"/>
    <cellStyle name="Vírgula 3 11 2 6" xfId="33870" xr:uid="{00000000-0005-0000-0000-00006DBC0000}"/>
    <cellStyle name="Vírgula 3 11 3" xfId="9316" xr:uid="{00000000-0005-0000-0000-00006EBC0000}"/>
    <cellStyle name="Vírgula 3 11 3 2" xfId="27530" xr:uid="{00000000-0005-0000-0000-00006FBC0000}"/>
    <cellStyle name="Vírgula 3 11 3 2 2" xfId="53711" xr:uid="{00000000-0005-0000-0000-000070BC0000}"/>
    <cellStyle name="Vírgula 3 11 3 3" xfId="21616" xr:uid="{00000000-0005-0000-0000-000071BC0000}"/>
    <cellStyle name="Vírgula 3 11 3 3 2" xfId="47803" xr:uid="{00000000-0005-0000-0000-000072BC0000}"/>
    <cellStyle name="Vírgula 3 11 3 4" xfId="15702" xr:uid="{00000000-0005-0000-0000-000073BC0000}"/>
    <cellStyle name="Vírgula 3 11 3 4 2" xfId="41895" xr:uid="{00000000-0005-0000-0000-000074BC0000}"/>
    <cellStyle name="Vírgula 3 11 3 5" xfId="35509" xr:uid="{00000000-0005-0000-0000-000075BC0000}"/>
    <cellStyle name="Vírgula 3 11 4" xfId="5974" xr:uid="{00000000-0005-0000-0000-000076BC0000}"/>
    <cellStyle name="Vírgula 3 11 4 2" xfId="24573" xr:uid="{00000000-0005-0000-0000-000077BC0000}"/>
    <cellStyle name="Vírgula 3 11 4 2 2" xfId="50757" xr:uid="{00000000-0005-0000-0000-000078BC0000}"/>
    <cellStyle name="Vírgula 3 11 4 3" xfId="32170" xr:uid="{00000000-0005-0000-0000-000079BC0000}"/>
    <cellStyle name="Vírgula 3 11 5" xfId="18659" xr:uid="{00000000-0005-0000-0000-00007ABC0000}"/>
    <cellStyle name="Vírgula 3 11 5 2" xfId="44849" xr:uid="{00000000-0005-0000-0000-00007BBC0000}"/>
    <cellStyle name="Vírgula 3 11 6" xfId="12362" xr:uid="{00000000-0005-0000-0000-00007CBC0000}"/>
    <cellStyle name="Vírgula 3 11 6 2" xfId="38555" xr:uid="{00000000-0005-0000-0000-00007DBC0000}"/>
    <cellStyle name="Vírgula 3 11 7" xfId="30473" xr:uid="{00000000-0005-0000-0000-00007EBC0000}"/>
    <cellStyle name="Vírgula 3 12" xfId="4381" xr:uid="{00000000-0005-0000-0000-00007FBC0000}"/>
    <cellStyle name="Vírgula 3 12 2" xfId="7783" xr:uid="{00000000-0005-0000-0000-000080BC0000}"/>
    <cellStyle name="Vírgula 3 12 2 2" xfId="10846" xr:uid="{00000000-0005-0000-0000-000081BC0000}"/>
    <cellStyle name="Vírgula 3 12 2 2 2" xfId="29060" xr:uid="{00000000-0005-0000-0000-000082BC0000}"/>
    <cellStyle name="Vírgula 3 12 2 2 2 2" xfId="55241" xr:uid="{00000000-0005-0000-0000-000083BC0000}"/>
    <cellStyle name="Vírgula 3 12 2 2 3" xfId="23146" xr:uid="{00000000-0005-0000-0000-000084BC0000}"/>
    <cellStyle name="Vírgula 3 12 2 2 3 2" xfId="49333" xr:uid="{00000000-0005-0000-0000-000085BC0000}"/>
    <cellStyle name="Vírgula 3 12 2 2 4" xfId="17232" xr:uid="{00000000-0005-0000-0000-000086BC0000}"/>
    <cellStyle name="Vírgula 3 12 2 2 4 2" xfId="43425" xr:uid="{00000000-0005-0000-0000-000087BC0000}"/>
    <cellStyle name="Vírgula 3 12 2 2 5" xfId="37039" xr:uid="{00000000-0005-0000-0000-000088BC0000}"/>
    <cellStyle name="Vírgula 3 12 2 3" xfId="26103" xr:uid="{00000000-0005-0000-0000-000089BC0000}"/>
    <cellStyle name="Vírgula 3 12 2 3 2" xfId="52287" xr:uid="{00000000-0005-0000-0000-00008ABC0000}"/>
    <cellStyle name="Vírgula 3 12 2 4" xfId="20189" xr:uid="{00000000-0005-0000-0000-00008BBC0000}"/>
    <cellStyle name="Vírgula 3 12 2 4 2" xfId="46379" xr:uid="{00000000-0005-0000-0000-00008CBC0000}"/>
    <cellStyle name="Vírgula 3 12 2 5" xfId="14172" xr:uid="{00000000-0005-0000-0000-00008DBC0000}"/>
    <cellStyle name="Vírgula 3 12 2 5 2" xfId="40365" xr:uid="{00000000-0005-0000-0000-00008EBC0000}"/>
    <cellStyle name="Vírgula 3 12 2 6" xfId="33979" xr:uid="{00000000-0005-0000-0000-00008FBC0000}"/>
    <cellStyle name="Vírgula 3 12 3" xfId="9378" xr:uid="{00000000-0005-0000-0000-000090BC0000}"/>
    <cellStyle name="Vírgula 3 12 3 2" xfId="27592" xr:uid="{00000000-0005-0000-0000-000091BC0000}"/>
    <cellStyle name="Vírgula 3 12 3 2 2" xfId="53773" xr:uid="{00000000-0005-0000-0000-000092BC0000}"/>
    <cellStyle name="Vírgula 3 12 3 3" xfId="21678" xr:uid="{00000000-0005-0000-0000-000093BC0000}"/>
    <cellStyle name="Vírgula 3 12 3 3 2" xfId="47865" xr:uid="{00000000-0005-0000-0000-000094BC0000}"/>
    <cellStyle name="Vírgula 3 12 3 4" xfId="15764" xr:uid="{00000000-0005-0000-0000-000095BC0000}"/>
    <cellStyle name="Vírgula 3 12 3 4 2" xfId="41957" xr:uid="{00000000-0005-0000-0000-000096BC0000}"/>
    <cellStyle name="Vírgula 3 12 3 5" xfId="35571" xr:uid="{00000000-0005-0000-0000-000097BC0000}"/>
    <cellStyle name="Vírgula 3 12 4" xfId="6083" xr:uid="{00000000-0005-0000-0000-000098BC0000}"/>
    <cellStyle name="Vírgula 3 12 4 2" xfId="24635" xr:uid="{00000000-0005-0000-0000-000099BC0000}"/>
    <cellStyle name="Vírgula 3 12 4 2 2" xfId="50819" xr:uid="{00000000-0005-0000-0000-00009ABC0000}"/>
    <cellStyle name="Vírgula 3 12 4 3" xfId="32279" xr:uid="{00000000-0005-0000-0000-00009BBC0000}"/>
    <cellStyle name="Vírgula 3 12 5" xfId="18721" xr:uid="{00000000-0005-0000-0000-00009CBC0000}"/>
    <cellStyle name="Vírgula 3 12 5 2" xfId="44911" xr:uid="{00000000-0005-0000-0000-00009DBC0000}"/>
    <cellStyle name="Vírgula 3 12 6" xfId="12471" xr:uid="{00000000-0005-0000-0000-00009EBC0000}"/>
    <cellStyle name="Vírgula 3 12 6 2" xfId="38664" xr:uid="{00000000-0005-0000-0000-00009FBC0000}"/>
    <cellStyle name="Vírgula 3 12 7" xfId="30581" xr:uid="{00000000-0005-0000-0000-0000A0BC0000}"/>
    <cellStyle name="Vírgula 3 13" xfId="4489" xr:uid="{00000000-0005-0000-0000-0000A1BC0000}"/>
    <cellStyle name="Vírgula 3 13 2" xfId="7891" xr:uid="{00000000-0005-0000-0000-0000A2BC0000}"/>
    <cellStyle name="Vírgula 3 13 2 2" xfId="10908" xr:uid="{00000000-0005-0000-0000-0000A3BC0000}"/>
    <cellStyle name="Vírgula 3 13 2 2 2" xfId="29122" xr:uid="{00000000-0005-0000-0000-0000A4BC0000}"/>
    <cellStyle name="Vírgula 3 13 2 2 2 2" xfId="55303" xr:uid="{00000000-0005-0000-0000-0000A5BC0000}"/>
    <cellStyle name="Vírgula 3 13 2 2 3" xfId="23208" xr:uid="{00000000-0005-0000-0000-0000A6BC0000}"/>
    <cellStyle name="Vírgula 3 13 2 2 3 2" xfId="49395" xr:uid="{00000000-0005-0000-0000-0000A7BC0000}"/>
    <cellStyle name="Vírgula 3 13 2 2 4" xfId="17294" xr:uid="{00000000-0005-0000-0000-0000A8BC0000}"/>
    <cellStyle name="Vírgula 3 13 2 2 4 2" xfId="43487" xr:uid="{00000000-0005-0000-0000-0000A9BC0000}"/>
    <cellStyle name="Vírgula 3 13 2 2 5" xfId="37101" xr:uid="{00000000-0005-0000-0000-0000AABC0000}"/>
    <cellStyle name="Vírgula 3 13 2 3" xfId="26165" xr:uid="{00000000-0005-0000-0000-0000ABBC0000}"/>
    <cellStyle name="Vírgula 3 13 2 3 2" xfId="52349" xr:uid="{00000000-0005-0000-0000-0000ACBC0000}"/>
    <cellStyle name="Vírgula 3 13 2 4" xfId="20251" xr:uid="{00000000-0005-0000-0000-0000ADBC0000}"/>
    <cellStyle name="Vírgula 3 13 2 4 2" xfId="46441" xr:uid="{00000000-0005-0000-0000-0000AEBC0000}"/>
    <cellStyle name="Vírgula 3 13 2 5" xfId="14280" xr:uid="{00000000-0005-0000-0000-0000AFBC0000}"/>
    <cellStyle name="Vírgula 3 13 2 5 2" xfId="40473" xr:uid="{00000000-0005-0000-0000-0000B0BC0000}"/>
    <cellStyle name="Vírgula 3 13 2 6" xfId="34087" xr:uid="{00000000-0005-0000-0000-0000B1BC0000}"/>
    <cellStyle name="Vírgula 3 13 3" xfId="9440" xr:uid="{00000000-0005-0000-0000-0000B2BC0000}"/>
    <cellStyle name="Vírgula 3 13 3 2" xfId="27654" xr:uid="{00000000-0005-0000-0000-0000B3BC0000}"/>
    <cellStyle name="Vírgula 3 13 3 2 2" xfId="53835" xr:uid="{00000000-0005-0000-0000-0000B4BC0000}"/>
    <cellStyle name="Vírgula 3 13 3 3" xfId="21740" xr:uid="{00000000-0005-0000-0000-0000B5BC0000}"/>
    <cellStyle name="Vírgula 3 13 3 3 2" xfId="47927" xr:uid="{00000000-0005-0000-0000-0000B6BC0000}"/>
    <cellStyle name="Vírgula 3 13 3 4" xfId="15826" xr:uid="{00000000-0005-0000-0000-0000B7BC0000}"/>
    <cellStyle name="Vírgula 3 13 3 4 2" xfId="42019" xr:uid="{00000000-0005-0000-0000-0000B8BC0000}"/>
    <cellStyle name="Vírgula 3 13 3 5" xfId="35633" xr:uid="{00000000-0005-0000-0000-0000B9BC0000}"/>
    <cellStyle name="Vírgula 3 13 4" xfId="6190" xr:uid="{00000000-0005-0000-0000-0000BABC0000}"/>
    <cellStyle name="Vírgula 3 13 4 2" xfId="24697" xr:uid="{00000000-0005-0000-0000-0000BBBC0000}"/>
    <cellStyle name="Vírgula 3 13 4 2 2" xfId="50881" xr:uid="{00000000-0005-0000-0000-0000BCBC0000}"/>
    <cellStyle name="Vírgula 3 13 4 3" xfId="32386" xr:uid="{00000000-0005-0000-0000-0000BDBC0000}"/>
    <cellStyle name="Vírgula 3 13 5" xfId="18783" xr:uid="{00000000-0005-0000-0000-0000BEBC0000}"/>
    <cellStyle name="Vírgula 3 13 5 2" xfId="44973" xr:uid="{00000000-0005-0000-0000-0000BFBC0000}"/>
    <cellStyle name="Vírgula 3 13 6" xfId="12579" xr:uid="{00000000-0005-0000-0000-0000C0BC0000}"/>
    <cellStyle name="Vírgula 3 13 6 2" xfId="38772" xr:uid="{00000000-0005-0000-0000-0000C1BC0000}"/>
    <cellStyle name="Vírgula 3 13 7" xfId="30689" xr:uid="{00000000-0005-0000-0000-0000C2BC0000}"/>
    <cellStyle name="Vírgula 3 14" xfId="4736" xr:uid="{00000000-0005-0000-0000-0000C3BC0000}"/>
    <cellStyle name="Vírgula 3 14 2" xfId="6437" xr:uid="{00000000-0005-0000-0000-0000C4BC0000}"/>
    <cellStyle name="Vírgula 3 14 2 2" xfId="9591" xr:uid="{00000000-0005-0000-0000-0000C5BC0000}"/>
    <cellStyle name="Vírgula 3 14 2 2 2" xfId="27805" xr:uid="{00000000-0005-0000-0000-0000C6BC0000}"/>
    <cellStyle name="Vírgula 3 14 2 2 2 2" xfId="53986" xr:uid="{00000000-0005-0000-0000-0000C7BC0000}"/>
    <cellStyle name="Vírgula 3 14 2 2 3" xfId="21891" xr:uid="{00000000-0005-0000-0000-0000C8BC0000}"/>
    <cellStyle name="Vírgula 3 14 2 2 3 2" xfId="48078" xr:uid="{00000000-0005-0000-0000-0000C9BC0000}"/>
    <cellStyle name="Vírgula 3 14 2 2 4" xfId="15977" xr:uid="{00000000-0005-0000-0000-0000CABC0000}"/>
    <cellStyle name="Vírgula 3 14 2 2 4 2" xfId="42170" xr:uid="{00000000-0005-0000-0000-0000CBBC0000}"/>
    <cellStyle name="Vírgula 3 14 2 2 5" xfId="35784" xr:uid="{00000000-0005-0000-0000-0000CCBC0000}"/>
    <cellStyle name="Vírgula 3 14 2 3" xfId="24848" xr:uid="{00000000-0005-0000-0000-0000CDBC0000}"/>
    <cellStyle name="Vírgula 3 14 2 3 2" xfId="51032" xr:uid="{00000000-0005-0000-0000-0000CEBC0000}"/>
    <cellStyle name="Vírgula 3 14 2 4" xfId="18934" xr:uid="{00000000-0005-0000-0000-0000CFBC0000}"/>
    <cellStyle name="Vírgula 3 14 2 4 2" xfId="45124" xr:uid="{00000000-0005-0000-0000-0000D0BC0000}"/>
    <cellStyle name="Vírgula 3 14 2 5" xfId="12826" xr:uid="{00000000-0005-0000-0000-0000D1BC0000}"/>
    <cellStyle name="Vírgula 3 14 2 5 2" xfId="39019" xr:uid="{00000000-0005-0000-0000-0000D2BC0000}"/>
    <cellStyle name="Vírgula 3 14 2 6" xfId="32633" xr:uid="{00000000-0005-0000-0000-0000D3BC0000}"/>
    <cellStyle name="Vírgula 3 14 3" xfId="8120" xr:uid="{00000000-0005-0000-0000-0000D4BC0000}"/>
    <cellStyle name="Vírgula 3 14 3 2" xfId="26334" xr:uid="{00000000-0005-0000-0000-0000D5BC0000}"/>
    <cellStyle name="Vírgula 3 14 3 2 2" xfId="52518" xr:uid="{00000000-0005-0000-0000-0000D6BC0000}"/>
    <cellStyle name="Vírgula 3 14 3 3" xfId="20420" xr:uid="{00000000-0005-0000-0000-0000D7BC0000}"/>
    <cellStyle name="Vírgula 3 14 3 3 2" xfId="46610" xr:uid="{00000000-0005-0000-0000-0000D8BC0000}"/>
    <cellStyle name="Vírgula 3 14 3 4" xfId="14509" xr:uid="{00000000-0005-0000-0000-0000D9BC0000}"/>
    <cellStyle name="Vírgula 3 14 3 4 2" xfId="40702" xr:uid="{00000000-0005-0000-0000-0000DABC0000}"/>
    <cellStyle name="Vírgula 3 14 3 5" xfId="34316" xr:uid="{00000000-0005-0000-0000-0000DBBC0000}"/>
    <cellStyle name="Vírgula 3 14 4" xfId="23377" xr:uid="{00000000-0005-0000-0000-0000DCBC0000}"/>
    <cellStyle name="Vírgula 3 14 4 2" xfId="49564" xr:uid="{00000000-0005-0000-0000-0000DDBC0000}"/>
    <cellStyle name="Vírgula 3 14 5" xfId="17463" xr:uid="{00000000-0005-0000-0000-0000DEBC0000}"/>
    <cellStyle name="Vírgula 3 14 5 2" xfId="43656" xr:uid="{00000000-0005-0000-0000-0000DFBC0000}"/>
    <cellStyle name="Vírgula 3 14 6" xfId="11125" xr:uid="{00000000-0005-0000-0000-0000E0BC0000}"/>
    <cellStyle name="Vírgula 3 14 6 2" xfId="37318" xr:uid="{00000000-0005-0000-0000-0000E1BC0000}"/>
    <cellStyle name="Vírgula 3 14 7" xfId="30934" xr:uid="{00000000-0005-0000-0000-0000E2BC0000}"/>
    <cellStyle name="Vírgula 3 15" xfId="6299" xr:uid="{00000000-0005-0000-0000-0000E3BC0000}"/>
    <cellStyle name="Vírgula 3 15 2" xfId="9502" xr:uid="{00000000-0005-0000-0000-0000E4BC0000}"/>
    <cellStyle name="Vírgula 3 15 2 2" xfId="27716" xr:uid="{00000000-0005-0000-0000-0000E5BC0000}"/>
    <cellStyle name="Vírgula 3 15 2 2 2" xfId="53897" xr:uid="{00000000-0005-0000-0000-0000E6BC0000}"/>
    <cellStyle name="Vírgula 3 15 2 3" xfId="21802" xr:uid="{00000000-0005-0000-0000-0000E7BC0000}"/>
    <cellStyle name="Vírgula 3 15 2 3 2" xfId="47989" xr:uid="{00000000-0005-0000-0000-0000E8BC0000}"/>
    <cellStyle name="Vírgula 3 15 2 4" xfId="15888" xr:uid="{00000000-0005-0000-0000-0000E9BC0000}"/>
    <cellStyle name="Vírgula 3 15 2 4 2" xfId="42081" xr:uid="{00000000-0005-0000-0000-0000EABC0000}"/>
    <cellStyle name="Vírgula 3 15 2 5" xfId="35695" xr:uid="{00000000-0005-0000-0000-0000EBBC0000}"/>
    <cellStyle name="Vírgula 3 15 3" xfId="24759" xr:uid="{00000000-0005-0000-0000-0000ECBC0000}"/>
    <cellStyle name="Vírgula 3 15 3 2" xfId="50943" xr:uid="{00000000-0005-0000-0000-0000EDBC0000}"/>
    <cellStyle name="Vírgula 3 15 4" xfId="18845" xr:uid="{00000000-0005-0000-0000-0000EEBC0000}"/>
    <cellStyle name="Vírgula 3 15 4 2" xfId="45035" xr:uid="{00000000-0005-0000-0000-0000EFBC0000}"/>
    <cellStyle name="Vírgula 3 15 5" xfId="12688" xr:uid="{00000000-0005-0000-0000-0000F0BC0000}"/>
    <cellStyle name="Vírgula 3 15 5 2" xfId="38881" xr:uid="{00000000-0005-0000-0000-0000F1BC0000}"/>
    <cellStyle name="Vírgula 3 15 6" xfId="32495" xr:uid="{00000000-0005-0000-0000-0000F2BC0000}"/>
    <cellStyle name="Vírgula 3 16" xfId="8001" xr:uid="{00000000-0005-0000-0000-0000F3BC0000}"/>
    <cellStyle name="Vírgula 3 16 2" xfId="10971" xr:uid="{00000000-0005-0000-0000-0000F4BC0000}"/>
    <cellStyle name="Vírgula 3 16 2 2" xfId="29185" xr:uid="{00000000-0005-0000-0000-0000F5BC0000}"/>
    <cellStyle name="Vírgula 3 16 2 2 2" xfId="55366" xr:uid="{00000000-0005-0000-0000-0000F6BC0000}"/>
    <cellStyle name="Vírgula 3 16 2 3" xfId="23271" xr:uid="{00000000-0005-0000-0000-0000F7BC0000}"/>
    <cellStyle name="Vírgula 3 16 2 3 2" xfId="49458" xr:uid="{00000000-0005-0000-0000-0000F8BC0000}"/>
    <cellStyle name="Vírgula 3 16 2 4" xfId="17357" xr:uid="{00000000-0005-0000-0000-0000F9BC0000}"/>
    <cellStyle name="Vírgula 3 16 2 4 2" xfId="43550" xr:uid="{00000000-0005-0000-0000-0000FABC0000}"/>
    <cellStyle name="Vírgula 3 16 2 5" xfId="37164" xr:uid="{00000000-0005-0000-0000-0000FBBC0000}"/>
    <cellStyle name="Vírgula 3 16 3" xfId="26228" xr:uid="{00000000-0005-0000-0000-0000FCBC0000}"/>
    <cellStyle name="Vírgula 3 16 3 2" xfId="52412" xr:uid="{00000000-0005-0000-0000-0000FDBC0000}"/>
    <cellStyle name="Vírgula 3 16 4" xfId="20314" xr:uid="{00000000-0005-0000-0000-0000FEBC0000}"/>
    <cellStyle name="Vírgula 3 16 4 2" xfId="46504" xr:uid="{00000000-0005-0000-0000-0000FFBC0000}"/>
    <cellStyle name="Vírgula 3 16 5" xfId="14390" xr:uid="{00000000-0005-0000-0000-000000BD0000}"/>
    <cellStyle name="Vírgula 3 16 5 2" xfId="40583" xr:uid="{00000000-0005-0000-0000-000001BD0000}"/>
    <cellStyle name="Vírgula 3 16 6" xfId="34197" xr:uid="{00000000-0005-0000-0000-000002BD0000}"/>
    <cellStyle name="Vírgula 3 17" xfId="8031" xr:uid="{00000000-0005-0000-0000-000003BD0000}"/>
    <cellStyle name="Vírgula 3 17 2" xfId="26245" xr:uid="{00000000-0005-0000-0000-000004BD0000}"/>
    <cellStyle name="Vírgula 3 17 2 2" xfId="52429" xr:uid="{00000000-0005-0000-0000-000005BD0000}"/>
    <cellStyle name="Vírgula 3 17 3" xfId="20331" xr:uid="{00000000-0005-0000-0000-000006BD0000}"/>
    <cellStyle name="Vírgula 3 17 3 2" xfId="46521" xr:uid="{00000000-0005-0000-0000-000007BD0000}"/>
    <cellStyle name="Vírgula 3 17 4" xfId="14420" xr:uid="{00000000-0005-0000-0000-000008BD0000}"/>
    <cellStyle name="Vírgula 3 17 4 2" xfId="40613" xr:uid="{00000000-0005-0000-0000-000009BD0000}"/>
    <cellStyle name="Vírgula 3 17 5" xfId="34227" xr:uid="{00000000-0005-0000-0000-00000ABD0000}"/>
    <cellStyle name="Vírgula 3 18" xfId="4597" xr:uid="{00000000-0005-0000-0000-00000BBD0000}"/>
    <cellStyle name="Vírgula 3 18 2" xfId="23288" xr:uid="{00000000-0005-0000-0000-00000CBD0000}"/>
    <cellStyle name="Vírgula 3 18 2 2" xfId="49475" xr:uid="{00000000-0005-0000-0000-00000DBD0000}"/>
    <cellStyle name="Vírgula 3 18 3" xfId="30797" xr:uid="{00000000-0005-0000-0000-00000EBD0000}"/>
    <cellStyle name="Vírgula 3 19" xfId="17374" xr:uid="{00000000-0005-0000-0000-00000FBD0000}"/>
    <cellStyle name="Vírgula 3 19 2" xfId="43567" xr:uid="{00000000-0005-0000-0000-000010BD0000}"/>
    <cellStyle name="Vírgula 3 2" xfId="657" xr:uid="{00000000-0005-0000-0000-000011BD0000}"/>
    <cellStyle name="Vírgula 3 2 10" xfId="4505" xr:uid="{00000000-0005-0000-0000-000012BD0000}"/>
    <cellStyle name="Vírgula 3 2 10 2" xfId="7907" xr:uid="{00000000-0005-0000-0000-000013BD0000}"/>
    <cellStyle name="Vírgula 3 2 10 2 2" xfId="10916" xr:uid="{00000000-0005-0000-0000-000014BD0000}"/>
    <cellStyle name="Vírgula 3 2 10 2 2 2" xfId="29130" xr:uid="{00000000-0005-0000-0000-000015BD0000}"/>
    <cellStyle name="Vírgula 3 2 10 2 2 2 2" xfId="55311" xr:uid="{00000000-0005-0000-0000-000016BD0000}"/>
    <cellStyle name="Vírgula 3 2 10 2 2 3" xfId="23216" xr:uid="{00000000-0005-0000-0000-000017BD0000}"/>
    <cellStyle name="Vírgula 3 2 10 2 2 3 2" xfId="49403" xr:uid="{00000000-0005-0000-0000-000018BD0000}"/>
    <cellStyle name="Vírgula 3 2 10 2 2 4" xfId="17302" xr:uid="{00000000-0005-0000-0000-000019BD0000}"/>
    <cellStyle name="Vírgula 3 2 10 2 2 4 2" xfId="43495" xr:uid="{00000000-0005-0000-0000-00001ABD0000}"/>
    <cellStyle name="Vírgula 3 2 10 2 2 5" xfId="37109" xr:uid="{00000000-0005-0000-0000-00001BBD0000}"/>
    <cellStyle name="Vírgula 3 2 10 2 3" xfId="26173" xr:uid="{00000000-0005-0000-0000-00001CBD0000}"/>
    <cellStyle name="Vírgula 3 2 10 2 3 2" xfId="52357" xr:uid="{00000000-0005-0000-0000-00001DBD0000}"/>
    <cellStyle name="Vírgula 3 2 10 2 4" xfId="20259" xr:uid="{00000000-0005-0000-0000-00001EBD0000}"/>
    <cellStyle name="Vírgula 3 2 10 2 4 2" xfId="46449" xr:uid="{00000000-0005-0000-0000-00001FBD0000}"/>
    <cellStyle name="Vírgula 3 2 10 2 5" xfId="14296" xr:uid="{00000000-0005-0000-0000-000020BD0000}"/>
    <cellStyle name="Vírgula 3 2 10 2 5 2" xfId="40489" xr:uid="{00000000-0005-0000-0000-000021BD0000}"/>
    <cellStyle name="Vírgula 3 2 10 2 6" xfId="34103" xr:uid="{00000000-0005-0000-0000-000022BD0000}"/>
    <cellStyle name="Vírgula 3 2 10 3" xfId="9448" xr:uid="{00000000-0005-0000-0000-000023BD0000}"/>
    <cellStyle name="Vírgula 3 2 10 3 2" xfId="27662" xr:uid="{00000000-0005-0000-0000-000024BD0000}"/>
    <cellStyle name="Vírgula 3 2 10 3 2 2" xfId="53843" xr:uid="{00000000-0005-0000-0000-000025BD0000}"/>
    <cellStyle name="Vírgula 3 2 10 3 3" xfId="21748" xr:uid="{00000000-0005-0000-0000-000026BD0000}"/>
    <cellStyle name="Vírgula 3 2 10 3 3 2" xfId="47935" xr:uid="{00000000-0005-0000-0000-000027BD0000}"/>
    <cellStyle name="Vírgula 3 2 10 3 4" xfId="15834" xr:uid="{00000000-0005-0000-0000-000028BD0000}"/>
    <cellStyle name="Vírgula 3 2 10 3 4 2" xfId="42027" xr:uid="{00000000-0005-0000-0000-000029BD0000}"/>
    <cellStyle name="Vírgula 3 2 10 3 5" xfId="35641" xr:uid="{00000000-0005-0000-0000-00002ABD0000}"/>
    <cellStyle name="Vírgula 3 2 10 4" xfId="6206" xr:uid="{00000000-0005-0000-0000-00002BBD0000}"/>
    <cellStyle name="Vírgula 3 2 10 4 2" xfId="24705" xr:uid="{00000000-0005-0000-0000-00002CBD0000}"/>
    <cellStyle name="Vírgula 3 2 10 4 2 2" xfId="50889" xr:uid="{00000000-0005-0000-0000-00002DBD0000}"/>
    <cellStyle name="Vírgula 3 2 10 4 3" xfId="32402" xr:uid="{00000000-0005-0000-0000-00002EBD0000}"/>
    <cellStyle name="Vírgula 3 2 10 5" xfId="18791" xr:uid="{00000000-0005-0000-0000-00002FBD0000}"/>
    <cellStyle name="Vírgula 3 2 10 5 2" xfId="44981" xr:uid="{00000000-0005-0000-0000-000030BD0000}"/>
    <cellStyle name="Vírgula 3 2 10 6" xfId="12595" xr:uid="{00000000-0005-0000-0000-000031BD0000}"/>
    <cellStyle name="Vírgula 3 2 10 6 2" xfId="38788" xr:uid="{00000000-0005-0000-0000-000032BD0000}"/>
    <cellStyle name="Vírgula 3 2 10 7" xfId="30705" xr:uid="{00000000-0005-0000-0000-000033BD0000}"/>
    <cellStyle name="Vírgula 3 2 11" xfId="4893" xr:uid="{00000000-0005-0000-0000-000034BD0000}"/>
    <cellStyle name="Vírgula 3 2 11 2" xfId="6592" xr:uid="{00000000-0005-0000-0000-000035BD0000}"/>
    <cellStyle name="Vírgula 3 2 11 2 2" xfId="9739" xr:uid="{00000000-0005-0000-0000-000036BD0000}"/>
    <cellStyle name="Vírgula 3 2 11 2 2 2" xfId="27953" xr:uid="{00000000-0005-0000-0000-000037BD0000}"/>
    <cellStyle name="Vírgula 3 2 11 2 2 2 2" xfId="54134" xr:uid="{00000000-0005-0000-0000-000038BD0000}"/>
    <cellStyle name="Vírgula 3 2 11 2 2 3" xfId="22039" xr:uid="{00000000-0005-0000-0000-000039BD0000}"/>
    <cellStyle name="Vírgula 3 2 11 2 2 3 2" xfId="48226" xr:uid="{00000000-0005-0000-0000-00003ABD0000}"/>
    <cellStyle name="Vírgula 3 2 11 2 2 4" xfId="16125" xr:uid="{00000000-0005-0000-0000-00003BBD0000}"/>
    <cellStyle name="Vírgula 3 2 11 2 2 4 2" xfId="42318" xr:uid="{00000000-0005-0000-0000-00003CBD0000}"/>
    <cellStyle name="Vírgula 3 2 11 2 2 5" xfId="35932" xr:uid="{00000000-0005-0000-0000-00003DBD0000}"/>
    <cellStyle name="Vírgula 3 2 11 2 3" xfId="24996" xr:uid="{00000000-0005-0000-0000-00003EBD0000}"/>
    <cellStyle name="Vírgula 3 2 11 2 3 2" xfId="51180" xr:uid="{00000000-0005-0000-0000-00003FBD0000}"/>
    <cellStyle name="Vírgula 3 2 11 2 4" xfId="19082" xr:uid="{00000000-0005-0000-0000-000040BD0000}"/>
    <cellStyle name="Vírgula 3 2 11 2 4 2" xfId="45272" xr:uid="{00000000-0005-0000-0000-000041BD0000}"/>
    <cellStyle name="Vírgula 3 2 11 2 5" xfId="12981" xr:uid="{00000000-0005-0000-0000-000042BD0000}"/>
    <cellStyle name="Vírgula 3 2 11 2 5 2" xfId="39174" xr:uid="{00000000-0005-0000-0000-000043BD0000}"/>
    <cellStyle name="Vírgula 3 2 11 2 6" xfId="32788" xr:uid="{00000000-0005-0000-0000-000044BD0000}"/>
    <cellStyle name="Vírgula 3 2 11 3" xfId="8271" xr:uid="{00000000-0005-0000-0000-000045BD0000}"/>
    <cellStyle name="Vírgula 3 2 11 3 2" xfId="26485" xr:uid="{00000000-0005-0000-0000-000046BD0000}"/>
    <cellStyle name="Vírgula 3 2 11 3 2 2" xfId="52666" xr:uid="{00000000-0005-0000-0000-000047BD0000}"/>
    <cellStyle name="Vírgula 3 2 11 3 3" xfId="20571" xr:uid="{00000000-0005-0000-0000-000048BD0000}"/>
    <cellStyle name="Vírgula 3 2 11 3 3 2" xfId="46758" xr:uid="{00000000-0005-0000-0000-000049BD0000}"/>
    <cellStyle name="Vírgula 3 2 11 3 4" xfId="14657" xr:uid="{00000000-0005-0000-0000-00004ABD0000}"/>
    <cellStyle name="Vírgula 3 2 11 3 4 2" xfId="40850" xr:uid="{00000000-0005-0000-0000-00004BBD0000}"/>
    <cellStyle name="Vírgula 3 2 11 3 5" xfId="34464" xr:uid="{00000000-0005-0000-0000-00004CBD0000}"/>
    <cellStyle name="Vírgula 3 2 11 4" xfId="23528" xr:uid="{00000000-0005-0000-0000-00004DBD0000}"/>
    <cellStyle name="Vírgula 3 2 11 4 2" xfId="49712" xr:uid="{00000000-0005-0000-0000-00004EBD0000}"/>
    <cellStyle name="Vírgula 3 2 11 5" xfId="17614" xr:uid="{00000000-0005-0000-0000-00004FBD0000}"/>
    <cellStyle name="Vírgula 3 2 11 5 2" xfId="43804" xr:uid="{00000000-0005-0000-0000-000050BD0000}"/>
    <cellStyle name="Vírgula 3 2 11 6" xfId="11280" xr:uid="{00000000-0005-0000-0000-000051BD0000}"/>
    <cellStyle name="Vírgula 3 2 11 6 2" xfId="37473" xr:uid="{00000000-0005-0000-0000-000052BD0000}"/>
    <cellStyle name="Vírgula 3 2 11 7" xfId="31089" xr:uid="{00000000-0005-0000-0000-000053BD0000}"/>
    <cellStyle name="Vírgula 3 2 12" xfId="6315" xr:uid="{00000000-0005-0000-0000-000054BD0000}"/>
    <cellStyle name="Vírgula 3 2 12 2" xfId="9510" xr:uid="{00000000-0005-0000-0000-000055BD0000}"/>
    <cellStyle name="Vírgula 3 2 12 2 2" xfId="27724" xr:uid="{00000000-0005-0000-0000-000056BD0000}"/>
    <cellStyle name="Vírgula 3 2 12 2 2 2" xfId="53905" xr:uid="{00000000-0005-0000-0000-000057BD0000}"/>
    <cellStyle name="Vírgula 3 2 12 2 3" xfId="21810" xr:uid="{00000000-0005-0000-0000-000058BD0000}"/>
    <cellStyle name="Vírgula 3 2 12 2 3 2" xfId="47997" xr:uid="{00000000-0005-0000-0000-000059BD0000}"/>
    <cellStyle name="Vírgula 3 2 12 2 4" xfId="15896" xr:uid="{00000000-0005-0000-0000-00005ABD0000}"/>
    <cellStyle name="Vírgula 3 2 12 2 4 2" xfId="42089" xr:uid="{00000000-0005-0000-0000-00005BBD0000}"/>
    <cellStyle name="Vírgula 3 2 12 2 5" xfId="35703" xr:uid="{00000000-0005-0000-0000-00005CBD0000}"/>
    <cellStyle name="Vírgula 3 2 12 3" xfId="24767" xr:uid="{00000000-0005-0000-0000-00005DBD0000}"/>
    <cellStyle name="Vírgula 3 2 12 3 2" xfId="50951" xr:uid="{00000000-0005-0000-0000-00005EBD0000}"/>
    <cellStyle name="Vírgula 3 2 12 4" xfId="18853" xr:uid="{00000000-0005-0000-0000-00005FBD0000}"/>
    <cellStyle name="Vírgula 3 2 12 4 2" xfId="45043" xr:uid="{00000000-0005-0000-0000-000060BD0000}"/>
    <cellStyle name="Vírgula 3 2 12 5" xfId="12704" xr:uid="{00000000-0005-0000-0000-000061BD0000}"/>
    <cellStyle name="Vírgula 3 2 12 5 2" xfId="38897" xr:uid="{00000000-0005-0000-0000-000062BD0000}"/>
    <cellStyle name="Vírgula 3 2 12 6" xfId="32511" xr:uid="{00000000-0005-0000-0000-000063BD0000}"/>
    <cellStyle name="Vírgula 3 2 13" xfId="8007" xr:uid="{00000000-0005-0000-0000-000064BD0000}"/>
    <cellStyle name="Vírgula 3 2 13 2" xfId="10974" xr:uid="{00000000-0005-0000-0000-000065BD0000}"/>
    <cellStyle name="Vírgula 3 2 13 2 2" xfId="29188" xr:uid="{00000000-0005-0000-0000-000066BD0000}"/>
    <cellStyle name="Vírgula 3 2 13 2 2 2" xfId="55369" xr:uid="{00000000-0005-0000-0000-000067BD0000}"/>
    <cellStyle name="Vírgula 3 2 13 2 3" xfId="23274" xr:uid="{00000000-0005-0000-0000-000068BD0000}"/>
    <cellStyle name="Vírgula 3 2 13 2 3 2" xfId="49461" xr:uid="{00000000-0005-0000-0000-000069BD0000}"/>
    <cellStyle name="Vírgula 3 2 13 2 4" xfId="17360" xr:uid="{00000000-0005-0000-0000-00006ABD0000}"/>
    <cellStyle name="Vírgula 3 2 13 2 4 2" xfId="43553" xr:uid="{00000000-0005-0000-0000-00006BBD0000}"/>
    <cellStyle name="Vírgula 3 2 13 2 5" xfId="37167" xr:uid="{00000000-0005-0000-0000-00006CBD0000}"/>
    <cellStyle name="Vírgula 3 2 13 3" xfId="26231" xr:uid="{00000000-0005-0000-0000-00006DBD0000}"/>
    <cellStyle name="Vírgula 3 2 13 3 2" xfId="52415" xr:uid="{00000000-0005-0000-0000-00006EBD0000}"/>
    <cellStyle name="Vírgula 3 2 13 4" xfId="20317" xr:uid="{00000000-0005-0000-0000-00006FBD0000}"/>
    <cellStyle name="Vírgula 3 2 13 4 2" xfId="46507" xr:uid="{00000000-0005-0000-0000-000070BD0000}"/>
    <cellStyle name="Vírgula 3 2 13 5" xfId="14396" xr:uid="{00000000-0005-0000-0000-000071BD0000}"/>
    <cellStyle name="Vírgula 3 2 13 5 2" xfId="40589" xr:uid="{00000000-0005-0000-0000-000072BD0000}"/>
    <cellStyle name="Vírgula 3 2 13 6" xfId="34203" xr:uid="{00000000-0005-0000-0000-000073BD0000}"/>
    <cellStyle name="Vírgula 3 2 14" xfId="8039" xr:uid="{00000000-0005-0000-0000-000074BD0000}"/>
    <cellStyle name="Vírgula 3 2 14 2" xfId="26253" xr:uid="{00000000-0005-0000-0000-000075BD0000}"/>
    <cellStyle name="Vírgula 3 2 14 2 2" xfId="52437" xr:uid="{00000000-0005-0000-0000-000076BD0000}"/>
    <cellStyle name="Vírgula 3 2 14 3" xfId="20339" xr:uid="{00000000-0005-0000-0000-000077BD0000}"/>
    <cellStyle name="Vírgula 3 2 14 3 2" xfId="46529" xr:uid="{00000000-0005-0000-0000-000078BD0000}"/>
    <cellStyle name="Vírgula 3 2 14 4" xfId="14428" xr:uid="{00000000-0005-0000-0000-000079BD0000}"/>
    <cellStyle name="Vírgula 3 2 14 4 2" xfId="40621" xr:uid="{00000000-0005-0000-0000-00007ABD0000}"/>
    <cellStyle name="Vírgula 3 2 14 5" xfId="34235" xr:uid="{00000000-0005-0000-0000-00007BBD0000}"/>
    <cellStyle name="Vírgula 3 2 15" xfId="4613" xr:uid="{00000000-0005-0000-0000-00007CBD0000}"/>
    <cellStyle name="Vírgula 3 2 15 2" xfId="23296" xr:uid="{00000000-0005-0000-0000-00007DBD0000}"/>
    <cellStyle name="Vírgula 3 2 15 2 2" xfId="49483" xr:uid="{00000000-0005-0000-0000-00007EBD0000}"/>
    <cellStyle name="Vírgula 3 2 15 3" xfId="30813" xr:uid="{00000000-0005-0000-0000-00007FBD0000}"/>
    <cellStyle name="Vírgula 3 2 16" xfId="17382" xr:uid="{00000000-0005-0000-0000-000080BD0000}"/>
    <cellStyle name="Vírgula 3 2 16 2" xfId="43575" xr:uid="{00000000-0005-0000-0000-000081BD0000}"/>
    <cellStyle name="Vírgula 3 2 17" xfId="11004" xr:uid="{00000000-0005-0000-0000-000082BD0000}"/>
    <cellStyle name="Vírgula 3 2 17 2" xfId="37197" xr:uid="{00000000-0005-0000-0000-000083BD0000}"/>
    <cellStyle name="Vírgula 3 2 18" xfId="29391" xr:uid="{00000000-0005-0000-0000-000084BD0000}"/>
    <cellStyle name="Vírgula 3 2 2" xfId="1907" xr:uid="{00000000-0005-0000-0000-000085BD0000}"/>
    <cellStyle name="Vírgula 3 2 2 10" xfId="8048" xr:uid="{00000000-0005-0000-0000-000086BD0000}"/>
    <cellStyle name="Vírgula 3 2 2 10 2" xfId="26262" xr:uid="{00000000-0005-0000-0000-000087BD0000}"/>
    <cellStyle name="Vírgula 3 2 2 10 2 2" xfId="52446" xr:uid="{00000000-0005-0000-0000-000088BD0000}"/>
    <cellStyle name="Vírgula 3 2 2 10 3" xfId="20348" xr:uid="{00000000-0005-0000-0000-000089BD0000}"/>
    <cellStyle name="Vírgula 3 2 2 10 3 2" xfId="46538" xr:uid="{00000000-0005-0000-0000-00008ABD0000}"/>
    <cellStyle name="Vírgula 3 2 2 10 4" xfId="14437" xr:uid="{00000000-0005-0000-0000-00008BBD0000}"/>
    <cellStyle name="Vírgula 3 2 2 10 4 2" xfId="40630" xr:uid="{00000000-0005-0000-0000-00008CBD0000}"/>
    <cellStyle name="Vírgula 3 2 2 10 5" xfId="34244" xr:uid="{00000000-0005-0000-0000-00008DBD0000}"/>
    <cellStyle name="Vírgula 3 2 2 11" xfId="4628" xr:uid="{00000000-0005-0000-0000-00008EBD0000}"/>
    <cellStyle name="Vírgula 3 2 2 11 2" xfId="23305" xr:uid="{00000000-0005-0000-0000-00008FBD0000}"/>
    <cellStyle name="Vírgula 3 2 2 11 2 2" xfId="49492" xr:uid="{00000000-0005-0000-0000-000090BD0000}"/>
    <cellStyle name="Vírgula 3 2 2 11 3" xfId="30828" xr:uid="{00000000-0005-0000-0000-000091BD0000}"/>
    <cellStyle name="Vírgula 3 2 2 12" xfId="17391" xr:uid="{00000000-0005-0000-0000-000092BD0000}"/>
    <cellStyle name="Vírgula 3 2 2 12 2" xfId="43584" xr:uid="{00000000-0005-0000-0000-000093BD0000}"/>
    <cellStyle name="Vírgula 3 2 2 13" xfId="11019" xr:uid="{00000000-0005-0000-0000-000094BD0000}"/>
    <cellStyle name="Vírgula 3 2 2 13 2" xfId="37212" xr:uid="{00000000-0005-0000-0000-000095BD0000}"/>
    <cellStyle name="Vírgula 3 2 2 14" xfId="29755" xr:uid="{00000000-0005-0000-0000-000096BD0000}"/>
    <cellStyle name="Vírgula 3 2 2 2" xfId="4263" xr:uid="{00000000-0005-0000-0000-000097BD0000}"/>
    <cellStyle name="Vírgula 3 2 2 2 10" xfId="11054" xr:uid="{00000000-0005-0000-0000-000098BD0000}"/>
    <cellStyle name="Vírgula 3 2 2 2 10 2" xfId="37247" xr:uid="{00000000-0005-0000-0000-000099BD0000}"/>
    <cellStyle name="Vírgula 3 2 2 2 11" xfId="30463" xr:uid="{00000000-0005-0000-0000-00009ABD0000}"/>
    <cellStyle name="Vírgula 3 2 2 2 2" xfId="4340" xr:uid="{00000000-0005-0000-0000-00009BBD0000}"/>
    <cellStyle name="Vírgula 3 2 2 2 2 2" xfId="7741" xr:uid="{00000000-0005-0000-0000-00009CBD0000}"/>
    <cellStyle name="Vírgula 3 2 2 2 2 2 2" xfId="10821" xr:uid="{00000000-0005-0000-0000-00009DBD0000}"/>
    <cellStyle name="Vírgula 3 2 2 2 2 2 2 2" xfId="29035" xr:uid="{00000000-0005-0000-0000-00009EBD0000}"/>
    <cellStyle name="Vírgula 3 2 2 2 2 2 2 2 2" xfId="55216" xr:uid="{00000000-0005-0000-0000-00009FBD0000}"/>
    <cellStyle name="Vírgula 3 2 2 2 2 2 2 3" xfId="23121" xr:uid="{00000000-0005-0000-0000-0000A0BD0000}"/>
    <cellStyle name="Vírgula 3 2 2 2 2 2 2 3 2" xfId="49308" xr:uid="{00000000-0005-0000-0000-0000A1BD0000}"/>
    <cellStyle name="Vírgula 3 2 2 2 2 2 2 4" xfId="17207" xr:uid="{00000000-0005-0000-0000-0000A2BD0000}"/>
    <cellStyle name="Vírgula 3 2 2 2 2 2 2 4 2" xfId="43400" xr:uid="{00000000-0005-0000-0000-0000A3BD0000}"/>
    <cellStyle name="Vírgula 3 2 2 2 2 2 2 5" xfId="37014" xr:uid="{00000000-0005-0000-0000-0000A4BD0000}"/>
    <cellStyle name="Vírgula 3 2 2 2 2 2 3" xfId="26078" xr:uid="{00000000-0005-0000-0000-0000A5BD0000}"/>
    <cellStyle name="Vírgula 3 2 2 2 2 2 3 2" xfId="52262" xr:uid="{00000000-0005-0000-0000-0000A6BD0000}"/>
    <cellStyle name="Vírgula 3 2 2 2 2 2 4" xfId="20164" xr:uid="{00000000-0005-0000-0000-0000A7BD0000}"/>
    <cellStyle name="Vírgula 3 2 2 2 2 2 4 2" xfId="46354" xr:uid="{00000000-0005-0000-0000-0000A8BD0000}"/>
    <cellStyle name="Vírgula 3 2 2 2 2 2 5" xfId="14130" xr:uid="{00000000-0005-0000-0000-0000A9BD0000}"/>
    <cellStyle name="Vírgula 3 2 2 2 2 2 5 2" xfId="40323" xr:uid="{00000000-0005-0000-0000-0000AABD0000}"/>
    <cellStyle name="Vírgula 3 2 2 2 2 2 6" xfId="33937" xr:uid="{00000000-0005-0000-0000-0000ABBD0000}"/>
    <cellStyle name="Vírgula 3 2 2 2 2 3" xfId="9353" xr:uid="{00000000-0005-0000-0000-0000ACBD0000}"/>
    <cellStyle name="Vírgula 3 2 2 2 2 3 2" xfId="27567" xr:uid="{00000000-0005-0000-0000-0000ADBD0000}"/>
    <cellStyle name="Vírgula 3 2 2 2 2 3 2 2" xfId="53748" xr:uid="{00000000-0005-0000-0000-0000AEBD0000}"/>
    <cellStyle name="Vírgula 3 2 2 2 2 3 3" xfId="21653" xr:uid="{00000000-0005-0000-0000-0000AFBD0000}"/>
    <cellStyle name="Vírgula 3 2 2 2 2 3 3 2" xfId="47840" xr:uid="{00000000-0005-0000-0000-0000B0BD0000}"/>
    <cellStyle name="Vírgula 3 2 2 2 2 3 4" xfId="15739" xr:uid="{00000000-0005-0000-0000-0000B1BD0000}"/>
    <cellStyle name="Vírgula 3 2 2 2 2 3 4 2" xfId="41932" xr:uid="{00000000-0005-0000-0000-0000B2BD0000}"/>
    <cellStyle name="Vírgula 3 2 2 2 2 3 5" xfId="35546" xr:uid="{00000000-0005-0000-0000-0000B3BD0000}"/>
    <cellStyle name="Vírgula 3 2 2 2 2 4" xfId="6041" xr:uid="{00000000-0005-0000-0000-0000B4BD0000}"/>
    <cellStyle name="Vírgula 3 2 2 2 2 4 2" xfId="24610" xr:uid="{00000000-0005-0000-0000-0000B5BD0000}"/>
    <cellStyle name="Vírgula 3 2 2 2 2 4 2 2" xfId="50794" xr:uid="{00000000-0005-0000-0000-0000B6BD0000}"/>
    <cellStyle name="Vírgula 3 2 2 2 2 4 3" xfId="32237" xr:uid="{00000000-0005-0000-0000-0000B7BD0000}"/>
    <cellStyle name="Vírgula 3 2 2 2 2 5" xfId="18696" xr:uid="{00000000-0005-0000-0000-0000B8BD0000}"/>
    <cellStyle name="Vírgula 3 2 2 2 2 5 2" xfId="44886" xr:uid="{00000000-0005-0000-0000-0000B9BD0000}"/>
    <cellStyle name="Vírgula 3 2 2 2 2 6" xfId="12429" xr:uid="{00000000-0005-0000-0000-0000BABD0000}"/>
    <cellStyle name="Vírgula 3 2 2 2 2 6 2" xfId="38622" xr:uid="{00000000-0005-0000-0000-0000BBBD0000}"/>
    <cellStyle name="Vírgula 3 2 2 2 2 7" xfId="30540" xr:uid="{00000000-0005-0000-0000-0000BCBD0000}"/>
    <cellStyle name="Vírgula 3 2 2 2 3" xfId="4448" xr:uid="{00000000-0005-0000-0000-0000BDBD0000}"/>
    <cellStyle name="Vírgula 3 2 2 2 3 2" xfId="7850" xr:uid="{00000000-0005-0000-0000-0000BEBD0000}"/>
    <cellStyle name="Vírgula 3 2 2 2 3 2 2" xfId="10883" xr:uid="{00000000-0005-0000-0000-0000BFBD0000}"/>
    <cellStyle name="Vírgula 3 2 2 2 3 2 2 2" xfId="29097" xr:uid="{00000000-0005-0000-0000-0000C0BD0000}"/>
    <cellStyle name="Vírgula 3 2 2 2 3 2 2 2 2" xfId="55278" xr:uid="{00000000-0005-0000-0000-0000C1BD0000}"/>
    <cellStyle name="Vírgula 3 2 2 2 3 2 2 3" xfId="23183" xr:uid="{00000000-0005-0000-0000-0000C2BD0000}"/>
    <cellStyle name="Vírgula 3 2 2 2 3 2 2 3 2" xfId="49370" xr:uid="{00000000-0005-0000-0000-0000C3BD0000}"/>
    <cellStyle name="Vírgula 3 2 2 2 3 2 2 4" xfId="17269" xr:uid="{00000000-0005-0000-0000-0000C4BD0000}"/>
    <cellStyle name="Vírgula 3 2 2 2 3 2 2 4 2" xfId="43462" xr:uid="{00000000-0005-0000-0000-0000C5BD0000}"/>
    <cellStyle name="Vírgula 3 2 2 2 3 2 2 5" xfId="37076" xr:uid="{00000000-0005-0000-0000-0000C6BD0000}"/>
    <cellStyle name="Vírgula 3 2 2 2 3 2 3" xfId="26140" xr:uid="{00000000-0005-0000-0000-0000C7BD0000}"/>
    <cellStyle name="Vírgula 3 2 2 2 3 2 3 2" xfId="52324" xr:uid="{00000000-0005-0000-0000-0000C8BD0000}"/>
    <cellStyle name="Vírgula 3 2 2 2 3 2 4" xfId="20226" xr:uid="{00000000-0005-0000-0000-0000C9BD0000}"/>
    <cellStyle name="Vírgula 3 2 2 2 3 2 4 2" xfId="46416" xr:uid="{00000000-0005-0000-0000-0000CABD0000}"/>
    <cellStyle name="Vírgula 3 2 2 2 3 2 5" xfId="14239" xr:uid="{00000000-0005-0000-0000-0000CBBD0000}"/>
    <cellStyle name="Vírgula 3 2 2 2 3 2 5 2" xfId="40432" xr:uid="{00000000-0005-0000-0000-0000CCBD0000}"/>
    <cellStyle name="Vírgula 3 2 2 2 3 2 6" xfId="34046" xr:uid="{00000000-0005-0000-0000-0000CDBD0000}"/>
    <cellStyle name="Vírgula 3 2 2 2 3 3" xfId="9415" xr:uid="{00000000-0005-0000-0000-0000CEBD0000}"/>
    <cellStyle name="Vírgula 3 2 2 2 3 3 2" xfId="27629" xr:uid="{00000000-0005-0000-0000-0000CFBD0000}"/>
    <cellStyle name="Vírgula 3 2 2 2 3 3 2 2" xfId="53810" xr:uid="{00000000-0005-0000-0000-0000D0BD0000}"/>
    <cellStyle name="Vírgula 3 2 2 2 3 3 3" xfId="21715" xr:uid="{00000000-0005-0000-0000-0000D1BD0000}"/>
    <cellStyle name="Vírgula 3 2 2 2 3 3 3 2" xfId="47902" xr:uid="{00000000-0005-0000-0000-0000D2BD0000}"/>
    <cellStyle name="Vírgula 3 2 2 2 3 3 4" xfId="15801" xr:uid="{00000000-0005-0000-0000-0000D3BD0000}"/>
    <cellStyle name="Vírgula 3 2 2 2 3 3 4 2" xfId="41994" xr:uid="{00000000-0005-0000-0000-0000D4BD0000}"/>
    <cellStyle name="Vírgula 3 2 2 2 3 3 5" xfId="35608" xr:uid="{00000000-0005-0000-0000-0000D5BD0000}"/>
    <cellStyle name="Vírgula 3 2 2 2 3 4" xfId="6150" xr:uid="{00000000-0005-0000-0000-0000D6BD0000}"/>
    <cellStyle name="Vírgula 3 2 2 2 3 4 2" xfId="24672" xr:uid="{00000000-0005-0000-0000-0000D7BD0000}"/>
    <cellStyle name="Vírgula 3 2 2 2 3 4 2 2" xfId="50856" xr:uid="{00000000-0005-0000-0000-0000D8BD0000}"/>
    <cellStyle name="Vírgula 3 2 2 2 3 4 3" xfId="32346" xr:uid="{00000000-0005-0000-0000-0000D9BD0000}"/>
    <cellStyle name="Vírgula 3 2 2 2 3 5" xfId="18758" xr:uid="{00000000-0005-0000-0000-0000DABD0000}"/>
    <cellStyle name="Vírgula 3 2 2 2 3 5 2" xfId="44948" xr:uid="{00000000-0005-0000-0000-0000DBBD0000}"/>
    <cellStyle name="Vírgula 3 2 2 2 3 6" xfId="12538" xr:uid="{00000000-0005-0000-0000-0000DCBD0000}"/>
    <cellStyle name="Vírgula 3 2 2 2 3 6 2" xfId="38731" xr:uid="{00000000-0005-0000-0000-0000DDBD0000}"/>
    <cellStyle name="Vírgula 3 2 2 2 3 7" xfId="30648" xr:uid="{00000000-0005-0000-0000-0000DEBD0000}"/>
    <cellStyle name="Vírgula 3 2 2 2 4" xfId="4556" xr:uid="{00000000-0005-0000-0000-0000DFBD0000}"/>
    <cellStyle name="Vírgula 3 2 2 2 4 2" xfId="7958" xr:uid="{00000000-0005-0000-0000-0000E0BD0000}"/>
    <cellStyle name="Vírgula 3 2 2 2 4 2 2" xfId="10945" xr:uid="{00000000-0005-0000-0000-0000E1BD0000}"/>
    <cellStyle name="Vírgula 3 2 2 2 4 2 2 2" xfId="29159" xr:uid="{00000000-0005-0000-0000-0000E2BD0000}"/>
    <cellStyle name="Vírgula 3 2 2 2 4 2 2 2 2" xfId="55340" xr:uid="{00000000-0005-0000-0000-0000E3BD0000}"/>
    <cellStyle name="Vírgula 3 2 2 2 4 2 2 3" xfId="23245" xr:uid="{00000000-0005-0000-0000-0000E4BD0000}"/>
    <cellStyle name="Vírgula 3 2 2 2 4 2 2 3 2" xfId="49432" xr:uid="{00000000-0005-0000-0000-0000E5BD0000}"/>
    <cellStyle name="Vírgula 3 2 2 2 4 2 2 4" xfId="17331" xr:uid="{00000000-0005-0000-0000-0000E6BD0000}"/>
    <cellStyle name="Vírgula 3 2 2 2 4 2 2 4 2" xfId="43524" xr:uid="{00000000-0005-0000-0000-0000E7BD0000}"/>
    <cellStyle name="Vírgula 3 2 2 2 4 2 2 5" xfId="37138" xr:uid="{00000000-0005-0000-0000-0000E8BD0000}"/>
    <cellStyle name="Vírgula 3 2 2 2 4 2 3" xfId="26202" xr:uid="{00000000-0005-0000-0000-0000E9BD0000}"/>
    <cellStyle name="Vírgula 3 2 2 2 4 2 3 2" xfId="52386" xr:uid="{00000000-0005-0000-0000-0000EABD0000}"/>
    <cellStyle name="Vírgula 3 2 2 2 4 2 4" xfId="20288" xr:uid="{00000000-0005-0000-0000-0000EBBD0000}"/>
    <cellStyle name="Vírgula 3 2 2 2 4 2 4 2" xfId="46478" xr:uid="{00000000-0005-0000-0000-0000ECBD0000}"/>
    <cellStyle name="Vírgula 3 2 2 2 4 2 5" xfId="14347" xr:uid="{00000000-0005-0000-0000-0000EDBD0000}"/>
    <cellStyle name="Vírgula 3 2 2 2 4 2 5 2" xfId="40540" xr:uid="{00000000-0005-0000-0000-0000EEBD0000}"/>
    <cellStyle name="Vírgula 3 2 2 2 4 2 6" xfId="34154" xr:uid="{00000000-0005-0000-0000-0000EFBD0000}"/>
    <cellStyle name="Vírgula 3 2 2 2 4 3" xfId="9477" xr:uid="{00000000-0005-0000-0000-0000F0BD0000}"/>
    <cellStyle name="Vírgula 3 2 2 2 4 3 2" xfId="27691" xr:uid="{00000000-0005-0000-0000-0000F1BD0000}"/>
    <cellStyle name="Vírgula 3 2 2 2 4 3 2 2" xfId="53872" xr:uid="{00000000-0005-0000-0000-0000F2BD0000}"/>
    <cellStyle name="Vírgula 3 2 2 2 4 3 3" xfId="21777" xr:uid="{00000000-0005-0000-0000-0000F3BD0000}"/>
    <cellStyle name="Vírgula 3 2 2 2 4 3 3 2" xfId="47964" xr:uid="{00000000-0005-0000-0000-0000F4BD0000}"/>
    <cellStyle name="Vírgula 3 2 2 2 4 3 4" xfId="15863" xr:uid="{00000000-0005-0000-0000-0000F5BD0000}"/>
    <cellStyle name="Vírgula 3 2 2 2 4 3 4 2" xfId="42056" xr:uid="{00000000-0005-0000-0000-0000F6BD0000}"/>
    <cellStyle name="Vírgula 3 2 2 2 4 3 5" xfId="35670" xr:uid="{00000000-0005-0000-0000-0000F7BD0000}"/>
    <cellStyle name="Vírgula 3 2 2 2 4 4" xfId="6257" xr:uid="{00000000-0005-0000-0000-0000F8BD0000}"/>
    <cellStyle name="Vírgula 3 2 2 2 4 4 2" xfId="24734" xr:uid="{00000000-0005-0000-0000-0000F9BD0000}"/>
    <cellStyle name="Vírgula 3 2 2 2 4 4 2 2" xfId="50918" xr:uid="{00000000-0005-0000-0000-0000FABD0000}"/>
    <cellStyle name="Vírgula 3 2 2 2 4 4 3" xfId="32453" xr:uid="{00000000-0005-0000-0000-0000FBBD0000}"/>
    <cellStyle name="Vírgula 3 2 2 2 4 5" xfId="18820" xr:uid="{00000000-0005-0000-0000-0000FCBD0000}"/>
    <cellStyle name="Vírgula 3 2 2 2 4 5 2" xfId="45010" xr:uid="{00000000-0005-0000-0000-0000FDBD0000}"/>
    <cellStyle name="Vírgula 3 2 2 2 4 6" xfId="12646" xr:uid="{00000000-0005-0000-0000-0000FEBD0000}"/>
    <cellStyle name="Vírgula 3 2 2 2 4 6 2" xfId="38839" xr:uid="{00000000-0005-0000-0000-0000FFBD0000}"/>
    <cellStyle name="Vírgula 3 2 2 2 4 7" xfId="30756" xr:uid="{00000000-0005-0000-0000-000000BE0000}"/>
    <cellStyle name="Vírgula 3 2 2 2 5" xfId="5964" xr:uid="{00000000-0005-0000-0000-000001BE0000}"/>
    <cellStyle name="Vírgula 3 2 2 2 5 2" xfId="7664" xr:uid="{00000000-0005-0000-0000-000002BE0000}"/>
    <cellStyle name="Vírgula 3 2 2 2 5 2 2" xfId="10778" xr:uid="{00000000-0005-0000-0000-000003BE0000}"/>
    <cellStyle name="Vírgula 3 2 2 2 5 2 2 2" xfId="28992" xr:uid="{00000000-0005-0000-0000-000004BE0000}"/>
    <cellStyle name="Vírgula 3 2 2 2 5 2 2 2 2" xfId="55173" xr:uid="{00000000-0005-0000-0000-000005BE0000}"/>
    <cellStyle name="Vírgula 3 2 2 2 5 2 2 3" xfId="23078" xr:uid="{00000000-0005-0000-0000-000006BE0000}"/>
    <cellStyle name="Vírgula 3 2 2 2 5 2 2 3 2" xfId="49265" xr:uid="{00000000-0005-0000-0000-000007BE0000}"/>
    <cellStyle name="Vírgula 3 2 2 2 5 2 2 4" xfId="17164" xr:uid="{00000000-0005-0000-0000-000008BE0000}"/>
    <cellStyle name="Vírgula 3 2 2 2 5 2 2 4 2" xfId="43357" xr:uid="{00000000-0005-0000-0000-000009BE0000}"/>
    <cellStyle name="Vírgula 3 2 2 2 5 2 2 5" xfId="36971" xr:uid="{00000000-0005-0000-0000-00000ABE0000}"/>
    <cellStyle name="Vírgula 3 2 2 2 5 2 3" xfId="26035" xr:uid="{00000000-0005-0000-0000-00000BBE0000}"/>
    <cellStyle name="Vírgula 3 2 2 2 5 2 3 2" xfId="52219" xr:uid="{00000000-0005-0000-0000-00000CBE0000}"/>
    <cellStyle name="Vírgula 3 2 2 2 5 2 4" xfId="20121" xr:uid="{00000000-0005-0000-0000-00000DBE0000}"/>
    <cellStyle name="Vírgula 3 2 2 2 5 2 4 2" xfId="46311" xr:uid="{00000000-0005-0000-0000-00000EBE0000}"/>
    <cellStyle name="Vírgula 3 2 2 2 5 2 5" xfId="14053" xr:uid="{00000000-0005-0000-0000-00000FBE0000}"/>
    <cellStyle name="Vírgula 3 2 2 2 5 2 5 2" xfId="40246" xr:uid="{00000000-0005-0000-0000-000010BE0000}"/>
    <cellStyle name="Vírgula 3 2 2 2 5 2 6" xfId="33860" xr:uid="{00000000-0005-0000-0000-000011BE0000}"/>
    <cellStyle name="Vírgula 3 2 2 2 5 3" xfId="9310" xr:uid="{00000000-0005-0000-0000-000012BE0000}"/>
    <cellStyle name="Vírgula 3 2 2 2 5 3 2" xfId="27524" xr:uid="{00000000-0005-0000-0000-000013BE0000}"/>
    <cellStyle name="Vírgula 3 2 2 2 5 3 2 2" xfId="53705" xr:uid="{00000000-0005-0000-0000-000014BE0000}"/>
    <cellStyle name="Vírgula 3 2 2 2 5 3 3" xfId="21610" xr:uid="{00000000-0005-0000-0000-000015BE0000}"/>
    <cellStyle name="Vírgula 3 2 2 2 5 3 3 2" xfId="47797" xr:uid="{00000000-0005-0000-0000-000016BE0000}"/>
    <cellStyle name="Vírgula 3 2 2 2 5 3 4" xfId="15696" xr:uid="{00000000-0005-0000-0000-000017BE0000}"/>
    <cellStyle name="Vírgula 3 2 2 2 5 3 4 2" xfId="41889" xr:uid="{00000000-0005-0000-0000-000018BE0000}"/>
    <cellStyle name="Vírgula 3 2 2 2 5 3 5" xfId="35503" xr:uid="{00000000-0005-0000-0000-000019BE0000}"/>
    <cellStyle name="Vírgula 3 2 2 2 5 4" xfId="24567" xr:uid="{00000000-0005-0000-0000-00001ABE0000}"/>
    <cellStyle name="Vírgula 3 2 2 2 5 4 2" xfId="50751" xr:uid="{00000000-0005-0000-0000-00001BBE0000}"/>
    <cellStyle name="Vírgula 3 2 2 2 5 5" xfId="18653" xr:uid="{00000000-0005-0000-0000-00001CBE0000}"/>
    <cellStyle name="Vírgula 3 2 2 2 5 5 2" xfId="44843" xr:uid="{00000000-0005-0000-0000-00001DBE0000}"/>
    <cellStyle name="Vírgula 3 2 2 2 5 6" xfId="12352" xr:uid="{00000000-0005-0000-0000-00001EBE0000}"/>
    <cellStyle name="Vírgula 3 2 2 2 5 6 2" xfId="38545" xr:uid="{00000000-0005-0000-0000-00001FBE0000}"/>
    <cellStyle name="Vírgula 3 2 2 2 5 7" xfId="32160" xr:uid="{00000000-0005-0000-0000-000020BE0000}"/>
    <cellStyle name="Vírgula 3 2 2 2 6" xfId="6366" xr:uid="{00000000-0005-0000-0000-000021BE0000}"/>
    <cellStyle name="Vírgula 3 2 2 2 6 2" xfId="9539" xr:uid="{00000000-0005-0000-0000-000022BE0000}"/>
    <cellStyle name="Vírgula 3 2 2 2 6 2 2" xfId="27753" xr:uid="{00000000-0005-0000-0000-000023BE0000}"/>
    <cellStyle name="Vírgula 3 2 2 2 6 2 2 2" xfId="53934" xr:uid="{00000000-0005-0000-0000-000024BE0000}"/>
    <cellStyle name="Vírgula 3 2 2 2 6 2 3" xfId="21839" xr:uid="{00000000-0005-0000-0000-000025BE0000}"/>
    <cellStyle name="Vírgula 3 2 2 2 6 2 3 2" xfId="48026" xr:uid="{00000000-0005-0000-0000-000026BE0000}"/>
    <cellStyle name="Vírgula 3 2 2 2 6 2 4" xfId="15925" xr:uid="{00000000-0005-0000-0000-000027BE0000}"/>
    <cellStyle name="Vírgula 3 2 2 2 6 2 4 2" xfId="42118" xr:uid="{00000000-0005-0000-0000-000028BE0000}"/>
    <cellStyle name="Vírgula 3 2 2 2 6 2 5" xfId="35732" xr:uid="{00000000-0005-0000-0000-000029BE0000}"/>
    <cellStyle name="Vírgula 3 2 2 2 6 3" xfId="24796" xr:uid="{00000000-0005-0000-0000-00002ABE0000}"/>
    <cellStyle name="Vírgula 3 2 2 2 6 3 2" xfId="50980" xr:uid="{00000000-0005-0000-0000-00002BBE0000}"/>
    <cellStyle name="Vírgula 3 2 2 2 6 4" xfId="18882" xr:uid="{00000000-0005-0000-0000-00002CBE0000}"/>
    <cellStyle name="Vírgula 3 2 2 2 6 4 2" xfId="45072" xr:uid="{00000000-0005-0000-0000-00002DBE0000}"/>
    <cellStyle name="Vírgula 3 2 2 2 6 5" xfId="12755" xr:uid="{00000000-0005-0000-0000-00002EBE0000}"/>
    <cellStyle name="Vírgula 3 2 2 2 6 5 2" xfId="38948" xr:uid="{00000000-0005-0000-0000-00002FBE0000}"/>
    <cellStyle name="Vírgula 3 2 2 2 6 6" xfId="32562" xr:uid="{00000000-0005-0000-0000-000030BE0000}"/>
    <cellStyle name="Vírgula 3 2 2 2 7" xfId="8068" xr:uid="{00000000-0005-0000-0000-000031BE0000}"/>
    <cellStyle name="Vírgula 3 2 2 2 7 2" xfId="26282" xr:uid="{00000000-0005-0000-0000-000032BE0000}"/>
    <cellStyle name="Vírgula 3 2 2 2 7 2 2" xfId="52466" xr:uid="{00000000-0005-0000-0000-000033BE0000}"/>
    <cellStyle name="Vírgula 3 2 2 2 7 3" xfId="20368" xr:uid="{00000000-0005-0000-0000-000034BE0000}"/>
    <cellStyle name="Vírgula 3 2 2 2 7 3 2" xfId="46558" xr:uid="{00000000-0005-0000-0000-000035BE0000}"/>
    <cellStyle name="Vírgula 3 2 2 2 7 4" xfId="14457" xr:uid="{00000000-0005-0000-0000-000036BE0000}"/>
    <cellStyle name="Vírgula 3 2 2 2 7 4 2" xfId="40650" xr:uid="{00000000-0005-0000-0000-000037BE0000}"/>
    <cellStyle name="Vírgula 3 2 2 2 7 5" xfId="34264" xr:uid="{00000000-0005-0000-0000-000038BE0000}"/>
    <cellStyle name="Vírgula 3 2 2 2 8" xfId="4663" xr:uid="{00000000-0005-0000-0000-000039BE0000}"/>
    <cellStyle name="Vírgula 3 2 2 2 8 2" xfId="23325" xr:uid="{00000000-0005-0000-0000-00003ABE0000}"/>
    <cellStyle name="Vírgula 3 2 2 2 8 2 2" xfId="49512" xr:uid="{00000000-0005-0000-0000-00003BBE0000}"/>
    <cellStyle name="Vírgula 3 2 2 2 8 3" xfId="30863" xr:uid="{00000000-0005-0000-0000-00003CBE0000}"/>
    <cellStyle name="Vírgula 3 2 2 2 9" xfId="17411" xr:uid="{00000000-0005-0000-0000-00003DBE0000}"/>
    <cellStyle name="Vírgula 3 2 2 2 9 2" xfId="43604" xr:uid="{00000000-0005-0000-0000-00003EBE0000}"/>
    <cellStyle name="Vírgula 3 2 2 3" xfId="4228" xr:uid="{00000000-0005-0000-0000-00003FBE0000}"/>
    <cellStyle name="Vírgula 3 2 2 3 10" xfId="11087" xr:uid="{00000000-0005-0000-0000-000040BE0000}"/>
    <cellStyle name="Vírgula 3 2 2 3 10 2" xfId="37280" xr:uid="{00000000-0005-0000-0000-000041BE0000}"/>
    <cellStyle name="Vírgula 3 2 2 3 11" xfId="30428" xr:uid="{00000000-0005-0000-0000-000042BE0000}"/>
    <cellStyle name="Vírgula 3 2 2 3 2" xfId="4372" xr:uid="{00000000-0005-0000-0000-000043BE0000}"/>
    <cellStyle name="Vírgula 3 2 2 3 2 2" xfId="7774" xr:uid="{00000000-0005-0000-0000-000044BE0000}"/>
    <cellStyle name="Vírgula 3 2 2 3 2 2 2" xfId="10840" xr:uid="{00000000-0005-0000-0000-000045BE0000}"/>
    <cellStyle name="Vírgula 3 2 2 3 2 2 2 2" xfId="29054" xr:uid="{00000000-0005-0000-0000-000046BE0000}"/>
    <cellStyle name="Vírgula 3 2 2 3 2 2 2 2 2" xfId="55235" xr:uid="{00000000-0005-0000-0000-000047BE0000}"/>
    <cellStyle name="Vírgula 3 2 2 3 2 2 2 3" xfId="23140" xr:uid="{00000000-0005-0000-0000-000048BE0000}"/>
    <cellStyle name="Vírgula 3 2 2 3 2 2 2 3 2" xfId="49327" xr:uid="{00000000-0005-0000-0000-000049BE0000}"/>
    <cellStyle name="Vírgula 3 2 2 3 2 2 2 4" xfId="17226" xr:uid="{00000000-0005-0000-0000-00004ABE0000}"/>
    <cellStyle name="Vírgula 3 2 2 3 2 2 2 4 2" xfId="43419" xr:uid="{00000000-0005-0000-0000-00004BBE0000}"/>
    <cellStyle name="Vírgula 3 2 2 3 2 2 2 5" xfId="37033" xr:uid="{00000000-0005-0000-0000-00004CBE0000}"/>
    <cellStyle name="Vírgula 3 2 2 3 2 2 3" xfId="26097" xr:uid="{00000000-0005-0000-0000-00004DBE0000}"/>
    <cellStyle name="Vírgula 3 2 2 3 2 2 3 2" xfId="52281" xr:uid="{00000000-0005-0000-0000-00004EBE0000}"/>
    <cellStyle name="Vírgula 3 2 2 3 2 2 4" xfId="20183" xr:uid="{00000000-0005-0000-0000-00004FBE0000}"/>
    <cellStyle name="Vírgula 3 2 2 3 2 2 4 2" xfId="46373" xr:uid="{00000000-0005-0000-0000-000050BE0000}"/>
    <cellStyle name="Vírgula 3 2 2 3 2 2 5" xfId="14163" xr:uid="{00000000-0005-0000-0000-000051BE0000}"/>
    <cellStyle name="Vírgula 3 2 2 3 2 2 5 2" xfId="40356" xr:uid="{00000000-0005-0000-0000-000052BE0000}"/>
    <cellStyle name="Vírgula 3 2 2 3 2 2 6" xfId="33970" xr:uid="{00000000-0005-0000-0000-000053BE0000}"/>
    <cellStyle name="Vírgula 3 2 2 3 2 3" xfId="9372" xr:uid="{00000000-0005-0000-0000-000054BE0000}"/>
    <cellStyle name="Vírgula 3 2 2 3 2 3 2" xfId="27586" xr:uid="{00000000-0005-0000-0000-000055BE0000}"/>
    <cellStyle name="Vírgula 3 2 2 3 2 3 2 2" xfId="53767" xr:uid="{00000000-0005-0000-0000-000056BE0000}"/>
    <cellStyle name="Vírgula 3 2 2 3 2 3 3" xfId="21672" xr:uid="{00000000-0005-0000-0000-000057BE0000}"/>
    <cellStyle name="Vírgula 3 2 2 3 2 3 3 2" xfId="47859" xr:uid="{00000000-0005-0000-0000-000058BE0000}"/>
    <cellStyle name="Vírgula 3 2 2 3 2 3 4" xfId="15758" xr:uid="{00000000-0005-0000-0000-000059BE0000}"/>
    <cellStyle name="Vírgula 3 2 2 3 2 3 4 2" xfId="41951" xr:uid="{00000000-0005-0000-0000-00005ABE0000}"/>
    <cellStyle name="Vírgula 3 2 2 3 2 3 5" xfId="35565" xr:uid="{00000000-0005-0000-0000-00005BBE0000}"/>
    <cellStyle name="Vírgula 3 2 2 3 2 4" xfId="6074" xr:uid="{00000000-0005-0000-0000-00005CBE0000}"/>
    <cellStyle name="Vírgula 3 2 2 3 2 4 2" xfId="24629" xr:uid="{00000000-0005-0000-0000-00005DBE0000}"/>
    <cellStyle name="Vírgula 3 2 2 3 2 4 2 2" xfId="50813" xr:uid="{00000000-0005-0000-0000-00005EBE0000}"/>
    <cellStyle name="Vírgula 3 2 2 3 2 4 3" xfId="32270" xr:uid="{00000000-0005-0000-0000-00005FBE0000}"/>
    <cellStyle name="Vírgula 3 2 2 3 2 5" xfId="18715" xr:uid="{00000000-0005-0000-0000-000060BE0000}"/>
    <cellStyle name="Vírgula 3 2 2 3 2 5 2" xfId="44905" xr:uid="{00000000-0005-0000-0000-000061BE0000}"/>
    <cellStyle name="Vírgula 3 2 2 3 2 6" xfId="12462" xr:uid="{00000000-0005-0000-0000-000062BE0000}"/>
    <cellStyle name="Vírgula 3 2 2 3 2 6 2" xfId="38655" xr:uid="{00000000-0005-0000-0000-000063BE0000}"/>
    <cellStyle name="Vírgula 3 2 2 3 2 7" xfId="30572" xr:uid="{00000000-0005-0000-0000-000064BE0000}"/>
    <cellStyle name="Vírgula 3 2 2 3 3" xfId="4480" xr:uid="{00000000-0005-0000-0000-000065BE0000}"/>
    <cellStyle name="Vírgula 3 2 2 3 3 2" xfId="7882" xr:uid="{00000000-0005-0000-0000-000066BE0000}"/>
    <cellStyle name="Vírgula 3 2 2 3 3 2 2" xfId="10902" xr:uid="{00000000-0005-0000-0000-000067BE0000}"/>
    <cellStyle name="Vírgula 3 2 2 3 3 2 2 2" xfId="29116" xr:uid="{00000000-0005-0000-0000-000068BE0000}"/>
    <cellStyle name="Vírgula 3 2 2 3 3 2 2 2 2" xfId="55297" xr:uid="{00000000-0005-0000-0000-000069BE0000}"/>
    <cellStyle name="Vírgula 3 2 2 3 3 2 2 3" xfId="23202" xr:uid="{00000000-0005-0000-0000-00006ABE0000}"/>
    <cellStyle name="Vírgula 3 2 2 3 3 2 2 3 2" xfId="49389" xr:uid="{00000000-0005-0000-0000-00006BBE0000}"/>
    <cellStyle name="Vírgula 3 2 2 3 3 2 2 4" xfId="17288" xr:uid="{00000000-0005-0000-0000-00006CBE0000}"/>
    <cellStyle name="Vírgula 3 2 2 3 3 2 2 4 2" xfId="43481" xr:uid="{00000000-0005-0000-0000-00006DBE0000}"/>
    <cellStyle name="Vírgula 3 2 2 3 3 2 2 5" xfId="37095" xr:uid="{00000000-0005-0000-0000-00006EBE0000}"/>
    <cellStyle name="Vírgula 3 2 2 3 3 2 3" xfId="26159" xr:uid="{00000000-0005-0000-0000-00006FBE0000}"/>
    <cellStyle name="Vírgula 3 2 2 3 3 2 3 2" xfId="52343" xr:uid="{00000000-0005-0000-0000-000070BE0000}"/>
    <cellStyle name="Vírgula 3 2 2 3 3 2 4" xfId="20245" xr:uid="{00000000-0005-0000-0000-000071BE0000}"/>
    <cellStyle name="Vírgula 3 2 2 3 3 2 4 2" xfId="46435" xr:uid="{00000000-0005-0000-0000-000072BE0000}"/>
    <cellStyle name="Vírgula 3 2 2 3 3 2 5" xfId="14271" xr:uid="{00000000-0005-0000-0000-000073BE0000}"/>
    <cellStyle name="Vírgula 3 2 2 3 3 2 5 2" xfId="40464" xr:uid="{00000000-0005-0000-0000-000074BE0000}"/>
    <cellStyle name="Vírgula 3 2 2 3 3 2 6" xfId="34078" xr:uid="{00000000-0005-0000-0000-000075BE0000}"/>
    <cellStyle name="Vírgula 3 2 2 3 3 3" xfId="9434" xr:uid="{00000000-0005-0000-0000-000076BE0000}"/>
    <cellStyle name="Vírgula 3 2 2 3 3 3 2" xfId="27648" xr:uid="{00000000-0005-0000-0000-000077BE0000}"/>
    <cellStyle name="Vírgula 3 2 2 3 3 3 2 2" xfId="53829" xr:uid="{00000000-0005-0000-0000-000078BE0000}"/>
    <cellStyle name="Vírgula 3 2 2 3 3 3 3" xfId="21734" xr:uid="{00000000-0005-0000-0000-000079BE0000}"/>
    <cellStyle name="Vírgula 3 2 2 3 3 3 3 2" xfId="47921" xr:uid="{00000000-0005-0000-0000-00007ABE0000}"/>
    <cellStyle name="Vírgula 3 2 2 3 3 3 4" xfId="15820" xr:uid="{00000000-0005-0000-0000-00007BBE0000}"/>
    <cellStyle name="Vírgula 3 2 2 3 3 3 4 2" xfId="42013" xr:uid="{00000000-0005-0000-0000-00007CBE0000}"/>
    <cellStyle name="Vírgula 3 2 2 3 3 3 5" xfId="35627" xr:uid="{00000000-0005-0000-0000-00007DBE0000}"/>
    <cellStyle name="Vírgula 3 2 2 3 3 4" xfId="6181" xr:uid="{00000000-0005-0000-0000-00007EBE0000}"/>
    <cellStyle name="Vírgula 3 2 2 3 3 4 2" xfId="24691" xr:uid="{00000000-0005-0000-0000-00007FBE0000}"/>
    <cellStyle name="Vírgula 3 2 2 3 3 4 2 2" xfId="50875" xr:uid="{00000000-0005-0000-0000-000080BE0000}"/>
    <cellStyle name="Vírgula 3 2 2 3 3 4 3" xfId="32377" xr:uid="{00000000-0005-0000-0000-000081BE0000}"/>
    <cellStyle name="Vírgula 3 2 2 3 3 5" xfId="18777" xr:uid="{00000000-0005-0000-0000-000082BE0000}"/>
    <cellStyle name="Vírgula 3 2 2 3 3 5 2" xfId="44967" xr:uid="{00000000-0005-0000-0000-000083BE0000}"/>
    <cellStyle name="Vírgula 3 2 2 3 3 6" xfId="12570" xr:uid="{00000000-0005-0000-0000-000084BE0000}"/>
    <cellStyle name="Vírgula 3 2 2 3 3 6 2" xfId="38763" xr:uid="{00000000-0005-0000-0000-000085BE0000}"/>
    <cellStyle name="Vírgula 3 2 2 3 3 7" xfId="30680" xr:uid="{00000000-0005-0000-0000-000086BE0000}"/>
    <cellStyle name="Vírgula 3 2 2 3 4" xfId="4588" xr:uid="{00000000-0005-0000-0000-000087BE0000}"/>
    <cellStyle name="Vírgula 3 2 2 3 4 2" xfId="7991" xr:uid="{00000000-0005-0000-0000-000088BE0000}"/>
    <cellStyle name="Vírgula 3 2 2 3 4 2 2" xfId="10964" xr:uid="{00000000-0005-0000-0000-000089BE0000}"/>
    <cellStyle name="Vírgula 3 2 2 3 4 2 2 2" xfId="29178" xr:uid="{00000000-0005-0000-0000-00008ABE0000}"/>
    <cellStyle name="Vírgula 3 2 2 3 4 2 2 2 2" xfId="55359" xr:uid="{00000000-0005-0000-0000-00008BBE0000}"/>
    <cellStyle name="Vírgula 3 2 2 3 4 2 2 3" xfId="23264" xr:uid="{00000000-0005-0000-0000-00008CBE0000}"/>
    <cellStyle name="Vírgula 3 2 2 3 4 2 2 3 2" xfId="49451" xr:uid="{00000000-0005-0000-0000-00008DBE0000}"/>
    <cellStyle name="Vírgula 3 2 2 3 4 2 2 4" xfId="17350" xr:uid="{00000000-0005-0000-0000-00008EBE0000}"/>
    <cellStyle name="Vírgula 3 2 2 3 4 2 2 4 2" xfId="43543" xr:uid="{00000000-0005-0000-0000-00008FBE0000}"/>
    <cellStyle name="Vírgula 3 2 2 3 4 2 2 5" xfId="37157" xr:uid="{00000000-0005-0000-0000-000090BE0000}"/>
    <cellStyle name="Vírgula 3 2 2 3 4 2 3" xfId="26221" xr:uid="{00000000-0005-0000-0000-000091BE0000}"/>
    <cellStyle name="Vírgula 3 2 2 3 4 2 3 2" xfId="52405" xr:uid="{00000000-0005-0000-0000-000092BE0000}"/>
    <cellStyle name="Vírgula 3 2 2 3 4 2 4" xfId="20307" xr:uid="{00000000-0005-0000-0000-000093BE0000}"/>
    <cellStyle name="Vírgula 3 2 2 3 4 2 4 2" xfId="46497" xr:uid="{00000000-0005-0000-0000-000094BE0000}"/>
    <cellStyle name="Vírgula 3 2 2 3 4 2 5" xfId="14380" xr:uid="{00000000-0005-0000-0000-000095BE0000}"/>
    <cellStyle name="Vírgula 3 2 2 3 4 2 5 2" xfId="40573" xr:uid="{00000000-0005-0000-0000-000096BE0000}"/>
    <cellStyle name="Vírgula 3 2 2 3 4 2 6" xfId="34187" xr:uid="{00000000-0005-0000-0000-000097BE0000}"/>
    <cellStyle name="Vírgula 3 2 2 3 4 3" xfId="9496" xr:uid="{00000000-0005-0000-0000-000098BE0000}"/>
    <cellStyle name="Vírgula 3 2 2 3 4 3 2" xfId="27710" xr:uid="{00000000-0005-0000-0000-000099BE0000}"/>
    <cellStyle name="Vírgula 3 2 2 3 4 3 2 2" xfId="53891" xr:uid="{00000000-0005-0000-0000-00009ABE0000}"/>
    <cellStyle name="Vírgula 3 2 2 3 4 3 3" xfId="21796" xr:uid="{00000000-0005-0000-0000-00009BBE0000}"/>
    <cellStyle name="Vírgula 3 2 2 3 4 3 3 2" xfId="47983" xr:uid="{00000000-0005-0000-0000-00009CBE0000}"/>
    <cellStyle name="Vírgula 3 2 2 3 4 3 4" xfId="15882" xr:uid="{00000000-0005-0000-0000-00009DBE0000}"/>
    <cellStyle name="Vírgula 3 2 2 3 4 3 4 2" xfId="42075" xr:uid="{00000000-0005-0000-0000-00009EBE0000}"/>
    <cellStyle name="Vírgula 3 2 2 3 4 3 5" xfId="35689" xr:uid="{00000000-0005-0000-0000-00009FBE0000}"/>
    <cellStyle name="Vírgula 3 2 2 3 4 4" xfId="6290" xr:uid="{00000000-0005-0000-0000-0000A0BE0000}"/>
    <cellStyle name="Vírgula 3 2 2 3 4 4 2" xfId="24753" xr:uid="{00000000-0005-0000-0000-0000A1BE0000}"/>
    <cellStyle name="Vírgula 3 2 2 3 4 4 2 2" xfId="50937" xr:uid="{00000000-0005-0000-0000-0000A2BE0000}"/>
    <cellStyle name="Vírgula 3 2 2 3 4 4 3" xfId="32486" xr:uid="{00000000-0005-0000-0000-0000A3BE0000}"/>
    <cellStyle name="Vírgula 3 2 2 3 4 5" xfId="18839" xr:uid="{00000000-0005-0000-0000-0000A4BE0000}"/>
    <cellStyle name="Vírgula 3 2 2 3 4 5 2" xfId="45029" xr:uid="{00000000-0005-0000-0000-0000A5BE0000}"/>
    <cellStyle name="Vírgula 3 2 2 3 4 6" xfId="12679" xr:uid="{00000000-0005-0000-0000-0000A6BE0000}"/>
    <cellStyle name="Vírgula 3 2 2 3 4 6 2" xfId="38872" xr:uid="{00000000-0005-0000-0000-0000A7BE0000}"/>
    <cellStyle name="Vírgula 3 2 2 3 4 7" xfId="30788" xr:uid="{00000000-0005-0000-0000-0000A8BE0000}"/>
    <cellStyle name="Vírgula 3 2 2 3 5" xfId="5929" xr:uid="{00000000-0005-0000-0000-0000A9BE0000}"/>
    <cellStyle name="Vírgula 3 2 2 3 5 2" xfId="7629" xr:uid="{00000000-0005-0000-0000-0000AABE0000}"/>
    <cellStyle name="Vírgula 3 2 2 3 5 2 2" xfId="10758" xr:uid="{00000000-0005-0000-0000-0000ABBE0000}"/>
    <cellStyle name="Vírgula 3 2 2 3 5 2 2 2" xfId="28972" xr:uid="{00000000-0005-0000-0000-0000ACBE0000}"/>
    <cellStyle name="Vírgula 3 2 2 3 5 2 2 2 2" xfId="55153" xr:uid="{00000000-0005-0000-0000-0000ADBE0000}"/>
    <cellStyle name="Vírgula 3 2 2 3 5 2 2 3" xfId="23058" xr:uid="{00000000-0005-0000-0000-0000AEBE0000}"/>
    <cellStyle name="Vírgula 3 2 2 3 5 2 2 3 2" xfId="49245" xr:uid="{00000000-0005-0000-0000-0000AFBE0000}"/>
    <cellStyle name="Vírgula 3 2 2 3 5 2 2 4" xfId="17144" xr:uid="{00000000-0005-0000-0000-0000B0BE0000}"/>
    <cellStyle name="Vírgula 3 2 2 3 5 2 2 4 2" xfId="43337" xr:uid="{00000000-0005-0000-0000-0000B1BE0000}"/>
    <cellStyle name="Vírgula 3 2 2 3 5 2 2 5" xfId="36951" xr:uid="{00000000-0005-0000-0000-0000B2BE0000}"/>
    <cellStyle name="Vírgula 3 2 2 3 5 2 3" xfId="26015" xr:uid="{00000000-0005-0000-0000-0000B3BE0000}"/>
    <cellStyle name="Vírgula 3 2 2 3 5 2 3 2" xfId="52199" xr:uid="{00000000-0005-0000-0000-0000B4BE0000}"/>
    <cellStyle name="Vírgula 3 2 2 3 5 2 4" xfId="20101" xr:uid="{00000000-0005-0000-0000-0000B5BE0000}"/>
    <cellStyle name="Vírgula 3 2 2 3 5 2 4 2" xfId="46291" xr:uid="{00000000-0005-0000-0000-0000B6BE0000}"/>
    <cellStyle name="Vírgula 3 2 2 3 5 2 5" xfId="14018" xr:uid="{00000000-0005-0000-0000-0000B7BE0000}"/>
    <cellStyle name="Vírgula 3 2 2 3 5 2 5 2" xfId="40211" xr:uid="{00000000-0005-0000-0000-0000B8BE0000}"/>
    <cellStyle name="Vírgula 3 2 2 3 5 2 6" xfId="33825" xr:uid="{00000000-0005-0000-0000-0000B9BE0000}"/>
    <cellStyle name="Vírgula 3 2 2 3 5 3" xfId="9290" xr:uid="{00000000-0005-0000-0000-0000BABE0000}"/>
    <cellStyle name="Vírgula 3 2 2 3 5 3 2" xfId="27504" xr:uid="{00000000-0005-0000-0000-0000BBBE0000}"/>
    <cellStyle name="Vírgula 3 2 2 3 5 3 2 2" xfId="53685" xr:uid="{00000000-0005-0000-0000-0000BCBE0000}"/>
    <cellStyle name="Vírgula 3 2 2 3 5 3 3" xfId="21590" xr:uid="{00000000-0005-0000-0000-0000BDBE0000}"/>
    <cellStyle name="Vírgula 3 2 2 3 5 3 3 2" xfId="47777" xr:uid="{00000000-0005-0000-0000-0000BEBE0000}"/>
    <cellStyle name="Vírgula 3 2 2 3 5 3 4" xfId="15676" xr:uid="{00000000-0005-0000-0000-0000BFBE0000}"/>
    <cellStyle name="Vírgula 3 2 2 3 5 3 4 2" xfId="41869" xr:uid="{00000000-0005-0000-0000-0000C0BE0000}"/>
    <cellStyle name="Vírgula 3 2 2 3 5 3 5" xfId="35483" xr:uid="{00000000-0005-0000-0000-0000C1BE0000}"/>
    <cellStyle name="Vírgula 3 2 2 3 5 4" xfId="24547" xr:uid="{00000000-0005-0000-0000-0000C2BE0000}"/>
    <cellStyle name="Vírgula 3 2 2 3 5 4 2" xfId="50731" xr:uid="{00000000-0005-0000-0000-0000C3BE0000}"/>
    <cellStyle name="Vírgula 3 2 2 3 5 5" xfId="18633" xr:uid="{00000000-0005-0000-0000-0000C4BE0000}"/>
    <cellStyle name="Vírgula 3 2 2 3 5 5 2" xfId="44823" xr:uid="{00000000-0005-0000-0000-0000C5BE0000}"/>
    <cellStyle name="Vírgula 3 2 2 3 5 6" xfId="12317" xr:uid="{00000000-0005-0000-0000-0000C6BE0000}"/>
    <cellStyle name="Vírgula 3 2 2 3 5 6 2" xfId="38510" xr:uid="{00000000-0005-0000-0000-0000C7BE0000}"/>
    <cellStyle name="Vírgula 3 2 2 3 5 7" xfId="32125" xr:uid="{00000000-0005-0000-0000-0000C8BE0000}"/>
    <cellStyle name="Vírgula 3 2 2 3 6" xfId="6399" xr:uid="{00000000-0005-0000-0000-0000C9BE0000}"/>
    <cellStyle name="Vírgula 3 2 2 3 6 2" xfId="9558" xr:uid="{00000000-0005-0000-0000-0000CABE0000}"/>
    <cellStyle name="Vírgula 3 2 2 3 6 2 2" xfId="27772" xr:uid="{00000000-0005-0000-0000-0000CBBE0000}"/>
    <cellStyle name="Vírgula 3 2 2 3 6 2 2 2" xfId="53953" xr:uid="{00000000-0005-0000-0000-0000CCBE0000}"/>
    <cellStyle name="Vírgula 3 2 2 3 6 2 3" xfId="21858" xr:uid="{00000000-0005-0000-0000-0000CDBE0000}"/>
    <cellStyle name="Vírgula 3 2 2 3 6 2 3 2" xfId="48045" xr:uid="{00000000-0005-0000-0000-0000CEBE0000}"/>
    <cellStyle name="Vírgula 3 2 2 3 6 2 4" xfId="15944" xr:uid="{00000000-0005-0000-0000-0000CFBE0000}"/>
    <cellStyle name="Vírgula 3 2 2 3 6 2 4 2" xfId="42137" xr:uid="{00000000-0005-0000-0000-0000D0BE0000}"/>
    <cellStyle name="Vírgula 3 2 2 3 6 2 5" xfId="35751" xr:uid="{00000000-0005-0000-0000-0000D1BE0000}"/>
    <cellStyle name="Vírgula 3 2 2 3 6 3" xfId="24815" xr:uid="{00000000-0005-0000-0000-0000D2BE0000}"/>
    <cellStyle name="Vírgula 3 2 2 3 6 3 2" xfId="50999" xr:uid="{00000000-0005-0000-0000-0000D3BE0000}"/>
    <cellStyle name="Vírgula 3 2 2 3 6 4" xfId="18901" xr:uid="{00000000-0005-0000-0000-0000D4BE0000}"/>
    <cellStyle name="Vírgula 3 2 2 3 6 4 2" xfId="45091" xr:uid="{00000000-0005-0000-0000-0000D5BE0000}"/>
    <cellStyle name="Vírgula 3 2 2 3 6 5" xfId="12788" xr:uid="{00000000-0005-0000-0000-0000D6BE0000}"/>
    <cellStyle name="Vírgula 3 2 2 3 6 5 2" xfId="38981" xr:uid="{00000000-0005-0000-0000-0000D7BE0000}"/>
    <cellStyle name="Vírgula 3 2 2 3 6 6" xfId="32595" xr:uid="{00000000-0005-0000-0000-0000D8BE0000}"/>
    <cellStyle name="Vírgula 3 2 2 3 7" xfId="8087" xr:uid="{00000000-0005-0000-0000-0000D9BE0000}"/>
    <cellStyle name="Vírgula 3 2 2 3 7 2" xfId="26301" xr:uid="{00000000-0005-0000-0000-0000DABE0000}"/>
    <cellStyle name="Vírgula 3 2 2 3 7 2 2" xfId="52485" xr:uid="{00000000-0005-0000-0000-0000DBBE0000}"/>
    <cellStyle name="Vírgula 3 2 2 3 7 3" xfId="20387" xr:uid="{00000000-0005-0000-0000-0000DCBE0000}"/>
    <cellStyle name="Vírgula 3 2 2 3 7 3 2" xfId="46577" xr:uid="{00000000-0005-0000-0000-0000DDBE0000}"/>
    <cellStyle name="Vírgula 3 2 2 3 7 4" xfId="14476" xr:uid="{00000000-0005-0000-0000-0000DEBE0000}"/>
    <cellStyle name="Vírgula 3 2 2 3 7 4 2" xfId="40669" xr:uid="{00000000-0005-0000-0000-0000DFBE0000}"/>
    <cellStyle name="Vírgula 3 2 2 3 7 5" xfId="34283" xr:uid="{00000000-0005-0000-0000-0000E0BE0000}"/>
    <cellStyle name="Vírgula 3 2 2 3 8" xfId="4696" xr:uid="{00000000-0005-0000-0000-0000E1BE0000}"/>
    <cellStyle name="Vírgula 3 2 2 3 8 2" xfId="23344" xr:uid="{00000000-0005-0000-0000-0000E2BE0000}"/>
    <cellStyle name="Vírgula 3 2 2 3 8 2 2" xfId="49531" xr:uid="{00000000-0005-0000-0000-0000E3BE0000}"/>
    <cellStyle name="Vírgula 3 2 2 3 8 3" xfId="30896" xr:uid="{00000000-0005-0000-0000-0000E4BE0000}"/>
    <cellStyle name="Vírgula 3 2 2 3 9" xfId="17430" xr:uid="{00000000-0005-0000-0000-0000E5BE0000}"/>
    <cellStyle name="Vírgula 3 2 2 3 9 2" xfId="43623" xr:uid="{00000000-0005-0000-0000-0000E6BE0000}"/>
    <cellStyle name="Vírgula 3 2 2 4" xfId="4305" xr:uid="{00000000-0005-0000-0000-0000E7BE0000}"/>
    <cellStyle name="Vírgula 3 2 2 4 2" xfId="7706" xr:uid="{00000000-0005-0000-0000-0000E8BE0000}"/>
    <cellStyle name="Vírgula 3 2 2 4 2 2" xfId="10801" xr:uid="{00000000-0005-0000-0000-0000E9BE0000}"/>
    <cellStyle name="Vírgula 3 2 2 4 2 2 2" xfId="29015" xr:uid="{00000000-0005-0000-0000-0000EABE0000}"/>
    <cellStyle name="Vírgula 3 2 2 4 2 2 2 2" xfId="55196" xr:uid="{00000000-0005-0000-0000-0000EBBE0000}"/>
    <cellStyle name="Vírgula 3 2 2 4 2 2 3" xfId="23101" xr:uid="{00000000-0005-0000-0000-0000ECBE0000}"/>
    <cellStyle name="Vírgula 3 2 2 4 2 2 3 2" xfId="49288" xr:uid="{00000000-0005-0000-0000-0000EDBE0000}"/>
    <cellStyle name="Vírgula 3 2 2 4 2 2 4" xfId="17187" xr:uid="{00000000-0005-0000-0000-0000EEBE0000}"/>
    <cellStyle name="Vírgula 3 2 2 4 2 2 4 2" xfId="43380" xr:uid="{00000000-0005-0000-0000-0000EFBE0000}"/>
    <cellStyle name="Vírgula 3 2 2 4 2 2 5" xfId="36994" xr:uid="{00000000-0005-0000-0000-0000F0BE0000}"/>
    <cellStyle name="Vírgula 3 2 2 4 2 3" xfId="26058" xr:uid="{00000000-0005-0000-0000-0000F1BE0000}"/>
    <cellStyle name="Vírgula 3 2 2 4 2 3 2" xfId="52242" xr:uid="{00000000-0005-0000-0000-0000F2BE0000}"/>
    <cellStyle name="Vírgula 3 2 2 4 2 4" xfId="20144" xr:uid="{00000000-0005-0000-0000-0000F3BE0000}"/>
    <cellStyle name="Vírgula 3 2 2 4 2 4 2" xfId="46334" xr:uid="{00000000-0005-0000-0000-0000F4BE0000}"/>
    <cellStyle name="Vírgula 3 2 2 4 2 5" xfId="14095" xr:uid="{00000000-0005-0000-0000-0000F5BE0000}"/>
    <cellStyle name="Vírgula 3 2 2 4 2 5 2" xfId="40288" xr:uid="{00000000-0005-0000-0000-0000F6BE0000}"/>
    <cellStyle name="Vírgula 3 2 2 4 2 6" xfId="33902" xr:uid="{00000000-0005-0000-0000-0000F7BE0000}"/>
    <cellStyle name="Vírgula 3 2 2 4 3" xfId="9333" xr:uid="{00000000-0005-0000-0000-0000F8BE0000}"/>
    <cellStyle name="Vírgula 3 2 2 4 3 2" xfId="27547" xr:uid="{00000000-0005-0000-0000-0000F9BE0000}"/>
    <cellStyle name="Vírgula 3 2 2 4 3 2 2" xfId="53728" xr:uid="{00000000-0005-0000-0000-0000FABE0000}"/>
    <cellStyle name="Vírgula 3 2 2 4 3 3" xfId="21633" xr:uid="{00000000-0005-0000-0000-0000FBBE0000}"/>
    <cellStyle name="Vírgula 3 2 2 4 3 3 2" xfId="47820" xr:uid="{00000000-0005-0000-0000-0000FCBE0000}"/>
    <cellStyle name="Vírgula 3 2 2 4 3 4" xfId="15719" xr:uid="{00000000-0005-0000-0000-0000FDBE0000}"/>
    <cellStyle name="Vírgula 3 2 2 4 3 4 2" xfId="41912" xr:uid="{00000000-0005-0000-0000-0000FEBE0000}"/>
    <cellStyle name="Vírgula 3 2 2 4 3 5" xfId="35526" xr:uid="{00000000-0005-0000-0000-0000FFBE0000}"/>
    <cellStyle name="Vírgula 3 2 2 4 4" xfId="6006" xr:uid="{00000000-0005-0000-0000-000000BF0000}"/>
    <cellStyle name="Vírgula 3 2 2 4 4 2" xfId="24590" xr:uid="{00000000-0005-0000-0000-000001BF0000}"/>
    <cellStyle name="Vírgula 3 2 2 4 4 2 2" xfId="50774" xr:uid="{00000000-0005-0000-0000-000002BF0000}"/>
    <cellStyle name="Vírgula 3 2 2 4 4 3" xfId="32202" xr:uid="{00000000-0005-0000-0000-000003BF0000}"/>
    <cellStyle name="Vírgula 3 2 2 4 5" xfId="18676" xr:uid="{00000000-0005-0000-0000-000004BF0000}"/>
    <cellStyle name="Vírgula 3 2 2 4 5 2" xfId="44866" xr:uid="{00000000-0005-0000-0000-000005BF0000}"/>
    <cellStyle name="Vírgula 3 2 2 4 6" xfId="12394" xr:uid="{00000000-0005-0000-0000-000006BF0000}"/>
    <cellStyle name="Vírgula 3 2 2 4 6 2" xfId="38587" xr:uid="{00000000-0005-0000-0000-000007BF0000}"/>
    <cellStyle name="Vírgula 3 2 2 4 7" xfId="30505" xr:uid="{00000000-0005-0000-0000-000008BF0000}"/>
    <cellStyle name="Vírgula 3 2 2 5" xfId="4413" xr:uid="{00000000-0005-0000-0000-000009BF0000}"/>
    <cellStyle name="Vírgula 3 2 2 5 2" xfId="7815" xr:uid="{00000000-0005-0000-0000-00000ABF0000}"/>
    <cellStyle name="Vírgula 3 2 2 5 2 2" xfId="10863" xr:uid="{00000000-0005-0000-0000-00000BBF0000}"/>
    <cellStyle name="Vírgula 3 2 2 5 2 2 2" xfId="29077" xr:uid="{00000000-0005-0000-0000-00000CBF0000}"/>
    <cellStyle name="Vírgula 3 2 2 5 2 2 2 2" xfId="55258" xr:uid="{00000000-0005-0000-0000-00000DBF0000}"/>
    <cellStyle name="Vírgula 3 2 2 5 2 2 3" xfId="23163" xr:uid="{00000000-0005-0000-0000-00000EBF0000}"/>
    <cellStyle name="Vírgula 3 2 2 5 2 2 3 2" xfId="49350" xr:uid="{00000000-0005-0000-0000-00000FBF0000}"/>
    <cellStyle name="Vírgula 3 2 2 5 2 2 4" xfId="17249" xr:uid="{00000000-0005-0000-0000-000010BF0000}"/>
    <cellStyle name="Vírgula 3 2 2 5 2 2 4 2" xfId="43442" xr:uid="{00000000-0005-0000-0000-000011BF0000}"/>
    <cellStyle name="Vírgula 3 2 2 5 2 2 5" xfId="37056" xr:uid="{00000000-0005-0000-0000-000012BF0000}"/>
    <cellStyle name="Vírgula 3 2 2 5 2 3" xfId="26120" xr:uid="{00000000-0005-0000-0000-000013BF0000}"/>
    <cellStyle name="Vírgula 3 2 2 5 2 3 2" xfId="52304" xr:uid="{00000000-0005-0000-0000-000014BF0000}"/>
    <cellStyle name="Vírgula 3 2 2 5 2 4" xfId="20206" xr:uid="{00000000-0005-0000-0000-000015BF0000}"/>
    <cellStyle name="Vírgula 3 2 2 5 2 4 2" xfId="46396" xr:uid="{00000000-0005-0000-0000-000016BF0000}"/>
    <cellStyle name="Vírgula 3 2 2 5 2 5" xfId="14204" xr:uid="{00000000-0005-0000-0000-000017BF0000}"/>
    <cellStyle name="Vírgula 3 2 2 5 2 5 2" xfId="40397" xr:uid="{00000000-0005-0000-0000-000018BF0000}"/>
    <cellStyle name="Vírgula 3 2 2 5 2 6" xfId="34011" xr:uid="{00000000-0005-0000-0000-000019BF0000}"/>
    <cellStyle name="Vírgula 3 2 2 5 3" xfId="9395" xr:uid="{00000000-0005-0000-0000-00001ABF0000}"/>
    <cellStyle name="Vírgula 3 2 2 5 3 2" xfId="27609" xr:uid="{00000000-0005-0000-0000-00001BBF0000}"/>
    <cellStyle name="Vírgula 3 2 2 5 3 2 2" xfId="53790" xr:uid="{00000000-0005-0000-0000-00001CBF0000}"/>
    <cellStyle name="Vírgula 3 2 2 5 3 3" xfId="21695" xr:uid="{00000000-0005-0000-0000-00001DBF0000}"/>
    <cellStyle name="Vírgula 3 2 2 5 3 3 2" xfId="47882" xr:uid="{00000000-0005-0000-0000-00001EBF0000}"/>
    <cellStyle name="Vírgula 3 2 2 5 3 4" xfId="15781" xr:uid="{00000000-0005-0000-0000-00001FBF0000}"/>
    <cellStyle name="Vírgula 3 2 2 5 3 4 2" xfId="41974" xr:uid="{00000000-0005-0000-0000-000020BF0000}"/>
    <cellStyle name="Vírgula 3 2 2 5 3 5" xfId="35588" xr:uid="{00000000-0005-0000-0000-000021BF0000}"/>
    <cellStyle name="Vírgula 3 2 2 5 4" xfId="6115" xr:uid="{00000000-0005-0000-0000-000022BF0000}"/>
    <cellStyle name="Vírgula 3 2 2 5 4 2" xfId="24652" xr:uid="{00000000-0005-0000-0000-000023BF0000}"/>
    <cellStyle name="Vírgula 3 2 2 5 4 2 2" xfId="50836" xr:uid="{00000000-0005-0000-0000-000024BF0000}"/>
    <cellStyle name="Vírgula 3 2 2 5 4 3" xfId="32311" xr:uid="{00000000-0005-0000-0000-000025BF0000}"/>
    <cellStyle name="Vírgula 3 2 2 5 5" xfId="18738" xr:uid="{00000000-0005-0000-0000-000026BF0000}"/>
    <cellStyle name="Vírgula 3 2 2 5 5 2" xfId="44928" xr:uid="{00000000-0005-0000-0000-000027BF0000}"/>
    <cellStyle name="Vírgula 3 2 2 5 6" xfId="12503" xr:uid="{00000000-0005-0000-0000-000028BF0000}"/>
    <cellStyle name="Vírgula 3 2 2 5 6 2" xfId="38696" xr:uid="{00000000-0005-0000-0000-000029BF0000}"/>
    <cellStyle name="Vírgula 3 2 2 5 7" xfId="30613" xr:uid="{00000000-0005-0000-0000-00002ABF0000}"/>
    <cellStyle name="Vírgula 3 2 2 6" xfId="4521" xr:uid="{00000000-0005-0000-0000-00002BBF0000}"/>
    <cellStyle name="Vírgula 3 2 2 6 2" xfId="7923" xr:uid="{00000000-0005-0000-0000-00002CBF0000}"/>
    <cellStyle name="Vírgula 3 2 2 6 2 2" xfId="10925" xr:uid="{00000000-0005-0000-0000-00002DBF0000}"/>
    <cellStyle name="Vírgula 3 2 2 6 2 2 2" xfId="29139" xr:uid="{00000000-0005-0000-0000-00002EBF0000}"/>
    <cellStyle name="Vírgula 3 2 2 6 2 2 2 2" xfId="55320" xr:uid="{00000000-0005-0000-0000-00002FBF0000}"/>
    <cellStyle name="Vírgula 3 2 2 6 2 2 3" xfId="23225" xr:uid="{00000000-0005-0000-0000-000030BF0000}"/>
    <cellStyle name="Vírgula 3 2 2 6 2 2 3 2" xfId="49412" xr:uid="{00000000-0005-0000-0000-000031BF0000}"/>
    <cellStyle name="Vírgula 3 2 2 6 2 2 4" xfId="17311" xr:uid="{00000000-0005-0000-0000-000032BF0000}"/>
    <cellStyle name="Vírgula 3 2 2 6 2 2 4 2" xfId="43504" xr:uid="{00000000-0005-0000-0000-000033BF0000}"/>
    <cellStyle name="Vírgula 3 2 2 6 2 2 5" xfId="37118" xr:uid="{00000000-0005-0000-0000-000034BF0000}"/>
    <cellStyle name="Vírgula 3 2 2 6 2 3" xfId="26182" xr:uid="{00000000-0005-0000-0000-000035BF0000}"/>
    <cellStyle name="Vírgula 3 2 2 6 2 3 2" xfId="52366" xr:uid="{00000000-0005-0000-0000-000036BF0000}"/>
    <cellStyle name="Vírgula 3 2 2 6 2 4" xfId="20268" xr:uid="{00000000-0005-0000-0000-000037BF0000}"/>
    <cellStyle name="Vírgula 3 2 2 6 2 4 2" xfId="46458" xr:uid="{00000000-0005-0000-0000-000038BF0000}"/>
    <cellStyle name="Vírgula 3 2 2 6 2 5" xfId="14312" xr:uid="{00000000-0005-0000-0000-000039BF0000}"/>
    <cellStyle name="Vírgula 3 2 2 6 2 5 2" xfId="40505" xr:uid="{00000000-0005-0000-0000-00003ABF0000}"/>
    <cellStyle name="Vírgula 3 2 2 6 2 6" xfId="34119" xr:uid="{00000000-0005-0000-0000-00003BBF0000}"/>
    <cellStyle name="Vírgula 3 2 2 6 3" xfId="9457" xr:uid="{00000000-0005-0000-0000-00003CBF0000}"/>
    <cellStyle name="Vírgula 3 2 2 6 3 2" xfId="27671" xr:uid="{00000000-0005-0000-0000-00003DBF0000}"/>
    <cellStyle name="Vírgula 3 2 2 6 3 2 2" xfId="53852" xr:uid="{00000000-0005-0000-0000-00003EBF0000}"/>
    <cellStyle name="Vírgula 3 2 2 6 3 3" xfId="21757" xr:uid="{00000000-0005-0000-0000-00003FBF0000}"/>
    <cellStyle name="Vírgula 3 2 2 6 3 3 2" xfId="47944" xr:uid="{00000000-0005-0000-0000-000040BF0000}"/>
    <cellStyle name="Vírgula 3 2 2 6 3 4" xfId="15843" xr:uid="{00000000-0005-0000-0000-000041BF0000}"/>
    <cellStyle name="Vírgula 3 2 2 6 3 4 2" xfId="42036" xr:uid="{00000000-0005-0000-0000-000042BF0000}"/>
    <cellStyle name="Vírgula 3 2 2 6 3 5" xfId="35650" xr:uid="{00000000-0005-0000-0000-000043BF0000}"/>
    <cellStyle name="Vírgula 3 2 2 6 4" xfId="6222" xr:uid="{00000000-0005-0000-0000-000044BF0000}"/>
    <cellStyle name="Vírgula 3 2 2 6 4 2" xfId="24714" xr:uid="{00000000-0005-0000-0000-000045BF0000}"/>
    <cellStyle name="Vírgula 3 2 2 6 4 2 2" xfId="50898" xr:uid="{00000000-0005-0000-0000-000046BF0000}"/>
    <cellStyle name="Vírgula 3 2 2 6 4 3" xfId="32418" xr:uid="{00000000-0005-0000-0000-000047BF0000}"/>
    <cellStyle name="Vírgula 3 2 2 6 5" xfId="18800" xr:uid="{00000000-0005-0000-0000-000048BF0000}"/>
    <cellStyle name="Vírgula 3 2 2 6 5 2" xfId="44990" xr:uid="{00000000-0005-0000-0000-000049BF0000}"/>
    <cellStyle name="Vírgula 3 2 2 6 6" xfId="12611" xr:uid="{00000000-0005-0000-0000-00004ABF0000}"/>
    <cellStyle name="Vírgula 3 2 2 6 6 2" xfId="38804" xr:uid="{00000000-0005-0000-0000-00004BBF0000}"/>
    <cellStyle name="Vírgula 3 2 2 6 7" xfId="30721" xr:uid="{00000000-0005-0000-0000-00004CBF0000}"/>
    <cellStyle name="Vírgula 3 2 2 7" xfId="5257" xr:uid="{00000000-0005-0000-0000-00004DBF0000}"/>
    <cellStyle name="Vírgula 3 2 2 7 2" xfId="6956" xr:uid="{00000000-0005-0000-0000-00004EBF0000}"/>
    <cellStyle name="Vírgula 3 2 2 7 2 2" xfId="10103" xr:uid="{00000000-0005-0000-0000-00004FBF0000}"/>
    <cellStyle name="Vírgula 3 2 2 7 2 2 2" xfId="28317" xr:uid="{00000000-0005-0000-0000-000050BF0000}"/>
    <cellStyle name="Vírgula 3 2 2 7 2 2 2 2" xfId="54498" xr:uid="{00000000-0005-0000-0000-000051BF0000}"/>
    <cellStyle name="Vírgula 3 2 2 7 2 2 3" xfId="22403" xr:uid="{00000000-0005-0000-0000-000052BF0000}"/>
    <cellStyle name="Vírgula 3 2 2 7 2 2 3 2" xfId="48590" xr:uid="{00000000-0005-0000-0000-000053BF0000}"/>
    <cellStyle name="Vírgula 3 2 2 7 2 2 4" xfId="16489" xr:uid="{00000000-0005-0000-0000-000054BF0000}"/>
    <cellStyle name="Vírgula 3 2 2 7 2 2 4 2" xfId="42682" xr:uid="{00000000-0005-0000-0000-000055BF0000}"/>
    <cellStyle name="Vírgula 3 2 2 7 2 2 5" xfId="36296" xr:uid="{00000000-0005-0000-0000-000056BF0000}"/>
    <cellStyle name="Vírgula 3 2 2 7 2 3" xfId="25360" xr:uid="{00000000-0005-0000-0000-000057BF0000}"/>
    <cellStyle name="Vírgula 3 2 2 7 2 3 2" xfId="51544" xr:uid="{00000000-0005-0000-0000-000058BF0000}"/>
    <cellStyle name="Vírgula 3 2 2 7 2 4" xfId="19446" xr:uid="{00000000-0005-0000-0000-000059BF0000}"/>
    <cellStyle name="Vírgula 3 2 2 7 2 4 2" xfId="45636" xr:uid="{00000000-0005-0000-0000-00005ABF0000}"/>
    <cellStyle name="Vírgula 3 2 2 7 2 5" xfId="13345" xr:uid="{00000000-0005-0000-0000-00005BBF0000}"/>
    <cellStyle name="Vírgula 3 2 2 7 2 5 2" xfId="39538" xr:uid="{00000000-0005-0000-0000-00005CBF0000}"/>
    <cellStyle name="Vírgula 3 2 2 7 2 6" xfId="33152" xr:uid="{00000000-0005-0000-0000-00005DBF0000}"/>
    <cellStyle name="Vírgula 3 2 2 7 3" xfId="8635" xr:uid="{00000000-0005-0000-0000-00005EBF0000}"/>
    <cellStyle name="Vírgula 3 2 2 7 3 2" xfId="26849" xr:uid="{00000000-0005-0000-0000-00005FBF0000}"/>
    <cellStyle name="Vírgula 3 2 2 7 3 2 2" xfId="53030" xr:uid="{00000000-0005-0000-0000-000060BF0000}"/>
    <cellStyle name="Vírgula 3 2 2 7 3 3" xfId="20935" xr:uid="{00000000-0005-0000-0000-000061BF0000}"/>
    <cellStyle name="Vírgula 3 2 2 7 3 3 2" xfId="47122" xr:uid="{00000000-0005-0000-0000-000062BF0000}"/>
    <cellStyle name="Vírgula 3 2 2 7 3 4" xfId="15021" xr:uid="{00000000-0005-0000-0000-000063BF0000}"/>
    <cellStyle name="Vírgula 3 2 2 7 3 4 2" xfId="41214" xr:uid="{00000000-0005-0000-0000-000064BF0000}"/>
    <cellStyle name="Vírgula 3 2 2 7 3 5" xfId="34828" xr:uid="{00000000-0005-0000-0000-000065BF0000}"/>
    <cellStyle name="Vírgula 3 2 2 7 4" xfId="23892" xr:uid="{00000000-0005-0000-0000-000066BF0000}"/>
    <cellStyle name="Vírgula 3 2 2 7 4 2" xfId="50076" xr:uid="{00000000-0005-0000-0000-000067BF0000}"/>
    <cellStyle name="Vírgula 3 2 2 7 5" xfId="17978" xr:uid="{00000000-0005-0000-0000-000068BF0000}"/>
    <cellStyle name="Vírgula 3 2 2 7 5 2" xfId="44168" xr:uid="{00000000-0005-0000-0000-000069BF0000}"/>
    <cellStyle name="Vírgula 3 2 2 7 6" xfId="11644" xr:uid="{00000000-0005-0000-0000-00006ABF0000}"/>
    <cellStyle name="Vírgula 3 2 2 7 6 2" xfId="37837" xr:uid="{00000000-0005-0000-0000-00006BBF0000}"/>
    <cellStyle name="Vírgula 3 2 2 7 7" xfId="31453" xr:uid="{00000000-0005-0000-0000-00006CBF0000}"/>
    <cellStyle name="Vírgula 3 2 2 8" xfId="6331" xr:uid="{00000000-0005-0000-0000-00006DBF0000}"/>
    <cellStyle name="Vírgula 3 2 2 8 2" xfId="9519" xr:uid="{00000000-0005-0000-0000-00006EBF0000}"/>
    <cellStyle name="Vírgula 3 2 2 8 2 2" xfId="27733" xr:uid="{00000000-0005-0000-0000-00006FBF0000}"/>
    <cellStyle name="Vírgula 3 2 2 8 2 2 2" xfId="53914" xr:uid="{00000000-0005-0000-0000-000070BF0000}"/>
    <cellStyle name="Vírgula 3 2 2 8 2 3" xfId="21819" xr:uid="{00000000-0005-0000-0000-000071BF0000}"/>
    <cellStyle name="Vírgula 3 2 2 8 2 3 2" xfId="48006" xr:uid="{00000000-0005-0000-0000-000072BF0000}"/>
    <cellStyle name="Vírgula 3 2 2 8 2 4" xfId="15905" xr:uid="{00000000-0005-0000-0000-000073BF0000}"/>
    <cellStyle name="Vírgula 3 2 2 8 2 4 2" xfId="42098" xr:uid="{00000000-0005-0000-0000-000074BF0000}"/>
    <cellStyle name="Vírgula 3 2 2 8 2 5" xfId="35712" xr:uid="{00000000-0005-0000-0000-000075BF0000}"/>
    <cellStyle name="Vírgula 3 2 2 8 3" xfId="24776" xr:uid="{00000000-0005-0000-0000-000076BF0000}"/>
    <cellStyle name="Vírgula 3 2 2 8 3 2" xfId="50960" xr:uid="{00000000-0005-0000-0000-000077BF0000}"/>
    <cellStyle name="Vírgula 3 2 2 8 4" xfId="18862" xr:uid="{00000000-0005-0000-0000-000078BF0000}"/>
    <cellStyle name="Vírgula 3 2 2 8 4 2" xfId="45052" xr:uid="{00000000-0005-0000-0000-000079BF0000}"/>
    <cellStyle name="Vírgula 3 2 2 8 5" xfId="12720" xr:uid="{00000000-0005-0000-0000-00007ABF0000}"/>
    <cellStyle name="Vírgula 3 2 2 8 5 2" xfId="38913" xr:uid="{00000000-0005-0000-0000-00007BBF0000}"/>
    <cellStyle name="Vírgula 3 2 2 8 6" xfId="32527" xr:uid="{00000000-0005-0000-0000-00007CBF0000}"/>
    <cellStyle name="Vírgula 3 2 2 9" xfId="8023" xr:uid="{00000000-0005-0000-0000-00007DBF0000}"/>
    <cellStyle name="Vírgula 3 2 2 9 2" xfId="10983" xr:uid="{00000000-0005-0000-0000-00007EBF0000}"/>
    <cellStyle name="Vírgula 3 2 2 9 2 2" xfId="29197" xr:uid="{00000000-0005-0000-0000-00007FBF0000}"/>
    <cellStyle name="Vírgula 3 2 2 9 2 2 2" xfId="55378" xr:uid="{00000000-0005-0000-0000-000080BF0000}"/>
    <cellStyle name="Vírgula 3 2 2 9 2 3" xfId="23283" xr:uid="{00000000-0005-0000-0000-000081BF0000}"/>
    <cellStyle name="Vírgula 3 2 2 9 2 3 2" xfId="49470" xr:uid="{00000000-0005-0000-0000-000082BF0000}"/>
    <cellStyle name="Vírgula 3 2 2 9 2 4" xfId="17369" xr:uid="{00000000-0005-0000-0000-000083BF0000}"/>
    <cellStyle name="Vírgula 3 2 2 9 2 4 2" xfId="43562" xr:uid="{00000000-0005-0000-0000-000084BF0000}"/>
    <cellStyle name="Vírgula 3 2 2 9 2 5" xfId="37176" xr:uid="{00000000-0005-0000-0000-000085BF0000}"/>
    <cellStyle name="Vírgula 3 2 2 9 3" xfId="26240" xr:uid="{00000000-0005-0000-0000-000086BF0000}"/>
    <cellStyle name="Vírgula 3 2 2 9 3 2" xfId="52424" xr:uid="{00000000-0005-0000-0000-000087BF0000}"/>
    <cellStyle name="Vírgula 3 2 2 9 4" xfId="20326" xr:uid="{00000000-0005-0000-0000-000088BF0000}"/>
    <cellStyle name="Vírgula 3 2 2 9 4 2" xfId="46516" xr:uid="{00000000-0005-0000-0000-000089BF0000}"/>
    <cellStyle name="Vírgula 3 2 2 9 5" xfId="14412" xr:uid="{00000000-0005-0000-0000-00008ABF0000}"/>
    <cellStyle name="Vírgula 3 2 2 9 5 2" xfId="40605" xr:uid="{00000000-0005-0000-0000-00008BBF0000}"/>
    <cellStyle name="Vírgula 3 2 2 9 6" xfId="34219" xr:uid="{00000000-0005-0000-0000-00008CBF0000}"/>
    <cellStyle name="Vírgula 3 2 3" xfId="2437" xr:uid="{00000000-0005-0000-0000-00008DBF0000}"/>
    <cellStyle name="Vírgula 3 2 3 10" xfId="17402" xr:uid="{00000000-0005-0000-0000-00008EBF0000}"/>
    <cellStyle name="Vírgula 3 2 3 10 2" xfId="43595" xr:uid="{00000000-0005-0000-0000-00008FBF0000}"/>
    <cellStyle name="Vírgula 3 2 3 11" xfId="11039" xr:uid="{00000000-0005-0000-0000-000090BF0000}"/>
    <cellStyle name="Vírgula 3 2 3 11 2" xfId="37232" xr:uid="{00000000-0005-0000-0000-000091BF0000}"/>
    <cellStyle name="Vírgula 3 2 3 12" xfId="29905" xr:uid="{00000000-0005-0000-0000-000092BF0000}"/>
    <cellStyle name="Vírgula 3 2 3 2" xfId="4248" xr:uid="{00000000-0005-0000-0000-000093BF0000}"/>
    <cellStyle name="Vírgula 3 2 3 2 2" xfId="7649" xr:uid="{00000000-0005-0000-0000-000094BF0000}"/>
    <cellStyle name="Vírgula 3 2 3 2 2 2" xfId="10769" xr:uid="{00000000-0005-0000-0000-000095BF0000}"/>
    <cellStyle name="Vírgula 3 2 3 2 2 2 2" xfId="28983" xr:uid="{00000000-0005-0000-0000-000096BF0000}"/>
    <cellStyle name="Vírgula 3 2 3 2 2 2 2 2" xfId="55164" xr:uid="{00000000-0005-0000-0000-000097BF0000}"/>
    <cellStyle name="Vírgula 3 2 3 2 2 2 3" xfId="23069" xr:uid="{00000000-0005-0000-0000-000098BF0000}"/>
    <cellStyle name="Vírgula 3 2 3 2 2 2 3 2" xfId="49256" xr:uid="{00000000-0005-0000-0000-000099BF0000}"/>
    <cellStyle name="Vírgula 3 2 3 2 2 2 4" xfId="17155" xr:uid="{00000000-0005-0000-0000-00009ABF0000}"/>
    <cellStyle name="Vírgula 3 2 3 2 2 2 4 2" xfId="43348" xr:uid="{00000000-0005-0000-0000-00009BBF0000}"/>
    <cellStyle name="Vírgula 3 2 3 2 2 2 5" xfId="36962" xr:uid="{00000000-0005-0000-0000-00009CBF0000}"/>
    <cellStyle name="Vírgula 3 2 3 2 2 3" xfId="26026" xr:uid="{00000000-0005-0000-0000-00009DBF0000}"/>
    <cellStyle name="Vírgula 3 2 3 2 2 3 2" xfId="52210" xr:uid="{00000000-0005-0000-0000-00009EBF0000}"/>
    <cellStyle name="Vírgula 3 2 3 2 2 4" xfId="20112" xr:uid="{00000000-0005-0000-0000-00009FBF0000}"/>
    <cellStyle name="Vírgula 3 2 3 2 2 4 2" xfId="46302" xr:uid="{00000000-0005-0000-0000-0000A0BF0000}"/>
    <cellStyle name="Vírgula 3 2 3 2 2 5" xfId="14038" xr:uid="{00000000-0005-0000-0000-0000A1BF0000}"/>
    <cellStyle name="Vírgula 3 2 3 2 2 5 2" xfId="40231" xr:uid="{00000000-0005-0000-0000-0000A2BF0000}"/>
    <cellStyle name="Vírgula 3 2 3 2 2 6" xfId="33845" xr:uid="{00000000-0005-0000-0000-0000A3BF0000}"/>
    <cellStyle name="Vírgula 3 2 3 2 3" xfId="9301" xr:uid="{00000000-0005-0000-0000-0000A4BF0000}"/>
    <cellStyle name="Vírgula 3 2 3 2 3 2" xfId="27515" xr:uid="{00000000-0005-0000-0000-0000A5BF0000}"/>
    <cellStyle name="Vírgula 3 2 3 2 3 2 2" xfId="53696" xr:uid="{00000000-0005-0000-0000-0000A6BF0000}"/>
    <cellStyle name="Vírgula 3 2 3 2 3 3" xfId="21601" xr:uid="{00000000-0005-0000-0000-0000A7BF0000}"/>
    <cellStyle name="Vírgula 3 2 3 2 3 3 2" xfId="47788" xr:uid="{00000000-0005-0000-0000-0000A8BF0000}"/>
    <cellStyle name="Vírgula 3 2 3 2 3 4" xfId="15687" xr:uid="{00000000-0005-0000-0000-0000A9BF0000}"/>
    <cellStyle name="Vírgula 3 2 3 2 3 4 2" xfId="41880" xr:uid="{00000000-0005-0000-0000-0000AABF0000}"/>
    <cellStyle name="Vírgula 3 2 3 2 3 5" xfId="35494" xr:uid="{00000000-0005-0000-0000-0000ABBF0000}"/>
    <cellStyle name="Vírgula 3 2 3 2 4" xfId="5949" xr:uid="{00000000-0005-0000-0000-0000ACBF0000}"/>
    <cellStyle name="Vírgula 3 2 3 2 4 2" xfId="24558" xr:uid="{00000000-0005-0000-0000-0000ADBF0000}"/>
    <cellStyle name="Vírgula 3 2 3 2 4 2 2" xfId="50742" xr:uid="{00000000-0005-0000-0000-0000AEBF0000}"/>
    <cellStyle name="Vírgula 3 2 3 2 4 3" xfId="32145" xr:uid="{00000000-0005-0000-0000-0000AFBF0000}"/>
    <cellStyle name="Vírgula 3 2 3 2 5" xfId="18644" xr:uid="{00000000-0005-0000-0000-0000B0BF0000}"/>
    <cellStyle name="Vírgula 3 2 3 2 5 2" xfId="44834" xr:uid="{00000000-0005-0000-0000-0000B1BF0000}"/>
    <cellStyle name="Vírgula 3 2 3 2 6" xfId="12337" xr:uid="{00000000-0005-0000-0000-0000B2BF0000}"/>
    <cellStyle name="Vírgula 3 2 3 2 6 2" xfId="38530" xr:uid="{00000000-0005-0000-0000-0000B3BF0000}"/>
    <cellStyle name="Vírgula 3 2 3 2 7" xfId="30448" xr:uid="{00000000-0005-0000-0000-0000B4BF0000}"/>
    <cellStyle name="Vírgula 3 2 3 3" xfId="4325" xr:uid="{00000000-0005-0000-0000-0000B5BF0000}"/>
    <cellStyle name="Vírgula 3 2 3 3 2" xfId="7726" xr:uid="{00000000-0005-0000-0000-0000B6BF0000}"/>
    <cellStyle name="Vírgula 3 2 3 3 2 2" xfId="10812" xr:uid="{00000000-0005-0000-0000-0000B7BF0000}"/>
    <cellStyle name="Vírgula 3 2 3 3 2 2 2" xfId="29026" xr:uid="{00000000-0005-0000-0000-0000B8BF0000}"/>
    <cellStyle name="Vírgula 3 2 3 3 2 2 2 2" xfId="55207" xr:uid="{00000000-0005-0000-0000-0000B9BF0000}"/>
    <cellStyle name="Vírgula 3 2 3 3 2 2 3" xfId="23112" xr:uid="{00000000-0005-0000-0000-0000BABF0000}"/>
    <cellStyle name="Vírgula 3 2 3 3 2 2 3 2" xfId="49299" xr:uid="{00000000-0005-0000-0000-0000BBBF0000}"/>
    <cellStyle name="Vírgula 3 2 3 3 2 2 4" xfId="17198" xr:uid="{00000000-0005-0000-0000-0000BCBF0000}"/>
    <cellStyle name="Vírgula 3 2 3 3 2 2 4 2" xfId="43391" xr:uid="{00000000-0005-0000-0000-0000BDBF0000}"/>
    <cellStyle name="Vírgula 3 2 3 3 2 2 5" xfId="37005" xr:uid="{00000000-0005-0000-0000-0000BEBF0000}"/>
    <cellStyle name="Vírgula 3 2 3 3 2 3" xfId="26069" xr:uid="{00000000-0005-0000-0000-0000BFBF0000}"/>
    <cellStyle name="Vírgula 3 2 3 3 2 3 2" xfId="52253" xr:uid="{00000000-0005-0000-0000-0000C0BF0000}"/>
    <cellStyle name="Vírgula 3 2 3 3 2 4" xfId="20155" xr:uid="{00000000-0005-0000-0000-0000C1BF0000}"/>
    <cellStyle name="Vírgula 3 2 3 3 2 4 2" xfId="46345" xr:uid="{00000000-0005-0000-0000-0000C2BF0000}"/>
    <cellStyle name="Vírgula 3 2 3 3 2 5" xfId="14115" xr:uid="{00000000-0005-0000-0000-0000C3BF0000}"/>
    <cellStyle name="Vírgula 3 2 3 3 2 5 2" xfId="40308" xr:uid="{00000000-0005-0000-0000-0000C4BF0000}"/>
    <cellStyle name="Vírgula 3 2 3 3 2 6" xfId="33922" xr:uid="{00000000-0005-0000-0000-0000C5BF0000}"/>
    <cellStyle name="Vírgula 3 2 3 3 3" xfId="9344" xr:uid="{00000000-0005-0000-0000-0000C6BF0000}"/>
    <cellStyle name="Vírgula 3 2 3 3 3 2" xfId="27558" xr:uid="{00000000-0005-0000-0000-0000C7BF0000}"/>
    <cellStyle name="Vírgula 3 2 3 3 3 2 2" xfId="53739" xr:uid="{00000000-0005-0000-0000-0000C8BF0000}"/>
    <cellStyle name="Vírgula 3 2 3 3 3 3" xfId="21644" xr:uid="{00000000-0005-0000-0000-0000C9BF0000}"/>
    <cellStyle name="Vírgula 3 2 3 3 3 3 2" xfId="47831" xr:uid="{00000000-0005-0000-0000-0000CABF0000}"/>
    <cellStyle name="Vírgula 3 2 3 3 3 4" xfId="15730" xr:uid="{00000000-0005-0000-0000-0000CBBF0000}"/>
    <cellStyle name="Vírgula 3 2 3 3 3 4 2" xfId="41923" xr:uid="{00000000-0005-0000-0000-0000CCBF0000}"/>
    <cellStyle name="Vírgula 3 2 3 3 3 5" xfId="35537" xr:uid="{00000000-0005-0000-0000-0000CDBF0000}"/>
    <cellStyle name="Vírgula 3 2 3 3 4" xfId="6026" xr:uid="{00000000-0005-0000-0000-0000CEBF0000}"/>
    <cellStyle name="Vírgula 3 2 3 3 4 2" xfId="24601" xr:uid="{00000000-0005-0000-0000-0000CFBF0000}"/>
    <cellStyle name="Vírgula 3 2 3 3 4 2 2" xfId="50785" xr:uid="{00000000-0005-0000-0000-0000D0BF0000}"/>
    <cellStyle name="Vírgula 3 2 3 3 4 3" xfId="32222" xr:uid="{00000000-0005-0000-0000-0000D1BF0000}"/>
    <cellStyle name="Vírgula 3 2 3 3 5" xfId="18687" xr:uid="{00000000-0005-0000-0000-0000D2BF0000}"/>
    <cellStyle name="Vírgula 3 2 3 3 5 2" xfId="44877" xr:uid="{00000000-0005-0000-0000-0000D3BF0000}"/>
    <cellStyle name="Vírgula 3 2 3 3 6" xfId="12414" xr:uid="{00000000-0005-0000-0000-0000D4BF0000}"/>
    <cellStyle name="Vírgula 3 2 3 3 6 2" xfId="38607" xr:uid="{00000000-0005-0000-0000-0000D5BF0000}"/>
    <cellStyle name="Vírgula 3 2 3 3 7" xfId="30525" xr:uid="{00000000-0005-0000-0000-0000D6BF0000}"/>
    <cellStyle name="Vírgula 3 2 3 4" xfId="4433" xr:uid="{00000000-0005-0000-0000-0000D7BF0000}"/>
    <cellStyle name="Vírgula 3 2 3 4 2" xfId="7835" xr:uid="{00000000-0005-0000-0000-0000D8BF0000}"/>
    <cellStyle name="Vírgula 3 2 3 4 2 2" xfId="10874" xr:uid="{00000000-0005-0000-0000-0000D9BF0000}"/>
    <cellStyle name="Vírgula 3 2 3 4 2 2 2" xfId="29088" xr:uid="{00000000-0005-0000-0000-0000DABF0000}"/>
    <cellStyle name="Vírgula 3 2 3 4 2 2 2 2" xfId="55269" xr:uid="{00000000-0005-0000-0000-0000DBBF0000}"/>
    <cellStyle name="Vírgula 3 2 3 4 2 2 3" xfId="23174" xr:uid="{00000000-0005-0000-0000-0000DCBF0000}"/>
    <cellStyle name="Vírgula 3 2 3 4 2 2 3 2" xfId="49361" xr:uid="{00000000-0005-0000-0000-0000DDBF0000}"/>
    <cellStyle name="Vírgula 3 2 3 4 2 2 4" xfId="17260" xr:uid="{00000000-0005-0000-0000-0000DEBF0000}"/>
    <cellStyle name="Vírgula 3 2 3 4 2 2 4 2" xfId="43453" xr:uid="{00000000-0005-0000-0000-0000DFBF0000}"/>
    <cellStyle name="Vírgula 3 2 3 4 2 2 5" xfId="37067" xr:uid="{00000000-0005-0000-0000-0000E0BF0000}"/>
    <cellStyle name="Vírgula 3 2 3 4 2 3" xfId="26131" xr:uid="{00000000-0005-0000-0000-0000E1BF0000}"/>
    <cellStyle name="Vírgula 3 2 3 4 2 3 2" xfId="52315" xr:uid="{00000000-0005-0000-0000-0000E2BF0000}"/>
    <cellStyle name="Vírgula 3 2 3 4 2 4" xfId="20217" xr:uid="{00000000-0005-0000-0000-0000E3BF0000}"/>
    <cellStyle name="Vírgula 3 2 3 4 2 4 2" xfId="46407" xr:uid="{00000000-0005-0000-0000-0000E4BF0000}"/>
    <cellStyle name="Vírgula 3 2 3 4 2 5" xfId="14224" xr:uid="{00000000-0005-0000-0000-0000E5BF0000}"/>
    <cellStyle name="Vírgula 3 2 3 4 2 5 2" xfId="40417" xr:uid="{00000000-0005-0000-0000-0000E6BF0000}"/>
    <cellStyle name="Vírgula 3 2 3 4 2 6" xfId="34031" xr:uid="{00000000-0005-0000-0000-0000E7BF0000}"/>
    <cellStyle name="Vírgula 3 2 3 4 3" xfId="9406" xr:uid="{00000000-0005-0000-0000-0000E8BF0000}"/>
    <cellStyle name="Vírgula 3 2 3 4 3 2" xfId="27620" xr:uid="{00000000-0005-0000-0000-0000E9BF0000}"/>
    <cellStyle name="Vírgula 3 2 3 4 3 2 2" xfId="53801" xr:uid="{00000000-0005-0000-0000-0000EABF0000}"/>
    <cellStyle name="Vírgula 3 2 3 4 3 3" xfId="21706" xr:uid="{00000000-0005-0000-0000-0000EBBF0000}"/>
    <cellStyle name="Vírgula 3 2 3 4 3 3 2" xfId="47893" xr:uid="{00000000-0005-0000-0000-0000ECBF0000}"/>
    <cellStyle name="Vírgula 3 2 3 4 3 4" xfId="15792" xr:uid="{00000000-0005-0000-0000-0000EDBF0000}"/>
    <cellStyle name="Vírgula 3 2 3 4 3 4 2" xfId="41985" xr:uid="{00000000-0005-0000-0000-0000EEBF0000}"/>
    <cellStyle name="Vírgula 3 2 3 4 3 5" xfId="35599" xr:uid="{00000000-0005-0000-0000-0000EFBF0000}"/>
    <cellStyle name="Vírgula 3 2 3 4 4" xfId="6135" xr:uid="{00000000-0005-0000-0000-0000F0BF0000}"/>
    <cellStyle name="Vírgula 3 2 3 4 4 2" xfId="24663" xr:uid="{00000000-0005-0000-0000-0000F1BF0000}"/>
    <cellStyle name="Vírgula 3 2 3 4 4 2 2" xfId="50847" xr:uid="{00000000-0005-0000-0000-0000F2BF0000}"/>
    <cellStyle name="Vírgula 3 2 3 4 4 3" xfId="32331" xr:uid="{00000000-0005-0000-0000-0000F3BF0000}"/>
    <cellStyle name="Vírgula 3 2 3 4 5" xfId="18749" xr:uid="{00000000-0005-0000-0000-0000F4BF0000}"/>
    <cellStyle name="Vírgula 3 2 3 4 5 2" xfId="44939" xr:uid="{00000000-0005-0000-0000-0000F5BF0000}"/>
    <cellStyle name="Vírgula 3 2 3 4 6" xfId="12523" xr:uid="{00000000-0005-0000-0000-0000F6BF0000}"/>
    <cellStyle name="Vírgula 3 2 3 4 6 2" xfId="38716" xr:uid="{00000000-0005-0000-0000-0000F7BF0000}"/>
    <cellStyle name="Vírgula 3 2 3 4 7" xfId="30633" xr:uid="{00000000-0005-0000-0000-0000F8BF0000}"/>
    <cellStyle name="Vírgula 3 2 3 5" xfId="4541" xr:uid="{00000000-0005-0000-0000-0000F9BF0000}"/>
    <cellStyle name="Vírgula 3 2 3 5 2" xfId="7943" xr:uid="{00000000-0005-0000-0000-0000FABF0000}"/>
    <cellStyle name="Vírgula 3 2 3 5 2 2" xfId="10936" xr:uid="{00000000-0005-0000-0000-0000FBBF0000}"/>
    <cellStyle name="Vírgula 3 2 3 5 2 2 2" xfId="29150" xr:uid="{00000000-0005-0000-0000-0000FCBF0000}"/>
    <cellStyle name="Vírgula 3 2 3 5 2 2 2 2" xfId="55331" xr:uid="{00000000-0005-0000-0000-0000FDBF0000}"/>
    <cellStyle name="Vírgula 3 2 3 5 2 2 3" xfId="23236" xr:uid="{00000000-0005-0000-0000-0000FEBF0000}"/>
    <cellStyle name="Vírgula 3 2 3 5 2 2 3 2" xfId="49423" xr:uid="{00000000-0005-0000-0000-0000FFBF0000}"/>
    <cellStyle name="Vírgula 3 2 3 5 2 2 4" xfId="17322" xr:uid="{00000000-0005-0000-0000-000000C00000}"/>
    <cellStyle name="Vírgula 3 2 3 5 2 2 4 2" xfId="43515" xr:uid="{00000000-0005-0000-0000-000001C00000}"/>
    <cellStyle name="Vírgula 3 2 3 5 2 2 5" xfId="37129" xr:uid="{00000000-0005-0000-0000-000002C00000}"/>
    <cellStyle name="Vírgula 3 2 3 5 2 3" xfId="26193" xr:uid="{00000000-0005-0000-0000-000003C00000}"/>
    <cellStyle name="Vírgula 3 2 3 5 2 3 2" xfId="52377" xr:uid="{00000000-0005-0000-0000-000004C00000}"/>
    <cellStyle name="Vírgula 3 2 3 5 2 4" xfId="20279" xr:uid="{00000000-0005-0000-0000-000005C00000}"/>
    <cellStyle name="Vírgula 3 2 3 5 2 4 2" xfId="46469" xr:uid="{00000000-0005-0000-0000-000006C00000}"/>
    <cellStyle name="Vírgula 3 2 3 5 2 5" xfId="14332" xr:uid="{00000000-0005-0000-0000-000007C00000}"/>
    <cellStyle name="Vírgula 3 2 3 5 2 5 2" xfId="40525" xr:uid="{00000000-0005-0000-0000-000008C00000}"/>
    <cellStyle name="Vírgula 3 2 3 5 2 6" xfId="34139" xr:uid="{00000000-0005-0000-0000-000009C00000}"/>
    <cellStyle name="Vírgula 3 2 3 5 3" xfId="9468" xr:uid="{00000000-0005-0000-0000-00000AC00000}"/>
    <cellStyle name="Vírgula 3 2 3 5 3 2" xfId="27682" xr:uid="{00000000-0005-0000-0000-00000BC00000}"/>
    <cellStyle name="Vírgula 3 2 3 5 3 2 2" xfId="53863" xr:uid="{00000000-0005-0000-0000-00000CC00000}"/>
    <cellStyle name="Vírgula 3 2 3 5 3 3" xfId="21768" xr:uid="{00000000-0005-0000-0000-00000DC00000}"/>
    <cellStyle name="Vírgula 3 2 3 5 3 3 2" xfId="47955" xr:uid="{00000000-0005-0000-0000-00000EC00000}"/>
    <cellStyle name="Vírgula 3 2 3 5 3 4" xfId="15854" xr:uid="{00000000-0005-0000-0000-00000FC00000}"/>
    <cellStyle name="Vírgula 3 2 3 5 3 4 2" xfId="42047" xr:uid="{00000000-0005-0000-0000-000010C00000}"/>
    <cellStyle name="Vírgula 3 2 3 5 3 5" xfId="35661" xr:uid="{00000000-0005-0000-0000-000011C00000}"/>
    <cellStyle name="Vírgula 3 2 3 5 4" xfId="6242" xr:uid="{00000000-0005-0000-0000-000012C00000}"/>
    <cellStyle name="Vírgula 3 2 3 5 4 2" xfId="24725" xr:uid="{00000000-0005-0000-0000-000013C00000}"/>
    <cellStyle name="Vírgula 3 2 3 5 4 2 2" xfId="50909" xr:uid="{00000000-0005-0000-0000-000014C00000}"/>
    <cellStyle name="Vírgula 3 2 3 5 4 3" xfId="32438" xr:uid="{00000000-0005-0000-0000-000015C00000}"/>
    <cellStyle name="Vírgula 3 2 3 5 5" xfId="18811" xr:uid="{00000000-0005-0000-0000-000016C00000}"/>
    <cellStyle name="Vírgula 3 2 3 5 5 2" xfId="45001" xr:uid="{00000000-0005-0000-0000-000017C00000}"/>
    <cellStyle name="Vírgula 3 2 3 5 6" xfId="12631" xr:uid="{00000000-0005-0000-0000-000018C00000}"/>
    <cellStyle name="Vírgula 3 2 3 5 6 2" xfId="38824" xr:uid="{00000000-0005-0000-0000-000019C00000}"/>
    <cellStyle name="Vírgula 3 2 3 5 7" xfId="30741" xr:uid="{00000000-0005-0000-0000-00001AC00000}"/>
    <cellStyle name="Vírgula 3 2 3 6" xfId="5407" xr:uid="{00000000-0005-0000-0000-00001BC00000}"/>
    <cellStyle name="Vírgula 3 2 3 6 2" xfId="7106" xr:uid="{00000000-0005-0000-0000-00001CC00000}"/>
    <cellStyle name="Vírgula 3 2 3 6 2 2" xfId="10250" xr:uid="{00000000-0005-0000-0000-00001DC00000}"/>
    <cellStyle name="Vírgula 3 2 3 6 2 2 2" xfId="28464" xr:uid="{00000000-0005-0000-0000-00001EC00000}"/>
    <cellStyle name="Vírgula 3 2 3 6 2 2 2 2" xfId="54645" xr:uid="{00000000-0005-0000-0000-00001FC00000}"/>
    <cellStyle name="Vírgula 3 2 3 6 2 2 3" xfId="22550" xr:uid="{00000000-0005-0000-0000-000020C00000}"/>
    <cellStyle name="Vírgula 3 2 3 6 2 2 3 2" xfId="48737" xr:uid="{00000000-0005-0000-0000-000021C00000}"/>
    <cellStyle name="Vírgula 3 2 3 6 2 2 4" xfId="16636" xr:uid="{00000000-0005-0000-0000-000022C00000}"/>
    <cellStyle name="Vírgula 3 2 3 6 2 2 4 2" xfId="42829" xr:uid="{00000000-0005-0000-0000-000023C00000}"/>
    <cellStyle name="Vírgula 3 2 3 6 2 2 5" xfId="36443" xr:uid="{00000000-0005-0000-0000-000024C00000}"/>
    <cellStyle name="Vírgula 3 2 3 6 2 3" xfId="25507" xr:uid="{00000000-0005-0000-0000-000025C00000}"/>
    <cellStyle name="Vírgula 3 2 3 6 2 3 2" xfId="51691" xr:uid="{00000000-0005-0000-0000-000026C00000}"/>
    <cellStyle name="Vírgula 3 2 3 6 2 4" xfId="19593" xr:uid="{00000000-0005-0000-0000-000027C00000}"/>
    <cellStyle name="Vírgula 3 2 3 6 2 4 2" xfId="45783" xr:uid="{00000000-0005-0000-0000-000028C00000}"/>
    <cellStyle name="Vírgula 3 2 3 6 2 5" xfId="13495" xr:uid="{00000000-0005-0000-0000-000029C00000}"/>
    <cellStyle name="Vírgula 3 2 3 6 2 5 2" xfId="39688" xr:uid="{00000000-0005-0000-0000-00002AC00000}"/>
    <cellStyle name="Vírgula 3 2 3 6 2 6" xfId="33302" xr:uid="{00000000-0005-0000-0000-00002BC00000}"/>
    <cellStyle name="Vírgula 3 2 3 6 3" xfId="8782" xr:uid="{00000000-0005-0000-0000-00002CC00000}"/>
    <cellStyle name="Vírgula 3 2 3 6 3 2" xfId="26996" xr:uid="{00000000-0005-0000-0000-00002DC00000}"/>
    <cellStyle name="Vírgula 3 2 3 6 3 2 2" xfId="53177" xr:uid="{00000000-0005-0000-0000-00002EC00000}"/>
    <cellStyle name="Vírgula 3 2 3 6 3 3" xfId="21082" xr:uid="{00000000-0005-0000-0000-00002FC00000}"/>
    <cellStyle name="Vírgula 3 2 3 6 3 3 2" xfId="47269" xr:uid="{00000000-0005-0000-0000-000030C00000}"/>
    <cellStyle name="Vírgula 3 2 3 6 3 4" xfId="15168" xr:uid="{00000000-0005-0000-0000-000031C00000}"/>
    <cellStyle name="Vírgula 3 2 3 6 3 4 2" xfId="41361" xr:uid="{00000000-0005-0000-0000-000032C00000}"/>
    <cellStyle name="Vírgula 3 2 3 6 3 5" xfId="34975" xr:uid="{00000000-0005-0000-0000-000033C00000}"/>
    <cellStyle name="Vírgula 3 2 3 6 4" xfId="24039" xr:uid="{00000000-0005-0000-0000-000034C00000}"/>
    <cellStyle name="Vírgula 3 2 3 6 4 2" xfId="50223" xr:uid="{00000000-0005-0000-0000-000035C00000}"/>
    <cellStyle name="Vírgula 3 2 3 6 5" xfId="18125" xr:uid="{00000000-0005-0000-0000-000036C00000}"/>
    <cellStyle name="Vírgula 3 2 3 6 5 2" xfId="44315" xr:uid="{00000000-0005-0000-0000-000037C00000}"/>
    <cellStyle name="Vírgula 3 2 3 6 6" xfId="11794" xr:uid="{00000000-0005-0000-0000-000038C00000}"/>
    <cellStyle name="Vírgula 3 2 3 6 6 2" xfId="37987" xr:uid="{00000000-0005-0000-0000-000039C00000}"/>
    <cellStyle name="Vírgula 3 2 3 6 7" xfId="31603" xr:uid="{00000000-0005-0000-0000-00003AC00000}"/>
    <cellStyle name="Vírgula 3 2 3 7" xfId="6351" xr:uid="{00000000-0005-0000-0000-00003BC00000}"/>
    <cellStyle name="Vírgula 3 2 3 7 2" xfId="9530" xr:uid="{00000000-0005-0000-0000-00003CC00000}"/>
    <cellStyle name="Vírgula 3 2 3 7 2 2" xfId="27744" xr:uid="{00000000-0005-0000-0000-00003DC00000}"/>
    <cellStyle name="Vírgula 3 2 3 7 2 2 2" xfId="53925" xr:uid="{00000000-0005-0000-0000-00003EC00000}"/>
    <cellStyle name="Vírgula 3 2 3 7 2 3" xfId="21830" xr:uid="{00000000-0005-0000-0000-00003FC00000}"/>
    <cellStyle name="Vírgula 3 2 3 7 2 3 2" xfId="48017" xr:uid="{00000000-0005-0000-0000-000040C00000}"/>
    <cellStyle name="Vírgula 3 2 3 7 2 4" xfId="15916" xr:uid="{00000000-0005-0000-0000-000041C00000}"/>
    <cellStyle name="Vírgula 3 2 3 7 2 4 2" xfId="42109" xr:uid="{00000000-0005-0000-0000-000042C00000}"/>
    <cellStyle name="Vírgula 3 2 3 7 2 5" xfId="35723" xr:uid="{00000000-0005-0000-0000-000043C00000}"/>
    <cellStyle name="Vírgula 3 2 3 7 3" xfId="24787" xr:uid="{00000000-0005-0000-0000-000044C00000}"/>
    <cellStyle name="Vírgula 3 2 3 7 3 2" xfId="50971" xr:uid="{00000000-0005-0000-0000-000045C00000}"/>
    <cellStyle name="Vírgula 3 2 3 7 4" xfId="18873" xr:uid="{00000000-0005-0000-0000-000046C00000}"/>
    <cellStyle name="Vírgula 3 2 3 7 4 2" xfId="45063" xr:uid="{00000000-0005-0000-0000-000047C00000}"/>
    <cellStyle name="Vírgula 3 2 3 7 5" xfId="12740" xr:uid="{00000000-0005-0000-0000-000048C00000}"/>
    <cellStyle name="Vírgula 3 2 3 7 5 2" xfId="38933" xr:uid="{00000000-0005-0000-0000-000049C00000}"/>
    <cellStyle name="Vírgula 3 2 3 7 6" xfId="32547" xr:uid="{00000000-0005-0000-0000-00004AC00000}"/>
    <cellStyle name="Vírgula 3 2 3 8" xfId="8059" xr:uid="{00000000-0005-0000-0000-00004BC00000}"/>
    <cellStyle name="Vírgula 3 2 3 8 2" xfId="26273" xr:uid="{00000000-0005-0000-0000-00004CC00000}"/>
    <cellStyle name="Vírgula 3 2 3 8 2 2" xfId="52457" xr:uid="{00000000-0005-0000-0000-00004DC00000}"/>
    <cellStyle name="Vírgula 3 2 3 8 3" xfId="20359" xr:uid="{00000000-0005-0000-0000-00004EC00000}"/>
    <cellStyle name="Vírgula 3 2 3 8 3 2" xfId="46549" xr:uid="{00000000-0005-0000-0000-00004FC00000}"/>
    <cellStyle name="Vírgula 3 2 3 8 4" xfId="14448" xr:uid="{00000000-0005-0000-0000-000050C00000}"/>
    <cellStyle name="Vírgula 3 2 3 8 4 2" xfId="40641" xr:uid="{00000000-0005-0000-0000-000051C00000}"/>
    <cellStyle name="Vírgula 3 2 3 8 5" xfId="34255" xr:uid="{00000000-0005-0000-0000-000052C00000}"/>
    <cellStyle name="Vírgula 3 2 3 9" xfId="4648" xr:uid="{00000000-0005-0000-0000-000053C00000}"/>
    <cellStyle name="Vírgula 3 2 3 9 2" xfId="23316" xr:uid="{00000000-0005-0000-0000-000054C00000}"/>
    <cellStyle name="Vírgula 3 2 3 9 2 2" xfId="49503" xr:uid="{00000000-0005-0000-0000-000055C00000}"/>
    <cellStyle name="Vírgula 3 2 3 9 3" xfId="30848" xr:uid="{00000000-0005-0000-0000-000056C00000}"/>
    <cellStyle name="Vírgula 3 2 4" xfId="2964" xr:uid="{00000000-0005-0000-0000-000057C00000}"/>
    <cellStyle name="Vírgula 3 2 4 10" xfId="11071" xr:uid="{00000000-0005-0000-0000-000058C00000}"/>
    <cellStyle name="Vírgula 3 2 4 10 2" xfId="37264" xr:uid="{00000000-0005-0000-0000-000059C00000}"/>
    <cellStyle name="Vírgula 3 2 4 11" xfId="30052" xr:uid="{00000000-0005-0000-0000-00005AC00000}"/>
    <cellStyle name="Vírgula 3 2 4 2" xfId="4357" xr:uid="{00000000-0005-0000-0000-00005BC00000}"/>
    <cellStyle name="Vírgula 3 2 4 2 2" xfId="7758" xr:uid="{00000000-0005-0000-0000-00005CC00000}"/>
    <cellStyle name="Vírgula 3 2 4 2 2 2" xfId="10831" xr:uid="{00000000-0005-0000-0000-00005DC00000}"/>
    <cellStyle name="Vírgula 3 2 4 2 2 2 2" xfId="29045" xr:uid="{00000000-0005-0000-0000-00005EC00000}"/>
    <cellStyle name="Vírgula 3 2 4 2 2 2 2 2" xfId="55226" xr:uid="{00000000-0005-0000-0000-00005FC00000}"/>
    <cellStyle name="Vírgula 3 2 4 2 2 2 3" xfId="23131" xr:uid="{00000000-0005-0000-0000-000060C00000}"/>
    <cellStyle name="Vírgula 3 2 4 2 2 2 3 2" xfId="49318" xr:uid="{00000000-0005-0000-0000-000061C00000}"/>
    <cellStyle name="Vírgula 3 2 4 2 2 2 4" xfId="17217" xr:uid="{00000000-0005-0000-0000-000062C00000}"/>
    <cellStyle name="Vírgula 3 2 4 2 2 2 4 2" xfId="43410" xr:uid="{00000000-0005-0000-0000-000063C00000}"/>
    <cellStyle name="Vírgula 3 2 4 2 2 2 5" xfId="37024" xr:uid="{00000000-0005-0000-0000-000064C00000}"/>
    <cellStyle name="Vírgula 3 2 4 2 2 3" xfId="26088" xr:uid="{00000000-0005-0000-0000-000065C00000}"/>
    <cellStyle name="Vírgula 3 2 4 2 2 3 2" xfId="52272" xr:uid="{00000000-0005-0000-0000-000066C00000}"/>
    <cellStyle name="Vírgula 3 2 4 2 2 4" xfId="20174" xr:uid="{00000000-0005-0000-0000-000067C00000}"/>
    <cellStyle name="Vírgula 3 2 4 2 2 4 2" xfId="46364" xr:uid="{00000000-0005-0000-0000-000068C00000}"/>
    <cellStyle name="Vírgula 3 2 4 2 2 5" xfId="14147" xr:uid="{00000000-0005-0000-0000-000069C00000}"/>
    <cellStyle name="Vírgula 3 2 4 2 2 5 2" xfId="40340" xr:uid="{00000000-0005-0000-0000-00006AC00000}"/>
    <cellStyle name="Vírgula 3 2 4 2 2 6" xfId="33954" xr:uid="{00000000-0005-0000-0000-00006BC00000}"/>
    <cellStyle name="Vírgula 3 2 4 2 3" xfId="9363" xr:uid="{00000000-0005-0000-0000-00006CC00000}"/>
    <cellStyle name="Vírgula 3 2 4 2 3 2" xfId="27577" xr:uid="{00000000-0005-0000-0000-00006DC00000}"/>
    <cellStyle name="Vírgula 3 2 4 2 3 2 2" xfId="53758" xr:uid="{00000000-0005-0000-0000-00006EC00000}"/>
    <cellStyle name="Vírgula 3 2 4 2 3 3" xfId="21663" xr:uid="{00000000-0005-0000-0000-00006FC00000}"/>
    <cellStyle name="Vírgula 3 2 4 2 3 3 2" xfId="47850" xr:uid="{00000000-0005-0000-0000-000070C00000}"/>
    <cellStyle name="Vírgula 3 2 4 2 3 4" xfId="15749" xr:uid="{00000000-0005-0000-0000-000071C00000}"/>
    <cellStyle name="Vírgula 3 2 4 2 3 4 2" xfId="41942" xr:uid="{00000000-0005-0000-0000-000072C00000}"/>
    <cellStyle name="Vírgula 3 2 4 2 3 5" xfId="35556" xr:uid="{00000000-0005-0000-0000-000073C00000}"/>
    <cellStyle name="Vírgula 3 2 4 2 4" xfId="6058" xr:uid="{00000000-0005-0000-0000-000074C00000}"/>
    <cellStyle name="Vírgula 3 2 4 2 4 2" xfId="24620" xr:uid="{00000000-0005-0000-0000-000075C00000}"/>
    <cellStyle name="Vírgula 3 2 4 2 4 2 2" xfId="50804" xr:uid="{00000000-0005-0000-0000-000076C00000}"/>
    <cellStyle name="Vírgula 3 2 4 2 4 3" xfId="32254" xr:uid="{00000000-0005-0000-0000-000077C00000}"/>
    <cellStyle name="Vírgula 3 2 4 2 5" xfId="18706" xr:uid="{00000000-0005-0000-0000-000078C00000}"/>
    <cellStyle name="Vírgula 3 2 4 2 5 2" xfId="44896" xr:uid="{00000000-0005-0000-0000-000079C00000}"/>
    <cellStyle name="Vírgula 3 2 4 2 6" xfId="12446" xr:uid="{00000000-0005-0000-0000-00007AC00000}"/>
    <cellStyle name="Vírgula 3 2 4 2 6 2" xfId="38639" xr:uid="{00000000-0005-0000-0000-00007BC00000}"/>
    <cellStyle name="Vírgula 3 2 4 2 7" xfId="30557" xr:uid="{00000000-0005-0000-0000-00007CC00000}"/>
    <cellStyle name="Vírgula 3 2 4 3" xfId="4465" xr:uid="{00000000-0005-0000-0000-00007DC00000}"/>
    <cellStyle name="Vírgula 3 2 4 3 2" xfId="7867" xr:uid="{00000000-0005-0000-0000-00007EC00000}"/>
    <cellStyle name="Vírgula 3 2 4 3 2 2" xfId="10893" xr:uid="{00000000-0005-0000-0000-00007FC00000}"/>
    <cellStyle name="Vírgula 3 2 4 3 2 2 2" xfId="29107" xr:uid="{00000000-0005-0000-0000-000080C00000}"/>
    <cellStyle name="Vírgula 3 2 4 3 2 2 2 2" xfId="55288" xr:uid="{00000000-0005-0000-0000-000081C00000}"/>
    <cellStyle name="Vírgula 3 2 4 3 2 2 3" xfId="23193" xr:uid="{00000000-0005-0000-0000-000082C00000}"/>
    <cellStyle name="Vírgula 3 2 4 3 2 2 3 2" xfId="49380" xr:uid="{00000000-0005-0000-0000-000083C00000}"/>
    <cellStyle name="Vírgula 3 2 4 3 2 2 4" xfId="17279" xr:uid="{00000000-0005-0000-0000-000084C00000}"/>
    <cellStyle name="Vírgula 3 2 4 3 2 2 4 2" xfId="43472" xr:uid="{00000000-0005-0000-0000-000085C00000}"/>
    <cellStyle name="Vírgula 3 2 4 3 2 2 5" xfId="37086" xr:uid="{00000000-0005-0000-0000-000086C00000}"/>
    <cellStyle name="Vírgula 3 2 4 3 2 3" xfId="26150" xr:uid="{00000000-0005-0000-0000-000087C00000}"/>
    <cellStyle name="Vírgula 3 2 4 3 2 3 2" xfId="52334" xr:uid="{00000000-0005-0000-0000-000088C00000}"/>
    <cellStyle name="Vírgula 3 2 4 3 2 4" xfId="20236" xr:uid="{00000000-0005-0000-0000-000089C00000}"/>
    <cellStyle name="Vírgula 3 2 4 3 2 4 2" xfId="46426" xr:uid="{00000000-0005-0000-0000-00008AC00000}"/>
    <cellStyle name="Vírgula 3 2 4 3 2 5" xfId="14256" xr:uid="{00000000-0005-0000-0000-00008BC00000}"/>
    <cellStyle name="Vírgula 3 2 4 3 2 5 2" xfId="40449" xr:uid="{00000000-0005-0000-0000-00008CC00000}"/>
    <cellStyle name="Vírgula 3 2 4 3 2 6" xfId="34063" xr:uid="{00000000-0005-0000-0000-00008DC00000}"/>
    <cellStyle name="Vírgula 3 2 4 3 3" xfId="9425" xr:uid="{00000000-0005-0000-0000-00008EC00000}"/>
    <cellStyle name="Vírgula 3 2 4 3 3 2" xfId="27639" xr:uid="{00000000-0005-0000-0000-00008FC00000}"/>
    <cellStyle name="Vírgula 3 2 4 3 3 2 2" xfId="53820" xr:uid="{00000000-0005-0000-0000-000090C00000}"/>
    <cellStyle name="Vírgula 3 2 4 3 3 3" xfId="21725" xr:uid="{00000000-0005-0000-0000-000091C00000}"/>
    <cellStyle name="Vírgula 3 2 4 3 3 3 2" xfId="47912" xr:uid="{00000000-0005-0000-0000-000092C00000}"/>
    <cellStyle name="Vírgula 3 2 4 3 3 4" xfId="15811" xr:uid="{00000000-0005-0000-0000-000093C00000}"/>
    <cellStyle name="Vírgula 3 2 4 3 3 4 2" xfId="42004" xr:uid="{00000000-0005-0000-0000-000094C00000}"/>
    <cellStyle name="Vírgula 3 2 4 3 3 5" xfId="35618" xr:uid="{00000000-0005-0000-0000-000095C00000}"/>
    <cellStyle name="Vírgula 3 2 4 3 4" xfId="6166" xr:uid="{00000000-0005-0000-0000-000096C00000}"/>
    <cellStyle name="Vírgula 3 2 4 3 4 2" xfId="24682" xr:uid="{00000000-0005-0000-0000-000097C00000}"/>
    <cellStyle name="Vírgula 3 2 4 3 4 2 2" xfId="50866" xr:uid="{00000000-0005-0000-0000-000098C00000}"/>
    <cellStyle name="Vírgula 3 2 4 3 4 3" xfId="32362" xr:uid="{00000000-0005-0000-0000-000099C00000}"/>
    <cellStyle name="Vírgula 3 2 4 3 5" xfId="18768" xr:uid="{00000000-0005-0000-0000-00009AC00000}"/>
    <cellStyle name="Vírgula 3 2 4 3 5 2" xfId="44958" xr:uid="{00000000-0005-0000-0000-00009BC00000}"/>
    <cellStyle name="Vírgula 3 2 4 3 6" xfId="12555" xr:uid="{00000000-0005-0000-0000-00009CC00000}"/>
    <cellStyle name="Vírgula 3 2 4 3 6 2" xfId="38748" xr:uid="{00000000-0005-0000-0000-00009DC00000}"/>
    <cellStyle name="Vírgula 3 2 4 3 7" xfId="30665" xr:uid="{00000000-0005-0000-0000-00009EC00000}"/>
    <cellStyle name="Vírgula 3 2 4 4" xfId="4573" xr:uid="{00000000-0005-0000-0000-00009FC00000}"/>
    <cellStyle name="Vírgula 3 2 4 4 2" xfId="7975" xr:uid="{00000000-0005-0000-0000-0000A0C00000}"/>
    <cellStyle name="Vírgula 3 2 4 4 2 2" xfId="10955" xr:uid="{00000000-0005-0000-0000-0000A1C00000}"/>
    <cellStyle name="Vírgula 3 2 4 4 2 2 2" xfId="29169" xr:uid="{00000000-0005-0000-0000-0000A2C00000}"/>
    <cellStyle name="Vírgula 3 2 4 4 2 2 2 2" xfId="55350" xr:uid="{00000000-0005-0000-0000-0000A3C00000}"/>
    <cellStyle name="Vírgula 3 2 4 4 2 2 3" xfId="23255" xr:uid="{00000000-0005-0000-0000-0000A4C00000}"/>
    <cellStyle name="Vírgula 3 2 4 4 2 2 3 2" xfId="49442" xr:uid="{00000000-0005-0000-0000-0000A5C00000}"/>
    <cellStyle name="Vírgula 3 2 4 4 2 2 4" xfId="17341" xr:uid="{00000000-0005-0000-0000-0000A6C00000}"/>
    <cellStyle name="Vírgula 3 2 4 4 2 2 4 2" xfId="43534" xr:uid="{00000000-0005-0000-0000-0000A7C00000}"/>
    <cellStyle name="Vírgula 3 2 4 4 2 2 5" xfId="37148" xr:uid="{00000000-0005-0000-0000-0000A8C00000}"/>
    <cellStyle name="Vírgula 3 2 4 4 2 3" xfId="26212" xr:uid="{00000000-0005-0000-0000-0000A9C00000}"/>
    <cellStyle name="Vírgula 3 2 4 4 2 3 2" xfId="52396" xr:uid="{00000000-0005-0000-0000-0000AAC00000}"/>
    <cellStyle name="Vírgula 3 2 4 4 2 4" xfId="20298" xr:uid="{00000000-0005-0000-0000-0000ABC00000}"/>
    <cellStyle name="Vírgula 3 2 4 4 2 4 2" xfId="46488" xr:uid="{00000000-0005-0000-0000-0000ACC00000}"/>
    <cellStyle name="Vírgula 3 2 4 4 2 5" xfId="14364" xr:uid="{00000000-0005-0000-0000-0000ADC00000}"/>
    <cellStyle name="Vírgula 3 2 4 4 2 5 2" xfId="40557" xr:uid="{00000000-0005-0000-0000-0000AEC00000}"/>
    <cellStyle name="Vírgula 3 2 4 4 2 6" xfId="34171" xr:uid="{00000000-0005-0000-0000-0000AFC00000}"/>
    <cellStyle name="Vírgula 3 2 4 4 3" xfId="9487" xr:uid="{00000000-0005-0000-0000-0000B0C00000}"/>
    <cellStyle name="Vírgula 3 2 4 4 3 2" xfId="27701" xr:uid="{00000000-0005-0000-0000-0000B1C00000}"/>
    <cellStyle name="Vírgula 3 2 4 4 3 2 2" xfId="53882" xr:uid="{00000000-0005-0000-0000-0000B2C00000}"/>
    <cellStyle name="Vírgula 3 2 4 4 3 3" xfId="21787" xr:uid="{00000000-0005-0000-0000-0000B3C00000}"/>
    <cellStyle name="Vírgula 3 2 4 4 3 3 2" xfId="47974" xr:uid="{00000000-0005-0000-0000-0000B4C00000}"/>
    <cellStyle name="Vírgula 3 2 4 4 3 4" xfId="15873" xr:uid="{00000000-0005-0000-0000-0000B5C00000}"/>
    <cellStyle name="Vírgula 3 2 4 4 3 4 2" xfId="42066" xr:uid="{00000000-0005-0000-0000-0000B6C00000}"/>
    <cellStyle name="Vírgula 3 2 4 4 3 5" xfId="35680" xr:uid="{00000000-0005-0000-0000-0000B7C00000}"/>
    <cellStyle name="Vírgula 3 2 4 4 4" xfId="6274" xr:uid="{00000000-0005-0000-0000-0000B8C00000}"/>
    <cellStyle name="Vírgula 3 2 4 4 4 2" xfId="24744" xr:uid="{00000000-0005-0000-0000-0000B9C00000}"/>
    <cellStyle name="Vírgula 3 2 4 4 4 2 2" xfId="50928" xr:uid="{00000000-0005-0000-0000-0000BAC00000}"/>
    <cellStyle name="Vírgula 3 2 4 4 4 3" xfId="32470" xr:uid="{00000000-0005-0000-0000-0000BBC00000}"/>
    <cellStyle name="Vírgula 3 2 4 4 5" xfId="18830" xr:uid="{00000000-0005-0000-0000-0000BCC00000}"/>
    <cellStyle name="Vírgula 3 2 4 4 5 2" xfId="45020" xr:uid="{00000000-0005-0000-0000-0000BDC00000}"/>
    <cellStyle name="Vírgula 3 2 4 4 6" xfId="12663" xr:uid="{00000000-0005-0000-0000-0000BEC00000}"/>
    <cellStyle name="Vírgula 3 2 4 4 6 2" xfId="38856" xr:uid="{00000000-0005-0000-0000-0000BFC00000}"/>
    <cellStyle name="Vírgula 3 2 4 4 7" xfId="30773" xr:uid="{00000000-0005-0000-0000-0000C0C00000}"/>
    <cellStyle name="Vírgula 3 2 4 5" xfId="5554" xr:uid="{00000000-0005-0000-0000-0000C1C00000}"/>
    <cellStyle name="Vírgula 3 2 4 5 2" xfId="7253" xr:uid="{00000000-0005-0000-0000-0000C2C00000}"/>
    <cellStyle name="Vírgula 3 2 4 5 2 2" xfId="10397" xr:uid="{00000000-0005-0000-0000-0000C3C00000}"/>
    <cellStyle name="Vírgula 3 2 4 5 2 2 2" xfId="28611" xr:uid="{00000000-0005-0000-0000-0000C4C00000}"/>
    <cellStyle name="Vírgula 3 2 4 5 2 2 2 2" xfId="54792" xr:uid="{00000000-0005-0000-0000-0000C5C00000}"/>
    <cellStyle name="Vírgula 3 2 4 5 2 2 3" xfId="22697" xr:uid="{00000000-0005-0000-0000-0000C6C00000}"/>
    <cellStyle name="Vírgula 3 2 4 5 2 2 3 2" xfId="48884" xr:uid="{00000000-0005-0000-0000-0000C7C00000}"/>
    <cellStyle name="Vírgula 3 2 4 5 2 2 4" xfId="16783" xr:uid="{00000000-0005-0000-0000-0000C8C00000}"/>
    <cellStyle name="Vírgula 3 2 4 5 2 2 4 2" xfId="42976" xr:uid="{00000000-0005-0000-0000-0000C9C00000}"/>
    <cellStyle name="Vírgula 3 2 4 5 2 2 5" xfId="36590" xr:uid="{00000000-0005-0000-0000-0000CAC00000}"/>
    <cellStyle name="Vírgula 3 2 4 5 2 3" xfId="25654" xr:uid="{00000000-0005-0000-0000-0000CBC00000}"/>
    <cellStyle name="Vírgula 3 2 4 5 2 3 2" xfId="51838" xr:uid="{00000000-0005-0000-0000-0000CCC00000}"/>
    <cellStyle name="Vírgula 3 2 4 5 2 4" xfId="19740" xr:uid="{00000000-0005-0000-0000-0000CDC00000}"/>
    <cellStyle name="Vírgula 3 2 4 5 2 4 2" xfId="45930" xr:uid="{00000000-0005-0000-0000-0000CEC00000}"/>
    <cellStyle name="Vírgula 3 2 4 5 2 5" xfId="13642" xr:uid="{00000000-0005-0000-0000-0000CFC00000}"/>
    <cellStyle name="Vírgula 3 2 4 5 2 5 2" xfId="39835" xr:uid="{00000000-0005-0000-0000-0000D0C00000}"/>
    <cellStyle name="Vírgula 3 2 4 5 2 6" xfId="33449" xr:uid="{00000000-0005-0000-0000-0000D1C00000}"/>
    <cellStyle name="Vírgula 3 2 4 5 3" xfId="8929" xr:uid="{00000000-0005-0000-0000-0000D2C00000}"/>
    <cellStyle name="Vírgula 3 2 4 5 3 2" xfId="27143" xr:uid="{00000000-0005-0000-0000-0000D3C00000}"/>
    <cellStyle name="Vírgula 3 2 4 5 3 2 2" xfId="53324" xr:uid="{00000000-0005-0000-0000-0000D4C00000}"/>
    <cellStyle name="Vírgula 3 2 4 5 3 3" xfId="21229" xr:uid="{00000000-0005-0000-0000-0000D5C00000}"/>
    <cellStyle name="Vírgula 3 2 4 5 3 3 2" xfId="47416" xr:uid="{00000000-0005-0000-0000-0000D6C00000}"/>
    <cellStyle name="Vírgula 3 2 4 5 3 4" xfId="15315" xr:uid="{00000000-0005-0000-0000-0000D7C00000}"/>
    <cellStyle name="Vírgula 3 2 4 5 3 4 2" xfId="41508" xr:uid="{00000000-0005-0000-0000-0000D8C00000}"/>
    <cellStyle name="Vírgula 3 2 4 5 3 5" xfId="35122" xr:uid="{00000000-0005-0000-0000-0000D9C00000}"/>
    <cellStyle name="Vírgula 3 2 4 5 4" xfId="24186" xr:uid="{00000000-0005-0000-0000-0000DAC00000}"/>
    <cellStyle name="Vírgula 3 2 4 5 4 2" xfId="50370" xr:uid="{00000000-0005-0000-0000-0000DBC00000}"/>
    <cellStyle name="Vírgula 3 2 4 5 5" xfId="18272" xr:uid="{00000000-0005-0000-0000-0000DCC00000}"/>
    <cellStyle name="Vírgula 3 2 4 5 5 2" xfId="44462" xr:uid="{00000000-0005-0000-0000-0000DDC00000}"/>
    <cellStyle name="Vírgula 3 2 4 5 6" xfId="11941" xr:uid="{00000000-0005-0000-0000-0000DEC00000}"/>
    <cellStyle name="Vírgula 3 2 4 5 6 2" xfId="38134" xr:uid="{00000000-0005-0000-0000-0000DFC00000}"/>
    <cellStyle name="Vírgula 3 2 4 5 7" xfId="31750" xr:uid="{00000000-0005-0000-0000-0000E0C00000}"/>
    <cellStyle name="Vírgula 3 2 4 6" xfId="6383" xr:uid="{00000000-0005-0000-0000-0000E1C00000}"/>
    <cellStyle name="Vírgula 3 2 4 6 2" xfId="9549" xr:uid="{00000000-0005-0000-0000-0000E2C00000}"/>
    <cellStyle name="Vírgula 3 2 4 6 2 2" xfId="27763" xr:uid="{00000000-0005-0000-0000-0000E3C00000}"/>
    <cellStyle name="Vírgula 3 2 4 6 2 2 2" xfId="53944" xr:uid="{00000000-0005-0000-0000-0000E4C00000}"/>
    <cellStyle name="Vírgula 3 2 4 6 2 3" xfId="21849" xr:uid="{00000000-0005-0000-0000-0000E5C00000}"/>
    <cellStyle name="Vírgula 3 2 4 6 2 3 2" xfId="48036" xr:uid="{00000000-0005-0000-0000-0000E6C00000}"/>
    <cellStyle name="Vírgula 3 2 4 6 2 4" xfId="15935" xr:uid="{00000000-0005-0000-0000-0000E7C00000}"/>
    <cellStyle name="Vírgula 3 2 4 6 2 4 2" xfId="42128" xr:uid="{00000000-0005-0000-0000-0000E8C00000}"/>
    <cellStyle name="Vírgula 3 2 4 6 2 5" xfId="35742" xr:uid="{00000000-0005-0000-0000-0000E9C00000}"/>
    <cellStyle name="Vírgula 3 2 4 6 3" xfId="24806" xr:uid="{00000000-0005-0000-0000-0000EAC00000}"/>
    <cellStyle name="Vírgula 3 2 4 6 3 2" xfId="50990" xr:uid="{00000000-0005-0000-0000-0000EBC00000}"/>
    <cellStyle name="Vírgula 3 2 4 6 4" xfId="18892" xr:uid="{00000000-0005-0000-0000-0000ECC00000}"/>
    <cellStyle name="Vírgula 3 2 4 6 4 2" xfId="45082" xr:uid="{00000000-0005-0000-0000-0000EDC00000}"/>
    <cellStyle name="Vírgula 3 2 4 6 5" xfId="12772" xr:uid="{00000000-0005-0000-0000-0000EEC00000}"/>
    <cellStyle name="Vírgula 3 2 4 6 5 2" xfId="38965" xr:uid="{00000000-0005-0000-0000-0000EFC00000}"/>
    <cellStyle name="Vírgula 3 2 4 6 6" xfId="32579" xr:uid="{00000000-0005-0000-0000-0000F0C00000}"/>
    <cellStyle name="Vírgula 3 2 4 7" xfId="8078" xr:uid="{00000000-0005-0000-0000-0000F1C00000}"/>
    <cellStyle name="Vírgula 3 2 4 7 2" xfId="26292" xr:uid="{00000000-0005-0000-0000-0000F2C00000}"/>
    <cellStyle name="Vírgula 3 2 4 7 2 2" xfId="52476" xr:uid="{00000000-0005-0000-0000-0000F3C00000}"/>
    <cellStyle name="Vírgula 3 2 4 7 3" xfId="20378" xr:uid="{00000000-0005-0000-0000-0000F4C00000}"/>
    <cellStyle name="Vírgula 3 2 4 7 3 2" xfId="46568" xr:uid="{00000000-0005-0000-0000-0000F5C00000}"/>
    <cellStyle name="Vírgula 3 2 4 7 4" xfId="14467" xr:uid="{00000000-0005-0000-0000-0000F6C00000}"/>
    <cellStyle name="Vírgula 3 2 4 7 4 2" xfId="40660" xr:uid="{00000000-0005-0000-0000-0000F7C00000}"/>
    <cellStyle name="Vírgula 3 2 4 7 5" xfId="34274" xr:uid="{00000000-0005-0000-0000-0000F8C00000}"/>
    <cellStyle name="Vírgula 3 2 4 8" xfId="4680" xr:uid="{00000000-0005-0000-0000-0000F9C00000}"/>
    <cellStyle name="Vírgula 3 2 4 8 2" xfId="23335" xr:uid="{00000000-0005-0000-0000-0000FAC00000}"/>
    <cellStyle name="Vírgula 3 2 4 8 2 2" xfId="49522" xr:uid="{00000000-0005-0000-0000-0000FBC00000}"/>
    <cellStyle name="Vírgula 3 2 4 8 3" xfId="30880" xr:uid="{00000000-0005-0000-0000-0000FCC00000}"/>
    <cellStyle name="Vírgula 3 2 4 9" xfId="17421" xr:uid="{00000000-0005-0000-0000-0000FDC00000}"/>
    <cellStyle name="Vírgula 3 2 4 9 2" xfId="43614" xr:uid="{00000000-0005-0000-0000-0000FEC00000}"/>
    <cellStyle name="Vírgula 3 2 5" xfId="3491" xr:uid="{00000000-0005-0000-0000-0000FFC00000}"/>
    <cellStyle name="Vírgula 3 2 5 2" xfId="7400" xr:uid="{00000000-0005-0000-0000-000000C10000}"/>
    <cellStyle name="Vírgula 3 2 5 2 2" xfId="10544" xr:uid="{00000000-0005-0000-0000-000001C10000}"/>
    <cellStyle name="Vírgula 3 2 5 2 2 2" xfId="28758" xr:uid="{00000000-0005-0000-0000-000002C10000}"/>
    <cellStyle name="Vírgula 3 2 5 2 2 2 2" xfId="54939" xr:uid="{00000000-0005-0000-0000-000003C10000}"/>
    <cellStyle name="Vírgula 3 2 5 2 2 3" xfId="22844" xr:uid="{00000000-0005-0000-0000-000004C10000}"/>
    <cellStyle name="Vírgula 3 2 5 2 2 3 2" xfId="49031" xr:uid="{00000000-0005-0000-0000-000005C10000}"/>
    <cellStyle name="Vírgula 3 2 5 2 2 4" xfId="16930" xr:uid="{00000000-0005-0000-0000-000006C10000}"/>
    <cellStyle name="Vírgula 3 2 5 2 2 4 2" xfId="43123" xr:uid="{00000000-0005-0000-0000-000007C10000}"/>
    <cellStyle name="Vírgula 3 2 5 2 2 5" xfId="36737" xr:uid="{00000000-0005-0000-0000-000008C10000}"/>
    <cellStyle name="Vírgula 3 2 5 2 3" xfId="25801" xr:uid="{00000000-0005-0000-0000-000009C10000}"/>
    <cellStyle name="Vírgula 3 2 5 2 3 2" xfId="51985" xr:uid="{00000000-0005-0000-0000-00000AC10000}"/>
    <cellStyle name="Vírgula 3 2 5 2 4" xfId="19887" xr:uid="{00000000-0005-0000-0000-00000BC10000}"/>
    <cellStyle name="Vírgula 3 2 5 2 4 2" xfId="46077" xr:uid="{00000000-0005-0000-0000-00000CC10000}"/>
    <cellStyle name="Vírgula 3 2 5 2 5" xfId="13789" xr:uid="{00000000-0005-0000-0000-00000DC10000}"/>
    <cellStyle name="Vírgula 3 2 5 2 5 2" xfId="39982" xr:uid="{00000000-0005-0000-0000-00000EC10000}"/>
    <cellStyle name="Vírgula 3 2 5 2 6" xfId="33596" xr:uid="{00000000-0005-0000-0000-00000FC10000}"/>
    <cellStyle name="Vírgula 3 2 5 3" xfId="9076" xr:uid="{00000000-0005-0000-0000-000010C10000}"/>
    <cellStyle name="Vírgula 3 2 5 3 2" xfId="27290" xr:uid="{00000000-0005-0000-0000-000011C10000}"/>
    <cellStyle name="Vírgula 3 2 5 3 2 2" xfId="53471" xr:uid="{00000000-0005-0000-0000-000012C10000}"/>
    <cellStyle name="Vírgula 3 2 5 3 3" xfId="21376" xr:uid="{00000000-0005-0000-0000-000013C10000}"/>
    <cellStyle name="Vírgula 3 2 5 3 3 2" xfId="47563" xr:uid="{00000000-0005-0000-0000-000014C10000}"/>
    <cellStyle name="Vírgula 3 2 5 3 4" xfId="15462" xr:uid="{00000000-0005-0000-0000-000015C10000}"/>
    <cellStyle name="Vírgula 3 2 5 3 4 2" xfId="41655" xr:uid="{00000000-0005-0000-0000-000016C10000}"/>
    <cellStyle name="Vírgula 3 2 5 3 5" xfId="35269" xr:uid="{00000000-0005-0000-0000-000017C10000}"/>
    <cellStyle name="Vírgula 3 2 5 4" xfId="5701" xr:uid="{00000000-0005-0000-0000-000018C10000}"/>
    <cellStyle name="Vírgula 3 2 5 4 2" xfId="24333" xr:uid="{00000000-0005-0000-0000-000019C10000}"/>
    <cellStyle name="Vírgula 3 2 5 4 2 2" xfId="50517" xr:uid="{00000000-0005-0000-0000-00001AC10000}"/>
    <cellStyle name="Vírgula 3 2 5 4 3" xfId="31897" xr:uid="{00000000-0005-0000-0000-00001BC10000}"/>
    <cellStyle name="Vírgula 3 2 5 5" xfId="18419" xr:uid="{00000000-0005-0000-0000-00001CC10000}"/>
    <cellStyle name="Vírgula 3 2 5 5 2" xfId="44609" xr:uid="{00000000-0005-0000-0000-00001DC10000}"/>
    <cellStyle name="Vírgula 3 2 5 6" xfId="12088" xr:uid="{00000000-0005-0000-0000-00001EC10000}"/>
    <cellStyle name="Vírgula 3 2 5 6 2" xfId="38281" xr:uid="{00000000-0005-0000-0000-00001FC10000}"/>
    <cellStyle name="Vírgula 3 2 5 7" xfId="30199" xr:uid="{00000000-0005-0000-0000-000020C10000}"/>
    <cellStyle name="Vírgula 3 2 6" xfId="4018" xr:uid="{00000000-0005-0000-0000-000021C10000}"/>
    <cellStyle name="Vírgula 3 2 6 2" xfId="7547" xr:uid="{00000000-0005-0000-0000-000022C10000}"/>
    <cellStyle name="Vírgula 3 2 6 2 2" xfId="10691" xr:uid="{00000000-0005-0000-0000-000023C10000}"/>
    <cellStyle name="Vírgula 3 2 6 2 2 2" xfId="28905" xr:uid="{00000000-0005-0000-0000-000024C10000}"/>
    <cellStyle name="Vírgula 3 2 6 2 2 2 2" xfId="55086" xr:uid="{00000000-0005-0000-0000-000025C10000}"/>
    <cellStyle name="Vírgula 3 2 6 2 2 3" xfId="22991" xr:uid="{00000000-0005-0000-0000-000026C10000}"/>
    <cellStyle name="Vírgula 3 2 6 2 2 3 2" xfId="49178" xr:uid="{00000000-0005-0000-0000-000027C10000}"/>
    <cellStyle name="Vírgula 3 2 6 2 2 4" xfId="17077" xr:uid="{00000000-0005-0000-0000-000028C10000}"/>
    <cellStyle name="Vírgula 3 2 6 2 2 4 2" xfId="43270" xr:uid="{00000000-0005-0000-0000-000029C10000}"/>
    <cellStyle name="Vírgula 3 2 6 2 2 5" xfId="36884" xr:uid="{00000000-0005-0000-0000-00002AC10000}"/>
    <cellStyle name="Vírgula 3 2 6 2 3" xfId="25948" xr:uid="{00000000-0005-0000-0000-00002BC10000}"/>
    <cellStyle name="Vírgula 3 2 6 2 3 2" xfId="52132" xr:uid="{00000000-0005-0000-0000-00002CC10000}"/>
    <cellStyle name="Vírgula 3 2 6 2 4" xfId="20034" xr:uid="{00000000-0005-0000-0000-00002DC10000}"/>
    <cellStyle name="Vírgula 3 2 6 2 4 2" xfId="46224" xr:uid="{00000000-0005-0000-0000-00002EC10000}"/>
    <cellStyle name="Vírgula 3 2 6 2 5" xfId="13936" xr:uid="{00000000-0005-0000-0000-00002FC10000}"/>
    <cellStyle name="Vírgula 3 2 6 2 5 2" xfId="40129" xr:uid="{00000000-0005-0000-0000-000030C10000}"/>
    <cellStyle name="Vírgula 3 2 6 2 6" xfId="33743" xr:uid="{00000000-0005-0000-0000-000031C10000}"/>
    <cellStyle name="Vírgula 3 2 6 3" xfId="9223" xr:uid="{00000000-0005-0000-0000-000032C10000}"/>
    <cellStyle name="Vírgula 3 2 6 3 2" xfId="27437" xr:uid="{00000000-0005-0000-0000-000033C10000}"/>
    <cellStyle name="Vírgula 3 2 6 3 2 2" xfId="53618" xr:uid="{00000000-0005-0000-0000-000034C10000}"/>
    <cellStyle name="Vírgula 3 2 6 3 3" xfId="21523" xr:uid="{00000000-0005-0000-0000-000035C10000}"/>
    <cellStyle name="Vírgula 3 2 6 3 3 2" xfId="47710" xr:uid="{00000000-0005-0000-0000-000036C10000}"/>
    <cellStyle name="Vírgula 3 2 6 3 4" xfId="15609" xr:uid="{00000000-0005-0000-0000-000037C10000}"/>
    <cellStyle name="Vírgula 3 2 6 3 4 2" xfId="41802" xr:uid="{00000000-0005-0000-0000-000038C10000}"/>
    <cellStyle name="Vírgula 3 2 6 3 5" xfId="35416" xr:uid="{00000000-0005-0000-0000-000039C10000}"/>
    <cellStyle name="Vírgula 3 2 6 4" xfId="5848" xr:uid="{00000000-0005-0000-0000-00003AC10000}"/>
    <cellStyle name="Vírgula 3 2 6 4 2" xfId="24480" xr:uid="{00000000-0005-0000-0000-00003BC10000}"/>
    <cellStyle name="Vírgula 3 2 6 4 2 2" xfId="50664" xr:uid="{00000000-0005-0000-0000-00003CC10000}"/>
    <cellStyle name="Vírgula 3 2 6 4 3" xfId="32044" xr:uid="{00000000-0005-0000-0000-00003DC10000}"/>
    <cellStyle name="Vírgula 3 2 6 5" xfId="18566" xr:uid="{00000000-0005-0000-0000-00003EC10000}"/>
    <cellStyle name="Vírgula 3 2 6 5 2" xfId="44756" xr:uid="{00000000-0005-0000-0000-00003FC10000}"/>
    <cellStyle name="Vírgula 3 2 6 6" xfId="12235" xr:uid="{00000000-0005-0000-0000-000040C10000}"/>
    <cellStyle name="Vírgula 3 2 6 6 2" xfId="38428" xr:uid="{00000000-0005-0000-0000-000041C10000}"/>
    <cellStyle name="Vírgula 3 2 6 7" xfId="30346" xr:uid="{00000000-0005-0000-0000-000042C10000}"/>
    <cellStyle name="Vírgula 3 2 7" xfId="4213" xr:uid="{00000000-0005-0000-0000-000043C10000}"/>
    <cellStyle name="Vírgula 3 2 7 2" xfId="7613" xr:uid="{00000000-0005-0000-0000-000044C10000}"/>
    <cellStyle name="Vírgula 3 2 7 2 2" xfId="10749" xr:uid="{00000000-0005-0000-0000-000045C10000}"/>
    <cellStyle name="Vírgula 3 2 7 2 2 2" xfId="28963" xr:uid="{00000000-0005-0000-0000-000046C10000}"/>
    <cellStyle name="Vírgula 3 2 7 2 2 2 2" xfId="55144" xr:uid="{00000000-0005-0000-0000-000047C10000}"/>
    <cellStyle name="Vírgula 3 2 7 2 2 3" xfId="23049" xr:uid="{00000000-0005-0000-0000-000048C10000}"/>
    <cellStyle name="Vírgula 3 2 7 2 2 3 2" xfId="49236" xr:uid="{00000000-0005-0000-0000-000049C10000}"/>
    <cellStyle name="Vírgula 3 2 7 2 2 4" xfId="17135" xr:uid="{00000000-0005-0000-0000-00004AC10000}"/>
    <cellStyle name="Vírgula 3 2 7 2 2 4 2" xfId="43328" xr:uid="{00000000-0005-0000-0000-00004BC10000}"/>
    <cellStyle name="Vírgula 3 2 7 2 2 5" xfId="36942" xr:uid="{00000000-0005-0000-0000-00004CC10000}"/>
    <cellStyle name="Vírgula 3 2 7 2 3" xfId="26006" xr:uid="{00000000-0005-0000-0000-00004DC10000}"/>
    <cellStyle name="Vírgula 3 2 7 2 3 2" xfId="52190" xr:uid="{00000000-0005-0000-0000-00004EC10000}"/>
    <cellStyle name="Vírgula 3 2 7 2 4" xfId="20092" xr:uid="{00000000-0005-0000-0000-00004FC10000}"/>
    <cellStyle name="Vírgula 3 2 7 2 4 2" xfId="46282" xr:uid="{00000000-0005-0000-0000-000050C10000}"/>
    <cellStyle name="Vírgula 3 2 7 2 5" xfId="14002" xr:uid="{00000000-0005-0000-0000-000051C10000}"/>
    <cellStyle name="Vírgula 3 2 7 2 5 2" xfId="40195" xr:uid="{00000000-0005-0000-0000-000052C10000}"/>
    <cellStyle name="Vírgula 3 2 7 2 6" xfId="33809" xr:uid="{00000000-0005-0000-0000-000053C10000}"/>
    <cellStyle name="Vírgula 3 2 7 3" xfId="9281" xr:uid="{00000000-0005-0000-0000-000054C10000}"/>
    <cellStyle name="Vírgula 3 2 7 3 2" xfId="27495" xr:uid="{00000000-0005-0000-0000-000055C10000}"/>
    <cellStyle name="Vírgula 3 2 7 3 2 2" xfId="53676" xr:uid="{00000000-0005-0000-0000-000056C10000}"/>
    <cellStyle name="Vírgula 3 2 7 3 3" xfId="21581" xr:uid="{00000000-0005-0000-0000-000057C10000}"/>
    <cellStyle name="Vírgula 3 2 7 3 3 2" xfId="47768" xr:uid="{00000000-0005-0000-0000-000058C10000}"/>
    <cellStyle name="Vírgula 3 2 7 3 4" xfId="15667" xr:uid="{00000000-0005-0000-0000-000059C10000}"/>
    <cellStyle name="Vírgula 3 2 7 3 4 2" xfId="41860" xr:uid="{00000000-0005-0000-0000-00005AC10000}"/>
    <cellStyle name="Vírgula 3 2 7 3 5" xfId="35474" xr:uid="{00000000-0005-0000-0000-00005BC10000}"/>
    <cellStyle name="Vírgula 3 2 7 4" xfId="5913" xr:uid="{00000000-0005-0000-0000-00005CC10000}"/>
    <cellStyle name="Vírgula 3 2 7 4 2" xfId="24538" xr:uid="{00000000-0005-0000-0000-00005DC10000}"/>
    <cellStyle name="Vírgula 3 2 7 4 2 2" xfId="50722" xr:uid="{00000000-0005-0000-0000-00005EC10000}"/>
    <cellStyle name="Vírgula 3 2 7 4 3" xfId="32109" xr:uid="{00000000-0005-0000-0000-00005FC10000}"/>
    <cellStyle name="Vírgula 3 2 7 5" xfId="18624" xr:uid="{00000000-0005-0000-0000-000060C10000}"/>
    <cellStyle name="Vírgula 3 2 7 5 2" xfId="44814" xr:uid="{00000000-0005-0000-0000-000061C10000}"/>
    <cellStyle name="Vírgula 3 2 7 6" xfId="12301" xr:uid="{00000000-0005-0000-0000-000062C10000}"/>
    <cellStyle name="Vírgula 3 2 7 6 2" xfId="38494" xr:uid="{00000000-0005-0000-0000-000063C10000}"/>
    <cellStyle name="Vírgula 3 2 7 7" xfId="30413" xr:uid="{00000000-0005-0000-0000-000064C10000}"/>
    <cellStyle name="Vírgula 3 2 8" xfId="4289" xr:uid="{00000000-0005-0000-0000-000065C10000}"/>
    <cellStyle name="Vírgula 3 2 8 2" xfId="7690" xr:uid="{00000000-0005-0000-0000-000066C10000}"/>
    <cellStyle name="Vírgula 3 2 8 2 2" xfId="10792" xr:uid="{00000000-0005-0000-0000-000067C10000}"/>
    <cellStyle name="Vírgula 3 2 8 2 2 2" xfId="29006" xr:uid="{00000000-0005-0000-0000-000068C10000}"/>
    <cellStyle name="Vírgula 3 2 8 2 2 2 2" xfId="55187" xr:uid="{00000000-0005-0000-0000-000069C10000}"/>
    <cellStyle name="Vírgula 3 2 8 2 2 3" xfId="23092" xr:uid="{00000000-0005-0000-0000-00006AC10000}"/>
    <cellStyle name="Vírgula 3 2 8 2 2 3 2" xfId="49279" xr:uid="{00000000-0005-0000-0000-00006BC10000}"/>
    <cellStyle name="Vírgula 3 2 8 2 2 4" xfId="17178" xr:uid="{00000000-0005-0000-0000-00006CC10000}"/>
    <cellStyle name="Vírgula 3 2 8 2 2 4 2" xfId="43371" xr:uid="{00000000-0005-0000-0000-00006DC10000}"/>
    <cellStyle name="Vírgula 3 2 8 2 2 5" xfId="36985" xr:uid="{00000000-0005-0000-0000-00006EC10000}"/>
    <cellStyle name="Vírgula 3 2 8 2 3" xfId="26049" xr:uid="{00000000-0005-0000-0000-00006FC10000}"/>
    <cellStyle name="Vírgula 3 2 8 2 3 2" xfId="52233" xr:uid="{00000000-0005-0000-0000-000070C10000}"/>
    <cellStyle name="Vírgula 3 2 8 2 4" xfId="20135" xr:uid="{00000000-0005-0000-0000-000071C10000}"/>
    <cellStyle name="Vírgula 3 2 8 2 4 2" xfId="46325" xr:uid="{00000000-0005-0000-0000-000072C10000}"/>
    <cellStyle name="Vírgula 3 2 8 2 5" xfId="14079" xr:uid="{00000000-0005-0000-0000-000073C10000}"/>
    <cellStyle name="Vírgula 3 2 8 2 5 2" xfId="40272" xr:uid="{00000000-0005-0000-0000-000074C10000}"/>
    <cellStyle name="Vírgula 3 2 8 2 6" xfId="33886" xr:uid="{00000000-0005-0000-0000-000075C10000}"/>
    <cellStyle name="Vírgula 3 2 8 3" xfId="9324" xr:uid="{00000000-0005-0000-0000-000076C10000}"/>
    <cellStyle name="Vírgula 3 2 8 3 2" xfId="27538" xr:uid="{00000000-0005-0000-0000-000077C10000}"/>
    <cellStyle name="Vírgula 3 2 8 3 2 2" xfId="53719" xr:uid="{00000000-0005-0000-0000-000078C10000}"/>
    <cellStyle name="Vírgula 3 2 8 3 3" xfId="21624" xr:uid="{00000000-0005-0000-0000-000079C10000}"/>
    <cellStyle name="Vírgula 3 2 8 3 3 2" xfId="47811" xr:uid="{00000000-0005-0000-0000-00007AC10000}"/>
    <cellStyle name="Vírgula 3 2 8 3 4" xfId="15710" xr:uid="{00000000-0005-0000-0000-00007BC10000}"/>
    <cellStyle name="Vírgula 3 2 8 3 4 2" xfId="41903" xr:uid="{00000000-0005-0000-0000-00007CC10000}"/>
    <cellStyle name="Vírgula 3 2 8 3 5" xfId="35517" xr:uid="{00000000-0005-0000-0000-00007DC10000}"/>
    <cellStyle name="Vírgula 3 2 8 4" xfId="5990" xr:uid="{00000000-0005-0000-0000-00007EC10000}"/>
    <cellStyle name="Vírgula 3 2 8 4 2" xfId="24581" xr:uid="{00000000-0005-0000-0000-00007FC10000}"/>
    <cellStyle name="Vírgula 3 2 8 4 2 2" xfId="50765" xr:uid="{00000000-0005-0000-0000-000080C10000}"/>
    <cellStyle name="Vírgula 3 2 8 4 3" xfId="32186" xr:uid="{00000000-0005-0000-0000-000081C10000}"/>
    <cellStyle name="Vírgula 3 2 8 5" xfId="18667" xr:uid="{00000000-0005-0000-0000-000082C10000}"/>
    <cellStyle name="Vírgula 3 2 8 5 2" xfId="44857" xr:uid="{00000000-0005-0000-0000-000083C10000}"/>
    <cellStyle name="Vírgula 3 2 8 6" xfId="12378" xr:uid="{00000000-0005-0000-0000-000084C10000}"/>
    <cellStyle name="Vírgula 3 2 8 6 2" xfId="38571" xr:uid="{00000000-0005-0000-0000-000085C10000}"/>
    <cellStyle name="Vírgula 3 2 8 7" xfId="30489" xr:uid="{00000000-0005-0000-0000-000086C10000}"/>
    <cellStyle name="Vírgula 3 2 9" xfId="4397" xr:uid="{00000000-0005-0000-0000-000087C10000}"/>
    <cellStyle name="Vírgula 3 2 9 2" xfId="7799" xr:uid="{00000000-0005-0000-0000-000088C10000}"/>
    <cellStyle name="Vírgula 3 2 9 2 2" xfId="10854" xr:uid="{00000000-0005-0000-0000-000089C10000}"/>
    <cellStyle name="Vírgula 3 2 9 2 2 2" xfId="29068" xr:uid="{00000000-0005-0000-0000-00008AC10000}"/>
    <cellStyle name="Vírgula 3 2 9 2 2 2 2" xfId="55249" xr:uid="{00000000-0005-0000-0000-00008BC10000}"/>
    <cellStyle name="Vírgula 3 2 9 2 2 3" xfId="23154" xr:uid="{00000000-0005-0000-0000-00008CC10000}"/>
    <cellStyle name="Vírgula 3 2 9 2 2 3 2" xfId="49341" xr:uid="{00000000-0005-0000-0000-00008DC10000}"/>
    <cellStyle name="Vírgula 3 2 9 2 2 4" xfId="17240" xr:uid="{00000000-0005-0000-0000-00008EC10000}"/>
    <cellStyle name="Vírgula 3 2 9 2 2 4 2" xfId="43433" xr:uid="{00000000-0005-0000-0000-00008FC10000}"/>
    <cellStyle name="Vírgula 3 2 9 2 2 5" xfId="37047" xr:uid="{00000000-0005-0000-0000-000090C10000}"/>
    <cellStyle name="Vírgula 3 2 9 2 3" xfId="26111" xr:uid="{00000000-0005-0000-0000-000091C10000}"/>
    <cellStyle name="Vírgula 3 2 9 2 3 2" xfId="52295" xr:uid="{00000000-0005-0000-0000-000092C10000}"/>
    <cellStyle name="Vírgula 3 2 9 2 4" xfId="20197" xr:uid="{00000000-0005-0000-0000-000093C10000}"/>
    <cellStyle name="Vírgula 3 2 9 2 4 2" xfId="46387" xr:uid="{00000000-0005-0000-0000-000094C10000}"/>
    <cellStyle name="Vírgula 3 2 9 2 5" xfId="14188" xr:uid="{00000000-0005-0000-0000-000095C10000}"/>
    <cellStyle name="Vírgula 3 2 9 2 5 2" xfId="40381" xr:uid="{00000000-0005-0000-0000-000096C10000}"/>
    <cellStyle name="Vírgula 3 2 9 2 6" xfId="33995" xr:uid="{00000000-0005-0000-0000-000097C10000}"/>
    <cellStyle name="Vírgula 3 2 9 3" xfId="9386" xr:uid="{00000000-0005-0000-0000-000098C10000}"/>
    <cellStyle name="Vírgula 3 2 9 3 2" xfId="27600" xr:uid="{00000000-0005-0000-0000-000099C10000}"/>
    <cellStyle name="Vírgula 3 2 9 3 2 2" xfId="53781" xr:uid="{00000000-0005-0000-0000-00009AC10000}"/>
    <cellStyle name="Vírgula 3 2 9 3 3" xfId="21686" xr:uid="{00000000-0005-0000-0000-00009BC10000}"/>
    <cellStyle name="Vírgula 3 2 9 3 3 2" xfId="47873" xr:uid="{00000000-0005-0000-0000-00009CC10000}"/>
    <cellStyle name="Vírgula 3 2 9 3 4" xfId="15772" xr:uid="{00000000-0005-0000-0000-00009DC10000}"/>
    <cellStyle name="Vírgula 3 2 9 3 4 2" xfId="41965" xr:uid="{00000000-0005-0000-0000-00009EC10000}"/>
    <cellStyle name="Vírgula 3 2 9 3 5" xfId="35579" xr:uid="{00000000-0005-0000-0000-00009FC10000}"/>
    <cellStyle name="Vírgula 3 2 9 4" xfId="6099" xr:uid="{00000000-0005-0000-0000-0000A0C10000}"/>
    <cellStyle name="Vírgula 3 2 9 4 2" xfId="24643" xr:uid="{00000000-0005-0000-0000-0000A1C10000}"/>
    <cellStyle name="Vírgula 3 2 9 4 2 2" xfId="50827" xr:uid="{00000000-0005-0000-0000-0000A2C10000}"/>
    <cellStyle name="Vírgula 3 2 9 4 3" xfId="32295" xr:uid="{00000000-0005-0000-0000-0000A3C10000}"/>
    <cellStyle name="Vírgula 3 2 9 5" xfId="18729" xr:uid="{00000000-0005-0000-0000-0000A4C10000}"/>
    <cellStyle name="Vírgula 3 2 9 5 2" xfId="44919" xr:uid="{00000000-0005-0000-0000-0000A5C10000}"/>
    <cellStyle name="Vírgula 3 2 9 6" xfId="12487" xr:uid="{00000000-0005-0000-0000-0000A6C10000}"/>
    <cellStyle name="Vírgula 3 2 9 6 2" xfId="38680" xr:uid="{00000000-0005-0000-0000-0000A7C10000}"/>
    <cellStyle name="Vírgula 3 2 9 7" xfId="30597" xr:uid="{00000000-0005-0000-0000-0000A8C10000}"/>
    <cellStyle name="Vírgula 3 20" xfId="10988" xr:uid="{00000000-0005-0000-0000-0000A9C10000}"/>
    <cellStyle name="Vírgula 3 20 2" xfId="37181" xr:uid="{00000000-0005-0000-0000-0000AAC10000}"/>
    <cellStyle name="Vírgula 3 21" xfId="29237" xr:uid="{00000000-0005-0000-0000-0000ABC10000}"/>
    <cellStyle name="Vírgula 3 3" xfId="861" xr:uid="{00000000-0005-0000-0000-0000ACC10000}"/>
    <cellStyle name="Vírgula 3 3 10" xfId="8012" xr:uid="{00000000-0005-0000-0000-0000ADC10000}"/>
    <cellStyle name="Vírgula 3 3 10 2" xfId="10977" xr:uid="{00000000-0005-0000-0000-0000AEC10000}"/>
    <cellStyle name="Vírgula 3 3 10 2 2" xfId="29191" xr:uid="{00000000-0005-0000-0000-0000AFC10000}"/>
    <cellStyle name="Vírgula 3 3 10 2 2 2" xfId="55372" xr:uid="{00000000-0005-0000-0000-0000B0C10000}"/>
    <cellStyle name="Vírgula 3 3 10 2 3" xfId="23277" xr:uid="{00000000-0005-0000-0000-0000B1C10000}"/>
    <cellStyle name="Vírgula 3 3 10 2 3 2" xfId="49464" xr:uid="{00000000-0005-0000-0000-0000B2C10000}"/>
    <cellStyle name="Vírgula 3 3 10 2 4" xfId="17363" xr:uid="{00000000-0005-0000-0000-0000B3C10000}"/>
    <cellStyle name="Vírgula 3 3 10 2 4 2" xfId="43556" xr:uid="{00000000-0005-0000-0000-0000B4C10000}"/>
    <cellStyle name="Vírgula 3 3 10 2 5" xfId="37170" xr:uid="{00000000-0005-0000-0000-0000B5C10000}"/>
    <cellStyle name="Vírgula 3 3 10 3" xfId="26234" xr:uid="{00000000-0005-0000-0000-0000B6C10000}"/>
    <cellStyle name="Vírgula 3 3 10 3 2" xfId="52418" xr:uid="{00000000-0005-0000-0000-0000B7C10000}"/>
    <cellStyle name="Vírgula 3 3 10 4" xfId="20320" xr:uid="{00000000-0005-0000-0000-0000B8C10000}"/>
    <cellStyle name="Vírgula 3 3 10 4 2" xfId="46510" xr:uid="{00000000-0005-0000-0000-0000B9C10000}"/>
    <cellStyle name="Vírgula 3 3 10 5" xfId="14401" xr:uid="{00000000-0005-0000-0000-0000BAC10000}"/>
    <cellStyle name="Vírgula 3 3 10 5 2" xfId="40594" xr:uid="{00000000-0005-0000-0000-0000BBC10000}"/>
    <cellStyle name="Vírgula 3 3 10 6" xfId="34208" xr:uid="{00000000-0005-0000-0000-0000BCC10000}"/>
    <cellStyle name="Vírgula 3 3 11" xfId="8042" xr:uid="{00000000-0005-0000-0000-0000BDC10000}"/>
    <cellStyle name="Vírgula 3 3 11 2" xfId="26256" xr:uid="{00000000-0005-0000-0000-0000BEC10000}"/>
    <cellStyle name="Vírgula 3 3 11 2 2" xfId="52440" xr:uid="{00000000-0005-0000-0000-0000BFC10000}"/>
    <cellStyle name="Vírgula 3 3 11 3" xfId="20342" xr:uid="{00000000-0005-0000-0000-0000C0C10000}"/>
    <cellStyle name="Vírgula 3 3 11 3 2" xfId="46532" xr:uid="{00000000-0005-0000-0000-0000C1C10000}"/>
    <cellStyle name="Vírgula 3 3 11 4" xfId="14431" xr:uid="{00000000-0005-0000-0000-0000C2C10000}"/>
    <cellStyle name="Vírgula 3 3 11 4 2" xfId="40624" xr:uid="{00000000-0005-0000-0000-0000C3C10000}"/>
    <cellStyle name="Vírgula 3 3 11 5" xfId="34238" xr:uid="{00000000-0005-0000-0000-0000C4C10000}"/>
    <cellStyle name="Vírgula 3 3 12" xfId="4618" xr:uid="{00000000-0005-0000-0000-0000C5C10000}"/>
    <cellStyle name="Vírgula 3 3 12 2" xfId="23299" xr:uid="{00000000-0005-0000-0000-0000C6C10000}"/>
    <cellStyle name="Vírgula 3 3 12 2 2" xfId="49486" xr:uid="{00000000-0005-0000-0000-0000C7C10000}"/>
    <cellStyle name="Vírgula 3 3 12 3" xfId="30818" xr:uid="{00000000-0005-0000-0000-0000C8C10000}"/>
    <cellStyle name="Vírgula 3 3 13" xfId="17385" xr:uid="{00000000-0005-0000-0000-0000C9C10000}"/>
    <cellStyle name="Vírgula 3 3 13 2" xfId="43578" xr:uid="{00000000-0005-0000-0000-0000CAC10000}"/>
    <cellStyle name="Vírgula 3 3 14" xfId="11009" xr:uid="{00000000-0005-0000-0000-0000CBC10000}"/>
    <cellStyle name="Vírgula 3 3 14 2" xfId="37202" xr:uid="{00000000-0005-0000-0000-0000CCC10000}"/>
    <cellStyle name="Vírgula 3 3 15" xfId="29468" xr:uid="{00000000-0005-0000-0000-0000CDC10000}"/>
    <cellStyle name="Vírgula 3 3 2" xfId="4233" xr:uid="{00000000-0005-0000-0000-0000CEC10000}"/>
    <cellStyle name="Vírgula 3 3 2 10" xfId="8051" xr:uid="{00000000-0005-0000-0000-0000CFC10000}"/>
    <cellStyle name="Vírgula 3 3 2 10 2" xfId="26265" xr:uid="{00000000-0005-0000-0000-0000D0C10000}"/>
    <cellStyle name="Vírgula 3 3 2 10 2 2" xfId="52449" xr:uid="{00000000-0005-0000-0000-0000D1C10000}"/>
    <cellStyle name="Vírgula 3 3 2 10 3" xfId="20351" xr:uid="{00000000-0005-0000-0000-0000D2C10000}"/>
    <cellStyle name="Vírgula 3 3 2 10 3 2" xfId="46541" xr:uid="{00000000-0005-0000-0000-0000D3C10000}"/>
    <cellStyle name="Vírgula 3 3 2 10 4" xfId="14440" xr:uid="{00000000-0005-0000-0000-0000D4C10000}"/>
    <cellStyle name="Vírgula 3 3 2 10 4 2" xfId="40633" xr:uid="{00000000-0005-0000-0000-0000D5C10000}"/>
    <cellStyle name="Vírgula 3 3 2 10 5" xfId="34247" xr:uid="{00000000-0005-0000-0000-0000D6C10000}"/>
    <cellStyle name="Vírgula 3 3 2 11" xfId="4633" xr:uid="{00000000-0005-0000-0000-0000D7C10000}"/>
    <cellStyle name="Vírgula 3 3 2 11 2" xfId="23308" xr:uid="{00000000-0005-0000-0000-0000D8C10000}"/>
    <cellStyle name="Vírgula 3 3 2 11 2 2" xfId="49495" xr:uid="{00000000-0005-0000-0000-0000D9C10000}"/>
    <cellStyle name="Vírgula 3 3 2 11 3" xfId="30833" xr:uid="{00000000-0005-0000-0000-0000DAC10000}"/>
    <cellStyle name="Vírgula 3 3 2 12" xfId="17394" xr:uid="{00000000-0005-0000-0000-0000DBC10000}"/>
    <cellStyle name="Vírgula 3 3 2 12 2" xfId="43587" xr:uid="{00000000-0005-0000-0000-0000DCC10000}"/>
    <cellStyle name="Vírgula 3 3 2 13" xfId="11024" xr:uid="{00000000-0005-0000-0000-0000DDC10000}"/>
    <cellStyle name="Vírgula 3 3 2 13 2" xfId="37217" xr:uid="{00000000-0005-0000-0000-0000DEC10000}"/>
    <cellStyle name="Vírgula 3 3 2 14" xfId="30433" xr:uid="{00000000-0005-0000-0000-0000DFC10000}"/>
    <cellStyle name="Vírgula 3 3 2 2" xfId="4268" xr:uid="{00000000-0005-0000-0000-0000E0C10000}"/>
    <cellStyle name="Vírgula 3 3 2 2 10" xfId="11059" xr:uid="{00000000-0005-0000-0000-0000E1C10000}"/>
    <cellStyle name="Vírgula 3 3 2 2 10 2" xfId="37252" xr:uid="{00000000-0005-0000-0000-0000E2C10000}"/>
    <cellStyle name="Vírgula 3 3 2 2 11" xfId="30468" xr:uid="{00000000-0005-0000-0000-0000E3C10000}"/>
    <cellStyle name="Vírgula 3 3 2 2 2" xfId="4345" xr:uid="{00000000-0005-0000-0000-0000E4C10000}"/>
    <cellStyle name="Vírgula 3 3 2 2 2 2" xfId="7746" xr:uid="{00000000-0005-0000-0000-0000E5C10000}"/>
    <cellStyle name="Vírgula 3 3 2 2 2 2 2" xfId="10824" xr:uid="{00000000-0005-0000-0000-0000E6C10000}"/>
    <cellStyle name="Vírgula 3 3 2 2 2 2 2 2" xfId="29038" xr:uid="{00000000-0005-0000-0000-0000E7C10000}"/>
    <cellStyle name="Vírgula 3 3 2 2 2 2 2 2 2" xfId="55219" xr:uid="{00000000-0005-0000-0000-0000E8C10000}"/>
    <cellStyle name="Vírgula 3 3 2 2 2 2 2 3" xfId="23124" xr:uid="{00000000-0005-0000-0000-0000E9C10000}"/>
    <cellStyle name="Vírgula 3 3 2 2 2 2 2 3 2" xfId="49311" xr:uid="{00000000-0005-0000-0000-0000EAC10000}"/>
    <cellStyle name="Vírgula 3 3 2 2 2 2 2 4" xfId="17210" xr:uid="{00000000-0005-0000-0000-0000EBC10000}"/>
    <cellStyle name="Vírgula 3 3 2 2 2 2 2 4 2" xfId="43403" xr:uid="{00000000-0005-0000-0000-0000ECC10000}"/>
    <cellStyle name="Vírgula 3 3 2 2 2 2 2 5" xfId="37017" xr:uid="{00000000-0005-0000-0000-0000EDC10000}"/>
    <cellStyle name="Vírgula 3 3 2 2 2 2 3" xfId="26081" xr:uid="{00000000-0005-0000-0000-0000EEC10000}"/>
    <cellStyle name="Vírgula 3 3 2 2 2 2 3 2" xfId="52265" xr:uid="{00000000-0005-0000-0000-0000EFC10000}"/>
    <cellStyle name="Vírgula 3 3 2 2 2 2 4" xfId="20167" xr:uid="{00000000-0005-0000-0000-0000F0C10000}"/>
    <cellStyle name="Vírgula 3 3 2 2 2 2 4 2" xfId="46357" xr:uid="{00000000-0005-0000-0000-0000F1C10000}"/>
    <cellStyle name="Vírgula 3 3 2 2 2 2 5" xfId="14135" xr:uid="{00000000-0005-0000-0000-0000F2C10000}"/>
    <cellStyle name="Vírgula 3 3 2 2 2 2 5 2" xfId="40328" xr:uid="{00000000-0005-0000-0000-0000F3C10000}"/>
    <cellStyle name="Vírgula 3 3 2 2 2 2 6" xfId="33942" xr:uid="{00000000-0005-0000-0000-0000F4C10000}"/>
    <cellStyle name="Vírgula 3 3 2 2 2 3" xfId="9356" xr:uid="{00000000-0005-0000-0000-0000F5C10000}"/>
    <cellStyle name="Vírgula 3 3 2 2 2 3 2" xfId="27570" xr:uid="{00000000-0005-0000-0000-0000F6C10000}"/>
    <cellStyle name="Vírgula 3 3 2 2 2 3 2 2" xfId="53751" xr:uid="{00000000-0005-0000-0000-0000F7C10000}"/>
    <cellStyle name="Vírgula 3 3 2 2 2 3 3" xfId="21656" xr:uid="{00000000-0005-0000-0000-0000F8C10000}"/>
    <cellStyle name="Vírgula 3 3 2 2 2 3 3 2" xfId="47843" xr:uid="{00000000-0005-0000-0000-0000F9C10000}"/>
    <cellStyle name="Vírgula 3 3 2 2 2 3 4" xfId="15742" xr:uid="{00000000-0005-0000-0000-0000FAC10000}"/>
    <cellStyle name="Vírgula 3 3 2 2 2 3 4 2" xfId="41935" xr:uid="{00000000-0005-0000-0000-0000FBC10000}"/>
    <cellStyle name="Vírgula 3 3 2 2 2 3 5" xfId="35549" xr:uid="{00000000-0005-0000-0000-0000FCC10000}"/>
    <cellStyle name="Vírgula 3 3 2 2 2 4" xfId="6046" xr:uid="{00000000-0005-0000-0000-0000FDC10000}"/>
    <cellStyle name="Vírgula 3 3 2 2 2 4 2" xfId="24613" xr:uid="{00000000-0005-0000-0000-0000FEC10000}"/>
    <cellStyle name="Vírgula 3 3 2 2 2 4 2 2" xfId="50797" xr:uid="{00000000-0005-0000-0000-0000FFC10000}"/>
    <cellStyle name="Vírgula 3 3 2 2 2 4 3" xfId="32242" xr:uid="{00000000-0005-0000-0000-000000C20000}"/>
    <cellStyle name="Vírgula 3 3 2 2 2 5" xfId="18699" xr:uid="{00000000-0005-0000-0000-000001C20000}"/>
    <cellStyle name="Vírgula 3 3 2 2 2 5 2" xfId="44889" xr:uid="{00000000-0005-0000-0000-000002C20000}"/>
    <cellStyle name="Vírgula 3 3 2 2 2 6" xfId="12434" xr:uid="{00000000-0005-0000-0000-000003C20000}"/>
    <cellStyle name="Vírgula 3 3 2 2 2 6 2" xfId="38627" xr:uid="{00000000-0005-0000-0000-000004C20000}"/>
    <cellStyle name="Vírgula 3 3 2 2 2 7" xfId="30545" xr:uid="{00000000-0005-0000-0000-000005C20000}"/>
    <cellStyle name="Vírgula 3 3 2 2 3" xfId="4453" xr:uid="{00000000-0005-0000-0000-000006C20000}"/>
    <cellStyle name="Vírgula 3 3 2 2 3 2" xfId="7855" xr:uid="{00000000-0005-0000-0000-000007C20000}"/>
    <cellStyle name="Vírgula 3 3 2 2 3 2 2" xfId="10886" xr:uid="{00000000-0005-0000-0000-000008C20000}"/>
    <cellStyle name="Vírgula 3 3 2 2 3 2 2 2" xfId="29100" xr:uid="{00000000-0005-0000-0000-000009C20000}"/>
    <cellStyle name="Vírgula 3 3 2 2 3 2 2 2 2" xfId="55281" xr:uid="{00000000-0005-0000-0000-00000AC20000}"/>
    <cellStyle name="Vírgula 3 3 2 2 3 2 2 3" xfId="23186" xr:uid="{00000000-0005-0000-0000-00000BC20000}"/>
    <cellStyle name="Vírgula 3 3 2 2 3 2 2 3 2" xfId="49373" xr:uid="{00000000-0005-0000-0000-00000CC20000}"/>
    <cellStyle name="Vírgula 3 3 2 2 3 2 2 4" xfId="17272" xr:uid="{00000000-0005-0000-0000-00000DC20000}"/>
    <cellStyle name="Vírgula 3 3 2 2 3 2 2 4 2" xfId="43465" xr:uid="{00000000-0005-0000-0000-00000EC20000}"/>
    <cellStyle name="Vírgula 3 3 2 2 3 2 2 5" xfId="37079" xr:uid="{00000000-0005-0000-0000-00000FC20000}"/>
    <cellStyle name="Vírgula 3 3 2 2 3 2 3" xfId="26143" xr:uid="{00000000-0005-0000-0000-000010C20000}"/>
    <cellStyle name="Vírgula 3 3 2 2 3 2 3 2" xfId="52327" xr:uid="{00000000-0005-0000-0000-000011C20000}"/>
    <cellStyle name="Vírgula 3 3 2 2 3 2 4" xfId="20229" xr:uid="{00000000-0005-0000-0000-000012C20000}"/>
    <cellStyle name="Vírgula 3 3 2 2 3 2 4 2" xfId="46419" xr:uid="{00000000-0005-0000-0000-000013C20000}"/>
    <cellStyle name="Vírgula 3 3 2 2 3 2 5" xfId="14244" xr:uid="{00000000-0005-0000-0000-000014C20000}"/>
    <cellStyle name="Vírgula 3 3 2 2 3 2 5 2" xfId="40437" xr:uid="{00000000-0005-0000-0000-000015C20000}"/>
    <cellStyle name="Vírgula 3 3 2 2 3 2 6" xfId="34051" xr:uid="{00000000-0005-0000-0000-000016C20000}"/>
    <cellStyle name="Vírgula 3 3 2 2 3 3" xfId="9418" xr:uid="{00000000-0005-0000-0000-000017C20000}"/>
    <cellStyle name="Vírgula 3 3 2 2 3 3 2" xfId="27632" xr:uid="{00000000-0005-0000-0000-000018C20000}"/>
    <cellStyle name="Vírgula 3 3 2 2 3 3 2 2" xfId="53813" xr:uid="{00000000-0005-0000-0000-000019C20000}"/>
    <cellStyle name="Vírgula 3 3 2 2 3 3 3" xfId="21718" xr:uid="{00000000-0005-0000-0000-00001AC20000}"/>
    <cellStyle name="Vírgula 3 3 2 2 3 3 3 2" xfId="47905" xr:uid="{00000000-0005-0000-0000-00001BC20000}"/>
    <cellStyle name="Vírgula 3 3 2 2 3 3 4" xfId="15804" xr:uid="{00000000-0005-0000-0000-00001CC20000}"/>
    <cellStyle name="Vírgula 3 3 2 2 3 3 4 2" xfId="41997" xr:uid="{00000000-0005-0000-0000-00001DC20000}"/>
    <cellStyle name="Vírgula 3 3 2 2 3 3 5" xfId="35611" xr:uid="{00000000-0005-0000-0000-00001EC20000}"/>
    <cellStyle name="Vírgula 3 3 2 2 3 4" xfId="6155" xr:uid="{00000000-0005-0000-0000-00001FC20000}"/>
    <cellStyle name="Vírgula 3 3 2 2 3 4 2" xfId="24675" xr:uid="{00000000-0005-0000-0000-000020C20000}"/>
    <cellStyle name="Vírgula 3 3 2 2 3 4 2 2" xfId="50859" xr:uid="{00000000-0005-0000-0000-000021C20000}"/>
    <cellStyle name="Vírgula 3 3 2 2 3 4 3" xfId="32351" xr:uid="{00000000-0005-0000-0000-000022C20000}"/>
    <cellStyle name="Vírgula 3 3 2 2 3 5" xfId="18761" xr:uid="{00000000-0005-0000-0000-000023C20000}"/>
    <cellStyle name="Vírgula 3 3 2 2 3 5 2" xfId="44951" xr:uid="{00000000-0005-0000-0000-000024C20000}"/>
    <cellStyle name="Vírgula 3 3 2 2 3 6" xfId="12543" xr:uid="{00000000-0005-0000-0000-000025C20000}"/>
    <cellStyle name="Vírgula 3 3 2 2 3 6 2" xfId="38736" xr:uid="{00000000-0005-0000-0000-000026C20000}"/>
    <cellStyle name="Vírgula 3 3 2 2 3 7" xfId="30653" xr:uid="{00000000-0005-0000-0000-000027C20000}"/>
    <cellStyle name="Vírgula 3 3 2 2 4" xfId="4561" xr:uid="{00000000-0005-0000-0000-000028C20000}"/>
    <cellStyle name="Vírgula 3 3 2 2 4 2" xfId="7963" xr:uid="{00000000-0005-0000-0000-000029C20000}"/>
    <cellStyle name="Vírgula 3 3 2 2 4 2 2" xfId="10948" xr:uid="{00000000-0005-0000-0000-00002AC20000}"/>
    <cellStyle name="Vírgula 3 3 2 2 4 2 2 2" xfId="29162" xr:uid="{00000000-0005-0000-0000-00002BC20000}"/>
    <cellStyle name="Vírgula 3 3 2 2 4 2 2 2 2" xfId="55343" xr:uid="{00000000-0005-0000-0000-00002CC20000}"/>
    <cellStyle name="Vírgula 3 3 2 2 4 2 2 3" xfId="23248" xr:uid="{00000000-0005-0000-0000-00002DC20000}"/>
    <cellStyle name="Vírgula 3 3 2 2 4 2 2 3 2" xfId="49435" xr:uid="{00000000-0005-0000-0000-00002EC20000}"/>
    <cellStyle name="Vírgula 3 3 2 2 4 2 2 4" xfId="17334" xr:uid="{00000000-0005-0000-0000-00002FC20000}"/>
    <cellStyle name="Vírgula 3 3 2 2 4 2 2 4 2" xfId="43527" xr:uid="{00000000-0005-0000-0000-000030C20000}"/>
    <cellStyle name="Vírgula 3 3 2 2 4 2 2 5" xfId="37141" xr:uid="{00000000-0005-0000-0000-000031C20000}"/>
    <cellStyle name="Vírgula 3 3 2 2 4 2 3" xfId="26205" xr:uid="{00000000-0005-0000-0000-000032C20000}"/>
    <cellStyle name="Vírgula 3 3 2 2 4 2 3 2" xfId="52389" xr:uid="{00000000-0005-0000-0000-000033C20000}"/>
    <cellStyle name="Vírgula 3 3 2 2 4 2 4" xfId="20291" xr:uid="{00000000-0005-0000-0000-000034C20000}"/>
    <cellStyle name="Vírgula 3 3 2 2 4 2 4 2" xfId="46481" xr:uid="{00000000-0005-0000-0000-000035C20000}"/>
    <cellStyle name="Vírgula 3 3 2 2 4 2 5" xfId="14352" xr:uid="{00000000-0005-0000-0000-000036C20000}"/>
    <cellStyle name="Vírgula 3 3 2 2 4 2 5 2" xfId="40545" xr:uid="{00000000-0005-0000-0000-000037C20000}"/>
    <cellStyle name="Vírgula 3 3 2 2 4 2 6" xfId="34159" xr:uid="{00000000-0005-0000-0000-000038C20000}"/>
    <cellStyle name="Vírgula 3 3 2 2 4 3" xfId="9480" xr:uid="{00000000-0005-0000-0000-000039C20000}"/>
    <cellStyle name="Vírgula 3 3 2 2 4 3 2" xfId="27694" xr:uid="{00000000-0005-0000-0000-00003AC20000}"/>
    <cellStyle name="Vírgula 3 3 2 2 4 3 2 2" xfId="53875" xr:uid="{00000000-0005-0000-0000-00003BC20000}"/>
    <cellStyle name="Vírgula 3 3 2 2 4 3 3" xfId="21780" xr:uid="{00000000-0005-0000-0000-00003CC20000}"/>
    <cellStyle name="Vírgula 3 3 2 2 4 3 3 2" xfId="47967" xr:uid="{00000000-0005-0000-0000-00003DC20000}"/>
    <cellStyle name="Vírgula 3 3 2 2 4 3 4" xfId="15866" xr:uid="{00000000-0005-0000-0000-00003EC20000}"/>
    <cellStyle name="Vírgula 3 3 2 2 4 3 4 2" xfId="42059" xr:uid="{00000000-0005-0000-0000-00003FC20000}"/>
    <cellStyle name="Vírgula 3 3 2 2 4 3 5" xfId="35673" xr:uid="{00000000-0005-0000-0000-000040C20000}"/>
    <cellStyle name="Vírgula 3 3 2 2 4 4" xfId="6262" xr:uid="{00000000-0005-0000-0000-000041C20000}"/>
    <cellStyle name="Vírgula 3 3 2 2 4 4 2" xfId="24737" xr:uid="{00000000-0005-0000-0000-000042C20000}"/>
    <cellStyle name="Vírgula 3 3 2 2 4 4 2 2" xfId="50921" xr:uid="{00000000-0005-0000-0000-000043C20000}"/>
    <cellStyle name="Vírgula 3 3 2 2 4 4 3" xfId="32458" xr:uid="{00000000-0005-0000-0000-000044C20000}"/>
    <cellStyle name="Vírgula 3 3 2 2 4 5" xfId="18823" xr:uid="{00000000-0005-0000-0000-000045C20000}"/>
    <cellStyle name="Vírgula 3 3 2 2 4 5 2" xfId="45013" xr:uid="{00000000-0005-0000-0000-000046C20000}"/>
    <cellStyle name="Vírgula 3 3 2 2 4 6" xfId="12651" xr:uid="{00000000-0005-0000-0000-000047C20000}"/>
    <cellStyle name="Vírgula 3 3 2 2 4 6 2" xfId="38844" xr:uid="{00000000-0005-0000-0000-000048C20000}"/>
    <cellStyle name="Vírgula 3 3 2 2 4 7" xfId="30761" xr:uid="{00000000-0005-0000-0000-000049C20000}"/>
    <cellStyle name="Vírgula 3 3 2 2 5" xfId="5969" xr:uid="{00000000-0005-0000-0000-00004AC20000}"/>
    <cellStyle name="Vírgula 3 3 2 2 5 2" xfId="7669" xr:uid="{00000000-0005-0000-0000-00004BC20000}"/>
    <cellStyle name="Vírgula 3 3 2 2 5 2 2" xfId="10781" xr:uid="{00000000-0005-0000-0000-00004CC20000}"/>
    <cellStyle name="Vírgula 3 3 2 2 5 2 2 2" xfId="28995" xr:uid="{00000000-0005-0000-0000-00004DC20000}"/>
    <cellStyle name="Vírgula 3 3 2 2 5 2 2 2 2" xfId="55176" xr:uid="{00000000-0005-0000-0000-00004EC20000}"/>
    <cellStyle name="Vírgula 3 3 2 2 5 2 2 3" xfId="23081" xr:uid="{00000000-0005-0000-0000-00004FC20000}"/>
    <cellStyle name="Vírgula 3 3 2 2 5 2 2 3 2" xfId="49268" xr:uid="{00000000-0005-0000-0000-000050C20000}"/>
    <cellStyle name="Vírgula 3 3 2 2 5 2 2 4" xfId="17167" xr:uid="{00000000-0005-0000-0000-000051C20000}"/>
    <cellStyle name="Vírgula 3 3 2 2 5 2 2 4 2" xfId="43360" xr:uid="{00000000-0005-0000-0000-000052C20000}"/>
    <cellStyle name="Vírgula 3 3 2 2 5 2 2 5" xfId="36974" xr:uid="{00000000-0005-0000-0000-000053C20000}"/>
    <cellStyle name="Vírgula 3 3 2 2 5 2 3" xfId="26038" xr:uid="{00000000-0005-0000-0000-000054C20000}"/>
    <cellStyle name="Vírgula 3 3 2 2 5 2 3 2" xfId="52222" xr:uid="{00000000-0005-0000-0000-000055C20000}"/>
    <cellStyle name="Vírgula 3 3 2 2 5 2 4" xfId="20124" xr:uid="{00000000-0005-0000-0000-000056C20000}"/>
    <cellStyle name="Vírgula 3 3 2 2 5 2 4 2" xfId="46314" xr:uid="{00000000-0005-0000-0000-000057C20000}"/>
    <cellStyle name="Vírgula 3 3 2 2 5 2 5" xfId="14058" xr:uid="{00000000-0005-0000-0000-000058C20000}"/>
    <cellStyle name="Vírgula 3 3 2 2 5 2 5 2" xfId="40251" xr:uid="{00000000-0005-0000-0000-000059C20000}"/>
    <cellStyle name="Vírgula 3 3 2 2 5 2 6" xfId="33865" xr:uid="{00000000-0005-0000-0000-00005AC20000}"/>
    <cellStyle name="Vírgula 3 3 2 2 5 3" xfId="9313" xr:uid="{00000000-0005-0000-0000-00005BC20000}"/>
    <cellStyle name="Vírgula 3 3 2 2 5 3 2" xfId="27527" xr:uid="{00000000-0005-0000-0000-00005CC20000}"/>
    <cellStyle name="Vírgula 3 3 2 2 5 3 2 2" xfId="53708" xr:uid="{00000000-0005-0000-0000-00005DC20000}"/>
    <cellStyle name="Vírgula 3 3 2 2 5 3 3" xfId="21613" xr:uid="{00000000-0005-0000-0000-00005EC20000}"/>
    <cellStyle name="Vírgula 3 3 2 2 5 3 3 2" xfId="47800" xr:uid="{00000000-0005-0000-0000-00005FC20000}"/>
    <cellStyle name="Vírgula 3 3 2 2 5 3 4" xfId="15699" xr:uid="{00000000-0005-0000-0000-000060C20000}"/>
    <cellStyle name="Vírgula 3 3 2 2 5 3 4 2" xfId="41892" xr:uid="{00000000-0005-0000-0000-000061C20000}"/>
    <cellStyle name="Vírgula 3 3 2 2 5 3 5" xfId="35506" xr:uid="{00000000-0005-0000-0000-000062C20000}"/>
    <cellStyle name="Vírgula 3 3 2 2 5 4" xfId="24570" xr:uid="{00000000-0005-0000-0000-000063C20000}"/>
    <cellStyle name="Vírgula 3 3 2 2 5 4 2" xfId="50754" xr:uid="{00000000-0005-0000-0000-000064C20000}"/>
    <cellStyle name="Vírgula 3 3 2 2 5 5" xfId="18656" xr:uid="{00000000-0005-0000-0000-000065C20000}"/>
    <cellStyle name="Vírgula 3 3 2 2 5 5 2" xfId="44846" xr:uid="{00000000-0005-0000-0000-000066C20000}"/>
    <cellStyle name="Vírgula 3 3 2 2 5 6" xfId="12357" xr:uid="{00000000-0005-0000-0000-000067C20000}"/>
    <cellStyle name="Vírgula 3 3 2 2 5 6 2" xfId="38550" xr:uid="{00000000-0005-0000-0000-000068C20000}"/>
    <cellStyle name="Vírgula 3 3 2 2 5 7" xfId="32165" xr:uid="{00000000-0005-0000-0000-000069C20000}"/>
    <cellStyle name="Vírgula 3 3 2 2 6" xfId="6371" xr:uid="{00000000-0005-0000-0000-00006AC20000}"/>
    <cellStyle name="Vírgula 3 3 2 2 6 2" xfId="9542" xr:uid="{00000000-0005-0000-0000-00006BC20000}"/>
    <cellStyle name="Vírgula 3 3 2 2 6 2 2" xfId="27756" xr:uid="{00000000-0005-0000-0000-00006CC20000}"/>
    <cellStyle name="Vírgula 3 3 2 2 6 2 2 2" xfId="53937" xr:uid="{00000000-0005-0000-0000-00006DC20000}"/>
    <cellStyle name="Vírgula 3 3 2 2 6 2 3" xfId="21842" xr:uid="{00000000-0005-0000-0000-00006EC20000}"/>
    <cellStyle name="Vírgula 3 3 2 2 6 2 3 2" xfId="48029" xr:uid="{00000000-0005-0000-0000-00006FC20000}"/>
    <cellStyle name="Vírgula 3 3 2 2 6 2 4" xfId="15928" xr:uid="{00000000-0005-0000-0000-000070C20000}"/>
    <cellStyle name="Vírgula 3 3 2 2 6 2 4 2" xfId="42121" xr:uid="{00000000-0005-0000-0000-000071C20000}"/>
    <cellStyle name="Vírgula 3 3 2 2 6 2 5" xfId="35735" xr:uid="{00000000-0005-0000-0000-000072C20000}"/>
    <cellStyle name="Vírgula 3 3 2 2 6 3" xfId="24799" xr:uid="{00000000-0005-0000-0000-000073C20000}"/>
    <cellStyle name="Vírgula 3 3 2 2 6 3 2" xfId="50983" xr:uid="{00000000-0005-0000-0000-000074C20000}"/>
    <cellStyle name="Vírgula 3 3 2 2 6 4" xfId="18885" xr:uid="{00000000-0005-0000-0000-000075C20000}"/>
    <cellStyle name="Vírgula 3 3 2 2 6 4 2" xfId="45075" xr:uid="{00000000-0005-0000-0000-000076C20000}"/>
    <cellStyle name="Vírgula 3 3 2 2 6 5" xfId="12760" xr:uid="{00000000-0005-0000-0000-000077C20000}"/>
    <cellStyle name="Vírgula 3 3 2 2 6 5 2" xfId="38953" xr:uid="{00000000-0005-0000-0000-000078C20000}"/>
    <cellStyle name="Vírgula 3 3 2 2 6 6" xfId="32567" xr:uid="{00000000-0005-0000-0000-000079C20000}"/>
    <cellStyle name="Vírgula 3 3 2 2 7" xfId="8071" xr:uid="{00000000-0005-0000-0000-00007AC20000}"/>
    <cellStyle name="Vírgula 3 3 2 2 7 2" xfId="26285" xr:uid="{00000000-0005-0000-0000-00007BC20000}"/>
    <cellStyle name="Vírgula 3 3 2 2 7 2 2" xfId="52469" xr:uid="{00000000-0005-0000-0000-00007CC20000}"/>
    <cellStyle name="Vírgula 3 3 2 2 7 3" xfId="20371" xr:uid="{00000000-0005-0000-0000-00007DC20000}"/>
    <cellStyle name="Vírgula 3 3 2 2 7 3 2" xfId="46561" xr:uid="{00000000-0005-0000-0000-00007EC20000}"/>
    <cellStyle name="Vírgula 3 3 2 2 7 4" xfId="14460" xr:uid="{00000000-0005-0000-0000-00007FC20000}"/>
    <cellStyle name="Vírgula 3 3 2 2 7 4 2" xfId="40653" xr:uid="{00000000-0005-0000-0000-000080C20000}"/>
    <cellStyle name="Vírgula 3 3 2 2 7 5" xfId="34267" xr:uid="{00000000-0005-0000-0000-000081C20000}"/>
    <cellStyle name="Vírgula 3 3 2 2 8" xfId="4668" xr:uid="{00000000-0005-0000-0000-000082C20000}"/>
    <cellStyle name="Vírgula 3 3 2 2 8 2" xfId="23328" xr:uid="{00000000-0005-0000-0000-000083C20000}"/>
    <cellStyle name="Vírgula 3 3 2 2 8 2 2" xfId="49515" xr:uid="{00000000-0005-0000-0000-000084C20000}"/>
    <cellStyle name="Vírgula 3 3 2 2 8 3" xfId="30868" xr:uid="{00000000-0005-0000-0000-000085C20000}"/>
    <cellStyle name="Vírgula 3 3 2 2 9" xfId="17414" xr:uid="{00000000-0005-0000-0000-000086C20000}"/>
    <cellStyle name="Vírgula 3 3 2 2 9 2" xfId="43607" xr:uid="{00000000-0005-0000-0000-000087C20000}"/>
    <cellStyle name="Vírgula 3 3 2 3" xfId="4377" xr:uid="{00000000-0005-0000-0000-000088C20000}"/>
    <cellStyle name="Vírgula 3 3 2 3 10" xfId="30577" xr:uid="{00000000-0005-0000-0000-000089C20000}"/>
    <cellStyle name="Vírgula 3 3 2 3 2" xfId="4485" xr:uid="{00000000-0005-0000-0000-00008AC20000}"/>
    <cellStyle name="Vírgula 3 3 2 3 2 2" xfId="7887" xr:uid="{00000000-0005-0000-0000-00008BC20000}"/>
    <cellStyle name="Vírgula 3 3 2 3 2 2 2" xfId="10905" xr:uid="{00000000-0005-0000-0000-00008CC20000}"/>
    <cellStyle name="Vírgula 3 3 2 3 2 2 2 2" xfId="29119" xr:uid="{00000000-0005-0000-0000-00008DC20000}"/>
    <cellStyle name="Vírgula 3 3 2 3 2 2 2 2 2" xfId="55300" xr:uid="{00000000-0005-0000-0000-00008EC20000}"/>
    <cellStyle name="Vírgula 3 3 2 3 2 2 2 3" xfId="23205" xr:uid="{00000000-0005-0000-0000-00008FC20000}"/>
    <cellStyle name="Vírgula 3 3 2 3 2 2 2 3 2" xfId="49392" xr:uid="{00000000-0005-0000-0000-000090C20000}"/>
    <cellStyle name="Vírgula 3 3 2 3 2 2 2 4" xfId="17291" xr:uid="{00000000-0005-0000-0000-000091C20000}"/>
    <cellStyle name="Vírgula 3 3 2 3 2 2 2 4 2" xfId="43484" xr:uid="{00000000-0005-0000-0000-000092C20000}"/>
    <cellStyle name="Vírgula 3 3 2 3 2 2 2 5" xfId="37098" xr:uid="{00000000-0005-0000-0000-000093C20000}"/>
    <cellStyle name="Vírgula 3 3 2 3 2 2 3" xfId="26162" xr:uid="{00000000-0005-0000-0000-000094C20000}"/>
    <cellStyle name="Vírgula 3 3 2 3 2 2 3 2" xfId="52346" xr:uid="{00000000-0005-0000-0000-000095C20000}"/>
    <cellStyle name="Vírgula 3 3 2 3 2 2 4" xfId="20248" xr:uid="{00000000-0005-0000-0000-000096C20000}"/>
    <cellStyle name="Vírgula 3 3 2 3 2 2 4 2" xfId="46438" xr:uid="{00000000-0005-0000-0000-000097C20000}"/>
    <cellStyle name="Vírgula 3 3 2 3 2 2 5" xfId="14276" xr:uid="{00000000-0005-0000-0000-000098C20000}"/>
    <cellStyle name="Vírgula 3 3 2 3 2 2 5 2" xfId="40469" xr:uid="{00000000-0005-0000-0000-000099C20000}"/>
    <cellStyle name="Vírgula 3 3 2 3 2 2 6" xfId="34083" xr:uid="{00000000-0005-0000-0000-00009AC20000}"/>
    <cellStyle name="Vírgula 3 3 2 3 2 3" xfId="9437" xr:uid="{00000000-0005-0000-0000-00009BC20000}"/>
    <cellStyle name="Vírgula 3 3 2 3 2 3 2" xfId="27651" xr:uid="{00000000-0005-0000-0000-00009CC20000}"/>
    <cellStyle name="Vírgula 3 3 2 3 2 3 2 2" xfId="53832" xr:uid="{00000000-0005-0000-0000-00009DC20000}"/>
    <cellStyle name="Vírgula 3 3 2 3 2 3 3" xfId="21737" xr:uid="{00000000-0005-0000-0000-00009EC20000}"/>
    <cellStyle name="Vírgula 3 3 2 3 2 3 3 2" xfId="47924" xr:uid="{00000000-0005-0000-0000-00009FC20000}"/>
    <cellStyle name="Vírgula 3 3 2 3 2 3 4" xfId="15823" xr:uid="{00000000-0005-0000-0000-0000A0C20000}"/>
    <cellStyle name="Vírgula 3 3 2 3 2 3 4 2" xfId="42016" xr:uid="{00000000-0005-0000-0000-0000A1C20000}"/>
    <cellStyle name="Vírgula 3 3 2 3 2 3 5" xfId="35630" xr:uid="{00000000-0005-0000-0000-0000A2C20000}"/>
    <cellStyle name="Vírgula 3 3 2 3 2 4" xfId="6186" xr:uid="{00000000-0005-0000-0000-0000A3C20000}"/>
    <cellStyle name="Vírgula 3 3 2 3 2 4 2" xfId="24694" xr:uid="{00000000-0005-0000-0000-0000A4C20000}"/>
    <cellStyle name="Vírgula 3 3 2 3 2 4 2 2" xfId="50878" xr:uid="{00000000-0005-0000-0000-0000A5C20000}"/>
    <cellStyle name="Vírgula 3 3 2 3 2 4 3" xfId="32382" xr:uid="{00000000-0005-0000-0000-0000A6C20000}"/>
    <cellStyle name="Vírgula 3 3 2 3 2 5" xfId="18780" xr:uid="{00000000-0005-0000-0000-0000A7C20000}"/>
    <cellStyle name="Vírgula 3 3 2 3 2 5 2" xfId="44970" xr:uid="{00000000-0005-0000-0000-0000A8C20000}"/>
    <cellStyle name="Vírgula 3 3 2 3 2 6" xfId="12575" xr:uid="{00000000-0005-0000-0000-0000A9C20000}"/>
    <cellStyle name="Vírgula 3 3 2 3 2 6 2" xfId="38768" xr:uid="{00000000-0005-0000-0000-0000AAC20000}"/>
    <cellStyle name="Vírgula 3 3 2 3 2 7" xfId="30685" xr:uid="{00000000-0005-0000-0000-0000ABC20000}"/>
    <cellStyle name="Vírgula 3 3 2 3 3" xfId="4593" xr:uid="{00000000-0005-0000-0000-0000ACC20000}"/>
    <cellStyle name="Vírgula 3 3 2 3 3 2" xfId="7996" xr:uid="{00000000-0005-0000-0000-0000ADC20000}"/>
    <cellStyle name="Vírgula 3 3 2 3 3 2 2" xfId="10967" xr:uid="{00000000-0005-0000-0000-0000AEC20000}"/>
    <cellStyle name="Vírgula 3 3 2 3 3 2 2 2" xfId="29181" xr:uid="{00000000-0005-0000-0000-0000AFC20000}"/>
    <cellStyle name="Vírgula 3 3 2 3 3 2 2 2 2" xfId="55362" xr:uid="{00000000-0005-0000-0000-0000B0C20000}"/>
    <cellStyle name="Vírgula 3 3 2 3 3 2 2 3" xfId="23267" xr:uid="{00000000-0005-0000-0000-0000B1C20000}"/>
    <cellStyle name="Vírgula 3 3 2 3 3 2 2 3 2" xfId="49454" xr:uid="{00000000-0005-0000-0000-0000B2C20000}"/>
    <cellStyle name="Vírgula 3 3 2 3 3 2 2 4" xfId="17353" xr:uid="{00000000-0005-0000-0000-0000B3C20000}"/>
    <cellStyle name="Vírgula 3 3 2 3 3 2 2 4 2" xfId="43546" xr:uid="{00000000-0005-0000-0000-0000B4C20000}"/>
    <cellStyle name="Vírgula 3 3 2 3 3 2 2 5" xfId="37160" xr:uid="{00000000-0005-0000-0000-0000B5C20000}"/>
    <cellStyle name="Vírgula 3 3 2 3 3 2 3" xfId="26224" xr:uid="{00000000-0005-0000-0000-0000B6C20000}"/>
    <cellStyle name="Vírgula 3 3 2 3 3 2 3 2" xfId="52408" xr:uid="{00000000-0005-0000-0000-0000B7C20000}"/>
    <cellStyle name="Vírgula 3 3 2 3 3 2 4" xfId="20310" xr:uid="{00000000-0005-0000-0000-0000B8C20000}"/>
    <cellStyle name="Vírgula 3 3 2 3 3 2 4 2" xfId="46500" xr:uid="{00000000-0005-0000-0000-0000B9C20000}"/>
    <cellStyle name="Vírgula 3 3 2 3 3 2 5" xfId="14385" xr:uid="{00000000-0005-0000-0000-0000BAC20000}"/>
    <cellStyle name="Vírgula 3 3 2 3 3 2 5 2" xfId="40578" xr:uid="{00000000-0005-0000-0000-0000BBC20000}"/>
    <cellStyle name="Vírgula 3 3 2 3 3 2 6" xfId="34192" xr:uid="{00000000-0005-0000-0000-0000BCC20000}"/>
    <cellStyle name="Vírgula 3 3 2 3 3 3" xfId="9499" xr:uid="{00000000-0005-0000-0000-0000BDC20000}"/>
    <cellStyle name="Vírgula 3 3 2 3 3 3 2" xfId="27713" xr:uid="{00000000-0005-0000-0000-0000BEC20000}"/>
    <cellStyle name="Vírgula 3 3 2 3 3 3 2 2" xfId="53894" xr:uid="{00000000-0005-0000-0000-0000BFC20000}"/>
    <cellStyle name="Vírgula 3 3 2 3 3 3 3" xfId="21799" xr:uid="{00000000-0005-0000-0000-0000C0C20000}"/>
    <cellStyle name="Vírgula 3 3 2 3 3 3 3 2" xfId="47986" xr:uid="{00000000-0005-0000-0000-0000C1C20000}"/>
    <cellStyle name="Vírgula 3 3 2 3 3 3 4" xfId="15885" xr:uid="{00000000-0005-0000-0000-0000C2C20000}"/>
    <cellStyle name="Vírgula 3 3 2 3 3 3 4 2" xfId="42078" xr:uid="{00000000-0005-0000-0000-0000C3C20000}"/>
    <cellStyle name="Vírgula 3 3 2 3 3 3 5" xfId="35692" xr:uid="{00000000-0005-0000-0000-0000C4C20000}"/>
    <cellStyle name="Vírgula 3 3 2 3 3 4" xfId="6295" xr:uid="{00000000-0005-0000-0000-0000C5C20000}"/>
    <cellStyle name="Vírgula 3 3 2 3 3 4 2" xfId="24756" xr:uid="{00000000-0005-0000-0000-0000C6C20000}"/>
    <cellStyle name="Vírgula 3 3 2 3 3 4 2 2" xfId="50940" xr:uid="{00000000-0005-0000-0000-0000C7C20000}"/>
    <cellStyle name="Vírgula 3 3 2 3 3 4 3" xfId="32491" xr:uid="{00000000-0005-0000-0000-0000C8C20000}"/>
    <cellStyle name="Vírgula 3 3 2 3 3 5" xfId="18842" xr:uid="{00000000-0005-0000-0000-0000C9C20000}"/>
    <cellStyle name="Vírgula 3 3 2 3 3 5 2" xfId="45032" xr:uid="{00000000-0005-0000-0000-0000CAC20000}"/>
    <cellStyle name="Vírgula 3 3 2 3 3 6" xfId="12684" xr:uid="{00000000-0005-0000-0000-0000CBC20000}"/>
    <cellStyle name="Vírgula 3 3 2 3 3 6 2" xfId="38877" xr:uid="{00000000-0005-0000-0000-0000CCC20000}"/>
    <cellStyle name="Vírgula 3 3 2 3 3 7" xfId="30793" xr:uid="{00000000-0005-0000-0000-0000CDC20000}"/>
    <cellStyle name="Vírgula 3 3 2 3 4" xfId="6079" xr:uid="{00000000-0005-0000-0000-0000CEC20000}"/>
    <cellStyle name="Vírgula 3 3 2 3 4 2" xfId="7779" xr:uid="{00000000-0005-0000-0000-0000CFC20000}"/>
    <cellStyle name="Vírgula 3 3 2 3 4 2 2" xfId="10843" xr:uid="{00000000-0005-0000-0000-0000D0C20000}"/>
    <cellStyle name="Vírgula 3 3 2 3 4 2 2 2" xfId="29057" xr:uid="{00000000-0005-0000-0000-0000D1C20000}"/>
    <cellStyle name="Vírgula 3 3 2 3 4 2 2 2 2" xfId="55238" xr:uid="{00000000-0005-0000-0000-0000D2C20000}"/>
    <cellStyle name="Vírgula 3 3 2 3 4 2 2 3" xfId="23143" xr:uid="{00000000-0005-0000-0000-0000D3C20000}"/>
    <cellStyle name="Vírgula 3 3 2 3 4 2 2 3 2" xfId="49330" xr:uid="{00000000-0005-0000-0000-0000D4C20000}"/>
    <cellStyle name="Vírgula 3 3 2 3 4 2 2 4" xfId="17229" xr:uid="{00000000-0005-0000-0000-0000D5C20000}"/>
    <cellStyle name="Vírgula 3 3 2 3 4 2 2 4 2" xfId="43422" xr:uid="{00000000-0005-0000-0000-0000D6C20000}"/>
    <cellStyle name="Vírgula 3 3 2 3 4 2 2 5" xfId="37036" xr:uid="{00000000-0005-0000-0000-0000D7C20000}"/>
    <cellStyle name="Vírgula 3 3 2 3 4 2 3" xfId="26100" xr:uid="{00000000-0005-0000-0000-0000D8C20000}"/>
    <cellStyle name="Vírgula 3 3 2 3 4 2 3 2" xfId="52284" xr:uid="{00000000-0005-0000-0000-0000D9C20000}"/>
    <cellStyle name="Vírgula 3 3 2 3 4 2 4" xfId="20186" xr:uid="{00000000-0005-0000-0000-0000DAC20000}"/>
    <cellStyle name="Vírgula 3 3 2 3 4 2 4 2" xfId="46376" xr:uid="{00000000-0005-0000-0000-0000DBC20000}"/>
    <cellStyle name="Vírgula 3 3 2 3 4 2 5" xfId="14168" xr:uid="{00000000-0005-0000-0000-0000DCC20000}"/>
    <cellStyle name="Vírgula 3 3 2 3 4 2 5 2" xfId="40361" xr:uid="{00000000-0005-0000-0000-0000DDC20000}"/>
    <cellStyle name="Vírgula 3 3 2 3 4 2 6" xfId="33975" xr:uid="{00000000-0005-0000-0000-0000DEC20000}"/>
    <cellStyle name="Vírgula 3 3 2 3 4 3" xfId="9375" xr:uid="{00000000-0005-0000-0000-0000DFC20000}"/>
    <cellStyle name="Vírgula 3 3 2 3 4 3 2" xfId="27589" xr:uid="{00000000-0005-0000-0000-0000E0C20000}"/>
    <cellStyle name="Vírgula 3 3 2 3 4 3 2 2" xfId="53770" xr:uid="{00000000-0005-0000-0000-0000E1C20000}"/>
    <cellStyle name="Vírgula 3 3 2 3 4 3 3" xfId="21675" xr:uid="{00000000-0005-0000-0000-0000E2C20000}"/>
    <cellStyle name="Vírgula 3 3 2 3 4 3 3 2" xfId="47862" xr:uid="{00000000-0005-0000-0000-0000E3C20000}"/>
    <cellStyle name="Vírgula 3 3 2 3 4 3 4" xfId="15761" xr:uid="{00000000-0005-0000-0000-0000E4C20000}"/>
    <cellStyle name="Vírgula 3 3 2 3 4 3 4 2" xfId="41954" xr:uid="{00000000-0005-0000-0000-0000E5C20000}"/>
    <cellStyle name="Vírgula 3 3 2 3 4 3 5" xfId="35568" xr:uid="{00000000-0005-0000-0000-0000E6C20000}"/>
    <cellStyle name="Vírgula 3 3 2 3 4 4" xfId="24632" xr:uid="{00000000-0005-0000-0000-0000E7C20000}"/>
    <cellStyle name="Vírgula 3 3 2 3 4 4 2" xfId="50816" xr:uid="{00000000-0005-0000-0000-0000E8C20000}"/>
    <cellStyle name="Vírgula 3 3 2 3 4 5" xfId="18718" xr:uid="{00000000-0005-0000-0000-0000E9C20000}"/>
    <cellStyle name="Vírgula 3 3 2 3 4 5 2" xfId="44908" xr:uid="{00000000-0005-0000-0000-0000EAC20000}"/>
    <cellStyle name="Vírgula 3 3 2 3 4 6" xfId="12467" xr:uid="{00000000-0005-0000-0000-0000EBC20000}"/>
    <cellStyle name="Vírgula 3 3 2 3 4 6 2" xfId="38660" xr:uid="{00000000-0005-0000-0000-0000ECC20000}"/>
    <cellStyle name="Vírgula 3 3 2 3 4 7" xfId="32275" xr:uid="{00000000-0005-0000-0000-0000EDC20000}"/>
    <cellStyle name="Vírgula 3 3 2 3 5" xfId="6404" xr:uid="{00000000-0005-0000-0000-0000EEC20000}"/>
    <cellStyle name="Vírgula 3 3 2 3 5 2" xfId="9561" xr:uid="{00000000-0005-0000-0000-0000EFC20000}"/>
    <cellStyle name="Vírgula 3 3 2 3 5 2 2" xfId="27775" xr:uid="{00000000-0005-0000-0000-0000F0C20000}"/>
    <cellStyle name="Vírgula 3 3 2 3 5 2 2 2" xfId="53956" xr:uid="{00000000-0005-0000-0000-0000F1C20000}"/>
    <cellStyle name="Vírgula 3 3 2 3 5 2 3" xfId="21861" xr:uid="{00000000-0005-0000-0000-0000F2C20000}"/>
    <cellStyle name="Vírgula 3 3 2 3 5 2 3 2" xfId="48048" xr:uid="{00000000-0005-0000-0000-0000F3C20000}"/>
    <cellStyle name="Vírgula 3 3 2 3 5 2 4" xfId="15947" xr:uid="{00000000-0005-0000-0000-0000F4C20000}"/>
    <cellStyle name="Vírgula 3 3 2 3 5 2 4 2" xfId="42140" xr:uid="{00000000-0005-0000-0000-0000F5C20000}"/>
    <cellStyle name="Vírgula 3 3 2 3 5 2 5" xfId="35754" xr:uid="{00000000-0005-0000-0000-0000F6C20000}"/>
    <cellStyle name="Vírgula 3 3 2 3 5 3" xfId="24818" xr:uid="{00000000-0005-0000-0000-0000F7C20000}"/>
    <cellStyle name="Vírgula 3 3 2 3 5 3 2" xfId="51002" xr:uid="{00000000-0005-0000-0000-0000F8C20000}"/>
    <cellStyle name="Vírgula 3 3 2 3 5 4" xfId="18904" xr:uid="{00000000-0005-0000-0000-0000F9C20000}"/>
    <cellStyle name="Vírgula 3 3 2 3 5 4 2" xfId="45094" xr:uid="{00000000-0005-0000-0000-0000FAC20000}"/>
    <cellStyle name="Vírgula 3 3 2 3 5 5" xfId="12793" xr:uid="{00000000-0005-0000-0000-0000FBC20000}"/>
    <cellStyle name="Vírgula 3 3 2 3 5 5 2" xfId="38986" xr:uid="{00000000-0005-0000-0000-0000FCC20000}"/>
    <cellStyle name="Vírgula 3 3 2 3 5 6" xfId="32600" xr:uid="{00000000-0005-0000-0000-0000FDC20000}"/>
    <cellStyle name="Vírgula 3 3 2 3 6" xfId="8090" xr:uid="{00000000-0005-0000-0000-0000FEC20000}"/>
    <cellStyle name="Vírgula 3 3 2 3 6 2" xfId="26304" xr:uid="{00000000-0005-0000-0000-0000FFC20000}"/>
    <cellStyle name="Vírgula 3 3 2 3 6 2 2" xfId="52488" xr:uid="{00000000-0005-0000-0000-000000C30000}"/>
    <cellStyle name="Vírgula 3 3 2 3 6 3" xfId="20390" xr:uid="{00000000-0005-0000-0000-000001C30000}"/>
    <cellStyle name="Vírgula 3 3 2 3 6 3 2" xfId="46580" xr:uid="{00000000-0005-0000-0000-000002C30000}"/>
    <cellStyle name="Vírgula 3 3 2 3 6 4" xfId="14479" xr:uid="{00000000-0005-0000-0000-000003C30000}"/>
    <cellStyle name="Vírgula 3 3 2 3 6 4 2" xfId="40672" xr:uid="{00000000-0005-0000-0000-000004C30000}"/>
    <cellStyle name="Vírgula 3 3 2 3 6 5" xfId="34286" xr:uid="{00000000-0005-0000-0000-000005C30000}"/>
    <cellStyle name="Vírgula 3 3 2 3 7" xfId="4701" xr:uid="{00000000-0005-0000-0000-000006C30000}"/>
    <cellStyle name="Vírgula 3 3 2 3 7 2" xfId="23347" xr:uid="{00000000-0005-0000-0000-000007C30000}"/>
    <cellStyle name="Vírgula 3 3 2 3 7 2 2" xfId="49534" xr:uid="{00000000-0005-0000-0000-000008C30000}"/>
    <cellStyle name="Vírgula 3 3 2 3 7 3" xfId="30901" xr:uid="{00000000-0005-0000-0000-000009C30000}"/>
    <cellStyle name="Vírgula 3 3 2 3 8" xfId="17433" xr:uid="{00000000-0005-0000-0000-00000AC30000}"/>
    <cellStyle name="Vírgula 3 3 2 3 8 2" xfId="43626" xr:uid="{00000000-0005-0000-0000-00000BC30000}"/>
    <cellStyle name="Vírgula 3 3 2 3 9" xfId="11092" xr:uid="{00000000-0005-0000-0000-00000CC30000}"/>
    <cellStyle name="Vírgula 3 3 2 3 9 2" xfId="37285" xr:uid="{00000000-0005-0000-0000-00000DC30000}"/>
    <cellStyle name="Vírgula 3 3 2 4" xfId="4310" xr:uid="{00000000-0005-0000-0000-00000EC30000}"/>
    <cellStyle name="Vírgula 3 3 2 4 2" xfId="7711" xr:uid="{00000000-0005-0000-0000-00000FC30000}"/>
    <cellStyle name="Vírgula 3 3 2 4 2 2" xfId="10804" xr:uid="{00000000-0005-0000-0000-000010C30000}"/>
    <cellStyle name="Vírgula 3 3 2 4 2 2 2" xfId="29018" xr:uid="{00000000-0005-0000-0000-000011C30000}"/>
    <cellStyle name="Vírgula 3 3 2 4 2 2 2 2" xfId="55199" xr:uid="{00000000-0005-0000-0000-000012C30000}"/>
    <cellStyle name="Vírgula 3 3 2 4 2 2 3" xfId="23104" xr:uid="{00000000-0005-0000-0000-000013C30000}"/>
    <cellStyle name="Vírgula 3 3 2 4 2 2 3 2" xfId="49291" xr:uid="{00000000-0005-0000-0000-000014C30000}"/>
    <cellStyle name="Vírgula 3 3 2 4 2 2 4" xfId="17190" xr:uid="{00000000-0005-0000-0000-000015C30000}"/>
    <cellStyle name="Vírgula 3 3 2 4 2 2 4 2" xfId="43383" xr:uid="{00000000-0005-0000-0000-000016C30000}"/>
    <cellStyle name="Vírgula 3 3 2 4 2 2 5" xfId="36997" xr:uid="{00000000-0005-0000-0000-000017C30000}"/>
    <cellStyle name="Vírgula 3 3 2 4 2 3" xfId="26061" xr:uid="{00000000-0005-0000-0000-000018C30000}"/>
    <cellStyle name="Vírgula 3 3 2 4 2 3 2" xfId="52245" xr:uid="{00000000-0005-0000-0000-000019C30000}"/>
    <cellStyle name="Vírgula 3 3 2 4 2 4" xfId="20147" xr:uid="{00000000-0005-0000-0000-00001AC30000}"/>
    <cellStyle name="Vírgula 3 3 2 4 2 4 2" xfId="46337" xr:uid="{00000000-0005-0000-0000-00001BC30000}"/>
    <cellStyle name="Vírgula 3 3 2 4 2 5" xfId="14100" xr:uid="{00000000-0005-0000-0000-00001CC30000}"/>
    <cellStyle name="Vírgula 3 3 2 4 2 5 2" xfId="40293" xr:uid="{00000000-0005-0000-0000-00001DC30000}"/>
    <cellStyle name="Vírgula 3 3 2 4 2 6" xfId="33907" xr:uid="{00000000-0005-0000-0000-00001EC30000}"/>
    <cellStyle name="Vírgula 3 3 2 4 3" xfId="9336" xr:uid="{00000000-0005-0000-0000-00001FC30000}"/>
    <cellStyle name="Vírgula 3 3 2 4 3 2" xfId="27550" xr:uid="{00000000-0005-0000-0000-000020C30000}"/>
    <cellStyle name="Vírgula 3 3 2 4 3 2 2" xfId="53731" xr:uid="{00000000-0005-0000-0000-000021C30000}"/>
    <cellStyle name="Vírgula 3 3 2 4 3 3" xfId="21636" xr:uid="{00000000-0005-0000-0000-000022C30000}"/>
    <cellStyle name="Vírgula 3 3 2 4 3 3 2" xfId="47823" xr:uid="{00000000-0005-0000-0000-000023C30000}"/>
    <cellStyle name="Vírgula 3 3 2 4 3 4" xfId="15722" xr:uid="{00000000-0005-0000-0000-000024C30000}"/>
    <cellStyle name="Vírgula 3 3 2 4 3 4 2" xfId="41915" xr:uid="{00000000-0005-0000-0000-000025C30000}"/>
    <cellStyle name="Vírgula 3 3 2 4 3 5" xfId="35529" xr:uid="{00000000-0005-0000-0000-000026C30000}"/>
    <cellStyle name="Vírgula 3 3 2 4 4" xfId="6011" xr:uid="{00000000-0005-0000-0000-000027C30000}"/>
    <cellStyle name="Vírgula 3 3 2 4 4 2" xfId="24593" xr:uid="{00000000-0005-0000-0000-000028C30000}"/>
    <cellStyle name="Vírgula 3 3 2 4 4 2 2" xfId="50777" xr:uid="{00000000-0005-0000-0000-000029C30000}"/>
    <cellStyle name="Vírgula 3 3 2 4 4 3" xfId="32207" xr:uid="{00000000-0005-0000-0000-00002AC30000}"/>
    <cellStyle name="Vírgula 3 3 2 4 5" xfId="18679" xr:uid="{00000000-0005-0000-0000-00002BC30000}"/>
    <cellStyle name="Vírgula 3 3 2 4 5 2" xfId="44869" xr:uid="{00000000-0005-0000-0000-00002CC30000}"/>
    <cellStyle name="Vírgula 3 3 2 4 6" xfId="12399" xr:uid="{00000000-0005-0000-0000-00002DC30000}"/>
    <cellStyle name="Vírgula 3 3 2 4 6 2" xfId="38592" xr:uid="{00000000-0005-0000-0000-00002EC30000}"/>
    <cellStyle name="Vírgula 3 3 2 4 7" xfId="30510" xr:uid="{00000000-0005-0000-0000-00002FC30000}"/>
    <cellStyle name="Vírgula 3 3 2 5" xfId="4418" xr:uid="{00000000-0005-0000-0000-000030C30000}"/>
    <cellStyle name="Vírgula 3 3 2 5 2" xfId="7820" xr:uid="{00000000-0005-0000-0000-000031C30000}"/>
    <cellStyle name="Vírgula 3 3 2 5 2 2" xfId="10866" xr:uid="{00000000-0005-0000-0000-000032C30000}"/>
    <cellStyle name="Vírgula 3 3 2 5 2 2 2" xfId="29080" xr:uid="{00000000-0005-0000-0000-000033C30000}"/>
    <cellStyle name="Vírgula 3 3 2 5 2 2 2 2" xfId="55261" xr:uid="{00000000-0005-0000-0000-000034C30000}"/>
    <cellStyle name="Vírgula 3 3 2 5 2 2 3" xfId="23166" xr:uid="{00000000-0005-0000-0000-000035C30000}"/>
    <cellStyle name="Vírgula 3 3 2 5 2 2 3 2" xfId="49353" xr:uid="{00000000-0005-0000-0000-000036C30000}"/>
    <cellStyle name="Vírgula 3 3 2 5 2 2 4" xfId="17252" xr:uid="{00000000-0005-0000-0000-000037C30000}"/>
    <cellStyle name="Vírgula 3 3 2 5 2 2 4 2" xfId="43445" xr:uid="{00000000-0005-0000-0000-000038C30000}"/>
    <cellStyle name="Vírgula 3 3 2 5 2 2 5" xfId="37059" xr:uid="{00000000-0005-0000-0000-000039C30000}"/>
    <cellStyle name="Vírgula 3 3 2 5 2 3" xfId="26123" xr:uid="{00000000-0005-0000-0000-00003AC30000}"/>
    <cellStyle name="Vírgula 3 3 2 5 2 3 2" xfId="52307" xr:uid="{00000000-0005-0000-0000-00003BC30000}"/>
    <cellStyle name="Vírgula 3 3 2 5 2 4" xfId="20209" xr:uid="{00000000-0005-0000-0000-00003CC30000}"/>
    <cellStyle name="Vírgula 3 3 2 5 2 4 2" xfId="46399" xr:uid="{00000000-0005-0000-0000-00003DC30000}"/>
    <cellStyle name="Vírgula 3 3 2 5 2 5" xfId="14209" xr:uid="{00000000-0005-0000-0000-00003EC30000}"/>
    <cellStyle name="Vírgula 3 3 2 5 2 5 2" xfId="40402" xr:uid="{00000000-0005-0000-0000-00003FC30000}"/>
    <cellStyle name="Vírgula 3 3 2 5 2 6" xfId="34016" xr:uid="{00000000-0005-0000-0000-000040C30000}"/>
    <cellStyle name="Vírgula 3 3 2 5 3" xfId="9398" xr:uid="{00000000-0005-0000-0000-000041C30000}"/>
    <cellStyle name="Vírgula 3 3 2 5 3 2" xfId="27612" xr:uid="{00000000-0005-0000-0000-000042C30000}"/>
    <cellStyle name="Vírgula 3 3 2 5 3 2 2" xfId="53793" xr:uid="{00000000-0005-0000-0000-000043C30000}"/>
    <cellStyle name="Vírgula 3 3 2 5 3 3" xfId="21698" xr:uid="{00000000-0005-0000-0000-000044C30000}"/>
    <cellStyle name="Vírgula 3 3 2 5 3 3 2" xfId="47885" xr:uid="{00000000-0005-0000-0000-000045C30000}"/>
    <cellStyle name="Vírgula 3 3 2 5 3 4" xfId="15784" xr:uid="{00000000-0005-0000-0000-000046C30000}"/>
    <cellStyle name="Vírgula 3 3 2 5 3 4 2" xfId="41977" xr:uid="{00000000-0005-0000-0000-000047C30000}"/>
    <cellStyle name="Vírgula 3 3 2 5 3 5" xfId="35591" xr:uid="{00000000-0005-0000-0000-000048C30000}"/>
    <cellStyle name="Vírgula 3 3 2 5 4" xfId="6120" xr:uid="{00000000-0005-0000-0000-000049C30000}"/>
    <cellStyle name="Vírgula 3 3 2 5 4 2" xfId="24655" xr:uid="{00000000-0005-0000-0000-00004AC30000}"/>
    <cellStyle name="Vírgula 3 3 2 5 4 2 2" xfId="50839" xr:uid="{00000000-0005-0000-0000-00004BC30000}"/>
    <cellStyle name="Vírgula 3 3 2 5 4 3" xfId="32316" xr:uid="{00000000-0005-0000-0000-00004CC30000}"/>
    <cellStyle name="Vírgula 3 3 2 5 5" xfId="18741" xr:uid="{00000000-0005-0000-0000-00004DC30000}"/>
    <cellStyle name="Vírgula 3 3 2 5 5 2" xfId="44931" xr:uid="{00000000-0005-0000-0000-00004EC30000}"/>
    <cellStyle name="Vírgula 3 3 2 5 6" xfId="12508" xr:uid="{00000000-0005-0000-0000-00004FC30000}"/>
    <cellStyle name="Vírgula 3 3 2 5 6 2" xfId="38701" xr:uid="{00000000-0005-0000-0000-000050C30000}"/>
    <cellStyle name="Vírgula 3 3 2 5 7" xfId="30618" xr:uid="{00000000-0005-0000-0000-000051C30000}"/>
    <cellStyle name="Vírgula 3 3 2 6" xfId="4526" xr:uid="{00000000-0005-0000-0000-000052C30000}"/>
    <cellStyle name="Vírgula 3 3 2 6 2" xfId="7928" xr:uid="{00000000-0005-0000-0000-000053C30000}"/>
    <cellStyle name="Vírgula 3 3 2 6 2 2" xfId="10928" xr:uid="{00000000-0005-0000-0000-000054C30000}"/>
    <cellStyle name="Vírgula 3 3 2 6 2 2 2" xfId="29142" xr:uid="{00000000-0005-0000-0000-000055C30000}"/>
    <cellStyle name="Vírgula 3 3 2 6 2 2 2 2" xfId="55323" xr:uid="{00000000-0005-0000-0000-000056C30000}"/>
    <cellStyle name="Vírgula 3 3 2 6 2 2 3" xfId="23228" xr:uid="{00000000-0005-0000-0000-000057C30000}"/>
    <cellStyle name="Vírgula 3 3 2 6 2 2 3 2" xfId="49415" xr:uid="{00000000-0005-0000-0000-000058C30000}"/>
    <cellStyle name="Vírgula 3 3 2 6 2 2 4" xfId="17314" xr:uid="{00000000-0005-0000-0000-000059C30000}"/>
    <cellStyle name="Vírgula 3 3 2 6 2 2 4 2" xfId="43507" xr:uid="{00000000-0005-0000-0000-00005AC30000}"/>
    <cellStyle name="Vírgula 3 3 2 6 2 2 5" xfId="37121" xr:uid="{00000000-0005-0000-0000-00005BC30000}"/>
    <cellStyle name="Vírgula 3 3 2 6 2 3" xfId="26185" xr:uid="{00000000-0005-0000-0000-00005CC30000}"/>
    <cellStyle name="Vírgula 3 3 2 6 2 3 2" xfId="52369" xr:uid="{00000000-0005-0000-0000-00005DC30000}"/>
    <cellStyle name="Vírgula 3 3 2 6 2 4" xfId="20271" xr:uid="{00000000-0005-0000-0000-00005EC30000}"/>
    <cellStyle name="Vírgula 3 3 2 6 2 4 2" xfId="46461" xr:uid="{00000000-0005-0000-0000-00005FC30000}"/>
    <cellStyle name="Vírgula 3 3 2 6 2 5" xfId="14317" xr:uid="{00000000-0005-0000-0000-000060C30000}"/>
    <cellStyle name="Vírgula 3 3 2 6 2 5 2" xfId="40510" xr:uid="{00000000-0005-0000-0000-000061C30000}"/>
    <cellStyle name="Vírgula 3 3 2 6 2 6" xfId="34124" xr:uid="{00000000-0005-0000-0000-000062C30000}"/>
    <cellStyle name="Vírgula 3 3 2 6 3" xfId="9460" xr:uid="{00000000-0005-0000-0000-000063C30000}"/>
    <cellStyle name="Vírgula 3 3 2 6 3 2" xfId="27674" xr:uid="{00000000-0005-0000-0000-000064C30000}"/>
    <cellStyle name="Vírgula 3 3 2 6 3 2 2" xfId="53855" xr:uid="{00000000-0005-0000-0000-000065C30000}"/>
    <cellStyle name="Vírgula 3 3 2 6 3 3" xfId="21760" xr:uid="{00000000-0005-0000-0000-000066C30000}"/>
    <cellStyle name="Vírgula 3 3 2 6 3 3 2" xfId="47947" xr:uid="{00000000-0005-0000-0000-000067C30000}"/>
    <cellStyle name="Vírgula 3 3 2 6 3 4" xfId="15846" xr:uid="{00000000-0005-0000-0000-000068C30000}"/>
    <cellStyle name="Vírgula 3 3 2 6 3 4 2" xfId="42039" xr:uid="{00000000-0005-0000-0000-000069C30000}"/>
    <cellStyle name="Vírgula 3 3 2 6 3 5" xfId="35653" xr:uid="{00000000-0005-0000-0000-00006AC30000}"/>
    <cellStyle name="Vírgula 3 3 2 6 4" xfId="6227" xr:uid="{00000000-0005-0000-0000-00006BC30000}"/>
    <cellStyle name="Vírgula 3 3 2 6 4 2" xfId="24717" xr:uid="{00000000-0005-0000-0000-00006CC30000}"/>
    <cellStyle name="Vírgula 3 3 2 6 4 2 2" xfId="50901" xr:uid="{00000000-0005-0000-0000-00006DC30000}"/>
    <cellStyle name="Vírgula 3 3 2 6 4 3" xfId="32423" xr:uid="{00000000-0005-0000-0000-00006EC30000}"/>
    <cellStyle name="Vírgula 3 3 2 6 5" xfId="18803" xr:uid="{00000000-0005-0000-0000-00006FC30000}"/>
    <cellStyle name="Vírgula 3 3 2 6 5 2" xfId="44993" xr:uid="{00000000-0005-0000-0000-000070C30000}"/>
    <cellStyle name="Vírgula 3 3 2 6 6" xfId="12616" xr:uid="{00000000-0005-0000-0000-000071C30000}"/>
    <cellStyle name="Vírgula 3 3 2 6 6 2" xfId="38809" xr:uid="{00000000-0005-0000-0000-000072C30000}"/>
    <cellStyle name="Vírgula 3 3 2 6 7" xfId="30726" xr:uid="{00000000-0005-0000-0000-000073C30000}"/>
    <cellStyle name="Vírgula 3 3 2 7" xfId="5934" xr:uid="{00000000-0005-0000-0000-000074C30000}"/>
    <cellStyle name="Vírgula 3 3 2 7 2" xfId="7634" xr:uid="{00000000-0005-0000-0000-000075C30000}"/>
    <cellStyle name="Vírgula 3 3 2 7 2 2" xfId="10761" xr:uid="{00000000-0005-0000-0000-000076C30000}"/>
    <cellStyle name="Vírgula 3 3 2 7 2 2 2" xfId="28975" xr:uid="{00000000-0005-0000-0000-000077C30000}"/>
    <cellStyle name="Vírgula 3 3 2 7 2 2 2 2" xfId="55156" xr:uid="{00000000-0005-0000-0000-000078C30000}"/>
    <cellStyle name="Vírgula 3 3 2 7 2 2 3" xfId="23061" xr:uid="{00000000-0005-0000-0000-000079C30000}"/>
    <cellStyle name="Vírgula 3 3 2 7 2 2 3 2" xfId="49248" xr:uid="{00000000-0005-0000-0000-00007AC30000}"/>
    <cellStyle name="Vírgula 3 3 2 7 2 2 4" xfId="17147" xr:uid="{00000000-0005-0000-0000-00007BC30000}"/>
    <cellStyle name="Vírgula 3 3 2 7 2 2 4 2" xfId="43340" xr:uid="{00000000-0005-0000-0000-00007CC30000}"/>
    <cellStyle name="Vírgula 3 3 2 7 2 2 5" xfId="36954" xr:uid="{00000000-0005-0000-0000-00007DC30000}"/>
    <cellStyle name="Vírgula 3 3 2 7 2 3" xfId="26018" xr:uid="{00000000-0005-0000-0000-00007EC30000}"/>
    <cellStyle name="Vírgula 3 3 2 7 2 3 2" xfId="52202" xr:uid="{00000000-0005-0000-0000-00007FC30000}"/>
    <cellStyle name="Vírgula 3 3 2 7 2 4" xfId="20104" xr:uid="{00000000-0005-0000-0000-000080C30000}"/>
    <cellStyle name="Vírgula 3 3 2 7 2 4 2" xfId="46294" xr:uid="{00000000-0005-0000-0000-000081C30000}"/>
    <cellStyle name="Vírgula 3 3 2 7 2 5" xfId="14023" xr:uid="{00000000-0005-0000-0000-000082C30000}"/>
    <cellStyle name="Vírgula 3 3 2 7 2 5 2" xfId="40216" xr:uid="{00000000-0005-0000-0000-000083C30000}"/>
    <cellStyle name="Vírgula 3 3 2 7 2 6" xfId="33830" xr:uid="{00000000-0005-0000-0000-000084C30000}"/>
    <cellStyle name="Vírgula 3 3 2 7 3" xfId="9293" xr:uid="{00000000-0005-0000-0000-000085C30000}"/>
    <cellStyle name="Vírgula 3 3 2 7 3 2" xfId="27507" xr:uid="{00000000-0005-0000-0000-000086C30000}"/>
    <cellStyle name="Vírgula 3 3 2 7 3 2 2" xfId="53688" xr:uid="{00000000-0005-0000-0000-000087C30000}"/>
    <cellStyle name="Vírgula 3 3 2 7 3 3" xfId="21593" xr:uid="{00000000-0005-0000-0000-000088C30000}"/>
    <cellStyle name="Vírgula 3 3 2 7 3 3 2" xfId="47780" xr:uid="{00000000-0005-0000-0000-000089C30000}"/>
    <cellStyle name="Vírgula 3 3 2 7 3 4" xfId="15679" xr:uid="{00000000-0005-0000-0000-00008AC30000}"/>
    <cellStyle name="Vírgula 3 3 2 7 3 4 2" xfId="41872" xr:uid="{00000000-0005-0000-0000-00008BC30000}"/>
    <cellStyle name="Vírgula 3 3 2 7 3 5" xfId="35486" xr:uid="{00000000-0005-0000-0000-00008CC30000}"/>
    <cellStyle name="Vírgula 3 3 2 7 4" xfId="24550" xr:uid="{00000000-0005-0000-0000-00008DC30000}"/>
    <cellStyle name="Vírgula 3 3 2 7 4 2" xfId="50734" xr:uid="{00000000-0005-0000-0000-00008EC30000}"/>
    <cellStyle name="Vírgula 3 3 2 7 5" xfId="18636" xr:uid="{00000000-0005-0000-0000-00008FC30000}"/>
    <cellStyle name="Vírgula 3 3 2 7 5 2" xfId="44826" xr:uid="{00000000-0005-0000-0000-000090C30000}"/>
    <cellStyle name="Vírgula 3 3 2 7 6" xfId="12322" xr:uid="{00000000-0005-0000-0000-000091C30000}"/>
    <cellStyle name="Vírgula 3 3 2 7 6 2" xfId="38515" xr:uid="{00000000-0005-0000-0000-000092C30000}"/>
    <cellStyle name="Vírgula 3 3 2 7 7" xfId="32130" xr:uid="{00000000-0005-0000-0000-000093C30000}"/>
    <cellStyle name="Vírgula 3 3 2 8" xfId="6336" xr:uid="{00000000-0005-0000-0000-000094C30000}"/>
    <cellStyle name="Vírgula 3 3 2 8 2" xfId="9522" xr:uid="{00000000-0005-0000-0000-000095C30000}"/>
    <cellStyle name="Vírgula 3 3 2 8 2 2" xfId="27736" xr:uid="{00000000-0005-0000-0000-000096C30000}"/>
    <cellStyle name="Vírgula 3 3 2 8 2 2 2" xfId="53917" xr:uid="{00000000-0005-0000-0000-000097C30000}"/>
    <cellStyle name="Vírgula 3 3 2 8 2 3" xfId="21822" xr:uid="{00000000-0005-0000-0000-000098C30000}"/>
    <cellStyle name="Vírgula 3 3 2 8 2 3 2" xfId="48009" xr:uid="{00000000-0005-0000-0000-000099C30000}"/>
    <cellStyle name="Vírgula 3 3 2 8 2 4" xfId="15908" xr:uid="{00000000-0005-0000-0000-00009AC30000}"/>
    <cellStyle name="Vírgula 3 3 2 8 2 4 2" xfId="42101" xr:uid="{00000000-0005-0000-0000-00009BC30000}"/>
    <cellStyle name="Vírgula 3 3 2 8 2 5" xfId="35715" xr:uid="{00000000-0005-0000-0000-00009CC30000}"/>
    <cellStyle name="Vírgula 3 3 2 8 3" xfId="24779" xr:uid="{00000000-0005-0000-0000-00009DC30000}"/>
    <cellStyle name="Vírgula 3 3 2 8 3 2" xfId="50963" xr:uid="{00000000-0005-0000-0000-00009EC30000}"/>
    <cellStyle name="Vírgula 3 3 2 8 4" xfId="18865" xr:uid="{00000000-0005-0000-0000-00009FC30000}"/>
    <cellStyle name="Vírgula 3 3 2 8 4 2" xfId="45055" xr:uid="{00000000-0005-0000-0000-0000A0C30000}"/>
    <cellStyle name="Vírgula 3 3 2 8 5" xfId="12725" xr:uid="{00000000-0005-0000-0000-0000A1C30000}"/>
    <cellStyle name="Vírgula 3 3 2 8 5 2" xfId="38918" xr:uid="{00000000-0005-0000-0000-0000A2C30000}"/>
    <cellStyle name="Vírgula 3 3 2 8 6" xfId="32532" xr:uid="{00000000-0005-0000-0000-0000A3C30000}"/>
    <cellStyle name="Vírgula 3 3 2 9" xfId="8028" xr:uid="{00000000-0005-0000-0000-0000A4C30000}"/>
    <cellStyle name="Vírgula 3 3 2 9 2" xfId="10986" xr:uid="{00000000-0005-0000-0000-0000A5C30000}"/>
    <cellStyle name="Vírgula 3 3 2 9 2 2" xfId="29200" xr:uid="{00000000-0005-0000-0000-0000A6C30000}"/>
    <cellStyle name="Vírgula 3 3 2 9 2 2 2" xfId="55381" xr:uid="{00000000-0005-0000-0000-0000A7C30000}"/>
    <cellStyle name="Vírgula 3 3 2 9 2 3" xfId="23286" xr:uid="{00000000-0005-0000-0000-0000A8C30000}"/>
    <cellStyle name="Vírgula 3 3 2 9 2 3 2" xfId="49473" xr:uid="{00000000-0005-0000-0000-0000A9C30000}"/>
    <cellStyle name="Vírgula 3 3 2 9 2 4" xfId="17372" xr:uid="{00000000-0005-0000-0000-0000AAC30000}"/>
    <cellStyle name="Vírgula 3 3 2 9 2 4 2" xfId="43565" xr:uid="{00000000-0005-0000-0000-0000ABC30000}"/>
    <cellStyle name="Vírgula 3 3 2 9 2 5" xfId="37179" xr:uid="{00000000-0005-0000-0000-0000ACC30000}"/>
    <cellStyle name="Vírgula 3 3 2 9 3" xfId="26243" xr:uid="{00000000-0005-0000-0000-0000ADC30000}"/>
    <cellStyle name="Vírgula 3 3 2 9 3 2" xfId="52427" xr:uid="{00000000-0005-0000-0000-0000AEC30000}"/>
    <cellStyle name="Vírgula 3 3 2 9 4" xfId="20329" xr:uid="{00000000-0005-0000-0000-0000AFC30000}"/>
    <cellStyle name="Vírgula 3 3 2 9 4 2" xfId="46519" xr:uid="{00000000-0005-0000-0000-0000B0C30000}"/>
    <cellStyle name="Vírgula 3 3 2 9 5" xfId="14417" xr:uid="{00000000-0005-0000-0000-0000B1C30000}"/>
    <cellStyle name="Vírgula 3 3 2 9 5 2" xfId="40610" xr:uid="{00000000-0005-0000-0000-0000B2C30000}"/>
    <cellStyle name="Vírgula 3 3 2 9 6" xfId="34224" xr:uid="{00000000-0005-0000-0000-0000B3C30000}"/>
    <cellStyle name="Vírgula 3 3 3" xfId="4253" xr:uid="{00000000-0005-0000-0000-0000B4C30000}"/>
    <cellStyle name="Vírgula 3 3 3 10" xfId="11044" xr:uid="{00000000-0005-0000-0000-0000B5C30000}"/>
    <cellStyle name="Vírgula 3 3 3 10 2" xfId="37237" xr:uid="{00000000-0005-0000-0000-0000B6C30000}"/>
    <cellStyle name="Vírgula 3 3 3 11" xfId="30453" xr:uid="{00000000-0005-0000-0000-0000B7C30000}"/>
    <cellStyle name="Vírgula 3 3 3 2" xfId="4330" xr:uid="{00000000-0005-0000-0000-0000B8C30000}"/>
    <cellStyle name="Vírgula 3 3 3 2 2" xfId="7731" xr:uid="{00000000-0005-0000-0000-0000B9C30000}"/>
    <cellStyle name="Vírgula 3 3 3 2 2 2" xfId="10815" xr:uid="{00000000-0005-0000-0000-0000BAC30000}"/>
    <cellStyle name="Vírgula 3 3 3 2 2 2 2" xfId="29029" xr:uid="{00000000-0005-0000-0000-0000BBC30000}"/>
    <cellStyle name="Vírgula 3 3 3 2 2 2 2 2" xfId="55210" xr:uid="{00000000-0005-0000-0000-0000BCC30000}"/>
    <cellStyle name="Vírgula 3 3 3 2 2 2 3" xfId="23115" xr:uid="{00000000-0005-0000-0000-0000BDC30000}"/>
    <cellStyle name="Vírgula 3 3 3 2 2 2 3 2" xfId="49302" xr:uid="{00000000-0005-0000-0000-0000BEC30000}"/>
    <cellStyle name="Vírgula 3 3 3 2 2 2 4" xfId="17201" xr:uid="{00000000-0005-0000-0000-0000BFC30000}"/>
    <cellStyle name="Vírgula 3 3 3 2 2 2 4 2" xfId="43394" xr:uid="{00000000-0005-0000-0000-0000C0C30000}"/>
    <cellStyle name="Vírgula 3 3 3 2 2 2 5" xfId="37008" xr:uid="{00000000-0005-0000-0000-0000C1C30000}"/>
    <cellStyle name="Vírgula 3 3 3 2 2 3" xfId="26072" xr:uid="{00000000-0005-0000-0000-0000C2C30000}"/>
    <cellStyle name="Vírgula 3 3 3 2 2 3 2" xfId="52256" xr:uid="{00000000-0005-0000-0000-0000C3C30000}"/>
    <cellStyle name="Vírgula 3 3 3 2 2 4" xfId="20158" xr:uid="{00000000-0005-0000-0000-0000C4C30000}"/>
    <cellStyle name="Vírgula 3 3 3 2 2 4 2" xfId="46348" xr:uid="{00000000-0005-0000-0000-0000C5C30000}"/>
    <cellStyle name="Vírgula 3 3 3 2 2 5" xfId="14120" xr:uid="{00000000-0005-0000-0000-0000C6C30000}"/>
    <cellStyle name="Vírgula 3 3 3 2 2 5 2" xfId="40313" xr:uid="{00000000-0005-0000-0000-0000C7C30000}"/>
    <cellStyle name="Vírgula 3 3 3 2 2 6" xfId="33927" xr:uid="{00000000-0005-0000-0000-0000C8C30000}"/>
    <cellStyle name="Vírgula 3 3 3 2 3" xfId="9347" xr:uid="{00000000-0005-0000-0000-0000C9C30000}"/>
    <cellStyle name="Vírgula 3 3 3 2 3 2" xfId="27561" xr:uid="{00000000-0005-0000-0000-0000CAC30000}"/>
    <cellStyle name="Vírgula 3 3 3 2 3 2 2" xfId="53742" xr:uid="{00000000-0005-0000-0000-0000CBC30000}"/>
    <cellStyle name="Vírgula 3 3 3 2 3 3" xfId="21647" xr:uid="{00000000-0005-0000-0000-0000CCC30000}"/>
    <cellStyle name="Vírgula 3 3 3 2 3 3 2" xfId="47834" xr:uid="{00000000-0005-0000-0000-0000CDC30000}"/>
    <cellStyle name="Vírgula 3 3 3 2 3 4" xfId="15733" xr:uid="{00000000-0005-0000-0000-0000CEC30000}"/>
    <cellStyle name="Vírgula 3 3 3 2 3 4 2" xfId="41926" xr:uid="{00000000-0005-0000-0000-0000CFC30000}"/>
    <cellStyle name="Vírgula 3 3 3 2 3 5" xfId="35540" xr:uid="{00000000-0005-0000-0000-0000D0C30000}"/>
    <cellStyle name="Vírgula 3 3 3 2 4" xfId="6031" xr:uid="{00000000-0005-0000-0000-0000D1C30000}"/>
    <cellStyle name="Vírgula 3 3 3 2 4 2" xfId="24604" xr:uid="{00000000-0005-0000-0000-0000D2C30000}"/>
    <cellStyle name="Vírgula 3 3 3 2 4 2 2" xfId="50788" xr:uid="{00000000-0005-0000-0000-0000D3C30000}"/>
    <cellStyle name="Vírgula 3 3 3 2 4 3" xfId="32227" xr:uid="{00000000-0005-0000-0000-0000D4C30000}"/>
    <cellStyle name="Vírgula 3 3 3 2 5" xfId="18690" xr:uid="{00000000-0005-0000-0000-0000D5C30000}"/>
    <cellStyle name="Vírgula 3 3 3 2 5 2" xfId="44880" xr:uid="{00000000-0005-0000-0000-0000D6C30000}"/>
    <cellStyle name="Vírgula 3 3 3 2 6" xfId="12419" xr:uid="{00000000-0005-0000-0000-0000D7C30000}"/>
    <cellStyle name="Vírgula 3 3 3 2 6 2" xfId="38612" xr:uid="{00000000-0005-0000-0000-0000D8C30000}"/>
    <cellStyle name="Vírgula 3 3 3 2 7" xfId="30530" xr:uid="{00000000-0005-0000-0000-0000D9C30000}"/>
    <cellStyle name="Vírgula 3 3 3 3" xfId="4438" xr:uid="{00000000-0005-0000-0000-0000DAC30000}"/>
    <cellStyle name="Vírgula 3 3 3 3 2" xfId="7840" xr:uid="{00000000-0005-0000-0000-0000DBC30000}"/>
    <cellStyle name="Vírgula 3 3 3 3 2 2" xfId="10877" xr:uid="{00000000-0005-0000-0000-0000DCC30000}"/>
    <cellStyle name="Vírgula 3 3 3 3 2 2 2" xfId="29091" xr:uid="{00000000-0005-0000-0000-0000DDC30000}"/>
    <cellStyle name="Vírgula 3 3 3 3 2 2 2 2" xfId="55272" xr:uid="{00000000-0005-0000-0000-0000DEC30000}"/>
    <cellStyle name="Vírgula 3 3 3 3 2 2 3" xfId="23177" xr:uid="{00000000-0005-0000-0000-0000DFC30000}"/>
    <cellStyle name="Vírgula 3 3 3 3 2 2 3 2" xfId="49364" xr:uid="{00000000-0005-0000-0000-0000E0C30000}"/>
    <cellStyle name="Vírgula 3 3 3 3 2 2 4" xfId="17263" xr:uid="{00000000-0005-0000-0000-0000E1C30000}"/>
    <cellStyle name="Vírgula 3 3 3 3 2 2 4 2" xfId="43456" xr:uid="{00000000-0005-0000-0000-0000E2C30000}"/>
    <cellStyle name="Vírgula 3 3 3 3 2 2 5" xfId="37070" xr:uid="{00000000-0005-0000-0000-0000E3C30000}"/>
    <cellStyle name="Vírgula 3 3 3 3 2 3" xfId="26134" xr:uid="{00000000-0005-0000-0000-0000E4C30000}"/>
    <cellStyle name="Vírgula 3 3 3 3 2 3 2" xfId="52318" xr:uid="{00000000-0005-0000-0000-0000E5C30000}"/>
    <cellStyle name="Vírgula 3 3 3 3 2 4" xfId="20220" xr:uid="{00000000-0005-0000-0000-0000E6C30000}"/>
    <cellStyle name="Vírgula 3 3 3 3 2 4 2" xfId="46410" xr:uid="{00000000-0005-0000-0000-0000E7C30000}"/>
    <cellStyle name="Vírgula 3 3 3 3 2 5" xfId="14229" xr:uid="{00000000-0005-0000-0000-0000E8C30000}"/>
    <cellStyle name="Vírgula 3 3 3 3 2 5 2" xfId="40422" xr:uid="{00000000-0005-0000-0000-0000E9C30000}"/>
    <cellStyle name="Vírgula 3 3 3 3 2 6" xfId="34036" xr:uid="{00000000-0005-0000-0000-0000EAC30000}"/>
    <cellStyle name="Vírgula 3 3 3 3 3" xfId="9409" xr:uid="{00000000-0005-0000-0000-0000EBC30000}"/>
    <cellStyle name="Vírgula 3 3 3 3 3 2" xfId="27623" xr:uid="{00000000-0005-0000-0000-0000ECC30000}"/>
    <cellStyle name="Vírgula 3 3 3 3 3 2 2" xfId="53804" xr:uid="{00000000-0005-0000-0000-0000EDC30000}"/>
    <cellStyle name="Vírgula 3 3 3 3 3 3" xfId="21709" xr:uid="{00000000-0005-0000-0000-0000EEC30000}"/>
    <cellStyle name="Vírgula 3 3 3 3 3 3 2" xfId="47896" xr:uid="{00000000-0005-0000-0000-0000EFC30000}"/>
    <cellStyle name="Vírgula 3 3 3 3 3 4" xfId="15795" xr:uid="{00000000-0005-0000-0000-0000F0C30000}"/>
    <cellStyle name="Vírgula 3 3 3 3 3 4 2" xfId="41988" xr:uid="{00000000-0005-0000-0000-0000F1C30000}"/>
    <cellStyle name="Vírgula 3 3 3 3 3 5" xfId="35602" xr:uid="{00000000-0005-0000-0000-0000F2C30000}"/>
    <cellStyle name="Vírgula 3 3 3 3 4" xfId="6140" xr:uid="{00000000-0005-0000-0000-0000F3C30000}"/>
    <cellStyle name="Vírgula 3 3 3 3 4 2" xfId="24666" xr:uid="{00000000-0005-0000-0000-0000F4C30000}"/>
    <cellStyle name="Vírgula 3 3 3 3 4 2 2" xfId="50850" xr:uid="{00000000-0005-0000-0000-0000F5C30000}"/>
    <cellStyle name="Vírgula 3 3 3 3 4 3" xfId="32336" xr:uid="{00000000-0005-0000-0000-0000F6C30000}"/>
    <cellStyle name="Vírgula 3 3 3 3 5" xfId="18752" xr:uid="{00000000-0005-0000-0000-0000F7C30000}"/>
    <cellStyle name="Vírgula 3 3 3 3 5 2" xfId="44942" xr:uid="{00000000-0005-0000-0000-0000F8C30000}"/>
    <cellStyle name="Vírgula 3 3 3 3 6" xfId="12528" xr:uid="{00000000-0005-0000-0000-0000F9C30000}"/>
    <cellStyle name="Vírgula 3 3 3 3 6 2" xfId="38721" xr:uid="{00000000-0005-0000-0000-0000FAC30000}"/>
    <cellStyle name="Vírgula 3 3 3 3 7" xfId="30638" xr:uid="{00000000-0005-0000-0000-0000FBC30000}"/>
    <cellStyle name="Vírgula 3 3 3 4" xfId="4546" xr:uid="{00000000-0005-0000-0000-0000FCC30000}"/>
    <cellStyle name="Vírgula 3 3 3 4 2" xfId="7948" xr:uid="{00000000-0005-0000-0000-0000FDC30000}"/>
    <cellStyle name="Vírgula 3 3 3 4 2 2" xfId="10939" xr:uid="{00000000-0005-0000-0000-0000FEC30000}"/>
    <cellStyle name="Vírgula 3 3 3 4 2 2 2" xfId="29153" xr:uid="{00000000-0005-0000-0000-0000FFC30000}"/>
    <cellStyle name="Vírgula 3 3 3 4 2 2 2 2" xfId="55334" xr:uid="{00000000-0005-0000-0000-000000C40000}"/>
    <cellStyle name="Vírgula 3 3 3 4 2 2 3" xfId="23239" xr:uid="{00000000-0005-0000-0000-000001C40000}"/>
    <cellStyle name="Vírgula 3 3 3 4 2 2 3 2" xfId="49426" xr:uid="{00000000-0005-0000-0000-000002C40000}"/>
    <cellStyle name="Vírgula 3 3 3 4 2 2 4" xfId="17325" xr:uid="{00000000-0005-0000-0000-000003C40000}"/>
    <cellStyle name="Vírgula 3 3 3 4 2 2 4 2" xfId="43518" xr:uid="{00000000-0005-0000-0000-000004C40000}"/>
    <cellStyle name="Vírgula 3 3 3 4 2 2 5" xfId="37132" xr:uid="{00000000-0005-0000-0000-000005C40000}"/>
    <cellStyle name="Vírgula 3 3 3 4 2 3" xfId="26196" xr:uid="{00000000-0005-0000-0000-000006C40000}"/>
    <cellStyle name="Vírgula 3 3 3 4 2 3 2" xfId="52380" xr:uid="{00000000-0005-0000-0000-000007C40000}"/>
    <cellStyle name="Vírgula 3 3 3 4 2 4" xfId="20282" xr:uid="{00000000-0005-0000-0000-000008C40000}"/>
    <cellStyle name="Vírgula 3 3 3 4 2 4 2" xfId="46472" xr:uid="{00000000-0005-0000-0000-000009C40000}"/>
    <cellStyle name="Vírgula 3 3 3 4 2 5" xfId="14337" xr:uid="{00000000-0005-0000-0000-00000AC40000}"/>
    <cellStyle name="Vírgula 3 3 3 4 2 5 2" xfId="40530" xr:uid="{00000000-0005-0000-0000-00000BC40000}"/>
    <cellStyle name="Vírgula 3 3 3 4 2 6" xfId="34144" xr:uid="{00000000-0005-0000-0000-00000CC40000}"/>
    <cellStyle name="Vírgula 3 3 3 4 3" xfId="9471" xr:uid="{00000000-0005-0000-0000-00000DC40000}"/>
    <cellStyle name="Vírgula 3 3 3 4 3 2" xfId="27685" xr:uid="{00000000-0005-0000-0000-00000EC40000}"/>
    <cellStyle name="Vírgula 3 3 3 4 3 2 2" xfId="53866" xr:uid="{00000000-0005-0000-0000-00000FC40000}"/>
    <cellStyle name="Vírgula 3 3 3 4 3 3" xfId="21771" xr:uid="{00000000-0005-0000-0000-000010C40000}"/>
    <cellStyle name="Vírgula 3 3 3 4 3 3 2" xfId="47958" xr:uid="{00000000-0005-0000-0000-000011C40000}"/>
    <cellStyle name="Vírgula 3 3 3 4 3 4" xfId="15857" xr:uid="{00000000-0005-0000-0000-000012C40000}"/>
    <cellStyle name="Vírgula 3 3 3 4 3 4 2" xfId="42050" xr:uid="{00000000-0005-0000-0000-000013C40000}"/>
    <cellStyle name="Vírgula 3 3 3 4 3 5" xfId="35664" xr:uid="{00000000-0005-0000-0000-000014C40000}"/>
    <cellStyle name="Vírgula 3 3 3 4 4" xfId="6247" xr:uid="{00000000-0005-0000-0000-000015C40000}"/>
    <cellStyle name="Vírgula 3 3 3 4 4 2" xfId="24728" xr:uid="{00000000-0005-0000-0000-000016C40000}"/>
    <cellStyle name="Vírgula 3 3 3 4 4 2 2" xfId="50912" xr:uid="{00000000-0005-0000-0000-000017C40000}"/>
    <cellStyle name="Vírgula 3 3 3 4 4 3" xfId="32443" xr:uid="{00000000-0005-0000-0000-000018C40000}"/>
    <cellStyle name="Vírgula 3 3 3 4 5" xfId="18814" xr:uid="{00000000-0005-0000-0000-000019C40000}"/>
    <cellStyle name="Vírgula 3 3 3 4 5 2" xfId="45004" xr:uid="{00000000-0005-0000-0000-00001AC40000}"/>
    <cellStyle name="Vírgula 3 3 3 4 6" xfId="12636" xr:uid="{00000000-0005-0000-0000-00001BC40000}"/>
    <cellStyle name="Vírgula 3 3 3 4 6 2" xfId="38829" xr:uid="{00000000-0005-0000-0000-00001CC40000}"/>
    <cellStyle name="Vírgula 3 3 3 4 7" xfId="30746" xr:uid="{00000000-0005-0000-0000-00001DC40000}"/>
    <cellStyle name="Vírgula 3 3 3 5" xfId="5954" xr:uid="{00000000-0005-0000-0000-00001EC40000}"/>
    <cellStyle name="Vírgula 3 3 3 5 2" xfId="7654" xr:uid="{00000000-0005-0000-0000-00001FC40000}"/>
    <cellStyle name="Vírgula 3 3 3 5 2 2" xfId="10772" xr:uid="{00000000-0005-0000-0000-000020C40000}"/>
    <cellStyle name="Vírgula 3 3 3 5 2 2 2" xfId="28986" xr:uid="{00000000-0005-0000-0000-000021C40000}"/>
    <cellStyle name="Vírgula 3 3 3 5 2 2 2 2" xfId="55167" xr:uid="{00000000-0005-0000-0000-000022C40000}"/>
    <cellStyle name="Vírgula 3 3 3 5 2 2 3" xfId="23072" xr:uid="{00000000-0005-0000-0000-000023C40000}"/>
    <cellStyle name="Vírgula 3 3 3 5 2 2 3 2" xfId="49259" xr:uid="{00000000-0005-0000-0000-000024C40000}"/>
    <cellStyle name="Vírgula 3 3 3 5 2 2 4" xfId="17158" xr:uid="{00000000-0005-0000-0000-000025C40000}"/>
    <cellStyle name="Vírgula 3 3 3 5 2 2 4 2" xfId="43351" xr:uid="{00000000-0005-0000-0000-000026C40000}"/>
    <cellStyle name="Vírgula 3 3 3 5 2 2 5" xfId="36965" xr:uid="{00000000-0005-0000-0000-000027C40000}"/>
    <cellStyle name="Vírgula 3 3 3 5 2 3" xfId="26029" xr:uid="{00000000-0005-0000-0000-000028C40000}"/>
    <cellStyle name="Vírgula 3 3 3 5 2 3 2" xfId="52213" xr:uid="{00000000-0005-0000-0000-000029C40000}"/>
    <cellStyle name="Vírgula 3 3 3 5 2 4" xfId="20115" xr:uid="{00000000-0005-0000-0000-00002AC40000}"/>
    <cellStyle name="Vírgula 3 3 3 5 2 4 2" xfId="46305" xr:uid="{00000000-0005-0000-0000-00002BC40000}"/>
    <cellStyle name="Vírgula 3 3 3 5 2 5" xfId="14043" xr:uid="{00000000-0005-0000-0000-00002CC40000}"/>
    <cellStyle name="Vírgula 3 3 3 5 2 5 2" xfId="40236" xr:uid="{00000000-0005-0000-0000-00002DC40000}"/>
    <cellStyle name="Vírgula 3 3 3 5 2 6" xfId="33850" xr:uid="{00000000-0005-0000-0000-00002EC40000}"/>
    <cellStyle name="Vírgula 3 3 3 5 3" xfId="9304" xr:uid="{00000000-0005-0000-0000-00002FC40000}"/>
    <cellStyle name="Vírgula 3 3 3 5 3 2" xfId="27518" xr:uid="{00000000-0005-0000-0000-000030C40000}"/>
    <cellStyle name="Vírgula 3 3 3 5 3 2 2" xfId="53699" xr:uid="{00000000-0005-0000-0000-000031C40000}"/>
    <cellStyle name="Vírgula 3 3 3 5 3 3" xfId="21604" xr:uid="{00000000-0005-0000-0000-000032C40000}"/>
    <cellStyle name="Vírgula 3 3 3 5 3 3 2" xfId="47791" xr:uid="{00000000-0005-0000-0000-000033C40000}"/>
    <cellStyle name="Vírgula 3 3 3 5 3 4" xfId="15690" xr:uid="{00000000-0005-0000-0000-000034C40000}"/>
    <cellStyle name="Vírgula 3 3 3 5 3 4 2" xfId="41883" xr:uid="{00000000-0005-0000-0000-000035C40000}"/>
    <cellStyle name="Vírgula 3 3 3 5 3 5" xfId="35497" xr:uid="{00000000-0005-0000-0000-000036C40000}"/>
    <cellStyle name="Vírgula 3 3 3 5 4" xfId="24561" xr:uid="{00000000-0005-0000-0000-000037C40000}"/>
    <cellStyle name="Vírgula 3 3 3 5 4 2" xfId="50745" xr:uid="{00000000-0005-0000-0000-000038C40000}"/>
    <cellStyle name="Vírgula 3 3 3 5 5" xfId="18647" xr:uid="{00000000-0005-0000-0000-000039C40000}"/>
    <cellStyle name="Vírgula 3 3 3 5 5 2" xfId="44837" xr:uid="{00000000-0005-0000-0000-00003AC40000}"/>
    <cellStyle name="Vírgula 3 3 3 5 6" xfId="12342" xr:uid="{00000000-0005-0000-0000-00003BC40000}"/>
    <cellStyle name="Vírgula 3 3 3 5 6 2" xfId="38535" xr:uid="{00000000-0005-0000-0000-00003CC40000}"/>
    <cellStyle name="Vírgula 3 3 3 5 7" xfId="32150" xr:uid="{00000000-0005-0000-0000-00003DC40000}"/>
    <cellStyle name="Vírgula 3 3 3 6" xfId="6356" xr:uid="{00000000-0005-0000-0000-00003EC40000}"/>
    <cellStyle name="Vírgula 3 3 3 6 2" xfId="9533" xr:uid="{00000000-0005-0000-0000-00003FC40000}"/>
    <cellStyle name="Vírgula 3 3 3 6 2 2" xfId="27747" xr:uid="{00000000-0005-0000-0000-000040C40000}"/>
    <cellStyle name="Vírgula 3 3 3 6 2 2 2" xfId="53928" xr:uid="{00000000-0005-0000-0000-000041C40000}"/>
    <cellStyle name="Vírgula 3 3 3 6 2 3" xfId="21833" xr:uid="{00000000-0005-0000-0000-000042C40000}"/>
    <cellStyle name="Vírgula 3 3 3 6 2 3 2" xfId="48020" xr:uid="{00000000-0005-0000-0000-000043C40000}"/>
    <cellStyle name="Vírgula 3 3 3 6 2 4" xfId="15919" xr:uid="{00000000-0005-0000-0000-000044C40000}"/>
    <cellStyle name="Vírgula 3 3 3 6 2 4 2" xfId="42112" xr:uid="{00000000-0005-0000-0000-000045C40000}"/>
    <cellStyle name="Vírgula 3 3 3 6 2 5" xfId="35726" xr:uid="{00000000-0005-0000-0000-000046C40000}"/>
    <cellStyle name="Vírgula 3 3 3 6 3" xfId="24790" xr:uid="{00000000-0005-0000-0000-000047C40000}"/>
    <cellStyle name="Vírgula 3 3 3 6 3 2" xfId="50974" xr:uid="{00000000-0005-0000-0000-000048C40000}"/>
    <cellStyle name="Vírgula 3 3 3 6 4" xfId="18876" xr:uid="{00000000-0005-0000-0000-000049C40000}"/>
    <cellStyle name="Vírgula 3 3 3 6 4 2" xfId="45066" xr:uid="{00000000-0005-0000-0000-00004AC40000}"/>
    <cellStyle name="Vírgula 3 3 3 6 5" xfId="12745" xr:uid="{00000000-0005-0000-0000-00004BC40000}"/>
    <cellStyle name="Vírgula 3 3 3 6 5 2" xfId="38938" xr:uid="{00000000-0005-0000-0000-00004CC40000}"/>
    <cellStyle name="Vírgula 3 3 3 6 6" xfId="32552" xr:uid="{00000000-0005-0000-0000-00004DC40000}"/>
    <cellStyle name="Vírgula 3 3 3 7" xfId="8062" xr:uid="{00000000-0005-0000-0000-00004EC40000}"/>
    <cellStyle name="Vírgula 3 3 3 7 2" xfId="26276" xr:uid="{00000000-0005-0000-0000-00004FC40000}"/>
    <cellStyle name="Vírgula 3 3 3 7 2 2" xfId="52460" xr:uid="{00000000-0005-0000-0000-000050C40000}"/>
    <cellStyle name="Vírgula 3 3 3 7 3" xfId="20362" xr:uid="{00000000-0005-0000-0000-000051C40000}"/>
    <cellStyle name="Vírgula 3 3 3 7 3 2" xfId="46552" xr:uid="{00000000-0005-0000-0000-000052C40000}"/>
    <cellStyle name="Vírgula 3 3 3 7 4" xfId="14451" xr:uid="{00000000-0005-0000-0000-000053C40000}"/>
    <cellStyle name="Vírgula 3 3 3 7 4 2" xfId="40644" xr:uid="{00000000-0005-0000-0000-000054C40000}"/>
    <cellStyle name="Vírgula 3 3 3 7 5" xfId="34258" xr:uid="{00000000-0005-0000-0000-000055C40000}"/>
    <cellStyle name="Vírgula 3 3 3 8" xfId="4653" xr:uid="{00000000-0005-0000-0000-000056C40000}"/>
    <cellStyle name="Vírgula 3 3 3 8 2" xfId="23319" xr:uid="{00000000-0005-0000-0000-000057C40000}"/>
    <cellStyle name="Vírgula 3 3 3 8 2 2" xfId="49506" xr:uid="{00000000-0005-0000-0000-000058C40000}"/>
    <cellStyle name="Vírgula 3 3 3 8 3" xfId="30853" xr:uid="{00000000-0005-0000-0000-000059C40000}"/>
    <cellStyle name="Vírgula 3 3 3 9" xfId="17405" xr:uid="{00000000-0005-0000-0000-00005AC40000}"/>
    <cellStyle name="Vírgula 3 3 3 9 2" xfId="43598" xr:uid="{00000000-0005-0000-0000-00005BC40000}"/>
    <cellStyle name="Vírgula 3 3 4" xfId="4218" xr:uid="{00000000-0005-0000-0000-00005CC40000}"/>
    <cellStyle name="Vírgula 3 3 4 10" xfId="11076" xr:uid="{00000000-0005-0000-0000-00005DC40000}"/>
    <cellStyle name="Vírgula 3 3 4 10 2" xfId="37269" xr:uid="{00000000-0005-0000-0000-00005EC40000}"/>
    <cellStyle name="Vírgula 3 3 4 11" xfId="30418" xr:uid="{00000000-0005-0000-0000-00005FC40000}"/>
    <cellStyle name="Vírgula 3 3 4 2" xfId="4362" xr:uid="{00000000-0005-0000-0000-000060C40000}"/>
    <cellStyle name="Vírgula 3 3 4 2 2" xfId="7763" xr:uid="{00000000-0005-0000-0000-000061C40000}"/>
    <cellStyle name="Vírgula 3 3 4 2 2 2" xfId="10834" xr:uid="{00000000-0005-0000-0000-000062C40000}"/>
    <cellStyle name="Vírgula 3 3 4 2 2 2 2" xfId="29048" xr:uid="{00000000-0005-0000-0000-000063C40000}"/>
    <cellStyle name="Vírgula 3 3 4 2 2 2 2 2" xfId="55229" xr:uid="{00000000-0005-0000-0000-000064C40000}"/>
    <cellStyle name="Vírgula 3 3 4 2 2 2 3" xfId="23134" xr:uid="{00000000-0005-0000-0000-000065C40000}"/>
    <cellStyle name="Vírgula 3 3 4 2 2 2 3 2" xfId="49321" xr:uid="{00000000-0005-0000-0000-000066C40000}"/>
    <cellStyle name="Vírgula 3 3 4 2 2 2 4" xfId="17220" xr:uid="{00000000-0005-0000-0000-000067C40000}"/>
    <cellStyle name="Vírgula 3 3 4 2 2 2 4 2" xfId="43413" xr:uid="{00000000-0005-0000-0000-000068C40000}"/>
    <cellStyle name="Vírgula 3 3 4 2 2 2 5" xfId="37027" xr:uid="{00000000-0005-0000-0000-000069C40000}"/>
    <cellStyle name="Vírgula 3 3 4 2 2 3" xfId="26091" xr:uid="{00000000-0005-0000-0000-00006AC40000}"/>
    <cellStyle name="Vírgula 3 3 4 2 2 3 2" xfId="52275" xr:uid="{00000000-0005-0000-0000-00006BC40000}"/>
    <cellStyle name="Vírgula 3 3 4 2 2 4" xfId="20177" xr:uid="{00000000-0005-0000-0000-00006CC40000}"/>
    <cellStyle name="Vírgula 3 3 4 2 2 4 2" xfId="46367" xr:uid="{00000000-0005-0000-0000-00006DC40000}"/>
    <cellStyle name="Vírgula 3 3 4 2 2 5" xfId="14152" xr:uid="{00000000-0005-0000-0000-00006EC40000}"/>
    <cellStyle name="Vírgula 3 3 4 2 2 5 2" xfId="40345" xr:uid="{00000000-0005-0000-0000-00006FC40000}"/>
    <cellStyle name="Vírgula 3 3 4 2 2 6" xfId="33959" xr:uid="{00000000-0005-0000-0000-000070C40000}"/>
    <cellStyle name="Vírgula 3 3 4 2 3" xfId="9366" xr:uid="{00000000-0005-0000-0000-000071C40000}"/>
    <cellStyle name="Vírgula 3 3 4 2 3 2" xfId="27580" xr:uid="{00000000-0005-0000-0000-000072C40000}"/>
    <cellStyle name="Vírgula 3 3 4 2 3 2 2" xfId="53761" xr:uid="{00000000-0005-0000-0000-000073C40000}"/>
    <cellStyle name="Vírgula 3 3 4 2 3 3" xfId="21666" xr:uid="{00000000-0005-0000-0000-000074C40000}"/>
    <cellStyle name="Vírgula 3 3 4 2 3 3 2" xfId="47853" xr:uid="{00000000-0005-0000-0000-000075C40000}"/>
    <cellStyle name="Vírgula 3 3 4 2 3 4" xfId="15752" xr:uid="{00000000-0005-0000-0000-000076C40000}"/>
    <cellStyle name="Vírgula 3 3 4 2 3 4 2" xfId="41945" xr:uid="{00000000-0005-0000-0000-000077C40000}"/>
    <cellStyle name="Vírgula 3 3 4 2 3 5" xfId="35559" xr:uid="{00000000-0005-0000-0000-000078C40000}"/>
    <cellStyle name="Vírgula 3 3 4 2 4" xfId="6063" xr:uid="{00000000-0005-0000-0000-000079C40000}"/>
    <cellStyle name="Vírgula 3 3 4 2 4 2" xfId="24623" xr:uid="{00000000-0005-0000-0000-00007AC40000}"/>
    <cellStyle name="Vírgula 3 3 4 2 4 2 2" xfId="50807" xr:uid="{00000000-0005-0000-0000-00007BC40000}"/>
    <cellStyle name="Vírgula 3 3 4 2 4 3" xfId="32259" xr:uid="{00000000-0005-0000-0000-00007CC40000}"/>
    <cellStyle name="Vírgula 3 3 4 2 5" xfId="18709" xr:uid="{00000000-0005-0000-0000-00007DC40000}"/>
    <cellStyle name="Vírgula 3 3 4 2 5 2" xfId="44899" xr:uid="{00000000-0005-0000-0000-00007EC40000}"/>
    <cellStyle name="Vírgula 3 3 4 2 6" xfId="12451" xr:uid="{00000000-0005-0000-0000-00007FC40000}"/>
    <cellStyle name="Vírgula 3 3 4 2 6 2" xfId="38644" xr:uid="{00000000-0005-0000-0000-000080C40000}"/>
    <cellStyle name="Vírgula 3 3 4 2 7" xfId="30562" xr:uid="{00000000-0005-0000-0000-000081C40000}"/>
    <cellStyle name="Vírgula 3 3 4 3" xfId="4470" xr:uid="{00000000-0005-0000-0000-000082C40000}"/>
    <cellStyle name="Vírgula 3 3 4 3 2" xfId="7872" xr:uid="{00000000-0005-0000-0000-000083C40000}"/>
    <cellStyle name="Vírgula 3 3 4 3 2 2" xfId="10896" xr:uid="{00000000-0005-0000-0000-000084C40000}"/>
    <cellStyle name="Vírgula 3 3 4 3 2 2 2" xfId="29110" xr:uid="{00000000-0005-0000-0000-000085C40000}"/>
    <cellStyle name="Vírgula 3 3 4 3 2 2 2 2" xfId="55291" xr:uid="{00000000-0005-0000-0000-000086C40000}"/>
    <cellStyle name="Vírgula 3 3 4 3 2 2 3" xfId="23196" xr:uid="{00000000-0005-0000-0000-000087C40000}"/>
    <cellStyle name="Vírgula 3 3 4 3 2 2 3 2" xfId="49383" xr:uid="{00000000-0005-0000-0000-000088C40000}"/>
    <cellStyle name="Vírgula 3 3 4 3 2 2 4" xfId="17282" xr:uid="{00000000-0005-0000-0000-000089C40000}"/>
    <cellStyle name="Vírgula 3 3 4 3 2 2 4 2" xfId="43475" xr:uid="{00000000-0005-0000-0000-00008AC40000}"/>
    <cellStyle name="Vírgula 3 3 4 3 2 2 5" xfId="37089" xr:uid="{00000000-0005-0000-0000-00008BC40000}"/>
    <cellStyle name="Vírgula 3 3 4 3 2 3" xfId="26153" xr:uid="{00000000-0005-0000-0000-00008CC40000}"/>
    <cellStyle name="Vírgula 3 3 4 3 2 3 2" xfId="52337" xr:uid="{00000000-0005-0000-0000-00008DC40000}"/>
    <cellStyle name="Vírgula 3 3 4 3 2 4" xfId="20239" xr:uid="{00000000-0005-0000-0000-00008EC40000}"/>
    <cellStyle name="Vírgula 3 3 4 3 2 4 2" xfId="46429" xr:uid="{00000000-0005-0000-0000-00008FC40000}"/>
    <cellStyle name="Vírgula 3 3 4 3 2 5" xfId="14261" xr:uid="{00000000-0005-0000-0000-000090C40000}"/>
    <cellStyle name="Vírgula 3 3 4 3 2 5 2" xfId="40454" xr:uid="{00000000-0005-0000-0000-000091C40000}"/>
    <cellStyle name="Vírgula 3 3 4 3 2 6" xfId="34068" xr:uid="{00000000-0005-0000-0000-000092C40000}"/>
    <cellStyle name="Vírgula 3 3 4 3 3" xfId="9428" xr:uid="{00000000-0005-0000-0000-000093C40000}"/>
    <cellStyle name="Vírgula 3 3 4 3 3 2" xfId="27642" xr:uid="{00000000-0005-0000-0000-000094C40000}"/>
    <cellStyle name="Vírgula 3 3 4 3 3 2 2" xfId="53823" xr:uid="{00000000-0005-0000-0000-000095C40000}"/>
    <cellStyle name="Vírgula 3 3 4 3 3 3" xfId="21728" xr:uid="{00000000-0005-0000-0000-000096C40000}"/>
    <cellStyle name="Vírgula 3 3 4 3 3 3 2" xfId="47915" xr:uid="{00000000-0005-0000-0000-000097C40000}"/>
    <cellStyle name="Vírgula 3 3 4 3 3 4" xfId="15814" xr:uid="{00000000-0005-0000-0000-000098C40000}"/>
    <cellStyle name="Vírgula 3 3 4 3 3 4 2" xfId="42007" xr:uid="{00000000-0005-0000-0000-000099C40000}"/>
    <cellStyle name="Vírgula 3 3 4 3 3 5" xfId="35621" xr:uid="{00000000-0005-0000-0000-00009AC40000}"/>
    <cellStyle name="Vírgula 3 3 4 3 4" xfId="6171" xr:uid="{00000000-0005-0000-0000-00009BC40000}"/>
    <cellStyle name="Vírgula 3 3 4 3 4 2" xfId="24685" xr:uid="{00000000-0005-0000-0000-00009CC40000}"/>
    <cellStyle name="Vírgula 3 3 4 3 4 2 2" xfId="50869" xr:uid="{00000000-0005-0000-0000-00009DC40000}"/>
    <cellStyle name="Vírgula 3 3 4 3 4 3" xfId="32367" xr:uid="{00000000-0005-0000-0000-00009EC40000}"/>
    <cellStyle name="Vírgula 3 3 4 3 5" xfId="18771" xr:uid="{00000000-0005-0000-0000-00009FC40000}"/>
    <cellStyle name="Vírgula 3 3 4 3 5 2" xfId="44961" xr:uid="{00000000-0005-0000-0000-0000A0C40000}"/>
    <cellStyle name="Vírgula 3 3 4 3 6" xfId="12560" xr:uid="{00000000-0005-0000-0000-0000A1C40000}"/>
    <cellStyle name="Vírgula 3 3 4 3 6 2" xfId="38753" xr:uid="{00000000-0005-0000-0000-0000A2C40000}"/>
    <cellStyle name="Vírgula 3 3 4 3 7" xfId="30670" xr:uid="{00000000-0005-0000-0000-0000A3C40000}"/>
    <cellStyle name="Vírgula 3 3 4 4" xfId="4578" xr:uid="{00000000-0005-0000-0000-0000A4C40000}"/>
    <cellStyle name="Vírgula 3 3 4 4 2" xfId="7980" xr:uid="{00000000-0005-0000-0000-0000A5C40000}"/>
    <cellStyle name="Vírgula 3 3 4 4 2 2" xfId="10958" xr:uid="{00000000-0005-0000-0000-0000A6C40000}"/>
    <cellStyle name="Vírgula 3 3 4 4 2 2 2" xfId="29172" xr:uid="{00000000-0005-0000-0000-0000A7C40000}"/>
    <cellStyle name="Vírgula 3 3 4 4 2 2 2 2" xfId="55353" xr:uid="{00000000-0005-0000-0000-0000A8C40000}"/>
    <cellStyle name="Vírgula 3 3 4 4 2 2 3" xfId="23258" xr:uid="{00000000-0005-0000-0000-0000A9C40000}"/>
    <cellStyle name="Vírgula 3 3 4 4 2 2 3 2" xfId="49445" xr:uid="{00000000-0005-0000-0000-0000AAC40000}"/>
    <cellStyle name="Vírgula 3 3 4 4 2 2 4" xfId="17344" xr:uid="{00000000-0005-0000-0000-0000ABC40000}"/>
    <cellStyle name="Vírgula 3 3 4 4 2 2 4 2" xfId="43537" xr:uid="{00000000-0005-0000-0000-0000ACC40000}"/>
    <cellStyle name="Vírgula 3 3 4 4 2 2 5" xfId="37151" xr:uid="{00000000-0005-0000-0000-0000ADC40000}"/>
    <cellStyle name="Vírgula 3 3 4 4 2 3" xfId="26215" xr:uid="{00000000-0005-0000-0000-0000AEC40000}"/>
    <cellStyle name="Vírgula 3 3 4 4 2 3 2" xfId="52399" xr:uid="{00000000-0005-0000-0000-0000AFC40000}"/>
    <cellStyle name="Vírgula 3 3 4 4 2 4" xfId="20301" xr:uid="{00000000-0005-0000-0000-0000B0C40000}"/>
    <cellStyle name="Vírgula 3 3 4 4 2 4 2" xfId="46491" xr:uid="{00000000-0005-0000-0000-0000B1C40000}"/>
    <cellStyle name="Vírgula 3 3 4 4 2 5" xfId="14369" xr:uid="{00000000-0005-0000-0000-0000B2C40000}"/>
    <cellStyle name="Vírgula 3 3 4 4 2 5 2" xfId="40562" xr:uid="{00000000-0005-0000-0000-0000B3C40000}"/>
    <cellStyle name="Vírgula 3 3 4 4 2 6" xfId="34176" xr:uid="{00000000-0005-0000-0000-0000B4C40000}"/>
    <cellStyle name="Vírgula 3 3 4 4 3" xfId="9490" xr:uid="{00000000-0005-0000-0000-0000B5C40000}"/>
    <cellStyle name="Vírgula 3 3 4 4 3 2" xfId="27704" xr:uid="{00000000-0005-0000-0000-0000B6C40000}"/>
    <cellStyle name="Vírgula 3 3 4 4 3 2 2" xfId="53885" xr:uid="{00000000-0005-0000-0000-0000B7C40000}"/>
    <cellStyle name="Vírgula 3 3 4 4 3 3" xfId="21790" xr:uid="{00000000-0005-0000-0000-0000B8C40000}"/>
    <cellStyle name="Vírgula 3 3 4 4 3 3 2" xfId="47977" xr:uid="{00000000-0005-0000-0000-0000B9C40000}"/>
    <cellStyle name="Vírgula 3 3 4 4 3 4" xfId="15876" xr:uid="{00000000-0005-0000-0000-0000BAC40000}"/>
    <cellStyle name="Vírgula 3 3 4 4 3 4 2" xfId="42069" xr:uid="{00000000-0005-0000-0000-0000BBC40000}"/>
    <cellStyle name="Vírgula 3 3 4 4 3 5" xfId="35683" xr:uid="{00000000-0005-0000-0000-0000BCC40000}"/>
    <cellStyle name="Vírgula 3 3 4 4 4" xfId="6279" xr:uid="{00000000-0005-0000-0000-0000BDC40000}"/>
    <cellStyle name="Vírgula 3 3 4 4 4 2" xfId="24747" xr:uid="{00000000-0005-0000-0000-0000BEC40000}"/>
    <cellStyle name="Vírgula 3 3 4 4 4 2 2" xfId="50931" xr:uid="{00000000-0005-0000-0000-0000BFC40000}"/>
    <cellStyle name="Vírgula 3 3 4 4 4 3" xfId="32475" xr:uid="{00000000-0005-0000-0000-0000C0C40000}"/>
    <cellStyle name="Vírgula 3 3 4 4 5" xfId="18833" xr:uid="{00000000-0005-0000-0000-0000C1C40000}"/>
    <cellStyle name="Vírgula 3 3 4 4 5 2" xfId="45023" xr:uid="{00000000-0005-0000-0000-0000C2C40000}"/>
    <cellStyle name="Vírgula 3 3 4 4 6" xfId="12668" xr:uid="{00000000-0005-0000-0000-0000C3C40000}"/>
    <cellStyle name="Vírgula 3 3 4 4 6 2" xfId="38861" xr:uid="{00000000-0005-0000-0000-0000C4C40000}"/>
    <cellStyle name="Vírgula 3 3 4 4 7" xfId="30778" xr:uid="{00000000-0005-0000-0000-0000C5C40000}"/>
    <cellStyle name="Vírgula 3 3 4 5" xfId="5918" xr:uid="{00000000-0005-0000-0000-0000C6C40000}"/>
    <cellStyle name="Vírgula 3 3 4 5 2" xfId="7618" xr:uid="{00000000-0005-0000-0000-0000C7C40000}"/>
    <cellStyle name="Vírgula 3 3 4 5 2 2" xfId="10752" xr:uid="{00000000-0005-0000-0000-0000C8C40000}"/>
    <cellStyle name="Vírgula 3 3 4 5 2 2 2" xfId="28966" xr:uid="{00000000-0005-0000-0000-0000C9C40000}"/>
    <cellStyle name="Vírgula 3 3 4 5 2 2 2 2" xfId="55147" xr:uid="{00000000-0005-0000-0000-0000CAC40000}"/>
    <cellStyle name="Vírgula 3 3 4 5 2 2 3" xfId="23052" xr:uid="{00000000-0005-0000-0000-0000CBC40000}"/>
    <cellStyle name="Vírgula 3 3 4 5 2 2 3 2" xfId="49239" xr:uid="{00000000-0005-0000-0000-0000CCC40000}"/>
    <cellStyle name="Vírgula 3 3 4 5 2 2 4" xfId="17138" xr:uid="{00000000-0005-0000-0000-0000CDC40000}"/>
    <cellStyle name="Vírgula 3 3 4 5 2 2 4 2" xfId="43331" xr:uid="{00000000-0005-0000-0000-0000CEC40000}"/>
    <cellStyle name="Vírgula 3 3 4 5 2 2 5" xfId="36945" xr:uid="{00000000-0005-0000-0000-0000CFC40000}"/>
    <cellStyle name="Vírgula 3 3 4 5 2 3" xfId="26009" xr:uid="{00000000-0005-0000-0000-0000D0C40000}"/>
    <cellStyle name="Vírgula 3 3 4 5 2 3 2" xfId="52193" xr:uid="{00000000-0005-0000-0000-0000D1C40000}"/>
    <cellStyle name="Vírgula 3 3 4 5 2 4" xfId="20095" xr:uid="{00000000-0005-0000-0000-0000D2C40000}"/>
    <cellStyle name="Vírgula 3 3 4 5 2 4 2" xfId="46285" xr:uid="{00000000-0005-0000-0000-0000D3C40000}"/>
    <cellStyle name="Vírgula 3 3 4 5 2 5" xfId="14007" xr:uid="{00000000-0005-0000-0000-0000D4C40000}"/>
    <cellStyle name="Vírgula 3 3 4 5 2 5 2" xfId="40200" xr:uid="{00000000-0005-0000-0000-0000D5C40000}"/>
    <cellStyle name="Vírgula 3 3 4 5 2 6" xfId="33814" xr:uid="{00000000-0005-0000-0000-0000D6C40000}"/>
    <cellStyle name="Vírgula 3 3 4 5 3" xfId="9284" xr:uid="{00000000-0005-0000-0000-0000D7C40000}"/>
    <cellStyle name="Vírgula 3 3 4 5 3 2" xfId="27498" xr:uid="{00000000-0005-0000-0000-0000D8C40000}"/>
    <cellStyle name="Vírgula 3 3 4 5 3 2 2" xfId="53679" xr:uid="{00000000-0005-0000-0000-0000D9C40000}"/>
    <cellStyle name="Vírgula 3 3 4 5 3 3" xfId="21584" xr:uid="{00000000-0005-0000-0000-0000DAC40000}"/>
    <cellStyle name="Vírgula 3 3 4 5 3 3 2" xfId="47771" xr:uid="{00000000-0005-0000-0000-0000DBC40000}"/>
    <cellStyle name="Vírgula 3 3 4 5 3 4" xfId="15670" xr:uid="{00000000-0005-0000-0000-0000DCC40000}"/>
    <cellStyle name="Vírgula 3 3 4 5 3 4 2" xfId="41863" xr:uid="{00000000-0005-0000-0000-0000DDC40000}"/>
    <cellStyle name="Vírgula 3 3 4 5 3 5" xfId="35477" xr:uid="{00000000-0005-0000-0000-0000DEC40000}"/>
    <cellStyle name="Vírgula 3 3 4 5 4" xfId="24541" xr:uid="{00000000-0005-0000-0000-0000DFC40000}"/>
    <cellStyle name="Vírgula 3 3 4 5 4 2" xfId="50725" xr:uid="{00000000-0005-0000-0000-0000E0C40000}"/>
    <cellStyle name="Vírgula 3 3 4 5 5" xfId="18627" xr:uid="{00000000-0005-0000-0000-0000E1C40000}"/>
    <cellStyle name="Vírgula 3 3 4 5 5 2" xfId="44817" xr:uid="{00000000-0005-0000-0000-0000E2C40000}"/>
    <cellStyle name="Vírgula 3 3 4 5 6" xfId="12306" xr:uid="{00000000-0005-0000-0000-0000E3C40000}"/>
    <cellStyle name="Vírgula 3 3 4 5 6 2" xfId="38499" xr:uid="{00000000-0005-0000-0000-0000E4C40000}"/>
    <cellStyle name="Vírgula 3 3 4 5 7" xfId="32114" xr:uid="{00000000-0005-0000-0000-0000E5C40000}"/>
    <cellStyle name="Vírgula 3 3 4 6" xfId="6388" xr:uid="{00000000-0005-0000-0000-0000E6C40000}"/>
    <cellStyle name="Vírgula 3 3 4 6 2" xfId="9552" xr:uid="{00000000-0005-0000-0000-0000E7C40000}"/>
    <cellStyle name="Vírgula 3 3 4 6 2 2" xfId="27766" xr:uid="{00000000-0005-0000-0000-0000E8C40000}"/>
    <cellStyle name="Vírgula 3 3 4 6 2 2 2" xfId="53947" xr:uid="{00000000-0005-0000-0000-0000E9C40000}"/>
    <cellStyle name="Vírgula 3 3 4 6 2 3" xfId="21852" xr:uid="{00000000-0005-0000-0000-0000EAC40000}"/>
    <cellStyle name="Vírgula 3 3 4 6 2 3 2" xfId="48039" xr:uid="{00000000-0005-0000-0000-0000EBC40000}"/>
    <cellStyle name="Vírgula 3 3 4 6 2 4" xfId="15938" xr:uid="{00000000-0005-0000-0000-0000ECC40000}"/>
    <cellStyle name="Vírgula 3 3 4 6 2 4 2" xfId="42131" xr:uid="{00000000-0005-0000-0000-0000EDC40000}"/>
    <cellStyle name="Vírgula 3 3 4 6 2 5" xfId="35745" xr:uid="{00000000-0005-0000-0000-0000EEC40000}"/>
    <cellStyle name="Vírgula 3 3 4 6 3" xfId="24809" xr:uid="{00000000-0005-0000-0000-0000EFC40000}"/>
    <cellStyle name="Vírgula 3 3 4 6 3 2" xfId="50993" xr:uid="{00000000-0005-0000-0000-0000F0C40000}"/>
    <cellStyle name="Vírgula 3 3 4 6 4" xfId="18895" xr:uid="{00000000-0005-0000-0000-0000F1C40000}"/>
    <cellStyle name="Vírgula 3 3 4 6 4 2" xfId="45085" xr:uid="{00000000-0005-0000-0000-0000F2C40000}"/>
    <cellStyle name="Vírgula 3 3 4 6 5" xfId="12777" xr:uid="{00000000-0005-0000-0000-0000F3C40000}"/>
    <cellStyle name="Vírgula 3 3 4 6 5 2" xfId="38970" xr:uid="{00000000-0005-0000-0000-0000F4C40000}"/>
    <cellStyle name="Vírgula 3 3 4 6 6" xfId="32584" xr:uid="{00000000-0005-0000-0000-0000F5C40000}"/>
    <cellStyle name="Vírgula 3 3 4 7" xfId="8081" xr:uid="{00000000-0005-0000-0000-0000F6C40000}"/>
    <cellStyle name="Vírgula 3 3 4 7 2" xfId="26295" xr:uid="{00000000-0005-0000-0000-0000F7C40000}"/>
    <cellStyle name="Vírgula 3 3 4 7 2 2" xfId="52479" xr:uid="{00000000-0005-0000-0000-0000F8C40000}"/>
    <cellStyle name="Vírgula 3 3 4 7 3" xfId="20381" xr:uid="{00000000-0005-0000-0000-0000F9C40000}"/>
    <cellStyle name="Vírgula 3 3 4 7 3 2" xfId="46571" xr:uid="{00000000-0005-0000-0000-0000FAC40000}"/>
    <cellStyle name="Vírgula 3 3 4 7 4" xfId="14470" xr:uid="{00000000-0005-0000-0000-0000FBC40000}"/>
    <cellStyle name="Vírgula 3 3 4 7 4 2" xfId="40663" xr:uid="{00000000-0005-0000-0000-0000FCC40000}"/>
    <cellStyle name="Vírgula 3 3 4 7 5" xfId="34277" xr:uid="{00000000-0005-0000-0000-0000FDC40000}"/>
    <cellStyle name="Vírgula 3 3 4 8" xfId="4685" xr:uid="{00000000-0005-0000-0000-0000FEC40000}"/>
    <cellStyle name="Vírgula 3 3 4 8 2" xfId="23338" xr:uid="{00000000-0005-0000-0000-0000FFC40000}"/>
    <cellStyle name="Vírgula 3 3 4 8 2 2" xfId="49525" xr:uid="{00000000-0005-0000-0000-000000C50000}"/>
    <cellStyle name="Vírgula 3 3 4 8 3" xfId="30885" xr:uid="{00000000-0005-0000-0000-000001C50000}"/>
    <cellStyle name="Vírgula 3 3 4 9" xfId="17424" xr:uid="{00000000-0005-0000-0000-000002C50000}"/>
    <cellStyle name="Vírgula 3 3 4 9 2" xfId="43617" xr:uid="{00000000-0005-0000-0000-000003C50000}"/>
    <cellStyle name="Vírgula 3 3 5" xfId="4294" xr:uid="{00000000-0005-0000-0000-000004C50000}"/>
    <cellStyle name="Vírgula 3 3 5 2" xfId="7695" xr:uid="{00000000-0005-0000-0000-000005C50000}"/>
    <cellStyle name="Vírgula 3 3 5 2 2" xfId="10795" xr:uid="{00000000-0005-0000-0000-000006C50000}"/>
    <cellStyle name="Vírgula 3 3 5 2 2 2" xfId="29009" xr:uid="{00000000-0005-0000-0000-000007C50000}"/>
    <cellStyle name="Vírgula 3 3 5 2 2 2 2" xfId="55190" xr:uid="{00000000-0005-0000-0000-000008C50000}"/>
    <cellStyle name="Vírgula 3 3 5 2 2 3" xfId="23095" xr:uid="{00000000-0005-0000-0000-000009C50000}"/>
    <cellStyle name="Vírgula 3 3 5 2 2 3 2" xfId="49282" xr:uid="{00000000-0005-0000-0000-00000AC50000}"/>
    <cellStyle name="Vírgula 3 3 5 2 2 4" xfId="17181" xr:uid="{00000000-0005-0000-0000-00000BC50000}"/>
    <cellStyle name="Vírgula 3 3 5 2 2 4 2" xfId="43374" xr:uid="{00000000-0005-0000-0000-00000CC50000}"/>
    <cellStyle name="Vírgula 3 3 5 2 2 5" xfId="36988" xr:uid="{00000000-0005-0000-0000-00000DC50000}"/>
    <cellStyle name="Vírgula 3 3 5 2 3" xfId="26052" xr:uid="{00000000-0005-0000-0000-00000EC50000}"/>
    <cellStyle name="Vírgula 3 3 5 2 3 2" xfId="52236" xr:uid="{00000000-0005-0000-0000-00000FC50000}"/>
    <cellStyle name="Vírgula 3 3 5 2 4" xfId="20138" xr:uid="{00000000-0005-0000-0000-000010C50000}"/>
    <cellStyle name="Vírgula 3 3 5 2 4 2" xfId="46328" xr:uid="{00000000-0005-0000-0000-000011C50000}"/>
    <cellStyle name="Vírgula 3 3 5 2 5" xfId="14084" xr:uid="{00000000-0005-0000-0000-000012C50000}"/>
    <cellStyle name="Vírgula 3 3 5 2 5 2" xfId="40277" xr:uid="{00000000-0005-0000-0000-000013C50000}"/>
    <cellStyle name="Vírgula 3 3 5 2 6" xfId="33891" xr:uid="{00000000-0005-0000-0000-000014C50000}"/>
    <cellStyle name="Vírgula 3 3 5 3" xfId="9327" xr:uid="{00000000-0005-0000-0000-000015C50000}"/>
    <cellStyle name="Vírgula 3 3 5 3 2" xfId="27541" xr:uid="{00000000-0005-0000-0000-000016C50000}"/>
    <cellStyle name="Vírgula 3 3 5 3 2 2" xfId="53722" xr:uid="{00000000-0005-0000-0000-000017C50000}"/>
    <cellStyle name="Vírgula 3 3 5 3 3" xfId="21627" xr:uid="{00000000-0005-0000-0000-000018C50000}"/>
    <cellStyle name="Vírgula 3 3 5 3 3 2" xfId="47814" xr:uid="{00000000-0005-0000-0000-000019C50000}"/>
    <cellStyle name="Vírgula 3 3 5 3 4" xfId="15713" xr:uid="{00000000-0005-0000-0000-00001AC50000}"/>
    <cellStyle name="Vírgula 3 3 5 3 4 2" xfId="41906" xr:uid="{00000000-0005-0000-0000-00001BC50000}"/>
    <cellStyle name="Vírgula 3 3 5 3 5" xfId="35520" xr:uid="{00000000-0005-0000-0000-00001CC50000}"/>
    <cellStyle name="Vírgula 3 3 5 4" xfId="5995" xr:uid="{00000000-0005-0000-0000-00001DC50000}"/>
    <cellStyle name="Vírgula 3 3 5 4 2" xfId="24584" xr:uid="{00000000-0005-0000-0000-00001EC50000}"/>
    <cellStyle name="Vírgula 3 3 5 4 2 2" xfId="50768" xr:uid="{00000000-0005-0000-0000-00001FC50000}"/>
    <cellStyle name="Vírgula 3 3 5 4 3" xfId="32191" xr:uid="{00000000-0005-0000-0000-000020C50000}"/>
    <cellStyle name="Vírgula 3 3 5 5" xfId="18670" xr:uid="{00000000-0005-0000-0000-000021C50000}"/>
    <cellStyle name="Vírgula 3 3 5 5 2" xfId="44860" xr:uid="{00000000-0005-0000-0000-000022C50000}"/>
    <cellStyle name="Vírgula 3 3 5 6" xfId="12383" xr:uid="{00000000-0005-0000-0000-000023C50000}"/>
    <cellStyle name="Vírgula 3 3 5 6 2" xfId="38576" xr:uid="{00000000-0005-0000-0000-000024C50000}"/>
    <cellStyle name="Vírgula 3 3 5 7" xfId="30494" xr:uid="{00000000-0005-0000-0000-000025C50000}"/>
    <cellStyle name="Vírgula 3 3 6" xfId="4402" xr:uid="{00000000-0005-0000-0000-000026C50000}"/>
    <cellStyle name="Vírgula 3 3 6 2" xfId="7804" xr:uid="{00000000-0005-0000-0000-000027C50000}"/>
    <cellStyle name="Vírgula 3 3 6 2 2" xfId="10857" xr:uid="{00000000-0005-0000-0000-000028C50000}"/>
    <cellStyle name="Vírgula 3 3 6 2 2 2" xfId="29071" xr:uid="{00000000-0005-0000-0000-000029C50000}"/>
    <cellStyle name="Vírgula 3 3 6 2 2 2 2" xfId="55252" xr:uid="{00000000-0005-0000-0000-00002AC50000}"/>
    <cellStyle name="Vírgula 3 3 6 2 2 3" xfId="23157" xr:uid="{00000000-0005-0000-0000-00002BC50000}"/>
    <cellStyle name="Vírgula 3 3 6 2 2 3 2" xfId="49344" xr:uid="{00000000-0005-0000-0000-00002CC50000}"/>
    <cellStyle name="Vírgula 3 3 6 2 2 4" xfId="17243" xr:uid="{00000000-0005-0000-0000-00002DC50000}"/>
    <cellStyle name="Vírgula 3 3 6 2 2 4 2" xfId="43436" xr:uid="{00000000-0005-0000-0000-00002EC50000}"/>
    <cellStyle name="Vírgula 3 3 6 2 2 5" xfId="37050" xr:uid="{00000000-0005-0000-0000-00002FC50000}"/>
    <cellStyle name="Vírgula 3 3 6 2 3" xfId="26114" xr:uid="{00000000-0005-0000-0000-000030C50000}"/>
    <cellStyle name="Vírgula 3 3 6 2 3 2" xfId="52298" xr:uid="{00000000-0005-0000-0000-000031C50000}"/>
    <cellStyle name="Vírgula 3 3 6 2 4" xfId="20200" xr:uid="{00000000-0005-0000-0000-000032C50000}"/>
    <cellStyle name="Vírgula 3 3 6 2 4 2" xfId="46390" xr:uid="{00000000-0005-0000-0000-000033C50000}"/>
    <cellStyle name="Vírgula 3 3 6 2 5" xfId="14193" xr:uid="{00000000-0005-0000-0000-000034C50000}"/>
    <cellStyle name="Vírgula 3 3 6 2 5 2" xfId="40386" xr:uid="{00000000-0005-0000-0000-000035C50000}"/>
    <cellStyle name="Vírgula 3 3 6 2 6" xfId="34000" xr:uid="{00000000-0005-0000-0000-000036C50000}"/>
    <cellStyle name="Vírgula 3 3 6 3" xfId="9389" xr:uid="{00000000-0005-0000-0000-000037C50000}"/>
    <cellStyle name="Vírgula 3 3 6 3 2" xfId="27603" xr:uid="{00000000-0005-0000-0000-000038C50000}"/>
    <cellStyle name="Vírgula 3 3 6 3 2 2" xfId="53784" xr:uid="{00000000-0005-0000-0000-000039C50000}"/>
    <cellStyle name="Vírgula 3 3 6 3 3" xfId="21689" xr:uid="{00000000-0005-0000-0000-00003AC50000}"/>
    <cellStyle name="Vírgula 3 3 6 3 3 2" xfId="47876" xr:uid="{00000000-0005-0000-0000-00003BC50000}"/>
    <cellStyle name="Vírgula 3 3 6 3 4" xfId="15775" xr:uid="{00000000-0005-0000-0000-00003CC50000}"/>
    <cellStyle name="Vírgula 3 3 6 3 4 2" xfId="41968" xr:uid="{00000000-0005-0000-0000-00003DC50000}"/>
    <cellStyle name="Vírgula 3 3 6 3 5" xfId="35582" xr:uid="{00000000-0005-0000-0000-00003EC50000}"/>
    <cellStyle name="Vírgula 3 3 6 4" xfId="6104" xr:uid="{00000000-0005-0000-0000-00003FC50000}"/>
    <cellStyle name="Vírgula 3 3 6 4 2" xfId="24646" xr:uid="{00000000-0005-0000-0000-000040C50000}"/>
    <cellStyle name="Vírgula 3 3 6 4 2 2" xfId="50830" xr:uid="{00000000-0005-0000-0000-000041C50000}"/>
    <cellStyle name="Vírgula 3 3 6 4 3" xfId="32300" xr:uid="{00000000-0005-0000-0000-000042C50000}"/>
    <cellStyle name="Vírgula 3 3 6 5" xfId="18732" xr:uid="{00000000-0005-0000-0000-000043C50000}"/>
    <cellStyle name="Vírgula 3 3 6 5 2" xfId="44922" xr:uid="{00000000-0005-0000-0000-000044C50000}"/>
    <cellStyle name="Vírgula 3 3 6 6" xfId="12492" xr:uid="{00000000-0005-0000-0000-000045C50000}"/>
    <cellStyle name="Vírgula 3 3 6 6 2" xfId="38685" xr:uid="{00000000-0005-0000-0000-000046C50000}"/>
    <cellStyle name="Vírgula 3 3 6 7" xfId="30602" xr:uid="{00000000-0005-0000-0000-000047C50000}"/>
    <cellStyle name="Vírgula 3 3 7" xfId="4510" xr:uid="{00000000-0005-0000-0000-000048C50000}"/>
    <cellStyle name="Vírgula 3 3 7 2" xfId="7912" xr:uid="{00000000-0005-0000-0000-000049C50000}"/>
    <cellStyle name="Vírgula 3 3 7 2 2" xfId="10919" xr:uid="{00000000-0005-0000-0000-00004AC50000}"/>
    <cellStyle name="Vírgula 3 3 7 2 2 2" xfId="29133" xr:uid="{00000000-0005-0000-0000-00004BC50000}"/>
    <cellStyle name="Vírgula 3 3 7 2 2 2 2" xfId="55314" xr:uid="{00000000-0005-0000-0000-00004CC50000}"/>
    <cellStyle name="Vírgula 3 3 7 2 2 3" xfId="23219" xr:uid="{00000000-0005-0000-0000-00004DC50000}"/>
    <cellStyle name="Vírgula 3 3 7 2 2 3 2" xfId="49406" xr:uid="{00000000-0005-0000-0000-00004EC50000}"/>
    <cellStyle name="Vírgula 3 3 7 2 2 4" xfId="17305" xr:uid="{00000000-0005-0000-0000-00004FC50000}"/>
    <cellStyle name="Vírgula 3 3 7 2 2 4 2" xfId="43498" xr:uid="{00000000-0005-0000-0000-000050C50000}"/>
    <cellStyle name="Vírgula 3 3 7 2 2 5" xfId="37112" xr:uid="{00000000-0005-0000-0000-000051C50000}"/>
    <cellStyle name="Vírgula 3 3 7 2 3" xfId="26176" xr:uid="{00000000-0005-0000-0000-000052C50000}"/>
    <cellStyle name="Vírgula 3 3 7 2 3 2" xfId="52360" xr:uid="{00000000-0005-0000-0000-000053C50000}"/>
    <cellStyle name="Vírgula 3 3 7 2 4" xfId="20262" xr:uid="{00000000-0005-0000-0000-000054C50000}"/>
    <cellStyle name="Vírgula 3 3 7 2 4 2" xfId="46452" xr:uid="{00000000-0005-0000-0000-000055C50000}"/>
    <cellStyle name="Vírgula 3 3 7 2 5" xfId="14301" xr:uid="{00000000-0005-0000-0000-000056C50000}"/>
    <cellStyle name="Vírgula 3 3 7 2 5 2" xfId="40494" xr:uid="{00000000-0005-0000-0000-000057C50000}"/>
    <cellStyle name="Vírgula 3 3 7 2 6" xfId="34108" xr:uid="{00000000-0005-0000-0000-000058C50000}"/>
    <cellStyle name="Vírgula 3 3 7 3" xfId="9451" xr:uid="{00000000-0005-0000-0000-000059C50000}"/>
    <cellStyle name="Vírgula 3 3 7 3 2" xfId="27665" xr:uid="{00000000-0005-0000-0000-00005AC50000}"/>
    <cellStyle name="Vírgula 3 3 7 3 2 2" xfId="53846" xr:uid="{00000000-0005-0000-0000-00005BC50000}"/>
    <cellStyle name="Vírgula 3 3 7 3 3" xfId="21751" xr:uid="{00000000-0005-0000-0000-00005CC50000}"/>
    <cellStyle name="Vírgula 3 3 7 3 3 2" xfId="47938" xr:uid="{00000000-0005-0000-0000-00005DC50000}"/>
    <cellStyle name="Vírgula 3 3 7 3 4" xfId="15837" xr:uid="{00000000-0005-0000-0000-00005EC50000}"/>
    <cellStyle name="Vírgula 3 3 7 3 4 2" xfId="42030" xr:uid="{00000000-0005-0000-0000-00005FC50000}"/>
    <cellStyle name="Vírgula 3 3 7 3 5" xfId="35644" xr:uid="{00000000-0005-0000-0000-000060C50000}"/>
    <cellStyle name="Vírgula 3 3 7 4" xfId="6211" xr:uid="{00000000-0005-0000-0000-000061C50000}"/>
    <cellStyle name="Vírgula 3 3 7 4 2" xfId="24708" xr:uid="{00000000-0005-0000-0000-000062C50000}"/>
    <cellStyle name="Vírgula 3 3 7 4 2 2" xfId="50892" xr:uid="{00000000-0005-0000-0000-000063C50000}"/>
    <cellStyle name="Vírgula 3 3 7 4 3" xfId="32407" xr:uid="{00000000-0005-0000-0000-000064C50000}"/>
    <cellStyle name="Vírgula 3 3 7 5" xfId="18794" xr:uid="{00000000-0005-0000-0000-000065C50000}"/>
    <cellStyle name="Vírgula 3 3 7 5 2" xfId="44984" xr:uid="{00000000-0005-0000-0000-000066C50000}"/>
    <cellStyle name="Vírgula 3 3 7 6" xfId="12600" xr:uid="{00000000-0005-0000-0000-000067C50000}"/>
    <cellStyle name="Vírgula 3 3 7 6 2" xfId="38793" xr:uid="{00000000-0005-0000-0000-000068C50000}"/>
    <cellStyle name="Vírgula 3 3 7 7" xfId="30710" xr:uid="{00000000-0005-0000-0000-000069C50000}"/>
    <cellStyle name="Vírgula 3 3 8" xfId="4970" xr:uid="{00000000-0005-0000-0000-00006AC50000}"/>
    <cellStyle name="Vírgula 3 3 8 2" xfId="6669" xr:uid="{00000000-0005-0000-0000-00006BC50000}"/>
    <cellStyle name="Vírgula 3 3 8 2 2" xfId="9816" xr:uid="{00000000-0005-0000-0000-00006CC50000}"/>
    <cellStyle name="Vírgula 3 3 8 2 2 2" xfId="28030" xr:uid="{00000000-0005-0000-0000-00006DC50000}"/>
    <cellStyle name="Vírgula 3 3 8 2 2 2 2" xfId="54211" xr:uid="{00000000-0005-0000-0000-00006EC50000}"/>
    <cellStyle name="Vírgula 3 3 8 2 2 3" xfId="22116" xr:uid="{00000000-0005-0000-0000-00006FC50000}"/>
    <cellStyle name="Vírgula 3 3 8 2 2 3 2" xfId="48303" xr:uid="{00000000-0005-0000-0000-000070C50000}"/>
    <cellStyle name="Vírgula 3 3 8 2 2 4" xfId="16202" xr:uid="{00000000-0005-0000-0000-000071C50000}"/>
    <cellStyle name="Vírgula 3 3 8 2 2 4 2" xfId="42395" xr:uid="{00000000-0005-0000-0000-000072C50000}"/>
    <cellStyle name="Vírgula 3 3 8 2 2 5" xfId="36009" xr:uid="{00000000-0005-0000-0000-000073C50000}"/>
    <cellStyle name="Vírgula 3 3 8 2 3" xfId="25073" xr:uid="{00000000-0005-0000-0000-000074C50000}"/>
    <cellStyle name="Vírgula 3 3 8 2 3 2" xfId="51257" xr:uid="{00000000-0005-0000-0000-000075C50000}"/>
    <cellStyle name="Vírgula 3 3 8 2 4" xfId="19159" xr:uid="{00000000-0005-0000-0000-000076C50000}"/>
    <cellStyle name="Vírgula 3 3 8 2 4 2" xfId="45349" xr:uid="{00000000-0005-0000-0000-000077C50000}"/>
    <cellStyle name="Vírgula 3 3 8 2 5" xfId="13058" xr:uid="{00000000-0005-0000-0000-000078C50000}"/>
    <cellStyle name="Vírgula 3 3 8 2 5 2" xfId="39251" xr:uid="{00000000-0005-0000-0000-000079C50000}"/>
    <cellStyle name="Vírgula 3 3 8 2 6" xfId="32865" xr:uid="{00000000-0005-0000-0000-00007AC50000}"/>
    <cellStyle name="Vírgula 3 3 8 3" xfId="8348" xr:uid="{00000000-0005-0000-0000-00007BC50000}"/>
    <cellStyle name="Vírgula 3 3 8 3 2" xfId="26562" xr:uid="{00000000-0005-0000-0000-00007CC50000}"/>
    <cellStyle name="Vírgula 3 3 8 3 2 2" xfId="52743" xr:uid="{00000000-0005-0000-0000-00007DC50000}"/>
    <cellStyle name="Vírgula 3 3 8 3 3" xfId="20648" xr:uid="{00000000-0005-0000-0000-00007EC50000}"/>
    <cellStyle name="Vírgula 3 3 8 3 3 2" xfId="46835" xr:uid="{00000000-0005-0000-0000-00007FC50000}"/>
    <cellStyle name="Vírgula 3 3 8 3 4" xfId="14734" xr:uid="{00000000-0005-0000-0000-000080C50000}"/>
    <cellStyle name="Vírgula 3 3 8 3 4 2" xfId="40927" xr:uid="{00000000-0005-0000-0000-000081C50000}"/>
    <cellStyle name="Vírgula 3 3 8 3 5" xfId="34541" xr:uid="{00000000-0005-0000-0000-000082C50000}"/>
    <cellStyle name="Vírgula 3 3 8 4" xfId="23605" xr:uid="{00000000-0005-0000-0000-000083C50000}"/>
    <cellStyle name="Vírgula 3 3 8 4 2" xfId="49789" xr:uid="{00000000-0005-0000-0000-000084C50000}"/>
    <cellStyle name="Vírgula 3 3 8 5" xfId="17691" xr:uid="{00000000-0005-0000-0000-000085C50000}"/>
    <cellStyle name="Vírgula 3 3 8 5 2" xfId="43881" xr:uid="{00000000-0005-0000-0000-000086C50000}"/>
    <cellStyle name="Vírgula 3 3 8 6" xfId="11357" xr:uid="{00000000-0005-0000-0000-000087C50000}"/>
    <cellStyle name="Vírgula 3 3 8 6 2" xfId="37550" xr:uid="{00000000-0005-0000-0000-000088C50000}"/>
    <cellStyle name="Vírgula 3 3 8 7" xfId="31166" xr:uid="{00000000-0005-0000-0000-000089C50000}"/>
    <cellStyle name="Vírgula 3 3 9" xfId="6320" xr:uid="{00000000-0005-0000-0000-00008AC50000}"/>
    <cellStyle name="Vírgula 3 3 9 2" xfId="9513" xr:uid="{00000000-0005-0000-0000-00008BC50000}"/>
    <cellStyle name="Vírgula 3 3 9 2 2" xfId="27727" xr:uid="{00000000-0005-0000-0000-00008CC50000}"/>
    <cellStyle name="Vírgula 3 3 9 2 2 2" xfId="53908" xr:uid="{00000000-0005-0000-0000-00008DC50000}"/>
    <cellStyle name="Vírgula 3 3 9 2 3" xfId="21813" xr:uid="{00000000-0005-0000-0000-00008EC50000}"/>
    <cellStyle name="Vírgula 3 3 9 2 3 2" xfId="48000" xr:uid="{00000000-0005-0000-0000-00008FC50000}"/>
    <cellStyle name="Vírgula 3 3 9 2 4" xfId="15899" xr:uid="{00000000-0005-0000-0000-000090C50000}"/>
    <cellStyle name="Vírgula 3 3 9 2 4 2" xfId="42092" xr:uid="{00000000-0005-0000-0000-000091C50000}"/>
    <cellStyle name="Vírgula 3 3 9 2 5" xfId="35706" xr:uid="{00000000-0005-0000-0000-000092C50000}"/>
    <cellStyle name="Vírgula 3 3 9 3" xfId="24770" xr:uid="{00000000-0005-0000-0000-000093C50000}"/>
    <cellStyle name="Vírgula 3 3 9 3 2" xfId="50954" xr:uid="{00000000-0005-0000-0000-000094C50000}"/>
    <cellStyle name="Vírgula 3 3 9 4" xfId="18856" xr:uid="{00000000-0005-0000-0000-000095C50000}"/>
    <cellStyle name="Vírgula 3 3 9 4 2" xfId="45046" xr:uid="{00000000-0005-0000-0000-000096C50000}"/>
    <cellStyle name="Vírgula 3 3 9 5" xfId="12709" xr:uid="{00000000-0005-0000-0000-000097C50000}"/>
    <cellStyle name="Vírgula 3 3 9 5 2" xfId="38902" xr:uid="{00000000-0005-0000-0000-000098C50000}"/>
    <cellStyle name="Vírgula 3 3 9 6" xfId="32516" xr:uid="{00000000-0005-0000-0000-000099C50000}"/>
    <cellStyle name="Vírgula 3 4" xfId="1212" xr:uid="{00000000-0005-0000-0000-00009AC50000}"/>
    <cellStyle name="Vírgula 3 4 10" xfId="8045" xr:uid="{00000000-0005-0000-0000-00009BC50000}"/>
    <cellStyle name="Vírgula 3 4 10 2" xfId="26259" xr:uid="{00000000-0005-0000-0000-00009CC50000}"/>
    <cellStyle name="Vírgula 3 4 10 2 2" xfId="52443" xr:uid="{00000000-0005-0000-0000-00009DC50000}"/>
    <cellStyle name="Vírgula 3 4 10 3" xfId="20345" xr:uid="{00000000-0005-0000-0000-00009EC50000}"/>
    <cellStyle name="Vírgula 3 4 10 3 2" xfId="46535" xr:uid="{00000000-0005-0000-0000-00009FC50000}"/>
    <cellStyle name="Vírgula 3 4 10 4" xfId="14434" xr:uid="{00000000-0005-0000-0000-0000A0C50000}"/>
    <cellStyle name="Vírgula 3 4 10 4 2" xfId="40627" xr:uid="{00000000-0005-0000-0000-0000A1C50000}"/>
    <cellStyle name="Vírgula 3 4 10 5" xfId="34241" xr:uid="{00000000-0005-0000-0000-0000A2C50000}"/>
    <cellStyle name="Vírgula 3 4 11" xfId="4623" xr:uid="{00000000-0005-0000-0000-0000A3C50000}"/>
    <cellStyle name="Vírgula 3 4 11 2" xfId="23302" xr:uid="{00000000-0005-0000-0000-0000A4C50000}"/>
    <cellStyle name="Vírgula 3 4 11 2 2" xfId="49489" xr:uid="{00000000-0005-0000-0000-0000A5C50000}"/>
    <cellStyle name="Vírgula 3 4 11 3" xfId="30823" xr:uid="{00000000-0005-0000-0000-0000A6C50000}"/>
    <cellStyle name="Vírgula 3 4 12" xfId="17388" xr:uid="{00000000-0005-0000-0000-0000A7C50000}"/>
    <cellStyle name="Vírgula 3 4 12 2" xfId="43581" xr:uid="{00000000-0005-0000-0000-0000A8C50000}"/>
    <cellStyle name="Vírgula 3 4 13" xfId="11014" xr:uid="{00000000-0005-0000-0000-0000A9C50000}"/>
    <cellStyle name="Vírgula 3 4 13 2" xfId="37207" xr:uid="{00000000-0005-0000-0000-0000AAC50000}"/>
    <cellStyle name="Vírgula 3 4 14" xfId="29566" xr:uid="{00000000-0005-0000-0000-0000ABC50000}"/>
    <cellStyle name="Vírgula 3 4 2" xfId="4258" xr:uid="{00000000-0005-0000-0000-0000ACC50000}"/>
    <cellStyle name="Vírgula 3 4 2 10" xfId="11049" xr:uid="{00000000-0005-0000-0000-0000ADC50000}"/>
    <cellStyle name="Vírgula 3 4 2 10 2" xfId="37242" xr:uid="{00000000-0005-0000-0000-0000AEC50000}"/>
    <cellStyle name="Vírgula 3 4 2 11" xfId="30458" xr:uid="{00000000-0005-0000-0000-0000AFC50000}"/>
    <cellStyle name="Vírgula 3 4 2 2" xfId="4335" xr:uid="{00000000-0005-0000-0000-0000B0C50000}"/>
    <cellStyle name="Vírgula 3 4 2 2 2" xfId="7736" xr:uid="{00000000-0005-0000-0000-0000B1C50000}"/>
    <cellStyle name="Vírgula 3 4 2 2 2 2" xfId="10818" xr:uid="{00000000-0005-0000-0000-0000B2C50000}"/>
    <cellStyle name="Vírgula 3 4 2 2 2 2 2" xfId="29032" xr:uid="{00000000-0005-0000-0000-0000B3C50000}"/>
    <cellStyle name="Vírgula 3 4 2 2 2 2 2 2" xfId="55213" xr:uid="{00000000-0005-0000-0000-0000B4C50000}"/>
    <cellStyle name="Vírgula 3 4 2 2 2 2 3" xfId="23118" xr:uid="{00000000-0005-0000-0000-0000B5C50000}"/>
    <cellStyle name="Vírgula 3 4 2 2 2 2 3 2" xfId="49305" xr:uid="{00000000-0005-0000-0000-0000B6C50000}"/>
    <cellStyle name="Vírgula 3 4 2 2 2 2 4" xfId="17204" xr:uid="{00000000-0005-0000-0000-0000B7C50000}"/>
    <cellStyle name="Vírgula 3 4 2 2 2 2 4 2" xfId="43397" xr:uid="{00000000-0005-0000-0000-0000B8C50000}"/>
    <cellStyle name="Vírgula 3 4 2 2 2 2 5" xfId="37011" xr:uid="{00000000-0005-0000-0000-0000B9C50000}"/>
    <cellStyle name="Vírgula 3 4 2 2 2 3" xfId="26075" xr:uid="{00000000-0005-0000-0000-0000BAC50000}"/>
    <cellStyle name="Vírgula 3 4 2 2 2 3 2" xfId="52259" xr:uid="{00000000-0005-0000-0000-0000BBC50000}"/>
    <cellStyle name="Vírgula 3 4 2 2 2 4" xfId="20161" xr:uid="{00000000-0005-0000-0000-0000BCC50000}"/>
    <cellStyle name="Vírgula 3 4 2 2 2 4 2" xfId="46351" xr:uid="{00000000-0005-0000-0000-0000BDC50000}"/>
    <cellStyle name="Vírgula 3 4 2 2 2 5" xfId="14125" xr:uid="{00000000-0005-0000-0000-0000BEC50000}"/>
    <cellStyle name="Vírgula 3 4 2 2 2 5 2" xfId="40318" xr:uid="{00000000-0005-0000-0000-0000BFC50000}"/>
    <cellStyle name="Vírgula 3 4 2 2 2 6" xfId="33932" xr:uid="{00000000-0005-0000-0000-0000C0C50000}"/>
    <cellStyle name="Vírgula 3 4 2 2 3" xfId="9350" xr:uid="{00000000-0005-0000-0000-0000C1C50000}"/>
    <cellStyle name="Vírgula 3 4 2 2 3 2" xfId="27564" xr:uid="{00000000-0005-0000-0000-0000C2C50000}"/>
    <cellStyle name="Vírgula 3 4 2 2 3 2 2" xfId="53745" xr:uid="{00000000-0005-0000-0000-0000C3C50000}"/>
    <cellStyle name="Vírgula 3 4 2 2 3 3" xfId="21650" xr:uid="{00000000-0005-0000-0000-0000C4C50000}"/>
    <cellStyle name="Vírgula 3 4 2 2 3 3 2" xfId="47837" xr:uid="{00000000-0005-0000-0000-0000C5C50000}"/>
    <cellStyle name="Vírgula 3 4 2 2 3 4" xfId="15736" xr:uid="{00000000-0005-0000-0000-0000C6C50000}"/>
    <cellStyle name="Vírgula 3 4 2 2 3 4 2" xfId="41929" xr:uid="{00000000-0005-0000-0000-0000C7C50000}"/>
    <cellStyle name="Vírgula 3 4 2 2 3 5" xfId="35543" xr:uid="{00000000-0005-0000-0000-0000C8C50000}"/>
    <cellStyle name="Vírgula 3 4 2 2 4" xfId="6036" xr:uid="{00000000-0005-0000-0000-0000C9C50000}"/>
    <cellStyle name="Vírgula 3 4 2 2 4 2" xfId="24607" xr:uid="{00000000-0005-0000-0000-0000CAC50000}"/>
    <cellStyle name="Vírgula 3 4 2 2 4 2 2" xfId="50791" xr:uid="{00000000-0005-0000-0000-0000CBC50000}"/>
    <cellStyle name="Vírgula 3 4 2 2 4 3" xfId="32232" xr:uid="{00000000-0005-0000-0000-0000CCC50000}"/>
    <cellStyle name="Vírgula 3 4 2 2 5" xfId="18693" xr:uid="{00000000-0005-0000-0000-0000CDC50000}"/>
    <cellStyle name="Vírgula 3 4 2 2 5 2" xfId="44883" xr:uid="{00000000-0005-0000-0000-0000CEC50000}"/>
    <cellStyle name="Vírgula 3 4 2 2 6" xfId="12424" xr:uid="{00000000-0005-0000-0000-0000CFC50000}"/>
    <cellStyle name="Vírgula 3 4 2 2 6 2" xfId="38617" xr:uid="{00000000-0005-0000-0000-0000D0C50000}"/>
    <cellStyle name="Vírgula 3 4 2 2 7" xfId="30535" xr:uid="{00000000-0005-0000-0000-0000D1C50000}"/>
    <cellStyle name="Vírgula 3 4 2 3" xfId="4443" xr:uid="{00000000-0005-0000-0000-0000D2C50000}"/>
    <cellStyle name="Vírgula 3 4 2 3 2" xfId="7845" xr:uid="{00000000-0005-0000-0000-0000D3C50000}"/>
    <cellStyle name="Vírgula 3 4 2 3 2 2" xfId="10880" xr:uid="{00000000-0005-0000-0000-0000D4C50000}"/>
    <cellStyle name="Vírgula 3 4 2 3 2 2 2" xfId="29094" xr:uid="{00000000-0005-0000-0000-0000D5C50000}"/>
    <cellStyle name="Vírgula 3 4 2 3 2 2 2 2" xfId="55275" xr:uid="{00000000-0005-0000-0000-0000D6C50000}"/>
    <cellStyle name="Vírgula 3 4 2 3 2 2 3" xfId="23180" xr:uid="{00000000-0005-0000-0000-0000D7C50000}"/>
    <cellStyle name="Vírgula 3 4 2 3 2 2 3 2" xfId="49367" xr:uid="{00000000-0005-0000-0000-0000D8C50000}"/>
    <cellStyle name="Vírgula 3 4 2 3 2 2 4" xfId="17266" xr:uid="{00000000-0005-0000-0000-0000D9C50000}"/>
    <cellStyle name="Vírgula 3 4 2 3 2 2 4 2" xfId="43459" xr:uid="{00000000-0005-0000-0000-0000DAC50000}"/>
    <cellStyle name="Vírgula 3 4 2 3 2 2 5" xfId="37073" xr:uid="{00000000-0005-0000-0000-0000DBC50000}"/>
    <cellStyle name="Vírgula 3 4 2 3 2 3" xfId="26137" xr:uid="{00000000-0005-0000-0000-0000DCC50000}"/>
    <cellStyle name="Vírgula 3 4 2 3 2 3 2" xfId="52321" xr:uid="{00000000-0005-0000-0000-0000DDC50000}"/>
    <cellStyle name="Vírgula 3 4 2 3 2 4" xfId="20223" xr:uid="{00000000-0005-0000-0000-0000DEC50000}"/>
    <cellStyle name="Vírgula 3 4 2 3 2 4 2" xfId="46413" xr:uid="{00000000-0005-0000-0000-0000DFC50000}"/>
    <cellStyle name="Vírgula 3 4 2 3 2 5" xfId="14234" xr:uid="{00000000-0005-0000-0000-0000E0C50000}"/>
    <cellStyle name="Vírgula 3 4 2 3 2 5 2" xfId="40427" xr:uid="{00000000-0005-0000-0000-0000E1C50000}"/>
    <cellStyle name="Vírgula 3 4 2 3 2 6" xfId="34041" xr:uid="{00000000-0005-0000-0000-0000E2C50000}"/>
    <cellStyle name="Vírgula 3 4 2 3 3" xfId="9412" xr:uid="{00000000-0005-0000-0000-0000E3C50000}"/>
    <cellStyle name="Vírgula 3 4 2 3 3 2" xfId="27626" xr:uid="{00000000-0005-0000-0000-0000E4C50000}"/>
    <cellStyle name="Vírgula 3 4 2 3 3 2 2" xfId="53807" xr:uid="{00000000-0005-0000-0000-0000E5C50000}"/>
    <cellStyle name="Vírgula 3 4 2 3 3 3" xfId="21712" xr:uid="{00000000-0005-0000-0000-0000E6C50000}"/>
    <cellStyle name="Vírgula 3 4 2 3 3 3 2" xfId="47899" xr:uid="{00000000-0005-0000-0000-0000E7C50000}"/>
    <cellStyle name="Vírgula 3 4 2 3 3 4" xfId="15798" xr:uid="{00000000-0005-0000-0000-0000E8C50000}"/>
    <cellStyle name="Vírgula 3 4 2 3 3 4 2" xfId="41991" xr:uid="{00000000-0005-0000-0000-0000E9C50000}"/>
    <cellStyle name="Vírgula 3 4 2 3 3 5" xfId="35605" xr:uid="{00000000-0005-0000-0000-0000EAC50000}"/>
    <cellStyle name="Vírgula 3 4 2 3 4" xfId="6145" xr:uid="{00000000-0005-0000-0000-0000EBC50000}"/>
    <cellStyle name="Vírgula 3 4 2 3 4 2" xfId="24669" xr:uid="{00000000-0005-0000-0000-0000ECC50000}"/>
    <cellStyle name="Vírgula 3 4 2 3 4 2 2" xfId="50853" xr:uid="{00000000-0005-0000-0000-0000EDC50000}"/>
    <cellStyle name="Vírgula 3 4 2 3 4 3" xfId="32341" xr:uid="{00000000-0005-0000-0000-0000EEC50000}"/>
    <cellStyle name="Vírgula 3 4 2 3 5" xfId="18755" xr:uid="{00000000-0005-0000-0000-0000EFC50000}"/>
    <cellStyle name="Vírgula 3 4 2 3 5 2" xfId="44945" xr:uid="{00000000-0005-0000-0000-0000F0C50000}"/>
    <cellStyle name="Vírgula 3 4 2 3 6" xfId="12533" xr:uid="{00000000-0005-0000-0000-0000F1C50000}"/>
    <cellStyle name="Vírgula 3 4 2 3 6 2" xfId="38726" xr:uid="{00000000-0005-0000-0000-0000F2C50000}"/>
    <cellStyle name="Vírgula 3 4 2 3 7" xfId="30643" xr:uid="{00000000-0005-0000-0000-0000F3C50000}"/>
    <cellStyle name="Vírgula 3 4 2 4" xfId="4551" xr:uid="{00000000-0005-0000-0000-0000F4C50000}"/>
    <cellStyle name="Vírgula 3 4 2 4 2" xfId="7953" xr:uid="{00000000-0005-0000-0000-0000F5C50000}"/>
    <cellStyle name="Vírgula 3 4 2 4 2 2" xfId="10942" xr:uid="{00000000-0005-0000-0000-0000F6C50000}"/>
    <cellStyle name="Vírgula 3 4 2 4 2 2 2" xfId="29156" xr:uid="{00000000-0005-0000-0000-0000F7C50000}"/>
    <cellStyle name="Vírgula 3 4 2 4 2 2 2 2" xfId="55337" xr:uid="{00000000-0005-0000-0000-0000F8C50000}"/>
    <cellStyle name="Vírgula 3 4 2 4 2 2 3" xfId="23242" xr:uid="{00000000-0005-0000-0000-0000F9C50000}"/>
    <cellStyle name="Vírgula 3 4 2 4 2 2 3 2" xfId="49429" xr:uid="{00000000-0005-0000-0000-0000FAC50000}"/>
    <cellStyle name="Vírgula 3 4 2 4 2 2 4" xfId="17328" xr:uid="{00000000-0005-0000-0000-0000FBC50000}"/>
    <cellStyle name="Vírgula 3 4 2 4 2 2 4 2" xfId="43521" xr:uid="{00000000-0005-0000-0000-0000FCC50000}"/>
    <cellStyle name="Vírgula 3 4 2 4 2 2 5" xfId="37135" xr:uid="{00000000-0005-0000-0000-0000FDC50000}"/>
    <cellStyle name="Vírgula 3 4 2 4 2 3" xfId="26199" xr:uid="{00000000-0005-0000-0000-0000FEC50000}"/>
    <cellStyle name="Vírgula 3 4 2 4 2 3 2" xfId="52383" xr:uid="{00000000-0005-0000-0000-0000FFC50000}"/>
    <cellStyle name="Vírgula 3 4 2 4 2 4" xfId="20285" xr:uid="{00000000-0005-0000-0000-000000C60000}"/>
    <cellStyle name="Vírgula 3 4 2 4 2 4 2" xfId="46475" xr:uid="{00000000-0005-0000-0000-000001C60000}"/>
    <cellStyle name="Vírgula 3 4 2 4 2 5" xfId="14342" xr:uid="{00000000-0005-0000-0000-000002C60000}"/>
    <cellStyle name="Vírgula 3 4 2 4 2 5 2" xfId="40535" xr:uid="{00000000-0005-0000-0000-000003C60000}"/>
    <cellStyle name="Vírgula 3 4 2 4 2 6" xfId="34149" xr:uid="{00000000-0005-0000-0000-000004C60000}"/>
    <cellStyle name="Vírgula 3 4 2 4 3" xfId="9474" xr:uid="{00000000-0005-0000-0000-000005C60000}"/>
    <cellStyle name="Vírgula 3 4 2 4 3 2" xfId="27688" xr:uid="{00000000-0005-0000-0000-000006C60000}"/>
    <cellStyle name="Vírgula 3 4 2 4 3 2 2" xfId="53869" xr:uid="{00000000-0005-0000-0000-000007C60000}"/>
    <cellStyle name="Vírgula 3 4 2 4 3 3" xfId="21774" xr:uid="{00000000-0005-0000-0000-000008C60000}"/>
    <cellStyle name="Vírgula 3 4 2 4 3 3 2" xfId="47961" xr:uid="{00000000-0005-0000-0000-000009C60000}"/>
    <cellStyle name="Vírgula 3 4 2 4 3 4" xfId="15860" xr:uid="{00000000-0005-0000-0000-00000AC60000}"/>
    <cellStyle name="Vírgula 3 4 2 4 3 4 2" xfId="42053" xr:uid="{00000000-0005-0000-0000-00000BC60000}"/>
    <cellStyle name="Vírgula 3 4 2 4 3 5" xfId="35667" xr:uid="{00000000-0005-0000-0000-00000CC60000}"/>
    <cellStyle name="Vírgula 3 4 2 4 4" xfId="6252" xr:uid="{00000000-0005-0000-0000-00000DC60000}"/>
    <cellStyle name="Vírgula 3 4 2 4 4 2" xfId="24731" xr:uid="{00000000-0005-0000-0000-00000EC60000}"/>
    <cellStyle name="Vírgula 3 4 2 4 4 2 2" xfId="50915" xr:uid="{00000000-0005-0000-0000-00000FC60000}"/>
    <cellStyle name="Vírgula 3 4 2 4 4 3" xfId="32448" xr:uid="{00000000-0005-0000-0000-000010C60000}"/>
    <cellStyle name="Vírgula 3 4 2 4 5" xfId="18817" xr:uid="{00000000-0005-0000-0000-000011C60000}"/>
    <cellStyle name="Vírgula 3 4 2 4 5 2" xfId="45007" xr:uid="{00000000-0005-0000-0000-000012C60000}"/>
    <cellStyle name="Vírgula 3 4 2 4 6" xfId="12641" xr:uid="{00000000-0005-0000-0000-000013C60000}"/>
    <cellStyle name="Vírgula 3 4 2 4 6 2" xfId="38834" xr:uid="{00000000-0005-0000-0000-000014C60000}"/>
    <cellStyle name="Vírgula 3 4 2 4 7" xfId="30751" xr:uid="{00000000-0005-0000-0000-000015C60000}"/>
    <cellStyle name="Vírgula 3 4 2 5" xfId="5959" xr:uid="{00000000-0005-0000-0000-000016C60000}"/>
    <cellStyle name="Vírgula 3 4 2 5 2" xfId="7659" xr:uid="{00000000-0005-0000-0000-000017C60000}"/>
    <cellStyle name="Vírgula 3 4 2 5 2 2" xfId="10775" xr:uid="{00000000-0005-0000-0000-000018C60000}"/>
    <cellStyle name="Vírgula 3 4 2 5 2 2 2" xfId="28989" xr:uid="{00000000-0005-0000-0000-000019C60000}"/>
    <cellStyle name="Vírgula 3 4 2 5 2 2 2 2" xfId="55170" xr:uid="{00000000-0005-0000-0000-00001AC60000}"/>
    <cellStyle name="Vírgula 3 4 2 5 2 2 3" xfId="23075" xr:uid="{00000000-0005-0000-0000-00001BC60000}"/>
    <cellStyle name="Vírgula 3 4 2 5 2 2 3 2" xfId="49262" xr:uid="{00000000-0005-0000-0000-00001CC60000}"/>
    <cellStyle name="Vírgula 3 4 2 5 2 2 4" xfId="17161" xr:uid="{00000000-0005-0000-0000-00001DC60000}"/>
    <cellStyle name="Vírgula 3 4 2 5 2 2 4 2" xfId="43354" xr:uid="{00000000-0005-0000-0000-00001EC60000}"/>
    <cellStyle name="Vírgula 3 4 2 5 2 2 5" xfId="36968" xr:uid="{00000000-0005-0000-0000-00001FC60000}"/>
    <cellStyle name="Vírgula 3 4 2 5 2 3" xfId="26032" xr:uid="{00000000-0005-0000-0000-000020C60000}"/>
    <cellStyle name="Vírgula 3 4 2 5 2 3 2" xfId="52216" xr:uid="{00000000-0005-0000-0000-000021C60000}"/>
    <cellStyle name="Vírgula 3 4 2 5 2 4" xfId="20118" xr:uid="{00000000-0005-0000-0000-000022C60000}"/>
    <cellStyle name="Vírgula 3 4 2 5 2 4 2" xfId="46308" xr:uid="{00000000-0005-0000-0000-000023C60000}"/>
    <cellStyle name="Vírgula 3 4 2 5 2 5" xfId="14048" xr:uid="{00000000-0005-0000-0000-000024C60000}"/>
    <cellStyle name="Vírgula 3 4 2 5 2 5 2" xfId="40241" xr:uid="{00000000-0005-0000-0000-000025C60000}"/>
    <cellStyle name="Vírgula 3 4 2 5 2 6" xfId="33855" xr:uid="{00000000-0005-0000-0000-000026C60000}"/>
    <cellStyle name="Vírgula 3 4 2 5 3" xfId="9307" xr:uid="{00000000-0005-0000-0000-000027C60000}"/>
    <cellStyle name="Vírgula 3 4 2 5 3 2" xfId="27521" xr:uid="{00000000-0005-0000-0000-000028C60000}"/>
    <cellStyle name="Vírgula 3 4 2 5 3 2 2" xfId="53702" xr:uid="{00000000-0005-0000-0000-000029C60000}"/>
    <cellStyle name="Vírgula 3 4 2 5 3 3" xfId="21607" xr:uid="{00000000-0005-0000-0000-00002AC60000}"/>
    <cellStyle name="Vírgula 3 4 2 5 3 3 2" xfId="47794" xr:uid="{00000000-0005-0000-0000-00002BC60000}"/>
    <cellStyle name="Vírgula 3 4 2 5 3 4" xfId="15693" xr:uid="{00000000-0005-0000-0000-00002CC60000}"/>
    <cellStyle name="Vírgula 3 4 2 5 3 4 2" xfId="41886" xr:uid="{00000000-0005-0000-0000-00002DC60000}"/>
    <cellStyle name="Vírgula 3 4 2 5 3 5" xfId="35500" xr:uid="{00000000-0005-0000-0000-00002EC60000}"/>
    <cellStyle name="Vírgula 3 4 2 5 4" xfId="24564" xr:uid="{00000000-0005-0000-0000-00002FC60000}"/>
    <cellStyle name="Vírgula 3 4 2 5 4 2" xfId="50748" xr:uid="{00000000-0005-0000-0000-000030C60000}"/>
    <cellStyle name="Vírgula 3 4 2 5 5" xfId="18650" xr:uid="{00000000-0005-0000-0000-000031C60000}"/>
    <cellStyle name="Vírgula 3 4 2 5 5 2" xfId="44840" xr:uid="{00000000-0005-0000-0000-000032C60000}"/>
    <cellStyle name="Vírgula 3 4 2 5 6" xfId="12347" xr:uid="{00000000-0005-0000-0000-000033C60000}"/>
    <cellStyle name="Vírgula 3 4 2 5 6 2" xfId="38540" xr:uid="{00000000-0005-0000-0000-000034C60000}"/>
    <cellStyle name="Vírgula 3 4 2 5 7" xfId="32155" xr:uid="{00000000-0005-0000-0000-000035C60000}"/>
    <cellStyle name="Vírgula 3 4 2 6" xfId="6361" xr:uid="{00000000-0005-0000-0000-000036C60000}"/>
    <cellStyle name="Vírgula 3 4 2 6 2" xfId="9536" xr:uid="{00000000-0005-0000-0000-000037C60000}"/>
    <cellStyle name="Vírgula 3 4 2 6 2 2" xfId="27750" xr:uid="{00000000-0005-0000-0000-000038C60000}"/>
    <cellStyle name="Vírgula 3 4 2 6 2 2 2" xfId="53931" xr:uid="{00000000-0005-0000-0000-000039C60000}"/>
    <cellStyle name="Vírgula 3 4 2 6 2 3" xfId="21836" xr:uid="{00000000-0005-0000-0000-00003AC60000}"/>
    <cellStyle name="Vírgula 3 4 2 6 2 3 2" xfId="48023" xr:uid="{00000000-0005-0000-0000-00003BC60000}"/>
    <cellStyle name="Vírgula 3 4 2 6 2 4" xfId="15922" xr:uid="{00000000-0005-0000-0000-00003CC60000}"/>
    <cellStyle name="Vírgula 3 4 2 6 2 4 2" xfId="42115" xr:uid="{00000000-0005-0000-0000-00003DC60000}"/>
    <cellStyle name="Vírgula 3 4 2 6 2 5" xfId="35729" xr:uid="{00000000-0005-0000-0000-00003EC60000}"/>
    <cellStyle name="Vírgula 3 4 2 6 3" xfId="24793" xr:uid="{00000000-0005-0000-0000-00003FC60000}"/>
    <cellStyle name="Vírgula 3 4 2 6 3 2" xfId="50977" xr:uid="{00000000-0005-0000-0000-000040C60000}"/>
    <cellStyle name="Vírgula 3 4 2 6 4" xfId="18879" xr:uid="{00000000-0005-0000-0000-000041C60000}"/>
    <cellStyle name="Vírgula 3 4 2 6 4 2" xfId="45069" xr:uid="{00000000-0005-0000-0000-000042C60000}"/>
    <cellStyle name="Vírgula 3 4 2 6 5" xfId="12750" xr:uid="{00000000-0005-0000-0000-000043C60000}"/>
    <cellStyle name="Vírgula 3 4 2 6 5 2" xfId="38943" xr:uid="{00000000-0005-0000-0000-000044C60000}"/>
    <cellStyle name="Vírgula 3 4 2 6 6" xfId="32557" xr:uid="{00000000-0005-0000-0000-000045C60000}"/>
    <cellStyle name="Vírgula 3 4 2 7" xfId="8065" xr:uid="{00000000-0005-0000-0000-000046C60000}"/>
    <cellStyle name="Vírgula 3 4 2 7 2" xfId="26279" xr:uid="{00000000-0005-0000-0000-000047C60000}"/>
    <cellStyle name="Vírgula 3 4 2 7 2 2" xfId="52463" xr:uid="{00000000-0005-0000-0000-000048C60000}"/>
    <cellStyle name="Vírgula 3 4 2 7 3" xfId="20365" xr:uid="{00000000-0005-0000-0000-000049C60000}"/>
    <cellStyle name="Vírgula 3 4 2 7 3 2" xfId="46555" xr:uid="{00000000-0005-0000-0000-00004AC60000}"/>
    <cellStyle name="Vírgula 3 4 2 7 4" xfId="14454" xr:uid="{00000000-0005-0000-0000-00004BC60000}"/>
    <cellStyle name="Vírgula 3 4 2 7 4 2" xfId="40647" xr:uid="{00000000-0005-0000-0000-00004CC60000}"/>
    <cellStyle name="Vírgula 3 4 2 7 5" xfId="34261" xr:uid="{00000000-0005-0000-0000-00004DC60000}"/>
    <cellStyle name="Vírgula 3 4 2 8" xfId="4658" xr:uid="{00000000-0005-0000-0000-00004EC60000}"/>
    <cellStyle name="Vírgula 3 4 2 8 2" xfId="23322" xr:uid="{00000000-0005-0000-0000-00004FC60000}"/>
    <cellStyle name="Vírgula 3 4 2 8 2 2" xfId="49509" xr:uid="{00000000-0005-0000-0000-000050C60000}"/>
    <cellStyle name="Vírgula 3 4 2 8 3" xfId="30858" xr:uid="{00000000-0005-0000-0000-000051C60000}"/>
    <cellStyle name="Vírgula 3 4 2 9" xfId="17408" xr:uid="{00000000-0005-0000-0000-000052C60000}"/>
    <cellStyle name="Vírgula 3 4 2 9 2" xfId="43601" xr:uid="{00000000-0005-0000-0000-000053C60000}"/>
    <cellStyle name="Vírgula 3 4 3" xfId="4223" xr:uid="{00000000-0005-0000-0000-000054C60000}"/>
    <cellStyle name="Vírgula 3 4 3 10" xfId="11081" xr:uid="{00000000-0005-0000-0000-000055C60000}"/>
    <cellStyle name="Vírgula 3 4 3 10 2" xfId="37274" xr:uid="{00000000-0005-0000-0000-000056C60000}"/>
    <cellStyle name="Vírgula 3 4 3 11" xfId="30423" xr:uid="{00000000-0005-0000-0000-000057C60000}"/>
    <cellStyle name="Vírgula 3 4 3 2" xfId="4367" xr:uid="{00000000-0005-0000-0000-000058C60000}"/>
    <cellStyle name="Vírgula 3 4 3 2 2" xfId="7768" xr:uid="{00000000-0005-0000-0000-000059C60000}"/>
    <cellStyle name="Vírgula 3 4 3 2 2 2" xfId="10837" xr:uid="{00000000-0005-0000-0000-00005AC60000}"/>
    <cellStyle name="Vírgula 3 4 3 2 2 2 2" xfId="29051" xr:uid="{00000000-0005-0000-0000-00005BC60000}"/>
    <cellStyle name="Vírgula 3 4 3 2 2 2 2 2" xfId="55232" xr:uid="{00000000-0005-0000-0000-00005CC60000}"/>
    <cellStyle name="Vírgula 3 4 3 2 2 2 3" xfId="23137" xr:uid="{00000000-0005-0000-0000-00005DC60000}"/>
    <cellStyle name="Vírgula 3 4 3 2 2 2 3 2" xfId="49324" xr:uid="{00000000-0005-0000-0000-00005EC60000}"/>
    <cellStyle name="Vírgula 3 4 3 2 2 2 4" xfId="17223" xr:uid="{00000000-0005-0000-0000-00005FC60000}"/>
    <cellStyle name="Vírgula 3 4 3 2 2 2 4 2" xfId="43416" xr:uid="{00000000-0005-0000-0000-000060C60000}"/>
    <cellStyle name="Vírgula 3 4 3 2 2 2 5" xfId="37030" xr:uid="{00000000-0005-0000-0000-000061C60000}"/>
    <cellStyle name="Vírgula 3 4 3 2 2 3" xfId="26094" xr:uid="{00000000-0005-0000-0000-000062C60000}"/>
    <cellStyle name="Vírgula 3 4 3 2 2 3 2" xfId="52278" xr:uid="{00000000-0005-0000-0000-000063C60000}"/>
    <cellStyle name="Vírgula 3 4 3 2 2 4" xfId="20180" xr:uid="{00000000-0005-0000-0000-000064C60000}"/>
    <cellStyle name="Vírgula 3 4 3 2 2 4 2" xfId="46370" xr:uid="{00000000-0005-0000-0000-000065C60000}"/>
    <cellStyle name="Vírgula 3 4 3 2 2 5" xfId="14157" xr:uid="{00000000-0005-0000-0000-000066C60000}"/>
    <cellStyle name="Vírgula 3 4 3 2 2 5 2" xfId="40350" xr:uid="{00000000-0005-0000-0000-000067C60000}"/>
    <cellStyle name="Vírgula 3 4 3 2 2 6" xfId="33964" xr:uid="{00000000-0005-0000-0000-000068C60000}"/>
    <cellStyle name="Vírgula 3 4 3 2 3" xfId="9369" xr:uid="{00000000-0005-0000-0000-000069C60000}"/>
    <cellStyle name="Vírgula 3 4 3 2 3 2" xfId="27583" xr:uid="{00000000-0005-0000-0000-00006AC60000}"/>
    <cellStyle name="Vírgula 3 4 3 2 3 2 2" xfId="53764" xr:uid="{00000000-0005-0000-0000-00006BC60000}"/>
    <cellStyle name="Vírgula 3 4 3 2 3 3" xfId="21669" xr:uid="{00000000-0005-0000-0000-00006CC60000}"/>
    <cellStyle name="Vírgula 3 4 3 2 3 3 2" xfId="47856" xr:uid="{00000000-0005-0000-0000-00006DC60000}"/>
    <cellStyle name="Vírgula 3 4 3 2 3 4" xfId="15755" xr:uid="{00000000-0005-0000-0000-00006EC60000}"/>
    <cellStyle name="Vírgula 3 4 3 2 3 4 2" xfId="41948" xr:uid="{00000000-0005-0000-0000-00006FC60000}"/>
    <cellStyle name="Vírgula 3 4 3 2 3 5" xfId="35562" xr:uid="{00000000-0005-0000-0000-000070C60000}"/>
    <cellStyle name="Vírgula 3 4 3 2 4" xfId="6068" xr:uid="{00000000-0005-0000-0000-000071C60000}"/>
    <cellStyle name="Vírgula 3 4 3 2 4 2" xfId="24626" xr:uid="{00000000-0005-0000-0000-000072C60000}"/>
    <cellStyle name="Vírgula 3 4 3 2 4 2 2" xfId="50810" xr:uid="{00000000-0005-0000-0000-000073C60000}"/>
    <cellStyle name="Vírgula 3 4 3 2 4 3" xfId="32264" xr:uid="{00000000-0005-0000-0000-000074C60000}"/>
    <cellStyle name="Vírgula 3 4 3 2 5" xfId="18712" xr:uid="{00000000-0005-0000-0000-000075C60000}"/>
    <cellStyle name="Vírgula 3 4 3 2 5 2" xfId="44902" xr:uid="{00000000-0005-0000-0000-000076C60000}"/>
    <cellStyle name="Vírgula 3 4 3 2 6" xfId="12456" xr:uid="{00000000-0005-0000-0000-000077C60000}"/>
    <cellStyle name="Vírgula 3 4 3 2 6 2" xfId="38649" xr:uid="{00000000-0005-0000-0000-000078C60000}"/>
    <cellStyle name="Vírgula 3 4 3 2 7" xfId="30567" xr:uid="{00000000-0005-0000-0000-000079C60000}"/>
    <cellStyle name="Vírgula 3 4 3 3" xfId="4475" xr:uid="{00000000-0005-0000-0000-00007AC60000}"/>
    <cellStyle name="Vírgula 3 4 3 3 2" xfId="7877" xr:uid="{00000000-0005-0000-0000-00007BC60000}"/>
    <cellStyle name="Vírgula 3 4 3 3 2 2" xfId="10899" xr:uid="{00000000-0005-0000-0000-00007CC60000}"/>
    <cellStyle name="Vírgula 3 4 3 3 2 2 2" xfId="29113" xr:uid="{00000000-0005-0000-0000-00007DC60000}"/>
    <cellStyle name="Vírgula 3 4 3 3 2 2 2 2" xfId="55294" xr:uid="{00000000-0005-0000-0000-00007EC60000}"/>
    <cellStyle name="Vírgula 3 4 3 3 2 2 3" xfId="23199" xr:uid="{00000000-0005-0000-0000-00007FC60000}"/>
    <cellStyle name="Vírgula 3 4 3 3 2 2 3 2" xfId="49386" xr:uid="{00000000-0005-0000-0000-000080C60000}"/>
    <cellStyle name="Vírgula 3 4 3 3 2 2 4" xfId="17285" xr:uid="{00000000-0005-0000-0000-000081C60000}"/>
    <cellStyle name="Vírgula 3 4 3 3 2 2 4 2" xfId="43478" xr:uid="{00000000-0005-0000-0000-000082C60000}"/>
    <cellStyle name="Vírgula 3 4 3 3 2 2 5" xfId="37092" xr:uid="{00000000-0005-0000-0000-000083C60000}"/>
    <cellStyle name="Vírgula 3 4 3 3 2 3" xfId="26156" xr:uid="{00000000-0005-0000-0000-000084C60000}"/>
    <cellStyle name="Vírgula 3 4 3 3 2 3 2" xfId="52340" xr:uid="{00000000-0005-0000-0000-000085C60000}"/>
    <cellStyle name="Vírgula 3 4 3 3 2 4" xfId="20242" xr:uid="{00000000-0005-0000-0000-000086C60000}"/>
    <cellStyle name="Vírgula 3 4 3 3 2 4 2" xfId="46432" xr:uid="{00000000-0005-0000-0000-000087C60000}"/>
    <cellStyle name="Vírgula 3 4 3 3 2 5" xfId="14266" xr:uid="{00000000-0005-0000-0000-000088C60000}"/>
    <cellStyle name="Vírgula 3 4 3 3 2 5 2" xfId="40459" xr:uid="{00000000-0005-0000-0000-000089C60000}"/>
    <cellStyle name="Vírgula 3 4 3 3 2 6" xfId="34073" xr:uid="{00000000-0005-0000-0000-00008AC60000}"/>
    <cellStyle name="Vírgula 3 4 3 3 3" xfId="9431" xr:uid="{00000000-0005-0000-0000-00008BC60000}"/>
    <cellStyle name="Vírgula 3 4 3 3 3 2" xfId="27645" xr:uid="{00000000-0005-0000-0000-00008CC60000}"/>
    <cellStyle name="Vírgula 3 4 3 3 3 2 2" xfId="53826" xr:uid="{00000000-0005-0000-0000-00008DC60000}"/>
    <cellStyle name="Vírgula 3 4 3 3 3 3" xfId="21731" xr:uid="{00000000-0005-0000-0000-00008EC60000}"/>
    <cellStyle name="Vírgula 3 4 3 3 3 3 2" xfId="47918" xr:uid="{00000000-0005-0000-0000-00008FC60000}"/>
    <cellStyle name="Vírgula 3 4 3 3 3 4" xfId="15817" xr:uid="{00000000-0005-0000-0000-000090C60000}"/>
    <cellStyle name="Vírgula 3 4 3 3 3 4 2" xfId="42010" xr:uid="{00000000-0005-0000-0000-000091C60000}"/>
    <cellStyle name="Vírgula 3 4 3 3 3 5" xfId="35624" xr:uid="{00000000-0005-0000-0000-000092C60000}"/>
    <cellStyle name="Vírgula 3 4 3 3 4" xfId="6176" xr:uid="{00000000-0005-0000-0000-000093C60000}"/>
    <cellStyle name="Vírgula 3 4 3 3 4 2" xfId="24688" xr:uid="{00000000-0005-0000-0000-000094C60000}"/>
    <cellStyle name="Vírgula 3 4 3 3 4 2 2" xfId="50872" xr:uid="{00000000-0005-0000-0000-000095C60000}"/>
    <cellStyle name="Vírgula 3 4 3 3 4 3" xfId="32372" xr:uid="{00000000-0005-0000-0000-000096C60000}"/>
    <cellStyle name="Vírgula 3 4 3 3 5" xfId="18774" xr:uid="{00000000-0005-0000-0000-000097C60000}"/>
    <cellStyle name="Vírgula 3 4 3 3 5 2" xfId="44964" xr:uid="{00000000-0005-0000-0000-000098C60000}"/>
    <cellStyle name="Vírgula 3 4 3 3 6" xfId="12565" xr:uid="{00000000-0005-0000-0000-000099C60000}"/>
    <cellStyle name="Vírgula 3 4 3 3 6 2" xfId="38758" xr:uid="{00000000-0005-0000-0000-00009AC60000}"/>
    <cellStyle name="Vírgula 3 4 3 3 7" xfId="30675" xr:uid="{00000000-0005-0000-0000-00009BC60000}"/>
    <cellStyle name="Vírgula 3 4 3 4" xfId="4583" xr:uid="{00000000-0005-0000-0000-00009CC60000}"/>
    <cellStyle name="Vírgula 3 4 3 4 2" xfId="7985" xr:uid="{00000000-0005-0000-0000-00009DC60000}"/>
    <cellStyle name="Vírgula 3 4 3 4 2 2" xfId="10961" xr:uid="{00000000-0005-0000-0000-00009EC60000}"/>
    <cellStyle name="Vírgula 3 4 3 4 2 2 2" xfId="29175" xr:uid="{00000000-0005-0000-0000-00009FC60000}"/>
    <cellStyle name="Vírgula 3 4 3 4 2 2 2 2" xfId="55356" xr:uid="{00000000-0005-0000-0000-0000A0C60000}"/>
    <cellStyle name="Vírgula 3 4 3 4 2 2 3" xfId="23261" xr:uid="{00000000-0005-0000-0000-0000A1C60000}"/>
    <cellStyle name="Vírgula 3 4 3 4 2 2 3 2" xfId="49448" xr:uid="{00000000-0005-0000-0000-0000A2C60000}"/>
    <cellStyle name="Vírgula 3 4 3 4 2 2 4" xfId="17347" xr:uid="{00000000-0005-0000-0000-0000A3C60000}"/>
    <cellStyle name="Vírgula 3 4 3 4 2 2 4 2" xfId="43540" xr:uid="{00000000-0005-0000-0000-0000A4C60000}"/>
    <cellStyle name="Vírgula 3 4 3 4 2 2 5" xfId="37154" xr:uid="{00000000-0005-0000-0000-0000A5C60000}"/>
    <cellStyle name="Vírgula 3 4 3 4 2 3" xfId="26218" xr:uid="{00000000-0005-0000-0000-0000A6C60000}"/>
    <cellStyle name="Vírgula 3 4 3 4 2 3 2" xfId="52402" xr:uid="{00000000-0005-0000-0000-0000A7C60000}"/>
    <cellStyle name="Vírgula 3 4 3 4 2 4" xfId="20304" xr:uid="{00000000-0005-0000-0000-0000A8C60000}"/>
    <cellStyle name="Vírgula 3 4 3 4 2 4 2" xfId="46494" xr:uid="{00000000-0005-0000-0000-0000A9C60000}"/>
    <cellStyle name="Vírgula 3 4 3 4 2 5" xfId="14374" xr:uid="{00000000-0005-0000-0000-0000AAC60000}"/>
    <cellStyle name="Vírgula 3 4 3 4 2 5 2" xfId="40567" xr:uid="{00000000-0005-0000-0000-0000ABC60000}"/>
    <cellStyle name="Vírgula 3 4 3 4 2 6" xfId="34181" xr:uid="{00000000-0005-0000-0000-0000ACC60000}"/>
    <cellStyle name="Vírgula 3 4 3 4 3" xfId="9493" xr:uid="{00000000-0005-0000-0000-0000ADC60000}"/>
    <cellStyle name="Vírgula 3 4 3 4 3 2" xfId="27707" xr:uid="{00000000-0005-0000-0000-0000AEC60000}"/>
    <cellStyle name="Vírgula 3 4 3 4 3 2 2" xfId="53888" xr:uid="{00000000-0005-0000-0000-0000AFC60000}"/>
    <cellStyle name="Vírgula 3 4 3 4 3 3" xfId="21793" xr:uid="{00000000-0005-0000-0000-0000B0C60000}"/>
    <cellStyle name="Vírgula 3 4 3 4 3 3 2" xfId="47980" xr:uid="{00000000-0005-0000-0000-0000B1C60000}"/>
    <cellStyle name="Vírgula 3 4 3 4 3 4" xfId="15879" xr:uid="{00000000-0005-0000-0000-0000B2C60000}"/>
    <cellStyle name="Vírgula 3 4 3 4 3 4 2" xfId="42072" xr:uid="{00000000-0005-0000-0000-0000B3C60000}"/>
    <cellStyle name="Vírgula 3 4 3 4 3 5" xfId="35686" xr:uid="{00000000-0005-0000-0000-0000B4C60000}"/>
    <cellStyle name="Vírgula 3 4 3 4 4" xfId="6284" xr:uid="{00000000-0005-0000-0000-0000B5C60000}"/>
    <cellStyle name="Vírgula 3 4 3 4 4 2" xfId="24750" xr:uid="{00000000-0005-0000-0000-0000B6C60000}"/>
    <cellStyle name="Vírgula 3 4 3 4 4 2 2" xfId="50934" xr:uid="{00000000-0005-0000-0000-0000B7C60000}"/>
    <cellStyle name="Vírgula 3 4 3 4 4 3" xfId="32480" xr:uid="{00000000-0005-0000-0000-0000B8C60000}"/>
    <cellStyle name="Vírgula 3 4 3 4 5" xfId="18836" xr:uid="{00000000-0005-0000-0000-0000B9C60000}"/>
    <cellStyle name="Vírgula 3 4 3 4 5 2" xfId="45026" xr:uid="{00000000-0005-0000-0000-0000BAC60000}"/>
    <cellStyle name="Vírgula 3 4 3 4 6" xfId="12673" xr:uid="{00000000-0005-0000-0000-0000BBC60000}"/>
    <cellStyle name="Vírgula 3 4 3 4 6 2" xfId="38866" xr:uid="{00000000-0005-0000-0000-0000BCC60000}"/>
    <cellStyle name="Vírgula 3 4 3 4 7" xfId="30783" xr:uid="{00000000-0005-0000-0000-0000BDC60000}"/>
    <cellStyle name="Vírgula 3 4 3 5" xfId="5923" xr:uid="{00000000-0005-0000-0000-0000BEC60000}"/>
    <cellStyle name="Vírgula 3 4 3 5 2" xfId="7623" xr:uid="{00000000-0005-0000-0000-0000BFC60000}"/>
    <cellStyle name="Vírgula 3 4 3 5 2 2" xfId="10755" xr:uid="{00000000-0005-0000-0000-0000C0C60000}"/>
    <cellStyle name="Vírgula 3 4 3 5 2 2 2" xfId="28969" xr:uid="{00000000-0005-0000-0000-0000C1C60000}"/>
    <cellStyle name="Vírgula 3 4 3 5 2 2 2 2" xfId="55150" xr:uid="{00000000-0005-0000-0000-0000C2C60000}"/>
    <cellStyle name="Vírgula 3 4 3 5 2 2 3" xfId="23055" xr:uid="{00000000-0005-0000-0000-0000C3C60000}"/>
    <cellStyle name="Vírgula 3 4 3 5 2 2 3 2" xfId="49242" xr:uid="{00000000-0005-0000-0000-0000C4C60000}"/>
    <cellStyle name="Vírgula 3 4 3 5 2 2 4" xfId="17141" xr:uid="{00000000-0005-0000-0000-0000C5C60000}"/>
    <cellStyle name="Vírgula 3 4 3 5 2 2 4 2" xfId="43334" xr:uid="{00000000-0005-0000-0000-0000C6C60000}"/>
    <cellStyle name="Vírgula 3 4 3 5 2 2 5" xfId="36948" xr:uid="{00000000-0005-0000-0000-0000C7C60000}"/>
    <cellStyle name="Vírgula 3 4 3 5 2 3" xfId="26012" xr:uid="{00000000-0005-0000-0000-0000C8C60000}"/>
    <cellStyle name="Vírgula 3 4 3 5 2 3 2" xfId="52196" xr:uid="{00000000-0005-0000-0000-0000C9C60000}"/>
    <cellStyle name="Vírgula 3 4 3 5 2 4" xfId="20098" xr:uid="{00000000-0005-0000-0000-0000CAC60000}"/>
    <cellStyle name="Vírgula 3 4 3 5 2 4 2" xfId="46288" xr:uid="{00000000-0005-0000-0000-0000CBC60000}"/>
    <cellStyle name="Vírgula 3 4 3 5 2 5" xfId="14012" xr:uid="{00000000-0005-0000-0000-0000CCC60000}"/>
    <cellStyle name="Vírgula 3 4 3 5 2 5 2" xfId="40205" xr:uid="{00000000-0005-0000-0000-0000CDC60000}"/>
    <cellStyle name="Vírgula 3 4 3 5 2 6" xfId="33819" xr:uid="{00000000-0005-0000-0000-0000CEC60000}"/>
    <cellStyle name="Vírgula 3 4 3 5 3" xfId="9287" xr:uid="{00000000-0005-0000-0000-0000CFC60000}"/>
    <cellStyle name="Vírgula 3 4 3 5 3 2" xfId="27501" xr:uid="{00000000-0005-0000-0000-0000D0C60000}"/>
    <cellStyle name="Vírgula 3 4 3 5 3 2 2" xfId="53682" xr:uid="{00000000-0005-0000-0000-0000D1C60000}"/>
    <cellStyle name="Vírgula 3 4 3 5 3 3" xfId="21587" xr:uid="{00000000-0005-0000-0000-0000D2C60000}"/>
    <cellStyle name="Vírgula 3 4 3 5 3 3 2" xfId="47774" xr:uid="{00000000-0005-0000-0000-0000D3C60000}"/>
    <cellStyle name="Vírgula 3 4 3 5 3 4" xfId="15673" xr:uid="{00000000-0005-0000-0000-0000D4C60000}"/>
    <cellStyle name="Vírgula 3 4 3 5 3 4 2" xfId="41866" xr:uid="{00000000-0005-0000-0000-0000D5C60000}"/>
    <cellStyle name="Vírgula 3 4 3 5 3 5" xfId="35480" xr:uid="{00000000-0005-0000-0000-0000D6C60000}"/>
    <cellStyle name="Vírgula 3 4 3 5 4" xfId="24544" xr:uid="{00000000-0005-0000-0000-0000D7C60000}"/>
    <cellStyle name="Vírgula 3 4 3 5 4 2" xfId="50728" xr:uid="{00000000-0005-0000-0000-0000D8C60000}"/>
    <cellStyle name="Vírgula 3 4 3 5 5" xfId="18630" xr:uid="{00000000-0005-0000-0000-0000D9C60000}"/>
    <cellStyle name="Vírgula 3 4 3 5 5 2" xfId="44820" xr:uid="{00000000-0005-0000-0000-0000DAC60000}"/>
    <cellStyle name="Vírgula 3 4 3 5 6" xfId="12311" xr:uid="{00000000-0005-0000-0000-0000DBC60000}"/>
    <cellStyle name="Vírgula 3 4 3 5 6 2" xfId="38504" xr:uid="{00000000-0005-0000-0000-0000DCC60000}"/>
    <cellStyle name="Vírgula 3 4 3 5 7" xfId="32119" xr:uid="{00000000-0005-0000-0000-0000DDC60000}"/>
    <cellStyle name="Vírgula 3 4 3 6" xfId="6393" xr:uid="{00000000-0005-0000-0000-0000DEC60000}"/>
    <cellStyle name="Vírgula 3 4 3 6 2" xfId="9555" xr:uid="{00000000-0005-0000-0000-0000DFC60000}"/>
    <cellStyle name="Vírgula 3 4 3 6 2 2" xfId="27769" xr:uid="{00000000-0005-0000-0000-0000E0C60000}"/>
    <cellStyle name="Vírgula 3 4 3 6 2 2 2" xfId="53950" xr:uid="{00000000-0005-0000-0000-0000E1C60000}"/>
    <cellStyle name="Vírgula 3 4 3 6 2 3" xfId="21855" xr:uid="{00000000-0005-0000-0000-0000E2C60000}"/>
    <cellStyle name="Vírgula 3 4 3 6 2 3 2" xfId="48042" xr:uid="{00000000-0005-0000-0000-0000E3C60000}"/>
    <cellStyle name="Vírgula 3 4 3 6 2 4" xfId="15941" xr:uid="{00000000-0005-0000-0000-0000E4C60000}"/>
    <cellStyle name="Vírgula 3 4 3 6 2 4 2" xfId="42134" xr:uid="{00000000-0005-0000-0000-0000E5C60000}"/>
    <cellStyle name="Vírgula 3 4 3 6 2 5" xfId="35748" xr:uid="{00000000-0005-0000-0000-0000E6C60000}"/>
    <cellStyle name="Vírgula 3 4 3 6 3" xfId="24812" xr:uid="{00000000-0005-0000-0000-0000E7C60000}"/>
    <cellStyle name="Vírgula 3 4 3 6 3 2" xfId="50996" xr:uid="{00000000-0005-0000-0000-0000E8C60000}"/>
    <cellStyle name="Vírgula 3 4 3 6 4" xfId="18898" xr:uid="{00000000-0005-0000-0000-0000E9C60000}"/>
    <cellStyle name="Vírgula 3 4 3 6 4 2" xfId="45088" xr:uid="{00000000-0005-0000-0000-0000EAC60000}"/>
    <cellStyle name="Vírgula 3 4 3 6 5" xfId="12782" xr:uid="{00000000-0005-0000-0000-0000EBC60000}"/>
    <cellStyle name="Vírgula 3 4 3 6 5 2" xfId="38975" xr:uid="{00000000-0005-0000-0000-0000ECC60000}"/>
    <cellStyle name="Vírgula 3 4 3 6 6" xfId="32589" xr:uid="{00000000-0005-0000-0000-0000EDC60000}"/>
    <cellStyle name="Vírgula 3 4 3 7" xfId="8084" xr:uid="{00000000-0005-0000-0000-0000EEC60000}"/>
    <cellStyle name="Vírgula 3 4 3 7 2" xfId="26298" xr:uid="{00000000-0005-0000-0000-0000EFC60000}"/>
    <cellStyle name="Vírgula 3 4 3 7 2 2" xfId="52482" xr:uid="{00000000-0005-0000-0000-0000F0C60000}"/>
    <cellStyle name="Vírgula 3 4 3 7 3" xfId="20384" xr:uid="{00000000-0005-0000-0000-0000F1C60000}"/>
    <cellStyle name="Vírgula 3 4 3 7 3 2" xfId="46574" xr:uid="{00000000-0005-0000-0000-0000F2C60000}"/>
    <cellStyle name="Vírgula 3 4 3 7 4" xfId="14473" xr:uid="{00000000-0005-0000-0000-0000F3C60000}"/>
    <cellStyle name="Vírgula 3 4 3 7 4 2" xfId="40666" xr:uid="{00000000-0005-0000-0000-0000F4C60000}"/>
    <cellStyle name="Vírgula 3 4 3 7 5" xfId="34280" xr:uid="{00000000-0005-0000-0000-0000F5C60000}"/>
    <cellStyle name="Vírgula 3 4 3 8" xfId="4690" xr:uid="{00000000-0005-0000-0000-0000F6C60000}"/>
    <cellStyle name="Vírgula 3 4 3 8 2" xfId="23341" xr:uid="{00000000-0005-0000-0000-0000F7C60000}"/>
    <cellStyle name="Vírgula 3 4 3 8 2 2" xfId="49528" xr:uid="{00000000-0005-0000-0000-0000F8C60000}"/>
    <cellStyle name="Vírgula 3 4 3 8 3" xfId="30890" xr:uid="{00000000-0005-0000-0000-0000F9C60000}"/>
    <cellStyle name="Vírgula 3 4 3 9" xfId="17427" xr:uid="{00000000-0005-0000-0000-0000FAC60000}"/>
    <cellStyle name="Vírgula 3 4 3 9 2" xfId="43620" xr:uid="{00000000-0005-0000-0000-0000FBC60000}"/>
    <cellStyle name="Vírgula 3 4 4" xfId="4299" xr:uid="{00000000-0005-0000-0000-0000FCC60000}"/>
    <cellStyle name="Vírgula 3 4 4 2" xfId="7700" xr:uid="{00000000-0005-0000-0000-0000FDC60000}"/>
    <cellStyle name="Vírgula 3 4 4 2 2" xfId="10798" xr:uid="{00000000-0005-0000-0000-0000FEC60000}"/>
    <cellStyle name="Vírgula 3 4 4 2 2 2" xfId="29012" xr:uid="{00000000-0005-0000-0000-0000FFC60000}"/>
    <cellStyle name="Vírgula 3 4 4 2 2 2 2" xfId="55193" xr:uid="{00000000-0005-0000-0000-000000C70000}"/>
    <cellStyle name="Vírgula 3 4 4 2 2 3" xfId="23098" xr:uid="{00000000-0005-0000-0000-000001C70000}"/>
    <cellStyle name="Vírgula 3 4 4 2 2 3 2" xfId="49285" xr:uid="{00000000-0005-0000-0000-000002C70000}"/>
    <cellStyle name="Vírgula 3 4 4 2 2 4" xfId="17184" xr:uid="{00000000-0005-0000-0000-000003C70000}"/>
    <cellStyle name="Vírgula 3 4 4 2 2 4 2" xfId="43377" xr:uid="{00000000-0005-0000-0000-000004C70000}"/>
    <cellStyle name="Vírgula 3 4 4 2 2 5" xfId="36991" xr:uid="{00000000-0005-0000-0000-000005C70000}"/>
    <cellStyle name="Vírgula 3 4 4 2 3" xfId="26055" xr:uid="{00000000-0005-0000-0000-000006C70000}"/>
    <cellStyle name="Vírgula 3 4 4 2 3 2" xfId="52239" xr:uid="{00000000-0005-0000-0000-000007C70000}"/>
    <cellStyle name="Vírgula 3 4 4 2 4" xfId="20141" xr:uid="{00000000-0005-0000-0000-000008C70000}"/>
    <cellStyle name="Vírgula 3 4 4 2 4 2" xfId="46331" xr:uid="{00000000-0005-0000-0000-000009C70000}"/>
    <cellStyle name="Vírgula 3 4 4 2 5" xfId="14089" xr:uid="{00000000-0005-0000-0000-00000AC70000}"/>
    <cellStyle name="Vírgula 3 4 4 2 5 2" xfId="40282" xr:uid="{00000000-0005-0000-0000-00000BC70000}"/>
    <cellStyle name="Vírgula 3 4 4 2 6" xfId="33896" xr:uid="{00000000-0005-0000-0000-00000CC70000}"/>
    <cellStyle name="Vírgula 3 4 4 3" xfId="9330" xr:uid="{00000000-0005-0000-0000-00000DC70000}"/>
    <cellStyle name="Vírgula 3 4 4 3 2" xfId="27544" xr:uid="{00000000-0005-0000-0000-00000EC70000}"/>
    <cellStyle name="Vírgula 3 4 4 3 2 2" xfId="53725" xr:uid="{00000000-0005-0000-0000-00000FC70000}"/>
    <cellStyle name="Vírgula 3 4 4 3 3" xfId="21630" xr:uid="{00000000-0005-0000-0000-000010C70000}"/>
    <cellStyle name="Vírgula 3 4 4 3 3 2" xfId="47817" xr:uid="{00000000-0005-0000-0000-000011C70000}"/>
    <cellStyle name="Vírgula 3 4 4 3 4" xfId="15716" xr:uid="{00000000-0005-0000-0000-000012C70000}"/>
    <cellStyle name="Vírgula 3 4 4 3 4 2" xfId="41909" xr:uid="{00000000-0005-0000-0000-000013C70000}"/>
    <cellStyle name="Vírgula 3 4 4 3 5" xfId="35523" xr:uid="{00000000-0005-0000-0000-000014C70000}"/>
    <cellStyle name="Vírgula 3 4 4 4" xfId="6000" xr:uid="{00000000-0005-0000-0000-000015C70000}"/>
    <cellStyle name="Vírgula 3 4 4 4 2" xfId="24587" xr:uid="{00000000-0005-0000-0000-000016C70000}"/>
    <cellStyle name="Vírgula 3 4 4 4 2 2" xfId="50771" xr:uid="{00000000-0005-0000-0000-000017C70000}"/>
    <cellStyle name="Vírgula 3 4 4 4 3" xfId="32196" xr:uid="{00000000-0005-0000-0000-000018C70000}"/>
    <cellStyle name="Vírgula 3 4 4 5" xfId="18673" xr:uid="{00000000-0005-0000-0000-000019C70000}"/>
    <cellStyle name="Vírgula 3 4 4 5 2" xfId="44863" xr:uid="{00000000-0005-0000-0000-00001AC70000}"/>
    <cellStyle name="Vírgula 3 4 4 6" xfId="12388" xr:uid="{00000000-0005-0000-0000-00001BC70000}"/>
    <cellStyle name="Vírgula 3 4 4 6 2" xfId="38581" xr:uid="{00000000-0005-0000-0000-00001CC70000}"/>
    <cellStyle name="Vírgula 3 4 4 7" xfId="30499" xr:uid="{00000000-0005-0000-0000-00001DC70000}"/>
    <cellStyle name="Vírgula 3 4 5" xfId="4407" xr:uid="{00000000-0005-0000-0000-00001EC70000}"/>
    <cellStyle name="Vírgula 3 4 5 2" xfId="7809" xr:uid="{00000000-0005-0000-0000-00001FC70000}"/>
    <cellStyle name="Vírgula 3 4 5 2 2" xfId="10860" xr:uid="{00000000-0005-0000-0000-000020C70000}"/>
    <cellStyle name="Vírgula 3 4 5 2 2 2" xfId="29074" xr:uid="{00000000-0005-0000-0000-000021C70000}"/>
    <cellStyle name="Vírgula 3 4 5 2 2 2 2" xfId="55255" xr:uid="{00000000-0005-0000-0000-000022C70000}"/>
    <cellStyle name="Vírgula 3 4 5 2 2 3" xfId="23160" xr:uid="{00000000-0005-0000-0000-000023C70000}"/>
    <cellStyle name="Vírgula 3 4 5 2 2 3 2" xfId="49347" xr:uid="{00000000-0005-0000-0000-000024C70000}"/>
    <cellStyle name="Vírgula 3 4 5 2 2 4" xfId="17246" xr:uid="{00000000-0005-0000-0000-000025C70000}"/>
    <cellStyle name="Vírgula 3 4 5 2 2 4 2" xfId="43439" xr:uid="{00000000-0005-0000-0000-000026C70000}"/>
    <cellStyle name="Vírgula 3 4 5 2 2 5" xfId="37053" xr:uid="{00000000-0005-0000-0000-000027C70000}"/>
    <cellStyle name="Vírgula 3 4 5 2 3" xfId="26117" xr:uid="{00000000-0005-0000-0000-000028C70000}"/>
    <cellStyle name="Vírgula 3 4 5 2 3 2" xfId="52301" xr:uid="{00000000-0005-0000-0000-000029C70000}"/>
    <cellStyle name="Vírgula 3 4 5 2 4" xfId="20203" xr:uid="{00000000-0005-0000-0000-00002AC70000}"/>
    <cellStyle name="Vírgula 3 4 5 2 4 2" xfId="46393" xr:uid="{00000000-0005-0000-0000-00002BC70000}"/>
    <cellStyle name="Vírgula 3 4 5 2 5" xfId="14198" xr:uid="{00000000-0005-0000-0000-00002CC70000}"/>
    <cellStyle name="Vírgula 3 4 5 2 5 2" xfId="40391" xr:uid="{00000000-0005-0000-0000-00002DC70000}"/>
    <cellStyle name="Vírgula 3 4 5 2 6" xfId="34005" xr:uid="{00000000-0005-0000-0000-00002EC70000}"/>
    <cellStyle name="Vírgula 3 4 5 3" xfId="9392" xr:uid="{00000000-0005-0000-0000-00002FC70000}"/>
    <cellStyle name="Vírgula 3 4 5 3 2" xfId="27606" xr:uid="{00000000-0005-0000-0000-000030C70000}"/>
    <cellStyle name="Vírgula 3 4 5 3 2 2" xfId="53787" xr:uid="{00000000-0005-0000-0000-000031C70000}"/>
    <cellStyle name="Vírgula 3 4 5 3 3" xfId="21692" xr:uid="{00000000-0005-0000-0000-000032C70000}"/>
    <cellStyle name="Vírgula 3 4 5 3 3 2" xfId="47879" xr:uid="{00000000-0005-0000-0000-000033C70000}"/>
    <cellStyle name="Vírgula 3 4 5 3 4" xfId="15778" xr:uid="{00000000-0005-0000-0000-000034C70000}"/>
    <cellStyle name="Vírgula 3 4 5 3 4 2" xfId="41971" xr:uid="{00000000-0005-0000-0000-000035C70000}"/>
    <cellStyle name="Vírgula 3 4 5 3 5" xfId="35585" xr:uid="{00000000-0005-0000-0000-000036C70000}"/>
    <cellStyle name="Vírgula 3 4 5 4" xfId="6109" xr:uid="{00000000-0005-0000-0000-000037C70000}"/>
    <cellStyle name="Vírgula 3 4 5 4 2" xfId="24649" xr:uid="{00000000-0005-0000-0000-000038C70000}"/>
    <cellStyle name="Vírgula 3 4 5 4 2 2" xfId="50833" xr:uid="{00000000-0005-0000-0000-000039C70000}"/>
    <cellStyle name="Vírgula 3 4 5 4 3" xfId="32305" xr:uid="{00000000-0005-0000-0000-00003AC70000}"/>
    <cellStyle name="Vírgula 3 4 5 5" xfId="18735" xr:uid="{00000000-0005-0000-0000-00003BC70000}"/>
    <cellStyle name="Vírgula 3 4 5 5 2" xfId="44925" xr:uid="{00000000-0005-0000-0000-00003CC70000}"/>
    <cellStyle name="Vírgula 3 4 5 6" xfId="12497" xr:uid="{00000000-0005-0000-0000-00003DC70000}"/>
    <cellStyle name="Vírgula 3 4 5 6 2" xfId="38690" xr:uid="{00000000-0005-0000-0000-00003EC70000}"/>
    <cellStyle name="Vírgula 3 4 5 7" xfId="30607" xr:uid="{00000000-0005-0000-0000-00003FC70000}"/>
    <cellStyle name="Vírgula 3 4 6" xfId="4515" xr:uid="{00000000-0005-0000-0000-000040C70000}"/>
    <cellStyle name="Vírgula 3 4 6 2" xfId="7917" xr:uid="{00000000-0005-0000-0000-000041C70000}"/>
    <cellStyle name="Vírgula 3 4 6 2 2" xfId="10922" xr:uid="{00000000-0005-0000-0000-000042C70000}"/>
    <cellStyle name="Vírgula 3 4 6 2 2 2" xfId="29136" xr:uid="{00000000-0005-0000-0000-000043C70000}"/>
    <cellStyle name="Vírgula 3 4 6 2 2 2 2" xfId="55317" xr:uid="{00000000-0005-0000-0000-000044C70000}"/>
    <cellStyle name="Vírgula 3 4 6 2 2 3" xfId="23222" xr:uid="{00000000-0005-0000-0000-000045C70000}"/>
    <cellStyle name="Vírgula 3 4 6 2 2 3 2" xfId="49409" xr:uid="{00000000-0005-0000-0000-000046C70000}"/>
    <cellStyle name="Vírgula 3 4 6 2 2 4" xfId="17308" xr:uid="{00000000-0005-0000-0000-000047C70000}"/>
    <cellStyle name="Vírgula 3 4 6 2 2 4 2" xfId="43501" xr:uid="{00000000-0005-0000-0000-000048C70000}"/>
    <cellStyle name="Vírgula 3 4 6 2 2 5" xfId="37115" xr:uid="{00000000-0005-0000-0000-000049C70000}"/>
    <cellStyle name="Vírgula 3 4 6 2 3" xfId="26179" xr:uid="{00000000-0005-0000-0000-00004AC70000}"/>
    <cellStyle name="Vírgula 3 4 6 2 3 2" xfId="52363" xr:uid="{00000000-0005-0000-0000-00004BC70000}"/>
    <cellStyle name="Vírgula 3 4 6 2 4" xfId="20265" xr:uid="{00000000-0005-0000-0000-00004CC70000}"/>
    <cellStyle name="Vírgula 3 4 6 2 4 2" xfId="46455" xr:uid="{00000000-0005-0000-0000-00004DC70000}"/>
    <cellStyle name="Vírgula 3 4 6 2 5" xfId="14306" xr:uid="{00000000-0005-0000-0000-00004EC70000}"/>
    <cellStyle name="Vírgula 3 4 6 2 5 2" xfId="40499" xr:uid="{00000000-0005-0000-0000-00004FC70000}"/>
    <cellStyle name="Vírgula 3 4 6 2 6" xfId="34113" xr:uid="{00000000-0005-0000-0000-000050C70000}"/>
    <cellStyle name="Vírgula 3 4 6 3" xfId="9454" xr:uid="{00000000-0005-0000-0000-000051C70000}"/>
    <cellStyle name="Vírgula 3 4 6 3 2" xfId="27668" xr:uid="{00000000-0005-0000-0000-000052C70000}"/>
    <cellStyle name="Vírgula 3 4 6 3 2 2" xfId="53849" xr:uid="{00000000-0005-0000-0000-000053C70000}"/>
    <cellStyle name="Vírgula 3 4 6 3 3" xfId="21754" xr:uid="{00000000-0005-0000-0000-000054C70000}"/>
    <cellStyle name="Vírgula 3 4 6 3 3 2" xfId="47941" xr:uid="{00000000-0005-0000-0000-000055C70000}"/>
    <cellStyle name="Vírgula 3 4 6 3 4" xfId="15840" xr:uid="{00000000-0005-0000-0000-000056C70000}"/>
    <cellStyle name="Vírgula 3 4 6 3 4 2" xfId="42033" xr:uid="{00000000-0005-0000-0000-000057C70000}"/>
    <cellStyle name="Vírgula 3 4 6 3 5" xfId="35647" xr:uid="{00000000-0005-0000-0000-000058C70000}"/>
    <cellStyle name="Vírgula 3 4 6 4" xfId="6216" xr:uid="{00000000-0005-0000-0000-000059C70000}"/>
    <cellStyle name="Vírgula 3 4 6 4 2" xfId="24711" xr:uid="{00000000-0005-0000-0000-00005AC70000}"/>
    <cellStyle name="Vírgula 3 4 6 4 2 2" xfId="50895" xr:uid="{00000000-0005-0000-0000-00005BC70000}"/>
    <cellStyle name="Vírgula 3 4 6 4 3" xfId="32412" xr:uid="{00000000-0005-0000-0000-00005CC70000}"/>
    <cellStyle name="Vírgula 3 4 6 5" xfId="18797" xr:uid="{00000000-0005-0000-0000-00005DC70000}"/>
    <cellStyle name="Vírgula 3 4 6 5 2" xfId="44987" xr:uid="{00000000-0005-0000-0000-00005EC70000}"/>
    <cellStyle name="Vírgula 3 4 6 6" xfId="12605" xr:uid="{00000000-0005-0000-0000-00005FC70000}"/>
    <cellStyle name="Vírgula 3 4 6 6 2" xfId="38798" xr:uid="{00000000-0005-0000-0000-000060C70000}"/>
    <cellStyle name="Vírgula 3 4 6 7" xfId="30715" xr:uid="{00000000-0005-0000-0000-000061C70000}"/>
    <cellStyle name="Vírgula 3 4 7" xfId="5068" xr:uid="{00000000-0005-0000-0000-000062C70000}"/>
    <cellStyle name="Vírgula 3 4 7 2" xfId="6767" xr:uid="{00000000-0005-0000-0000-000063C70000}"/>
    <cellStyle name="Vírgula 3 4 7 2 2" xfId="9914" xr:uid="{00000000-0005-0000-0000-000064C70000}"/>
    <cellStyle name="Vírgula 3 4 7 2 2 2" xfId="28128" xr:uid="{00000000-0005-0000-0000-000065C70000}"/>
    <cellStyle name="Vírgula 3 4 7 2 2 2 2" xfId="54309" xr:uid="{00000000-0005-0000-0000-000066C70000}"/>
    <cellStyle name="Vírgula 3 4 7 2 2 3" xfId="22214" xr:uid="{00000000-0005-0000-0000-000067C70000}"/>
    <cellStyle name="Vírgula 3 4 7 2 2 3 2" xfId="48401" xr:uid="{00000000-0005-0000-0000-000068C70000}"/>
    <cellStyle name="Vírgula 3 4 7 2 2 4" xfId="16300" xr:uid="{00000000-0005-0000-0000-000069C70000}"/>
    <cellStyle name="Vírgula 3 4 7 2 2 4 2" xfId="42493" xr:uid="{00000000-0005-0000-0000-00006AC70000}"/>
    <cellStyle name="Vírgula 3 4 7 2 2 5" xfId="36107" xr:uid="{00000000-0005-0000-0000-00006BC70000}"/>
    <cellStyle name="Vírgula 3 4 7 2 3" xfId="25171" xr:uid="{00000000-0005-0000-0000-00006CC70000}"/>
    <cellStyle name="Vírgula 3 4 7 2 3 2" xfId="51355" xr:uid="{00000000-0005-0000-0000-00006DC70000}"/>
    <cellStyle name="Vírgula 3 4 7 2 4" xfId="19257" xr:uid="{00000000-0005-0000-0000-00006EC70000}"/>
    <cellStyle name="Vírgula 3 4 7 2 4 2" xfId="45447" xr:uid="{00000000-0005-0000-0000-00006FC70000}"/>
    <cellStyle name="Vírgula 3 4 7 2 5" xfId="13156" xr:uid="{00000000-0005-0000-0000-000070C70000}"/>
    <cellStyle name="Vírgula 3 4 7 2 5 2" xfId="39349" xr:uid="{00000000-0005-0000-0000-000071C70000}"/>
    <cellStyle name="Vírgula 3 4 7 2 6" xfId="32963" xr:uid="{00000000-0005-0000-0000-000072C70000}"/>
    <cellStyle name="Vírgula 3 4 7 3" xfId="8446" xr:uid="{00000000-0005-0000-0000-000073C70000}"/>
    <cellStyle name="Vírgula 3 4 7 3 2" xfId="26660" xr:uid="{00000000-0005-0000-0000-000074C70000}"/>
    <cellStyle name="Vírgula 3 4 7 3 2 2" xfId="52841" xr:uid="{00000000-0005-0000-0000-000075C70000}"/>
    <cellStyle name="Vírgula 3 4 7 3 3" xfId="20746" xr:uid="{00000000-0005-0000-0000-000076C70000}"/>
    <cellStyle name="Vírgula 3 4 7 3 3 2" xfId="46933" xr:uid="{00000000-0005-0000-0000-000077C70000}"/>
    <cellStyle name="Vírgula 3 4 7 3 4" xfId="14832" xr:uid="{00000000-0005-0000-0000-000078C70000}"/>
    <cellStyle name="Vírgula 3 4 7 3 4 2" xfId="41025" xr:uid="{00000000-0005-0000-0000-000079C70000}"/>
    <cellStyle name="Vírgula 3 4 7 3 5" xfId="34639" xr:uid="{00000000-0005-0000-0000-00007AC70000}"/>
    <cellStyle name="Vírgula 3 4 7 4" xfId="23703" xr:uid="{00000000-0005-0000-0000-00007BC70000}"/>
    <cellStyle name="Vírgula 3 4 7 4 2" xfId="49887" xr:uid="{00000000-0005-0000-0000-00007CC70000}"/>
    <cellStyle name="Vírgula 3 4 7 5" xfId="17789" xr:uid="{00000000-0005-0000-0000-00007DC70000}"/>
    <cellStyle name="Vírgula 3 4 7 5 2" xfId="43979" xr:uid="{00000000-0005-0000-0000-00007EC70000}"/>
    <cellStyle name="Vírgula 3 4 7 6" xfId="11455" xr:uid="{00000000-0005-0000-0000-00007FC70000}"/>
    <cellStyle name="Vírgula 3 4 7 6 2" xfId="37648" xr:uid="{00000000-0005-0000-0000-000080C70000}"/>
    <cellStyle name="Vírgula 3 4 7 7" xfId="31264" xr:uid="{00000000-0005-0000-0000-000081C70000}"/>
    <cellStyle name="Vírgula 3 4 8" xfId="6325" xr:uid="{00000000-0005-0000-0000-000082C70000}"/>
    <cellStyle name="Vírgula 3 4 8 2" xfId="9516" xr:uid="{00000000-0005-0000-0000-000083C70000}"/>
    <cellStyle name="Vírgula 3 4 8 2 2" xfId="27730" xr:uid="{00000000-0005-0000-0000-000084C70000}"/>
    <cellStyle name="Vírgula 3 4 8 2 2 2" xfId="53911" xr:uid="{00000000-0005-0000-0000-000085C70000}"/>
    <cellStyle name="Vírgula 3 4 8 2 3" xfId="21816" xr:uid="{00000000-0005-0000-0000-000086C70000}"/>
    <cellStyle name="Vírgula 3 4 8 2 3 2" xfId="48003" xr:uid="{00000000-0005-0000-0000-000087C70000}"/>
    <cellStyle name="Vírgula 3 4 8 2 4" xfId="15902" xr:uid="{00000000-0005-0000-0000-000088C70000}"/>
    <cellStyle name="Vírgula 3 4 8 2 4 2" xfId="42095" xr:uid="{00000000-0005-0000-0000-000089C70000}"/>
    <cellStyle name="Vírgula 3 4 8 2 5" xfId="35709" xr:uid="{00000000-0005-0000-0000-00008AC70000}"/>
    <cellStyle name="Vírgula 3 4 8 3" xfId="24773" xr:uid="{00000000-0005-0000-0000-00008BC70000}"/>
    <cellStyle name="Vírgula 3 4 8 3 2" xfId="50957" xr:uid="{00000000-0005-0000-0000-00008CC70000}"/>
    <cellStyle name="Vírgula 3 4 8 4" xfId="18859" xr:uid="{00000000-0005-0000-0000-00008DC70000}"/>
    <cellStyle name="Vírgula 3 4 8 4 2" xfId="45049" xr:uid="{00000000-0005-0000-0000-00008EC70000}"/>
    <cellStyle name="Vírgula 3 4 8 5" xfId="12714" xr:uid="{00000000-0005-0000-0000-00008FC70000}"/>
    <cellStyle name="Vírgula 3 4 8 5 2" xfId="38907" xr:uid="{00000000-0005-0000-0000-000090C70000}"/>
    <cellStyle name="Vírgula 3 4 8 6" xfId="32521" xr:uid="{00000000-0005-0000-0000-000091C70000}"/>
    <cellStyle name="Vírgula 3 4 9" xfId="8017" xr:uid="{00000000-0005-0000-0000-000092C70000}"/>
    <cellStyle name="Vírgula 3 4 9 2" xfId="10980" xr:uid="{00000000-0005-0000-0000-000093C70000}"/>
    <cellStyle name="Vírgula 3 4 9 2 2" xfId="29194" xr:uid="{00000000-0005-0000-0000-000094C70000}"/>
    <cellStyle name="Vírgula 3 4 9 2 2 2" xfId="55375" xr:uid="{00000000-0005-0000-0000-000095C70000}"/>
    <cellStyle name="Vírgula 3 4 9 2 3" xfId="23280" xr:uid="{00000000-0005-0000-0000-000096C70000}"/>
    <cellStyle name="Vírgula 3 4 9 2 3 2" xfId="49467" xr:uid="{00000000-0005-0000-0000-000097C70000}"/>
    <cellStyle name="Vírgula 3 4 9 2 4" xfId="17366" xr:uid="{00000000-0005-0000-0000-000098C70000}"/>
    <cellStyle name="Vírgula 3 4 9 2 4 2" xfId="43559" xr:uid="{00000000-0005-0000-0000-000099C70000}"/>
    <cellStyle name="Vírgula 3 4 9 2 5" xfId="37173" xr:uid="{00000000-0005-0000-0000-00009AC70000}"/>
    <cellStyle name="Vírgula 3 4 9 3" xfId="26237" xr:uid="{00000000-0005-0000-0000-00009BC70000}"/>
    <cellStyle name="Vírgula 3 4 9 3 2" xfId="52421" xr:uid="{00000000-0005-0000-0000-00009CC70000}"/>
    <cellStyle name="Vírgula 3 4 9 4" xfId="20323" xr:uid="{00000000-0005-0000-0000-00009DC70000}"/>
    <cellStyle name="Vírgula 3 4 9 4 2" xfId="46513" xr:uid="{00000000-0005-0000-0000-00009EC70000}"/>
    <cellStyle name="Vírgula 3 4 9 5" xfId="14406" xr:uid="{00000000-0005-0000-0000-00009FC70000}"/>
    <cellStyle name="Vírgula 3 4 9 5 2" xfId="40599" xr:uid="{00000000-0005-0000-0000-0000A0C70000}"/>
    <cellStyle name="Vírgula 3 4 9 6" xfId="34213" xr:uid="{00000000-0005-0000-0000-0000A1C70000}"/>
    <cellStyle name="Vírgula 3 5" xfId="1647" xr:uid="{00000000-0005-0000-0000-0000A2C70000}"/>
    <cellStyle name="Vírgula 3 5 10" xfId="17379" xr:uid="{00000000-0005-0000-0000-0000A3C70000}"/>
    <cellStyle name="Vírgula 3 5 10 2" xfId="43572" xr:uid="{00000000-0005-0000-0000-0000A4C70000}"/>
    <cellStyle name="Vírgula 3 5 11" xfId="10998" xr:uid="{00000000-0005-0000-0000-0000A5C70000}"/>
    <cellStyle name="Vírgula 3 5 11 2" xfId="37191" xr:uid="{00000000-0005-0000-0000-0000A6C70000}"/>
    <cellStyle name="Vírgula 3 5 12" xfId="29685" xr:uid="{00000000-0005-0000-0000-0000A7C70000}"/>
    <cellStyle name="Vírgula 3 5 2" xfId="4207" xr:uid="{00000000-0005-0000-0000-0000A8C70000}"/>
    <cellStyle name="Vírgula 3 5 2 2" xfId="7607" xr:uid="{00000000-0005-0000-0000-0000A9C70000}"/>
    <cellStyle name="Vírgula 3 5 2 2 2" xfId="10746" xr:uid="{00000000-0005-0000-0000-0000AAC70000}"/>
    <cellStyle name="Vírgula 3 5 2 2 2 2" xfId="28960" xr:uid="{00000000-0005-0000-0000-0000ABC70000}"/>
    <cellStyle name="Vírgula 3 5 2 2 2 2 2" xfId="55141" xr:uid="{00000000-0005-0000-0000-0000ACC70000}"/>
    <cellStyle name="Vírgula 3 5 2 2 2 3" xfId="23046" xr:uid="{00000000-0005-0000-0000-0000ADC70000}"/>
    <cellStyle name="Vírgula 3 5 2 2 2 3 2" xfId="49233" xr:uid="{00000000-0005-0000-0000-0000AEC70000}"/>
    <cellStyle name="Vírgula 3 5 2 2 2 4" xfId="17132" xr:uid="{00000000-0005-0000-0000-0000AFC70000}"/>
    <cellStyle name="Vírgula 3 5 2 2 2 4 2" xfId="43325" xr:uid="{00000000-0005-0000-0000-0000B0C70000}"/>
    <cellStyle name="Vírgula 3 5 2 2 2 5" xfId="36939" xr:uid="{00000000-0005-0000-0000-0000B1C70000}"/>
    <cellStyle name="Vírgula 3 5 2 2 3" xfId="26003" xr:uid="{00000000-0005-0000-0000-0000B2C70000}"/>
    <cellStyle name="Vírgula 3 5 2 2 3 2" xfId="52187" xr:uid="{00000000-0005-0000-0000-0000B3C70000}"/>
    <cellStyle name="Vírgula 3 5 2 2 4" xfId="20089" xr:uid="{00000000-0005-0000-0000-0000B4C70000}"/>
    <cellStyle name="Vírgula 3 5 2 2 4 2" xfId="46279" xr:uid="{00000000-0005-0000-0000-0000B5C70000}"/>
    <cellStyle name="Vírgula 3 5 2 2 5" xfId="13996" xr:uid="{00000000-0005-0000-0000-0000B6C70000}"/>
    <cellStyle name="Vírgula 3 5 2 2 5 2" xfId="40189" xr:uid="{00000000-0005-0000-0000-0000B7C70000}"/>
    <cellStyle name="Vírgula 3 5 2 2 6" xfId="33803" xr:uid="{00000000-0005-0000-0000-0000B8C70000}"/>
    <cellStyle name="Vírgula 3 5 2 3" xfId="9278" xr:uid="{00000000-0005-0000-0000-0000B9C70000}"/>
    <cellStyle name="Vírgula 3 5 2 3 2" xfId="27492" xr:uid="{00000000-0005-0000-0000-0000BAC70000}"/>
    <cellStyle name="Vírgula 3 5 2 3 2 2" xfId="53673" xr:uid="{00000000-0005-0000-0000-0000BBC70000}"/>
    <cellStyle name="Vírgula 3 5 2 3 3" xfId="21578" xr:uid="{00000000-0005-0000-0000-0000BCC70000}"/>
    <cellStyle name="Vírgula 3 5 2 3 3 2" xfId="47765" xr:uid="{00000000-0005-0000-0000-0000BDC70000}"/>
    <cellStyle name="Vírgula 3 5 2 3 4" xfId="15664" xr:uid="{00000000-0005-0000-0000-0000BEC70000}"/>
    <cellStyle name="Vírgula 3 5 2 3 4 2" xfId="41857" xr:uid="{00000000-0005-0000-0000-0000BFC70000}"/>
    <cellStyle name="Vírgula 3 5 2 3 5" xfId="35471" xr:uid="{00000000-0005-0000-0000-0000C0C70000}"/>
    <cellStyle name="Vírgula 3 5 2 4" xfId="5908" xr:uid="{00000000-0005-0000-0000-0000C1C70000}"/>
    <cellStyle name="Vírgula 3 5 2 4 2" xfId="24535" xr:uid="{00000000-0005-0000-0000-0000C2C70000}"/>
    <cellStyle name="Vírgula 3 5 2 4 2 2" xfId="50719" xr:uid="{00000000-0005-0000-0000-0000C3C70000}"/>
    <cellStyle name="Vírgula 3 5 2 4 3" xfId="32104" xr:uid="{00000000-0005-0000-0000-0000C4C70000}"/>
    <cellStyle name="Vírgula 3 5 2 5" xfId="18621" xr:uid="{00000000-0005-0000-0000-0000C5C70000}"/>
    <cellStyle name="Vírgula 3 5 2 5 2" xfId="44811" xr:uid="{00000000-0005-0000-0000-0000C6C70000}"/>
    <cellStyle name="Vírgula 3 5 2 6" xfId="12295" xr:uid="{00000000-0005-0000-0000-0000C7C70000}"/>
    <cellStyle name="Vírgula 3 5 2 6 2" xfId="38488" xr:uid="{00000000-0005-0000-0000-0000C8C70000}"/>
    <cellStyle name="Vírgula 3 5 2 7" xfId="30407" xr:uid="{00000000-0005-0000-0000-0000C9C70000}"/>
    <cellStyle name="Vírgula 3 5 3" xfId="4283" xr:uid="{00000000-0005-0000-0000-0000CAC70000}"/>
    <cellStyle name="Vírgula 3 5 3 2" xfId="7684" xr:uid="{00000000-0005-0000-0000-0000CBC70000}"/>
    <cellStyle name="Vírgula 3 5 3 2 2" xfId="10789" xr:uid="{00000000-0005-0000-0000-0000CCC70000}"/>
    <cellStyle name="Vírgula 3 5 3 2 2 2" xfId="29003" xr:uid="{00000000-0005-0000-0000-0000CDC70000}"/>
    <cellStyle name="Vírgula 3 5 3 2 2 2 2" xfId="55184" xr:uid="{00000000-0005-0000-0000-0000CEC70000}"/>
    <cellStyle name="Vírgula 3 5 3 2 2 3" xfId="23089" xr:uid="{00000000-0005-0000-0000-0000CFC70000}"/>
    <cellStyle name="Vírgula 3 5 3 2 2 3 2" xfId="49276" xr:uid="{00000000-0005-0000-0000-0000D0C70000}"/>
    <cellStyle name="Vírgula 3 5 3 2 2 4" xfId="17175" xr:uid="{00000000-0005-0000-0000-0000D1C70000}"/>
    <cellStyle name="Vírgula 3 5 3 2 2 4 2" xfId="43368" xr:uid="{00000000-0005-0000-0000-0000D2C70000}"/>
    <cellStyle name="Vírgula 3 5 3 2 2 5" xfId="36982" xr:uid="{00000000-0005-0000-0000-0000D3C70000}"/>
    <cellStyle name="Vírgula 3 5 3 2 3" xfId="26046" xr:uid="{00000000-0005-0000-0000-0000D4C70000}"/>
    <cellStyle name="Vírgula 3 5 3 2 3 2" xfId="52230" xr:uid="{00000000-0005-0000-0000-0000D5C70000}"/>
    <cellStyle name="Vírgula 3 5 3 2 4" xfId="20132" xr:uid="{00000000-0005-0000-0000-0000D6C70000}"/>
    <cellStyle name="Vírgula 3 5 3 2 4 2" xfId="46322" xr:uid="{00000000-0005-0000-0000-0000D7C70000}"/>
    <cellStyle name="Vírgula 3 5 3 2 5" xfId="14073" xr:uid="{00000000-0005-0000-0000-0000D8C70000}"/>
    <cellStyle name="Vírgula 3 5 3 2 5 2" xfId="40266" xr:uid="{00000000-0005-0000-0000-0000D9C70000}"/>
    <cellStyle name="Vírgula 3 5 3 2 6" xfId="33880" xr:uid="{00000000-0005-0000-0000-0000DAC70000}"/>
    <cellStyle name="Vírgula 3 5 3 3" xfId="9321" xr:uid="{00000000-0005-0000-0000-0000DBC70000}"/>
    <cellStyle name="Vírgula 3 5 3 3 2" xfId="27535" xr:uid="{00000000-0005-0000-0000-0000DCC70000}"/>
    <cellStyle name="Vírgula 3 5 3 3 2 2" xfId="53716" xr:uid="{00000000-0005-0000-0000-0000DDC70000}"/>
    <cellStyle name="Vírgula 3 5 3 3 3" xfId="21621" xr:uid="{00000000-0005-0000-0000-0000DEC70000}"/>
    <cellStyle name="Vírgula 3 5 3 3 3 2" xfId="47808" xr:uid="{00000000-0005-0000-0000-0000DFC70000}"/>
    <cellStyle name="Vírgula 3 5 3 3 4" xfId="15707" xr:uid="{00000000-0005-0000-0000-0000E0C70000}"/>
    <cellStyle name="Vírgula 3 5 3 3 4 2" xfId="41900" xr:uid="{00000000-0005-0000-0000-0000E1C70000}"/>
    <cellStyle name="Vírgula 3 5 3 3 5" xfId="35514" xr:uid="{00000000-0005-0000-0000-0000E2C70000}"/>
    <cellStyle name="Vírgula 3 5 3 4" xfId="5984" xr:uid="{00000000-0005-0000-0000-0000E3C70000}"/>
    <cellStyle name="Vírgula 3 5 3 4 2" xfId="24578" xr:uid="{00000000-0005-0000-0000-0000E4C70000}"/>
    <cellStyle name="Vírgula 3 5 3 4 2 2" xfId="50762" xr:uid="{00000000-0005-0000-0000-0000E5C70000}"/>
    <cellStyle name="Vírgula 3 5 3 4 3" xfId="32180" xr:uid="{00000000-0005-0000-0000-0000E6C70000}"/>
    <cellStyle name="Vírgula 3 5 3 5" xfId="18664" xr:uid="{00000000-0005-0000-0000-0000E7C70000}"/>
    <cellStyle name="Vírgula 3 5 3 5 2" xfId="44854" xr:uid="{00000000-0005-0000-0000-0000E8C70000}"/>
    <cellStyle name="Vírgula 3 5 3 6" xfId="12372" xr:uid="{00000000-0005-0000-0000-0000E9C70000}"/>
    <cellStyle name="Vírgula 3 5 3 6 2" xfId="38565" xr:uid="{00000000-0005-0000-0000-0000EAC70000}"/>
    <cellStyle name="Vírgula 3 5 3 7" xfId="30483" xr:uid="{00000000-0005-0000-0000-0000EBC70000}"/>
    <cellStyle name="Vírgula 3 5 4" xfId="4391" xr:uid="{00000000-0005-0000-0000-0000ECC70000}"/>
    <cellStyle name="Vírgula 3 5 4 2" xfId="7793" xr:uid="{00000000-0005-0000-0000-0000EDC70000}"/>
    <cellStyle name="Vírgula 3 5 4 2 2" xfId="10851" xr:uid="{00000000-0005-0000-0000-0000EEC70000}"/>
    <cellStyle name="Vírgula 3 5 4 2 2 2" xfId="29065" xr:uid="{00000000-0005-0000-0000-0000EFC70000}"/>
    <cellStyle name="Vírgula 3 5 4 2 2 2 2" xfId="55246" xr:uid="{00000000-0005-0000-0000-0000F0C70000}"/>
    <cellStyle name="Vírgula 3 5 4 2 2 3" xfId="23151" xr:uid="{00000000-0005-0000-0000-0000F1C70000}"/>
    <cellStyle name="Vírgula 3 5 4 2 2 3 2" xfId="49338" xr:uid="{00000000-0005-0000-0000-0000F2C70000}"/>
    <cellStyle name="Vírgula 3 5 4 2 2 4" xfId="17237" xr:uid="{00000000-0005-0000-0000-0000F3C70000}"/>
    <cellStyle name="Vírgula 3 5 4 2 2 4 2" xfId="43430" xr:uid="{00000000-0005-0000-0000-0000F4C70000}"/>
    <cellStyle name="Vírgula 3 5 4 2 2 5" xfId="37044" xr:uid="{00000000-0005-0000-0000-0000F5C70000}"/>
    <cellStyle name="Vírgula 3 5 4 2 3" xfId="26108" xr:uid="{00000000-0005-0000-0000-0000F6C70000}"/>
    <cellStyle name="Vírgula 3 5 4 2 3 2" xfId="52292" xr:uid="{00000000-0005-0000-0000-0000F7C70000}"/>
    <cellStyle name="Vírgula 3 5 4 2 4" xfId="20194" xr:uid="{00000000-0005-0000-0000-0000F8C70000}"/>
    <cellStyle name="Vírgula 3 5 4 2 4 2" xfId="46384" xr:uid="{00000000-0005-0000-0000-0000F9C70000}"/>
    <cellStyle name="Vírgula 3 5 4 2 5" xfId="14182" xr:uid="{00000000-0005-0000-0000-0000FAC70000}"/>
    <cellStyle name="Vírgula 3 5 4 2 5 2" xfId="40375" xr:uid="{00000000-0005-0000-0000-0000FBC70000}"/>
    <cellStyle name="Vírgula 3 5 4 2 6" xfId="33989" xr:uid="{00000000-0005-0000-0000-0000FCC70000}"/>
    <cellStyle name="Vírgula 3 5 4 3" xfId="9383" xr:uid="{00000000-0005-0000-0000-0000FDC70000}"/>
    <cellStyle name="Vírgula 3 5 4 3 2" xfId="27597" xr:uid="{00000000-0005-0000-0000-0000FEC70000}"/>
    <cellStyle name="Vírgula 3 5 4 3 2 2" xfId="53778" xr:uid="{00000000-0005-0000-0000-0000FFC70000}"/>
    <cellStyle name="Vírgula 3 5 4 3 3" xfId="21683" xr:uid="{00000000-0005-0000-0000-000000C80000}"/>
    <cellStyle name="Vírgula 3 5 4 3 3 2" xfId="47870" xr:uid="{00000000-0005-0000-0000-000001C80000}"/>
    <cellStyle name="Vírgula 3 5 4 3 4" xfId="15769" xr:uid="{00000000-0005-0000-0000-000002C80000}"/>
    <cellStyle name="Vírgula 3 5 4 3 4 2" xfId="41962" xr:uid="{00000000-0005-0000-0000-000003C80000}"/>
    <cellStyle name="Vírgula 3 5 4 3 5" xfId="35576" xr:uid="{00000000-0005-0000-0000-000004C80000}"/>
    <cellStyle name="Vírgula 3 5 4 4" xfId="6093" xr:uid="{00000000-0005-0000-0000-000005C80000}"/>
    <cellStyle name="Vírgula 3 5 4 4 2" xfId="24640" xr:uid="{00000000-0005-0000-0000-000006C80000}"/>
    <cellStyle name="Vírgula 3 5 4 4 2 2" xfId="50824" xr:uid="{00000000-0005-0000-0000-000007C80000}"/>
    <cellStyle name="Vírgula 3 5 4 4 3" xfId="32289" xr:uid="{00000000-0005-0000-0000-000008C80000}"/>
    <cellStyle name="Vírgula 3 5 4 5" xfId="18726" xr:uid="{00000000-0005-0000-0000-000009C80000}"/>
    <cellStyle name="Vírgula 3 5 4 5 2" xfId="44916" xr:uid="{00000000-0005-0000-0000-00000AC80000}"/>
    <cellStyle name="Vírgula 3 5 4 6" xfId="12481" xr:uid="{00000000-0005-0000-0000-00000BC80000}"/>
    <cellStyle name="Vírgula 3 5 4 6 2" xfId="38674" xr:uid="{00000000-0005-0000-0000-00000CC80000}"/>
    <cellStyle name="Vírgula 3 5 4 7" xfId="30591" xr:uid="{00000000-0005-0000-0000-00000DC80000}"/>
    <cellStyle name="Vírgula 3 5 5" xfId="4499" xr:uid="{00000000-0005-0000-0000-00000EC80000}"/>
    <cellStyle name="Vírgula 3 5 5 2" xfId="7901" xr:uid="{00000000-0005-0000-0000-00000FC80000}"/>
    <cellStyle name="Vírgula 3 5 5 2 2" xfId="10913" xr:uid="{00000000-0005-0000-0000-000010C80000}"/>
    <cellStyle name="Vírgula 3 5 5 2 2 2" xfId="29127" xr:uid="{00000000-0005-0000-0000-000011C80000}"/>
    <cellStyle name="Vírgula 3 5 5 2 2 2 2" xfId="55308" xr:uid="{00000000-0005-0000-0000-000012C80000}"/>
    <cellStyle name="Vírgula 3 5 5 2 2 3" xfId="23213" xr:uid="{00000000-0005-0000-0000-000013C80000}"/>
    <cellStyle name="Vírgula 3 5 5 2 2 3 2" xfId="49400" xr:uid="{00000000-0005-0000-0000-000014C80000}"/>
    <cellStyle name="Vírgula 3 5 5 2 2 4" xfId="17299" xr:uid="{00000000-0005-0000-0000-000015C80000}"/>
    <cellStyle name="Vírgula 3 5 5 2 2 4 2" xfId="43492" xr:uid="{00000000-0005-0000-0000-000016C80000}"/>
    <cellStyle name="Vírgula 3 5 5 2 2 5" xfId="37106" xr:uid="{00000000-0005-0000-0000-000017C80000}"/>
    <cellStyle name="Vírgula 3 5 5 2 3" xfId="26170" xr:uid="{00000000-0005-0000-0000-000018C80000}"/>
    <cellStyle name="Vírgula 3 5 5 2 3 2" xfId="52354" xr:uid="{00000000-0005-0000-0000-000019C80000}"/>
    <cellStyle name="Vírgula 3 5 5 2 4" xfId="20256" xr:uid="{00000000-0005-0000-0000-00001AC80000}"/>
    <cellStyle name="Vírgula 3 5 5 2 4 2" xfId="46446" xr:uid="{00000000-0005-0000-0000-00001BC80000}"/>
    <cellStyle name="Vírgula 3 5 5 2 5" xfId="14290" xr:uid="{00000000-0005-0000-0000-00001CC80000}"/>
    <cellStyle name="Vírgula 3 5 5 2 5 2" xfId="40483" xr:uid="{00000000-0005-0000-0000-00001DC80000}"/>
    <cellStyle name="Vírgula 3 5 5 2 6" xfId="34097" xr:uid="{00000000-0005-0000-0000-00001EC80000}"/>
    <cellStyle name="Vírgula 3 5 5 3" xfId="9445" xr:uid="{00000000-0005-0000-0000-00001FC80000}"/>
    <cellStyle name="Vírgula 3 5 5 3 2" xfId="27659" xr:uid="{00000000-0005-0000-0000-000020C80000}"/>
    <cellStyle name="Vírgula 3 5 5 3 2 2" xfId="53840" xr:uid="{00000000-0005-0000-0000-000021C80000}"/>
    <cellStyle name="Vírgula 3 5 5 3 3" xfId="21745" xr:uid="{00000000-0005-0000-0000-000022C80000}"/>
    <cellStyle name="Vírgula 3 5 5 3 3 2" xfId="47932" xr:uid="{00000000-0005-0000-0000-000023C80000}"/>
    <cellStyle name="Vírgula 3 5 5 3 4" xfId="15831" xr:uid="{00000000-0005-0000-0000-000024C80000}"/>
    <cellStyle name="Vírgula 3 5 5 3 4 2" xfId="42024" xr:uid="{00000000-0005-0000-0000-000025C80000}"/>
    <cellStyle name="Vírgula 3 5 5 3 5" xfId="35638" xr:uid="{00000000-0005-0000-0000-000026C80000}"/>
    <cellStyle name="Vírgula 3 5 5 4" xfId="6200" xr:uid="{00000000-0005-0000-0000-000027C80000}"/>
    <cellStyle name="Vírgula 3 5 5 4 2" xfId="24702" xr:uid="{00000000-0005-0000-0000-000028C80000}"/>
    <cellStyle name="Vírgula 3 5 5 4 2 2" xfId="50886" xr:uid="{00000000-0005-0000-0000-000029C80000}"/>
    <cellStyle name="Vírgula 3 5 5 4 3" xfId="32396" xr:uid="{00000000-0005-0000-0000-00002AC80000}"/>
    <cellStyle name="Vírgula 3 5 5 5" xfId="18788" xr:uid="{00000000-0005-0000-0000-00002BC80000}"/>
    <cellStyle name="Vírgula 3 5 5 5 2" xfId="44978" xr:uid="{00000000-0005-0000-0000-00002CC80000}"/>
    <cellStyle name="Vírgula 3 5 5 6" xfId="12589" xr:uid="{00000000-0005-0000-0000-00002DC80000}"/>
    <cellStyle name="Vírgula 3 5 5 6 2" xfId="38782" xr:uid="{00000000-0005-0000-0000-00002EC80000}"/>
    <cellStyle name="Vírgula 3 5 5 7" xfId="30699" xr:uid="{00000000-0005-0000-0000-00002FC80000}"/>
    <cellStyle name="Vírgula 3 5 6" xfId="5187" xr:uid="{00000000-0005-0000-0000-000030C80000}"/>
    <cellStyle name="Vírgula 3 5 6 2" xfId="6886" xr:uid="{00000000-0005-0000-0000-000031C80000}"/>
    <cellStyle name="Vírgula 3 5 6 2 2" xfId="10033" xr:uid="{00000000-0005-0000-0000-000032C80000}"/>
    <cellStyle name="Vírgula 3 5 6 2 2 2" xfId="28247" xr:uid="{00000000-0005-0000-0000-000033C80000}"/>
    <cellStyle name="Vírgula 3 5 6 2 2 2 2" xfId="54428" xr:uid="{00000000-0005-0000-0000-000034C80000}"/>
    <cellStyle name="Vírgula 3 5 6 2 2 3" xfId="22333" xr:uid="{00000000-0005-0000-0000-000035C80000}"/>
    <cellStyle name="Vírgula 3 5 6 2 2 3 2" xfId="48520" xr:uid="{00000000-0005-0000-0000-000036C80000}"/>
    <cellStyle name="Vírgula 3 5 6 2 2 4" xfId="16419" xr:uid="{00000000-0005-0000-0000-000037C80000}"/>
    <cellStyle name="Vírgula 3 5 6 2 2 4 2" xfId="42612" xr:uid="{00000000-0005-0000-0000-000038C80000}"/>
    <cellStyle name="Vírgula 3 5 6 2 2 5" xfId="36226" xr:uid="{00000000-0005-0000-0000-000039C80000}"/>
    <cellStyle name="Vírgula 3 5 6 2 3" xfId="25290" xr:uid="{00000000-0005-0000-0000-00003AC80000}"/>
    <cellStyle name="Vírgula 3 5 6 2 3 2" xfId="51474" xr:uid="{00000000-0005-0000-0000-00003BC80000}"/>
    <cellStyle name="Vírgula 3 5 6 2 4" xfId="19376" xr:uid="{00000000-0005-0000-0000-00003CC80000}"/>
    <cellStyle name="Vírgula 3 5 6 2 4 2" xfId="45566" xr:uid="{00000000-0005-0000-0000-00003DC80000}"/>
    <cellStyle name="Vírgula 3 5 6 2 5" xfId="13275" xr:uid="{00000000-0005-0000-0000-00003EC80000}"/>
    <cellStyle name="Vírgula 3 5 6 2 5 2" xfId="39468" xr:uid="{00000000-0005-0000-0000-00003FC80000}"/>
    <cellStyle name="Vírgula 3 5 6 2 6" xfId="33082" xr:uid="{00000000-0005-0000-0000-000040C80000}"/>
    <cellStyle name="Vírgula 3 5 6 3" xfId="8565" xr:uid="{00000000-0005-0000-0000-000041C80000}"/>
    <cellStyle name="Vírgula 3 5 6 3 2" xfId="26779" xr:uid="{00000000-0005-0000-0000-000042C80000}"/>
    <cellStyle name="Vírgula 3 5 6 3 2 2" xfId="52960" xr:uid="{00000000-0005-0000-0000-000043C80000}"/>
    <cellStyle name="Vírgula 3 5 6 3 3" xfId="20865" xr:uid="{00000000-0005-0000-0000-000044C80000}"/>
    <cellStyle name="Vírgula 3 5 6 3 3 2" xfId="47052" xr:uid="{00000000-0005-0000-0000-000045C80000}"/>
    <cellStyle name="Vírgula 3 5 6 3 4" xfId="14951" xr:uid="{00000000-0005-0000-0000-000046C80000}"/>
    <cellStyle name="Vírgula 3 5 6 3 4 2" xfId="41144" xr:uid="{00000000-0005-0000-0000-000047C80000}"/>
    <cellStyle name="Vírgula 3 5 6 3 5" xfId="34758" xr:uid="{00000000-0005-0000-0000-000048C80000}"/>
    <cellStyle name="Vírgula 3 5 6 4" xfId="23822" xr:uid="{00000000-0005-0000-0000-000049C80000}"/>
    <cellStyle name="Vírgula 3 5 6 4 2" xfId="50006" xr:uid="{00000000-0005-0000-0000-00004AC80000}"/>
    <cellStyle name="Vírgula 3 5 6 5" xfId="17908" xr:uid="{00000000-0005-0000-0000-00004BC80000}"/>
    <cellStyle name="Vírgula 3 5 6 5 2" xfId="44098" xr:uid="{00000000-0005-0000-0000-00004CC80000}"/>
    <cellStyle name="Vírgula 3 5 6 6" xfId="11574" xr:uid="{00000000-0005-0000-0000-00004DC80000}"/>
    <cellStyle name="Vírgula 3 5 6 6 2" xfId="37767" xr:uid="{00000000-0005-0000-0000-00004EC80000}"/>
    <cellStyle name="Vírgula 3 5 6 7" xfId="31383" xr:uid="{00000000-0005-0000-0000-00004FC80000}"/>
    <cellStyle name="Vírgula 3 5 7" xfId="6309" xr:uid="{00000000-0005-0000-0000-000050C80000}"/>
    <cellStyle name="Vírgula 3 5 7 2" xfId="9507" xr:uid="{00000000-0005-0000-0000-000051C80000}"/>
    <cellStyle name="Vírgula 3 5 7 2 2" xfId="27721" xr:uid="{00000000-0005-0000-0000-000052C80000}"/>
    <cellStyle name="Vírgula 3 5 7 2 2 2" xfId="53902" xr:uid="{00000000-0005-0000-0000-000053C80000}"/>
    <cellStyle name="Vírgula 3 5 7 2 3" xfId="21807" xr:uid="{00000000-0005-0000-0000-000054C80000}"/>
    <cellStyle name="Vírgula 3 5 7 2 3 2" xfId="47994" xr:uid="{00000000-0005-0000-0000-000055C80000}"/>
    <cellStyle name="Vírgula 3 5 7 2 4" xfId="15893" xr:uid="{00000000-0005-0000-0000-000056C80000}"/>
    <cellStyle name="Vírgula 3 5 7 2 4 2" xfId="42086" xr:uid="{00000000-0005-0000-0000-000057C80000}"/>
    <cellStyle name="Vírgula 3 5 7 2 5" xfId="35700" xr:uid="{00000000-0005-0000-0000-000058C80000}"/>
    <cellStyle name="Vírgula 3 5 7 3" xfId="24764" xr:uid="{00000000-0005-0000-0000-000059C80000}"/>
    <cellStyle name="Vírgula 3 5 7 3 2" xfId="50948" xr:uid="{00000000-0005-0000-0000-00005AC80000}"/>
    <cellStyle name="Vírgula 3 5 7 4" xfId="18850" xr:uid="{00000000-0005-0000-0000-00005BC80000}"/>
    <cellStyle name="Vírgula 3 5 7 4 2" xfId="45040" xr:uid="{00000000-0005-0000-0000-00005CC80000}"/>
    <cellStyle name="Vírgula 3 5 7 5" xfId="12698" xr:uid="{00000000-0005-0000-0000-00005DC80000}"/>
    <cellStyle name="Vírgula 3 5 7 5 2" xfId="38891" xr:uid="{00000000-0005-0000-0000-00005EC80000}"/>
    <cellStyle name="Vírgula 3 5 7 6" xfId="32505" xr:uid="{00000000-0005-0000-0000-00005FC80000}"/>
    <cellStyle name="Vírgula 3 5 8" xfId="8036" xr:uid="{00000000-0005-0000-0000-000060C80000}"/>
    <cellStyle name="Vírgula 3 5 8 2" xfId="26250" xr:uid="{00000000-0005-0000-0000-000061C80000}"/>
    <cellStyle name="Vírgula 3 5 8 2 2" xfId="52434" xr:uid="{00000000-0005-0000-0000-000062C80000}"/>
    <cellStyle name="Vírgula 3 5 8 3" xfId="20336" xr:uid="{00000000-0005-0000-0000-000063C80000}"/>
    <cellStyle name="Vírgula 3 5 8 3 2" xfId="46526" xr:uid="{00000000-0005-0000-0000-000064C80000}"/>
    <cellStyle name="Vírgula 3 5 8 4" xfId="14425" xr:uid="{00000000-0005-0000-0000-000065C80000}"/>
    <cellStyle name="Vírgula 3 5 8 4 2" xfId="40618" xr:uid="{00000000-0005-0000-0000-000066C80000}"/>
    <cellStyle name="Vírgula 3 5 8 5" xfId="34232" xr:uid="{00000000-0005-0000-0000-000067C80000}"/>
    <cellStyle name="Vírgula 3 5 9" xfId="4607" xr:uid="{00000000-0005-0000-0000-000068C80000}"/>
    <cellStyle name="Vírgula 3 5 9 2" xfId="23293" xr:uid="{00000000-0005-0000-0000-000069C80000}"/>
    <cellStyle name="Vírgula 3 5 9 2 2" xfId="49480" xr:uid="{00000000-0005-0000-0000-00006AC80000}"/>
    <cellStyle name="Vírgula 3 5 9 3" xfId="30807" xr:uid="{00000000-0005-0000-0000-00006BC80000}"/>
    <cellStyle name="Vírgula 3 6" xfId="2177" xr:uid="{00000000-0005-0000-0000-00006CC80000}"/>
    <cellStyle name="Vírgula 3 6 10" xfId="17397" xr:uid="{00000000-0005-0000-0000-00006DC80000}"/>
    <cellStyle name="Vírgula 3 6 10 2" xfId="43590" xr:uid="{00000000-0005-0000-0000-00006EC80000}"/>
    <cellStyle name="Vírgula 3 6 11" xfId="11028" xr:uid="{00000000-0005-0000-0000-00006FC80000}"/>
    <cellStyle name="Vírgula 3 6 11 2" xfId="37221" xr:uid="{00000000-0005-0000-0000-000070C80000}"/>
    <cellStyle name="Vírgula 3 6 12" xfId="29835" xr:uid="{00000000-0005-0000-0000-000071C80000}"/>
    <cellStyle name="Vírgula 3 6 2" xfId="4237" xr:uid="{00000000-0005-0000-0000-000072C80000}"/>
    <cellStyle name="Vírgula 3 6 2 2" xfId="7638" xr:uid="{00000000-0005-0000-0000-000073C80000}"/>
    <cellStyle name="Vírgula 3 6 2 2 2" xfId="10764" xr:uid="{00000000-0005-0000-0000-000074C80000}"/>
    <cellStyle name="Vírgula 3 6 2 2 2 2" xfId="28978" xr:uid="{00000000-0005-0000-0000-000075C80000}"/>
    <cellStyle name="Vírgula 3 6 2 2 2 2 2" xfId="55159" xr:uid="{00000000-0005-0000-0000-000076C80000}"/>
    <cellStyle name="Vírgula 3 6 2 2 2 3" xfId="23064" xr:uid="{00000000-0005-0000-0000-000077C80000}"/>
    <cellStyle name="Vírgula 3 6 2 2 2 3 2" xfId="49251" xr:uid="{00000000-0005-0000-0000-000078C80000}"/>
    <cellStyle name="Vírgula 3 6 2 2 2 4" xfId="17150" xr:uid="{00000000-0005-0000-0000-000079C80000}"/>
    <cellStyle name="Vírgula 3 6 2 2 2 4 2" xfId="43343" xr:uid="{00000000-0005-0000-0000-00007AC80000}"/>
    <cellStyle name="Vírgula 3 6 2 2 2 5" xfId="36957" xr:uid="{00000000-0005-0000-0000-00007BC80000}"/>
    <cellStyle name="Vírgula 3 6 2 2 3" xfId="26021" xr:uid="{00000000-0005-0000-0000-00007CC80000}"/>
    <cellStyle name="Vírgula 3 6 2 2 3 2" xfId="52205" xr:uid="{00000000-0005-0000-0000-00007DC80000}"/>
    <cellStyle name="Vírgula 3 6 2 2 4" xfId="20107" xr:uid="{00000000-0005-0000-0000-00007EC80000}"/>
    <cellStyle name="Vírgula 3 6 2 2 4 2" xfId="46297" xr:uid="{00000000-0005-0000-0000-00007FC80000}"/>
    <cellStyle name="Vírgula 3 6 2 2 5" xfId="14027" xr:uid="{00000000-0005-0000-0000-000080C80000}"/>
    <cellStyle name="Vírgula 3 6 2 2 5 2" xfId="40220" xr:uid="{00000000-0005-0000-0000-000081C80000}"/>
    <cellStyle name="Vírgula 3 6 2 2 6" xfId="33834" xr:uid="{00000000-0005-0000-0000-000082C80000}"/>
    <cellStyle name="Vírgula 3 6 2 3" xfId="9296" xr:uid="{00000000-0005-0000-0000-000083C80000}"/>
    <cellStyle name="Vírgula 3 6 2 3 2" xfId="27510" xr:uid="{00000000-0005-0000-0000-000084C80000}"/>
    <cellStyle name="Vírgula 3 6 2 3 2 2" xfId="53691" xr:uid="{00000000-0005-0000-0000-000085C80000}"/>
    <cellStyle name="Vírgula 3 6 2 3 3" xfId="21596" xr:uid="{00000000-0005-0000-0000-000086C80000}"/>
    <cellStyle name="Vírgula 3 6 2 3 3 2" xfId="47783" xr:uid="{00000000-0005-0000-0000-000087C80000}"/>
    <cellStyle name="Vírgula 3 6 2 3 4" xfId="15682" xr:uid="{00000000-0005-0000-0000-000088C80000}"/>
    <cellStyle name="Vírgula 3 6 2 3 4 2" xfId="41875" xr:uid="{00000000-0005-0000-0000-000089C80000}"/>
    <cellStyle name="Vírgula 3 6 2 3 5" xfId="35489" xr:uid="{00000000-0005-0000-0000-00008AC80000}"/>
    <cellStyle name="Vírgula 3 6 2 4" xfId="5938" xr:uid="{00000000-0005-0000-0000-00008BC80000}"/>
    <cellStyle name="Vírgula 3 6 2 4 2" xfId="24553" xr:uid="{00000000-0005-0000-0000-00008CC80000}"/>
    <cellStyle name="Vírgula 3 6 2 4 2 2" xfId="50737" xr:uid="{00000000-0005-0000-0000-00008DC80000}"/>
    <cellStyle name="Vírgula 3 6 2 4 3" xfId="32134" xr:uid="{00000000-0005-0000-0000-00008EC80000}"/>
    <cellStyle name="Vírgula 3 6 2 5" xfId="18639" xr:uid="{00000000-0005-0000-0000-00008FC80000}"/>
    <cellStyle name="Vírgula 3 6 2 5 2" xfId="44829" xr:uid="{00000000-0005-0000-0000-000090C80000}"/>
    <cellStyle name="Vírgula 3 6 2 6" xfId="12326" xr:uid="{00000000-0005-0000-0000-000091C80000}"/>
    <cellStyle name="Vírgula 3 6 2 6 2" xfId="38519" xr:uid="{00000000-0005-0000-0000-000092C80000}"/>
    <cellStyle name="Vírgula 3 6 2 7" xfId="30437" xr:uid="{00000000-0005-0000-0000-000093C80000}"/>
    <cellStyle name="Vírgula 3 6 3" xfId="4314" xr:uid="{00000000-0005-0000-0000-000094C80000}"/>
    <cellStyle name="Vírgula 3 6 3 2" xfId="7715" xr:uid="{00000000-0005-0000-0000-000095C80000}"/>
    <cellStyle name="Vírgula 3 6 3 2 2" xfId="10807" xr:uid="{00000000-0005-0000-0000-000096C80000}"/>
    <cellStyle name="Vírgula 3 6 3 2 2 2" xfId="29021" xr:uid="{00000000-0005-0000-0000-000097C80000}"/>
    <cellStyle name="Vírgula 3 6 3 2 2 2 2" xfId="55202" xr:uid="{00000000-0005-0000-0000-000098C80000}"/>
    <cellStyle name="Vírgula 3 6 3 2 2 3" xfId="23107" xr:uid="{00000000-0005-0000-0000-000099C80000}"/>
    <cellStyle name="Vírgula 3 6 3 2 2 3 2" xfId="49294" xr:uid="{00000000-0005-0000-0000-00009AC80000}"/>
    <cellStyle name="Vírgula 3 6 3 2 2 4" xfId="17193" xr:uid="{00000000-0005-0000-0000-00009BC80000}"/>
    <cellStyle name="Vírgula 3 6 3 2 2 4 2" xfId="43386" xr:uid="{00000000-0005-0000-0000-00009CC80000}"/>
    <cellStyle name="Vírgula 3 6 3 2 2 5" xfId="37000" xr:uid="{00000000-0005-0000-0000-00009DC80000}"/>
    <cellStyle name="Vírgula 3 6 3 2 3" xfId="26064" xr:uid="{00000000-0005-0000-0000-00009EC80000}"/>
    <cellStyle name="Vírgula 3 6 3 2 3 2" xfId="52248" xr:uid="{00000000-0005-0000-0000-00009FC80000}"/>
    <cellStyle name="Vírgula 3 6 3 2 4" xfId="20150" xr:uid="{00000000-0005-0000-0000-0000A0C80000}"/>
    <cellStyle name="Vírgula 3 6 3 2 4 2" xfId="46340" xr:uid="{00000000-0005-0000-0000-0000A1C80000}"/>
    <cellStyle name="Vírgula 3 6 3 2 5" xfId="14104" xr:uid="{00000000-0005-0000-0000-0000A2C80000}"/>
    <cellStyle name="Vírgula 3 6 3 2 5 2" xfId="40297" xr:uid="{00000000-0005-0000-0000-0000A3C80000}"/>
    <cellStyle name="Vírgula 3 6 3 2 6" xfId="33911" xr:uid="{00000000-0005-0000-0000-0000A4C80000}"/>
    <cellStyle name="Vírgula 3 6 3 3" xfId="9339" xr:uid="{00000000-0005-0000-0000-0000A5C80000}"/>
    <cellStyle name="Vírgula 3 6 3 3 2" xfId="27553" xr:uid="{00000000-0005-0000-0000-0000A6C80000}"/>
    <cellStyle name="Vírgula 3 6 3 3 2 2" xfId="53734" xr:uid="{00000000-0005-0000-0000-0000A7C80000}"/>
    <cellStyle name="Vírgula 3 6 3 3 3" xfId="21639" xr:uid="{00000000-0005-0000-0000-0000A8C80000}"/>
    <cellStyle name="Vírgula 3 6 3 3 3 2" xfId="47826" xr:uid="{00000000-0005-0000-0000-0000A9C80000}"/>
    <cellStyle name="Vírgula 3 6 3 3 4" xfId="15725" xr:uid="{00000000-0005-0000-0000-0000AAC80000}"/>
    <cellStyle name="Vírgula 3 6 3 3 4 2" xfId="41918" xr:uid="{00000000-0005-0000-0000-0000ABC80000}"/>
    <cellStyle name="Vírgula 3 6 3 3 5" xfId="35532" xr:uid="{00000000-0005-0000-0000-0000ACC80000}"/>
    <cellStyle name="Vírgula 3 6 3 4" xfId="6015" xr:uid="{00000000-0005-0000-0000-0000ADC80000}"/>
    <cellStyle name="Vírgula 3 6 3 4 2" xfId="24596" xr:uid="{00000000-0005-0000-0000-0000AEC80000}"/>
    <cellStyle name="Vírgula 3 6 3 4 2 2" xfId="50780" xr:uid="{00000000-0005-0000-0000-0000AFC80000}"/>
    <cellStyle name="Vírgula 3 6 3 4 3" xfId="32211" xr:uid="{00000000-0005-0000-0000-0000B0C80000}"/>
    <cellStyle name="Vírgula 3 6 3 5" xfId="18682" xr:uid="{00000000-0005-0000-0000-0000B1C80000}"/>
    <cellStyle name="Vírgula 3 6 3 5 2" xfId="44872" xr:uid="{00000000-0005-0000-0000-0000B2C80000}"/>
    <cellStyle name="Vírgula 3 6 3 6" xfId="12403" xr:uid="{00000000-0005-0000-0000-0000B3C80000}"/>
    <cellStyle name="Vírgula 3 6 3 6 2" xfId="38596" xr:uid="{00000000-0005-0000-0000-0000B4C80000}"/>
    <cellStyle name="Vírgula 3 6 3 7" xfId="30514" xr:uid="{00000000-0005-0000-0000-0000B5C80000}"/>
    <cellStyle name="Vírgula 3 6 4" xfId="4422" xr:uid="{00000000-0005-0000-0000-0000B6C80000}"/>
    <cellStyle name="Vírgula 3 6 4 2" xfId="7824" xr:uid="{00000000-0005-0000-0000-0000B7C80000}"/>
    <cellStyle name="Vírgula 3 6 4 2 2" xfId="10869" xr:uid="{00000000-0005-0000-0000-0000B8C80000}"/>
    <cellStyle name="Vírgula 3 6 4 2 2 2" xfId="29083" xr:uid="{00000000-0005-0000-0000-0000B9C80000}"/>
    <cellStyle name="Vírgula 3 6 4 2 2 2 2" xfId="55264" xr:uid="{00000000-0005-0000-0000-0000BAC80000}"/>
    <cellStyle name="Vírgula 3 6 4 2 2 3" xfId="23169" xr:uid="{00000000-0005-0000-0000-0000BBC80000}"/>
    <cellStyle name="Vírgula 3 6 4 2 2 3 2" xfId="49356" xr:uid="{00000000-0005-0000-0000-0000BCC80000}"/>
    <cellStyle name="Vírgula 3 6 4 2 2 4" xfId="17255" xr:uid="{00000000-0005-0000-0000-0000BDC80000}"/>
    <cellStyle name="Vírgula 3 6 4 2 2 4 2" xfId="43448" xr:uid="{00000000-0005-0000-0000-0000BEC80000}"/>
    <cellStyle name="Vírgula 3 6 4 2 2 5" xfId="37062" xr:uid="{00000000-0005-0000-0000-0000BFC80000}"/>
    <cellStyle name="Vírgula 3 6 4 2 3" xfId="26126" xr:uid="{00000000-0005-0000-0000-0000C0C80000}"/>
    <cellStyle name="Vírgula 3 6 4 2 3 2" xfId="52310" xr:uid="{00000000-0005-0000-0000-0000C1C80000}"/>
    <cellStyle name="Vírgula 3 6 4 2 4" xfId="20212" xr:uid="{00000000-0005-0000-0000-0000C2C80000}"/>
    <cellStyle name="Vírgula 3 6 4 2 4 2" xfId="46402" xr:uid="{00000000-0005-0000-0000-0000C3C80000}"/>
    <cellStyle name="Vírgula 3 6 4 2 5" xfId="14213" xr:uid="{00000000-0005-0000-0000-0000C4C80000}"/>
    <cellStyle name="Vírgula 3 6 4 2 5 2" xfId="40406" xr:uid="{00000000-0005-0000-0000-0000C5C80000}"/>
    <cellStyle name="Vírgula 3 6 4 2 6" xfId="34020" xr:uid="{00000000-0005-0000-0000-0000C6C80000}"/>
    <cellStyle name="Vírgula 3 6 4 3" xfId="9401" xr:uid="{00000000-0005-0000-0000-0000C7C80000}"/>
    <cellStyle name="Vírgula 3 6 4 3 2" xfId="27615" xr:uid="{00000000-0005-0000-0000-0000C8C80000}"/>
    <cellStyle name="Vírgula 3 6 4 3 2 2" xfId="53796" xr:uid="{00000000-0005-0000-0000-0000C9C80000}"/>
    <cellStyle name="Vírgula 3 6 4 3 3" xfId="21701" xr:uid="{00000000-0005-0000-0000-0000CAC80000}"/>
    <cellStyle name="Vírgula 3 6 4 3 3 2" xfId="47888" xr:uid="{00000000-0005-0000-0000-0000CBC80000}"/>
    <cellStyle name="Vírgula 3 6 4 3 4" xfId="15787" xr:uid="{00000000-0005-0000-0000-0000CCC80000}"/>
    <cellStyle name="Vírgula 3 6 4 3 4 2" xfId="41980" xr:uid="{00000000-0005-0000-0000-0000CDC80000}"/>
    <cellStyle name="Vírgula 3 6 4 3 5" xfId="35594" xr:uid="{00000000-0005-0000-0000-0000CEC80000}"/>
    <cellStyle name="Vírgula 3 6 4 4" xfId="6124" xr:uid="{00000000-0005-0000-0000-0000CFC80000}"/>
    <cellStyle name="Vírgula 3 6 4 4 2" xfId="24658" xr:uid="{00000000-0005-0000-0000-0000D0C80000}"/>
    <cellStyle name="Vírgula 3 6 4 4 2 2" xfId="50842" xr:uid="{00000000-0005-0000-0000-0000D1C80000}"/>
    <cellStyle name="Vírgula 3 6 4 4 3" xfId="32320" xr:uid="{00000000-0005-0000-0000-0000D2C80000}"/>
    <cellStyle name="Vírgula 3 6 4 5" xfId="18744" xr:uid="{00000000-0005-0000-0000-0000D3C80000}"/>
    <cellStyle name="Vírgula 3 6 4 5 2" xfId="44934" xr:uid="{00000000-0005-0000-0000-0000D4C80000}"/>
    <cellStyle name="Vírgula 3 6 4 6" xfId="12512" xr:uid="{00000000-0005-0000-0000-0000D5C80000}"/>
    <cellStyle name="Vírgula 3 6 4 6 2" xfId="38705" xr:uid="{00000000-0005-0000-0000-0000D6C80000}"/>
    <cellStyle name="Vírgula 3 6 4 7" xfId="30622" xr:uid="{00000000-0005-0000-0000-0000D7C80000}"/>
    <cellStyle name="Vírgula 3 6 5" xfId="4530" xr:uid="{00000000-0005-0000-0000-0000D8C80000}"/>
    <cellStyle name="Vírgula 3 6 5 2" xfId="7932" xr:uid="{00000000-0005-0000-0000-0000D9C80000}"/>
    <cellStyle name="Vírgula 3 6 5 2 2" xfId="10931" xr:uid="{00000000-0005-0000-0000-0000DAC80000}"/>
    <cellStyle name="Vírgula 3 6 5 2 2 2" xfId="29145" xr:uid="{00000000-0005-0000-0000-0000DBC80000}"/>
    <cellStyle name="Vírgula 3 6 5 2 2 2 2" xfId="55326" xr:uid="{00000000-0005-0000-0000-0000DCC80000}"/>
    <cellStyle name="Vírgula 3 6 5 2 2 3" xfId="23231" xr:uid="{00000000-0005-0000-0000-0000DDC80000}"/>
    <cellStyle name="Vírgula 3 6 5 2 2 3 2" xfId="49418" xr:uid="{00000000-0005-0000-0000-0000DEC80000}"/>
    <cellStyle name="Vírgula 3 6 5 2 2 4" xfId="17317" xr:uid="{00000000-0005-0000-0000-0000DFC80000}"/>
    <cellStyle name="Vírgula 3 6 5 2 2 4 2" xfId="43510" xr:uid="{00000000-0005-0000-0000-0000E0C80000}"/>
    <cellStyle name="Vírgula 3 6 5 2 2 5" xfId="37124" xr:uid="{00000000-0005-0000-0000-0000E1C80000}"/>
    <cellStyle name="Vírgula 3 6 5 2 3" xfId="26188" xr:uid="{00000000-0005-0000-0000-0000E2C80000}"/>
    <cellStyle name="Vírgula 3 6 5 2 3 2" xfId="52372" xr:uid="{00000000-0005-0000-0000-0000E3C80000}"/>
    <cellStyle name="Vírgula 3 6 5 2 4" xfId="20274" xr:uid="{00000000-0005-0000-0000-0000E4C80000}"/>
    <cellStyle name="Vírgula 3 6 5 2 4 2" xfId="46464" xr:uid="{00000000-0005-0000-0000-0000E5C80000}"/>
    <cellStyle name="Vírgula 3 6 5 2 5" xfId="14321" xr:uid="{00000000-0005-0000-0000-0000E6C80000}"/>
    <cellStyle name="Vírgula 3 6 5 2 5 2" xfId="40514" xr:uid="{00000000-0005-0000-0000-0000E7C80000}"/>
    <cellStyle name="Vírgula 3 6 5 2 6" xfId="34128" xr:uid="{00000000-0005-0000-0000-0000E8C80000}"/>
    <cellStyle name="Vírgula 3 6 5 3" xfId="9463" xr:uid="{00000000-0005-0000-0000-0000E9C80000}"/>
    <cellStyle name="Vírgula 3 6 5 3 2" xfId="27677" xr:uid="{00000000-0005-0000-0000-0000EAC80000}"/>
    <cellStyle name="Vírgula 3 6 5 3 2 2" xfId="53858" xr:uid="{00000000-0005-0000-0000-0000EBC80000}"/>
    <cellStyle name="Vírgula 3 6 5 3 3" xfId="21763" xr:uid="{00000000-0005-0000-0000-0000ECC80000}"/>
    <cellStyle name="Vírgula 3 6 5 3 3 2" xfId="47950" xr:uid="{00000000-0005-0000-0000-0000EDC80000}"/>
    <cellStyle name="Vírgula 3 6 5 3 4" xfId="15849" xr:uid="{00000000-0005-0000-0000-0000EEC80000}"/>
    <cellStyle name="Vírgula 3 6 5 3 4 2" xfId="42042" xr:uid="{00000000-0005-0000-0000-0000EFC80000}"/>
    <cellStyle name="Vírgula 3 6 5 3 5" xfId="35656" xr:uid="{00000000-0005-0000-0000-0000F0C80000}"/>
    <cellStyle name="Vírgula 3 6 5 4" xfId="6231" xr:uid="{00000000-0005-0000-0000-0000F1C80000}"/>
    <cellStyle name="Vírgula 3 6 5 4 2" xfId="24720" xr:uid="{00000000-0005-0000-0000-0000F2C80000}"/>
    <cellStyle name="Vírgula 3 6 5 4 2 2" xfId="50904" xr:uid="{00000000-0005-0000-0000-0000F3C80000}"/>
    <cellStyle name="Vírgula 3 6 5 4 3" xfId="32427" xr:uid="{00000000-0005-0000-0000-0000F4C80000}"/>
    <cellStyle name="Vírgula 3 6 5 5" xfId="18806" xr:uid="{00000000-0005-0000-0000-0000F5C80000}"/>
    <cellStyle name="Vírgula 3 6 5 5 2" xfId="44996" xr:uid="{00000000-0005-0000-0000-0000F6C80000}"/>
    <cellStyle name="Vírgula 3 6 5 6" xfId="12620" xr:uid="{00000000-0005-0000-0000-0000F7C80000}"/>
    <cellStyle name="Vírgula 3 6 5 6 2" xfId="38813" xr:uid="{00000000-0005-0000-0000-0000F8C80000}"/>
    <cellStyle name="Vírgula 3 6 5 7" xfId="30730" xr:uid="{00000000-0005-0000-0000-0000F9C80000}"/>
    <cellStyle name="Vírgula 3 6 6" xfId="5337" xr:uid="{00000000-0005-0000-0000-0000FAC80000}"/>
    <cellStyle name="Vírgula 3 6 6 2" xfId="7036" xr:uid="{00000000-0005-0000-0000-0000FBC80000}"/>
    <cellStyle name="Vírgula 3 6 6 2 2" xfId="10180" xr:uid="{00000000-0005-0000-0000-0000FCC80000}"/>
    <cellStyle name="Vírgula 3 6 6 2 2 2" xfId="28394" xr:uid="{00000000-0005-0000-0000-0000FDC80000}"/>
    <cellStyle name="Vírgula 3 6 6 2 2 2 2" xfId="54575" xr:uid="{00000000-0005-0000-0000-0000FEC80000}"/>
    <cellStyle name="Vírgula 3 6 6 2 2 3" xfId="22480" xr:uid="{00000000-0005-0000-0000-0000FFC80000}"/>
    <cellStyle name="Vírgula 3 6 6 2 2 3 2" xfId="48667" xr:uid="{00000000-0005-0000-0000-000000C90000}"/>
    <cellStyle name="Vírgula 3 6 6 2 2 4" xfId="16566" xr:uid="{00000000-0005-0000-0000-000001C90000}"/>
    <cellStyle name="Vírgula 3 6 6 2 2 4 2" xfId="42759" xr:uid="{00000000-0005-0000-0000-000002C90000}"/>
    <cellStyle name="Vírgula 3 6 6 2 2 5" xfId="36373" xr:uid="{00000000-0005-0000-0000-000003C90000}"/>
    <cellStyle name="Vírgula 3 6 6 2 3" xfId="25437" xr:uid="{00000000-0005-0000-0000-000004C90000}"/>
    <cellStyle name="Vírgula 3 6 6 2 3 2" xfId="51621" xr:uid="{00000000-0005-0000-0000-000005C90000}"/>
    <cellStyle name="Vírgula 3 6 6 2 4" xfId="19523" xr:uid="{00000000-0005-0000-0000-000006C90000}"/>
    <cellStyle name="Vírgula 3 6 6 2 4 2" xfId="45713" xr:uid="{00000000-0005-0000-0000-000007C90000}"/>
    <cellStyle name="Vírgula 3 6 6 2 5" xfId="13425" xr:uid="{00000000-0005-0000-0000-000008C90000}"/>
    <cellStyle name="Vírgula 3 6 6 2 5 2" xfId="39618" xr:uid="{00000000-0005-0000-0000-000009C90000}"/>
    <cellStyle name="Vírgula 3 6 6 2 6" xfId="33232" xr:uid="{00000000-0005-0000-0000-00000AC90000}"/>
    <cellStyle name="Vírgula 3 6 6 3" xfId="8712" xr:uid="{00000000-0005-0000-0000-00000BC90000}"/>
    <cellStyle name="Vírgula 3 6 6 3 2" xfId="26926" xr:uid="{00000000-0005-0000-0000-00000CC90000}"/>
    <cellStyle name="Vírgula 3 6 6 3 2 2" xfId="53107" xr:uid="{00000000-0005-0000-0000-00000DC90000}"/>
    <cellStyle name="Vírgula 3 6 6 3 3" xfId="21012" xr:uid="{00000000-0005-0000-0000-00000EC90000}"/>
    <cellStyle name="Vírgula 3 6 6 3 3 2" xfId="47199" xr:uid="{00000000-0005-0000-0000-00000FC90000}"/>
    <cellStyle name="Vírgula 3 6 6 3 4" xfId="15098" xr:uid="{00000000-0005-0000-0000-000010C90000}"/>
    <cellStyle name="Vírgula 3 6 6 3 4 2" xfId="41291" xr:uid="{00000000-0005-0000-0000-000011C90000}"/>
    <cellStyle name="Vírgula 3 6 6 3 5" xfId="34905" xr:uid="{00000000-0005-0000-0000-000012C90000}"/>
    <cellStyle name="Vírgula 3 6 6 4" xfId="23969" xr:uid="{00000000-0005-0000-0000-000013C90000}"/>
    <cellStyle name="Vírgula 3 6 6 4 2" xfId="50153" xr:uid="{00000000-0005-0000-0000-000014C90000}"/>
    <cellStyle name="Vírgula 3 6 6 5" xfId="18055" xr:uid="{00000000-0005-0000-0000-000015C90000}"/>
    <cellStyle name="Vírgula 3 6 6 5 2" xfId="44245" xr:uid="{00000000-0005-0000-0000-000016C90000}"/>
    <cellStyle name="Vírgula 3 6 6 6" xfId="11724" xr:uid="{00000000-0005-0000-0000-000017C90000}"/>
    <cellStyle name="Vírgula 3 6 6 6 2" xfId="37917" xr:uid="{00000000-0005-0000-0000-000018C90000}"/>
    <cellStyle name="Vírgula 3 6 6 7" xfId="31533" xr:uid="{00000000-0005-0000-0000-000019C90000}"/>
    <cellStyle name="Vírgula 3 6 7" xfId="6340" xr:uid="{00000000-0005-0000-0000-00001AC90000}"/>
    <cellStyle name="Vírgula 3 6 7 2" xfId="9525" xr:uid="{00000000-0005-0000-0000-00001BC90000}"/>
    <cellStyle name="Vírgula 3 6 7 2 2" xfId="27739" xr:uid="{00000000-0005-0000-0000-00001CC90000}"/>
    <cellStyle name="Vírgula 3 6 7 2 2 2" xfId="53920" xr:uid="{00000000-0005-0000-0000-00001DC90000}"/>
    <cellStyle name="Vírgula 3 6 7 2 3" xfId="21825" xr:uid="{00000000-0005-0000-0000-00001EC90000}"/>
    <cellStyle name="Vírgula 3 6 7 2 3 2" xfId="48012" xr:uid="{00000000-0005-0000-0000-00001FC90000}"/>
    <cellStyle name="Vírgula 3 6 7 2 4" xfId="15911" xr:uid="{00000000-0005-0000-0000-000020C90000}"/>
    <cellStyle name="Vírgula 3 6 7 2 4 2" xfId="42104" xr:uid="{00000000-0005-0000-0000-000021C90000}"/>
    <cellStyle name="Vírgula 3 6 7 2 5" xfId="35718" xr:uid="{00000000-0005-0000-0000-000022C90000}"/>
    <cellStyle name="Vírgula 3 6 7 3" xfId="24782" xr:uid="{00000000-0005-0000-0000-000023C90000}"/>
    <cellStyle name="Vírgula 3 6 7 3 2" xfId="50966" xr:uid="{00000000-0005-0000-0000-000024C90000}"/>
    <cellStyle name="Vírgula 3 6 7 4" xfId="18868" xr:uid="{00000000-0005-0000-0000-000025C90000}"/>
    <cellStyle name="Vírgula 3 6 7 4 2" xfId="45058" xr:uid="{00000000-0005-0000-0000-000026C90000}"/>
    <cellStyle name="Vírgula 3 6 7 5" xfId="12729" xr:uid="{00000000-0005-0000-0000-000027C90000}"/>
    <cellStyle name="Vírgula 3 6 7 5 2" xfId="38922" xr:uid="{00000000-0005-0000-0000-000028C90000}"/>
    <cellStyle name="Vírgula 3 6 7 6" xfId="32536" xr:uid="{00000000-0005-0000-0000-000029C90000}"/>
    <cellStyle name="Vírgula 3 6 8" xfId="8054" xr:uid="{00000000-0005-0000-0000-00002AC90000}"/>
    <cellStyle name="Vírgula 3 6 8 2" xfId="26268" xr:uid="{00000000-0005-0000-0000-00002BC90000}"/>
    <cellStyle name="Vírgula 3 6 8 2 2" xfId="52452" xr:uid="{00000000-0005-0000-0000-00002CC90000}"/>
    <cellStyle name="Vírgula 3 6 8 3" xfId="20354" xr:uid="{00000000-0005-0000-0000-00002DC90000}"/>
    <cellStyle name="Vírgula 3 6 8 3 2" xfId="46544" xr:uid="{00000000-0005-0000-0000-00002EC90000}"/>
    <cellStyle name="Vírgula 3 6 8 4" xfId="14443" xr:uid="{00000000-0005-0000-0000-00002FC90000}"/>
    <cellStyle name="Vírgula 3 6 8 4 2" xfId="40636" xr:uid="{00000000-0005-0000-0000-000030C90000}"/>
    <cellStyle name="Vírgula 3 6 8 5" xfId="34250" xr:uid="{00000000-0005-0000-0000-000031C90000}"/>
    <cellStyle name="Vírgula 3 6 9" xfId="4637" xr:uid="{00000000-0005-0000-0000-000032C90000}"/>
    <cellStyle name="Vírgula 3 6 9 2" xfId="23311" xr:uid="{00000000-0005-0000-0000-000033C90000}"/>
    <cellStyle name="Vírgula 3 6 9 2 2" xfId="49498" xr:uid="{00000000-0005-0000-0000-000034C90000}"/>
    <cellStyle name="Vírgula 3 6 9 3" xfId="30837" xr:uid="{00000000-0005-0000-0000-000035C90000}"/>
    <cellStyle name="Vírgula 3 7" xfId="2704" xr:uid="{00000000-0005-0000-0000-000036C90000}"/>
    <cellStyle name="Vírgula 3 7 10" xfId="17376" xr:uid="{00000000-0005-0000-0000-000037C90000}"/>
    <cellStyle name="Vírgula 3 7 10 2" xfId="43569" xr:uid="{00000000-0005-0000-0000-000038C90000}"/>
    <cellStyle name="Vírgula 3 7 11" xfId="10992" xr:uid="{00000000-0005-0000-0000-000039C90000}"/>
    <cellStyle name="Vírgula 3 7 11 2" xfId="37185" xr:uid="{00000000-0005-0000-0000-00003AC90000}"/>
    <cellStyle name="Vírgula 3 7 12" xfId="29982" xr:uid="{00000000-0005-0000-0000-00003BC90000}"/>
    <cellStyle name="Vírgula 3 7 2" xfId="4201" xr:uid="{00000000-0005-0000-0000-00003CC90000}"/>
    <cellStyle name="Vírgula 3 7 2 2" xfId="7601" xr:uid="{00000000-0005-0000-0000-00003DC90000}"/>
    <cellStyle name="Vírgula 3 7 2 2 2" xfId="10743" xr:uid="{00000000-0005-0000-0000-00003EC90000}"/>
    <cellStyle name="Vírgula 3 7 2 2 2 2" xfId="28957" xr:uid="{00000000-0005-0000-0000-00003FC90000}"/>
    <cellStyle name="Vírgula 3 7 2 2 2 2 2" xfId="55138" xr:uid="{00000000-0005-0000-0000-000040C90000}"/>
    <cellStyle name="Vírgula 3 7 2 2 2 3" xfId="23043" xr:uid="{00000000-0005-0000-0000-000041C90000}"/>
    <cellStyle name="Vírgula 3 7 2 2 2 3 2" xfId="49230" xr:uid="{00000000-0005-0000-0000-000042C90000}"/>
    <cellStyle name="Vírgula 3 7 2 2 2 4" xfId="17129" xr:uid="{00000000-0005-0000-0000-000043C90000}"/>
    <cellStyle name="Vírgula 3 7 2 2 2 4 2" xfId="43322" xr:uid="{00000000-0005-0000-0000-000044C90000}"/>
    <cellStyle name="Vírgula 3 7 2 2 2 5" xfId="36936" xr:uid="{00000000-0005-0000-0000-000045C90000}"/>
    <cellStyle name="Vírgula 3 7 2 2 3" xfId="26000" xr:uid="{00000000-0005-0000-0000-000046C90000}"/>
    <cellStyle name="Vírgula 3 7 2 2 3 2" xfId="52184" xr:uid="{00000000-0005-0000-0000-000047C90000}"/>
    <cellStyle name="Vírgula 3 7 2 2 4" xfId="20086" xr:uid="{00000000-0005-0000-0000-000048C90000}"/>
    <cellStyle name="Vírgula 3 7 2 2 4 2" xfId="46276" xr:uid="{00000000-0005-0000-0000-000049C90000}"/>
    <cellStyle name="Vírgula 3 7 2 2 5" xfId="13990" xr:uid="{00000000-0005-0000-0000-00004AC90000}"/>
    <cellStyle name="Vírgula 3 7 2 2 5 2" xfId="40183" xr:uid="{00000000-0005-0000-0000-00004BC90000}"/>
    <cellStyle name="Vírgula 3 7 2 2 6" xfId="33797" xr:uid="{00000000-0005-0000-0000-00004CC90000}"/>
    <cellStyle name="Vírgula 3 7 2 3" xfId="9275" xr:uid="{00000000-0005-0000-0000-00004DC90000}"/>
    <cellStyle name="Vírgula 3 7 2 3 2" xfId="27489" xr:uid="{00000000-0005-0000-0000-00004EC90000}"/>
    <cellStyle name="Vírgula 3 7 2 3 2 2" xfId="53670" xr:uid="{00000000-0005-0000-0000-00004FC90000}"/>
    <cellStyle name="Vírgula 3 7 2 3 3" xfId="21575" xr:uid="{00000000-0005-0000-0000-000050C90000}"/>
    <cellStyle name="Vírgula 3 7 2 3 3 2" xfId="47762" xr:uid="{00000000-0005-0000-0000-000051C90000}"/>
    <cellStyle name="Vírgula 3 7 2 3 4" xfId="15661" xr:uid="{00000000-0005-0000-0000-000052C90000}"/>
    <cellStyle name="Vírgula 3 7 2 3 4 2" xfId="41854" xr:uid="{00000000-0005-0000-0000-000053C90000}"/>
    <cellStyle name="Vírgula 3 7 2 3 5" xfId="35468" xr:uid="{00000000-0005-0000-0000-000054C90000}"/>
    <cellStyle name="Vírgula 3 7 2 4" xfId="5902" xr:uid="{00000000-0005-0000-0000-000055C90000}"/>
    <cellStyle name="Vírgula 3 7 2 4 2" xfId="24532" xr:uid="{00000000-0005-0000-0000-000056C90000}"/>
    <cellStyle name="Vírgula 3 7 2 4 2 2" xfId="50716" xr:uid="{00000000-0005-0000-0000-000057C90000}"/>
    <cellStyle name="Vírgula 3 7 2 4 3" xfId="32098" xr:uid="{00000000-0005-0000-0000-000058C90000}"/>
    <cellStyle name="Vírgula 3 7 2 5" xfId="18618" xr:uid="{00000000-0005-0000-0000-000059C90000}"/>
    <cellStyle name="Vírgula 3 7 2 5 2" xfId="44808" xr:uid="{00000000-0005-0000-0000-00005AC90000}"/>
    <cellStyle name="Vírgula 3 7 2 6" xfId="12289" xr:uid="{00000000-0005-0000-0000-00005BC90000}"/>
    <cellStyle name="Vírgula 3 7 2 6 2" xfId="38482" xr:uid="{00000000-0005-0000-0000-00005CC90000}"/>
    <cellStyle name="Vírgula 3 7 2 7" xfId="30401" xr:uid="{00000000-0005-0000-0000-00005DC90000}"/>
    <cellStyle name="Vírgula 3 7 3" xfId="4277" xr:uid="{00000000-0005-0000-0000-00005EC90000}"/>
    <cellStyle name="Vírgula 3 7 3 2" xfId="7678" xr:uid="{00000000-0005-0000-0000-00005FC90000}"/>
    <cellStyle name="Vírgula 3 7 3 2 2" xfId="10786" xr:uid="{00000000-0005-0000-0000-000060C90000}"/>
    <cellStyle name="Vírgula 3 7 3 2 2 2" xfId="29000" xr:uid="{00000000-0005-0000-0000-000061C90000}"/>
    <cellStyle name="Vírgula 3 7 3 2 2 2 2" xfId="55181" xr:uid="{00000000-0005-0000-0000-000062C90000}"/>
    <cellStyle name="Vírgula 3 7 3 2 2 3" xfId="23086" xr:uid="{00000000-0005-0000-0000-000063C90000}"/>
    <cellStyle name="Vírgula 3 7 3 2 2 3 2" xfId="49273" xr:uid="{00000000-0005-0000-0000-000064C90000}"/>
    <cellStyle name="Vírgula 3 7 3 2 2 4" xfId="17172" xr:uid="{00000000-0005-0000-0000-000065C90000}"/>
    <cellStyle name="Vírgula 3 7 3 2 2 4 2" xfId="43365" xr:uid="{00000000-0005-0000-0000-000066C90000}"/>
    <cellStyle name="Vírgula 3 7 3 2 2 5" xfId="36979" xr:uid="{00000000-0005-0000-0000-000067C90000}"/>
    <cellStyle name="Vírgula 3 7 3 2 3" xfId="26043" xr:uid="{00000000-0005-0000-0000-000068C90000}"/>
    <cellStyle name="Vírgula 3 7 3 2 3 2" xfId="52227" xr:uid="{00000000-0005-0000-0000-000069C90000}"/>
    <cellStyle name="Vírgula 3 7 3 2 4" xfId="20129" xr:uid="{00000000-0005-0000-0000-00006AC90000}"/>
    <cellStyle name="Vírgula 3 7 3 2 4 2" xfId="46319" xr:uid="{00000000-0005-0000-0000-00006BC90000}"/>
    <cellStyle name="Vírgula 3 7 3 2 5" xfId="14067" xr:uid="{00000000-0005-0000-0000-00006CC90000}"/>
    <cellStyle name="Vírgula 3 7 3 2 5 2" xfId="40260" xr:uid="{00000000-0005-0000-0000-00006DC90000}"/>
    <cellStyle name="Vírgula 3 7 3 2 6" xfId="33874" xr:uid="{00000000-0005-0000-0000-00006EC90000}"/>
    <cellStyle name="Vírgula 3 7 3 3" xfId="9318" xr:uid="{00000000-0005-0000-0000-00006FC90000}"/>
    <cellStyle name="Vírgula 3 7 3 3 2" xfId="27532" xr:uid="{00000000-0005-0000-0000-000070C90000}"/>
    <cellStyle name="Vírgula 3 7 3 3 2 2" xfId="53713" xr:uid="{00000000-0005-0000-0000-000071C90000}"/>
    <cellStyle name="Vírgula 3 7 3 3 3" xfId="21618" xr:uid="{00000000-0005-0000-0000-000072C90000}"/>
    <cellStyle name="Vírgula 3 7 3 3 3 2" xfId="47805" xr:uid="{00000000-0005-0000-0000-000073C90000}"/>
    <cellStyle name="Vírgula 3 7 3 3 4" xfId="15704" xr:uid="{00000000-0005-0000-0000-000074C90000}"/>
    <cellStyle name="Vírgula 3 7 3 3 4 2" xfId="41897" xr:uid="{00000000-0005-0000-0000-000075C90000}"/>
    <cellStyle name="Vírgula 3 7 3 3 5" xfId="35511" xr:uid="{00000000-0005-0000-0000-000076C90000}"/>
    <cellStyle name="Vírgula 3 7 3 4" xfId="5978" xr:uid="{00000000-0005-0000-0000-000077C90000}"/>
    <cellStyle name="Vírgula 3 7 3 4 2" xfId="24575" xr:uid="{00000000-0005-0000-0000-000078C90000}"/>
    <cellStyle name="Vírgula 3 7 3 4 2 2" xfId="50759" xr:uid="{00000000-0005-0000-0000-000079C90000}"/>
    <cellStyle name="Vírgula 3 7 3 4 3" xfId="32174" xr:uid="{00000000-0005-0000-0000-00007AC90000}"/>
    <cellStyle name="Vírgula 3 7 3 5" xfId="18661" xr:uid="{00000000-0005-0000-0000-00007BC90000}"/>
    <cellStyle name="Vírgula 3 7 3 5 2" xfId="44851" xr:uid="{00000000-0005-0000-0000-00007CC90000}"/>
    <cellStyle name="Vírgula 3 7 3 6" xfId="12366" xr:uid="{00000000-0005-0000-0000-00007DC90000}"/>
    <cellStyle name="Vírgula 3 7 3 6 2" xfId="38559" xr:uid="{00000000-0005-0000-0000-00007EC90000}"/>
    <cellStyle name="Vírgula 3 7 3 7" xfId="30477" xr:uid="{00000000-0005-0000-0000-00007FC90000}"/>
    <cellStyle name="Vírgula 3 7 4" xfId="4385" xr:uid="{00000000-0005-0000-0000-000080C90000}"/>
    <cellStyle name="Vírgula 3 7 4 2" xfId="7787" xr:uid="{00000000-0005-0000-0000-000081C90000}"/>
    <cellStyle name="Vírgula 3 7 4 2 2" xfId="10848" xr:uid="{00000000-0005-0000-0000-000082C90000}"/>
    <cellStyle name="Vírgula 3 7 4 2 2 2" xfId="29062" xr:uid="{00000000-0005-0000-0000-000083C90000}"/>
    <cellStyle name="Vírgula 3 7 4 2 2 2 2" xfId="55243" xr:uid="{00000000-0005-0000-0000-000084C90000}"/>
    <cellStyle name="Vírgula 3 7 4 2 2 3" xfId="23148" xr:uid="{00000000-0005-0000-0000-000085C90000}"/>
    <cellStyle name="Vírgula 3 7 4 2 2 3 2" xfId="49335" xr:uid="{00000000-0005-0000-0000-000086C90000}"/>
    <cellStyle name="Vírgula 3 7 4 2 2 4" xfId="17234" xr:uid="{00000000-0005-0000-0000-000087C90000}"/>
    <cellStyle name="Vírgula 3 7 4 2 2 4 2" xfId="43427" xr:uid="{00000000-0005-0000-0000-000088C90000}"/>
    <cellStyle name="Vírgula 3 7 4 2 2 5" xfId="37041" xr:uid="{00000000-0005-0000-0000-000089C90000}"/>
    <cellStyle name="Vírgula 3 7 4 2 3" xfId="26105" xr:uid="{00000000-0005-0000-0000-00008AC90000}"/>
    <cellStyle name="Vírgula 3 7 4 2 3 2" xfId="52289" xr:uid="{00000000-0005-0000-0000-00008BC90000}"/>
    <cellStyle name="Vírgula 3 7 4 2 4" xfId="20191" xr:uid="{00000000-0005-0000-0000-00008CC90000}"/>
    <cellStyle name="Vírgula 3 7 4 2 4 2" xfId="46381" xr:uid="{00000000-0005-0000-0000-00008DC90000}"/>
    <cellStyle name="Vírgula 3 7 4 2 5" xfId="14176" xr:uid="{00000000-0005-0000-0000-00008EC90000}"/>
    <cellStyle name="Vírgula 3 7 4 2 5 2" xfId="40369" xr:uid="{00000000-0005-0000-0000-00008FC90000}"/>
    <cellStyle name="Vírgula 3 7 4 2 6" xfId="33983" xr:uid="{00000000-0005-0000-0000-000090C90000}"/>
    <cellStyle name="Vírgula 3 7 4 3" xfId="9380" xr:uid="{00000000-0005-0000-0000-000091C90000}"/>
    <cellStyle name="Vírgula 3 7 4 3 2" xfId="27594" xr:uid="{00000000-0005-0000-0000-000092C90000}"/>
    <cellStyle name="Vírgula 3 7 4 3 2 2" xfId="53775" xr:uid="{00000000-0005-0000-0000-000093C90000}"/>
    <cellStyle name="Vírgula 3 7 4 3 3" xfId="21680" xr:uid="{00000000-0005-0000-0000-000094C90000}"/>
    <cellStyle name="Vírgula 3 7 4 3 3 2" xfId="47867" xr:uid="{00000000-0005-0000-0000-000095C90000}"/>
    <cellStyle name="Vírgula 3 7 4 3 4" xfId="15766" xr:uid="{00000000-0005-0000-0000-000096C90000}"/>
    <cellStyle name="Vírgula 3 7 4 3 4 2" xfId="41959" xr:uid="{00000000-0005-0000-0000-000097C90000}"/>
    <cellStyle name="Vírgula 3 7 4 3 5" xfId="35573" xr:uid="{00000000-0005-0000-0000-000098C90000}"/>
    <cellStyle name="Vírgula 3 7 4 4" xfId="6087" xr:uid="{00000000-0005-0000-0000-000099C90000}"/>
    <cellStyle name="Vírgula 3 7 4 4 2" xfId="24637" xr:uid="{00000000-0005-0000-0000-00009AC90000}"/>
    <cellStyle name="Vírgula 3 7 4 4 2 2" xfId="50821" xr:uid="{00000000-0005-0000-0000-00009BC90000}"/>
    <cellStyle name="Vírgula 3 7 4 4 3" xfId="32283" xr:uid="{00000000-0005-0000-0000-00009CC90000}"/>
    <cellStyle name="Vírgula 3 7 4 5" xfId="18723" xr:uid="{00000000-0005-0000-0000-00009DC90000}"/>
    <cellStyle name="Vírgula 3 7 4 5 2" xfId="44913" xr:uid="{00000000-0005-0000-0000-00009EC90000}"/>
    <cellStyle name="Vírgula 3 7 4 6" xfId="12475" xr:uid="{00000000-0005-0000-0000-00009FC90000}"/>
    <cellStyle name="Vírgula 3 7 4 6 2" xfId="38668" xr:uid="{00000000-0005-0000-0000-0000A0C90000}"/>
    <cellStyle name="Vírgula 3 7 4 7" xfId="30585" xr:uid="{00000000-0005-0000-0000-0000A1C90000}"/>
    <cellStyle name="Vírgula 3 7 5" xfId="4493" xr:uid="{00000000-0005-0000-0000-0000A2C90000}"/>
    <cellStyle name="Vírgula 3 7 5 2" xfId="7895" xr:uid="{00000000-0005-0000-0000-0000A3C90000}"/>
    <cellStyle name="Vírgula 3 7 5 2 2" xfId="10910" xr:uid="{00000000-0005-0000-0000-0000A4C90000}"/>
    <cellStyle name="Vírgula 3 7 5 2 2 2" xfId="29124" xr:uid="{00000000-0005-0000-0000-0000A5C90000}"/>
    <cellStyle name="Vírgula 3 7 5 2 2 2 2" xfId="55305" xr:uid="{00000000-0005-0000-0000-0000A6C90000}"/>
    <cellStyle name="Vírgula 3 7 5 2 2 3" xfId="23210" xr:uid="{00000000-0005-0000-0000-0000A7C90000}"/>
    <cellStyle name="Vírgula 3 7 5 2 2 3 2" xfId="49397" xr:uid="{00000000-0005-0000-0000-0000A8C90000}"/>
    <cellStyle name="Vírgula 3 7 5 2 2 4" xfId="17296" xr:uid="{00000000-0005-0000-0000-0000A9C90000}"/>
    <cellStyle name="Vírgula 3 7 5 2 2 4 2" xfId="43489" xr:uid="{00000000-0005-0000-0000-0000AAC90000}"/>
    <cellStyle name="Vírgula 3 7 5 2 2 5" xfId="37103" xr:uid="{00000000-0005-0000-0000-0000ABC90000}"/>
    <cellStyle name="Vírgula 3 7 5 2 3" xfId="26167" xr:uid="{00000000-0005-0000-0000-0000ACC90000}"/>
    <cellStyle name="Vírgula 3 7 5 2 3 2" xfId="52351" xr:uid="{00000000-0005-0000-0000-0000ADC90000}"/>
    <cellStyle name="Vírgula 3 7 5 2 4" xfId="20253" xr:uid="{00000000-0005-0000-0000-0000AEC90000}"/>
    <cellStyle name="Vírgula 3 7 5 2 4 2" xfId="46443" xr:uid="{00000000-0005-0000-0000-0000AFC90000}"/>
    <cellStyle name="Vírgula 3 7 5 2 5" xfId="14284" xr:uid="{00000000-0005-0000-0000-0000B0C90000}"/>
    <cellStyle name="Vírgula 3 7 5 2 5 2" xfId="40477" xr:uid="{00000000-0005-0000-0000-0000B1C90000}"/>
    <cellStyle name="Vírgula 3 7 5 2 6" xfId="34091" xr:uid="{00000000-0005-0000-0000-0000B2C90000}"/>
    <cellStyle name="Vírgula 3 7 5 3" xfId="9442" xr:uid="{00000000-0005-0000-0000-0000B3C90000}"/>
    <cellStyle name="Vírgula 3 7 5 3 2" xfId="27656" xr:uid="{00000000-0005-0000-0000-0000B4C90000}"/>
    <cellStyle name="Vírgula 3 7 5 3 2 2" xfId="53837" xr:uid="{00000000-0005-0000-0000-0000B5C90000}"/>
    <cellStyle name="Vírgula 3 7 5 3 3" xfId="21742" xr:uid="{00000000-0005-0000-0000-0000B6C90000}"/>
    <cellStyle name="Vírgula 3 7 5 3 3 2" xfId="47929" xr:uid="{00000000-0005-0000-0000-0000B7C90000}"/>
    <cellStyle name="Vírgula 3 7 5 3 4" xfId="15828" xr:uid="{00000000-0005-0000-0000-0000B8C90000}"/>
    <cellStyle name="Vírgula 3 7 5 3 4 2" xfId="42021" xr:uid="{00000000-0005-0000-0000-0000B9C90000}"/>
    <cellStyle name="Vírgula 3 7 5 3 5" xfId="35635" xr:uid="{00000000-0005-0000-0000-0000BAC90000}"/>
    <cellStyle name="Vírgula 3 7 5 4" xfId="6194" xr:uid="{00000000-0005-0000-0000-0000BBC90000}"/>
    <cellStyle name="Vírgula 3 7 5 4 2" xfId="24699" xr:uid="{00000000-0005-0000-0000-0000BCC90000}"/>
    <cellStyle name="Vírgula 3 7 5 4 2 2" xfId="50883" xr:uid="{00000000-0005-0000-0000-0000BDC90000}"/>
    <cellStyle name="Vírgula 3 7 5 4 3" xfId="32390" xr:uid="{00000000-0005-0000-0000-0000BEC90000}"/>
    <cellStyle name="Vírgula 3 7 5 5" xfId="18785" xr:uid="{00000000-0005-0000-0000-0000BFC90000}"/>
    <cellStyle name="Vírgula 3 7 5 5 2" xfId="44975" xr:uid="{00000000-0005-0000-0000-0000C0C90000}"/>
    <cellStyle name="Vírgula 3 7 5 6" xfId="12583" xr:uid="{00000000-0005-0000-0000-0000C1C90000}"/>
    <cellStyle name="Vírgula 3 7 5 6 2" xfId="38776" xr:uid="{00000000-0005-0000-0000-0000C2C90000}"/>
    <cellStyle name="Vírgula 3 7 5 7" xfId="30693" xr:uid="{00000000-0005-0000-0000-0000C3C90000}"/>
    <cellStyle name="Vírgula 3 7 6" xfId="5484" xr:uid="{00000000-0005-0000-0000-0000C4C90000}"/>
    <cellStyle name="Vírgula 3 7 6 2" xfId="7183" xr:uid="{00000000-0005-0000-0000-0000C5C90000}"/>
    <cellStyle name="Vírgula 3 7 6 2 2" xfId="10327" xr:uid="{00000000-0005-0000-0000-0000C6C90000}"/>
    <cellStyle name="Vírgula 3 7 6 2 2 2" xfId="28541" xr:uid="{00000000-0005-0000-0000-0000C7C90000}"/>
    <cellStyle name="Vírgula 3 7 6 2 2 2 2" xfId="54722" xr:uid="{00000000-0005-0000-0000-0000C8C90000}"/>
    <cellStyle name="Vírgula 3 7 6 2 2 3" xfId="22627" xr:uid="{00000000-0005-0000-0000-0000C9C90000}"/>
    <cellStyle name="Vírgula 3 7 6 2 2 3 2" xfId="48814" xr:uid="{00000000-0005-0000-0000-0000CAC90000}"/>
    <cellStyle name="Vírgula 3 7 6 2 2 4" xfId="16713" xr:uid="{00000000-0005-0000-0000-0000CBC90000}"/>
    <cellStyle name="Vírgula 3 7 6 2 2 4 2" xfId="42906" xr:uid="{00000000-0005-0000-0000-0000CCC90000}"/>
    <cellStyle name="Vírgula 3 7 6 2 2 5" xfId="36520" xr:uid="{00000000-0005-0000-0000-0000CDC90000}"/>
    <cellStyle name="Vírgula 3 7 6 2 3" xfId="25584" xr:uid="{00000000-0005-0000-0000-0000CEC90000}"/>
    <cellStyle name="Vírgula 3 7 6 2 3 2" xfId="51768" xr:uid="{00000000-0005-0000-0000-0000CFC90000}"/>
    <cellStyle name="Vírgula 3 7 6 2 4" xfId="19670" xr:uid="{00000000-0005-0000-0000-0000D0C90000}"/>
    <cellStyle name="Vírgula 3 7 6 2 4 2" xfId="45860" xr:uid="{00000000-0005-0000-0000-0000D1C90000}"/>
    <cellStyle name="Vírgula 3 7 6 2 5" xfId="13572" xr:uid="{00000000-0005-0000-0000-0000D2C90000}"/>
    <cellStyle name="Vírgula 3 7 6 2 5 2" xfId="39765" xr:uid="{00000000-0005-0000-0000-0000D3C90000}"/>
    <cellStyle name="Vírgula 3 7 6 2 6" xfId="33379" xr:uid="{00000000-0005-0000-0000-0000D4C90000}"/>
    <cellStyle name="Vírgula 3 7 6 3" xfId="8859" xr:uid="{00000000-0005-0000-0000-0000D5C90000}"/>
    <cellStyle name="Vírgula 3 7 6 3 2" xfId="27073" xr:uid="{00000000-0005-0000-0000-0000D6C90000}"/>
    <cellStyle name="Vírgula 3 7 6 3 2 2" xfId="53254" xr:uid="{00000000-0005-0000-0000-0000D7C90000}"/>
    <cellStyle name="Vírgula 3 7 6 3 3" xfId="21159" xr:uid="{00000000-0005-0000-0000-0000D8C90000}"/>
    <cellStyle name="Vírgula 3 7 6 3 3 2" xfId="47346" xr:uid="{00000000-0005-0000-0000-0000D9C90000}"/>
    <cellStyle name="Vírgula 3 7 6 3 4" xfId="15245" xr:uid="{00000000-0005-0000-0000-0000DAC90000}"/>
    <cellStyle name="Vírgula 3 7 6 3 4 2" xfId="41438" xr:uid="{00000000-0005-0000-0000-0000DBC90000}"/>
    <cellStyle name="Vírgula 3 7 6 3 5" xfId="35052" xr:uid="{00000000-0005-0000-0000-0000DCC90000}"/>
    <cellStyle name="Vírgula 3 7 6 4" xfId="24116" xr:uid="{00000000-0005-0000-0000-0000DDC90000}"/>
    <cellStyle name="Vírgula 3 7 6 4 2" xfId="50300" xr:uid="{00000000-0005-0000-0000-0000DEC90000}"/>
    <cellStyle name="Vírgula 3 7 6 5" xfId="18202" xr:uid="{00000000-0005-0000-0000-0000DFC90000}"/>
    <cellStyle name="Vírgula 3 7 6 5 2" xfId="44392" xr:uid="{00000000-0005-0000-0000-0000E0C90000}"/>
    <cellStyle name="Vírgula 3 7 6 6" xfId="11871" xr:uid="{00000000-0005-0000-0000-0000E1C90000}"/>
    <cellStyle name="Vírgula 3 7 6 6 2" xfId="38064" xr:uid="{00000000-0005-0000-0000-0000E2C90000}"/>
    <cellStyle name="Vírgula 3 7 6 7" xfId="31680" xr:uid="{00000000-0005-0000-0000-0000E3C90000}"/>
    <cellStyle name="Vírgula 3 7 7" xfId="6303" xr:uid="{00000000-0005-0000-0000-0000E4C90000}"/>
    <cellStyle name="Vírgula 3 7 7 2" xfId="9504" xr:uid="{00000000-0005-0000-0000-0000E5C90000}"/>
    <cellStyle name="Vírgula 3 7 7 2 2" xfId="27718" xr:uid="{00000000-0005-0000-0000-0000E6C90000}"/>
    <cellStyle name="Vírgula 3 7 7 2 2 2" xfId="53899" xr:uid="{00000000-0005-0000-0000-0000E7C90000}"/>
    <cellStyle name="Vírgula 3 7 7 2 3" xfId="21804" xr:uid="{00000000-0005-0000-0000-0000E8C90000}"/>
    <cellStyle name="Vírgula 3 7 7 2 3 2" xfId="47991" xr:uid="{00000000-0005-0000-0000-0000E9C90000}"/>
    <cellStyle name="Vírgula 3 7 7 2 4" xfId="15890" xr:uid="{00000000-0005-0000-0000-0000EAC90000}"/>
    <cellStyle name="Vírgula 3 7 7 2 4 2" xfId="42083" xr:uid="{00000000-0005-0000-0000-0000EBC90000}"/>
    <cellStyle name="Vírgula 3 7 7 2 5" xfId="35697" xr:uid="{00000000-0005-0000-0000-0000ECC90000}"/>
    <cellStyle name="Vírgula 3 7 7 3" xfId="24761" xr:uid="{00000000-0005-0000-0000-0000EDC90000}"/>
    <cellStyle name="Vírgula 3 7 7 3 2" xfId="50945" xr:uid="{00000000-0005-0000-0000-0000EEC90000}"/>
    <cellStyle name="Vírgula 3 7 7 4" xfId="18847" xr:uid="{00000000-0005-0000-0000-0000EFC90000}"/>
    <cellStyle name="Vírgula 3 7 7 4 2" xfId="45037" xr:uid="{00000000-0005-0000-0000-0000F0C90000}"/>
    <cellStyle name="Vírgula 3 7 7 5" xfId="12692" xr:uid="{00000000-0005-0000-0000-0000F1C90000}"/>
    <cellStyle name="Vírgula 3 7 7 5 2" xfId="38885" xr:uid="{00000000-0005-0000-0000-0000F2C90000}"/>
    <cellStyle name="Vírgula 3 7 7 6" xfId="32499" xr:uid="{00000000-0005-0000-0000-0000F3C90000}"/>
    <cellStyle name="Vírgula 3 7 8" xfId="8033" xr:uid="{00000000-0005-0000-0000-0000F4C90000}"/>
    <cellStyle name="Vírgula 3 7 8 2" xfId="26247" xr:uid="{00000000-0005-0000-0000-0000F5C90000}"/>
    <cellStyle name="Vírgula 3 7 8 2 2" xfId="52431" xr:uid="{00000000-0005-0000-0000-0000F6C90000}"/>
    <cellStyle name="Vírgula 3 7 8 3" xfId="20333" xr:uid="{00000000-0005-0000-0000-0000F7C90000}"/>
    <cellStyle name="Vírgula 3 7 8 3 2" xfId="46523" xr:uid="{00000000-0005-0000-0000-0000F8C90000}"/>
    <cellStyle name="Vírgula 3 7 8 4" xfId="14422" xr:uid="{00000000-0005-0000-0000-0000F9C90000}"/>
    <cellStyle name="Vírgula 3 7 8 4 2" xfId="40615" xr:uid="{00000000-0005-0000-0000-0000FAC90000}"/>
    <cellStyle name="Vírgula 3 7 8 5" xfId="34229" xr:uid="{00000000-0005-0000-0000-0000FBC90000}"/>
    <cellStyle name="Vírgula 3 7 9" xfId="4601" xr:uid="{00000000-0005-0000-0000-0000FCC90000}"/>
    <cellStyle name="Vírgula 3 7 9 2" xfId="23290" xr:uid="{00000000-0005-0000-0000-0000FDC90000}"/>
    <cellStyle name="Vírgula 3 7 9 2 2" xfId="49477" xr:uid="{00000000-0005-0000-0000-0000FEC90000}"/>
    <cellStyle name="Vírgula 3 7 9 3" xfId="30801" xr:uid="{00000000-0005-0000-0000-0000FFC90000}"/>
    <cellStyle name="Vírgula 3 8" xfId="3231" xr:uid="{00000000-0005-0000-0000-000000CA0000}"/>
    <cellStyle name="Vírgula 3 8 10" xfId="17399" xr:uid="{00000000-0005-0000-0000-000001CA0000}"/>
    <cellStyle name="Vírgula 3 8 10 2" xfId="43592" xr:uid="{00000000-0005-0000-0000-000002CA0000}"/>
    <cellStyle name="Vírgula 3 8 11" xfId="11033" xr:uid="{00000000-0005-0000-0000-000003CA0000}"/>
    <cellStyle name="Vírgula 3 8 11 2" xfId="37226" xr:uid="{00000000-0005-0000-0000-000004CA0000}"/>
    <cellStyle name="Vírgula 3 8 12" xfId="30129" xr:uid="{00000000-0005-0000-0000-000005CA0000}"/>
    <cellStyle name="Vírgula 3 8 2" xfId="4242" xr:uid="{00000000-0005-0000-0000-000006CA0000}"/>
    <cellStyle name="Vírgula 3 8 2 2" xfId="7643" xr:uid="{00000000-0005-0000-0000-000007CA0000}"/>
    <cellStyle name="Vírgula 3 8 2 2 2" xfId="10766" xr:uid="{00000000-0005-0000-0000-000008CA0000}"/>
    <cellStyle name="Vírgula 3 8 2 2 2 2" xfId="28980" xr:uid="{00000000-0005-0000-0000-000009CA0000}"/>
    <cellStyle name="Vírgula 3 8 2 2 2 2 2" xfId="55161" xr:uid="{00000000-0005-0000-0000-00000ACA0000}"/>
    <cellStyle name="Vírgula 3 8 2 2 2 3" xfId="23066" xr:uid="{00000000-0005-0000-0000-00000BCA0000}"/>
    <cellStyle name="Vírgula 3 8 2 2 2 3 2" xfId="49253" xr:uid="{00000000-0005-0000-0000-00000CCA0000}"/>
    <cellStyle name="Vírgula 3 8 2 2 2 4" xfId="17152" xr:uid="{00000000-0005-0000-0000-00000DCA0000}"/>
    <cellStyle name="Vírgula 3 8 2 2 2 4 2" xfId="43345" xr:uid="{00000000-0005-0000-0000-00000ECA0000}"/>
    <cellStyle name="Vírgula 3 8 2 2 2 5" xfId="36959" xr:uid="{00000000-0005-0000-0000-00000FCA0000}"/>
    <cellStyle name="Vírgula 3 8 2 2 3" xfId="26023" xr:uid="{00000000-0005-0000-0000-000010CA0000}"/>
    <cellStyle name="Vírgula 3 8 2 2 3 2" xfId="52207" xr:uid="{00000000-0005-0000-0000-000011CA0000}"/>
    <cellStyle name="Vírgula 3 8 2 2 4" xfId="20109" xr:uid="{00000000-0005-0000-0000-000012CA0000}"/>
    <cellStyle name="Vírgula 3 8 2 2 4 2" xfId="46299" xr:uid="{00000000-0005-0000-0000-000013CA0000}"/>
    <cellStyle name="Vírgula 3 8 2 2 5" xfId="14032" xr:uid="{00000000-0005-0000-0000-000014CA0000}"/>
    <cellStyle name="Vírgula 3 8 2 2 5 2" xfId="40225" xr:uid="{00000000-0005-0000-0000-000015CA0000}"/>
    <cellStyle name="Vírgula 3 8 2 2 6" xfId="33839" xr:uid="{00000000-0005-0000-0000-000016CA0000}"/>
    <cellStyle name="Vírgula 3 8 2 3" xfId="9298" xr:uid="{00000000-0005-0000-0000-000017CA0000}"/>
    <cellStyle name="Vírgula 3 8 2 3 2" xfId="27512" xr:uid="{00000000-0005-0000-0000-000018CA0000}"/>
    <cellStyle name="Vírgula 3 8 2 3 2 2" xfId="53693" xr:uid="{00000000-0005-0000-0000-000019CA0000}"/>
    <cellStyle name="Vírgula 3 8 2 3 3" xfId="21598" xr:uid="{00000000-0005-0000-0000-00001ACA0000}"/>
    <cellStyle name="Vírgula 3 8 2 3 3 2" xfId="47785" xr:uid="{00000000-0005-0000-0000-00001BCA0000}"/>
    <cellStyle name="Vírgula 3 8 2 3 4" xfId="15684" xr:uid="{00000000-0005-0000-0000-00001CCA0000}"/>
    <cellStyle name="Vírgula 3 8 2 3 4 2" xfId="41877" xr:uid="{00000000-0005-0000-0000-00001DCA0000}"/>
    <cellStyle name="Vírgula 3 8 2 3 5" xfId="35491" xr:uid="{00000000-0005-0000-0000-00001ECA0000}"/>
    <cellStyle name="Vírgula 3 8 2 4" xfId="5943" xr:uid="{00000000-0005-0000-0000-00001FCA0000}"/>
    <cellStyle name="Vírgula 3 8 2 4 2" xfId="24555" xr:uid="{00000000-0005-0000-0000-000020CA0000}"/>
    <cellStyle name="Vírgula 3 8 2 4 2 2" xfId="50739" xr:uid="{00000000-0005-0000-0000-000021CA0000}"/>
    <cellStyle name="Vírgula 3 8 2 4 3" xfId="32139" xr:uid="{00000000-0005-0000-0000-000022CA0000}"/>
    <cellStyle name="Vírgula 3 8 2 5" xfId="18641" xr:uid="{00000000-0005-0000-0000-000023CA0000}"/>
    <cellStyle name="Vírgula 3 8 2 5 2" xfId="44831" xr:uid="{00000000-0005-0000-0000-000024CA0000}"/>
    <cellStyle name="Vírgula 3 8 2 6" xfId="12331" xr:uid="{00000000-0005-0000-0000-000025CA0000}"/>
    <cellStyle name="Vírgula 3 8 2 6 2" xfId="38524" xr:uid="{00000000-0005-0000-0000-000026CA0000}"/>
    <cellStyle name="Vírgula 3 8 2 7" xfId="30442" xr:uid="{00000000-0005-0000-0000-000027CA0000}"/>
    <cellStyle name="Vírgula 3 8 3" xfId="4319" xr:uid="{00000000-0005-0000-0000-000028CA0000}"/>
    <cellStyle name="Vírgula 3 8 3 2" xfId="7720" xr:uid="{00000000-0005-0000-0000-000029CA0000}"/>
    <cellStyle name="Vírgula 3 8 3 2 2" xfId="10809" xr:uid="{00000000-0005-0000-0000-00002ACA0000}"/>
    <cellStyle name="Vírgula 3 8 3 2 2 2" xfId="29023" xr:uid="{00000000-0005-0000-0000-00002BCA0000}"/>
    <cellStyle name="Vírgula 3 8 3 2 2 2 2" xfId="55204" xr:uid="{00000000-0005-0000-0000-00002CCA0000}"/>
    <cellStyle name="Vírgula 3 8 3 2 2 3" xfId="23109" xr:uid="{00000000-0005-0000-0000-00002DCA0000}"/>
    <cellStyle name="Vírgula 3 8 3 2 2 3 2" xfId="49296" xr:uid="{00000000-0005-0000-0000-00002ECA0000}"/>
    <cellStyle name="Vírgula 3 8 3 2 2 4" xfId="17195" xr:uid="{00000000-0005-0000-0000-00002FCA0000}"/>
    <cellStyle name="Vírgula 3 8 3 2 2 4 2" xfId="43388" xr:uid="{00000000-0005-0000-0000-000030CA0000}"/>
    <cellStyle name="Vírgula 3 8 3 2 2 5" xfId="37002" xr:uid="{00000000-0005-0000-0000-000031CA0000}"/>
    <cellStyle name="Vírgula 3 8 3 2 3" xfId="26066" xr:uid="{00000000-0005-0000-0000-000032CA0000}"/>
    <cellStyle name="Vírgula 3 8 3 2 3 2" xfId="52250" xr:uid="{00000000-0005-0000-0000-000033CA0000}"/>
    <cellStyle name="Vírgula 3 8 3 2 4" xfId="20152" xr:uid="{00000000-0005-0000-0000-000034CA0000}"/>
    <cellStyle name="Vírgula 3 8 3 2 4 2" xfId="46342" xr:uid="{00000000-0005-0000-0000-000035CA0000}"/>
    <cellStyle name="Vírgula 3 8 3 2 5" xfId="14109" xr:uid="{00000000-0005-0000-0000-000036CA0000}"/>
    <cellStyle name="Vírgula 3 8 3 2 5 2" xfId="40302" xr:uid="{00000000-0005-0000-0000-000037CA0000}"/>
    <cellStyle name="Vírgula 3 8 3 2 6" xfId="33916" xr:uid="{00000000-0005-0000-0000-000038CA0000}"/>
    <cellStyle name="Vírgula 3 8 3 3" xfId="9341" xr:uid="{00000000-0005-0000-0000-000039CA0000}"/>
    <cellStyle name="Vírgula 3 8 3 3 2" xfId="27555" xr:uid="{00000000-0005-0000-0000-00003ACA0000}"/>
    <cellStyle name="Vírgula 3 8 3 3 2 2" xfId="53736" xr:uid="{00000000-0005-0000-0000-00003BCA0000}"/>
    <cellStyle name="Vírgula 3 8 3 3 3" xfId="21641" xr:uid="{00000000-0005-0000-0000-00003CCA0000}"/>
    <cellStyle name="Vírgula 3 8 3 3 3 2" xfId="47828" xr:uid="{00000000-0005-0000-0000-00003DCA0000}"/>
    <cellStyle name="Vírgula 3 8 3 3 4" xfId="15727" xr:uid="{00000000-0005-0000-0000-00003ECA0000}"/>
    <cellStyle name="Vírgula 3 8 3 3 4 2" xfId="41920" xr:uid="{00000000-0005-0000-0000-00003FCA0000}"/>
    <cellStyle name="Vírgula 3 8 3 3 5" xfId="35534" xr:uid="{00000000-0005-0000-0000-000040CA0000}"/>
    <cellStyle name="Vírgula 3 8 3 4" xfId="6020" xr:uid="{00000000-0005-0000-0000-000041CA0000}"/>
    <cellStyle name="Vírgula 3 8 3 4 2" xfId="24598" xr:uid="{00000000-0005-0000-0000-000042CA0000}"/>
    <cellStyle name="Vírgula 3 8 3 4 2 2" xfId="50782" xr:uid="{00000000-0005-0000-0000-000043CA0000}"/>
    <cellStyle name="Vírgula 3 8 3 4 3" xfId="32216" xr:uid="{00000000-0005-0000-0000-000044CA0000}"/>
    <cellStyle name="Vírgula 3 8 3 5" xfId="18684" xr:uid="{00000000-0005-0000-0000-000045CA0000}"/>
    <cellStyle name="Vírgula 3 8 3 5 2" xfId="44874" xr:uid="{00000000-0005-0000-0000-000046CA0000}"/>
    <cellStyle name="Vírgula 3 8 3 6" xfId="12408" xr:uid="{00000000-0005-0000-0000-000047CA0000}"/>
    <cellStyle name="Vírgula 3 8 3 6 2" xfId="38601" xr:uid="{00000000-0005-0000-0000-000048CA0000}"/>
    <cellStyle name="Vírgula 3 8 3 7" xfId="30519" xr:uid="{00000000-0005-0000-0000-000049CA0000}"/>
    <cellStyle name="Vírgula 3 8 4" xfId="4427" xr:uid="{00000000-0005-0000-0000-00004ACA0000}"/>
    <cellStyle name="Vírgula 3 8 4 2" xfId="7829" xr:uid="{00000000-0005-0000-0000-00004BCA0000}"/>
    <cellStyle name="Vírgula 3 8 4 2 2" xfId="10871" xr:uid="{00000000-0005-0000-0000-00004CCA0000}"/>
    <cellStyle name="Vírgula 3 8 4 2 2 2" xfId="29085" xr:uid="{00000000-0005-0000-0000-00004DCA0000}"/>
    <cellStyle name="Vírgula 3 8 4 2 2 2 2" xfId="55266" xr:uid="{00000000-0005-0000-0000-00004ECA0000}"/>
    <cellStyle name="Vírgula 3 8 4 2 2 3" xfId="23171" xr:uid="{00000000-0005-0000-0000-00004FCA0000}"/>
    <cellStyle name="Vírgula 3 8 4 2 2 3 2" xfId="49358" xr:uid="{00000000-0005-0000-0000-000050CA0000}"/>
    <cellStyle name="Vírgula 3 8 4 2 2 4" xfId="17257" xr:uid="{00000000-0005-0000-0000-000051CA0000}"/>
    <cellStyle name="Vírgula 3 8 4 2 2 4 2" xfId="43450" xr:uid="{00000000-0005-0000-0000-000052CA0000}"/>
    <cellStyle name="Vírgula 3 8 4 2 2 5" xfId="37064" xr:uid="{00000000-0005-0000-0000-000053CA0000}"/>
    <cellStyle name="Vírgula 3 8 4 2 3" xfId="26128" xr:uid="{00000000-0005-0000-0000-000054CA0000}"/>
    <cellStyle name="Vírgula 3 8 4 2 3 2" xfId="52312" xr:uid="{00000000-0005-0000-0000-000055CA0000}"/>
    <cellStyle name="Vírgula 3 8 4 2 4" xfId="20214" xr:uid="{00000000-0005-0000-0000-000056CA0000}"/>
    <cellStyle name="Vírgula 3 8 4 2 4 2" xfId="46404" xr:uid="{00000000-0005-0000-0000-000057CA0000}"/>
    <cellStyle name="Vírgula 3 8 4 2 5" xfId="14218" xr:uid="{00000000-0005-0000-0000-000058CA0000}"/>
    <cellStyle name="Vírgula 3 8 4 2 5 2" xfId="40411" xr:uid="{00000000-0005-0000-0000-000059CA0000}"/>
    <cellStyle name="Vírgula 3 8 4 2 6" xfId="34025" xr:uid="{00000000-0005-0000-0000-00005ACA0000}"/>
    <cellStyle name="Vírgula 3 8 4 3" xfId="9403" xr:uid="{00000000-0005-0000-0000-00005BCA0000}"/>
    <cellStyle name="Vírgula 3 8 4 3 2" xfId="27617" xr:uid="{00000000-0005-0000-0000-00005CCA0000}"/>
    <cellStyle name="Vírgula 3 8 4 3 2 2" xfId="53798" xr:uid="{00000000-0005-0000-0000-00005DCA0000}"/>
    <cellStyle name="Vírgula 3 8 4 3 3" xfId="21703" xr:uid="{00000000-0005-0000-0000-00005ECA0000}"/>
    <cellStyle name="Vírgula 3 8 4 3 3 2" xfId="47890" xr:uid="{00000000-0005-0000-0000-00005FCA0000}"/>
    <cellStyle name="Vírgula 3 8 4 3 4" xfId="15789" xr:uid="{00000000-0005-0000-0000-000060CA0000}"/>
    <cellStyle name="Vírgula 3 8 4 3 4 2" xfId="41982" xr:uid="{00000000-0005-0000-0000-000061CA0000}"/>
    <cellStyle name="Vírgula 3 8 4 3 5" xfId="35596" xr:uid="{00000000-0005-0000-0000-000062CA0000}"/>
    <cellStyle name="Vírgula 3 8 4 4" xfId="6129" xr:uid="{00000000-0005-0000-0000-000063CA0000}"/>
    <cellStyle name="Vírgula 3 8 4 4 2" xfId="24660" xr:uid="{00000000-0005-0000-0000-000064CA0000}"/>
    <cellStyle name="Vírgula 3 8 4 4 2 2" xfId="50844" xr:uid="{00000000-0005-0000-0000-000065CA0000}"/>
    <cellStyle name="Vírgula 3 8 4 4 3" xfId="32325" xr:uid="{00000000-0005-0000-0000-000066CA0000}"/>
    <cellStyle name="Vírgula 3 8 4 5" xfId="18746" xr:uid="{00000000-0005-0000-0000-000067CA0000}"/>
    <cellStyle name="Vírgula 3 8 4 5 2" xfId="44936" xr:uid="{00000000-0005-0000-0000-000068CA0000}"/>
    <cellStyle name="Vírgula 3 8 4 6" xfId="12517" xr:uid="{00000000-0005-0000-0000-000069CA0000}"/>
    <cellStyle name="Vírgula 3 8 4 6 2" xfId="38710" xr:uid="{00000000-0005-0000-0000-00006ACA0000}"/>
    <cellStyle name="Vírgula 3 8 4 7" xfId="30627" xr:uid="{00000000-0005-0000-0000-00006BCA0000}"/>
    <cellStyle name="Vírgula 3 8 5" xfId="4535" xr:uid="{00000000-0005-0000-0000-00006CCA0000}"/>
    <cellStyle name="Vírgula 3 8 5 2" xfId="7937" xr:uid="{00000000-0005-0000-0000-00006DCA0000}"/>
    <cellStyle name="Vírgula 3 8 5 2 2" xfId="10933" xr:uid="{00000000-0005-0000-0000-00006ECA0000}"/>
    <cellStyle name="Vírgula 3 8 5 2 2 2" xfId="29147" xr:uid="{00000000-0005-0000-0000-00006FCA0000}"/>
    <cellStyle name="Vírgula 3 8 5 2 2 2 2" xfId="55328" xr:uid="{00000000-0005-0000-0000-000070CA0000}"/>
    <cellStyle name="Vírgula 3 8 5 2 2 3" xfId="23233" xr:uid="{00000000-0005-0000-0000-000071CA0000}"/>
    <cellStyle name="Vírgula 3 8 5 2 2 3 2" xfId="49420" xr:uid="{00000000-0005-0000-0000-000072CA0000}"/>
    <cellStyle name="Vírgula 3 8 5 2 2 4" xfId="17319" xr:uid="{00000000-0005-0000-0000-000073CA0000}"/>
    <cellStyle name="Vírgula 3 8 5 2 2 4 2" xfId="43512" xr:uid="{00000000-0005-0000-0000-000074CA0000}"/>
    <cellStyle name="Vírgula 3 8 5 2 2 5" xfId="37126" xr:uid="{00000000-0005-0000-0000-000075CA0000}"/>
    <cellStyle name="Vírgula 3 8 5 2 3" xfId="26190" xr:uid="{00000000-0005-0000-0000-000076CA0000}"/>
    <cellStyle name="Vírgula 3 8 5 2 3 2" xfId="52374" xr:uid="{00000000-0005-0000-0000-000077CA0000}"/>
    <cellStyle name="Vírgula 3 8 5 2 4" xfId="20276" xr:uid="{00000000-0005-0000-0000-000078CA0000}"/>
    <cellStyle name="Vírgula 3 8 5 2 4 2" xfId="46466" xr:uid="{00000000-0005-0000-0000-000079CA0000}"/>
    <cellStyle name="Vírgula 3 8 5 2 5" xfId="14326" xr:uid="{00000000-0005-0000-0000-00007ACA0000}"/>
    <cellStyle name="Vírgula 3 8 5 2 5 2" xfId="40519" xr:uid="{00000000-0005-0000-0000-00007BCA0000}"/>
    <cellStyle name="Vírgula 3 8 5 2 6" xfId="34133" xr:uid="{00000000-0005-0000-0000-00007CCA0000}"/>
    <cellStyle name="Vírgula 3 8 5 3" xfId="9465" xr:uid="{00000000-0005-0000-0000-00007DCA0000}"/>
    <cellStyle name="Vírgula 3 8 5 3 2" xfId="27679" xr:uid="{00000000-0005-0000-0000-00007ECA0000}"/>
    <cellStyle name="Vírgula 3 8 5 3 2 2" xfId="53860" xr:uid="{00000000-0005-0000-0000-00007FCA0000}"/>
    <cellStyle name="Vírgula 3 8 5 3 3" xfId="21765" xr:uid="{00000000-0005-0000-0000-000080CA0000}"/>
    <cellStyle name="Vírgula 3 8 5 3 3 2" xfId="47952" xr:uid="{00000000-0005-0000-0000-000081CA0000}"/>
    <cellStyle name="Vírgula 3 8 5 3 4" xfId="15851" xr:uid="{00000000-0005-0000-0000-000082CA0000}"/>
    <cellStyle name="Vírgula 3 8 5 3 4 2" xfId="42044" xr:uid="{00000000-0005-0000-0000-000083CA0000}"/>
    <cellStyle name="Vírgula 3 8 5 3 5" xfId="35658" xr:uid="{00000000-0005-0000-0000-000084CA0000}"/>
    <cellStyle name="Vírgula 3 8 5 4" xfId="6236" xr:uid="{00000000-0005-0000-0000-000085CA0000}"/>
    <cellStyle name="Vírgula 3 8 5 4 2" xfId="24722" xr:uid="{00000000-0005-0000-0000-000086CA0000}"/>
    <cellStyle name="Vírgula 3 8 5 4 2 2" xfId="50906" xr:uid="{00000000-0005-0000-0000-000087CA0000}"/>
    <cellStyle name="Vírgula 3 8 5 4 3" xfId="32432" xr:uid="{00000000-0005-0000-0000-000088CA0000}"/>
    <cellStyle name="Vírgula 3 8 5 5" xfId="18808" xr:uid="{00000000-0005-0000-0000-000089CA0000}"/>
    <cellStyle name="Vírgula 3 8 5 5 2" xfId="44998" xr:uid="{00000000-0005-0000-0000-00008ACA0000}"/>
    <cellStyle name="Vírgula 3 8 5 6" xfId="12625" xr:uid="{00000000-0005-0000-0000-00008BCA0000}"/>
    <cellStyle name="Vírgula 3 8 5 6 2" xfId="38818" xr:uid="{00000000-0005-0000-0000-00008CCA0000}"/>
    <cellStyle name="Vírgula 3 8 5 7" xfId="30735" xr:uid="{00000000-0005-0000-0000-00008DCA0000}"/>
    <cellStyle name="Vírgula 3 8 6" xfId="5631" xr:uid="{00000000-0005-0000-0000-00008ECA0000}"/>
    <cellStyle name="Vírgula 3 8 6 2" xfId="7330" xr:uid="{00000000-0005-0000-0000-00008FCA0000}"/>
    <cellStyle name="Vírgula 3 8 6 2 2" xfId="10474" xr:uid="{00000000-0005-0000-0000-000090CA0000}"/>
    <cellStyle name="Vírgula 3 8 6 2 2 2" xfId="28688" xr:uid="{00000000-0005-0000-0000-000091CA0000}"/>
    <cellStyle name="Vírgula 3 8 6 2 2 2 2" xfId="54869" xr:uid="{00000000-0005-0000-0000-000092CA0000}"/>
    <cellStyle name="Vírgula 3 8 6 2 2 3" xfId="22774" xr:uid="{00000000-0005-0000-0000-000093CA0000}"/>
    <cellStyle name="Vírgula 3 8 6 2 2 3 2" xfId="48961" xr:uid="{00000000-0005-0000-0000-000094CA0000}"/>
    <cellStyle name="Vírgula 3 8 6 2 2 4" xfId="16860" xr:uid="{00000000-0005-0000-0000-000095CA0000}"/>
    <cellStyle name="Vírgula 3 8 6 2 2 4 2" xfId="43053" xr:uid="{00000000-0005-0000-0000-000096CA0000}"/>
    <cellStyle name="Vírgula 3 8 6 2 2 5" xfId="36667" xr:uid="{00000000-0005-0000-0000-000097CA0000}"/>
    <cellStyle name="Vírgula 3 8 6 2 3" xfId="25731" xr:uid="{00000000-0005-0000-0000-000098CA0000}"/>
    <cellStyle name="Vírgula 3 8 6 2 3 2" xfId="51915" xr:uid="{00000000-0005-0000-0000-000099CA0000}"/>
    <cellStyle name="Vírgula 3 8 6 2 4" xfId="19817" xr:uid="{00000000-0005-0000-0000-00009ACA0000}"/>
    <cellStyle name="Vírgula 3 8 6 2 4 2" xfId="46007" xr:uid="{00000000-0005-0000-0000-00009BCA0000}"/>
    <cellStyle name="Vírgula 3 8 6 2 5" xfId="13719" xr:uid="{00000000-0005-0000-0000-00009CCA0000}"/>
    <cellStyle name="Vírgula 3 8 6 2 5 2" xfId="39912" xr:uid="{00000000-0005-0000-0000-00009DCA0000}"/>
    <cellStyle name="Vírgula 3 8 6 2 6" xfId="33526" xr:uid="{00000000-0005-0000-0000-00009ECA0000}"/>
    <cellStyle name="Vírgula 3 8 6 3" xfId="9006" xr:uid="{00000000-0005-0000-0000-00009FCA0000}"/>
    <cellStyle name="Vírgula 3 8 6 3 2" xfId="27220" xr:uid="{00000000-0005-0000-0000-0000A0CA0000}"/>
    <cellStyle name="Vírgula 3 8 6 3 2 2" xfId="53401" xr:uid="{00000000-0005-0000-0000-0000A1CA0000}"/>
    <cellStyle name="Vírgula 3 8 6 3 3" xfId="21306" xr:uid="{00000000-0005-0000-0000-0000A2CA0000}"/>
    <cellStyle name="Vírgula 3 8 6 3 3 2" xfId="47493" xr:uid="{00000000-0005-0000-0000-0000A3CA0000}"/>
    <cellStyle name="Vírgula 3 8 6 3 4" xfId="15392" xr:uid="{00000000-0005-0000-0000-0000A4CA0000}"/>
    <cellStyle name="Vírgula 3 8 6 3 4 2" xfId="41585" xr:uid="{00000000-0005-0000-0000-0000A5CA0000}"/>
    <cellStyle name="Vírgula 3 8 6 3 5" xfId="35199" xr:uid="{00000000-0005-0000-0000-0000A6CA0000}"/>
    <cellStyle name="Vírgula 3 8 6 4" xfId="24263" xr:uid="{00000000-0005-0000-0000-0000A7CA0000}"/>
    <cellStyle name="Vírgula 3 8 6 4 2" xfId="50447" xr:uid="{00000000-0005-0000-0000-0000A8CA0000}"/>
    <cellStyle name="Vírgula 3 8 6 5" xfId="18349" xr:uid="{00000000-0005-0000-0000-0000A9CA0000}"/>
    <cellStyle name="Vírgula 3 8 6 5 2" xfId="44539" xr:uid="{00000000-0005-0000-0000-0000AACA0000}"/>
    <cellStyle name="Vírgula 3 8 6 6" xfId="12018" xr:uid="{00000000-0005-0000-0000-0000ABCA0000}"/>
    <cellStyle name="Vírgula 3 8 6 6 2" xfId="38211" xr:uid="{00000000-0005-0000-0000-0000ACCA0000}"/>
    <cellStyle name="Vírgula 3 8 6 7" xfId="31827" xr:uid="{00000000-0005-0000-0000-0000ADCA0000}"/>
    <cellStyle name="Vírgula 3 8 7" xfId="6345" xr:uid="{00000000-0005-0000-0000-0000AECA0000}"/>
    <cellStyle name="Vírgula 3 8 7 2" xfId="9527" xr:uid="{00000000-0005-0000-0000-0000AFCA0000}"/>
    <cellStyle name="Vírgula 3 8 7 2 2" xfId="27741" xr:uid="{00000000-0005-0000-0000-0000B0CA0000}"/>
    <cellStyle name="Vírgula 3 8 7 2 2 2" xfId="53922" xr:uid="{00000000-0005-0000-0000-0000B1CA0000}"/>
    <cellStyle name="Vírgula 3 8 7 2 3" xfId="21827" xr:uid="{00000000-0005-0000-0000-0000B2CA0000}"/>
    <cellStyle name="Vírgula 3 8 7 2 3 2" xfId="48014" xr:uid="{00000000-0005-0000-0000-0000B3CA0000}"/>
    <cellStyle name="Vírgula 3 8 7 2 4" xfId="15913" xr:uid="{00000000-0005-0000-0000-0000B4CA0000}"/>
    <cellStyle name="Vírgula 3 8 7 2 4 2" xfId="42106" xr:uid="{00000000-0005-0000-0000-0000B5CA0000}"/>
    <cellStyle name="Vírgula 3 8 7 2 5" xfId="35720" xr:uid="{00000000-0005-0000-0000-0000B6CA0000}"/>
    <cellStyle name="Vírgula 3 8 7 3" xfId="24784" xr:uid="{00000000-0005-0000-0000-0000B7CA0000}"/>
    <cellStyle name="Vírgula 3 8 7 3 2" xfId="50968" xr:uid="{00000000-0005-0000-0000-0000B8CA0000}"/>
    <cellStyle name="Vírgula 3 8 7 4" xfId="18870" xr:uid="{00000000-0005-0000-0000-0000B9CA0000}"/>
    <cellStyle name="Vírgula 3 8 7 4 2" xfId="45060" xr:uid="{00000000-0005-0000-0000-0000BACA0000}"/>
    <cellStyle name="Vírgula 3 8 7 5" xfId="12734" xr:uid="{00000000-0005-0000-0000-0000BBCA0000}"/>
    <cellStyle name="Vírgula 3 8 7 5 2" xfId="38927" xr:uid="{00000000-0005-0000-0000-0000BCCA0000}"/>
    <cellStyle name="Vírgula 3 8 7 6" xfId="32541" xr:uid="{00000000-0005-0000-0000-0000BDCA0000}"/>
    <cellStyle name="Vírgula 3 8 8" xfId="8056" xr:uid="{00000000-0005-0000-0000-0000BECA0000}"/>
    <cellStyle name="Vírgula 3 8 8 2" xfId="26270" xr:uid="{00000000-0005-0000-0000-0000BFCA0000}"/>
    <cellStyle name="Vírgula 3 8 8 2 2" xfId="52454" xr:uid="{00000000-0005-0000-0000-0000C0CA0000}"/>
    <cellStyle name="Vírgula 3 8 8 3" xfId="20356" xr:uid="{00000000-0005-0000-0000-0000C1CA0000}"/>
    <cellStyle name="Vírgula 3 8 8 3 2" xfId="46546" xr:uid="{00000000-0005-0000-0000-0000C2CA0000}"/>
    <cellStyle name="Vírgula 3 8 8 4" xfId="14445" xr:uid="{00000000-0005-0000-0000-0000C3CA0000}"/>
    <cellStyle name="Vírgula 3 8 8 4 2" xfId="40638" xr:uid="{00000000-0005-0000-0000-0000C4CA0000}"/>
    <cellStyle name="Vírgula 3 8 8 5" xfId="34252" xr:uid="{00000000-0005-0000-0000-0000C5CA0000}"/>
    <cellStyle name="Vírgula 3 8 9" xfId="4642" xr:uid="{00000000-0005-0000-0000-0000C6CA0000}"/>
    <cellStyle name="Vírgula 3 8 9 2" xfId="23313" xr:uid="{00000000-0005-0000-0000-0000C7CA0000}"/>
    <cellStyle name="Vírgula 3 8 9 2 2" xfId="49500" xr:uid="{00000000-0005-0000-0000-0000C8CA0000}"/>
    <cellStyle name="Vírgula 3 8 9 3" xfId="30842" xr:uid="{00000000-0005-0000-0000-0000C9CA0000}"/>
    <cellStyle name="Vírgula 3 9" xfId="3758" xr:uid="{00000000-0005-0000-0000-0000CACA0000}"/>
    <cellStyle name="Vírgula 3 9 10" xfId="11065" xr:uid="{00000000-0005-0000-0000-0000CBCA0000}"/>
    <cellStyle name="Vírgula 3 9 10 2" xfId="37258" xr:uid="{00000000-0005-0000-0000-0000CCCA0000}"/>
    <cellStyle name="Vírgula 3 9 11" xfId="30276" xr:uid="{00000000-0005-0000-0000-0000CDCA0000}"/>
    <cellStyle name="Vírgula 3 9 2" xfId="4351" xr:uid="{00000000-0005-0000-0000-0000CECA0000}"/>
    <cellStyle name="Vírgula 3 9 2 2" xfId="7752" xr:uid="{00000000-0005-0000-0000-0000CFCA0000}"/>
    <cellStyle name="Vírgula 3 9 2 2 2" xfId="10828" xr:uid="{00000000-0005-0000-0000-0000D0CA0000}"/>
    <cellStyle name="Vírgula 3 9 2 2 2 2" xfId="29042" xr:uid="{00000000-0005-0000-0000-0000D1CA0000}"/>
    <cellStyle name="Vírgula 3 9 2 2 2 2 2" xfId="55223" xr:uid="{00000000-0005-0000-0000-0000D2CA0000}"/>
    <cellStyle name="Vírgula 3 9 2 2 2 3" xfId="23128" xr:uid="{00000000-0005-0000-0000-0000D3CA0000}"/>
    <cellStyle name="Vírgula 3 9 2 2 2 3 2" xfId="49315" xr:uid="{00000000-0005-0000-0000-0000D4CA0000}"/>
    <cellStyle name="Vírgula 3 9 2 2 2 4" xfId="17214" xr:uid="{00000000-0005-0000-0000-0000D5CA0000}"/>
    <cellStyle name="Vírgula 3 9 2 2 2 4 2" xfId="43407" xr:uid="{00000000-0005-0000-0000-0000D6CA0000}"/>
    <cellStyle name="Vírgula 3 9 2 2 2 5" xfId="37021" xr:uid="{00000000-0005-0000-0000-0000D7CA0000}"/>
    <cellStyle name="Vírgula 3 9 2 2 3" xfId="26085" xr:uid="{00000000-0005-0000-0000-0000D8CA0000}"/>
    <cellStyle name="Vírgula 3 9 2 2 3 2" xfId="52269" xr:uid="{00000000-0005-0000-0000-0000D9CA0000}"/>
    <cellStyle name="Vírgula 3 9 2 2 4" xfId="20171" xr:uid="{00000000-0005-0000-0000-0000DACA0000}"/>
    <cellStyle name="Vírgula 3 9 2 2 4 2" xfId="46361" xr:uid="{00000000-0005-0000-0000-0000DBCA0000}"/>
    <cellStyle name="Vírgula 3 9 2 2 5" xfId="14141" xr:uid="{00000000-0005-0000-0000-0000DCCA0000}"/>
    <cellStyle name="Vírgula 3 9 2 2 5 2" xfId="40334" xr:uid="{00000000-0005-0000-0000-0000DDCA0000}"/>
    <cellStyle name="Vírgula 3 9 2 2 6" xfId="33948" xr:uid="{00000000-0005-0000-0000-0000DECA0000}"/>
    <cellStyle name="Vírgula 3 9 2 3" xfId="9360" xr:uid="{00000000-0005-0000-0000-0000DFCA0000}"/>
    <cellStyle name="Vírgula 3 9 2 3 2" xfId="27574" xr:uid="{00000000-0005-0000-0000-0000E0CA0000}"/>
    <cellStyle name="Vírgula 3 9 2 3 2 2" xfId="53755" xr:uid="{00000000-0005-0000-0000-0000E1CA0000}"/>
    <cellStyle name="Vírgula 3 9 2 3 3" xfId="21660" xr:uid="{00000000-0005-0000-0000-0000E2CA0000}"/>
    <cellStyle name="Vírgula 3 9 2 3 3 2" xfId="47847" xr:uid="{00000000-0005-0000-0000-0000E3CA0000}"/>
    <cellStyle name="Vírgula 3 9 2 3 4" xfId="15746" xr:uid="{00000000-0005-0000-0000-0000E4CA0000}"/>
    <cellStyle name="Vírgula 3 9 2 3 4 2" xfId="41939" xr:uid="{00000000-0005-0000-0000-0000E5CA0000}"/>
    <cellStyle name="Vírgula 3 9 2 3 5" xfId="35553" xr:uid="{00000000-0005-0000-0000-0000E6CA0000}"/>
    <cellStyle name="Vírgula 3 9 2 4" xfId="6052" xr:uid="{00000000-0005-0000-0000-0000E7CA0000}"/>
    <cellStyle name="Vírgula 3 9 2 4 2" xfId="24617" xr:uid="{00000000-0005-0000-0000-0000E8CA0000}"/>
    <cellStyle name="Vírgula 3 9 2 4 2 2" xfId="50801" xr:uid="{00000000-0005-0000-0000-0000E9CA0000}"/>
    <cellStyle name="Vírgula 3 9 2 4 3" xfId="32248" xr:uid="{00000000-0005-0000-0000-0000EACA0000}"/>
    <cellStyle name="Vírgula 3 9 2 5" xfId="18703" xr:uid="{00000000-0005-0000-0000-0000EBCA0000}"/>
    <cellStyle name="Vírgula 3 9 2 5 2" xfId="44893" xr:uid="{00000000-0005-0000-0000-0000ECCA0000}"/>
    <cellStyle name="Vírgula 3 9 2 6" xfId="12440" xr:uid="{00000000-0005-0000-0000-0000EDCA0000}"/>
    <cellStyle name="Vírgula 3 9 2 6 2" xfId="38633" xr:uid="{00000000-0005-0000-0000-0000EECA0000}"/>
    <cellStyle name="Vírgula 3 9 2 7" xfId="30551" xr:uid="{00000000-0005-0000-0000-0000EFCA0000}"/>
    <cellStyle name="Vírgula 3 9 3" xfId="4459" xr:uid="{00000000-0005-0000-0000-0000F0CA0000}"/>
    <cellStyle name="Vírgula 3 9 3 2" xfId="7861" xr:uid="{00000000-0005-0000-0000-0000F1CA0000}"/>
    <cellStyle name="Vírgula 3 9 3 2 2" xfId="10890" xr:uid="{00000000-0005-0000-0000-0000F2CA0000}"/>
    <cellStyle name="Vírgula 3 9 3 2 2 2" xfId="29104" xr:uid="{00000000-0005-0000-0000-0000F3CA0000}"/>
    <cellStyle name="Vírgula 3 9 3 2 2 2 2" xfId="55285" xr:uid="{00000000-0005-0000-0000-0000F4CA0000}"/>
    <cellStyle name="Vírgula 3 9 3 2 2 3" xfId="23190" xr:uid="{00000000-0005-0000-0000-0000F5CA0000}"/>
    <cellStyle name="Vírgula 3 9 3 2 2 3 2" xfId="49377" xr:uid="{00000000-0005-0000-0000-0000F6CA0000}"/>
    <cellStyle name="Vírgula 3 9 3 2 2 4" xfId="17276" xr:uid="{00000000-0005-0000-0000-0000F7CA0000}"/>
    <cellStyle name="Vírgula 3 9 3 2 2 4 2" xfId="43469" xr:uid="{00000000-0005-0000-0000-0000F8CA0000}"/>
    <cellStyle name="Vírgula 3 9 3 2 2 5" xfId="37083" xr:uid="{00000000-0005-0000-0000-0000F9CA0000}"/>
    <cellStyle name="Vírgula 3 9 3 2 3" xfId="26147" xr:uid="{00000000-0005-0000-0000-0000FACA0000}"/>
    <cellStyle name="Vírgula 3 9 3 2 3 2" xfId="52331" xr:uid="{00000000-0005-0000-0000-0000FBCA0000}"/>
    <cellStyle name="Vírgula 3 9 3 2 4" xfId="20233" xr:uid="{00000000-0005-0000-0000-0000FCCA0000}"/>
    <cellStyle name="Vírgula 3 9 3 2 4 2" xfId="46423" xr:uid="{00000000-0005-0000-0000-0000FDCA0000}"/>
    <cellStyle name="Vírgula 3 9 3 2 5" xfId="14250" xr:uid="{00000000-0005-0000-0000-0000FECA0000}"/>
    <cellStyle name="Vírgula 3 9 3 2 5 2" xfId="40443" xr:uid="{00000000-0005-0000-0000-0000FFCA0000}"/>
    <cellStyle name="Vírgula 3 9 3 2 6" xfId="34057" xr:uid="{00000000-0005-0000-0000-000000CB0000}"/>
    <cellStyle name="Vírgula 3 9 3 3" xfId="9422" xr:uid="{00000000-0005-0000-0000-000001CB0000}"/>
    <cellStyle name="Vírgula 3 9 3 3 2" xfId="27636" xr:uid="{00000000-0005-0000-0000-000002CB0000}"/>
    <cellStyle name="Vírgula 3 9 3 3 2 2" xfId="53817" xr:uid="{00000000-0005-0000-0000-000003CB0000}"/>
    <cellStyle name="Vírgula 3 9 3 3 3" xfId="21722" xr:uid="{00000000-0005-0000-0000-000004CB0000}"/>
    <cellStyle name="Vírgula 3 9 3 3 3 2" xfId="47909" xr:uid="{00000000-0005-0000-0000-000005CB0000}"/>
    <cellStyle name="Vírgula 3 9 3 3 4" xfId="15808" xr:uid="{00000000-0005-0000-0000-000006CB0000}"/>
    <cellStyle name="Vírgula 3 9 3 3 4 2" xfId="42001" xr:uid="{00000000-0005-0000-0000-000007CB0000}"/>
    <cellStyle name="Vírgula 3 9 3 3 5" xfId="35615" xr:uid="{00000000-0005-0000-0000-000008CB0000}"/>
    <cellStyle name="Vírgula 3 9 3 4" xfId="6160" xr:uid="{00000000-0005-0000-0000-000009CB0000}"/>
    <cellStyle name="Vírgula 3 9 3 4 2" xfId="24679" xr:uid="{00000000-0005-0000-0000-00000ACB0000}"/>
    <cellStyle name="Vírgula 3 9 3 4 2 2" xfId="50863" xr:uid="{00000000-0005-0000-0000-00000BCB0000}"/>
    <cellStyle name="Vírgula 3 9 3 4 3" xfId="32356" xr:uid="{00000000-0005-0000-0000-00000CCB0000}"/>
    <cellStyle name="Vírgula 3 9 3 5" xfId="18765" xr:uid="{00000000-0005-0000-0000-00000DCB0000}"/>
    <cellStyle name="Vírgula 3 9 3 5 2" xfId="44955" xr:uid="{00000000-0005-0000-0000-00000ECB0000}"/>
    <cellStyle name="Vírgula 3 9 3 6" xfId="12549" xr:uid="{00000000-0005-0000-0000-00000FCB0000}"/>
    <cellStyle name="Vírgula 3 9 3 6 2" xfId="38742" xr:uid="{00000000-0005-0000-0000-000010CB0000}"/>
    <cellStyle name="Vírgula 3 9 3 7" xfId="30659" xr:uid="{00000000-0005-0000-0000-000011CB0000}"/>
    <cellStyle name="Vírgula 3 9 4" xfId="4567" xr:uid="{00000000-0005-0000-0000-000012CB0000}"/>
    <cellStyle name="Vírgula 3 9 4 2" xfId="7969" xr:uid="{00000000-0005-0000-0000-000013CB0000}"/>
    <cellStyle name="Vírgula 3 9 4 2 2" xfId="10952" xr:uid="{00000000-0005-0000-0000-000014CB0000}"/>
    <cellStyle name="Vírgula 3 9 4 2 2 2" xfId="29166" xr:uid="{00000000-0005-0000-0000-000015CB0000}"/>
    <cellStyle name="Vírgula 3 9 4 2 2 2 2" xfId="55347" xr:uid="{00000000-0005-0000-0000-000016CB0000}"/>
    <cellStyle name="Vírgula 3 9 4 2 2 3" xfId="23252" xr:uid="{00000000-0005-0000-0000-000017CB0000}"/>
    <cellStyle name="Vírgula 3 9 4 2 2 3 2" xfId="49439" xr:uid="{00000000-0005-0000-0000-000018CB0000}"/>
    <cellStyle name="Vírgula 3 9 4 2 2 4" xfId="17338" xr:uid="{00000000-0005-0000-0000-000019CB0000}"/>
    <cellStyle name="Vírgula 3 9 4 2 2 4 2" xfId="43531" xr:uid="{00000000-0005-0000-0000-00001ACB0000}"/>
    <cellStyle name="Vírgula 3 9 4 2 2 5" xfId="37145" xr:uid="{00000000-0005-0000-0000-00001BCB0000}"/>
    <cellStyle name="Vírgula 3 9 4 2 3" xfId="26209" xr:uid="{00000000-0005-0000-0000-00001CCB0000}"/>
    <cellStyle name="Vírgula 3 9 4 2 3 2" xfId="52393" xr:uid="{00000000-0005-0000-0000-00001DCB0000}"/>
    <cellStyle name="Vírgula 3 9 4 2 4" xfId="20295" xr:uid="{00000000-0005-0000-0000-00001ECB0000}"/>
    <cellStyle name="Vírgula 3 9 4 2 4 2" xfId="46485" xr:uid="{00000000-0005-0000-0000-00001FCB0000}"/>
    <cellStyle name="Vírgula 3 9 4 2 5" xfId="14358" xr:uid="{00000000-0005-0000-0000-000020CB0000}"/>
    <cellStyle name="Vírgula 3 9 4 2 5 2" xfId="40551" xr:uid="{00000000-0005-0000-0000-000021CB0000}"/>
    <cellStyle name="Vírgula 3 9 4 2 6" xfId="34165" xr:uid="{00000000-0005-0000-0000-000022CB0000}"/>
    <cellStyle name="Vírgula 3 9 4 3" xfId="9484" xr:uid="{00000000-0005-0000-0000-000023CB0000}"/>
    <cellStyle name="Vírgula 3 9 4 3 2" xfId="27698" xr:uid="{00000000-0005-0000-0000-000024CB0000}"/>
    <cellStyle name="Vírgula 3 9 4 3 2 2" xfId="53879" xr:uid="{00000000-0005-0000-0000-000025CB0000}"/>
    <cellStyle name="Vírgula 3 9 4 3 3" xfId="21784" xr:uid="{00000000-0005-0000-0000-000026CB0000}"/>
    <cellStyle name="Vírgula 3 9 4 3 3 2" xfId="47971" xr:uid="{00000000-0005-0000-0000-000027CB0000}"/>
    <cellStyle name="Vírgula 3 9 4 3 4" xfId="15870" xr:uid="{00000000-0005-0000-0000-000028CB0000}"/>
    <cellStyle name="Vírgula 3 9 4 3 4 2" xfId="42063" xr:uid="{00000000-0005-0000-0000-000029CB0000}"/>
    <cellStyle name="Vírgula 3 9 4 3 5" xfId="35677" xr:uid="{00000000-0005-0000-0000-00002ACB0000}"/>
    <cellStyle name="Vírgula 3 9 4 4" xfId="6268" xr:uid="{00000000-0005-0000-0000-00002BCB0000}"/>
    <cellStyle name="Vírgula 3 9 4 4 2" xfId="24741" xr:uid="{00000000-0005-0000-0000-00002CCB0000}"/>
    <cellStyle name="Vírgula 3 9 4 4 2 2" xfId="50925" xr:uid="{00000000-0005-0000-0000-00002DCB0000}"/>
    <cellStyle name="Vírgula 3 9 4 4 3" xfId="32464" xr:uid="{00000000-0005-0000-0000-00002ECB0000}"/>
    <cellStyle name="Vírgula 3 9 4 5" xfId="18827" xr:uid="{00000000-0005-0000-0000-00002FCB0000}"/>
    <cellStyle name="Vírgula 3 9 4 5 2" xfId="45017" xr:uid="{00000000-0005-0000-0000-000030CB0000}"/>
    <cellStyle name="Vírgula 3 9 4 6" xfId="12657" xr:uid="{00000000-0005-0000-0000-000031CB0000}"/>
    <cellStyle name="Vírgula 3 9 4 6 2" xfId="38850" xr:uid="{00000000-0005-0000-0000-000032CB0000}"/>
    <cellStyle name="Vírgula 3 9 4 7" xfId="30767" xr:uid="{00000000-0005-0000-0000-000033CB0000}"/>
    <cellStyle name="Vírgula 3 9 5" xfId="5778" xr:uid="{00000000-0005-0000-0000-000034CB0000}"/>
    <cellStyle name="Vírgula 3 9 5 2" xfId="7477" xr:uid="{00000000-0005-0000-0000-000035CB0000}"/>
    <cellStyle name="Vírgula 3 9 5 2 2" xfId="10621" xr:uid="{00000000-0005-0000-0000-000036CB0000}"/>
    <cellStyle name="Vírgula 3 9 5 2 2 2" xfId="28835" xr:uid="{00000000-0005-0000-0000-000037CB0000}"/>
    <cellStyle name="Vírgula 3 9 5 2 2 2 2" xfId="55016" xr:uid="{00000000-0005-0000-0000-000038CB0000}"/>
    <cellStyle name="Vírgula 3 9 5 2 2 3" xfId="22921" xr:uid="{00000000-0005-0000-0000-000039CB0000}"/>
    <cellStyle name="Vírgula 3 9 5 2 2 3 2" xfId="49108" xr:uid="{00000000-0005-0000-0000-00003ACB0000}"/>
    <cellStyle name="Vírgula 3 9 5 2 2 4" xfId="17007" xr:uid="{00000000-0005-0000-0000-00003BCB0000}"/>
    <cellStyle name="Vírgula 3 9 5 2 2 4 2" xfId="43200" xr:uid="{00000000-0005-0000-0000-00003CCB0000}"/>
    <cellStyle name="Vírgula 3 9 5 2 2 5" xfId="36814" xr:uid="{00000000-0005-0000-0000-00003DCB0000}"/>
    <cellStyle name="Vírgula 3 9 5 2 3" xfId="25878" xr:uid="{00000000-0005-0000-0000-00003ECB0000}"/>
    <cellStyle name="Vírgula 3 9 5 2 3 2" xfId="52062" xr:uid="{00000000-0005-0000-0000-00003FCB0000}"/>
    <cellStyle name="Vírgula 3 9 5 2 4" xfId="19964" xr:uid="{00000000-0005-0000-0000-000040CB0000}"/>
    <cellStyle name="Vírgula 3 9 5 2 4 2" xfId="46154" xr:uid="{00000000-0005-0000-0000-000041CB0000}"/>
    <cellStyle name="Vírgula 3 9 5 2 5" xfId="13866" xr:uid="{00000000-0005-0000-0000-000042CB0000}"/>
    <cellStyle name="Vírgula 3 9 5 2 5 2" xfId="40059" xr:uid="{00000000-0005-0000-0000-000043CB0000}"/>
    <cellStyle name="Vírgula 3 9 5 2 6" xfId="33673" xr:uid="{00000000-0005-0000-0000-000044CB0000}"/>
    <cellStyle name="Vírgula 3 9 5 3" xfId="9153" xr:uid="{00000000-0005-0000-0000-000045CB0000}"/>
    <cellStyle name="Vírgula 3 9 5 3 2" xfId="27367" xr:uid="{00000000-0005-0000-0000-000046CB0000}"/>
    <cellStyle name="Vírgula 3 9 5 3 2 2" xfId="53548" xr:uid="{00000000-0005-0000-0000-000047CB0000}"/>
    <cellStyle name="Vírgula 3 9 5 3 3" xfId="21453" xr:uid="{00000000-0005-0000-0000-000048CB0000}"/>
    <cellStyle name="Vírgula 3 9 5 3 3 2" xfId="47640" xr:uid="{00000000-0005-0000-0000-000049CB0000}"/>
    <cellStyle name="Vírgula 3 9 5 3 4" xfId="15539" xr:uid="{00000000-0005-0000-0000-00004ACB0000}"/>
    <cellStyle name="Vírgula 3 9 5 3 4 2" xfId="41732" xr:uid="{00000000-0005-0000-0000-00004BCB0000}"/>
    <cellStyle name="Vírgula 3 9 5 3 5" xfId="35346" xr:uid="{00000000-0005-0000-0000-00004CCB0000}"/>
    <cellStyle name="Vírgula 3 9 5 4" xfId="24410" xr:uid="{00000000-0005-0000-0000-00004DCB0000}"/>
    <cellStyle name="Vírgula 3 9 5 4 2" xfId="50594" xr:uid="{00000000-0005-0000-0000-00004ECB0000}"/>
    <cellStyle name="Vírgula 3 9 5 5" xfId="18496" xr:uid="{00000000-0005-0000-0000-00004FCB0000}"/>
    <cellStyle name="Vírgula 3 9 5 5 2" xfId="44686" xr:uid="{00000000-0005-0000-0000-000050CB0000}"/>
    <cellStyle name="Vírgula 3 9 5 6" xfId="12165" xr:uid="{00000000-0005-0000-0000-000051CB0000}"/>
    <cellStyle name="Vírgula 3 9 5 6 2" xfId="38358" xr:uid="{00000000-0005-0000-0000-000052CB0000}"/>
    <cellStyle name="Vírgula 3 9 5 7" xfId="31974" xr:uid="{00000000-0005-0000-0000-000053CB0000}"/>
    <cellStyle name="Vírgula 3 9 6" xfId="6377" xr:uid="{00000000-0005-0000-0000-000054CB0000}"/>
    <cellStyle name="Vírgula 3 9 6 2" xfId="9546" xr:uid="{00000000-0005-0000-0000-000055CB0000}"/>
    <cellStyle name="Vírgula 3 9 6 2 2" xfId="27760" xr:uid="{00000000-0005-0000-0000-000056CB0000}"/>
    <cellStyle name="Vírgula 3 9 6 2 2 2" xfId="53941" xr:uid="{00000000-0005-0000-0000-000057CB0000}"/>
    <cellStyle name="Vírgula 3 9 6 2 3" xfId="21846" xr:uid="{00000000-0005-0000-0000-000058CB0000}"/>
    <cellStyle name="Vírgula 3 9 6 2 3 2" xfId="48033" xr:uid="{00000000-0005-0000-0000-000059CB0000}"/>
    <cellStyle name="Vírgula 3 9 6 2 4" xfId="15932" xr:uid="{00000000-0005-0000-0000-00005ACB0000}"/>
    <cellStyle name="Vírgula 3 9 6 2 4 2" xfId="42125" xr:uid="{00000000-0005-0000-0000-00005BCB0000}"/>
    <cellStyle name="Vírgula 3 9 6 2 5" xfId="35739" xr:uid="{00000000-0005-0000-0000-00005CCB0000}"/>
    <cellStyle name="Vírgula 3 9 6 3" xfId="24803" xr:uid="{00000000-0005-0000-0000-00005DCB0000}"/>
    <cellStyle name="Vírgula 3 9 6 3 2" xfId="50987" xr:uid="{00000000-0005-0000-0000-00005ECB0000}"/>
    <cellStyle name="Vírgula 3 9 6 4" xfId="18889" xr:uid="{00000000-0005-0000-0000-00005FCB0000}"/>
    <cellStyle name="Vírgula 3 9 6 4 2" xfId="45079" xr:uid="{00000000-0005-0000-0000-000060CB0000}"/>
    <cellStyle name="Vírgula 3 9 6 5" xfId="12766" xr:uid="{00000000-0005-0000-0000-000061CB0000}"/>
    <cellStyle name="Vírgula 3 9 6 5 2" xfId="38959" xr:uid="{00000000-0005-0000-0000-000062CB0000}"/>
    <cellStyle name="Vírgula 3 9 6 6" xfId="32573" xr:uid="{00000000-0005-0000-0000-000063CB0000}"/>
    <cellStyle name="Vírgula 3 9 7" xfId="8075" xr:uid="{00000000-0005-0000-0000-000064CB0000}"/>
    <cellStyle name="Vírgula 3 9 7 2" xfId="26289" xr:uid="{00000000-0005-0000-0000-000065CB0000}"/>
    <cellStyle name="Vírgula 3 9 7 2 2" xfId="52473" xr:uid="{00000000-0005-0000-0000-000066CB0000}"/>
    <cellStyle name="Vírgula 3 9 7 3" xfId="20375" xr:uid="{00000000-0005-0000-0000-000067CB0000}"/>
    <cellStyle name="Vírgula 3 9 7 3 2" xfId="46565" xr:uid="{00000000-0005-0000-0000-000068CB0000}"/>
    <cellStyle name="Vírgula 3 9 7 4" xfId="14464" xr:uid="{00000000-0005-0000-0000-000069CB0000}"/>
    <cellStyle name="Vírgula 3 9 7 4 2" xfId="40657" xr:uid="{00000000-0005-0000-0000-00006ACB0000}"/>
    <cellStyle name="Vírgula 3 9 7 5" xfId="34271" xr:uid="{00000000-0005-0000-0000-00006BCB0000}"/>
    <cellStyle name="Vírgula 3 9 8" xfId="4674" xr:uid="{00000000-0005-0000-0000-00006CCB0000}"/>
    <cellStyle name="Vírgula 3 9 8 2" xfId="23332" xr:uid="{00000000-0005-0000-0000-00006DCB0000}"/>
    <cellStyle name="Vírgula 3 9 8 2 2" xfId="49519" xr:uid="{00000000-0005-0000-0000-00006ECB0000}"/>
    <cellStyle name="Vírgula 3 9 8 3" xfId="30874" xr:uid="{00000000-0005-0000-0000-00006FCB0000}"/>
    <cellStyle name="Vírgula 3 9 9" xfId="17418" xr:uid="{00000000-0005-0000-0000-000070CB0000}"/>
    <cellStyle name="Vírgula 3 9 9 2" xfId="43611" xr:uid="{00000000-0005-0000-0000-000071CB0000}"/>
    <cellStyle name="Vírgula 4" xfId="13" xr:uid="{00000000-0005-0000-0000-000072CB0000}"/>
    <cellStyle name="Vírgula 4 10" xfId="4211" xr:uid="{00000000-0005-0000-0000-000073CB0000}"/>
    <cellStyle name="Vírgula 4 10 2" xfId="7611" xr:uid="{00000000-0005-0000-0000-000074CB0000}"/>
    <cellStyle name="Vírgula 4 10 2 2" xfId="10748" xr:uid="{00000000-0005-0000-0000-000075CB0000}"/>
    <cellStyle name="Vírgula 4 10 2 2 2" xfId="28962" xr:uid="{00000000-0005-0000-0000-000076CB0000}"/>
    <cellStyle name="Vírgula 4 10 2 2 2 2" xfId="55143" xr:uid="{00000000-0005-0000-0000-000077CB0000}"/>
    <cellStyle name="Vírgula 4 10 2 2 3" xfId="23048" xr:uid="{00000000-0005-0000-0000-000078CB0000}"/>
    <cellStyle name="Vírgula 4 10 2 2 3 2" xfId="49235" xr:uid="{00000000-0005-0000-0000-000079CB0000}"/>
    <cellStyle name="Vírgula 4 10 2 2 4" xfId="17134" xr:uid="{00000000-0005-0000-0000-00007ACB0000}"/>
    <cellStyle name="Vírgula 4 10 2 2 4 2" xfId="43327" xr:uid="{00000000-0005-0000-0000-00007BCB0000}"/>
    <cellStyle name="Vírgula 4 10 2 2 5" xfId="36941" xr:uid="{00000000-0005-0000-0000-00007CCB0000}"/>
    <cellStyle name="Vírgula 4 10 2 3" xfId="26005" xr:uid="{00000000-0005-0000-0000-00007DCB0000}"/>
    <cellStyle name="Vírgula 4 10 2 3 2" xfId="52189" xr:uid="{00000000-0005-0000-0000-00007ECB0000}"/>
    <cellStyle name="Vírgula 4 10 2 4" xfId="20091" xr:uid="{00000000-0005-0000-0000-00007FCB0000}"/>
    <cellStyle name="Vírgula 4 10 2 4 2" xfId="46281" xr:uid="{00000000-0005-0000-0000-000080CB0000}"/>
    <cellStyle name="Vírgula 4 10 2 5" xfId="14000" xr:uid="{00000000-0005-0000-0000-000081CB0000}"/>
    <cellStyle name="Vírgula 4 10 2 5 2" xfId="40193" xr:uid="{00000000-0005-0000-0000-000082CB0000}"/>
    <cellStyle name="Vírgula 4 10 2 6" xfId="33807" xr:uid="{00000000-0005-0000-0000-000083CB0000}"/>
    <cellStyle name="Vírgula 4 10 3" xfId="9280" xr:uid="{00000000-0005-0000-0000-000084CB0000}"/>
    <cellStyle name="Vírgula 4 10 3 2" xfId="27494" xr:uid="{00000000-0005-0000-0000-000085CB0000}"/>
    <cellStyle name="Vírgula 4 10 3 2 2" xfId="53675" xr:uid="{00000000-0005-0000-0000-000086CB0000}"/>
    <cellStyle name="Vírgula 4 10 3 3" xfId="21580" xr:uid="{00000000-0005-0000-0000-000087CB0000}"/>
    <cellStyle name="Vírgula 4 10 3 3 2" xfId="47767" xr:uid="{00000000-0005-0000-0000-000088CB0000}"/>
    <cellStyle name="Vírgula 4 10 3 4" xfId="15666" xr:uid="{00000000-0005-0000-0000-000089CB0000}"/>
    <cellStyle name="Vírgula 4 10 3 4 2" xfId="41859" xr:uid="{00000000-0005-0000-0000-00008ACB0000}"/>
    <cellStyle name="Vírgula 4 10 3 5" xfId="35473" xr:uid="{00000000-0005-0000-0000-00008BCB0000}"/>
    <cellStyle name="Vírgula 4 10 4" xfId="5912" xr:uid="{00000000-0005-0000-0000-00008CCB0000}"/>
    <cellStyle name="Vírgula 4 10 4 2" xfId="24537" xr:uid="{00000000-0005-0000-0000-00008DCB0000}"/>
    <cellStyle name="Vírgula 4 10 4 2 2" xfId="50721" xr:uid="{00000000-0005-0000-0000-00008ECB0000}"/>
    <cellStyle name="Vírgula 4 10 4 3" xfId="32108" xr:uid="{00000000-0005-0000-0000-00008FCB0000}"/>
    <cellStyle name="Vírgula 4 10 5" xfId="18623" xr:uid="{00000000-0005-0000-0000-000090CB0000}"/>
    <cellStyle name="Vírgula 4 10 5 2" xfId="44813" xr:uid="{00000000-0005-0000-0000-000091CB0000}"/>
    <cellStyle name="Vírgula 4 10 6" xfId="12299" xr:uid="{00000000-0005-0000-0000-000092CB0000}"/>
    <cellStyle name="Vírgula 4 10 6 2" xfId="38492" xr:uid="{00000000-0005-0000-0000-000093CB0000}"/>
    <cellStyle name="Vírgula 4 10 7" xfId="30411" xr:uid="{00000000-0005-0000-0000-000094CB0000}"/>
    <cellStyle name="Vírgula 4 11" xfId="4287" xr:uid="{00000000-0005-0000-0000-000095CB0000}"/>
    <cellStyle name="Vírgula 4 11 2" xfId="7688" xr:uid="{00000000-0005-0000-0000-000096CB0000}"/>
    <cellStyle name="Vírgula 4 11 2 2" xfId="10791" xr:uid="{00000000-0005-0000-0000-000097CB0000}"/>
    <cellStyle name="Vírgula 4 11 2 2 2" xfId="29005" xr:uid="{00000000-0005-0000-0000-000098CB0000}"/>
    <cellStyle name="Vírgula 4 11 2 2 2 2" xfId="55186" xr:uid="{00000000-0005-0000-0000-000099CB0000}"/>
    <cellStyle name="Vírgula 4 11 2 2 3" xfId="23091" xr:uid="{00000000-0005-0000-0000-00009ACB0000}"/>
    <cellStyle name="Vírgula 4 11 2 2 3 2" xfId="49278" xr:uid="{00000000-0005-0000-0000-00009BCB0000}"/>
    <cellStyle name="Vírgula 4 11 2 2 4" xfId="17177" xr:uid="{00000000-0005-0000-0000-00009CCB0000}"/>
    <cellStyle name="Vírgula 4 11 2 2 4 2" xfId="43370" xr:uid="{00000000-0005-0000-0000-00009DCB0000}"/>
    <cellStyle name="Vírgula 4 11 2 2 5" xfId="36984" xr:uid="{00000000-0005-0000-0000-00009ECB0000}"/>
    <cellStyle name="Vírgula 4 11 2 3" xfId="26048" xr:uid="{00000000-0005-0000-0000-00009FCB0000}"/>
    <cellStyle name="Vírgula 4 11 2 3 2" xfId="52232" xr:uid="{00000000-0005-0000-0000-0000A0CB0000}"/>
    <cellStyle name="Vírgula 4 11 2 4" xfId="20134" xr:uid="{00000000-0005-0000-0000-0000A1CB0000}"/>
    <cellStyle name="Vírgula 4 11 2 4 2" xfId="46324" xr:uid="{00000000-0005-0000-0000-0000A2CB0000}"/>
    <cellStyle name="Vírgula 4 11 2 5" xfId="14077" xr:uid="{00000000-0005-0000-0000-0000A3CB0000}"/>
    <cellStyle name="Vírgula 4 11 2 5 2" xfId="40270" xr:uid="{00000000-0005-0000-0000-0000A4CB0000}"/>
    <cellStyle name="Vírgula 4 11 2 6" xfId="33884" xr:uid="{00000000-0005-0000-0000-0000A5CB0000}"/>
    <cellStyle name="Vírgula 4 11 3" xfId="9323" xr:uid="{00000000-0005-0000-0000-0000A6CB0000}"/>
    <cellStyle name="Vírgula 4 11 3 2" xfId="27537" xr:uid="{00000000-0005-0000-0000-0000A7CB0000}"/>
    <cellStyle name="Vírgula 4 11 3 2 2" xfId="53718" xr:uid="{00000000-0005-0000-0000-0000A8CB0000}"/>
    <cellStyle name="Vírgula 4 11 3 3" xfId="21623" xr:uid="{00000000-0005-0000-0000-0000A9CB0000}"/>
    <cellStyle name="Vírgula 4 11 3 3 2" xfId="47810" xr:uid="{00000000-0005-0000-0000-0000AACB0000}"/>
    <cellStyle name="Vírgula 4 11 3 4" xfId="15709" xr:uid="{00000000-0005-0000-0000-0000ABCB0000}"/>
    <cellStyle name="Vírgula 4 11 3 4 2" xfId="41902" xr:uid="{00000000-0005-0000-0000-0000ACCB0000}"/>
    <cellStyle name="Vírgula 4 11 3 5" xfId="35516" xr:uid="{00000000-0005-0000-0000-0000ADCB0000}"/>
    <cellStyle name="Vírgula 4 11 4" xfId="5988" xr:uid="{00000000-0005-0000-0000-0000AECB0000}"/>
    <cellStyle name="Vírgula 4 11 4 2" xfId="24580" xr:uid="{00000000-0005-0000-0000-0000AFCB0000}"/>
    <cellStyle name="Vírgula 4 11 4 2 2" xfId="50764" xr:uid="{00000000-0005-0000-0000-0000B0CB0000}"/>
    <cellStyle name="Vírgula 4 11 4 3" xfId="32184" xr:uid="{00000000-0005-0000-0000-0000B1CB0000}"/>
    <cellStyle name="Vírgula 4 11 5" xfId="18666" xr:uid="{00000000-0005-0000-0000-0000B2CB0000}"/>
    <cellStyle name="Vírgula 4 11 5 2" xfId="44856" xr:uid="{00000000-0005-0000-0000-0000B3CB0000}"/>
    <cellStyle name="Vírgula 4 11 6" xfId="12376" xr:uid="{00000000-0005-0000-0000-0000B4CB0000}"/>
    <cellStyle name="Vírgula 4 11 6 2" xfId="38569" xr:uid="{00000000-0005-0000-0000-0000B5CB0000}"/>
    <cellStyle name="Vírgula 4 11 7" xfId="30487" xr:uid="{00000000-0005-0000-0000-0000B6CB0000}"/>
    <cellStyle name="Vírgula 4 12" xfId="4395" xr:uid="{00000000-0005-0000-0000-0000B7CB0000}"/>
    <cellStyle name="Vírgula 4 12 2" xfId="7797" xr:uid="{00000000-0005-0000-0000-0000B8CB0000}"/>
    <cellStyle name="Vírgula 4 12 2 2" xfId="10853" xr:uid="{00000000-0005-0000-0000-0000B9CB0000}"/>
    <cellStyle name="Vírgula 4 12 2 2 2" xfId="29067" xr:uid="{00000000-0005-0000-0000-0000BACB0000}"/>
    <cellStyle name="Vírgula 4 12 2 2 2 2" xfId="55248" xr:uid="{00000000-0005-0000-0000-0000BBCB0000}"/>
    <cellStyle name="Vírgula 4 12 2 2 3" xfId="23153" xr:uid="{00000000-0005-0000-0000-0000BCCB0000}"/>
    <cellStyle name="Vírgula 4 12 2 2 3 2" xfId="49340" xr:uid="{00000000-0005-0000-0000-0000BDCB0000}"/>
    <cellStyle name="Vírgula 4 12 2 2 4" xfId="17239" xr:uid="{00000000-0005-0000-0000-0000BECB0000}"/>
    <cellStyle name="Vírgula 4 12 2 2 4 2" xfId="43432" xr:uid="{00000000-0005-0000-0000-0000BFCB0000}"/>
    <cellStyle name="Vírgula 4 12 2 2 5" xfId="37046" xr:uid="{00000000-0005-0000-0000-0000C0CB0000}"/>
    <cellStyle name="Vírgula 4 12 2 3" xfId="26110" xr:uid="{00000000-0005-0000-0000-0000C1CB0000}"/>
    <cellStyle name="Vírgula 4 12 2 3 2" xfId="52294" xr:uid="{00000000-0005-0000-0000-0000C2CB0000}"/>
    <cellStyle name="Vírgula 4 12 2 4" xfId="20196" xr:uid="{00000000-0005-0000-0000-0000C3CB0000}"/>
    <cellStyle name="Vírgula 4 12 2 4 2" xfId="46386" xr:uid="{00000000-0005-0000-0000-0000C4CB0000}"/>
    <cellStyle name="Vírgula 4 12 2 5" xfId="14186" xr:uid="{00000000-0005-0000-0000-0000C5CB0000}"/>
    <cellStyle name="Vírgula 4 12 2 5 2" xfId="40379" xr:uid="{00000000-0005-0000-0000-0000C6CB0000}"/>
    <cellStyle name="Vírgula 4 12 2 6" xfId="33993" xr:uid="{00000000-0005-0000-0000-0000C7CB0000}"/>
    <cellStyle name="Vírgula 4 12 3" xfId="9385" xr:uid="{00000000-0005-0000-0000-0000C8CB0000}"/>
    <cellStyle name="Vírgula 4 12 3 2" xfId="27599" xr:uid="{00000000-0005-0000-0000-0000C9CB0000}"/>
    <cellStyle name="Vírgula 4 12 3 2 2" xfId="53780" xr:uid="{00000000-0005-0000-0000-0000CACB0000}"/>
    <cellStyle name="Vírgula 4 12 3 3" xfId="21685" xr:uid="{00000000-0005-0000-0000-0000CBCB0000}"/>
    <cellStyle name="Vírgula 4 12 3 3 2" xfId="47872" xr:uid="{00000000-0005-0000-0000-0000CCCB0000}"/>
    <cellStyle name="Vírgula 4 12 3 4" xfId="15771" xr:uid="{00000000-0005-0000-0000-0000CDCB0000}"/>
    <cellStyle name="Vírgula 4 12 3 4 2" xfId="41964" xr:uid="{00000000-0005-0000-0000-0000CECB0000}"/>
    <cellStyle name="Vírgula 4 12 3 5" xfId="35578" xr:uid="{00000000-0005-0000-0000-0000CFCB0000}"/>
    <cellStyle name="Vírgula 4 12 4" xfId="6097" xr:uid="{00000000-0005-0000-0000-0000D0CB0000}"/>
    <cellStyle name="Vírgula 4 12 4 2" xfId="24642" xr:uid="{00000000-0005-0000-0000-0000D1CB0000}"/>
    <cellStyle name="Vírgula 4 12 4 2 2" xfId="50826" xr:uid="{00000000-0005-0000-0000-0000D2CB0000}"/>
    <cellStyle name="Vírgula 4 12 4 3" xfId="32293" xr:uid="{00000000-0005-0000-0000-0000D3CB0000}"/>
    <cellStyle name="Vírgula 4 12 5" xfId="18728" xr:uid="{00000000-0005-0000-0000-0000D4CB0000}"/>
    <cellStyle name="Vírgula 4 12 5 2" xfId="44918" xr:uid="{00000000-0005-0000-0000-0000D5CB0000}"/>
    <cellStyle name="Vírgula 4 12 6" xfId="12485" xr:uid="{00000000-0005-0000-0000-0000D6CB0000}"/>
    <cellStyle name="Vírgula 4 12 6 2" xfId="38678" xr:uid="{00000000-0005-0000-0000-0000D7CB0000}"/>
    <cellStyle name="Vírgula 4 12 7" xfId="30595" xr:uid="{00000000-0005-0000-0000-0000D8CB0000}"/>
    <cellStyle name="Vírgula 4 13" xfId="4503" xr:uid="{00000000-0005-0000-0000-0000D9CB0000}"/>
    <cellStyle name="Vírgula 4 13 2" xfId="7905" xr:uid="{00000000-0005-0000-0000-0000DACB0000}"/>
    <cellStyle name="Vírgula 4 13 2 2" xfId="10915" xr:uid="{00000000-0005-0000-0000-0000DBCB0000}"/>
    <cellStyle name="Vírgula 4 13 2 2 2" xfId="29129" xr:uid="{00000000-0005-0000-0000-0000DCCB0000}"/>
    <cellStyle name="Vírgula 4 13 2 2 2 2" xfId="55310" xr:uid="{00000000-0005-0000-0000-0000DDCB0000}"/>
    <cellStyle name="Vírgula 4 13 2 2 3" xfId="23215" xr:uid="{00000000-0005-0000-0000-0000DECB0000}"/>
    <cellStyle name="Vírgula 4 13 2 2 3 2" xfId="49402" xr:uid="{00000000-0005-0000-0000-0000DFCB0000}"/>
    <cellStyle name="Vírgula 4 13 2 2 4" xfId="17301" xr:uid="{00000000-0005-0000-0000-0000E0CB0000}"/>
    <cellStyle name="Vírgula 4 13 2 2 4 2" xfId="43494" xr:uid="{00000000-0005-0000-0000-0000E1CB0000}"/>
    <cellStyle name="Vírgula 4 13 2 2 5" xfId="37108" xr:uid="{00000000-0005-0000-0000-0000E2CB0000}"/>
    <cellStyle name="Vírgula 4 13 2 3" xfId="26172" xr:uid="{00000000-0005-0000-0000-0000E3CB0000}"/>
    <cellStyle name="Vírgula 4 13 2 3 2" xfId="52356" xr:uid="{00000000-0005-0000-0000-0000E4CB0000}"/>
    <cellStyle name="Vírgula 4 13 2 4" xfId="20258" xr:uid="{00000000-0005-0000-0000-0000E5CB0000}"/>
    <cellStyle name="Vírgula 4 13 2 4 2" xfId="46448" xr:uid="{00000000-0005-0000-0000-0000E6CB0000}"/>
    <cellStyle name="Vírgula 4 13 2 5" xfId="14294" xr:uid="{00000000-0005-0000-0000-0000E7CB0000}"/>
    <cellStyle name="Vírgula 4 13 2 5 2" xfId="40487" xr:uid="{00000000-0005-0000-0000-0000E8CB0000}"/>
    <cellStyle name="Vírgula 4 13 2 6" xfId="34101" xr:uid="{00000000-0005-0000-0000-0000E9CB0000}"/>
    <cellStyle name="Vírgula 4 13 3" xfId="9447" xr:uid="{00000000-0005-0000-0000-0000EACB0000}"/>
    <cellStyle name="Vírgula 4 13 3 2" xfId="27661" xr:uid="{00000000-0005-0000-0000-0000EBCB0000}"/>
    <cellStyle name="Vírgula 4 13 3 2 2" xfId="53842" xr:uid="{00000000-0005-0000-0000-0000ECCB0000}"/>
    <cellStyle name="Vírgula 4 13 3 3" xfId="21747" xr:uid="{00000000-0005-0000-0000-0000EDCB0000}"/>
    <cellStyle name="Vírgula 4 13 3 3 2" xfId="47934" xr:uid="{00000000-0005-0000-0000-0000EECB0000}"/>
    <cellStyle name="Vírgula 4 13 3 4" xfId="15833" xr:uid="{00000000-0005-0000-0000-0000EFCB0000}"/>
    <cellStyle name="Vírgula 4 13 3 4 2" xfId="42026" xr:uid="{00000000-0005-0000-0000-0000F0CB0000}"/>
    <cellStyle name="Vírgula 4 13 3 5" xfId="35640" xr:uid="{00000000-0005-0000-0000-0000F1CB0000}"/>
    <cellStyle name="Vírgula 4 13 4" xfId="6204" xr:uid="{00000000-0005-0000-0000-0000F2CB0000}"/>
    <cellStyle name="Vírgula 4 13 4 2" xfId="24704" xr:uid="{00000000-0005-0000-0000-0000F3CB0000}"/>
    <cellStyle name="Vírgula 4 13 4 2 2" xfId="50888" xr:uid="{00000000-0005-0000-0000-0000F4CB0000}"/>
    <cellStyle name="Vírgula 4 13 4 3" xfId="32400" xr:uid="{00000000-0005-0000-0000-0000F5CB0000}"/>
    <cellStyle name="Vírgula 4 13 5" xfId="18790" xr:uid="{00000000-0005-0000-0000-0000F6CB0000}"/>
    <cellStyle name="Vírgula 4 13 5 2" xfId="44980" xr:uid="{00000000-0005-0000-0000-0000F7CB0000}"/>
    <cellStyle name="Vírgula 4 13 6" xfId="12593" xr:uid="{00000000-0005-0000-0000-0000F8CB0000}"/>
    <cellStyle name="Vírgula 4 13 6 2" xfId="38786" xr:uid="{00000000-0005-0000-0000-0000F9CB0000}"/>
    <cellStyle name="Vírgula 4 13 7" xfId="30703" xr:uid="{00000000-0005-0000-0000-0000FACB0000}"/>
    <cellStyle name="Vírgula 4 14" xfId="4705" xr:uid="{00000000-0005-0000-0000-0000FBCB0000}"/>
    <cellStyle name="Vírgula 4 14 2" xfId="6408" xr:uid="{00000000-0005-0000-0000-0000FCCB0000}"/>
    <cellStyle name="Vírgula 4 14 2 2" xfId="9564" xr:uid="{00000000-0005-0000-0000-0000FDCB0000}"/>
    <cellStyle name="Vírgula 4 14 2 2 2" xfId="27778" xr:uid="{00000000-0005-0000-0000-0000FECB0000}"/>
    <cellStyle name="Vírgula 4 14 2 2 2 2" xfId="53959" xr:uid="{00000000-0005-0000-0000-0000FFCB0000}"/>
    <cellStyle name="Vírgula 4 14 2 2 3" xfId="21864" xr:uid="{00000000-0005-0000-0000-000000CC0000}"/>
    <cellStyle name="Vírgula 4 14 2 2 3 2" xfId="48051" xr:uid="{00000000-0005-0000-0000-000001CC0000}"/>
    <cellStyle name="Vírgula 4 14 2 2 4" xfId="15950" xr:uid="{00000000-0005-0000-0000-000002CC0000}"/>
    <cellStyle name="Vírgula 4 14 2 2 4 2" xfId="42143" xr:uid="{00000000-0005-0000-0000-000003CC0000}"/>
    <cellStyle name="Vírgula 4 14 2 2 5" xfId="35757" xr:uid="{00000000-0005-0000-0000-000004CC0000}"/>
    <cellStyle name="Vírgula 4 14 2 3" xfId="24821" xr:uid="{00000000-0005-0000-0000-000005CC0000}"/>
    <cellStyle name="Vírgula 4 14 2 3 2" xfId="51005" xr:uid="{00000000-0005-0000-0000-000006CC0000}"/>
    <cellStyle name="Vírgula 4 14 2 4" xfId="18907" xr:uid="{00000000-0005-0000-0000-000007CC0000}"/>
    <cellStyle name="Vírgula 4 14 2 4 2" xfId="45097" xr:uid="{00000000-0005-0000-0000-000008CC0000}"/>
    <cellStyle name="Vírgula 4 14 2 5" xfId="12797" xr:uid="{00000000-0005-0000-0000-000009CC0000}"/>
    <cellStyle name="Vírgula 4 14 2 5 2" xfId="38990" xr:uid="{00000000-0005-0000-0000-00000ACC0000}"/>
    <cellStyle name="Vírgula 4 14 2 6" xfId="32604" xr:uid="{00000000-0005-0000-0000-00000BCC0000}"/>
    <cellStyle name="Vírgula 4 14 3" xfId="8093" xr:uid="{00000000-0005-0000-0000-00000CCC0000}"/>
    <cellStyle name="Vírgula 4 14 3 2" xfId="26307" xr:uid="{00000000-0005-0000-0000-00000DCC0000}"/>
    <cellStyle name="Vírgula 4 14 3 2 2" xfId="52491" xr:uid="{00000000-0005-0000-0000-00000ECC0000}"/>
    <cellStyle name="Vírgula 4 14 3 3" xfId="20393" xr:uid="{00000000-0005-0000-0000-00000FCC0000}"/>
    <cellStyle name="Vírgula 4 14 3 3 2" xfId="46583" xr:uid="{00000000-0005-0000-0000-000010CC0000}"/>
    <cellStyle name="Vírgula 4 14 3 4" xfId="14482" xr:uid="{00000000-0005-0000-0000-000011CC0000}"/>
    <cellStyle name="Vírgula 4 14 3 4 2" xfId="40675" xr:uid="{00000000-0005-0000-0000-000012CC0000}"/>
    <cellStyle name="Vírgula 4 14 3 5" xfId="34289" xr:uid="{00000000-0005-0000-0000-000013CC0000}"/>
    <cellStyle name="Vírgula 4 14 4" xfId="23350" xr:uid="{00000000-0005-0000-0000-000014CC0000}"/>
    <cellStyle name="Vírgula 4 14 4 2" xfId="49537" xr:uid="{00000000-0005-0000-0000-000015CC0000}"/>
    <cellStyle name="Vírgula 4 14 5" xfId="17436" xr:uid="{00000000-0005-0000-0000-000016CC0000}"/>
    <cellStyle name="Vírgula 4 14 5 2" xfId="43629" xr:uid="{00000000-0005-0000-0000-000017CC0000}"/>
    <cellStyle name="Vírgula 4 14 6" xfId="11096" xr:uid="{00000000-0005-0000-0000-000018CC0000}"/>
    <cellStyle name="Vírgula 4 14 6 2" xfId="37289" xr:uid="{00000000-0005-0000-0000-000019CC0000}"/>
    <cellStyle name="Vírgula 4 14 7" xfId="30905" xr:uid="{00000000-0005-0000-0000-00001ACC0000}"/>
    <cellStyle name="Vírgula 4 15" xfId="6313" xr:uid="{00000000-0005-0000-0000-00001BCC0000}"/>
    <cellStyle name="Vírgula 4 15 2" xfId="9509" xr:uid="{00000000-0005-0000-0000-00001CCC0000}"/>
    <cellStyle name="Vírgula 4 15 2 2" xfId="27723" xr:uid="{00000000-0005-0000-0000-00001DCC0000}"/>
    <cellStyle name="Vírgula 4 15 2 2 2" xfId="53904" xr:uid="{00000000-0005-0000-0000-00001ECC0000}"/>
    <cellStyle name="Vírgula 4 15 2 3" xfId="21809" xr:uid="{00000000-0005-0000-0000-00001FCC0000}"/>
    <cellStyle name="Vírgula 4 15 2 3 2" xfId="47996" xr:uid="{00000000-0005-0000-0000-000020CC0000}"/>
    <cellStyle name="Vírgula 4 15 2 4" xfId="15895" xr:uid="{00000000-0005-0000-0000-000021CC0000}"/>
    <cellStyle name="Vírgula 4 15 2 4 2" xfId="42088" xr:uid="{00000000-0005-0000-0000-000022CC0000}"/>
    <cellStyle name="Vírgula 4 15 2 5" xfId="35702" xr:uid="{00000000-0005-0000-0000-000023CC0000}"/>
    <cellStyle name="Vírgula 4 15 3" xfId="24766" xr:uid="{00000000-0005-0000-0000-000024CC0000}"/>
    <cellStyle name="Vírgula 4 15 3 2" xfId="50950" xr:uid="{00000000-0005-0000-0000-000025CC0000}"/>
    <cellStyle name="Vírgula 4 15 4" xfId="18852" xr:uid="{00000000-0005-0000-0000-000026CC0000}"/>
    <cellStyle name="Vírgula 4 15 4 2" xfId="45042" xr:uid="{00000000-0005-0000-0000-000027CC0000}"/>
    <cellStyle name="Vírgula 4 15 5" xfId="12702" xr:uid="{00000000-0005-0000-0000-000028CC0000}"/>
    <cellStyle name="Vírgula 4 15 5 2" xfId="38895" xr:uid="{00000000-0005-0000-0000-000029CC0000}"/>
    <cellStyle name="Vírgula 4 15 6" xfId="32509" xr:uid="{00000000-0005-0000-0000-00002ACC0000}"/>
    <cellStyle name="Vírgula 4 16" xfId="8005" xr:uid="{00000000-0005-0000-0000-00002BCC0000}"/>
    <cellStyle name="Vírgula 4 16 2" xfId="10973" xr:uid="{00000000-0005-0000-0000-00002CCC0000}"/>
    <cellStyle name="Vírgula 4 16 2 2" xfId="29187" xr:uid="{00000000-0005-0000-0000-00002DCC0000}"/>
    <cellStyle name="Vírgula 4 16 2 2 2" xfId="55368" xr:uid="{00000000-0005-0000-0000-00002ECC0000}"/>
    <cellStyle name="Vírgula 4 16 2 3" xfId="23273" xr:uid="{00000000-0005-0000-0000-00002FCC0000}"/>
    <cellStyle name="Vírgula 4 16 2 3 2" xfId="49460" xr:uid="{00000000-0005-0000-0000-000030CC0000}"/>
    <cellStyle name="Vírgula 4 16 2 4" xfId="17359" xr:uid="{00000000-0005-0000-0000-000031CC0000}"/>
    <cellStyle name="Vírgula 4 16 2 4 2" xfId="43552" xr:uid="{00000000-0005-0000-0000-000032CC0000}"/>
    <cellStyle name="Vírgula 4 16 2 5" xfId="37166" xr:uid="{00000000-0005-0000-0000-000033CC0000}"/>
    <cellStyle name="Vírgula 4 16 3" xfId="26230" xr:uid="{00000000-0005-0000-0000-000034CC0000}"/>
    <cellStyle name="Vírgula 4 16 3 2" xfId="52414" xr:uid="{00000000-0005-0000-0000-000035CC0000}"/>
    <cellStyle name="Vírgula 4 16 4" xfId="20316" xr:uid="{00000000-0005-0000-0000-000036CC0000}"/>
    <cellStyle name="Vírgula 4 16 4 2" xfId="46506" xr:uid="{00000000-0005-0000-0000-000037CC0000}"/>
    <cellStyle name="Vírgula 4 16 5" xfId="14394" xr:uid="{00000000-0005-0000-0000-000038CC0000}"/>
    <cellStyle name="Vírgula 4 16 5 2" xfId="40587" xr:uid="{00000000-0005-0000-0000-000039CC0000}"/>
    <cellStyle name="Vírgula 4 16 6" xfId="34201" xr:uid="{00000000-0005-0000-0000-00003ACC0000}"/>
    <cellStyle name="Vírgula 4 17" xfId="8038" xr:uid="{00000000-0005-0000-0000-00003BCC0000}"/>
    <cellStyle name="Vírgula 4 17 2" xfId="26252" xr:uid="{00000000-0005-0000-0000-00003CCC0000}"/>
    <cellStyle name="Vírgula 4 17 2 2" xfId="52436" xr:uid="{00000000-0005-0000-0000-00003DCC0000}"/>
    <cellStyle name="Vírgula 4 17 3" xfId="20338" xr:uid="{00000000-0005-0000-0000-00003ECC0000}"/>
    <cellStyle name="Vírgula 4 17 3 2" xfId="46528" xr:uid="{00000000-0005-0000-0000-00003FCC0000}"/>
    <cellStyle name="Vírgula 4 17 4" xfId="14427" xr:uid="{00000000-0005-0000-0000-000040CC0000}"/>
    <cellStyle name="Vírgula 4 17 4 2" xfId="40620" xr:uid="{00000000-0005-0000-0000-000041CC0000}"/>
    <cellStyle name="Vírgula 4 17 5" xfId="34234" xr:uid="{00000000-0005-0000-0000-000042CC0000}"/>
    <cellStyle name="Vírgula 4 18" xfId="4611" xr:uid="{00000000-0005-0000-0000-000043CC0000}"/>
    <cellStyle name="Vírgula 4 18 2" xfId="23295" xr:uid="{00000000-0005-0000-0000-000044CC0000}"/>
    <cellStyle name="Vírgula 4 18 2 2" xfId="49482" xr:uid="{00000000-0005-0000-0000-000045CC0000}"/>
    <cellStyle name="Vírgula 4 18 3" xfId="30811" xr:uid="{00000000-0005-0000-0000-000046CC0000}"/>
    <cellStyle name="Vírgula 4 19" xfId="17381" xr:uid="{00000000-0005-0000-0000-000047CC0000}"/>
    <cellStyle name="Vírgula 4 19 2" xfId="43574" xr:uid="{00000000-0005-0000-0000-000048CC0000}"/>
    <cellStyle name="Vírgula 4 2" xfId="210" xr:uid="{00000000-0005-0000-0000-000049CC0000}"/>
    <cellStyle name="Vírgula 4 2 10" xfId="8047" xr:uid="{00000000-0005-0000-0000-00004ACC0000}"/>
    <cellStyle name="Vírgula 4 2 10 2" xfId="26261" xr:uid="{00000000-0005-0000-0000-00004BCC0000}"/>
    <cellStyle name="Vírgula 4 2 10 2 2" xfId="52445" xr:uid="{00000000-0005-0000-0000-00004CCC0000}"/>
    <cellStyle name="Vírgula 4 2 10 3" xfId="20347" xr:uid="{00000000-0005-0000-0000-00004DCC0000}"/>
    <cellStyle name="Vírgula 4 2 10 3 2" xfId="46537" xr:uid="{00000000-0005-0000-0000-00004ECC0000}"/>
    <cellStyle name="Vírgula 4 2 10 4" xfId="14436" xr:uid="{00000000-0005-0000-0000-00004FCC0000}"/>
    <cellStyle name="Vírgula 4 2 10 4 2" xfId="40629" xr:uid="{00000000-0005-0000-0000-000050CC0000}"/>
    <cellStyle name="Vírgula 4 2 10 5" xfId="34243" xr:uid="{00000000-0005-0000-0000-000051CC0000}"/>
    <cellStyle name="Vírgula 4 2 11" xfId="4626" xr:uid="{00000000-0005-0000-0000-000052CC0000}"/>
    <cellStyle name="Vírgula 4 2 11 2" xfId="23304" xr:uid="{00000000-0005-0000-0000-000053CC0000}"/>
    <cellStyle name="Vírgula 4 2 11 2 2" xfId="49491" xr:uid="{00000000-0005-0000-0000-000054CC0000}"/>
    <cellStyle name="Vírgula 4 2 11 3" xfId="30826" xr:uid="{00000000-0005-0000-0000-000055CC0000}"/>
    <cellStyle name="Vírgula 4 2 12" xfId="17390" xr:uid="{00000000-0005-0000-0000-000056CC0000}"/>
    <cellStyle name="Vírgula 4 2 12 2" xfId="43583" xr:uid="{00000000-0005-0000-0000-000057CC0000}"/>
    <cellStyle name="Vírgula 4 2 13" xfId="11017" xr:uid="{00000000-0005-0000-0000-000058CC0000}"/>
    <cellStyle name="Vírgula 4 2 13 2" xfId="37210" xr:uid="{00000000-0005-0000-0000-000059CC0000}"/>
    <cellStyle name="Vírgula 4 2 14" xfId="29267" xr:uid="{00000000-0005-0000-0000-00005ACC0000}"/>
    <cellStyle name="Vírgula 4 2 2" xfId="4261" xr:uid="{00000000-0005-0000-0000-00005BCC0000}"/>
    <cellStyle name="Vírgula 4 2 2 10" xfId="11052" xr:uid="{00000000-0005-0000-0000-00005CCC0000}"/>
    <cellStyle name="Vírgula 4 2 2 10 2" xfId="37245" xr:uid="{00000000-0005-0000-0000-00005DCC0000}"/>
    <cellStyle name="Vírgula 4 2 2 11" xfId="30461" xr:uid="{00000000-0005-0000-0000-00005ECC0000}"/>
    <cellStyle name="Vírgula 4 2 2 2" xfId="4338" xr:uid="{00000000-0005-0000-0000-00005FCC0000}"/>
    <cellStyle name="Vírgula 4 2 2 2 2" xfId="7739" xr:uid="{00000000-0005-0000-0000-000060CC0000}"/>
    <cellStyle name="Vírgula 4 2 2 2 2 2" xfId="10820" xr:uid="{00000000-0005-0000-0000-000061CC0000}"/>
    <cellStyle name="Vírgula 4 2 2 2 2 2 2" xfId="29034" xr:uid="{00000000-0005-0000-0000-000062CC0000}"/>
    <cellStyle name="Vírgula 4 2 2 2 2 2 2 2" xfId="55215" xr:uid="{00000000-0005-0000-0000-000063CC0000}"/>
    <cellStyle name="Vírgula 4 2 2 2 2 2 3" xfId="23120" xr:uid="{00000000-0005-0000-0000-000064CC0000}"/>
    <cellStyle name="Vírgula 4 2 2 2 2 2 3 2" xfId="49307" xr:uid="{00000000-0005-0000-0000-000065CC0000}"/>
    <cellStyle name="Vírgula 4 2 2 2 2 2 4" xfId="17206" xr:uid="{00000000-0005-0000-0000-000066CC0000}"/>
    <cellStyle name="Vírgula 4 2 2 2 2 2 4 2" xfId="43399" xr:uid="{00000000-0005-0000-0000-000067CC0000}"/>
    <cellStyle name="Vírgula 4 2 2 2 2 2 5" xfId="37013" xr:uid="{00000000-0005-0000-0000-000068CC0000}"/>
    <cellStyle name="Vírgula 4 2 2 2 2 3" xfId="26077" xr:uid="{00000000-0005-0000-0000-000069CC0000}"/>
    <cellStyle name="Vírgula 4 2 2 2 2 3 2" xfId="52261" xr:uid="{00000000-0005-0000-0000-00006ACC0000}"/>
    <cellStyle name="Vírgula 4 2 2 2 2 4" xfId="20163" xr:uid="{00000000-0005-0000-0000-00006BCC0000}"/>
    <cellStyle name="Vírgula 4 2 2 2 2 4 2" xfId="46353" xr:uid="{00000000-0005-0000-0000-00006CCC0000}"/>
    <cellStyle name="Vírgula 4 2 2 2 2 5" xfId="14128" xr:uid="{00000000-0005-0000-0000-00006DCC0000}"/>
    <cellStyle name="Vírgula 4 2 2 2 2 5 2" xfId="40321" xr:uid="{00000000-0005-0000-0000-00006ECC0000}"/>
    <cellStyle name="Vírgula 4 2 2 2 2 6" xfId="33935" xr:uid="{00000000-0005-0000-0000-00006FCC0000}"/>
    <cellStyle name="Vírgula 4 2 2 2 3" xfId="9352" xr:uid="{00000000-0005-0000-0000-000070CC0000}"/>
    <cellStyle name="Vírgula 4 2 2 2 3 2" xfId="27566" xr:uid="{00000000-0005-0000-0000-000071CC0000}"/>
    <cellStyle name="Vírgula 4 2 2 2 3 2 2" xfId="53747" xr:uid="{00000000-0005-0000-0000-000072CC0000}"/>
    <cellStyle name="Vírgula 4 2 2 2 3 3" xfId="21652" xr:uid="{00000000-0005-0000-0000-000073CC0000}"/>
    <cellStyle name="Vírgula 4 2 2 2 3 3 2" xfId="47839" xr:uid="{00000000-0005-0000-0000-000074CC0000}"/>
    <cellStyle name="Vírgula 4 2 2 2 3 4" xfId="15738" xr:uid="{00000000-0005-0000-0000-000075CC0000}"/>
    <cellStyle name="Vírgula 4 2 2 2 3 4 2" xfId="41931" xr:uid="{00000000-0005-0000-0000-000076CC0000}"/>
    <cellStyle name="Vírgula 4 2 2 2 3 5" xfId="35545" xr:uid="{00000000-0005-0000-0000-000077CC0000}"/>
    <cellStyle name="Vírgula 4 2 2 2 4" xfId="6039" xr:uid="{00000000-0005-0000-0000-000078CC0000}"/>
    <cellStyle name="Vírgula 4 2 2 2 4 2" xfId="24609" xr:uid="{00000000-0005-0000-0000-000079CC0000}"/>
    <cellStyle name="Vírgula 4 2 2 2 4 2 2" xfId="50793" xr:uid="{00000000-0005-0000-0000-00007ACC0000}"/>
    <cellStyle name="Vírgula 4 2 2 2 4 3" xfId="32235" xr:uid="{00000000-0005-0000-0000-00007BCC0000}"/>
    <cellStyle name="Vírgula 4 2 2 2 5" xfId="18695" xr:uid="{00000000-0005-0000-0000-00007CCC0000}"/>
    <cellStyle name="Vírgula 4 2 2 2 5 2" xfId="44885" xr:uid="{00000000-0005-0000-0000-00007DCC0000}"/>
    <cellStyle name="Vírgula 4 2 2 2 6" xfId="12427" xr:uid="{00000000-0005-0000-0000-00007ECC0000}"/>
    <cellStyle name="Vírgula 4 2 2 2 6 2" xfId="38620" xr:uid="{00000000-0005-0000-0000-00007FCC0000}"/>
    <cellStyle name="Vírgula 4 2 2 2 7" xfId="30538" xr:uid="{00000000-0005-0000-0000-000080CC0000}"/>
    <cellStyle name="Vírgula 4 2 2 3" xfId="4446" xr:uid="{00000000-0005-0000-0000-000081CC0000}"/>
    <cellStyle name="Vírgula 4 2 2 3 2" xfId="7848" xr:uid="{00000000-0005-0000-0000-000082CC0000}"/>
    <cellStyle name="Vírgula 4 2 2 3 2 2" xfId="10882" xr:uid="{00000000-0005-0000-0000-000083CC0000}"/>
    <cellStyle name="Vírgula 4 2 2 3 2 2 2" xfId="29096" xr:uid="{00000000-0005-0000-0000-000084CC0000}"/>
    <cellStyle name="Vírgula 4 2 2 3 2 2 2 2" xfId="55277" xr:uid="{00000000-0005-0000-0000-000085CC0000}"/>
    <cellStyle name="Vírgula 4 2 2 3 2 2 3" xfId="23182" xr:uid="{00000000-0005-0000-0000-000086CC0000}"/>
    <cellStyle name="Vírgula 4 2 2 3 2 2 3 2" xfId="49369" xr:uid="{00000000-0005-0000-0000-000087CC0000}"/>
    <cellStyle name="Vírgula 4 2 2 3 2 2 4" xfId="17268" xr:uid="{00000000-0005-0000-0000-000088CC0000}"/>
    <cellStyle name="Vírgula 4 2 2 3 2 2 4 2" xfId="43461" xr:uid="{00000000-0005-0000-0000-000089CC0000}"/>
    <cellStyle name="Vírgula 4 2 2 3 2 2 5" xfId="37075" xr:uid="{00000000-0005-0000-0000-00008ACC0000}"/>
    <cellStyle name="Vírgula 4 2 2 3 2 3" xfId="26139" xr:uid="{00000000-0005-0000-0000-00008BCC0000}"/>
    <cellStyle name="Vírgula 4 2 2 3 2 3 2" xfId="52323" xr:uid="{00000000-0005-0000-0000-00008CCC0000}"/>
    <cellStyle name="Vírgula 4 2 2 3 2 4" xfId="20225" xr:uid="{00000000-0005-0000-0000-00008DCC0000}"/>
    <cellStyle name="Vírgula 4 2 2 3 2 4 2" xfId="46415" xr:uid="{00000000-0005-0000-0000-00008ECC0000}"/>
    <cellStyle name="Vírgula 4 2 2 3 2 5" xfId="14237" xr:uid="{00000000-0005-0000-0000-00008FCC0000}"/>
    <cellStyle name="Vírgula 4 2 2 3 2 5 2" xfId="40430" xr:uid="{00000000-0005-0000-0000-000090CC0000}"/>
    <cellStyle name="Vírgula 4 2 2 3 2 6" xfId="34044" xr:uid="{00000000-0005-0000-0000-000091CC0000}"/>
    <cellStyle name="Vírgula 4 2 2 3 3" xfId="9414" xr:uid="{00000000-0005-0000-0000-000092CC0000}"/>
    <cellStyle name="Vírgula 4 2 2 3 3 2" xfId="27628" xr:uid="{00000000-0005-0000-0000-000093CC0000}"/>
    <cellStyle name="Vírgula 4 2 2 3 3 2 2" xfId="53809" xr:uid="{00000000-0005-0000-0000-000094CC0000}"/>
    <cellStyle name="Vírgula 4 2 2 3 3 3" xfId="21714" xr:uid="{00000000-0005-0000-0000-000095CC0000}"/>
    <cellStyle name="Vírgula 4 2 2 3 3 3 2" xfId="47901" xr:uid="{00000000-0005-0000-0000-000096CC0000}"/>
    <cellStyle name="Vírgula 4 2 2 3 3 4" xfId="15800" xr:uid="{00000000-0005-0000-0000-000097CC0000}"/>
    <cellStyle name="Vírgula 4 2 2 3 3 4 2" xfId="41993" xr:uid="{00000000-0005-0000-0000-000098CC0000}"/>
    <cellStyle name="Vírgula 4 2 2 3 3 5" xfId="35607" xr:uid="{00000000-0005-0000-0000-000099CC0000}"/>
    <cellStyle name="Vírgula 4 2 2 3 4" xfId="6148" xr:uid="{00000000-0005-0000-0000-00009ACC0000}"/>
    <cellStyle name="Vírgula 4 2 2 3 4 2" xfId="24671" xr:uid="{00000000-0005-0000-0000-00009BCC0000}"/>
    <cellStyle name="Vírgula 4 2 2 3 4 2 2" xfId="50855" xr:uid="{00000000-0005-0000-0000-00009CCC0000}"/>
    <cellStyle name="Vírgula 4 2 2 3 4 3" xfId="32344" xr:uid="{00000000-0005-0000-0000-00009DCC0000}"/>
    <cellStyle name="Vírgula 4 2 2 3 5" xfId="18757" xr:uid="{00000000-0005-0000-0000-00009ECC0000}"/>
    <cellStyle name="Vírgula 4 2 2 3 5 2" xfId="44947" xr:uid="{00000000-0005-0000-0000-00009FCC0000}"/>
    <cellStyle name="Vírgula 4 2 2 3 6" xfId="12536" xr:uid="{00000000-0005-0000-0000-0000A0CC0000}"/>
    <cellStyle name="Vírgula 4 2 2 3 6 2" xfId="38729" xr:uid="{00000000-0005-0000-0000-0000A1CC0000}"/>
    <cellStyle name="Vírgula 4 2 2 3 7" xfId="30646" xr:uid="{00000000-0005-0000-0000-0000A2CC0000}"/>
    <cellStyle name="Vírgula 4 2 2 4" xfId="4554" xr:uid="{00000000-0005-0000-0000-0000A3CC0000}"/>
    <cellStyle name="Vírgula 4 2 2 4 2" xfId="7956" xr:uid="{00000000-0005-0000-0000-0000A4CC0000}"/>
    <cellStyle name="Vírgula 4 2 2 4 2 2" xfId="10944" xr:uid="{00000000-0005-0000-0000-0000A5CC0000}"/>
    <cellStyle name="Vírgula 4 2 2 4 2 2 2" xfId="29158" xr:uid="{00000000-0005-0000-0000-0000A6CC0000}"/>
    <cellStyle name="Vírgula 4 2 2 4 2 2 2 2" xfId="55339" xr:uid="{00000000-0005-0000-0000-0000A7CC0000}"/>
    <cellStyle name="Vírgula 4 2 2 4 2 2 3" xfId="23244" xr:uid="{00000000-0005-0000-0000-0000A8CC0000}"/>
    <cellStyle name="Vírgula 4 2 2 4 2 2 3 2" xfId="49431" xr:uid="{00000000-0005-0000-0000-0000A9CC0000}"/>
    <cellStyle name="Vírgula 4 2 2 4 2 2 4" xfId="17330" xr:uid="{00000000-0005-0000-0000-0000AACC0000}"/>
    <cellStyle name="Vírgula 4 2 2 4 2 2 4 2" xfId="43523" xr:uid="{00000000-0005-0000-0000-0000ABCC0000}"/>
    <cellStyle name="Vírgula 4 2 2 4 2 2 5" xfId="37137" xr:uid="{00000000-0005-0000-0000-0000ACCC0000}"/>
    <cellStyle name="Vírgula 4 2 2 4 2 3" xfId="26201" xr:uid="{00000000-0005-0000-0000-0000ADCC0000}"/>
    <cellStyle name="Vírgula 4 2 2 4 2 3 2" xfId="52385" xr:uid="{00000000-0005-0000-0000-0000AECC0000}"/>
    <cellStyle name="Vírgula 4 2 2 4 2 4" xfId="20287" xr:uid="{00000000-0005-0000-0000-0000AFCC0000}"/>
    <cellStyle name="Vírgula 4 2 2 4 2 4 2" xfId="46477" xr:uid="{00000000-0005-0000-0000-0000B0CC0000}"/>
    <cellStyle name="Vírgula 4 2 2 4 2 5" xfId="14345" xr:uid="{00000000-0005-0000-0000-0000B1CC0000}"/>
    <cellStyle name="Vírgula 4 2 2 4 2 5 2" xfId="40538" xr:uid="{00000000-0005-0000-0000-0000B2CC0000}"/>
    <cellStyle name="Vírgula 4 2 2 4 2 6" xfId="34152" xr:uid="{00000000-0005-0000-0000-0000B3CC0000}"/>
    <cellStyle name="Vírgula 4 2 2 4 3" xfId="9476" xr:uid="{00000000-0005-0000-0000-0000B4CC0000}"/>
    <cellStyle name="Vírgula 4 2 2 4 3 2" xfId="27690" xr:uid="{00000000-0005-0000-0000-0000B5CC0000}"/>
    <cellStyle name="Vírgula 4 2 2 4 3 2 2" xfId="53871" xr:uid="{00000000-0005-0000-0000-0000B6CC0000}"/>
    <cellStyle name="Vírgula 4 2 2 4 3 3" xfId="21776" xr:uid="{00000000-0005-0000-0000-0000B7CC0000}"/>
    <cellStyle name="Vírgula 4 2 2 4 3 3 2" xfId="47963" xr:uid="{00000000-0005-0000-0000-0000B8CC0000}"/>
    <cellStyle name="Vírgula 4 2 2 4 3 4" xfId="15862" xr:uid="{00000000-0005-0000-0000-0000B9CC0000}"/>
    <cellStyle name="Vírgula 4 2 2 4 3 4 2" xfId="42055" xr:uid="{00000000-0005-0000-0000-0000BACC0000}"/>
    <cellStyle name="Vírgula 4 2 2 4 3 5" xfId="35669" xr:uid="{00000000-0005-0000-0000-0000BBCC0000}"/>
    <cellStyle name="Vírgula 4 2 2 4 4" xfId="6255" xr:uid="{00000000-0005-0000-0000-0000BCCC0000}"/>
    <cellStyle name="Vírgula 4 2 2 4 4 2" xfId="24733" xr:uid="{00000000-0005-0000-0000-0000BDCC0000}"/>
    <cellStyle name="Vírgula 4 2 2 4 4 2 2" xfId="50917" xr:uid="{00000000-0005-0000-0000-0000BECC0000}"/>
    <cellStyle name="Vírgula 4 2 2 4 4 3" xfId="32451" xr:uid="{00000000-0005-0000-0000-0000BFCC0000}"/>
    <cellStyle name="Vírgula 4 2 2 4 5" xfId="18819" xr:uid="{00000000-0005-0000-0000-0000C0CC0000}"/>
    <cellStyle name="Vírgula 4 2 2 4 5 2" xfId="45009" xr:uid="{00000000-0005-0000-0000-0000C1CC0000}"/>
    <cellStyle name="Vírgula 4 2 2 4 6" xfId="12644" xr:uid="{00000000-0005-0000-0000-0000C2CC0000}"/>
    <cellStyle name="Vírgula 4 2 2 4 6 2" xfId="38837" xr:uid="{00000000-0005-0000-0000-0000C3CC0000}"/>
    <cellStyle name="Vírgula 4 2 2 4 7" xfId="30754" xr:uid="{00000000-0005-0000-0000-0000C4CC0000}"/>
    <cellStyle name="Vírgula 4 2 2 5" xfId="5962" xr:uid="{00000000-0005-0000-0000-0000C5CC0000}"/>
    <cellStyle name="Vírgula 4 2 2 5 2" xfId="7662" xr:uid="{00000000-0005-0000-0000-0000C6CC0000}"/>
    <cellStyle name="Vírgula 4 2 2 5 2 2" xfId="10777" xr:uid="{00000000-0005-0000-0000-0000C7CC0000}"/>
    <cellStyle name="Vírgula 4 2 2 5 2 2 2" xfId="28991" xr:uid="{00000000-0005-0000-0000-0000C8CC0000}"/>
    <cellStyle name="Vírgula 4 2 2 5 2 2 2 2" xfId="55172" xr:uid="{00000000-0005-0000-0000-0000C9CC0000}"/>
    <cellStyle name="Vírgula 4 2 2 5 2 2 3" xfId="23077" xr:uid="{00000000-0005-0000-0000-0000CACC0000}"/>
    <cellStyle name="Vírgula 4 2 2 5 2 2 3 2" xfId="49264" xr:uid="{00000000-0005-0000-0000-0000CBCC0000}"/>
    <cellStyle name="Vírgula 4 2 2 5 2 2 4" xfId="17163" xr:uid="{00000000-0005-0000-0000-0000CCCC0000}"/>
    <cellStyle name="Vírgula 4 2 2 5 2 2 4 2" xfId="43356" xr:uid="{00000000-0005-0000-0000-0000CDCC0000}"/>
    <cellStyle name="Vírgula 4 2 2 5 2 2 5" xfId="36970" xr:uid="{00000000-0005-0000-0000-0000CECC0000}"/>
    <cellStyle name="Vírgula 4 2 2 5 2 3" xfId="26034" xr:uid="{00000000-0005-0000-0000-0000CFCC0000}"/>
    <cellStyle name="Vírgula 4 2 2 5 2 3 2" xfId="52218" xr:uid="{00000000-0005-0000-0000-0000D0CC0000}"/>
    <cellStyle name="Vírgula 4 2 2 5 2 4" xfId="20120" xr:uid="{00000000-0005-0000-0000-0000D1CC0000}"/>
    <cellStyle name="Vírgula 4 2 2 5 2 4 2" xfId="46310" xr:uid="{00000000-0005-0000-0000-0000D2CC0000}"/>
    <cellStyle name="Vírgula 4 2 2 5 2 5" xfId="14051" xr:uid="{00000000-0005-0000-0000-0000D3CC0000}"/>
    <cellStyle name="Vírgula 4 2 2 5 2 5 2" xfId="40244" xr:uid="{00000000-0005-0000-0000-0000D4CC0000}"/>
    <cellStyle name="Vírgula 4 2 2 5 2 6" xfId="33858" xr:uid="{00000000-0005-0000-0000-0000D5CC0000}"/>
    <cellStyle name="Vírgula 4 2 2 5 3" xfId="9309" xr:uid="{00000000-0005-0000-0000-0000D6CC0000}"/>
    <cellStyle name="Vírgula 4 2 2 5 3 2" xfId="27523" xr:uid="{00000000-0005-0000-0000-0000D7CC0000}"/>
    <cellStyle name="Vírgula 4 2 2 5 3 2 2" xfId="53704" xr:uid="{00000000-0005-0000-0000-0000D8CC0000}"/>
    <cellStyle name="Vírgula 4 2 2 5 3 3" xfId="21609" xr:uid="{00000000-0005-0000-0000-0000D9CC0000}"/>
    <cellStyle name="Vírgula 4 2 2 5 3 3 2" xfId="47796" xr:uid="{00000000-0005-0000-0000-0000DACC0000}"/>
    <cellStyle name="Vírgula 4 2 2 5 3 4" xfId="15695" xr:uid="{00000000-0005-0000-0000-0000DBCC0000}"/>
    <cellStyle name="Vírgula 4 2 2 5 3 4 2" xfId="41888" xr:uid="{00000000-0005-0000-0000-0000DCCC0000}"/>
    <cellStyle name="Vírgula 4 2 2 5 3 5" xfId="35502" xr:uid="{00000000-0005-0000-0000-0000DDCC0000}"/>
    <cellStyle name="Vírgula 4 2 2 5 4" xfId="24566" xr:uid="{00000000-0005-0000-0000-0000DECC0000}"/>
    <cellStyle name="Vírgula 4 2 2 5 4 2" xfId="50750" xr:uid="{00000000-0005-0000-0000-0000DFCC0000}"/>
    <cellStyle name="Vírgula 4 2 2 5 5" xfId="18652" xr:uid="{00000000-0005-0000-0000-0000E0CC0000}"/>
    <cellStyle name="Vírgula 4 2 2 5 5 2" xfId="44842" xr:uid="{00000000-0005-0000-0000-0000E1CC0000}"/>
    <cellStyle name="Vírgula 4 2 2 5 6" xfId="12350" xr:uid="{00000000-0005-0000-0000-0000E2CC0000}"/>
    <cellStyle name="Vírgula 4 2 2 5 6 2" xfId="38543" xr:uid="{00000000-0005-0000-0000-0000E3CC0000}"/>
    <cellStyle name="Vírgula 4 2 2 5 7" xfId="32158" xr:uid="{00000000-0005-0000-0000-0000E4CC0000}"/>
    <cellStyle name="Vírgula 4 2 2 6" xfId="6364" xr:uid="{00000000-0005-0000-0000-0000E5CC0000}"/>
    <cellStyle name="Vírgula 4 2 2 6 2" xfId="9538" xr:uid="{00000000-0005-0000-0000-0000E6CC0000}"/>
    <cellStyle name="Vírgula 4 2 2 6 2 2" xfId="27752" xr:uid="{00000000-0005-0000-0000-0000E7CC0000}"/>
    <cellStyle name="Vírgula 4 2 2 6 2 2 2" xfId="53933" xr:uid="{00000000-0005-0000-0000-0000E8CC0000}"/>
    <cellStyle name="Vírgula 4 2 2 6 2 3" xfId="21838" xr:uid="{00000000-0005-0000-0000-0000E9CC0000}"/>
    <cellStyle name="Vírgula 4 2 2 6 2 3 2" xfId="48025" xr:uid="{00000000-0005-0000-0000-0000EACC0000}"/>
    <cellStyle name="Vírgula 4 2 2 6 2 4" xfId="15924" xr:uid="{00000000-0005-0000-0000-0000EBCC0000}"/>
    <cellStyle name="Vírgula 4 2 2 6 2 4 2" xfId="42117" xr:uid="{00000000-0005-0000-0000-0000ECCC0000}"/>
    <cellStyle name="Vírgula 4 2 2 6 2 5" xfId="35731" xr:uid="{00000000-0005-0000-0000-0000EDCC0000}"/>
    <cellStyle name="Vírgula 4 2 2 6 3" xfId="24795" xr:uid="{00000000-0005-0000-0000-0000EECC0000}"/>
    <cellStyle name="Vírgula 4 2 2 6 3 2" xfId="50979" xr:uid="{00000000-0005-0000-0000-0000EFCC0000}"/>
    <cellStyle name="Vírgula 4 2 2 6 4" xfId="18881" xr:uid="{00000000-0005-0000-0000-0000F0CC0000}"/>
    <cellStyle name="Vírgula 4 2 2 6 4 2" xfId="45071" xr:uid="{00000000-0005-0000-0000-0000F1CC0000}"/>
    <cellStyle name="Vírgula 4 2 2 6 5" xfId="12753" xr:uid="{00000000-0005-0000-0000-0000F2CC0000}"/>
    <cellStyle name="Vírgula 4 2 2 6 5 2" xfId="38946" xr:uid="{00000000-0005-0000-0000-0000F3CC0000}"/>
    <cellStyle name="Vírgula 4 2 2 6 6" xfId="32560" xr:uid="{00000000-0005-0000-0000-0000F4CC0000}"/>
    <cellStyle name="Vírgula 4 2 2 7" xfId="8067" xr:uid="{00000000-0005-0000-0000-0000F5CC0000}"/>
    <cellStyle name="Vírgula 4 2 2 7 2" xfId="26281" xr:uid="{00000000-0005-0000-0000-0000F6CC0000}"/>
    <cellStyle name="Vírgula 4 2 2 7 2 2" xfId="52465" xr:uid="{00000000-0005-0000-0000-0000F7CC0000}"/>
    <cellStyle name="Vírgula 4 2 2 7 3" xfId="20367" xr:uid="{00000000-0005-0000-0000-0000F8CC0000}"/>
    <cellStyle name="Vírgula 4 2 2 7 3 2" xfId="46557" xr:uid="{00000000-0005-0000-0000-0000F9CC0000}"/>
    <cellStyle name="Vírgula 4 2 2 7 4" xfId="14456" xr:uid="{00000000-0005-0000-0000-0000FACC0000}"/>
    <cellStyle name="Vírgula 4 2 2 7 4 2" xfId="40649" xr:uid="{00000000-0005-0000-0000-0000FBCC0000}"/>
    <cellStyle name="Vírgula 4 2 2 7 5" xfId="34263" xr:uid="{00000000-0005-0000-0000-0000FCCC0000}"/>
    <cellStyle name="Vírgula 4 2 2 8" xfId="4661" xr:uid="{00000000-0005-0000-0000-0000FDCC0000}"/>
    <cellStyle name="Vírgula 4 2 2 8 2" xfId="23324" xr:uid="{00000000-0005-0000-0000-0000FECC0000}"/>
    <cellStyle name="Vírgula 4 2 2 8 2 2" xfId="49511" xr:uid="{00000000-0005-0000-0000-0000FFCC0000}"/>
    <cellStyle name="Vírgula 4 2 2 8 3" xfId="30861" xr:uid="{00000000-0005-0000-0000-000000CD0000}"/>
    <cellStyle name="Vírgula 4 2 2 9" xfId="17410" xr:uid="{00000000-0005-0000-0000-000001CD0000}"/>
    <cellStyle name="Vírgula 4 2 2 9 2" xfId="43603" xr:uid="{00000000-0005-0000-0000-000002CD0000}"/>
    <cellStyle name="Vírgula 4 2 3" xfId="4226" xr:uid="{00000000-0005-0000-0000-000003CD0000}"/>
    <cellStyle name="Vírgula 4 2 3 10" xfId="11085" xr:uid="{00000000-0005-0000-0000-000004CD0000}"/>
    <cellStyle name="Vírgula 4 2 3 10 2" xfId="37278" xr:uid="{00000000-0005-0000-0000-000005CD0000}"/>
    <cellStyle name="Vírgula 4 2 3 11" xfId="30426" xr:uid="{00000000-0005-0000-0000-000006CD0000}"/>
    <cellStyle name="Vírgula 4 2 3 2" xfId="4370" xr:uid="{00000000-0005-0000-0000-000007CD0000}"/>
    <cellStyle name="Vírgula 4 2 3 2 2" xfId="7772" xr:uid="{00000000-0005-0000-0000-000008CD0000}"/>
    <cellStyle name="Vírgula 4 2 3 2 2 2" xfId="10839" xr:uid="{00000000-0005-0000-0000-000009CD0000}"/>
    <cellStyle name="Vírgula 4 2 3 2 2 2 2" xfId="29053" xr:uid="{00000000-0005-0000-0000-00000ACD0000}"/>
    <cellStyle name="Vírgula 4 2 3 2 2 2 2 2" xfId="55234" xr:uid="{00000000-0005-0000-0000-00000BCD0000}"/>
    <cellStyle name="Vírgula 4 2 3 2 2 2 3" xfId="23139" xr:uid="{00000000-0005-0000-0000-00000CCD0000}"/>
    <cellStyle name="Vírgula 4 2 3 2 2 2 3 2" xfId="49326" xr:uid="{00000000-0005-0000-0000-00000DCD0000}"/>
    <cellStyle name="Vírgula 4 2 3 2 2 2 4" xfId="17225" xr:uid="{00000000-0005-0000-0000-00000ECD0000}"/>
    <cellStyle name="Vírgula 4 2 3 2 2 2 4 2" xfId="43418" xr:uid="{00000000-0005-0000-0000-00000FCD0000}"/>
    <cellStyle name="Vírgula 4 2 3 2 2 2 5" xfId="37032" xr:uid="{00000000-0005-0000-0000-000010CD0000}"/>
    <cellStyle name="Vírgula 4 2 3 2 2 3" xfId="26096" xr:uid="{00000000-0005-0000-0000-000011CD0000}"/>
    <cellStyle name="Vírgula 4 2 3 2 2 3 2" xfId="52280" xr:uid="{00000000-0005-0000-0000-000012CD0000}"/>
    <cellStyle name="Vírgula 4 2 3 2 2 4" xfId="20182" xr:uid="{00000000-0005-0000-0000-000013CD0000}"/>
    <cellStyle name="Vírgula 4 2 3 2 2 4 2" xfId="46372" xr:uid="{00000000-0005-0000-0000-000014CD0000}"/>
    <cellStyle name="Vírgula 4 2 3 2 2 5" xfId="14161" xr:uid="{00000000-0005-0000-0000-000015CD0000}"/>
    <cellStyle name="Vírgula 4 2 3 2 2 5 2" xfId="40354" xr:uid="{00000000-0005-0000-0000-000016CD0000}"/>
    <cellStyle name="Vírgula 4 2 3 2 2 6" xfId="33968" xr:uid="{00000000-0005-0000-0000-000017CD0000}"/>
    <cellStyle name="Vírgula 4 2 3 2 3" xfId="9371" xr:uid="{00000000-0005-0000-0000-000018CD0000}"/>
    <cellStyle name="Vírgula 4 2 3 2 3 2" xfId="27585" xr:uid="{00000000-0005-0000-0000-000019CD0000}"/>
    <cellStyle name="Vírgula 4 2 3 2 3 2 2" xfId="53766" xr:uid="{00000000-0005-0000-0000-00001ACD0000}"/>
    <cellStyle name="Vírgula 4 2 3 2 3 3" xfId="21671" xr:uid="{00000000-0005-0000-0000-00001BCD0000}"/>
    <cellStyle name="Vírgula 4 2 3 2 3 3 2" xfId="47858" xr:uid="{00000000-0005-0000-0000-00001CCD0000}"/>
    <cellStyle name="Vírgula 4 2 3 2 3 4" xfId="15757" xr:uid="{00000000-0005-0000-0000-00001DCD0000}"/>
    <cellStyle name="Vírgula 4 2 3 2 3 4 2" xfId="41950" xr:uid="{00000000-0005-0000-0000-00001ECD0000}"/>
    <cellStyle name="Vírgula 4 2 3 2 3 5" xfId="35564" xr:uid="{00000000-0005-0000-0000-00001FCD0000}"/>
    <cellStyle name="Vírgula 4 2 3 2 4" xfId="6072" xr:uid="{00000000-0005-0000-0000-000020CD0000}"/>
    <cellStyle name="Vírgula 4 2 3 2 4 2" xfId="24628" xr:uid="{00000000-0005-0000-0000-000021CD0000}"/>
    <cellStyle name="Vírgula 4 2 3 2 4 2 2" xfId="50812" xr:uid="{00000000-0005-0000-0000-000022CD0000}"/>
    <cellStyle name="Vírgula 4 2 3 2 4 3" xfId="32268" xr:uid="{00000000-0005-0000-0000-000023CD0000}"/>
    <cellStyle name="Vírgula 4 2 3 2 5" xfId="18714" xr:uid="{00000000-0005-0000-0000-000024CD0000}"/>
    <cellStyle name="Vírgula 4 2 3 2 5 2" xfId="44904" xr:uid="{00000000-0005-0000-0000-000025CD0000}"/>
    <cellStyle name="Vírgula 4 2 3 2 6" xfId="12460" xr:uid="{00000000-0005-0000-0000-000026CD0000}"/>
    <cellStyle name="Vírgula 4 2 3 2 6 2" xfId="38653" xr:uid="{00000000-0005-0000-0000-000027CD0000}"/>
    <cellStyle name="Vírgula 4 2 3 2 7" xfId="30570" xr:uid="{00000000-0005-0000-0000-000028CD0000}"/>
    <cellStyle name="Vírgula 4 2 3 3" xfId="4478" xr:uid="{00000000-0005-0000-0000-000029CD0000}"/>
    <cellStyle name="Vírgula 4 2 3 3 2" xfId="7880" xr:uid="{00000000-0005-0000-0000-00002ACD0000}"/>
    <cellStyle name="Vírgula 4 2 3 3 2 2" xfId="10901" xr:uid="{00000000-0005-0000-0000-00002BCD0000}"/>
    <cellStyle name="Vírgula 4 2 3 3 2 2 2" xfId="29115" xr:uid="{00000000-0005-0000-0000-00002CCD0000}"/>
    <cellStyle name="Vírgula 4 2 3 3 2 2 2 2" xfId="55296" xr:uid="{00000000-0005-0000-0000-00002DCD0000}"/>
    <cellStyle name="Vírgula 4 2 3 3 2 2 3" xfId="23201" xr:uid="{00000000-0005-0000-0000-00002ECD0000}"/>
    <cellStyle name="Vírgula 4 2 3 3 2 2 3 2" xfId="49388" xr:uid="{00000000-0005-0000-0000-00002FCD0000}"/>
    <cellStyle name="Vírgula 4 2 3 3 2 2 4" xfId="17287" xr:uid="{00000000-0005-0000-0000-000030CD0000}"/>
    <cellStyle name="Vírgula 4 2 3 3 2 2 4 2" xfId="43480" xr:uid="{00000000-0005-0000-0000-000031CD0000}"/>
    <cellStyle name="Vírgula 4 2 3 3 2 2 5" xfId="37094" xr:uid="{00000000-0005-0000-0000-000032CD0000}"/>
    <cellStyle name="Vírgula 4 2 3 3 2 3" xfId="26158" xr:uid="{00000000-0005-0000-0000-000033CD0000}"/>
    <cellStyle name="Vírgula 4 2 3 3 2 3 2" xfId="52342" xr:uid="{00000000-0005-0000-0000-000034CD0000}"/>
    <cellStyle name="Vírgula 4 2 3 3 2 4" xfId="20244" xr:uid="{00000000-0005-0000-0000-000035CD0000}"/>
    <cellStyle name="Vírgula 4 2 3 3 2 4 2" xfId="46434" xr:uid="{00000000-0005-0000-0000-000036CD0000}"/>
    <cellStyle name="Vírgula 4 2 3 3 2 5" xfId="14269" xr:uid="{00000000-0005-0000-0000-000037CD0000}"/>
    <cellStyle name="Vírgula 4 2 3 3 2 5 2" xfId="40462" xr:uid="{00000000-0005-0000-0000-000038CD0000}"/>
    <cellStyle name="Vírgula 4 2 3 3 2 6" xfId="34076" xr:uid="{00000000-0005-0000-0000-000039CD0000}"/>
    <cellStyle name="Vírgula 4 2 3 3 3" xfId="9433" xr:uid="{00000000-0005-0000-0000-00003ACD0000}"/>
    <cellStyle name="Vírgula 4 2 3 3 3 2" xfId="27647" xr:uid="{00000000-0005-0000-0000-00003BCD0000}"/>
    <cellStyle name="Vírgula 4 2 3 3 3 2 2" xfId="53828" xr:uid="{00000000-0005-0000-0000-00003CCD0000}"/>
    <cellStyle name="Vírgula 4 2 3 3 3 3" xfId="21733" xr:uid="{00000000-0005-0000-0000-00003DCD0000}"/>
    <cellStyle name="Vírgula 4 2 3 3 3 3 2" xfId="47920" xr:uid="{00000000-0005-0000-0000-00003ECD0000}"/>
    <cellStyle name="Vírgula 4 2 3 3 3 4" xfId="15819" xr:uid="{00000000-0005-0000-0000-00003FCD0000}"/>
    <cellStyle name="Vírgula 4 2 3 3 3 4 2" xfId="42012" xr:uid="{00000000-0005-0000-0000-000040CD0000}"/>
    <cellStyle name="Vírgula 4 2 3 3 3 5" xfId="35626" xr:uid="{00000000-0005-0000-0000-000041CD0000}"/>
    <cellStyle name="Vírgula 4 2 3 3 4" xfId="6179" xr:uid="{00000000-0005-0000-0000-000042CD0000}"/>
    <cellStyle name="Vírgula 4 2 3 3 4 2" xfId="24690" xr:uid="{00000000-0005-0000-0000-000043CD0000}"/>
    <cellStyle name="Vírgula 4 2 3 3 4 2 2" xfId="50874" xr:uid="{00000000-0005-0000-0000-000044CD0000}"/>
    <cellStyle name="Vírgula 4 2 3 3 4 3" xfId="32375" xr:uid="{00000000-0005-0000-0000-000045CD0000}"/>
    <cellStyle name="Vírgula 4 2 3 3 5" xfId="18776" xr:uid="{00000000-0005-0000-0000-000046CD0000}"/>
    <cellStyle name="Vírgula 4 2 3 3 5 2" xfId="44966" xr:uid="{00000000-0005-0000-0000-000047CD0000}"/>
    <cellStyle name="Vírgula 4 2 3 3 6" xfId="12568" xr:uid="{00000000-0005-0000-0000-000048CD0000}"/>
    <cellStyle name="Vírgula 4 2 3 3 6 2" xfId="38761" xr:uid="{00000000-0005-0000-0000-000049CD0000}"/>
    <cellStyle name="Vírgula 4 2 3 3 7" xfId="30678" xr:uid="{00000000-0005-0000-0000-00004ACD0000}"/>
    <cellStyle name="Vírgula 4 2 3 4" xfId="4586" xr:uid="{00000000-0005-0000-0000-00004BCD0000}"/>
    <cellStyle name="Vírgula 4 2 3 4 2" xfId="7989" xr:uid="{00000000-0005-0000-0000-00004CCD0000}"/>
    <cellStyle name="Vírgula 4 2 3 4 2 2" xfId="10963" xr:uid="{00000000-0005-0000-0000-00004DCD0000}"/>
    <cellStyle name="Vírgula 4 2 3 4 2 2 2" xfId="29177" xr:uid="{00000000-0005-0000-0000-00004ECD0000}"/>
    <cellStyle name="Vírgula 4 2 3 4 2 2 2 2" xfId="55358" xr:uid="{00000000-0005-0000-0000-00004FCD0000}"/>
    <cellStyle name="Vírgula 4 2 3 4 2 2 3" xfId="23263" xr:uid="{00000000-0005-0000-0000-000050CD0000}"/>
    <cellStyle name="Vírgula 4 2 3 4 2 2 3 2" xfId="49450" xr:uid="{00000000-0005-0000-0000-000051CD0000}"/>
    <cellStyle name="Vírgula 4 2 3 4 2 2 4" xfId="17349" xr:uid="{00000000-0005-0000-0000-000052CD0000}"/>
    <cellStyle name="Vírgula 4 2 3 4 2 2 4 2" xfId="43542" xr:uid="{00000000-0005-0000-0000-000053CD0000}"/>
    <cellStyle name="Vírgula 4 2 3 4 2 2 5" xfId="37156" xr:uid="{00000000-0005-0000-0000-000054CD0000}"/>
    <cellStyle name="Vírgula 4 2 3 4 2 3" xfId="26220" xr:uid="{00000000-0005-0000-0000-000055CD0000}"/>
    <cellStyle name="Vírgula 4 2 3 4 2 3 2" xfId="52404" xr:uid="{00000000-0005-0000-0000-000056CD0000}"/>
    <cellStyle name="Vírgula 4 2 3 4 2 4" xfId="20306" xr:uid="{00000000-0005-0000-0000-000057CD0000}"/>
    <cellStyle name="Vírgula 4 2 3 4 2 4 2" xfId="46496" xr:uid="{00000000-0005-0000-0000-000058CD0000}"/>
    <cellStyle name="Vírgula 4 2 3 4 2 5" xfId="14378" xr:uid="{00000000-0005-0000-0000-000059CD0000}"/>
    <cellStyle name="Vírgula 4 2 3 4 2 5 2" xfId="40571" xr:uid="{00000000-0005-0000-0000-00005ACD0000}"/>
    <cellStyle name="Vírgula 4 2 3 4 2 6" xfId="34185" xr:uid="{00000000-0005-0000-0000-00005BCD0000}"/>
    <cellStyle name="Vírgula 4 2 3 4 3" xfId="9495" xr:uid="{00000000-0005-0000-0000-00005CCD0000}"/>
    <cellStyle name="Vírgula 4 2 3 4 3 2" xfId="27709" xr:uid="{00000000-0005-0000-0000-00005DCD0000}"/>
    <cellStyle name="Vírgula 4 2 3 4 3 2 2" xfId="53890" xr:uid="{00000000-0005-0000-0000-00005ECD0000}"/>
    <cellStyle name="Vírgula 4 2 3 4 3 3" xfId="21795" xr:uid="{00000000-0005-0000-0000-00005FCD0000}"/>
    <cellStyle name="Vírgula 4 2 3 4 3 3 2" xfId="47982" xr:uid="{00000000-0005-0000-0000-000060CD0000}"/>
    <cellStyle name="Vírgula 4 2 3 4 3 4" xfId="15881" xr:uid="{00000000-0005-0000-0000-000061CD0000}"/>
    <cellStyle name="Vírgula 4 2 3 4 3 4 2" xfId="42074" xr:uid="{00000000-0005-0000-0000-000062CD0000}"/>
    <cellStyle name="Vírgula 4 2 3 4 3 5" xfId="35688" xr:uid="{00000000-0005-0000-0000-000063CD0000}"/>
    <cellStyle name="Vírgula 4 2 3 4 4" xfId="6288" xr:uid="{00000000-0005-0000-0000-000064CD0000}"/>
    <cellStyle name="Vírgula 4 2 3 4 4 2" xfId="24752" xr:uid="{00000000-0005-0000-0000-000065CD0000}"/>
    <cellStyle name="Vírgula 4 2 3 4 4 2 2" xfId="50936" xr:uid="{00000000-0005-0000-0000-000066CD0000}"/>
    <cellStyle name="Vírgula 4 2 3 4 4 3" xfId="32484" xr:uid="{00000000-0005-0000-0000-000067CD0000}"/>
    <cellStyle name="Vírgula 4 2 3 4 5" xfId="18838" xr:uid="{00000000-0005-0000-0000-000068CD0000}"/>
    <cellStyle name="Vírgula 4 2 3 4 5 2" xfId="45028" xr:uid="{00000000-0005-0000-0000-000069CD0000}"/>
    <cellStyle name="Vírgula 4 2 3 4 6" xfId="12677" xr:uid="{00000000-0005-0000-0000-00006ACD0000}"/>
    <cellStyle name="Vírgula 4 2 3 4 6 2" xfId="38870" xr:uid="{00000000-0005-0000-0000-00006BCD0000}"/>
    <cellStyle name="Vírgula 4 2 3 4 7" xfId="30786" xr:uid="{00000000-0005-0000-0000-00006CCD0000}"/>
    <cellStyle name="Vírgula 4 2 3 5" xfId="5927" xr:uid="{00000000-0005-0000-0000-00006DCD0000}"/>
    <cellStyle name="Vírgula 4 2 3 5 2" xfId="7627" xr:uid="{00000000-0005-0000-0000-00006ECD0000}"/>
    <cellStyle name="Vírgula 4 2 3 5 2 2" xfId="10757" xr:uid="{00000000-0005-0000-0000-00006FCD0000}"/>
    <cellStyle name="Vírgula 4 2 3 5 2 2 2" xfId="28971" xr:uid="{00000000-0005-0000-0000-000070CD0000}"/>
    <cellStyle name="Vírgula 4 2 3 5 2 2 2 2" xfId="55152" xr:uid="{00000000-0005-0000-0000-000071CD0000}"/>
    <cellStyle name="Vírgula 4 2 3 5 2 2 3" xfId="23057" xr:uid="{00000000-0005-0000-0000-000072CD0000}"/>
    <cellStyle name="Vírgula 4 2 3 5 2 2 3 2" xfId="49244" xr:uid="{00000000-0005-0000-0000-000073CD0000}"/>
    <cellStyle name="Vírgula 4 2 3 5 2 2 4" xfId="17143" xr:uid="{00000000-0005-0000-0000-000074CD0000}"/>
    <cellStyle name="Vírgula 4 2 3 5 2 2 4 2" xfId="43336" xr:uid="{00000000-0005-0000-0000-000075CD0000}"/>
    <cellStyle name="Vírgula 4 2 3 5 2 2 5" xfId="36950" xr:uid="{00000000-0005-0000-0000-000076CD0000}"/>
    <cellStyle name="Vírgula 4 2 3 5 2 3" xfId="26014" xr:uid="{00000000-0005-0000-0000-000077CD0000}"/>
    <cellStyle name="Vírgula 4 2 3 5 2 3 2" xfId="52198" xr:uid="{00000000-0005-0000-0000-000078CD0000}"/>
    <cellStyle name="Vírgula 4 2 3 5 2 4" xfId="20100" xr:uid="{00000000-0005-0000-0000-000079CD0000}"/>
    <cellStyle name="Vírgula 4 2 3 5 2 4 2" xfId="46290" xr:uid="{00000000-0005-0000-0000-00007ACD0000}"/>
    <cellStyle name="Vírgula 4 2 3 5 2 5" xfId="14016" xr:uid="{00000000-0005-0000-0000-00007BCD0000}"/>
    <cellStyle name="Vírgula 4 2 3 5 2 5 2" xfId="40209" xr:uid="{00000000-0005-0000-0000-00007CCD0000}"/>
    <cellStyle name="Vírgula 4 2 3 5 2 6" xfId="33823" xr:uid="{00000000-0005-0000-0000-00007DCD0000}"/>
    <cellStyle name="Vírgula 4 2 3 5 3" xfId="9289" xr:uid="{00000000-0005-0000-0000-00007ECD0000}"/>
    <cellStyle name="Vírgula 4 2 3 5 3 2" xfId="27503" xr:uid="{00000000-0005-0000-0000-00007FCD0000}"/>
    <cellStyle name="Vírgula 4 2 3 5 3 2 2" xfId="53684" xr:uid="{00000000-0005-0000-0000-000080CD0000}"/>
    <cellStyle name="Vírgula 4 2 3 5 3 3" xfId="21589" xr:uid="{00000000-0005-0000-0000-000081CD0000}"/>
    <cellStyle name="Vírgula 4 2 3 5 3 3 2" xfId="47776" xr:uid="{00000000-0005-0000-0000-000082CD0000}"/>
    <cellStyle name="Vírgula 4 2 3 5 3 4" xfId="15675" xr:uid="{00000000-0005-0000-0000-000083CD0000}"/>
    <cellStyle name="Vírgula 4 2 3 5 3 4 2" xfId="41868" xr:uid="{00000000-0005-0000-0000-000084CD0000}"/>
    <cellStyle name="Vírgula 4 2 3 5 3 5" xfId="35482" xr:uid="{00000000-0005-0000-0000-000085CD0000}"/>
    <cellStyle name="Vírgula 4 2 3 5 4" xfId="24546" xr:uid="{00000000-0005-0000-0000-000086CD0000}"/>
    <cellStyle name="Vírgula 4 2 3 5 4 2" xfId="50730" xr:uid="{00000000-0005-0000-0000-000087CD0000}"/>
    <cellStyle name="Vírgula 4 2 3 5 5" xfId="18632" xr:uid="{00000000-0005-0000-0000-000088CD0000}"/>
    <cellStyle name="Vírgula 4 2 3 5 5 2" xfId="44822" xr:uid="{00000000-0005-0000-0000-000089CD0000}"/>
    <cellStyle name="Vírgula 4 2 3 5 6" xfId="12315" xr:uid="{00000000-0005-0000-0000-00008ACD0000}"/>
    <cellStyle name="Vírgula 4 2 3 5 6 2" xfId="38508" xr:uid="{00000000-0005-0000-0000-00008BCD0000}"/>
    <cellStyle name="Vírgula 4 2 3 5 7" xfId="32123" xr:uid="{00000000-0005-0000-0000-00008CCD0000}"/>
    <cellStyle name="Vírgula 4 2 3 6" xfId="6397" xr:uid="{00000000-0005-0000-0000-00008DCD0000}"/>
    <cellStyle name="Vírgula 4 2 3 6 2" xfId="9557" xr:uid="{00000000-0005-0000-0000-00008ECD0000}"/>
    <cellStyle name="Vírgula 4 2 3 6 2 2" xfId="27771" xr:uid="{00000000-0005-0000-0000-00008FCD0000}"/>
    <cellStyle name="Vírgula 4 2 3 6 2 2 2" xfId="53952" xr:uid="{00000000-0005-0000-0000-000090CD0000}"/>
    <cellStyle name="Vírgula 4 2 3 6 2 3" xfId="21857" xr:uid="{00000000-0005-0000-0000-000091CD0000}"/>
    <cellStyle name="Vírgula 4 2 3 6 2 3 2" xfId="48044" xr:uid="{00000000-0005-0000-0000-000092CD0000}"/>
    <cellStyle name="Vírgula 4 2 3 6 2 4" xfId="15943" xr:uid="{00000000-0005-0000-0000-000093CD0000}"/>
    <cellStyle name="Vírgula 4 2 3 6 2 4 2" xfId="42136" xr:uid="{00000000-0005-0000-0000-000094CD0000}"/>
    <cellStyle name="Vírgula 4 2 3 6 2 5" xfId="35750" xr:uid="{00000000-0005-0000-0000-000095CD0000}"/>
    <cellStyle name="Vírgula 4 2 3 6 3" xfId="24814" xr:uid="{00000000-0005-0000-0000-000096CD0000}"/>
    <cellStyle name="Vírgula 4 2 3 6 3 2" xfId="50998" xr:uid="{00000000-0005-0000-0000-000097CD0000}"/>
    <cellStyle name="Vírgula 4 2 3 6 4" xfId="18900" xr:uid="{00000000-0005-0000-0000-000098CD0000}"/>
    <cellStyle name="Vírgula 4 2 3 6 4 2" xfId="45090" xr:uid="{00000000-0005-0000-0000-000099CD0000}"/>
    <cellStyle name="Vírgula 4 2 3 6 5" xfId="12786" xr:uid="{00000000-0005-0000-0000-00009ACD0000}"/>
    <cellStyle name="Vírgula 4 2 3 6 5 2" xfId="38979" xr:uid="{00000000-0005-0000-0000-00009BCD0000}"/>
    <cellStyle name="Vírgula 4 2 3 6 6" xfId="32593" xr:uid="{00000000-0005-0000-0000-00009CCD0000}"/>
    <cellStyle name="Vírgula 4 2 3 7" xfId="8086" xr:uid="{00000000-0005-0000-0000-00009DCD0000}"/>
    <cellStyle name="Vírgula 4 2 3 7 2" xfId="26300" xr:uid="{00000000-0005-0000-0000-00009ECD0000}"/>
    <cellStyle name="Vírgula 4 2 3 7 2 2" xfId="52484" xr:uid="{00000000-0005-0000-0000-00009FCD0000}"/>
    <cellStyle name="Vírgula 4 2 3 7 3" xfId="20386" xr:uid="{00000000-0005-0000-0000-0000A0CD0000}"/>
    <cellStyle name="Vírgula 4 2 3 7 3 2" xfId="46576" xr:uid="{00000000-0005-0000-0000-0000A1CD0000}"/>
    <cellStyle name="Vírgula 4 2 3 7 4" xfId="14475" xr:uid="{00000000-0005-0000-0000-0000A2CD0000}"/>
    <cellStyle name="Vírgula 4 2 3 7 4 2" xfId="40668" xr:uid="{00000000-0005-0000-0000-0000A3CD0000}"/>
    <cellStyle name="Vírgula 4 2 3 7 5" xfId="34282" xr:uid="{00000000-0005-0000-0000-0000A4CD0000}"/>
    <cellStyle name="Vírgula 4 2 3 8" xfId="4694" xr:uid="{00000000-0005-0000-0000-0000A5CD0000}"/>
    <cellStyle name="Vírgula 4 2 3 8 2" xfId="23343" xr:uid="{00000000-0005-0000-0000-0000A6CD0000}"/>
    <cellStyle name="Vírgula 4 2 3 8 2 2" xfId="49530" xr:uid="{00000000-0005-0000-0000-0000A7CD0000}"/>
    <cellStyle name="Vírgula 4 2 3 8 3" xfId="30894" xr:uid="{00000000-0005-0000-0000-0000A8CD0000}"/>
    <cellStyle name="Vírgula 4 2 3 9" xfId="17429" xr:uid="{00000000-0005-0000-0000-0000A9CD0000}"/>
    <cellStyle name="Vírgula 4 2 3 9 2" xfId="43622" xr:uid="{00000000-0005-0000-0000-0000AACD0000}"/>
    <cellStyle name="Vírgula 4 2 4" xfId="4303" xr:uid="{00000000-0005-0000-0000-0000ABCD0000}"/>
    <cellStyle name="Vírgula 4 2 4 2" xfId="7704" xr:uid="{00000000-0005-0000-0000-0000ACCD0000}"/>
    <cellStyle name="Vírgula 4 2 4 2 2" xfId="10800" xr:uid="{00000000-0005-0000-0000-0000ADCD0000}"/>
    <cellStyle name="Vírgula 4 2 4 2 2 2" xfId="29014" xr:uid="{00000000-0005-0000-0000-0000AECD0000}"/>
    <cellStyle name="Vírgula 4 2 4 2 2 2 2" xfId="55195" xr:uid="{00000000-0005-0000-0000-0000AFCD0000}"/>
    <cellStyle name="Vírgula 4 2 4 2 2 3" xfId="23100" xr:uid="{00000000-0005-0000-0000-0000B0CD0000}"/>
    <cellStyle name="Vírgula 4 2 4 2 2 3 2" xfId="49287" xr:uid="{00000000-0005-0000-0000-0000B1CD0000}"/>
    <cellStyle name="Vírgula 4 2 4 2 2 4" xfId="17186" xr:uid="{00000000-0005-0000-0000-0000B2CD0000}"/>
    <cellStyle name="Vírgula 4 2 4 2 2 4 2" xfId="43379" xr:uid="{00000000-0005-0000-0000-0000B3CD0000}"/>
    <cellStyle name="Vírgula 4 2 4 2 2 5" xfId="36993" xr:uid="{00000000-0005-0000-0000-0000B4CD0000}"/>
    <cellStyle name="Vírgula 4 2 4 2 3" xfId="26057" xr:uid="{00000000-0005-0000-0000-0000B5CD0000}"/>
    <cellStyle name="Vírgula 4 2 4 2 3 2" xfId="52241" xr:uid="{00000000-0005-0000-0000-0000B6CD0000}"/>
    <cellStyle name="Vírgula 4 2 4 2 4" xfId="20143" xr:uid="{00000000-0005-0000-0000-0000B7CD0000}"/>
    <cellStyle name="Vírgula 4 2 4 2 4 2" xfId="46333" xr:uid="{00000000-0005-0000-0000-0000B8CD0000}"/>
    <cellStyle name="Vírgula 4 2 4 2 5" xfId="14093" xr:uid="{00000000-0005-0000-0000-0000B9CD0000}"/>
    <cellStyle name="Vírgula 4 2 4 2 5 2" xfId="40286" xr:uid="{00000000-0005-0000-0000-0000BACD0000}"/>
    <cellStyle name="Vírgula 4 2 4 2 6" xfId="33900" xr:uid="{00000000-0005-0000-0000-0000BBCD0000}"/>
    <cellStyle name="Vírgula 4 2 4 3" xfId="9332" xr:uid="{00000000-0005-0000-0000-0000BCCD0000}"/>
    <cellStyle name="Vírgula 4 2 4 3 2" xfId="27546" xr:uid="{00000000-0005-0000-0000-0000BDCD0000}"/>
    <cellStyle name="Vírgula 4 2 4 3 2 2" xfId="53727" xr:uid="{00000000-0005-0000-0000-0000BECD0000}"/>
    <cellStyle name="Vírgula 4 2 4 3 3" xfId="21632" xr:uid="{00000000-0005-0000-0000-0000BFCD0000}"/>
    <cellStyle name="Vírgula 4 2 4 3 3 2" xfId="47819" xr:uid="{00000000-0005-0000-0000-0000C0CD0000}"/>
    <cellStyle name="Vírgula 4 2 4 3 4" xfId="15718" xr:uid="{00000000-0005-0000-0000-0000C1CD0000}"/>
    <cellStyle name="Vírgula 4 2 4 3 4 2" xfId="41911" xr:uid="{00000000-0005-0000-0000-0000C2CD0000}"/>
    <cellStyle name="Vírgula 4 2 4 3 5" xfId="35525" xr:uid="{00000000-0005-0000-0000-0000C3CD0000}"/>
    <cellStyle name="Vírgula 4 2 4 4" xfId="6004" xr:uid="{00000000-0005-0000-0000-0000C4CD0000}"/>
    <cellStyle name="Vírgula 4 2 4 4 2" xfId="24589" xr:uid="{00000000-0005-0000-0000-0000C5CD0000}"/>
    <cellStyle name="Vírgula 4 2 4 4 2 2" xfId="50773" xr:uid="{00000000-0005-0000-0000-0000C6CD0000}"/>
    <cellStyle name="Vírgula 4 2 4 4 3" xfId="32200" xr:uid="{00000000-0005-0000-0000-0000C7CD0000}"/>
    <cellStyle name="Vírgula 4 2 4 5" xfId="18675" xr:uid="{00000000-0005-0000-0000-0000C8CD0000}"/>
    <cellStyle name="Vírgula 4 2 4 5 2" xfId="44865" xr:uid="{00000000-0005-0000-0000-0000C9CD0000}"/>
    <cellStyle name="Vírgula 4 2 4 6" xfId="12392" xr:uid="{00000000-0005-0000-0000-0000CACD0000}"/>
    <cellStyle name="Vírgula 4 2 4 6 2" xfId="38585" xr:uid="{00000000-0005-0000-0000-0000CBCD0000}"/>
    <cellStyle name="Vírgula 4 2 4 7" xfId="30503" xr:uid="{00000000-0005-0000-0000-0000CCCD0000}"/>
    <cellStyle name="Vírgula 4 2 5" xfId="4411" xr:uid="{00000000-0005-0000-0000-0000CDCD0000}"/>
    <cellStyle name="Vírgula 4 2 5 2" xfId="7813" xr:uid="{00000000-0005-0000-0000-0000CECD0000}"/>
    <cellStyle name="Vírgula 4 2 5 2 2" xfId="10862" xr:uid="{00000000-0005-0000-0000-0000CFCD0000}"/>
    <cellStyle name="Vírgula 4 2 5 2 2 2" xfId="29076" xr:uid="{00000000-0005-0000-0000-0000D0CD0000}"/>
    <cellStyle name="Vírgula 4 2 5 2 2 2 2" xfId="55257" xr:uid="{00000000-0005-0000-0000-0000D1CD0000}"/>
    <cellStyle name="Vírgula 4 2 5 2 2 3" xfId="23162" xr:uid="{00000000-0005-0000-0000-0000D2CD0000}"/>
    <cellStyle name="Vírgula 4 2 5 2 2 3 2" xfId="49349" xr:uid="{00000000-0005-0000-0000-0000D3CD0000}"/>
    <cellStyle name="Vírgula 4 2 5 2 2 4" xfId="17248" xr:uid="{00000000-0005-0000-0000-0000D4CD0000}"/>
    <cellStyle name="Vírgula 4 2 5 2 2 4 2" xfId="43441" xr:uid="{00000000-0005-0000-0000-0000D5CD0000}"/>
    <cellStyle name="Vírgula 4 2 5 2 2 5" xfId="37055" xr:uid="{00000000-0005-0000-0000-0000D6CD0000}"/>
    <cellStyle name="Vírgula 4 2 5 2 3" xfId="26119" xr:uid="{00000000-0005-0000-0000-0000D7CD0000}"/>
    <cellStyle name="Vírgula 4 2 5 2 3 2" xfId="52303" xr:uid="{00000000-0005-0000-0000-0000D8CD0000}"/>
    <cellStyle name="Vírgula 4 2 5 2 4" xfId="20205" xr:uid="{00000000-0005-0000-0000-0000D9CD0000}"/>
    <cellStyle name="Vírgula 4 2 5 2 4 2" xfId="46395" xr:uid="{00000000-0005-0000-0000-0000DACD0000}"/>
    <cellStyle name="Vírgula 4 2 5 2 5" xfId="14202" xr:uid="{00000000-0005-0000-0000-0000DBCD0000}"/>
    <cellStyle name="Vírgula 4 2 5 2 5 2" xfId="40395" xr:uid="{00000000-0005-0000-0000-0000DCCD0000}"/>
    <cellStyle name="Vírgula 4 2 5 2 6" xfId="34009" xr:uid="{00000000-0005-0000-0000-0000DDCD0000}"/>
    <cellStyle name="Vírgula 4 2 5 3" xfId="9394" xr:uid="{00000000-0005-0000-0000-0000DECD0000}"/>
    <cellStyle name="Vírgula 4 2 5 3 2" xfId="27608" xr:uid="{00000000-0005-0000-0000-0000DFCD0000}"/>
    <cellStyle name="Vírgula 4 2 5 3 2 2" xfId="53789" xr:uid="{00000000-0005-0000-0000-0000E0CD0000}"/>
    <cellStyle name="Vírgula 4 2 5 3 3" xfId="21694" xr:uid="{00000000-0005-0000-0000-0000E1CD0000}"/>
    <cellStyle name="Vírgula 4 2 5 3 3 2" xfId="47881" xr:uid="{00000000-0005-0000-0000-0000E2CD0000}"/>
    <cellStyle name="Vírgula 4 2 5 3 4" xfId="15780" xr:uid="{00000000-0005-0000-0000-0000E3CD0000}"/>
    <cellStyle name="Vírgula 4 2 5 3 4 2" xfId="41973" xr:uid="{00000000-0005-0000-0000-0000E4CD0000}"/>
    <cellStyle name="Vírgula 4 2 5 3 5" xfId="35587" xr:uid="{00000000-0005-0000-0000-0000E5CD0000}"/>
    <cellStyle name="Vírgula 4 2 5 4" xfId="6113" xr:uid="{00000000-0005-0000-0000-0000E6CD0000}"/>
    <cellStyle name="Vírgula 4 2 5 4 2" xfId="24651" xr:uid="{00000000-0005-0000-0000-0000E7CD0000}"/>
    <cellStyle name="Vírgula 4 2 5 4 2 2" xfId="50835" xr:uid="{00000000-0005-0000-0000-0000E8CD0000}"/>
    <cellStyle name="Vírgula 4 2 5 4 3" xfId="32309" xr:uid="{00000000-0005-0000-0000-0000E9CD0000}"/>
    <cellStyle name="Vírgula 4 2 5 5" xfId="18737" xr:uid="{00000000-0005-0000-0000-0000EACD0000}"/>
    <cellStyle name="Vírgula 4 2 5 5 2" xfId="44927" xr:uid="{00000000-0005-0000-0000-0000EBCD0000}"/>
    <cellStyle name="Vírgula 4 2 5 6" xfId="12501" xr:uid="{00000000-0005-0000-0000-0000ECCD0000}"/>
    <cellStyle name="Vírgula 4 2 5 6 2" xfId="38694" xr:uid="{00000000-0005-0000-0000-0000EDCD0000}"/>
    <cellStyle name="Vírgula 4 2 5 7" xfId="30611" xr:uid="{00000000-0005-0000-0000-0000EECD0000}"/>
    <cellStyle name="Vírgula 4 2 6" xfId="4519" xr:uid="{00000000-0005-0000-0000-0000EFCD0000}"/>
    <cellStyle name="Vírgula 4 2 6 2" xfId="7921" xr:uid="{00000000-0005-0000-0000-0000F0CD0000}"/>
    <cellStyle name="Vírgula 4 2 6 2 2" xfId="10924" xr:uid="{00000000-0005-0000-0000-0000F1CD0000}"/>
    <cellStyle name="Vírgula 4 2 6 2 2 2" xfId="29138" xr:uid="{00000000-0005-0000-0000-0000F2CD0000}"/>
    <cellStyle name="Vírgula 4 2 6 2 2 2 2" xfId="55319" xr:uid="{00000000-0005-0000-0000-0000F3CD0000}"/>
    <cellStyle name="Vírgula 4 2 6 2 2 3" xfId="23224" xr:uid="{00000000-0005-0000-0000-0000F4CD0000}"/>
    <cellStyle name="Vírgula 4 2 6 2 2 3 2" xfId="49411" xr:uid="{00000000-0005-0000-0000-0000F5CD0000}"/>
    <cellStyle name="Vírgula 4 2 6 2 2 4" xfId="17310" xr:uid="{00000000-0005-0000-0000-0000F6CD0000}"/>
    <cellStyle name="Vírgula 4 2 6 2 2 4 2" xfId="43503" xr:uid="{00000000-0005-0000-0000-0000F7CD0000}"/>
    <cellStyle name="Vírgula 4 2 6 2 2 5" xfId="37117" xr:uid="{00000000-0005-0000-0000-0000F8CD0000}"/>
    <cellStyle name="Vírgula 4 2 6 2 3" xfId="26181" xr:uid="{00000000-0005-0000-0000-0000F9CD0000}"/>
    <cellStyle name="Vírgula 4 2 6 2 3 2" xfId="52365" xr:uid="{00000000-0005-0000-0000-0000FACD0000}"/>
    <cellStyle name="Vírgula 4 2 6 2 4" xfId="20267" xr:uid="{00000000-0005-0000-0000-0000FBCD0000}"/>
    <cellStyle name="Vírgula 4 2 6 2 4 2" xfId="46457" xr:uid="{00000000-0005-0000-0000-0000FCCD0000}"/>
    <cellStyle name="Vírgula 4 2 6 2 5" xfId="14310" xr:uid="{00000000-0005-0000-0000-0000FDCD0000}"/>
    <cellStyle name="Vírgula 4 2 6 2 5 2" xfId="40503" xr:uid="{00000000-0005-0000-0000-0000FECD0000}"/>
    <cellStyle name="Vírgula 4 2 6 2 6" xfId="34117" xr:uid="{00000000-0005-0000-0000-0000FFCD0000}"/>
    <cellStyle name="Vírgula 4 2 6 3" xfId="9456" xr:uid="{00000000-0005-0000-0000-000000CE0000}"/>
    <cellStyle name="Vírgula 4 2 6 3 2" xfId="27670" xr:uid="{00000000-0005-0000-0000-000001CE0000}"/>
    <cellStyle name="Vírgula 4 2 6 3 2 2" xfId="53851" xr:uid="{00000000-0005-0000-0000-000002CE0000}"/>
    <cellStyle name="Vírgula 4 2 6 3 3" xfId="21756" xr:uid="{00000000-0005-0000-0000-000003CE0000}"/>
    <cellStyle name="Vírgula 4 2 6 3 3 2" xfId="47943" xr:uid="{00000000-0005-0000-0000-000004CE0000}"/>
    <cellStyle name="Vírgula 4 2 6 3 4" xfId="15842" xr:uid="{00000000-0005-0000-0000-000005CE0000}"/>
    <cellStyle name="Vírgula 4 2 6 3 4 2" xfId="42035" xr:uid="{00000000-0005-0000-0000-000006CE0000}"/>
    <cellStyle name="Vírgula 4 2 6 3 5" xfId="35649" xr:uid="{00000000-0005-0000-0000-000007CE0000}"/>
    <cellStyle name="Vírgula 4 2 6 4" xfId="6220" xr:uid="{00000000-0005-0000-0000-000008CE0000}"/>
    <cellStyle name="Vírgula 4 2 6 4 2" xfId="24713" xr:uid="{00000000-0005-0000-0000-000009CE0000}"/>
    <cellStyle name="Vírgula 4 2 6 4 2 2" xfId="50897" xr:uid="{00000000-0005-0000-0000-00000ACE0000}"/>
    <cellStyle name="Vírgula 4 2 6 4 3" xfId="32416" xr:uid="{00000000-0005-0000-0000-00000BCE0000}"/>
    <cellStyle name="Vírgula 4 2 6 5" xfId="18799" xr:uid="{00000000-0005-0000-0000-00000CCE0000}"/>
    <cellStyle name="Vírgula 4 2 6 5 2" xfId="44989" xr:uid="{00000000-0005-0000-0000-00000DCE0000}"/>
    <cellStyle name="Vírgula 4 2 6 6" xfId="12609" xr:uid="{00000000-0005-0000-0000-00000ECE0000}"/>
    <cellStyle name="Vírgula 4 2 6 6 2" xfId="38802" xr:uid="{00000000-0005-0000-0000-00000FCE0000}"/>
    <cellStyle name="Vírgula 4 2 6 7" xfId="30719" xr:uid="{00000000-0005-0000-0000-000010CE0000}"/>
    <cellStyle name="Vírgula 4 2 7" xfId="4767" xr:uid="{00000000-0005-0000-0000-000011CE0000}"/>
    <cellStyle name="Vírgula 4 2 7 2" xfId="6468" xr:uid="{00000000-0005-0000-0000-000012CE0000}"/>
    <cellStyle name="Vírgula 4 2 7 2 2" xfId="9619" xr:uid="{00000000-0005-0000-0000-000013CE0000}"/>
    <cellStyle name="Vírgula 4 2 7 2 2 2" xfId="27833" xr:uid="{00000000-0005-0000-0000-000014CE0000}"/>
    <cellStyle name="Vírgula 4 2 7 2 2 2 2" xfId="54014" xr:uid="{00000000-0005-0000-0000-000015CE0000}"/>
    <cellStyle name="Vírgula 4 2 7 2 2 3" xfId="21919" xr:uid="{00000000-0005-0000-0000-000016CE0000}"/>
    <cellStyle name="Vírgula 4 2 7 2 2 3 2" xfId="48106" xr:uid="{00000000-0005-0000-0000-000017CE0000}"/>
    <cellStyle name="Vírgula 4 2 7 2 2 4" xfId="16005" xr:uid="{00000000-0005-0000-0000-000018CE0000}"/>
    <cellStyle name="Vírgula 4 2 7 2 2 4 2" xfId="42198" xr:uid="{00000000-0005-0000-0000-000019CE0000}"/>
    <cellStyle name="Vírgula 4 2 7 2 2 5" xfId="35812" xr:uid="{00000000-0005-0000-0000-00001ACE0000}"/>
    <cellStyle name="Vírgula 4 2 7 2 3" xfId="24876" xr:uid="{00000000-0005-0000-0000-00001BCE0000}"/>
    <cellStyle name="Vírgula 4 2 7 2 3 2" xfId="51060" xr:uid="{00000000-0005-0000-0000-00001CCE0000}"/>
    <cellStyle name="Vírgula 4 2 7 2 4" xfId="18962" xr:uid="{00000000-0005-0000-0000-00001DCE0000}"/>
    <cellStyle name="Vírgula 4 2 7 2 4 2" xfId="45152" xr:uid="{00000000-0005-0000-0000-00001ECE0000}"/>
    <cellStyle name="Vírgula 4 2 7 2 5" xfId="12857" xr:uid="{00000000-0005-0000-0000-00001FCE0000}"/>
    <cellStyle name="Vírgula 4 2 7 2 5 2" xfId="39050" xr:uid="{00000000-0005-0000-0000-000020CE0000}"/>
    <cellStyle name="Vírgula 4 2 7 2 6" xfId="32664" xr:uid="{00000000-0005-0000-0000-000021CE0000}"/>
    <cellStyle name="Vírgula 4 2 7 3" xfId="8148" xr:uid="{00000000-0005-0000-0000-000022CE0000}"/>
    <cellStyle name="Vírgula 4 2 7 3 2" xfId="26362" xr:uid="{00000000-0005-0000-0000-000023CE0000}"/>
    <cellStyle name="Vírgula 4 2 7 3 2 2" xfId="52546" xr:uid="{00000000-0005-0000-0000-000024CE0000}"/>
    <cellStyle name="Vírgula 4 2 7 3 3" xfId="20448" xr:uid="{00000000-0005-0000-0000-000025CE0000}"/>
    <cellStyle name="Vírgula 4 2 7 3 3 2" xfId="46638" xr:uid="{00000000-0005-0000-0000-000026CE0000}"/>
    <cellStyle name="Vírgula 4 2 7 3 4" xfId="14537" xr:uid="{00000000-0005-0000-0000-000027CE0000}"/>
    <cellStyle name="Vírgula 4 2 7 3 4 2" xfId="40730" xr:uid="{00000000-0005-0000-0000-000028CE0000}"/>
    <cellStyle name="Vírgula 4 2 7 3 5" xfId="34344" xr:uid="{00000000-0005-0000-0000-000029CE0000}"/>
    <cellStyle name="Vírgula 4 2 7 4" xfId="23405" xr:uid="{00000000-0005-0000-0000-00002ACE0000}"/>
    <cellStyle name="Vírgula 4 2 7 4 2" xfId="49592" xr:uid="{00000000-0005-0000-0000-00002BCE0000}"/>
    <cellStyle name="Vírgula 4 2 7 5" xfId="17491" xr:uid="{00000000-0005-0000-0000-00002CCE0000}"/>
    <cellStyle name="Vírgula 4 2 7 5 2" xfId="43684" xr:uid="{00000000-0005-0000-0000-00002DCE0000}"/>
    <cellStyle name="Vírgula 4 2 7 6" xfId="11156" xr:uid="{00000000-0005-0000-0000-00002ECE0000}"/>
    <cellStyle name="Vírgula 4 2 7 6 2" xfId="37349" xr:uid="{00000000-0005-0000-0000-00002FCE0000}"/>
    <cellStyle name="Vírgula 4 2 7 7" xfId="30965" xr:uid="{00000000-0005-0000-0000-000030CE0000}"/>
    <cellStyle name="Vírgula 4 2 8" xfId="6329" xr:uid="{00000000-0005-0000-0000-000031CE0000}"/>
    <cellStyle name="Vírgula 4 2 8 2" xfId="9518" xr:uid="{00000000-0005-0000-0000-000032CE0000}"/>
    <cellStyle name="Vírgula 4 2 8 2 2" xfId="27732" xr:uid="{00000000-0005-0000-0000-000033CE0000}"/>
    <cellStyle name="Vírgula 4 2 8 2 2 2" xfId="53913" xr:uid="{00000000-0005-0000-0000-000034CE0000}"/>
    <cellStyle name="Vírgula 4 2 8 2 3" xfId="21818" xr:uid="{00000000-0005-0000-0000-000035CE0000}"/>
    <cellStyle name="Vírgula 4 2 8 2 3 2" xfId="48005" xr:uid="{00000000-0005-0000-0000-000036CE0000}"/>
    <cellStyle name="Vírgula 4 2 8 2 4" xfId="15904" xr:uid="{00000000-0005-0000-0000-000037CE0000}"/>
    <cellStyle name="Vírgula 4 2 8 2 4 2" xfId="42097" xr:uid="{00000000-0005-0000-0000-000038CE0000}"/>
    <cellStyle name="Vírgula 4 2 8 2 5" xfId="35711" xr:uid="{00000000-0005-0000-0000-000039CE0000}"/>
    <cellStyle name="Vírgula 4 2 8 3" xfId="24775" xr:uid="{00000000-0005-0000-0000-00003ACE0000}"/>
    <cellStyle name="Vírgula 4 2 8 3 2" xfId="50959" xr:uid="{00000000-0005-0000-0000-00003BCE0000}"/>
    <cellStyle name="Vírgula 4 2 8 4" xfId="18861" xr:uid="{00000000-0005-0000-0000-00003CCE0000}"/>
    <cellStyle name="Vírgula 4 2 8 4 2" xfId="45051" xr:uid="{00000000-0005-0000-0000-00003DCE0000}"/>
    <cellStyle name="Vírgula 4 2 8 5" xfId="12718" xr:uid="{00000000-0005-0000-0000-00003ECE0000}"/>
    <cellStyle name="Vírgula 4 2 8 5 2" xfId="38911" xr:uid="{00000000-0005-0000-0000-00003FCE0000}"/>
    <cellStyle name="Vírgula 4 2 8 6" xfId="32525" xr:uid="{00000000-0005-0000-0000-000040CE0000}"/>
    <cellStyle name="Vírgula 4 2 9" xfId="8021" xr:uid="{00000000-0005-0000-0000-000041CE0000}"/>
    <cellStyle name="Vírgula 4 2 9 2" xfId="10982" xr:uid="{00000000-0005-0000-0000-000042CE0000}"/>
    <cellStyle name="Vírgula 4 2 9 2 2" xfId="29196" xr:uid="{00000000-0005-0000-0000-000043CE0000}"/>
    <cellStyle name="Vírgula 4 2 9 2 2 2" xfId="55377" xr:uid="{00000000-0005-0000-0000-000044CE0000}"/>
    <cellStyle name="Vírgula 4 2 9 2 3" xfId="23282" xr:uid="{00000000-0005-0000-0000-000045CE0000}"/>
    <cellStyle name="Vírgula 4 2 9 2 3 2" xfId="49469" xr:uid="{00000000-0005-0000-0000-000046CE0000}"/>
    <cellStyle name="Vírgula 4 2 9 2 4" xfId="17368" xr:uid="{00000000-0005-0000-0000-000047CE0000}"/>
    <cellStyle name="Vírgula 4 2 9 2 4 2" xfId="43561" xr:uid="{00000000-0005-0000-0000-000048CE0000}"/>
    <cellStyle name="Vírgula 4 2 9 2 5" xfId="37175" xr:uid="{00000000-0005-0000-0000-000049CE0000}"/>
    <cellStyle name="Vírgula 4 2 9 3" xfId="26239" xr:uid="{00000000-0005-0000-0000-00004ACE0000}"/>
    <cellStyle name="Vírgula 4 2 9 3 2" xfId="52423" xr:uid="{00000000-0005-0000-0000-00004BCE0000}"/>
    <cellStyle name="Vírgula 4 2 9 4" xfId="20325" xr:uid="{00000000-0005-0000-0000-00004CCE0000}"/>
    <cellStyle name="Vírgula 4 2 9 4 2" xfId="46515" xr:uid="{00000000-0005-0000-0000-00004DCE0000}"/>
    <cellStyle name="Vírgula 4 2 9 5" xfId="14410" xr:uid="{00000000-0005-0000-0000-00004ECE0000}"/>
    <cellStyle name="Vírgula 4 2 9 5 2" xfId="40603" xr:uid="{00000000-0005-0000-0000-00004FCE0000}"/>
    <cellStyle name="Vírgula 4 2 9 6" xfId="34217" xr:uid="{00000000-0005-0000-0000-000050CE0000}"/>
    <cellStyle name="Vírgula 4 20" xfId="11002" xr:uid="{00000000-0005-0000-0000-000051CE0000}"/>
    <cellStyle name="Vírgula 4 20 2" xfId="37195" xr:uid="{00000000-0005-0000-0000-000052CE0000}"/>
    <cellStyle name="Vírgula 4 21" xfId="29207" xr:uid="{00000000-0005-0000-0000-000053CE0000}"/>
    <cellStyle name="Vírgula 4 3" xfId="306" xr:uid="{00000000-0005-0000-0000-000054CE0000}"/>
    <cellStyle name="Vírgula 4 3 10" xfId="4646" xr:uid="{00000000-0005-0000-0000-000055CE0000}"/>
    <cellStyle name="Vírgula 4 3 10 2" xfId="23315" xr:uid="{00000000-0005-0000-0000-000056CE0000}"/>
    <cellStyle name="Vírgula 4 3 10 2 2" xfId="49502" xr:uid="{00000000-0005-0000-0000-000057CE0000}"/>
    <cellStyle name="Vírgula 4 3 10 3" xfId="30846" xr:uid="{00000000-0005-0000-0000-000058CE0000}"/>
    <cellStyle name="Vírgula 4 3 11" xfId="17401" xr:uid="{00000000-0005-0000-0000-000059CE0000}"/>
    <cellStyle name="Vírgula 4 3 11 2" xfId="43594" xr:uid="{00000000-0005-0000-0000-00005ACE0000}"/>
    <cellStyle name="Vírgula 4 3 12" xfId="11037" xr:uid="{00000000-0005-0000-0000-00005BCE0000}"/>
    <cellStyle name="Vírgula 4 3 12 2" xfId="37230" xr:uid="{00000000-0005-0000-0000-00005CCE0000}"/>
    <cellStyle name="Vírgula 4 3 13" xfId="29298" xr:uid="{00000000-0005-0000-0000-00005DCE0000}"/>
    <cellStyle name="Vírgula 4 3 2" xfId="770" xr:uid="{00000000-0005-0000-0000-00005ECE0000}"/>
    <cellStyle name="Vírgula 4 3 2 2" xfId="6641" xr:uid="{00000000-0005-0000-0000-00005FCE0000}"/>
    <cellStyle name="Vírgula 4 3 2 2 2" xfId="9788" xr:uid="{00000000-0005-0000-0000-000060CE0000}"/>
    <cellStyle name="Vírgula 4 3 2 2 2 2" xfId="28002" xr:uid="{00000000-0005-0000-0000-000061CE0000}"/>
    <cellStyle name="Vírgula 4 3 2 2 2 2 2" xfId="54183" xr:uid="{00000000-0005-0000-0000-000062CE0000}"/>
    <cellStyle name="Vírgula 4 3 2 2 2 3" xfId="22088" xr:uid="{00000000-0005-0000-0000-000063CE0000}"/>
    <cellStyle name="Vírgula 4 3 2 2 2 3 2" xfId="48275" xr:uid="{00000000-0005-0000-0000-000064CE0000}"/>
    <cellStyle name="Vírgula 4 3 2 2 2 4" xfId="16174" xr:uid="{00000000-0005-0000-0000-000065CE0000}"/>
    <cellStyle name="Vírgula 4 3 2 2 2 4 2" xfId="42367" xr:uid="{00000000-0005-0000-0000-000066CE0000}"/>
    <cellStyle name="Vírgula 4 3 2 2 2 5" xfId="35981" xr:uid="{00000000-0005-0000-0000-000067CE0000}"/>
    <cellStyle name="Vírgula 4 3 2 2 3" xfId="25045" xr:uid="{00000000-0005-0000-0000-000068CE0000}"/>
    <cellStyle name="Vírgula 4 3 2 2 3 2" xfId="51229" xr:uid="{00000000-0005-0000-0000-000069CE0000}"/>
    <cellStyle name="Vírgula 4 3 2 2 4" xfId="19131" xr:uid="{00000000-0005-0000-0000-00006ACE0000}"/>
    <cellStyle name="Vírgula 4 3 2 2 4 2" xfId="45321" xr:uid="{00000000-0005-0000-0000-00006BCE0000}"/>
    <cellStyle name="Vírgula 4 3 2 2 5" xfId="13030" xr:uid="{00000000-0005-0000-0000-00006CCE0000}"/>
    <cellStyle name="Vírgula 4 3 2 2 5 2" xfId="39223" xr:uid="{00000000-0005-0000-0000-00006DCE0000}"/>
    <cellStyle name="Vírgula 4 3 2 2 6" xfId="32837" xr:uid="{00000000-0005-0000-0000-00006ECE0000}"/>
    <cellStyle name="Vírgula 4 3 2 3" xfId="8320" xr:uid="{00000000-0005-0000-0000-00006FCE0000}"/>
    <cellStyle name="Vírgula 4 3 2 3 2" xfId="26534" xr:uid="{00000000-0005-0000-0000-000070CE0000}"/>
    <cellStyle name="Vírgula 4 3 2 3 2 2" xfId="52715" xr:uid="{00000000-0005-0000-0000-000071CE0000}"/>
    <cellStyle name="Vírgula 4 3 2 3 3" xfId="20620" xr:uid="{00000000-0005-0000-0000-000072CE0000}"/>
    <cellStyle name="Vírgula 4 3 2 3 3 2" xfId="46807" xr:uid="{00000000-0005-0000-0000-000073CE0000}"/>
    <cellStyle name="Vírgula 4 3 2 3 4" xfId="14706" xr:uid="{00000000-0005-0000-0000-000074CE0000}"/>
    <cellStyle name="Vírgula 4 3 2 3 4 2" xfId="40899" xr:uid="{00000000-0005-0000-0000-000075CE0000}"/>
    <cellStyle name="Vírgula 4 3 2 3 5" xfId="34513" xr:uid="{00000000-0005-0000-0000-000076CE0000}"/>
    <cellStyle name="Vírgula 4 3 2 4" xfId="4942" xr:uid="{00000000-0005-0000-0000-000077CE0000}"/>
    <cellStyle name="Vírgula 4 3 2 4 2" xfId="23577" xr:uid="{00000000-0005-0000-0000-000078CE0000}"/>
    <cellStyle name="Vírgula 4 3 2 4 2 2" xfId="49761" xr:uid="{00000000-0005-0000-0000-000079CE0000}"/>
    <cellStyle name="Vírgula 4 3 2 4 3" xfId="31138" xr:uid="{00000000-0005-0000-0000-00007ACE0000}"/>
    <cellStyle name="Vírgula 4 3 2 5" xfId="17663" xr:uid="{00000000-0005-0000-0000-00007BCE0000}"/>
    <cellStyle name="Vírgula 4 3 2 5 2" xfId="43853" xr:uid="{00000000-0005-0000-0000-00007CCE0000}"/>
    <cellStyle name="Vírgula 4 3 2 6" xfId="11329" xr:uid="{00000000-0005-0000-0000-00007DCE0000}"/>
    <cellStyle name="Vírgula 4 3 2 6 2" xfId="37522" xr:uid="{00000000-0005-0000-0000-00007ECE0000}"/>
    <cellStyle name="Vírgula 4 3 2 7" xfId="29440" xr:uid="{00000000-0005-0000-0000-00007FCE0000}"/>
    <cellStyle name="Vírgula 4 3 3" xfId="4246" xr:uid="{00000000-0005-0000-0000-000080CE0000}"/>
    <cellStyle name="Vírgula 4 3 3 2" xfId="7647" xr:uid="{00000000-0005-0000-0000-000081CE0000}"/>
    <cellStyle name="Vírgula 4 3 3 2 2" xfId="10768" xr:uid="{00000000-0005-0000-0000-000082CE0000}"/>
    <cellStyle name="Vírgula 4 3 3 2 2 2" xfId="28982" xr:uid="{00000000-0005-0000-0000-000083CE0000}"/>
    <cellStyle name="Vírgula 4 3 3 2 2 2 2" xfId="55163" xr:uid="{00000000-0005-0000-0000-000084CE0000}"/>
    <cellStyle name="Vírgula 4 3 3 2 2 3" xfId="23068" xr:uid="{00000000-0005-0000-0000-000085CE0000}"/>
    <cellStyle name="Vírgula 4 3 3 2 2 3 2" xfId="49255" xr:uid="{00000000-0005-0000-0000-000086CE0000}"/>
    <cellStyle name="Vírgula 4 3 3 2 2 4" xfId="17154" xr:uid="{00000000-0005-0000-0000-000087CE0000}"/>
    <cellStyle name="Vírgula 4 3 3 2 2 4 2" xfId="43347" xr:uid="{00000000-0005-0000-0000-000088CE0000}"/>
    <cellStyle name="Vírgula 4 3 3 2 2 5" xfId="36961" xr:uid="{00000000-0005-0000-0000-000089CE0000}"/>
    <cellStyle name="Vírgula 4 3 3 2 3" xfId="26025" xr:uid="{00000000-0005-0000-0000-00008ACE0000}"/>
    <cellStyle name="Vírgula 4 3 3 2 3 2" xfId="52209" xr:uid="{00000000-0005-0000-0000-00008BCE0000}"/>
    <cellStyle name="Vírgula 4 3 3 2 4" xfId="20111" xr:uid="{00000000-0005-0000-0000-00008CCE0000}"/>
    <cellStyle name="Vírgula 4 3 3 2 4 2" xfId="46301" xr:uid="{00000000-0005-0000-0000-00008DCE0000}"/>
    <cellStyle name="Vírgula 4 3 3 2 5" xfId="14036" xr:uid="{00000000-0005-0000-0000-00008ECE0000}"/>
    <cellStyle name="Vírgula 4 3 3 2 5 2" xfId="40229" xr:uid="{00000000-0005-0000-0000-00008FCE0000}"/>
    <cellStyle name="Vírgula 4 3 3 2 6" xfId="33843" xr:uid="{00000000-0005-0000-0000-000090CE0000}"/>
    <cellStyle name="Vírgula 4 3 3 3" xfId="9300" xr:uid="{00000000-0005-0000-0000-000091CE0000}"/>
    <cellStyle name="Vírgula 4 3 3 3 2" xfId="27514" xr:uid="{00000000-0005-0000-0000-000092CE0000}"/>
    <cellStyle name="Vírgula 4 3 3 3 2 2" xfId="53695" xr:uid="{00000000-0005-0000-0000-000093CE0000}"/>
    <cellStyle name="Vírgula 4 3 3 3 3" xfId="21600" xr:uid="{00000000-0005-0000-0000-000094CE0000}"/>
    <cellStyle name="Vírgula 4 3 3 3 3 2" xfId="47787" xr:uid="{00000000-0005-0000-0000-000095CE0000}"/>
    <cellStyle name="Vírgula 4 3 3 3 4" xfId="15686" xr:uid="{00000000-0005-0000-0000-000096CE0000}"/>
    <cellStyle name="Vírgula 4 3 3 3 4 2" xfId="41879" xr:uid="{00000000-0005-0000-0000-000097CE0000}"/>
    <cellStyle name="Vírgula 4 3 3 3 5" xfId="35493" xr:uid="{00000000-0005-0000-0000-000098CE0000}"/>
    <cellStyle name="Vírgula 4 3 3 4" xfId="5947" xr:uid="{00000000-0005-0000-0000-000099CE0000}"/>
    <cellStyle name="Vírgula 4 3 3 4 2" xfId="24557" xr:uid="{00000000-0005-0000-0000-00009ACE0000}"/>
    <cellStyle name="Vírgula 4 3 3 4 2 2" xfId="50741" xr:uid="{00000000-0005-0000-0000-00009BCE0000}"/>
    <cellStyle name="Vírgula 4 3 3 4 3" xfId="32143" xr:uid="{00000000-0005-0000-0000-00009CCE0000}"/>
    <cellStyle name="Vírgula 4 3 3 5" xfId="18643" xr:uid="{00000000-0005-0000-0000-00009DCE0000}"/>
    <cellStyle name="Vírgula 4 3 3 5 2" xfId="44833" xr:uid="{00000000-0005-0000-0000-00009ECE0000}"/>
    <cellStyle name="Vírgula 4 3 3 6" xfId="12335" xr:uid="{00000000-0005-0000-0000-00009FCE0000}"/>
    <cellStyle name="Vírgula 4 3 3 6 2" xfId="38528" xr:uid="{00000000-0005-0000-0000-0000A0CE0000}"/>
    <cellStyle name="Vírgula 4 3 3 7" xfId="30446" xr:uid="{00000000-0005-0000-0000-0000A1CE0000}"/>
    <cellStyle name="Vírgula 4 3 4" xfId="4323" xr:uid="{00000000-0005-0000-0000-0000A2CE0000}"/>
    <cellStyle name="Vírgula 4 3 4 2" xfId="7724" xr:uid="{00000000-0005-0000-0000-0000A3CE0000}"/>
    <cellStyle name="Vírgula 4 3 4 2 2" xfId="10811" xr:uid="{00000000-0005-0000-0000-0000A4CE0000}"/>
    <cellStyle name="Vírgula 4 3 4 2 2 2" xfId="29025" xr:uid="{00000000-0005-0000-0000-0000A5CE0000}"/>
    <cellStyle name="Vírgula 4 3 4 2 2 2 2" xfId="55206" xr:uid="{00000000-0005-0000-0000-0000A6CE0000}"/>
    <cellStyle name="Vírgula 4 3 4 2 2 3" xfId="23111" xr:uid="{00000000-0005-0000-0000-0000A7CE0000}"/>
    <cellStyle name="Vírgula 4 3 4 2 2 3 2" xfId="49298" xr:uid="{00000000-0005-0000-0000-0000A8CE0000}"/>
    <cellStyle name="Vírgula 4 3 4 2 2 4" xfId="17197" xr:uid="{00000000-0005-0000-0000-0000A9CE0000}"/>
    <cellStyle name="Vírgula 4 3 4 2 2 4 2" xfId="43390" xr:uid="{00000000-0005-0000-0000-0000AACE0000}"/>
    <cellStyle name="Vírgula 4 3 4 2 2 5" xfId="37004" xr:uid="{00000000-0005-0000-0000-0000ABCE0000}"/>
    <cellStyle name="Vírgula 4 3 4 2 3" xfId="26068" xr:uid="{00000000-0005-0000-0000-0000ACCE0000}"/>
    <cellStyle name="Vírgula 4 3 4 2 3 2" xfId="52252" xr:uid="{00000000-0005-0000-0000-0000ADCE0000}"/>
    <cellStyle name="Vírgula 4 3 4 2 4" xfId="20154" xr:uid="{00000000-0005-0000-0000-0000AECE0000}"/>
    <cellStyle name="Vírgula 4 3 4 2 4 2" xfId="46344" xr:uid="{00000000-0005-0000-0000-0000AFCE0000}"/>
    <cellStyle name="Vírgula 4 3 4 2 5" xfId="14113" xr:uid="{00000000-0005-0000-0000-0000B0CE0000}"/>
    <cellStyle name="Vírgula 4 3 4 2 5 2" xfId="40306" xr:uid="{00000000-0005-0000-0000-0000B1CE0000}"/>
    <cellStyle name="Vírgula 4 3 4 2 6" xfId="33920" xr:uid="{00000000-0005-0000-0000-0000B2CE0000}"/>
    <cellStyle name="Vírgula 4 3 4 3" xfId="9343" xr:uid="{00000000-0005-0000-0000-0000B3CE0000}"/>
    <cellStyle name="Vírgula 4 3 4 3 2" xfId="27557" xr:uid="{00000000-0005-0000-0000-0000B4CE0000}"/>
    <cellStyle name="Vírgula 4 3 4 3 2 2" xfId="53738" xr:uid="{00000000-0005-0000-0000-0000B5CE0000}"/>
    <cellStyle name="Vírgula 4 3 4 3 3" xfId="21643" xr:uid="{00000000-0005-0000-0000-0000B6CE0000}"/>
    <cellStyle name="Vírgula 4 3 4 3 3 2" xfId="47830" xr:uid="{00000000-0005-0000-0000-0000B7CE0000}"/>
    <cellStyle name="Vírgula 4 3 4 3 4" xfId="15729" xr:uid="{00000000-0005-0000-0000-0000B8CE0000}"/>
    <cellStyle name="Vírgula 4 3 4 3 4 2" xfId="41922" xr:uid="{00000000-0005-0000-0000-0000B9CE0000}"/>
    <cellStyle name="Vírgula 4 3 4 3 5" xfId="35536" xr:uid="{00000000-0005-0000-0000-0000BACE0000}"/>
    <cellStyle name="Vírgula 4 3 4 4" xfId="6024" xr:uid="{00000000-0005-0000-0000-0000BBCE0000}"/>
    <cellStyle name="Vírgula 4 3 4 4 2" xfId="24600" xr:uid="{00000000-0005-0000-0000-0000BCCE0000}"/>
    <cellStyle name="Vírgula 4 3 4 4 2 2" xfId="50784" xr:uid="{00000000-0005-0000-0000-0000BDCE0000}"/>
    <cellStyle name="Vírgula 4 3 4 4 3" xfId="32220" xr:uid="{00000000-0005-0000-0000-0000BECE0000}"/>
    <cellStyle name="Vírgula 4 3 4 5" xfId="18686" xr:uid="{00000000-0005-0000-0000-0000BFCE0000}"/>
    <cellStyle name="Vírgula 4 3 4 5 2" xfId="44876" xr:uid="{00000000-0005-0000-0000-0000C0CE0000}"/>
    <cellStyle name="Vírgula 4 3 4 6" xfId="12412" xr:uid="{00000000-0005-0000-0000-0000C1CE0000}"/>
    <cellStyle name="Vírgula 4 3 4 6 2" xfId="38605" xr:uid="{00000000-0005-0000-0000-0000C2CE0000}"/>
    <cellStyle name="Vírgula 4 3 4 7" xfId="30523" xr:uid="{00000000-0005-0000-0000-0000C3CE0000}"/>
    <cellStyle name="Vírgula 4 3 5" xfId="4431" xr:uid="{00000000-0005-0000-0000-0000C4CE0000}"/>
    <cellStyle name="Vírgula 4 3 5 2" xfId="7833" xr:uid="{00000000-0005-0000-0000-0000C5CE0000}"/>
    <cellStyle name="Vírgula 4 3 5 2 2" xfId="10873" xr:uid="{00000000-0005-0000-0000-0000C6CE0000}"/>
    <cellStyle name="Vírgula 4 3 5 2 2 2" xfId="29087" xr:uid="{00000000-0005-0000-0000-0000C7CE0000}"/>
    <cellStyle name="Vírgula 4 3 5 2 2 2 2" xfId="55268" xr:uid="{00000000-0005-0000-0000-0000C8CE0000}"/>
    <cellStyle name="Vírgula 4 3 5 2 2 3" xfId="23173" xr:uid="{00000000-0005-0000-0000-0000C9CE0000}"/>
    <cellStyle name="Vírgula 4 3 5 2 2 3 2" xfId="49360" xr:uid="{00000000-0005-0000-0000-0000CACE0000}"/>
    <cellStyle name="Vírgula 4 3 5 2 2 4" xfId="17259" xr:uid="{00000000-0005-0000-0000-0000CBCE0000}"/>
    <cellStyle name="Vírgula 4 3 5 2 2 4 2" xfId="43452" xr:uid="{00000000-0005-0000-0000-0000CCCE0000}"/>
    <cellStyle name="Vírgula 4 3 5 2 2 5" xfId="37066" xr:uid="{00000000-0005-0000-0000-0000CDCE0000}"/>
    <cellStyle name="Vírgula 4 3 5 2 3" xfId="26130" xr:uid="{00000000-0005-0000-0000-0000CECE0000}"/>
    <cellStyle name="Vírgula 4 3 5 2 3 2" xfId="52314" xr:uid="{00000000-0005-0000-0000-0000CFCE0000}"/>
    <cellStyle name="Vírgula 4 3 5 2 4" xfId="20216" xr:uid="{00000000-0005-0000-0000-0000D0CE0000}"/>
    <cellStyle name="Vírgula 4 3 5 2 4 2" xfId="46406" xr:uid="{00000000-0005-0000-0000-0000D1CE0000}"/>
    <cellStyle name="Vírgula 4 3 5 2 5" xfId="14222" xr:uid="{00000000-0005-0000-0000-0000D2CE0000}"/>
    <cellStyle name="Vírgula 4 3 5 2 5 2" xfId="40415" xr:uid="{00000000-0005-0000-0000-0000D3CE0000}"/>
    <cellStyle name="Vírgula 4 3 5 2 6" xfId="34029" xr:uid="{00000000-0005-0000-0000-0000D4CE0000}"/>
    <cellStyle name="Vírgula 4 3 5 3" xfId="9405" xr:uid="{00000000-0005-0000-0000-0000D5CE0000}"/>
    <cellStyle name="Vírgula 4 3 5 3 2" xfId="27619" xr:uid="{00000000-0005-0000-0000-0000D6CE0000}"/>
    <cellStyle name="Vírgula 4 3 5 3 2 2" xfId="53800" xr:uid="{00000000-0005-0000-0000-0000D7CE0000}"/>
    <cellStyle name="Vírgula 4 3 5 3 3" xfId="21705" xr:uid="{00000000-0005-0000-0000-0000D8CE0000}"/>
    <cellStyle name="Vírgula 4 3 5 3 3 2" xfId="47892" xr:uid="{00000000-0005-0000-0000-0000D9CE0000}"/>
    <cellStyle name="Vírgula 4 3 5 3 4" xfId="15791" xr:uid="{00000000-0005-0000-0000-0000DACE0000}"/>
    <cellStyle name="Vírgula 4 3 5 3 4 2" xfId="41984" xr:uid="{00000000-0005-0000-0000-0000DBCE0000}"/>
    <cellStyle name="Vírgula 4 3 5 3 5" xfId="35598" xr:uid="{00000000-0005-0000-0000-0000DCCE0000}"/>
    <cellStyle name="Vírgula 4 3 5 4" xfId="6133" xr:uid="{00000000-0005-0000-0000-0000DDCE0000}"/>
    <cellStyle name="Vírgula 4 3 5 4 2" xfId="24662" xr:uid="{00000000-0005-0000-0000-0000DECE0000}"/>
    <cellStyle name="Vírgula 4 3 5 4 2 2" xfId="50846" xr:uid="{00000000-0005-0000-0000-0000DFCE0000}"/>
    <cellStyle name="Vírgula 4 3 5 4 3" xfId="32329" xr:uid="{00000000-0005-0000-0000-0000E0CE0000}"/>
    <cellStyle name="Vírgula 4 3 5 5" xfId="18748" xr:uid="{00000000-0005-0000-0000-0000E1CE0000}"/>
    <cellStyle name="Vírgula 4 3 5 5 2" xfId="44938" xr:uid="{00000000-0005-0000-0000-0000E2CE0000}"/>
    <cellStyle name="Vírgula 4 3 5 6" xfId="12521" xr:uid="{00000000-0005-0000-0000-0000E3CE0000}"/>
    <cellStyle name="Vírgula 4 3 5 6 2" xfId="38714" xr:uid="{00000000-0005-0000-0000-0000E4CE0000}"/>
    <cellStyle name="Vírgula 4 3 5 7" xfId="30631" xr:uid="{00000000-0005-0000-0000-0000E5CE0000}"/>
    <cellStyle name="Vírgula 4 3 6" xfId="4539" xr:uid="{00000000-0005-0000-0000-0000E6CE0000}"/>
    <cellStyle name="Vírgula 4 3 6 2" xfId="7941" xr:uid="{00000000-0005-0000-0000-0000E7CE0000}"/>
    <cellStyle name="Vírgula 4 3 6 2 2" xfId="10935" xr:uid="{00000000-0005-0000-0000-0000E8CE0000}"/>
    <cellStyle name="Vírgula 4 3 6 2 2 2" xfId="29149" xr:uid="{00000000-0005-0000-0000-0000E9CE0000}"/>
    <cellStyle name="Vírgula 4 3 6 2 2 2 2" xfId="55330" xr:uid="{00000000-0005-0000-0000-0000EACE0000}"/>
    <cellStyle name="Vírgula 4 3 6 2 2 3" xfId="23235" xr:uid="{00000000-0005-0000-0000-0000EBCE0000}"/>
    <cellStyle name="Vírgula 4 3 6 2 2 3 2" xfId="49422" xr:uid="{00000000-0005-0000-0000-0000ECCE0000}"/>
    <cellStyle name="Vírgula 4 3 6 2 2 4" xfId="17321" xr:uid="{00000000-0005-0000-0000-0000EDCE0000}"/>
    <cellStyle name="Vírgula 4 3 6 2 2 4 2" xfId="43514" xr:uid="{00000000-0005-0000-0000-0000EECE0000}"/>
    <cellStyle name="Vírgula 4 3 6 2 2 5" xfId="37128" xr:uid="{00000000-0005-0000-0000-0000EFCE0000}"/>
    <cellStyle name="Vírgula 4 3 6 2 3" xfId="26192" xr:uid="{00000000-0005-0000-0000-0000F0CE0000}"/>
    <cellStyle name="Vírgula 4 3 6 2 3 2" xfId="52376" xr:uid="{00000000-0005-0000-0000-0000F1CE0000}"/>
    <cellStyle name="Vírgula 4 3 6 2 4" xfId="20278" xr:uid="{00000000-0005-0000-0000-0000F2CE0000}"/>
    <cellStyle name="Vírgula 4 3 6 2 4 2" xfId="46468" xr:uid="{00000000-0005-0000-0000-0000F3CE0000}"/>
    <cellStyle name="Vírgula 4 3 6 2 5" xfId="14330" xr:uid="{00000000-0005-0000-0000-0000F4CE0000}"/>
    <cellStyle name="Vírgula 4 3 6 2 5 2" xfId="40523" xr:uid="{00000000-0005-0000-0000-0000F5CE0000}"/>
    <cellStyle name="Vírgula 4 3 6 2 6" xfId="34137" xr:uid="{00000000-0005-0000-0000-0000F6CE0000}"/>
    <cellStyle name="Vírgula 4 3 6 3" xfId="9467" xr:uid="{00000000-0005-0000-0000-0000F7CE0000}"/>
    <cellStyle name="Vírgula 4 3 6 3 2" xfId="27681" xr:uid="{00000000-0005-0000-0000-0000F8CE0000}"/>
    <cellStyle name="Vírgula 4 3 6 3 2 2" xfId="53862" xr:uid="{00000000-0005-0000-0000-0000F9CE0000}"/>
    <cellStyle name="Vírgula 4 3 6 3 3" xfId="21767" xr:uid="{00000000-0005-0000-0000-0000FACE0000}"/>
    <cellStyle name="Vírgula 4 3 6 3 3 2" xfId="47954" xr:uid="{00000000-0005-0000-0000-0000FBCE0000}"/>
    <cellStyle name="Vírgula 4 3 6 3 4" xfId="15853" xr:uid="{00000000-0005-0000-0000-0000FCCE0000}"/>
    <cellStyle name="Vírgula 4 3 6 3 4 2" xfId="42046" xr:uid="{00000000-0005-0000-0000-0000FDCE0000}"/>
    <cellStyle name="Vírgula 4 3 6 3 5" xfId="35660" xr:uid="{00000000-0005-0000-0000-0000FECE0000}"/>
    <cellStyle name="Vírgula 4 3 6 4" xfId="6240" xr:uid="{00000000-0005-0000-0000-0000FFCE0000}"/>
    <cellStyle name="Vírgula 4 3 6 4 2" xfId="24724" xr:uid="{00000000-0005-0000-0000-000000CF0000}"/>
    <cellStyle name="Vírgula 4 3 6 4 2 2" xfId="50908" xr:uid="{00000000-0005-0000-0000-000001CF0000}"/>
    <cellStyle name="Vírgula 4 3 6 4 3" xfId="32436" xr:uid="{00000000-0005-0000-0000-000002CF0000}"/>
    <cellStyle name="Vírgula 4 3 6 5" xfId="18810" xr:uid="{00000000-0005-0000-0000-000003CF0000}"/>
    <cellStyle name="Vírgula 4 3 6 5 2" xfId="45000" xr:uid="{00000000-0005-0000-0000-000004CF0000}"/>
    <cellStyle name="Vírgula 4 3 6 6" xfId="12629" xr:uid="{00000000-0005-0000-0000-000005CF0000}"/>
    <cellStyle name="Vírgula 4 3 6 6 2" xfId="38822" xr:uid="{00000000-0005-0000-0000-000006CF0000}"/>
    <cellStyle name="Vírgula 4 3 6 7" xfId="30739" xr:uid="{00000000-0005-0000-0000-000007CF0000}"/>
    <cellStyle name="Vírgula 4 3 7" xfId="4798" xr:uid="{00000000-0005-0000-0000-000008CF0000}"/>
    <cellStyle name="Vírgula 4 3 7 2" xfId="6499" xr:uid="{00000000-0005-0000-0000-000009CF0000}"/>
    <cellStyle name="Vírgula 4 3 7 2 2" xfId="9647" xr:uid="{00000000-0005-0000-0000-00000ACF0000}"/>
    <cellStyle name="Vírgula 4 3 7 2 2 2" xfId="27861" xr:uid="{00000000-0005-0000-0000-00000BCF0000}"/>
    <cellStyle name="Vírgula 4 3 7 2 2 2 2" xfId="54042" xr:uid="{00000000-0005-0000-0000-00000CCF0000}"/>
    <cellStyle name="Vírgula 4 3 7 2 2 3" xfId="21947" xr:uid="{00000000-0005-0000-0000-00000DCF0000}"/>
    <cellStyle name="Vírgula 4 3 7 2 2 3 2" xfId="48134" xr:uid="{00000000-0005-0000-0000-00000ECF0000}"/>
    <cellStyle name="Vírgula 4 3 7 2 2 4" xfId="16033" xr:uid="{00000000-0005-0000-0000-00000FCF0000}"/>
    <cellStyle name="Vírgula 4 3 7 2 2 4 2" xfId="42226" xr:uid="{00000000-0005-0000-0000-000010CF0000}"/>
    <cellStyle name="Vírgula 4 3 7 2 2 5" xfId="35840" xr:uid="{00000000-0005-0000-0000-000011CF0000}"/>
    <cellStyle name="Vírgula 4 3 7 2 3" xfId="24904" xr:uid="{00000000-0005-0000-0000-000012CF0000}"/>
    <cellStyle name="Vírgula 4 3 7 2 3 2" xfId="51088" xr:uid="{00000000-0005-0000-0000-000013CF0000}"/>
    <cellStyle name="Vírgula 4 3 7 2 4" xfId="18990" xr:uid="{00000000-0005-0000-0000-000014CF0000}"/>
    <cellStyle name="Vírgula 4 3 7 2 4 2" xfId="45180" xr:uid="{00000000-0005-0000-0000-000015CF0000}"/>
    <cellStyle name="Vírgula 4 3 7 2 5" xfId="12888" xr:uid="{00000000-0005-0000-0000-000016CF0000}"/>
    <cellStyle name="Vírgula 4 3 7 2 5 2" xfId="39081" xr:uid="{00000000-0005-0000-0000-000017CF0000}"/>
    <cellStyle name="Vírgula 4 3 7 2 6" xfId="32695" xr:uid="{00000000-0005-0000-0000-000018CF0000}"/>
    <cellStyle name="Vírgula 4 3 7 3" xfId="8176" xr:uid="{00000000-0005-0000-0000-000019CF0000}"/>
    <cellStyle name="Vírgula 4 3 7 3 2" xfId="26390" xr:uid="{00000000-0005-0000-0000-00001ACF0000}"/>
    <cellStyle name="Vírgula 4 3 7 3 2 2" xfId="52574" xr:uid="{00000000-0005-0000-0000-00001BCF0000}"/>
    <cellStyle name="Vírgula 4 3 7 3 3" xfId="20476" xr:uid="{00000000-0005-0000-0000-00001CCF0000}"/>
    <cellStyle name="Vírgula 4 3 7 3 3 2" xfId="46666" xr:uid="{00000000-0005-0000-0000-00001DCF0000}"/>
    <cellStyle name="Vírgula 4 3 7 3 4" xfId="14565" xr:uid="{00000000-0005-0000-0000-00001ECF0000}"/>
    <cellStyle name="Vírgula 4 3 7 3 4 2" xfId="40758" xr:uid="{00000000-0005-0000-0000-00001FCF0000}"/>
    <cellStyle name="Vírgula 4 3 7 3 5" xfId="34372" xr:uid="{00000000-0005-0000-0000-000020CF0000}"/>
    <cellStyle name="Vírgula 4 3 7 4" xfId="23433" xr:uid="{00000000-0005-0000-0000-000021CF0000}"/>
    <cellStyle name="Vírgula 4 3 7 4 2" xfId="49620" xr:uid="{00000000-0005-0000-0000-000022CF0000}"/>
    <cellStyle name="Vírgula 4 3 7 5" xfId="17519" xr:uid="{00000000-0005-0000-0000-000023CF0000}"/>
    <cellStyle name="Vírgula 4 3 7 5 2" xfId="43712" xr:uid="{00000000-0005-0000-0000-000024CF0000}"/>
    <cellStyle name="Vírgula 4 3 7 6" xfId="11187" xr:uid="{00000000-0005-0000-0000-000025CF0000}"/>
    <cellStyle name="Vírgula 4 3 7 6 2" xfId="37380" xr:uid="{00000000-0005-0000-0000-000026CF0000}"/>
    <cellStyle name="Vírgula 4 3 7 7" xfId="30996" xr:uid="{00000000-0005-0000-0000-000027CF0000}"/>
    <cellStyle name="Vírgula 4 3 8" xfId="6349" xr:uid="{00000000-0005-0000-0000-000028CF0000}"/>
    <cellStyle name="Vírgula 4 3 8 2" xfId="9529" xr:uid="{00000000-0005-0000-0000-000029CF0000}"/>
    <cellStyle name="Vírgula 4 3 8 2 2" xfId="27743" xr:uid="{00000000-0005-0000-0000-00002ACF0000}"/>
    <cellStyle name="Vírgula 4 3 8 2 2 2" xfId="53924" xr:uid="{00000000-0005-0000-0000-00002BCF0000}"/>
    <cellStyle name="Vírgula 4 3 8 2 3" xfId="21829" xr:uid="{00000000-0005-0000-0000-00002CCF0000}"/>
    <cellStyle name="Vírgula 4 3 8 2 3 2" xfId="48016" xr:uid="{00000000-0005-0000-0000-00002DCF0000}"/>
    <cellStyle name="Vírgula 4 3 8 2 4" xfId="15915" xr:uid="{00000000-0005-0000-0000-00002ECF0000}"/>
    <cellStyle name="Vírgula 4 3 8 2 4 2" xfId="42108" xr:uid="{00000000-0005-0000-0000-00002FCF0000}"/>
    <cellStyle name="Vírgula 4 3 8 2 5" xfId="35722" xr:uid="{00000000-0005-0000-0000-000030CF0000}"/>
    <cellStyle name="Vírgula 4 3 8 3" xfId="24786" xr:uid="{00000000-0005-0000-0000-000031CF0000}"/>
    <cellStyle name="Vírgula 4 3 8 3 2" xfId="50970" xr:uid="{00000000-0005-0000-0000-000032CF0000}"/>
    <cellStyle name="Vírgula 4 3 8 4" xfId="18872" xr:uid="{00000000-0005-0000-0000-000033CF0000}"/>
    <cellStyle name="Vírgula 4 3 8 4 2" xfId="45062" xr:uid="{00000000-0005-0000-0000-000034CF0000}"/>
    <cellStyle name="Vírgula 4 3 8 5" xfId="12738" xr:uid="{00000000-0005-0000-0000-000035CF0000}"/>
    <cellStyle name="Vírgula 4 3 8 5 2" xfId="38931" xr:uid="{00000000-0005-0000-0000-000036CF0000}"/>
    <cellStyle name="Vírgula 4 3 8 6" xfId="32545" xr:uid="{00000000-0005-0000-0000-000037CF0000}"/>
    <cellStyle name="Vírgula 4 3 9" xfId="8058" xr:uid="{00000000-0005-0000-0000-000038CF0000}"/>
    <cellStyle name="Vírgula 4 3 9 2" xfId="26272" xr:uid="{00000000-0005-0000-0000-000039CF0000}"/>
    <cellStyle name="Vírgula 4 3 9 2 2" xfId="52456" xr:uid="{00000000-0005-0000-0000-00003ACF0000}"/>
    <cellStyle name="Vírgula 4 3 9 3" xfId="20358" xr:uid="{00000000-0005-0000-0000-00003BCF0000}"/>
    <cellStyle name="Vírgula 4 3 9 3 2" xfId="46548" xr:uid="{00000000-0005-0000-0000-00003CCF0000}"/>
    <cellStyle name="Vírgula 4 3 9 4" xfId="14447" xr:uid="{00000000-0005-0000-0000-00003DCF0000}"/>
    <cellStyle name="Vírgula 4 3 9 4 2" xfId="40640" xr:uid="{00000000-0005-0000-0000-00003ECF0000}"/>
    <cellStyle name="Vírgula 4 3 9 5" xfId="34254" xr:uid="{00000000-0005-0000-0000-00003FCF0000}"/>
    <cellStyle name="Vírgula 4 4" xfId="1121" xr:uid="{00000000-0005-0000-0000-000040CF0000}"/>
    <cellStyle name="Vírgula 4 4 10" xfId="11069" xr:uid="{00000000-0005-0000-0000-000041CF0000}"/>
    <cellStyle name="Vírgula 4 4 10 2" xfId="37262" xr:uid="{00000000-0005-0000-0000-000042CF0000}"/>
    <cellStyle name="Vírgula 4 4 11" xfId="29538" xr:uid="{00000000-0005-0000-0000-000043CF0000}"/>
    <cellStyle name="Vírgula 4 4 2" xfId="4355" xr:uid="{00000000-0005-0000-0000-000044CF0000}"/>
    <cellStyle name="Vírgula 4 4 2 2" xfId="7756" xr:uid="{00000000-0005-0000-0000-000045CF0000}"/>
    <cellStyle name="Vírgula 4 4 2 2 2" xfId="10830" xr:uid="{00000000-0005-0000-0000-000046CF0000}"/>
    <cellStyle name="Vírgula 4 4 2 2 2 2" xfId="29044" xr:uid="{00000000-0005-0000-0000-000047CF0000}"/>
    <cellStyle name="Vírgula 4 4 2 2 2 2 2" xfId="55225" xr:uid="{00000000-0005-0000-0000-000048CF0000}"/>
    <cellStyle name="Vírgula 4 4 2 2 2 3" xfId="23130" xr:uid="{00000000-0005-0000-0000-000049CF0000}"/>
    <cellStyle name="Vírgula 4 4 2 2 2 3 2" xfId="49317" xr:uid="{00000000-0005-0000-0000-00004ACF0000}"/>
    <cellStyle name="Vírgula 4 4 2 2 2 4" xfId="17216" xr:uid="{00000000-0005-0000-0000-00004BCF0000}"/>
    <cellStyle name="Vírgula 4 4 2 2 2 4 2" xfId="43409" xr:uid="{00000000-0005-0000-0000-00004CCF0000}"/>
    <cellStyle name="Vírgula 4 4 2 2 2 5" xfId="37023" xr:uid="{00000000-0005-0000-0000-00004DCF0000}"/>
    <cellStyle name="Vírgula 4 4 2 2 3" xfId="26087" xr:uid="{00000000-0005-0000-0000-00004ECF0000}"/>
    <cellStyle name="Vírgula 4 4 2 2 3 2" xfId="52271" xr:uid="{00000000-0005-0000-0000-00004FCF0000}"/>
    <cellStyle name="Vírgula 4 4 2 2 4" xfId="20173" xr:uid="{00000000-0005-0000-0000-000050CF0000}"/>
    <cellStyle name="Vírgula 4 4 2 2 4 2" xfId="46363" xr:uid="{00000000-0005-0000-0000-000051CF0000}"/>
    <cellStyle name="Vírgula 4 4 2 2 5" xfId="14145" xr:uid="{00000000-0005-0000-0000-000052CF0000}"/>
    <cellStyle name="Vírgula 4 4 2 2 5 2" xfId="40338" xr:uid="{00000000-0005-0000-0000-000053CF0000}"/>
    <cellStyle name="Vírgula 4 4 2 2 6" xfId="33952" xr:uid="{00000000-0005-0000-0000-000054CF0000}"/>
    <cellStyle name="Vírgula 4 4 2 3" xfId="9362" xr:uid="{00000000-0005-0000-0000-000055CF0000}"/>
    <cellStyle name="Vírgula 4 4 2 3 2" xfId="27576" xr:uid="{00000000-0005-0000-0000-000056CF0000}"/>
    <cellStyle name="Vírgula 4 4 2 3 2 2" xfId="53757" xr:uid="{00000000-0005-0000-0000-000057CF0000}"/>
    <cellStyle name="Vírgula 4 4 2 3 3" xfId="21662" xr:uid="{00000000-0005-0000-0000-000058CF0000}"/>
    <cellStyle name="Vírgula 4 4 2 3 3 2" xfId="47849" xr:uid="{00000000-0005-0000-0000-000059CF0000}"/>
    <cellStyle name="Vírgula 4 4 2 3 4" xfId="15748" xr:uid="{00000000-0005-0000-0000-00005ACF0000}"/>
    <cellStyle name="Vírgula 4 4 2 3 4 2" xfId="41941" xr:uid="{00000000-0005-0000-0000-00005BCF0000}"/>
    <cellStyle name="Vírgula 4 4 2 3 5" xfId="35555" xr:uid="{00000000-0005-0000-0000-00005CCF0000}"/>
    <cellStyle name="Vírgula 4 4 2 4" xfId="6056" xr:uid="{00000000-0005-0000-0000-00005DCF0000}"/>
    <cellStyle name="Vírgula 4 4 2 4 2" xfId="24619" xr:uid="{00000000-0005-0000-0000-00005ECF0000}"/>
    <cellStyle name="Vírgula 4 4 2 4 2 2" xfId="50803" xr:uid="{00000000-0005-0000-0000-00005FCF0000}"/>
    <cellStyle name="Vírgula 4 4 2 4 3" xfId="32252" xr:uid="{00000000-0005-0000-0000-000060CF0000}"/>
    <cellStyle name="Vírgula 4 4 2 5" xfId="18705" xr:uid="{00000000-0005-0000-0000-000061CF0000}"/>
    <cellStyle name="Vírgula 4 4 2 5 2" xfId="44895" xr:uid="{00000000-0005-0000-0000-000062CF0000}"/>
    <cellStyle name="Vírgula 4 4 2 6" xfId="12444" xr:uid="{00000000-0005-0000-0000-000063CF0000}"/>
    <cellStyle name="Vírgula 4 4 2 6 2" xfId="38637" xr:uid="{00000000-0005-0000-0000-000064CF0000}"/>
    <cellStyle name="Vírgula 4 4 2 7" xfId="30555" xr:uid="{00000000-0005-0000-0000-000065CF0000}"/>
    <cellStyle name="Vírgula 4 4 3" xfId="4463" xr:uid="{00000000-0005-0000-0000-000066CF0000}"/>
    <cellStyle name="Vírgula 4 4 3 2" xfId="7865" xr:uid="{00000000-0005-0000-0000-000067CF0000}"/>
    <cellStyle name="Vírgula 4 4 3 2 2" xfId="10892" xr:uid="{00000000-0005-0000-0000-000068CF0000}"/>
    <cellStyle name="Vírgula 4 4 3 2 2 2" xfId="29106" xr:uid="{00000000-0005-0000-0000-000069CF0000}"/>
    <cellStyle name="Vírgula 4 4 3 2 2 2 2" xfId="55287" xr:uid="{00000000-0005-0000-0000-00006ACF0000}"/>
    <cellStyle name="Vírgula 4 4 3 2 2 3" xfId="23192" xr:uid="{00000000-0005-0000-0000-00006BCF0000}"/>
    <cellStyle name="Vírgula 4 4 3 2 2 3 2" xfId="49379" xr:uid="{00000000-0005-0000-0000-00006CCF0000}"/>
    <cellStyle name="Vírgula 4 4 3 2 2 4" xfId="17278" xr:uid="{00000000-0005-0000-0000-00006DCF0000}"/>
    <cellStyle name="Vírgula 4 4 3 2 2 4 2" xfId="43471" xr:uid="{00000000-0005-0000-0000-00006ECF0000}"/>
    <cellStyle name="Vírgula 4 4 3 2 2 5" xfId="37085" xr:uid="{00000000-0005-0000-0000-00006FCF0000}"/>
    <cellStyle name="Vírgula 4 4 3 2 3" xfId="26149" xr:uid="{00000000-0005-0000-0000-000070CF0000}"/>
    <cellStyle name="Vírgula 4 4 3 2 3 2" xfId="52333" xr:uid="{00000000-0005-0000-0000-000071CF0000}"/>
    <cellStyle name="Vírgula 4 4 3 2 4" xfId="20235" xr:uid="{00000000-0005-0000-0000-000072CF0000}"/>
    <cellStyle name="Vírgula 4 4 3 2 4 2" xfId="46425" xr:uid="{00000000-0005-0000-0000-000073CF0000}"/>
    <cellStyle name="Vírgula 4 4 3 2 5" xfId="14254" xr:uid="{00000000-0005-0000-0000-000074CF0000}"/>
    <cellStyle name="Vírgula 4 4 3 2 5 2" xfId="40447" xr:uid="{00000000-0005-0000-0000-000075CF0000}"/>
    <cellStyle name="Vírgula 4 4 3 2 6" xfId="34061" xr:uid="{00000000-0005-0000-0000-000076CF0000}"/>
    <cellStyle name="Vírgula 4 4 3 3" xfId="9424" xr:uid="{00000000-0005-0000-0000-000077CF0000}"/>
    <cellStyle name="Vírgula 4 4 3 3 2" xfId="27638" xr:uid="{00000000-0005-0000-0000-000078CF0000}"/>
    <cellStyle name="Vírgula 4 4 3 3 2 2" xfId="53819" xr:uid="{00000000-0005-0000-0000-000079CF0000}"/>
    <cellStyle name="Vírgula 4 4 3 3 3" xfId="21724" xr:uid="{00000000-0005-0000-0000-00007ACF0000}"/>
    <cellStyle name="Vírgula 4 4 3 3 3 2" xfId="47911" xr:uid="{00000000-0005-0000-0000-00007BCF0000}"/>
    <cellStyle name="Vírgula 4 4 3 3 4" xfId="15810" xr:uid="{00000000-0005-0000-0000-00007CCF0000}"/>
    <cellStyle name="Vírgula 4 4 3 3 4 2" xfId="42003" xr:uid="{00000000-0005-0000-0000-00007DCF0000}"/>
    <cellStyle name="Vírgula 4 4 3 3 5" xfId="35617" xr:uid="{00000000-0005-0000-0000-00007ECF0000}"/>
    <cellStyle name="Vírgula 4 4 3 4" xfId="6164" xr:uid="{00000000-0005-0000-0000-00007FCF0000}"/>
    <cellStyle name="Vírgula 4 4 3 4 2" xfId="24681" xr:uid="{00000000-0005-0000-0000-000080CF0000}"/>
    <cellStyle name="Vírgula 4 4 3 4 2 2" xfId="50865" xr:uid="{00000000-0005-0000-0000-000081CF0000}"/>
    <cellStyle name="Vírgula 4 4 3 4 3" xfId="32360" xr:uid="{00000000-0005-0000-0000-000082CF0000}"/>
    <cellStyle name="Vírgula 4 4 3 5" xfId="18767" xr:uid="{00000000-0005-0000-0000-000083CF0000}"/>
    <cellStyle name="Vírgula 4 4 3 5 2" xfId="44957" xr:uid="{00000000-0005-0000-0000-000084CF0000}"/>
    <cellStyle name="Vírgula 4 4 3 6" xfId="12553" xr:uid="{00000000-0005-0000-0000-000085CF0000}"/>
    <cellStyle name="Vírgula 4 4 3 6 2" xfId="38746" xr:uid="{00000000-0005-0000-0000-000086CF0000}"/>
    <cellStyle name="Vírgula 4 4 3 7" xfId="30663" xr:uid="{00000000-0005-0000-0000-000087CF0000}"/>
    <cellStyle name="Vírgula 4 4 4" xfId="4571" xr:uid="{00000000-0005-0000-0000-000088CF0000}"/>
    <cellStyle name="Vírgula 4 4 4 2" xfId="7973" xr:uid="{00000000-0005-0000-0000-000089CF0000}"/>
    <cellStyle name="Vírgula 4 4 4 2 2" xfId="10954" xr:uid="{00000000-0005-0000-0000-00008ACF0000}"/>
    <cellStyle name="Vírgula 4 4 4 2 2 2" xfId="29168" xr:uid="{00000000-0005-0000-0000-00008BCF0000}"/>
    <cellStyle name="Vírgula 4 4 4 2 2 2 2" xfId="55349" xr:uid="{00000000-0005-0000-0000-00008CCF0000}"/>
    <cellStyle name="Vírgula 4 4 4 2 2 3" xfId="23254" xr:uid="{00000000-0005-0000-0000-00008DCF0000}"/>
    <cellStyle name="Vírgula 4 4 4 2 2 3 2" xfId="49441" xr:uid="{00000000-0005-0000-0000-00008ECF0000}"/>
    <cellStyle name="Vírgula 4 4 4 2 2 4" xfId="17340" xr:uid="{00000000-0005-0000-0000-00008FCF0000}"/>
    <cellStyle name="Vírgula 4 4 4 2 2 4 2" xfId="43533" xr:uid="{00000000-0005-0000-0000-000090CF0000}"/>
    <cellStyle name="Vírgula 4 4 4 2 2 5" xfId="37147" xr:uid="{00000000-0005-0000-0000-000091CF0000}"/>
    <cellStyle name="Vírgula 4 4 4 2 3" xfId="26211" xr:uid="{00000000-0005-0000-0000-000092CF0000}"/>
    <cellStyle name="Vírgula 4 4 4 2 3 2" xfId="52395" xr:uid="{00000000-0005-0000-0000-000093CF0000}"/>
    <cellStyle name="Vírgula 4 4 4 2 4" xfId="20297" xr:uid="{00000000-0005-0000-0000-000094CF0000}"/>
    <cellStyle name="Vírgula 4 4 4 2 4 2" xfId="46487" xr:uid="{00000000-0005-0000-0000-000095CF0000}"/>
    <cellStyle name="Vírgula 4 4 4 2 5" xfId="14362" xr:uid="{00000000-0005-0000-0000-000096CF0000}"/>
    <cellStyle name="Vírgula 4 4 4 2 5 2" xfId="40555" xr:uid="{00000000-0005-0000-0000-000097CF0000}"/>
    <cellStyle name="Vírgula 4 4 4 2 6" xfId="34169" xr:uid="{00000000-0005-0000-0000-000098CF0000}"/>
    <cellStyle name="Vírgula 4 4 4 3" xfId="9486" xr:uid="{00000000-0005-0000-0000-000099CF0000}"/>
    <cellStyle name="Vírgula 4 4 4 3 2" xfId="27700" xr:uid="{00000000-0005-0000-0000-00009ACF0000}"/>
    <cellStyle name="Vírgula 4 4 4 3 2 2" xfId="53881" xr:uid="{00000000-0005-0000-0000-00009BCF0000}"/>
    <cellStyle name="Vírgula 4 4 4 3 3" xfId="21786" xr:uid="{00000000-0005-0000-0000-00009CCF0000}"/>
    <cellStyle name="Vírgula 4 4 4 3 3 2" xfId="47973" xr:uid="{00000000-0005-0000-0000-00009DCF0000}"/>
    <cellStyle name="Vírgula 4 4 4 3 4" xfId="15872" xr:uid="{00000000-0005-0000-0000-00009ECF0000}"/>
    <cellStyle name="Vírgula 4 4 4 3 4 2" xfId="42065" xr:uid="{00000000-0005-0000-0000-00009FCF0000}"/>
    <cellStyle name="Vírgula 4 4 4 3 5" xfId="35679" xr:uid="{00000000-0005-0000-0000-0000A0CF0000}"/>
    <cellStyle name="Vírgula 4 4 4 4" xfId="6272" xr:uid="{00000000-0005-0000-0000-0000A1CF0000}"/>
    <cellStyle name="Vírgula 4 4 4 4 2" xfId="24743" xr:uid="{00000000-0005-0000-0000-0000A2CF0000}"/>
    <cellStyle name="Vírgula 4 4 4 4 2 2" xfId="50927" xr:uid="{00000000-0005-0000-0000-0000A3CF0000}"/>
    <cellStyle name="Vírgula 4 4 4 4 3" xfId="32468" xr:uid="{00000000-0005-0000-0000-0000A4CF0000}"/>
    <cellStyle name="Vírgula 4 4 4 5" xfId="18829" xr:uid="{00000000-0005-0000-0000-0000A5CF0000}"/>
    <cellStyle name="Vírgula 4 4 4 5 2" xfId="45019" xr:uid="{00000000-0005-0000-0000-0000A6CF0000}"/>
    <cellStyle name="Vírgula 4 4 4 6" xfId="12661" xr:uid="{00000000-0005-0000-0000-0000A7CF0000}"/>
    <cellStyle name="Vírgula 4 4 4 6 2" xfId="38854" xr:uid="{00000000-0005-0000-0000-0000A8CF0000}"/>
    <cellStyle name="Vírgula 4 4 4 7" xfId="30771" xr:uid="{00000000-0005-0000-0000-0000A9CF0000}"/>
    <cellStyle name="Vírgula 4 4 5" xfId="5040" xr:uid="{00000000-0005-0000-0000-0000AACF0000}"/>
    <cellStyle name="Vírgula 4 4 5 2" xfId="6739" xr:uid="{00000000-0005-0000-0000-0000ABCF0000}"/>
    <cellStyle name="Vírgula 4 4 5 2 2" xfId="9886" xr:uid="{00000000-0005-0000-0000-0000ACCF0000}"/>
    <cellStyle name="Vírgula 4 4 5 2 2 2" xfId="28100" xr:uid="{00000000-0005-0000-0000-0000ADCF0000}"/>
    <cellStyle name="Vírgula 4 4 5 2 2 2 2" xfId="54281" xr:uid="{00000000-0005-0000-0000-0000AECF0000}"/>
    <cellStyle name="Vírgula 4 4 5 2 2 3" xfId="22186" xr:uid="{00000000-0005-0000-0000-0000AFCF0000}"/>
    <cellStyle name="Vírgula 4 4 5 2 2 3 2" xfId="48373" xr:uid="{00000000-0005-0000-0000-0000B0CF0000}"/>
    <cellStyle name="Vírgula 4 4 5 2 2 4" xfId="16272" xr:uid="{00000000-0005-0000-0000-0000B1CF0000}"/>
    <cellStyle name="Vírgula 4 4 5 2 2 4 2" xfId="42465" xr:uid="{00000000-0005-0000-0000-0000B2CF0000}"/>
    <cellStyle name="Vírgula 4 4 5 2 2 5" xfId="36079" xr:uid="{00000000-0005-0000-0000-0000B3CF0000}"/>
    <cellStyle name="Vírgula 4 4 5 2 3" xfId="25143" xr:uid="{00000000-0005-0000-0000-0000B4CF0000}"/>
    <cellStyle name="Vírgula 4 4 5 2 3 2" xfId="51327" xr:uid="{00000000-0005-0000-0000-0000B5CF0000}"/>
    <cellStyle name="Vírgula 4 4 5 2 4" xfId="19229" xr:uid="{00000000-0005-0000-0000-0000B6CF0000}"/>
    <cellStyle name="Vírgula 4 4 5 2 4 2" xfId="45419" xr:uid="{00000000-0005-0000-0000-0000B7CF0000}"/>
    <cellStyle name="Vírgula 4 4 5 2 5" xfId="13128" xr:uid="{00000000-0005-0000-0000-0000B8CF0000}"/>
    <cellStyle name="Vírgula 4 4 5 2 5 2" xfId="39321" xr:uid="{00000000-0005-0000-0000-0000B9CF0000}"/>
    <cellStyle name="Vírgula 4 4 5 2 6" xfId="32935" xr:uid="{00000000-0005-0000-0000-0000BACF0000}"/>
    <cellStyle name="Vírgula 4 4 5 3" xfId="8418" xr:uid="{00000000-0005-0000-0000-0000BBCF0000}"/>
    <cellStyle name="Vírgula 4 4 5 3 2" xfId="26632" xr:uid="{00000000-0005-0000-0000-0000BCCF0000}"/>
    <cellStyle name="Vírgula 4 4 5 3 2 2" xfId="52813" xr:uid="{00000000-0005-0000-0000-0000BDCF0000}"/>
    <cellStyle name="Vírgula 4 4 5 3 3" xfId="20718" xr:uid="{00000000-0005-0000-0000-0000BECF0000}"/>
    <cellStyle name="Vírgula 4 4 5 3 3 2" xfId="46905" xr:uid="{00000000-0005-0000-0000-0000BFCF0000}"/>
    <cellStyle name="Vírgula 4 4 5 3 4" xfId="14804" xr:uid="{00000000-0005-0000-0000-0000C0CF0000}"/>
    <cellStyle name="Vírgula 4 4 5 3 4 2" xfId="40997" xr:uid="{00000000-0005-0000-0000-0000C1CF0000}"/>
    <cellStyle name="Vírgula 4 4 5 3 5" xfId="34611" xr:uid="{00000000-0005-0000-0000-0000C2CF0000}"/>
    <cellStyle name="Vírgula 4 4 5 4" xfId="23675" xr:uid="{00000000-0005-0000-0000-0000C3CF0000}"/>
    <cellStyle name="Vírgula 4 4 5 4 2" xfId="49859" xr:uid="{00000000-0005-0000-0000-0000C4CF0000}"/>
    <cellStyle name="Vírgula 4 4 5 5" xfId="17761" xr:uid="{00000000-0005-0000-0000-0000C5CF0000}"/>
    <cellStyle name="Vírgula 4 4 5 5 2" xfId="43951" xr:uid="{00000000-0005-0000-0000-0000C6CF0000}"/>
    <cellStyle name="Vírgula 4 4 5 6" xfId="11427" xr:uid="{00000000-0005-0000-0000-0000C7CF0000}"/>
    <cellStyle name="Vírgula 4 4 5 6 2" xfId="37620" xr:uid="{00000000-0005-0000-0000-0000C8CF0000}"/>
    <cellStyle name="Vírgula 4 4 5 7" xfId="31236" xr:uid="{00000000-0005-0000-0000-0000C9CF0000}"/>
    <cellStyle name="Vírgula 4 4 6" xfId="6381" xr:uid="{00000000-0005-0000-0000-0000CACF0000}"/>
    <cellStyle name="Vírgula 4 4 6 2" xfId="9548" xr:uid="{00000000-0005-0000-0000-0000CBCF0000}"/>
    <cellStyle name="Vírgula 4 4 6 2 2" xfId="27762" xr:uid="{00000000-0005-0000-0000-0000CCCF0000}"/>
    <cellStyle name="Vírgula 4 4 6 2 2 2" xfId="53943" xr:uid="{00000000-0005-0000-0000-0000CDCF0000}"/>
    <cellStyle name="Vírgula 4 4 6 2 3" xfId="21848" xr:uid="{00000000-0005-0000-0000-0000CECF0000}"/>
    <cellStyle name="Vírgula 4 4 6 2 3 2" xfId="48035" xr:uid="{00000000-0005-0000-0000-0000CFCF0000}"/>
    <cellStyle name="Vírgula 4 4 6 2 4" xfId="15934" xr:uid="{00000000-0005-0000-0000-0000D0CF0000}"/>
    <cellStyle name="Vírgula 4 4 6 2 4 2" xfId="42127" xr:uid="{00000000-0005-0000-0000-0000D1CF0000}"/>
    <cellStyle name="Vírgula 4 4 6 2 5" xfId="35741" xr:uid="{00000000-0005-0000-0000-0000D2CF0000}"/>
    <cellStyle name="Vírgula 4 4 6 3" xfId="24805" xr:uid="{00000000-0005-0000-0000-0000D3CF0000}"/>
    <cellStyle name="Vírgula 4 4 6 3 2" xfId="50989" xr:uid="{00000000-0005-0000-0000-0000D4CF0000}"/>
    <cellStyle name="Vírgula 4 4 6 4" xfId="18891" xr:uid="{00000000-0005-0000-0000-0000D5CF0000}"/>
    <cellStyle name="Vírgula 4 4 6 4 2" xfId="45081" xr:uid="{00000000-0005-0000-0000-0000D6CF0000}"/>
    <cellStyle name="Vírgula 4 4 6 5" xfId="12770" xr:uid="{00000000-0005-0000-0000-0000D7CF0000}"/>
    <cellStyle name="Vírgula 4 4 6 5 2" xfId="38963" xr:uid="{00000000-0005-0000-0000-0000D8CF0000}"/>
    <cellStyle name="Vírgula 4 4 6 6" xfId="32577" xr:uid="{00000000-0005-0000-0000-0000D9CF0000}"/>
    <cellStyle name="Vírgula 4 4 7" xfId="8077" xr:uid="{00000000-0005-0000-0000-0000DACF0000}"/>
    <cellStyle name="Vírgula 4 4 7 2" xfId="26291" xr:uid="{00000000-0005-0000-0000-0000DBCF0000}"/>
    <cellStyle name="Vírgula 4 4 7 2 2" xfId="52475" xr:uid="{00000000-0005-0000-0000-0000DCCF0000}"/>
    <cellStyle name="Vírgula 4 4 7 3" xfId="20377" xr:uid="{00000000-0005-0000-0000-0000DDCF0000}"/>
    <cellStyle name="Vírgula 4 4 7 3 2" xfId="46567" xr:uid="{00000000-0005-0000-0000-0000DECF0000}"/>
    <cellStyle name="Vírgula 4 4 7 4" xfId="14466" xr:uid="{00000000-0005-0000-0000-0000DFCF0000}"/>
    <cellStyle name="Vírgula 4 4 7 4 2" xfId="40659" xr:uid="{00000000-0005-0000-0000-0000E0CF0000}"/>
    <cellStyle name="Vírgula 4 4 7 5" xfId="34273" xr:uid="{00000000-0005-0000-0000-0000E1CF0000}"/>
    <cellStyle name="Vírgula 4 4 8" xfId="4678" xr:uid="{00000000-0005-0000-0000-0000E2CF0000}"/>
    <cellStyle name="Vírgula 4 4 8 2" xfId="23334" xr:uid="{00000000-0005-0000-0000-0000E3CF0000}"/>
    <cellStyle name="Vírgula 4 4 8 2 2" xfId="49521" xr:uid="{00000000-0005-0000-0000-0000E4CF0000}"/>
    <cellStyle name="Vírgula 4 4 8 3" xfId="30878" xr:uid="{00000000-0005-0000-0000-0000E5CF0000}"/>
    <cellStyle name="Vírgula 4 4 9" xfId="17420" xr:uid="{00000000-0005-0000-0000-0000E6CF0000}"/>
    <cellStyle name="Vírgula 4 4 9 2" xfId="43613" xr:uid="{00000000-0005-0000-0000-0000E7CF0000}"/>
    <cellStyle name="Vírgula 4 5" xfId="1556" xr:uid="{00000000-0005-0000-0000-0000E8CF0000}"/>
    <cellStyle name="Vírgula 4 5 2" xfId="6858" xr:uid="{00000000-0005-0000-0000-0000E9CF0000}"/>
    <cellStyle name="Vírgula 4 5 2 2" xfId="10005" xr:uid="{00000000-0005-0000-0000-0000EACF0000}"/>
    <cellStyle name="Vírgula 4 5 2 2 2" xfId="28219" xr:uid="{00000000-0005-0000-0000-0000EBCF0000}"/>
    <cellStyle name="Vírgula 4 5 2 2 2 2" xfId="54400" xr:uid="{00000000-0005-0000-0000-0000ECCF0000}"/>
    <cellStyle name="Vírgula 4 5 2 2 3" xfId="22305" xr:uid="{00000000-0005-0000-0000-0000EDCF0000}"/>
    <cellStyle name="Vírgula 4 5 2 2 3 2" xfId="48492" xr:uid="{00000000-0005-0000-0000-0000EECF0000}"/>
    <cellStyle name="Vírgula 4 5 2 2 4" xfId="16391" xr:uid="{00000000-0005-0000-0000-0000EFCF0000}"/>
    <cellStyle name="Vírgula 4 5 2 2 4 2" xfId="42584" xr:uid="{00000000-0005-0000-0000-0000F0CF0000}"/>
    <cellStyle name="Vírgula 4 5 2 2 5" xfId="36198" xr:uid="{00000000-0005-0000-0000-0000F1CF0000}"/>
    <cellStyle name="Vírgula 4 5 2 3" xfId="25262" xr:uid="{00000000-0005-0000-0000-0000F2CF0000}"/>
    <cellStyle name="Vírgula 4 5 2 3 2" xfId="51446" xr:uid="{00000000-0005-0000-0000-0000F3CF0000}"/>
    <cellStyle name="Vírgula 4 5 2 4" xfId="19348" xr:uid="{00000000-0005-0000-0000-0000F4CF0000}"/>
    <cellStyle name="Vírgula 4 5 2 4 2" xfId="45538" xr:uid="{00000000-0005-0000-0000-0000F5CF0000}"/>
    <cellStyle name="Vírgula 4 5 2 5" xfId="13247" xr:uid="{00000000-0005-0000-0000-0000F6CF0000}"/>
    <cellStyle name="Vírgula 4 5 2 5 2" xfId="39440" xr:uid="{00000000-0005-0000-0000-0000F7CF0000}"/>
    <cellStyle name="Vírgula 4 5 2 6" xfId="33054" xr:uid="{00000000-0005-0000-0000-0000F8CF0000}"/>
    <cellStyle name="Vírgula 4 5 3" xfId="8537" xr:uid="{00000000-0005-0000-0000-0000F9CF0000}"/>
    <cellStyle name="Vírgula 4 5 3 2" xfId="26751" xr:uid="{00000000-0005-0000-0000-0000FACF0000}"/>
    <cellStyle name="Vírgula 4 5 3 2 2" xfId="52932" xr:uid="{00000000-0005-0000-0000-0000FBCF0000}"/>
    <cellStyle name="Vírgula 4 5 3 3" xfId="20837" xr:uid="{00000000-0005-0000-0000-0000FCCF0000}"/>
    <cellStyle name="Vírgula 4 5 3 3 2" xfId="47024" xr:uid="{00000000-0005-0000-0000-0000FDCF0000}"/>
    <cellStyle name="Vírgula 4 5 3 4" xfId="14923" xr:uid="{00000000-0005-0000-0000-0000FECF0000}"/>
    <cellStyle name="Vírgula 4 5 3 4 2" xfId="41116" xr:uid="{00000000-0005-0000-0000-0000FFCF0000}"/>
    <cellStyle name="Vírgula 4 5 3 5" xfId="34730" xr:uid="{00000000-0005-0000-0000-000000D00000}"/>
    <cellStyle name="Vírgula 4 5 4" xfId="5159" xr:uid="{00000000-0005-0000-0000-000001D00000}"/>
    <cellStyle name="Vírgula 4 5 4 2" xfId="23794" xr:uid="{00000000-0005-0000-0000-000002D00000}"/>
    <cellStyle name="Vírgula 4 5 4 2 2" xfId="49978" xr:uid="{00000000-0005-0000-0000-000003D00000}"/>
    <cellStyle name="Vírgula 4 5 4 3" xfId="31355" xr:uid="{00000000-0005-0000-0000-000004D00000}"/>
    <cellStyle name="Vírgula 4 5 5" xfId="17880" xr:uid="{00000000-0005-0000-0000-000005D00000}"/>
    <cellStyle name="Vírgula 4 5 5 2" xfId="44070" xr:uid="{00000000-0005-0000-0000-000006D00000}"/>
    <cellStyle name="Vírgula 4 5 6" xfId="11546" xr:uid="{00000000-0005-0000-0000-000007D00000}"/>
    <cellStyle name="Vírgula 4 5 6 2" xfId="37739" xr:uid="{00000000-0005-0000-0000-000008D00000}"/>
    <cellStyle name="Vírgula 4 5 7" xfId="29657" xr:uid="{00000000-0005-0000-0000-000009D00000}"/>
    <cellStyle name="Vírgula 4 6" xfId="2086" xr:uid="{00000000-0005-0000-0000-00000AD00000}"/>
    <cellStyle name="Vírgula 4 6 2" xfId="7008" xr:uid="{00000000-0005-0000-0000-00000BD00000}"/>
    <cellStyle name="Vírgula 4 6 2 2" xfId="10152" xr:uid="{00000000-0005-0000-0000-00000CD00000}"/>
    <cellStyle name="Vírgula 4 6 2 2 2" xfId="28366" xr:uid="{00000000-0005-0000-0000-00000DD00000}"/>
    <cellStyle name="Vírgula 4 6 2 2 2 2" xfId="54547" xr:uid="{00000000-0005-0000-0000-00000ED00000}"/>
    <cellStyle name="Vírgula 4 6 2 2 3" xfId="22452" xr:uid="{00000000-0005-0000-0000-00000FD00000}"/>
    <cellStyle name="Vírgula 4 6 2 2 3 2" xfId="48639" xr:uid="{00000000-0005-0000-0000-000010D00000}"/>
    <cellStyle name="Vírgula 4 6 2 2 4" xfId="16538" xr:uid="{00000000-0005-0000-0000-000011D00000}"/>
    <cellStyle name="Vírgula 4 6 2 2 4 2" xfId="42731" xr:uid="{00000000-0005-0000-0000-000012D00000}"/>
    <cellStyle name="Vírgula 4 6 2 2 5" xfId="36345" xr:uid="{00000000-0005-0000-0000-000013D00000}"/>
    <cellStyle name="Vírgula 4 6 2 3" xfId="25409" xr:uid="{00000000-0005-0000-0000-000014D00000}"/>
    <cellStyle name="Vírgula 4 6 2 3 2" xfId="51593" xr:uid="{00000000-0005-0000-0000-000015D00000}"/>
    <cellStyle name="Vírgula 4 6 2 4" xfId="19495" xr:uid="{00000000-0005-0000-0000-000016D00000}"/>
    <cellStyle name="Vírgula 4 6 2 4 2" xfId="45685" xr:uid="{00000000-0005-0000-0000-000017D00000}"/>
    <cellStyle name="Vírgula 4 6 2 5" xfId="13397" xr:uid="{00000000-0005-0000-0000-000018D00000}"/>
    <cellStyle name="Vírgula 4 6 2 5 2" xfId="39590" xr:uid="{00000000-0005-0000-0000-000019D00000}"/>
    <cellStyle name="Vírgula 4 6 2 6" xfId="33204" xr:uid="{00000000-0005-0000-0000-00001AD00000}"/>
    <cellStyle name="Vírgula 4 6 3" xfId="8684" xr:uid="{00000000-0005-0000-0000-00001BD00000}"/>
    <cellStyle name="Vírgula 4 6 3 2" xfId="26898" xr:uid="{00000000-0005-0000-0000-00001CD00000}"/>
    <cellStyle name="Vírgula 4 6 3 2 2" xfId="53079" xr:uid="{00000000-0005-0000-0000-00001DD00000}"/>
    <cellStyle name="Vírgula 4 6 3 3" xfId="20984" xr:uid="{00000000-0005-0000-0000-00001ED00000}"/>
    <cellStyle name="Vírgula 4 6 3 3 2" xfId="47171" xr:uid="{00000000-0005-0000-0000-00001FD00000}"/>
    <cellStyle name="Vírgula 4 6 3 4" xfId="15070" xr:uid="{00000000-0005-0000-0000-000020D00000}"/>
    <cellStyle name="Vírgula 4 6 3 4 2" xfId="41263" xr:uid="{00000000-0005-0000-0000-000021D00000}"/>
    <cellStyle name="Vírgula 4 6 3 5" xfId="34877" xr:uid="{00000000-0005-0000-0000-000022D00000}"/>
    <cellStyle name="Vírgula 4 6 4" xfId="5309" xr:uid="{00000000-0005-0000-0000-000023D00000}"/>
    <cellStyle name="Vírgula 4 6 4 2" xfId="23941" xr:uid="{00000000-0005-0000-0000-000024D00000}"/>
    <cellStyle name="Vírgula 4 6 4 2 2" xfId="50125" xr:uid="{00000000-0005-0000-0000-000025D00000}"/>
    <cellStyle name="Vírgula 4 6 4 3" xfId="31505" xr:uid="{00000000-0005-0000-0000-000026D00000}"/>
    <cellStyle name="Vírgula 4 6 5" xfId="18027" xr:uid="{00000000-0005-0000-0000-000027D00000}"/>
    <cellStyle name="Vírgula 4 6 5 2" xfId="44217" xr:uid="{00000000-0005-0000-0000-000028D00000}"/>
    <cellStyle name="Vírgula 4 6 6" xfId="11696" xr:uid="{00000000-0005-0000-0000-000029D00000}"/>
    <cellStyle name="Vírgula 4 6 6 2" xfId="37889" xr:uid="{00000000-0005-0000-0000-00002AD00000}"/>
    <cellStyle name="Vírgula 4 6 7" xfId="29807" xr:uid="{00000000-0005-0000-0000-00002BD00000}"/>
    <cellStyle name="Vírgula 4 7" xfId="2613" xr:uid="{00000000-0005-0000-0000-00002CD00000}"/>
    <cellStyle name="Vírgula 4 7 2" xfId="7155" xr:uid="{00000000-0005-0000-0000-00002DD00000}"/>
    <cellStyle name="Vírgula 4 7 2 2" xfId="10299" xr:uid="{00000000-0005-0000-0000-00002ED00000}"/>
    <cellStyle name="Vírgula 4 7 2 2 2" xfId="28513" xr:uid="{00000000-0005-0000-0000-00002FD00000}"/>
    <cellStyle name="Vírgula 4 7 2 2 2 2" xfId="54694" xr:uid="{00000000-0005-0000-0000-000030D00000}"/>
    <cellStyle name="Vírgula 4 7 2 2 3" xfId="22599" xr:uid="{00000000-0005-0000-0000-000031D00000}"/>
    <cellStyle name="Vírgula 4 7 2 2 3 2" xfId="48786" xr:uid="{00000000-0005-0000-0000-000032D00000}"/>
    <cellStyle name="Vírgula 4 7 2 2 4" xfId="16685" xr:uid="{00000000-0005-0000-0000-000033D00000}"/>
    <cellStyle name="Vírgula 4 7 2 2 4 2" xfId="42878" xr:uid="{00000000-0005-0000-0000-000034D00000}"/>
    <cellStyle name="Vírgula 4 7 2 2 5" xfId="36492" xr:uid="{00000000-0005-0000-0000-000035D00000}"/>
    <cellStyle name="Vírgula 4 7 2 3" xfId="25556" xr:uid="{00000000-0005-0000-0000-000036D00000}"/>
    <cellStyle name="Vírgula 4 7 2 3 2" xfId="51740" xr:uid="{00000000-0005-0000-0000-000037D00000}"/>
    <cellStyle name="Vírgula 4 7 2 4" xfId="19642" xr:uid="{00000000-0005-0000-0000-000038D00000}"/>
    <cellStyle name="Vírgula 4 7 2 4 2" xfId="45832" xr:uid="{00000000-0005-0000-0000-000039D00000}"/>
    <cellStyle name="Vírgula 4 7 2 5" xfId="13544" xr:uid="{00000000-0005-0000-0000-00003AD00000}"/>
    <cellStyle name="Vírgula 4 7 2 5 2" xfId="39737" xr:uid="{00000000-0005-0000-0000-00003BD00000}"/>
    <cellStyle name="Vírgula 4 7 2 6" xfId="33351" xr:uid="{00000000-0005-0000-0000-00003CD00000}"/>
    <cellStyle name="Vírgula 4 7 3" xfId="8831" xr:uid="{00000000-0005-0000-0000-00003DD00000}"/>
    <cellStyle name="Vírgula 4 7 3 2" xfId="27045" xr:uid="{00000000-0005-0000-0000-00003ED00000}"/>
    <cellStyle name="Vírgula 4 7 3 2 2" xfId="53226" xr:uid="{00000000-0005-0000-0000-00003FD00000}"/>
    <cellStyle name="Vírgula 4 7 3 3" xfId="21131" xr:uid="{00000000-0005-0000-0000-000040D00000}"/>
    <cellStyle name="Vírgula 4 7 3 3 2" xfId="47318" xr:uid="{00000000-0005-0000-0000-000041D00000}"/>
    <cellStyle name="Vírgula 4 7 3 4" xfId="15217" xr:uid="{00000000-0005-0000-0000-000042D00000}"/>
    <cellStyle name="Vírgula 4 7 3 4 2" xfId="41410" xr:uid="{00000000-0005-0000-0000-000043D00000}"/>
    <cellStyle name="Vírgula 4 7 3 5" xfId="35024" xr:uid="{00000000-0005-0000-0000-000044D00000}"/>
    <cellStyle name="Vírgula 4 7 4" xfId="5456" xr:uid="{00000000-0005-0000-0000-000045D00000}"/>
    <cellStyle name="Vírgula 4 7 4 2" xfId="24088" xr:uid="{00000000-0005-0000-0000-000046D00000}"/>
    <cellStyle name="Vírgula 4 7 4 2 2" xfId="50272" xr:uid="{00000000-0005-0000-0000-000047D00000}"/>
    <cellStyle name="Vírgula 4 7 4 3" xfId="31652" xr:uid="{00000000-0005-0000-0000-000048D00000}"/>
    <cellStyle name="Vírgula 4 7 5" xfId="18174" xr:uid="{00000000-0005-0000-0000-000049D00000}"/>
    <cellStyle name="Vírgula 4 7 5 2" xfId="44364" xr:uid="{00000000-0005-0000-0000-00004AD00000}"/>
    <cellStyle name="Vírgula 4 7 6" xfId="11843" xr:uid="{00000000-0005-0000-0000-00004BD00000}"/>
    <cellStyle name="Vírgula 4 7 6 2" xfId="38036" xr:uid="{00000000-0005-0000-0000-00004CD00000}"/>
    <cellStyle name="Vírgula 4 7 7" xfId="29954" xr:uid="{00000000-0005-0000-0000-00004DD00000}"/>
    <cellStyle name="Vírgula 4 8" xfId="3140" xr:uid="{00000000-0005-0000-0000-00004ED00000}"/>
    <cellStyle name="Vírgula 4 8 2" xfId="7302" xr:uid="{00000000-0005-0000-0000-00004FD00000}"/>
    <cellStyle name="Vírgula 4 8 2 2" xfId="10446" xr:uid="{00000000-0005-0000-0000-000050D00000}"/>
    <cellStyle name="Vírgula 4 8 2 2 2" xfId="28660" xr:uid="{00000000-0005-0000-0000-000051D00000}"/>
    <cellStyle name="Vírgula 4 8 2 2 2 2" xfId="54841" xr:uid="{00000000-0005-0000-0000-000052D00000}"/>
    <cellStyle name="Vírgula 4 8 2 2 3" xfId="22746" xr:uid="{00000000-0005-0000-0000-000053D00000}"/>
    <cellStyle name="Vírgula 4 8 2 2 3 2" xfId="48933" xr:uid="{00000000-0005-0000-0000-000054D00000}"/>
    <cellStyle name="Vírgula 4 8 2 2 4" xfId="16832" xr:uid="{00000000-0005-0000-0000-000055D00000}"/>
    <cellStyle name="Vírgula 4 8 2 2 4 2" xfId="43025" xr:uid="{00000000-0005-0000-0000-000056D00000}"/>
    <cellStyle name="Vírgula 4 8 2 2 5" xfId="36639" xr:uid="{00000000-0005-0000-0000-000057D00000}"/>
    <cellStyle name="Vírgula 4 8 2 3" xfId="25703" xr:uid="{00000000-0005-0000-0000-000058D00000}"/>
    <cellStyle name="Vírgula 4 8 2 3 2" xfId="51887" xr:uid="{00000000-0005-0000-0000-000059D00000}"/>
    <cellStyle name="Vírgula 4 8 2 4" xfId="19789" xr:uid="{00000000-0005-0000-0000-00005AD00000}"/>
    <cellStyle name="Vírgula 4 8 2 4 2" xfId="45979" xr:uid="{00000000-0005-0000-0000-00005BD00000}"/>
    <cellStyle name="Vírgula 4 8 2 5" xfId="13691" xr:uid="{00000000-0005-0000-0000-00005CD00000}"/>
    <cellStyle name="Vírgula 4 8 2 5 2" xfId="39884" xr:uid="{00000000-0005-0000-0000-00005DD00000}"/>
    <cellStyle name="Vírgula 4 8 2 6" xfId="33498" xr:uid="{00000000-0005-0000-0000-00005ED00000}"/>
    <cellStyle name="Vírgula 4 8 3" xfId="8978" xr:uid="{00000000-0005-0000-0000-00005FD00000}"/>
    <cellStyle name="Vírgula 4 8 3 2" xfId="27192" xr:uid="{00000000-0005-0000-0000-000060D00000}"/>
    <cellStyle name="Vírgula 4 8 3 2 2" xfId="53373" xr:uid="{00000000-0005-0000-0000-000061D00000}"/>
    <cellStyle name="Vírgula 4 8 3 3" xfId="21278" xr:uid="{00000000-0005-0000-0000-000062D00000}"/>
    <cellStyle name="Vírgula 4 8 3 3 2" xfId="47465" xr:uid="{00000000-0005-0000-0000-000063D00000}"/>
    <cellStyle name="Vírgula 4 8 3 4" xfId="15364" xr:uid="{00000000-0005-0000-0000-000064D00000}"/>
    <cellStyle name="Vírgula 4 8 3 4 2" xfId="41557" xr:uid="{00000000-0005-0000-0000-000065D00000}"/>
    <cellStyle name="Vírgula 4 8 3 5" xfId="35171" xr:uid="{00000000-0005-0000-0000-000066D00000}"/>
    <cellStyle name="Vírgula 4 8 4" xfId="5603" xr:uid="{00000000-0005-0000-0000-000067D00000}"/>
    <cellStyle name="Vírgula 4 8 4 2" xfId="24235" xr:uid="{00000000-0005-0000-0000-000068D00000}"/>
    <cellStyle name="Vírgula 4 8 4 2 2" xfId="50419" xr:uid="{00000000-0005-0000-0000-000069D00000}"/>
    <cellStyle name="Vírgula 4 8 4 3" xfId="31799" xr:uid="{00000000-0005-0000-0000-00006AD00000}"/>
    <cellStyle name="Vírgula 4 8 5" xfId="18321" xr:uid="{00000000-0005-0000-0000-00006BD00000}"/>
    <cellStyle name="Vírgula 4 8 5 2" xfId="44511" xr:uid="{00000000-0005-0000-0000-00006CD00000}"/>
    <cellStyle name="Vírgula 4 8 6" xfId="11990" xr:uid="{00000000-0005-0000-0000-00006DD00000}"/>
    <cellStyle name="Vírgula 4 8 6 2" xfId="38183" xr:uid="{00000000-0005-0000-0000-00006ED00000}"/>
    <cellStyle name="Vírgula 4 8 7" xfId="30101" xr:uid="{00000000-0005-0000-0000-00006FD00000}"/>
    <cellStyle name="Vírgula 4 9" xfId="3667" xr:uid="{00000000-0005-0000-0000-000070D00000}"/>
    <cellStyle name="Vírgula 4 9 2" xfId="7449" xr:uid="{00000000-0005-0000-0000-000071D00000}"/>
    <cellStyle name="Vírgula 4 9 2 2" xfId="10593" xr:uid="{00000000-0005-0000-0000-000072D00000}"/>
    <cellStyle name="Vírgula 4 9 2 2 2" xfId="28807" xr:uid="{00000000-0005-0000-0000-000073D00000}"/>
    <cellStyle name="Vírgula 4 9 2 2 2 2" xfId="54988" xr:uid="{00000000-0005-0000-0000-000074D00000}"/>
    <cellStyle name="Vírgula 4 9 2 2 3" xfId="22893" xr:uid="{00000000-0005-0000-0000-000075D00000}"/>
    <cellStyle name="Vírgula 4 9 2 2 3 2" xfId="49080" xr:uid="{00000000-0005-0000-0000-000076D00000}"/>
    <cellStyle name="Vírgula 4 9 2 2 4" xfId="16979" xr:uid="{00000000-0005-0000-0000-000077D00000}"/>
    <cellStyle name="Vírgula 4 9 2 2 4 2" xfId="43172" xr:uid="{00000000-0005-0000-0000-000078D00000}"/>
    <cellStyle name="Vírgula 4 9 2 2 5" xfId="36786" xr:uid="{00000000-0005-0000-0000-000079D00000}"/>
    <cellStyle name="Vírgula 4 9 2 3" xfId="25850" xr:uid="{00000000-0005-0000-0000-00007AD00000}"/>
    <cellStyle name="Vírgula 4 9 2 3 2" xfId="52034" xr:uid="{00000000-0005-0000-0000-00007BD00000}"/>
    <cellStyle name="Vírgula 4 9 2 4" xfId="19936" xr:uid="{00000000-0005-0000-0000-00007CD00000}"/>
    <cellStyle name="Vírgula 4 9 2 4 2" xfId="46126" xr:uid="{00000000-0005-0000-0000-00007DD00000}"/>
    <cellStyle name="Vírgula 4 9 2 5" xfId="13838" xr:uid="{00000000-0005-0000-0000-00007ED00000}"/>
    <cellStyle name="Vírgula 4 9 2 5 2" xfId="40031" xr:uid="{00000000-0005-0000-0000-00007FD00000}"/>
    <cellStyle name="Vírgula 4 9 2 6" xfId="33645" xr:uid="{00000000-0005-0000-0000-000080D00000}"/>
    <cellStyle name="Vírgula 4 9 3" xfId="9125" xr:uid="{00000000-0005-0000-0000-000081D00000}"/>
    <cellStyle name="Vírgula 4 9 3 2" xfId="27339" xr:uid="{00000000-0005-0000-0000-000082D00000}"/>
    <cellStyle name="Vírgula 4 9 3 2 2" xfId="53520" xr:uid="{00000000-0005-0000-0000-000083D00000}"/>
    <cellStyle name="Vírgula 4 9 3 3" xfId="21425" xr:uid="{00000000-0005-0000-0000-000084D00000}"/>
    <cellStyle name="Vírgula 4 9 3 3 2" xfId="47612" xr:uid="{00000000-0005-0000-0000-000085D00000}"/>
    <cellStyle name="Vírgula 4 9 3 4" xfId="15511" xr:uid="{00000000-0005-0000-0000-000086D00000}"/>
    <cellStyle name="Vírgula 4 9 3 4 2" xfId="41704" xr:uid="{00000000-0005-0000-0000-000087D00000}"/>
    <cellStyle name="Vírgula 4 9 3 5" xfId="35318" xr:uid="{00000000-0005-0000-0000-000088D00000}"/>
    <cellStyle name="Vírgula 4 9 4" xfId="5750" xr:uid="{00000000-0005-0000-0000-000089D00000}"/>
    <cellStyle name="Vírgula 4 9 4 2" xfId="24382" xr:uid="{00000000-0005-0000-0000-00008AD00000}"/>
    <cellStyle name="Vírgula 4 9 4 2 2" xfId="50566" xr:uid="{00000000-0005-0000-0000-00008BD00000}"/>
    <cellStyle name="Vírgula 4 9 4 3" xfId="31946" xr:uid="{00000000-0005-0000-0000-00008CD00000}"/>
    <cellStyle name="Vírgula 4 9 5" xfId="18468" xr:uid="{00000000-0005-0000-0000-00008DD00000}"/>
    <cellStyle name="Vírgula 4 9 5 2" xfId="44658" xr:uid="{00000000-0005-0000-0000-00008ED00000}"/>
    <cellStyle name="Vírgula 4 9 6" xfId="12137" xr:uid="{00000000-0005-0000-0000-00008FD00000}"/>
    <cellStyle name="Vírgula 4 9 6 2" xfId="38330" xr:uid="{00000000-0005-0000-0000-000090D00000}"/>
    <cellStyle name="Vírgula 4 9 7" xfId="30248" xr:uid="{00000000-0005-0000-0000-000091D00000}"/>
    <cellStyle name="Vírgula 5" xfId="562" xr:uid="{00000000-0005-0000-0000-000092D00000}"/>
    <cellStyle name="Vírgula 5 10" xfId="8010" xr:uid="{00000000-0005-0000-0000-000093D00000}"/>
    <cellStyle name="Vírgula 5 10 2" xfId="10976" xr:uid="{00000000-0005-0000-0000-000094D00000}"/>
    <cellStyle name="Vírgula 5 10 2 2" xfId="29190" xr:uid="{00000000-0005-0000-0000-000095D00000}"/>
    <cellStyle name="Vírgula 5 10 2 2 2" xfId="55371" xr:uid="{00000000-0005-0000-0000-000096D00000}"/>
    <cellStyle name="Vírgula 5 10 2 3" xfId="23276" xr:uid="{00000000-0005-0000-0000-000097D00000}"/>
    <cellStyle name="Vírgula 5 10 2 3 2" xfId="49463" xr:uid="{00000000-0005-0000-0000-000098D00000}"/>
    <cellStyle name="Vírgula 5 10 2 4" xfId="17362" xr:uid="{00000000-0005-0000-0000-000099D00000}"/>
    <cellStyle name="Vírgula 5 10 2 4 2" xfId="43555" xr:uid="{00000000-0005-0000-0000-00009AD00000}"/>
    <cellStyle name="Vírgula 5 10 2 5" xfId="37169" xr:uid="{00000000-0005-0000-0000-00009BD00000}"/>
    <cellStyle name="Vírgula 5 10 3" xfId="26233" xr:uid="{00000000-0005-0000-0000-00009CD00000}"/>
    <cellStyle name="Vírgula 5 10 3 2" xfId="52417" xr:uid="{00000000-0005-0000-0000-00009DD00000}"/>
    <cellStyle name="Vírgula 5 10 4" xfId="20319" xr:uid="{00000000-0005-0000-0000-00009ED00000}"/>
    <cellStyle name="Vírgula 5 10 4 2" xfId="46509" xr:uid="{00000000-0005-0000-0000-00009FD00000}"/>
    <cellStyle name="Vírgula 5 10 5" xfId="14399" xr:uid="{00000000-0005-0000-0000-0000A0D00000}"/>
    <cellStyle name="Vírgula 5 10 5 2" xfId="40592" xr:uid="{00000000-0005-0000-0000-0000A1D00000}"/>
    <cellStyle name="Vírgula 5 10 6" xfId="34206" xr:uid="{00000000-0005-0000-0000-0000A2D00000}"/>
    <cellStyle name="Vírgula 5 11" xfId="8041" xr:uid="{00000000-0005-0000-0000-0000A3D00000}"/>
    <cellStyle name="Vírgula 5 11 2" xfId="26255" xr:uid="{00000000-0005-0000-0000-0000A4D00000}"/>
    <cellStyle name="Vírgula 5 11 2 2" xfId="52439" xr:uid="{00000000-0005-0000-0000-0000A5D00000}"/>
    <cellStyle name="Vírgula 5 11 3" xfId="20341" xr:uid="{00000000-0005-0000-0000-0000A6D00000}"/>
    <cellStyle name="Vírgula 5 11 3 2" xfId="46531" xr:uid="{00000000-0005-0000-0000-0000A7D00000}"/>
    <cellStyle name="Vírgula 5 11 4" xfId="14430" xr:uid="{00000000-0005-0000-0000-0000A8D00000}"/>
    <cellStyle name="Vírgula 5 11 4 2" xfId="40623" xr:uid="{00000000-0005-0000-0000-0000A9D00000}"/>
    <cellStyle name="Vírgula 5 11 5" xfId="34237" xr:uid="{00000000-0005-0000-0000-0000AAD00000}"/>
    <cellStyle name="Vírgula 5 12" xfId="4616" xr:uid="{00000000-0005-0000-0000-0000ABD00000}"/>
    <cellStyle name="Vírgula 5 12 2" xfId="23298" xr:uid="{00000000-0005-0000-0000-0000ACD00000}"/>
    <cellStyle name="Vírgula 5 12 2 2" xfId="49485" xr:uid="{00000000-0005-0000-0000-0000ADD00000}"/>
    <cellStyle name="Vírgula 5 12 3" xfId="30816" xr:uid="{00000000-0005-0000-0000-0000AED00000}"/>
    <cellStyle name="Vírgula 5 13" xfId="17384" xr:uid="{00000000-0005-0000-0000-0000AFD00000}"/>
    <cellStyle name="Vírgula 5 13 2" xfId="43577" xr:uid="{00000000-0005-0000-0000-0000B0D00000}"/>
    <cellStyle name="Vírgula 5 14" xfId="11007" xr:uid="{00000000-0005-0000-0000-0000B1D00000}"/>
    <cellStyle name="Vírgula 5 14 2" xfId="37200" xr:uid="{00000000-0005-0000-0000-0000B2D00000}"/>
    <cellStyle name="Vírgula 5 15" xfId="29363" xr:uid="{00000000-0005-0000-0000-0000B3D00000}"/>
    <cellStyle name="Vírgula 5 2" xfId="4231" xr:uid="{00000000-0005-0000-0000-0000B4D00000}"/>
    <cellStyle name="Vírgula 5 2 10" xfId="8050" xr:uid="{00000000-0005-0000-0000-0000B5D00000}"/>
    <cellStyle name="Vírgula 5 2 10 2" xfId="26264" xr:uid="{00000000-0005-0000-0000-0000B6D00000}"/>
    <cellStyle name="Vírgula 5 2 10 2 2" xfId="52448" xr:uid="{00000000-0005-0000-0000-0000B7D00000}"/>
    <cellStyle name="Vírgula 5 2 10 3" xfId="20350" xr:uid="{00000000-0005-0000-0000-0000B8D00000}"/>
    <cellStyle name="Vírgula 5 2 10 3 2" xfId="46540" xr:uid="{00000000-0005-0000-0000-0000B9D00000}"/>
    <cellStyle name="Vírgula 5 2 10 4" xfId="14439" xr:uid="{00000000-0005-0000-0000-0000BAD00000}"/>
    <cellStyle name="Vírgula 5 2 10 4 2" xfId="40632" xr:uid="{00000000-0005-0000-0000-0000BBD00000}"/>
    <cellStyle name="Vírgula 5 2 10 5" xfId="34246" xr:uid="{00000000-0005-0000-0000-0000BCD00000}"/>
    <cellStyle name="Vírgula 5 2 11" xfId="4631" xr:uid="{00000000-0005-0000-0000-0000BDD00000}"/>
    <cellStyle name="Vírgula 5 2 11 2" xfId="23307" xr:uid="{00000000-0005-0000-0000-0000BED00000}"/>
    <cellStyle name="Vírgula 5 2 11 2 2" xfId="49494" xr:uid="{00000000-0005-0000-0000-0000BFD00000}"/>
    <cellStyle name="Vírgula 5 2 11 3" xfId="30831" xr:uid="{00000000-0005-0000-0000-0000C0D00000}"/>
    <cellStyle name="Vírgula 5 2 12" xfId="17393" xr:uid="{00000000-0005-0000-0000-0000C1D00000}"/>
    <cellStyle name="Vírgula 5 2 12 2" xfId="43586" xr:uid="{00000000-0005-0000-0000-0000C2D00000}"/>
    <cellStyle name="Vírgula 5 2 13" xfId="11022" xr:uid="{00000000-0005-0000-0000-0000C3D00000}"/>
    <cellStyle name="Vírgula 5 2 13 2" xfId="37215" xr:uid="{00000000-0005-0000-0000-0000C4D00000}"/>
    <cellStyle name="Vírgula 5 2 14" xfId="30431" xr:uid="{00000000-0005-0000-0000-0000C5D00000}"/>
    <cellStyle name="Vírgula 5 2 2" xfId="4266" xr:uid="{00000000-0005-0000-0000-0000C6D00000}"/>
    <cellStyle name="Vírgula 5 2 2 10" xfId="11057" xr:uid="{00000000-0005-0000-0000-0000C7D00000}"/>
    <cellStyle name="Vírgula 5 2 2 10 2" xfId="37250" xr:uid="{00000000-0005-0000-0000-0000C8D00000}"/>
    <cellStyle name="Vírgula 5 2 2 11" xfId="30466" xr:uid="{00000000-0005-0000-0000-0000C9D00000}"/>
    <cellStyle name="Vírgula 5 2 2 2" xfId="4343" xr:uid="{00000000-0005-0000-0000-0000CAD00000}"/>
    <cellStyle name="Vírgula 5 2 2 2 2" xfId="7744" xr:uid="{00000000-0005-0000-0000-0000CBD00000}"/>
    <cellStyle name="Vírgula 5 2 2 2 2 2" xfId="10823" xr:uid="{00000000-0005-0000-0000-0000CCD00000}"/>
    <cellStyle name="Vírgula 5 2 2 2 2 2 2" xfId="29037" xr:uid="{00000000-0005-0000-0000-0000CDD00000}"/>
    <cellStyle name="Vírgula 5 2 2 2 2 2 2 2" xfId="55218" xr:uid="{00000000-0005-0000-0000-0000CED00000}"/>
    <cellStyle name="Vírgula 5 2 2 2 2 2 3" xfId="23123" xr:uid="{00000000-0005-0000-0000-0000CFD00000}"/>
    <cellStyle name="Vírgula 5 2 2 2 2 2 3 2" xfId="49310" xr:uid="{00000000-0005-0000-0000-0000D0D00000}"/>
    <cellStyle name="Vírgula 5 2 2 2 2 2 4" xfId="17209" xr:uid="{00000000-0005-0000-0000-0000D1D00000}"/>
    <cellStyle name="Vírgula 5 2 2 2 2 2 4 2" xfId="43402" xr:uid="{00000000-0005-0000-0000-0000D2D00000}"/>
    <cellStyle name="Vírgula 5 2 2 2 2 2 5" xfId="37016" xr:uid="{00000000-0005-0000-0000-0000D3D00000}"/>
    <cellStyle name="Vírgula 5 2 2 2 2 3" xfId="26080" xr:uid="{00000000-0005-0000-0000-0000D4D00000}"/>
    <cellStyle name="Vírgula 5 2 2 2 2 3 2" xfId="52264" xr:uid="{00000000-0005-0000-0000-0000D5D00000}"/>
    <cellStyle name="Vírgula 5 2 2 2 2 4" xfId="20166" xr:uid="{00000000-0005-0000-0000-0000D6D00000}"/>
    <cellStyle name="Vírgula 5 2 2 2 2 4 2" xfId="46356" xr:uid="{00000000-0005-0000-0000-0000D7D00000}"/>
    <cellStyle name="Vírgula 5 2 2 2 2 5" xfId="14133" xr:uid="{00000000-0005-0000-0000-0000D8D00000}"/>
    <cellStyle name="Vírgula 5 2 2 2 2 5 2" xfId="40326" xr:uid="{00000000-0005-0000-0000-0000D9D00000}"/>
    <cellStyle name="Vírgula 5 2 2 2 2 6" xfId="33940" xr:uid="{00000000-0005-0000-0000-0000DAD00000}"/>
    <cellStyle name="Vírgula 5 2 2 2 3" xfId="9355" xr:uid="{00000000-0005-0000-0000-0000DBD00000}"/>
    <cellStyle name="Vírgula 5 2 2 2 3 2" xfId="27569" xr:uid="{00000000-0005-0000-0000-0000DCD00000}"/>
    <cellStyle name="Vírgula 5 2 2 2 3 2 2" xfId="53750" xr:uid="{00000000-0005-0000-0000-0000DDD00000}"/>
    <cellStyle name="Vírgula 5 2 2 2 3 3" xfId="21655" xr:uid="{00000000-0005-0000-0000-0000DED00000}"/>
    <cellStyle name="Vírgula 5 2 2 2 3 3 2" xfId="47842" xr:uid="{00000000-0005-0000-0000-0000DFD00000}"/>
    <cellStyle name="Vírgula 5 2 2 2 3 4" xfId="15741" xr:uid="{00000000-0005-0000-0000-0000E0D00000}"/>
    <cellStyle name="Vírgula 5 2 2 2 3 4 2" xfId="41934" xr:uid="{00000000-0005-0000-0000-0000E1D00000}"/>
    <cellStyle name="Vírgula 5 2 2 2 3 5" xfId="35548" xr:uid="{00000000-0005-0000-0000-0000E2D00000}"/>
    <cellStyle name="Vírgula 5 2 2 2 4" xfId="6044" xr:uid="{00000000-0005-0000-0000-0000E3D00000}"/>
    <cellStyle name="Vírgula 5 2 2 2 4 2" xfId="24612" xr:uid="{00000000-0005-0000-0000-0000E4D00000}"/>
    <cellStyle name="Vírgula 5 2 2 2 4 2 2" xfId="50796" xr:uid="{00000000-0005-0000-0000-0000E5D00000}"/>
    <cellStyle name="Vírgula 5 2 2 2 4 3" xfId="32240" xr:uid="{00000000-0005-0000-0000-0000E6D00000}"/>
    <cellStyle name="Vírgula 5 2 2 2 5" xfId="18698" xr:uid="{00000000-0005-0000-0000-0000E7D00000}"/>
    <cellStyle name="Vírgula 5 2 2 2 5 2" xfId="44888" xr:uid="{00000000-0005-0000-0000-0000E8D00000}"/>
    <cellStyle name="Vírgula 5 2 2 2 6" xfId="12432" xr:uid="{00000000-0005-0000-0000-0000E9D00000}"/>
    <cellStyle name="Vírgula 5 2 2 2 6 2" xfId="38625" xr:uid="{00000000-0005-0000-0000-0000EAD00000}"/>
    <cellStyle name="Vírgula 5 2 2 2 7" xfId="30543" xr:uid="{00000000-0005-0000-0000-0000EBD00000}"/>
    <cellStyle name="Vírgula 5 2 2 3" xfId="4451" xr:uid="{00000000-0005-0000-0000-0000ECD00000}"/>
    <cellStyle name="Vírgula 5 2 2 3 2" xfId="7853" xr:uid="{00000000-0005-0000-0000-0000EDD00000}"/>
    <cellStyle name="Vírgula 5 2 2 3 2 2" xfId="10885" xr:uid="{00000000-0005-0000-0000-0000EED00000}"/>
    <cellStyle name="Vírgula 5 2 2 3 2 2 2" xfId="29099" xr:uid="{00000000-0005-0000-0000-0000EFD00000}"/>
    <cellStyle name="Vírgula 5 2 2 3 2 2 2 2" xfId="55280" xr:uid="{00000000-0005-0000-0000-0000F0D00000}"/>
    <cellStyle name="Vírgula 5 2 2 3 2 2 3" xfId="23185" xr:uid="{00000000-0005-0000-0000-0000F1D00000}"/>
    <cellStyle name="Vírgula 5 2 2 3 2 2 3 2" xfId="49372" xr:uid="{00000000-0005-0000-0000-0000F2D00000}"/>
    <cellStyle name="Vírgula 5 2 2 3 2 2 4" xfId="17271" xr:uid="{00000000-0005-0000-0000-0000F3D00000}"/>
    <cellStyle name="Vírgula 5 2 2 3 2 2 4 2" xfId="43464" xr:uid="{00000000-0005-0000-0000-0000F4D00000}"/>
    <cellStyle name="Vírgula 5 2 2 3 2 2 5" xfId="37078" xr:uid="{00000000-0005-0000-0000-0000F5D00000}"/>
    <cellStyle name="Vírgula 5 2 2 3 2 3" xfId="26142" xr:uid="{00000000-0005-0000-0000-0000F6D00000}"/>
    <cellStyle name="Vírgula 5 2 2 3 2 3 2" xfId="52326" xr:uid="{00000000-0005-0000-0000-0000F7D00000}"/>
    <cellStyle name="Vírgula 5 2 2 3 2 4" xfId="20228" xr:uid="{00000000-0005-0000-0000-0000F8D00000}"/>
    <cellStyle name="Vírgula 5 2 2 3 2 4 2" xfId="46418" xr:uid="{00000000-0005-0000-0000-0000F9D00000}"/>
    <cellStyle name="Vírgula 5 2 2 3 2 5" xfId="14242" xr:uid="{00000000-0005-0000-0000-0000FAD00000}"/>
    <cellStyle name="Vírgula 5 2 2 3 2 5 2" xfId="40435" xr:uid="{00000000-0005-0000-0000-0000FBD00000}"/>
    <cellStyle name="Vírgula 5 2 2 3 2 6" xfId="34049" xr:uid="{00000000-0005-0000-0000-0000FCD00000}"/>
    <cellStyle name="Vírgula 5 2 2 3 3" xfId="9417" xr:uid="{00000000-0005-0000-0000-0000FDD00000}"/>
    <cellStyle name="Vírgula 5 2 2 3 3 2" xfId="27631" xr:uid="{00000000-0005-0000-0000-0000FED00000}"/>
    <cellStyle name="Vírgula 5 2 2 3 3 2 2" xfId="53812" xr:uid="{00000000-0005-0000-0000-0000FFD00000}"/>
    <cellStyle name="Vírgula 5 2 2 3 3 3" xfId="21717" xr:uid="{00000000-0005-0000-0000-000000D10000}"/>
    <cellStyle name="Vírgula 5 2 2 3 3 3 2" xfId="47904" xr:uid="{00000000-0005-0000-0000-000001D10000}"/>
    <cellStyle name="Vírgula 5 2 2 3 3 4" xfId="15803" xr:uid="{00000000-0005-0000-0000-000002D10000}"/>
    <cellStyle name="Vírgula 5 2 2 3 3 4 2" xfId="41996" xr:uid="{00000000-0005-0000-0000-000003D10000}"/>
    <cellStyle name="Vírgula 5 2 2 3 3 5" xfId="35610" xr:uid="{00000000-0005-0000-0000-000004D10000}"/>
    <cellStyle name="Vírgula 5 2 2 3 4" xfId="6153" xr:uid="{00000000-0005-0000-0000-000005D10000}"/>
    <cellStyle name="Vírgula 5 2 2 3 4 2" xfId="24674" xr:uid="{00000000-0005-0000-0000-000006D10000}"/>
    <cellStyle name="Vírgula 5 2 2 3 4 2 2" xfId="50858" xr:uid="{00000000-0005-0000-0000-000007D10000}"/>
    <cellStyle name="Vírgula 5 2 2 3 4 3" xfId="32349" xr:uid="{00000000-0005-0000-0000-000008D10000}"/>
    <cellStyle name="Vírgula 5 2 2 3 5" xfId="18760" xr:uid="{00000000-0005-0000-0000-000009D10000}"/>
    <cellStyle name="Vírgula 5 2 2 3 5 2" xfId="44950" xr:uid="{00000000-0005-0000-0000-00000AD10000}"/>
    <cellStyle name="Vírgula 5 2 2 3 6" xfId="12541" xr:uid="{00000000-0005-0000-0000-00000BD10000}"/>
    <cellStyle name="Vírgula 5 2 2 3 6 2" xfId="38734" xr:uid="{00000000-0005-0000-0000-00000CD10000}"/>
    <cellStyle name="Vírgula 5 2 2 3 7" xfId="30651" xr:uid="{00000000-0005-0000-0000-00000DD10000}"/>
    <cellStyle name="Vírgula 5 2 2 4" xfId="4559" xr:uid="{00000000-0005-0000-0000-00000ED10000}"/>
    <cellStyle name="Vírgula 5 2 2 4 2" xfId="7961" xr:uid="{00000000-0005-0000-0000-00000FD10000}"/>
    <cellStyle name="Vírgula 5 2 2 4 2 2" xfId="10947" xr:uid="{00000000-0005-0000-0000-000010D10000}"/>
    <cellStyle name="Vírgula 5 2 2 4 2 2 2" xfId="29161" xr:uid="{00000000-0005-0000-0000-000011D10000}"/>
    <cellStyle name="Vírgula 5 2 2 4 2 2 2 2" xfId="55342" xr:uid="{00000000-0005-0000-0000-000012D10000}"/>
    <cellStyle name="Vírgula 5 2 2 4 2 2 3" xfId="23247" xr:uid="{00000000-0005-0000-0000-000013D10000}"/>
    <cellStyle name="Vírgula 5 2 2 4 2 2 3 2" xfId="49434" xr:uid="{00000000-0005-0000-0000-000014D10000}"/>
    <cellStyle name="Vírgula 5 2 2 4 2 2 4" xfId="17333" xr:uid="{00000000-0005-0000-0000-000015D10000}"/>
    <cellStyle name="Vírgula 5 2 2 4 2 2 4 2" xfId="43526" xr:uid="{00000000-0005-0000-0000-000016D10000}"/>
    <cellStyle name="Vírgula 5 2 2 4 2 2 5" xfId="37140" xr:uid="{00000000-0005-0000-0000-000017D10000}"/>
    <cellStyle name="Vírgula 5 2 2 4 2 3" xfId="26204" xr:uid="{00000000-0005-0000-0000-000018D10000}"/>
    <cellStyle name="Vírgula 5 2 2 4 2 3 2" xfId="52388" xr:uid="{00000000-0005-0000-0000-000019D10000}"/>
    <cellStyle name="Vírgula 5 2 2 4 2 4" xfId="20290" xr:uid="{00000000-0005-0000-0000-00001AD10000}"/>
    <cellStyle name="Vírgula 5 2 2 4 2 4 2" xfId="46480" xr:uid="{00000000-0005-0000-0000-00001BD10000}"/>
    <cellStyle name="Vírgula 5 2 2 4 2 5" xfId="14350" xr:uid="{00000000-0005-0000-0000-00001CD10000}"/>
    <cellStyle name="Vírgula 5 2 2 4 2 5 2" xfId="40543" xr:uid="{00000000-0005-0000-0000-00001DD10000}"/>
    <cellStyle name="Vírgula 5 2 2 4 2 6" xfId="34157" xr:uid="{00000000-0005-0000-0000-00001ED10000}"/>
    <cellStyle name="Vírgula 5 2 2 4 3" xfId="9479" xr:uid="{00000000-0005-0000-0000-00001FD10000}"/>
    <cellStyle name="Vírgula 5 2 2 4 3 2" xfId="27693" xr:uid="{00000000-0005-0000-0000-000020D10000}"/>
    <cellStyle name="Vírgula 5 2 2 4 3 2 2" xfId="53874" xr:uid="{00000000-0005-0000-0000-000021D10000}"/>
    <cellStyle name="Vírgula 5 2 2 4 3 3" xfId="21779" xr:uid="{00000000-0005-0000-0000-000022D10000}"/>
    <cellStyle name="Vírgula 5 2 2 4 3 3 2" xfId="47966" xr:uid="{00000000-0005-0000-0000-000023D10000}"/>
    <cellStyle name="Vírgula 5 2 2 4 3 4" xfId="15865" xr:uid="{00000000-0005-0000-0000-000024D10000}"/>
    <cellStyle name="Vírgula 5 2 2 4 3 4 2" xfId="42058" xr:uid="{00000000-0005-0000-0000-000025D10000}"/>
    <cellStyle name="Vírgula 5 2 2 4 3 5" xfId="35672" xr:uid="{00000000-0005-0000-0000-000026D10000}"/>
    <cellStyle name="Vírgula 5 2 2 4 4" xfId="6260" xr:uid="{00000000-0005-0000-0000-000027D10000}"/>
    <cellStyle name="Vírgula 5 2 2 4 4 2" xfId="24736" xr:uid="{00000000-0005-0000-0000-000028D10000}"/>
    <cellStyle name="Vírgula 5 2 2 4 4 2 2" xfId="50920" xr:uid="{00000000-0005-0000-0000-000029D10000}"/>
    <cellStyle name="Vírgula 5 2 2 4 4 3" xfId="32456" xr:uid="{00000000-0005-0000-0000-00002AD10000}"/>
    <cellStyle name="Vírgula 5 2 2 4 5" xfId="18822" xr:uid="{00000000-0005-0000-0000-00002BD10000}"/>
    <cellStyle name="Vírgula 5 2 2 4 5 2" xfId="45012" xr:uid="{00000000-0005-0000-0000-00002CD10000}"/>
    <cellStyle name="Vírgula 5 2 2 4 6" xfId="12649" xr:uid="{00000000-0005-0000-0000-00002DD10000}"/>
    <cellStyle name="Vírgula 5 2 2 4 6 2" xfId="38842" xr:uid="{00000000-0005-0000-0000-00002ED10000}"/>
    <cellStyle name="Vírgula 5 2 2 4 7" xfId="30759" xr:uid="{00000000-0005-0000-0000-00002FD10000}"/>
    <cellStyle name="Vírgula 5 2 2 5" xfId="5967" xr:uid="{00000000-0005-0000-0000-000030D10000}"/>
    <cellStyle name="Vírgula 5 2 2 5 2" xfId="7667" xr:uid="{00000000-0005-0000-0000-000031D10000}"/>
    <cellStyle name="Vírgula 5 2 2 5 2 2" xfId="10780" xr:uid="{00000000-0005-0000-0000-000032D10000}"/>
    <cellStyle name="Vírgula 5 2 2 5 2 2 2" xfId="28994" xr:uid="{00000000-0005-0000-0000-000033D10000}"/>
    <cellStyle name="Vírgula 5 2 2 5 2 2 2 2" xfId="55175" xr:uid="{00000000-0005-0000-0000-000034D10000}"/>
    <cellStyle name="Vírgula 5 2 2 5 2 2 3" xfId="23080" xr:uid="{00000000-0005-0000-0000-000035D10000}"/>
    <cellStyle name="Vírgula 5 2 2 5 2 2 3 2" xfId="49267" xr:uid="{00000000-0005-0000-0000-000036D10000}"/>
    <cellStyle name="Vírgula 5 2 2 5 2 2 4" xfId="17166" xr:uid="{00000000-0005-0000-0000-000037D10000}"/>
    <cellStyle name="Vírgula 5 2 2 5 2 2 4 2" xfId="43359" xr:uid="{00000000-0005-0000-0000-000038D10000}"/>
    <cellStyle name="Vírgula 5 2 2 5 2 2 5" xfId="36973" xr:uid="{00000000-0005-0000-0000-000039D10000}"/>
    <cellStyle name="Vírgula 5 2 2 5 2 3" xfId="26037" xr:uid="{00000000-0005-0000-0000-00003AD10000}"/>
    <cellStyle name="Vírgula 5 2 2 5 2 3 2" xfId="52221" xr:uid="{00000000-0005-0000-0000-00003BD10000}"/>
    <cellStyle name="Vírgula 5 2 2 5 2 4" xfId="20123" xr:uid="{00000000-0005-0000-0000-00003CD10000}"/>
    <cellStyle name="Vírgula 5 2 2 5 2 4 2" xfId="46313" xr:uid="{00000000-0005-0000-0000-00003DD10000}"/>
    <cellStyle name="Vírgula 5 2 2 5 2 5" xfId="14056" xr:uid="{00000000-0005-0000-0000-00003ED10000}"/>
    <cellStyle name="Vírgula 5 2 2 5 2 5 2" xfId="40249" xr:uid="{00000000-0005-0000-0000-00003FD10000}"/>
    <cellStyle name="Vírgula 5 2 2 5 2 6" xfId="33863" xr:uid="{00000000-0005-0000-0000-000040D10000}"/>
    <cellStyle name="Vírgula 5 2 2 5 3" xfId="9312" xr:uid="{00000000-0005-0000-0000-000041D10000}"/>
    <cellStyle name="Vírgula 5 2 2 5 3 2" xfId="27526" xr:uid="{00000000-0005-0000-0000-000042D10000}"/>
    <cellStyle name="Vírgula 5 2 2 5 3 2 2" xfId="53707" xr:uid="{00000000-0005-0000-0000-000043D10000}"/>
    <cellStyle name="Vírgula 5 2 2 5 3 3" xfId="21612" xr:uid="{00000000-0005-0000-0000-000044D10000}"/>
    <cellStyle name="Vírgula 5 2 2 5 3 3 2" xfId="47799" xr:uid="{00000000-0005-0000-0000-000045D10000}"/>
    <cellStyle name="Vírgula 5 2 2 5 3 4" xfId="15698" xr:uid="{00000000-0005-0000-0000-000046D10000}"/>
    <cellStyle name="Vírgula 5 2 2 5 3 4 2" xfId="41891" xr:uid="{00000000-0005-0000-0000-000047D10000}"/>
    <cellStyle name="Vírgula 5 2 2 5 3 5" xfId="35505" xr:uid="{00000000-0005-0000-0000-000048D10000}"/>
    <cellStyle name="Vírgula 5 2 2 5 4" xfId="24569" xr:uid="{00000000-0005-0000-0000-000049D10000}"/>
    <cellStyle name="Vírgula 5 2 2 5 4 2" xfId="50753" xr:uid="{00000000-0005-0000-0000-00004AD10000}"/>
    <cellStyle name="Vírgula 5 2 2 5 5" xfId="18655" xr:uid="{00000000-0005-0000-0000-00004BD10000}"/>
    <cellStyle name="Vírgula 5 2 2 5 5 2" xfId="44845" xr:uid="{00000000-0005-0000-0000-00004CD10000}"/>
    <cellStyle name="Vírgula 5 2 2 5 6" xfId="12355" xr:uid="{00000000-0005-0000-0000-00004DD10000}"/>
    <cellStyle name="Vírgula 5 2 2 5 6 2" xfId="38548" xr:uid="{00000000-0005-0000-0000-00004ED10000}"/>
    <cellStyle name="Vírgula 5 2 2 5 7" xfId="32163" xr:uid="{00000000-0005-0000-0000-00004FD10000}"/>
    <cellStyle name="Vírgula 5 2 2 6" xfId="6369" xr:uid="{00000000-0005-0000-0000-000050D10000}"/>
    <cellStyle name="Vírgula 5 2 2 6 2" xfId="9541" xr:uid="{00000000-0005-0000-0000-000051D10000}"/>
    <cellStyle name="Vírgula 5 2 2 6 2 2" xfId="27755" xr:uid="{00000000-0005-0000-0000-000052D10000}"/>
    <cellStyle name="Vírgula 5 2 2 6 2 2 2" xfId="53936" xr:uid="{00000000-0005-0000-0000-000053D10000}"/>
    <cellStyle name="Vírgula 5 2 2 6 2 3" xfId="21841" xr:uid="{00000000-0005-0000-0000-000054D10000}"/>
    <cellStyle name="Vírgula 5 2 2 6 2 3 2" xfId="48028" xr:uid="{00000000-0005-0000-0000-000055D10000}"/>
    <cellStyle name="Vírgula 5 2 2 6 2 4" xfId="15927" xr:uid="{00000000-0005-0000-0000-000056D10000}"/>
    <cellStyle name="Vírgula 5 2 2 6 2 4 2" xfId="42120" xr:uid="{00000000-0005-0000-0000-000057D10000}"/>
    <cellStyle name="Vírgula 5 2 2 6 2 5" xfId="35734" xr:uid="{00000000-0005-0000-0000-000058D10000}"/>
    <cellStyle name="Vírgula 5 2 2 6 3" xfId="24798" xr:uid="{00000000-0005-0000-0000-000059D10000}"/>
    <cellStyle name="Vírgula 5 2 2 6 3 2" xfId="50982" xr:uid="{00000000-0005-0000-0000-00005AD10000}"/>
    <cellStyle name="Vírgula 5 2 2 6 4" xfId="18884" xr:uid="{00000000-0005-0000-0000-00005BD10000}"/>
    <cellStyle name="Vírgula 5 2 2 6 4 2" xfId="45074" xr:uid="{00000000-0005-0000-0000-00005CD10000}"/>
    <cellStyle name="Vírgula 5 2 2 6 5" xfId="12758" xr:uid="{00000000-0005-0000-0000-00005DD10000}"/>
    <cellStyle name="Vírgula 5 2 2 6 5 2" xfId="38951" xr:uid="{00000000-0005-0000-0000-00005ED10000}"/>
    <cellStyle name="Vírgula 5 2 2 6 6" xfId="32565" xr:uid="{00000000-0005-0000-0000-00005FD10000}"/>
    <cellStyle name="Vírgula 5 2 2 7" xfId="8070" xr:uid="{00000000-0005-0000-0000-000060D10000}"/>
    <cellStyle name="Vírgula 5 2 2 7 2" xfId="26284" xr:uid="{00000000-0005-0000-0000-000061D10000}"/>
    <cellStyle name="Vírgula 5 2 2 7 2 2" xfId="52468" xr:uid="{00000000-0005-0000-0000-000062D10000}"/>
    <cellStyle name="Vírgula 5 2 2 7 3" xfId="20370" xr:uid="{00000000-0005-0000-0000-000063D10000}"/>
    <cellStyle name="Vírgula 5 2 2 7 3 2" xfId="46560" xr:uid="{00000000-0005-0000-0000-000064D10000}"/>
    <cellStyle name="Vírgula 5 2 2 7 4" xfId="14459" xr:uid="{00000000-0005-0000-0000-000065D10000}"/>
    <cellStyle name="Vírgula 5 2 2 7 4 2" xfId="40652" xr:uid="{00000000-0005-0000-0000-000066D10000}"/>
    <cellStyle name="Vírgula 5 2 2 7 5" xfId="34266" xr:uid="{00000000-0005-0000-0000-000067D10000}"/>
    <cellStyle name="Vírgula 5 2 2 8" xfId="4666" xr:uid="{00000000-0005-0000-0000-000068D10000}"/>
    <cellStyle name="Vírgula 5 2 2 8 2" xfId="23327" xr:uid="{00000000-0005-0000-0000-000069D10000}"/>
    <cellStyle name="Vírgula 5 2 2 8 2 2" xfId="49514" xr:uid="{00000000-0005-0000-0000-00006AD10000}"/>
    <cellStyle name="Vírgula 5 2 2 8 3" xfId="30866" xr:uid="{00000000-0005-0000-0000-00006BD10000}"/>
    <cellStyle name="Vírgula 5 2 2 9" xfId="17413" xr:uid="{00000000-0005-0000-0000-00006CD10000}"/>
    <cellStyle name="Vírgula 5 2 2 9 2" xfId="43606" xr:uid="{00000000-0005-0000-0000-00006DD10000}"/>
    <cellStyle name="Vírgula 5 2 3" xfId="4375" xr:uid="{00000000-0005-0000-0000-00006ED10000}"/>
    <cellStyle name="Vírgula 5 2 3 10" xfId="30575" xr:uid="{00000000-0005-0000-0000-00006FD10000}"/>
    <cellStyle name="Vírgula 5 2 3 2" xfId="4483" xr:uid="{00000000-0005-0000-0000-000070D10000}"/>
    <cellStyle name="Vírgula 5 2 3 2 2" xfId="7885" xr:uid="{00000000-0005-0000-0000-000071D10000}"/>
    <cellStyle name="Vírgula 5 2 3 2 2 2" xfId="10904" xr:uid="{00000000-0005-0000-0000-000072D10000}"/>
    <cellStyle name="Vírgula 5 2 3 2 2 2 2" xfId="29118" xr:uid="{00000000-0005-0000-0000-000073D10000}"/>
    <cellStyle name="Vírgula 5 2 3 2 2 2 2 2" xfId="55299" xr:uid="{00000000-0005-0000-0000-000074D10000}"/>
    <cellStyle name="Vírgula 5 2 3 2 2 2 3" xfId="23204" xr:uid="{00000000-0005-0000-0000-000075D10000}"/>
    <cellStyle name="Vírgula 5 2 3 2 2 2 3 2" xfId="49391" xr:uid="{00000000-0005-0000-0000-000076D10000}"/>
    <cellStyle name="Vírgula 5 2 3 2 2 2 4" xfId="17290" xr:uid="{00000000-0005-0000-0000-000077D10000}"/>
    <cellStyle name="Vírgula 5 2 3 2 2 2 4 2" xfId="43483" xr:uid="{00000000-0005-0000-0000-000078D10000}"/>
    <cellStyle name="Vírgula 5 2 3 2 2 2 5" xfId="37097" xr:uid="{00000000-0005-0000-0000-000079D10000}"/>
    <cellStyle name="Vírgula 5 2 3 2 2 3" xfId="26161" xr:uid="{00000000-0005-0000-0000-00007AD10000}"/>
    <cellStyle name="Vírgula 5 2 3 2 2 3 2" xfId="52345" xr:uid="{00000000-0005-0000-0000-00007BD10000}"/>
    <cellStyle name="Vírgula 5 2 3 2 2 4" xfId="20247" xr:uid="{00000000-0005-0000-0000-00007CD10000}"/>
    <cellStyle name="Vírgula 5 2 3 2 2 4 2" xfId="46437" xr:uid="{00000000-0005-0000-0000-00007DD10000}"/>
    <cellStyle name="Vírgula 5 2 3 2 2 5" xfId="14274" xr:uid="{00000000-0005-0000-0000-00007ED10000}"/>
    <cellStyle name="Vírgula 5 2 3 2 2 5 2" xfId="40467" xr:uid="{00000000-0005-0000-0000-00007FD10000}"/>
    <cellStyle name="Vírgula 5 2 3 2 2 6" xfId="34081" xr:uid="{00000000-0005-0000-0000-000080D10000}"/>
    <cellStyle name="Vírgula 5 2 3 2 3" xfId="9436" xr:uid="{00000000-0005-0000-0000-000081D10000}"/>
    <cellStyle name="Vírgula 5 2 3 2 3 2" xfId="27650" xr:uid="{00000000-0005-0000-0000-000082D10000}"/>
    <cellStyle name="Vírgula 5 2 3 2 3 2 2" xfId="53831" xr:uid="{00000000-0005-0000-0000-000083D10000}"/>
    <cellStyle name="Vírgula 5 2 3 2 3 3" xfId="21736" xr:uid="{00000000-0005-0000-0000-000084D10000}"/>
    <cellStyle name="Vírgula 5 2 3 2 3 3 2" xfId="47923" xr:uid="{00000000-0005-0000-0000-000085D10000}"/>
    <cellStyle name="Vírgula 5 2 3 2 3 4" xfId="15822" xr:uid="{00000000-0005-0000-0000-000086D10000}"/>
    <cellStyle name="Vírgula 5 2 3 2 3 4 2" xfId="42015" xr:uid="{00000000-0005-0000-0000-000087D10000}"/>
    <cellStyle name="Vírgula 5 2 3 2 3 5" xfId="35629" xr:uid="{00000000-0005-0000-0000-000088D10000}"/>
    <cellStyle name="Vírgula 5 2 3 2 4" xfId="6184" xr:uid="{00000000-0005-0000-0000-000089D10000}"/>
    <cellStyle name="Vírgula 5 2 3 2 4 2" xfId="24693" xr:uid="{00000000-0005-0000-0000-00008AD10000}"/>
    <cellStyle name="Vírgula 5 2 3 2 4 2 2" xfId="50877" xr:uid="{00000000-0005-0000-0000-00008BD10000}"/>
    <cellStyle name="Vírgula 5 2 3 2 4 3" xfId="32380" xr:uid="{00000000-0005-0000-0000-00008CD10000}"/>
    <cellStyle name="Vírgula 5 2 3 2 5" xfId="18779" xr:uid="{00000000-0005-0000-0000-00008DD10000}"/>
    <cellStyle name="Vírgula 5 2 3 2 5 2" xfId="44969" xr:uid="{00000000-0005-0000-0000-00008ED10000}"/>
    <cellStyle name="Vírgula 5 2 3 2 6" xfId="12573" xr:uid="{00000000-0005-0000-0000-00008FD10000}"/>
    <cellStyle name="Vírgula 5 2 3 2 6 2" xfId="38766" xr:uid="{00000000-0005-0000-0000-000090D10000}"/>
    <cellStyle name="Vírgula 5 2 3 2 7" xfId="30683" xr:uid="{00000000-0005-0000-0000-000091D10000}"/>
    <cellStyle name="Vírgula 5 2 3 3" xfId="4591" xr:uid="{00000000-0005-0000-0000-000092D10000}"/>
    <cellStyle name="Vírgula 5 2 3 3 2" xfId="7994" xr:uid="{00000000-0005-0000-0000-000093D10000}"/>
    <cellStyle name="Vírgula 5 2 3 3 2 2" xfId="10966" xr:uid="{00000000-0005-0000-0000-000094D10000}"/>
    <cellStyle name="Vírgula 5 2 3 3 2 2 2" xfId="29180" xr:uid="{00000000-0005-0000-0000-000095D10000}"/>
    <cellStyle name="Vírgula 5 2 3 3 2 2 2 2" xfId="55361" xr:uid="{00000000-0005-0000-0000-000096D10000}"/>
    <cellStyle name="Vírgula 5 2 3 3 2 2 3" xfId="23266" xr:uid="{00000000-0005-0000-0000-000097D10000}"/>
    <cellStyle name="Vírgula 5 2 3 3 2 2 3 2" xfId="49453" xr:uid="{00000000-0005-0000-0000-000098D10000}"/>
    <cellStyle name="Vírgula 5 2 3 3 2 2 4" xfId="17352" xr:uid="{00000000-0005-0000-0000-000099D10000}"/>
    <cellStyle name="Vírgula 5 2 3 3 2 2 4 2" xfId="43545" xr:uid="{00000000-0005-0000-0000-00009AD10000}"/>
    <cellStyle name="Vírgula 5 2 3 3 2 2 5" xfId="37159" xr:uid="{00000000-0005-0000-0000-00009BD10000}"/>
    <cellStyle name="Vírgula 5 2 3 3 2 3" xfId="26223" xr:uid="{00000000-0005-0000-0000-00009CD10000}"/>
    <cellStyle name="Vírgula 5 2 3 3 2 3 2" xfId="52407" xr:uid="{00000000-0005-0000-0000-00009DD10000}"/>
    <cellStyle name="Vírgula 5 2 3 3 2 4" xfId="20309" xr:uid="{00000000-0005-0000-0000-00009ED10000}"/>
    <cellStyle name="Vírgula 5 2 3 3 2 4 2" xfId="46499" xr:uid="{00000000-0005-0000-0000-00009FD10000}"/>
    <cellStyle name="Vírgula 5 2 3 3 2 5" xfId="14383" xr:uid="{00000000-0005-0000-0000-0000A0D10000}"/>
    <cellStyle name="Vírgula 5 2 3 3 2 5 2" xfId="40576" xr:uid="{00000000-0005-0000-0000-0000A1D10000}"/>
    <cellStyle name="Vírgula 5 2 3 3 2 6" xfId="34190" xr:uid="{00000000-0005-0000-0000-0000A2D10000}"/>
    <cellStyle name="Vírgula 5 2 3 3 3" xfId="9498" xr:uid="{00000000-0005-0000-0000-0000A3D10000}"/>
    <cellStyle name="Vírgula 5 2 3 3 3 2" xfId="27712" xr:uid="{00000000-0005-0000-0000-0000A4D10000}"/>
    <cellStyle name="Vírgula 5 2 3 3 3 2 2" xfId="53893" xr:uid="{00000000-0005-0000-0000-0000A5D10000}"/>
    <cellStyle name="Vírgula 5 2 3 3 3 3" xfId="21798" xr:uid="{00000000-0005-0000-0000-0000A6D10000}"/>
    <cellStyle name="Vírgula 5 2 3 3 3 3 2" xfId="47985" xr:uid="{00000000-0005-0000-0000-0000A7D10000}"/>
    <cellStyle name="Vírgula 5 2 3 3 3 4" xfId="15884" xr:uid="{00000000-0005-0000-0000-0000A8D10000}"/>
    <cellStyle name="Vírgula 5 2 3 3 3 4 2" xfId="42077" xr:uid="{00000000-0005-0000-0000-0000A9D10000}"/>
    <cellStyle name="Vírgula 5 2 3 3 3 5" xfId="35691" xr:uid="{00000000-0005-0000-0000-0000AAD10000}"/>
    <cellStyle name="Vírgula 5 2 3 3 4" xfId="6293" xr:uid="{00000000-0005-0000-0000-0000ABD10000}"/>
    <cellStyle name="Vírgula 5 2 3 3 4 2" xfId="24755" xr:uid="{00000000-0005-0000-0000-0000ACD10000}"/>
    <cellStyle name="Vírgula 5 2 3 3 4 2 2" xfId="50939" xr:uid="{00000000-0005-0000-0000-0000ADD10000}"/>
    <cellStyle name="Vírgula 5 2 3 3 4 3" xfId="32489" xr:uid="{00000000-0005-0000-0000-0000AED10000}"/>
    <cellStyle name="Vírgula 5 2 3 3 5" xfId="18841" xr:uid="{00000000-0005-0000-0000-0000AFD10000}"/>
    <cellStyle name="Vírgula 5 2 3 3 5 2" xfId="45031" xr:uid="{00000000-0005-0000-0000-0000B0D10000}"/>
    <cellStyle name="Vírgula 5 2 3 3 6" xfId="12682" xr:uid="{00000000-0005-0000-0000-0000B1D10000}"/>
    <cellStyle name="Vírgula 5 2 3 3 6 2" xfId="38875" xr:uid="{00000000-0005-0000-0000-0000B2D10000}"/>
    <cellStyle name="Vírgula 5 2 3 3 7" xfId="30791" xr:uid="{00000000-0005-0000-0000-0000B3D10000}"/>
    <cellStyle name="Vírgula 5 2 3 4" xfId="6077" xr:uid="{00000000-0005-0000-0000-0000B4D10000}"/>
    <cellStyle name="Vírgula 5 2 3 4 2" xfId="7777" xr:uid="{00000000-0005-0000-0000-0000B5D10000}"/>
    <cellStyle name="Vírgula 5 2 3 4 2 2" xfId="10842" xr:uid="{00000000-0005-0000-0000-0000B6D10000}"/>
    <cellStyle name="Vírgula 5 2 3 4 2 2 2" xfId="29056" xr:uid="{00000000-0005-0000-0000-0000B7D10000}"/>
    <cellStyle name="Vírgula 5 2 3 4 2 2 2 2" xfId="55237" xr:uid="{00000000-0005-0000-0000-0000B8D10000}"/>
    <cellStyle name="Vírgula 5 2 3 4 2 2 3" xfId="23142" xr:uid="{00000000-0005-0000-0000-0000B9D10000}"/>
    <cellStyle name="Vírgula 5 2 3 4 2 2 3 2" xfId="49329" xr:uid="{00000000-0005-0000-0000-0000BAD10000}"/>
    <cellStyle name="Vírgula 5 2 3 4 2 2 4" xfId="17228" xr:uid="{00000000-0005-0000-0000-0000BBD10000}"/>
    <cellStyle name="Vírgula 5 2 3 4 2 2 4 2" xfId="43421" xr:uid="{00000000-0005-0000-0000-0000BCD10000}"/>
    <cellStyle name="Vírgula 5 2 3 4 2 2 5" xfId="37035" xr:uid="{00000000-0005-0000-0000-0000BDD10000}"/>
    <cellStyle name="Vírgula 5 2 3 4 2 3" xfId="26099" xr:uid="{00000000-0005-0000-0000-0000BED10000}"/>
    <cellStyle name="Vírgula 5 2 3 4 2 3 2" xfId="52283" xr:uid="{00000000-0005-0000-0000-0000BFD10000}"/>
    <cellStyle name="Vírgula 5 2 3 4 2 4" xfId="20185" xr:uid="{00000000-0005-0000-0000-0000C0D10000}"/>
    <cellStyle name="Vírgula 5 2 3 4 2 4 2" xfId="46375" xr:uid="{00000000-0005-0000-0000-0000C1D10000}"/>
    <cellStyle name="Vírgula 5 2 3 4 2 5" xfId="14166" xr:uid="{00000000-0005-0000-0000-0000C2D10000}"/>
    <cellStyle name="Vírgula 5 2 3 4 2 5 2" xfId="40359" xr:uid="{00000000-0005-0000-0000-0000C3D10000}"/>
    <cellStyle name="Vírgula 5 2 3 4 2 6" xfId="33973" xr:uid="{00000000-0005-0000-0000-0000C4D10000}"/>
    <cellStyle name="Vírgula 5 2 3 4 3" xfId="9374" xr:uid="{00000000-0005-0000-0000-0000C5D10000}"/>
    <cellStyle name="Vírgula 5 2 3 4 3 2" xfId="27588" xr:uid="{00000000-0005-0000-0000-0000C6D10000}"/>
    <cellStyle name="Vírgula 5 2 3 4 3 2 2" xfId="53769" xr:uid="{00000000-0005-0000-0000-0000C7D10000}"/>
    <cellStyle name="Vírgula 5 2 3 4 3 3" xfId="21674" xr:uid="{00000000-0005-0000-0000-0000C8D10000}"/>
    <cellStyle name="Vírgula 5 2 3 4 3 3 2" xfId="47861" xr:uid="{00000000-0005-0000-0000-0000C9D10000}"/>
    <cellStyle name="Vírgula 5 2 3 4 3 4" xfId="15760" xr:uid="{00000000-0005-0000-0000-0000CAD10000}"/>
    <cellStyle name="Vírgula 5 2 3 4 3 4 2" xfId="41953" xr:uid="{00000000-0005-0000-0000-0000CBD10000}"/>
    <cellStyle name="Vírgula 5 2 3 4 3 5" xfId="35567" xr:uid="{00000000-0005-0000-0000-0000CCD10000}"/>
    <cellStyle name="Vírgula 5 2 3 4 4" xfId="24631" xr:uid="{00000000-0005-0000-0000-0000CDD10000}"/>
    <cellStyle name="Vírgula 5 2 3 4 4 2" xfId="50815" xr:uid="{00000000-0005-0000-0000-0000CED10000}"/>
    <cellStyle name="Vírgula 5 2 3 4 5" xfId="18717" xr:uid="{00000000-0005-0000-0000-0000CFD10000}"/>
    <cellStyle name="Vírgula 5 2 3 4 5 2" xfId="44907" xr:uid="{00000000-0005-0000-0000-0000D0D10000}"/>
    <cellStyle name="Vírgula 5 2 3 4 6" xfId="12465" xr:uid="{00000000-0005-0000-0000-0000D1D10000}"/>
    <cellStyle name="Vírgula 5 2 3 4 6 2" xfId="38658" xr:uid="{00000000-0005-0000-0000-0000D2D10000}"/>
    <cellStyle name="Vírgula 5 2 3 4 7" xfId="32273" xr:uid="{00000000-0005-0000-0000-0000D3D10000}"/>
    <cellStyle name="Vírgula 5 2 3 5" xfId="6402" xr:uid="{00000000-0005-0000-0000-0000D4D10000}"/>
    <cellStyle name="Vírgula 5 2 3 5 2" xfId="9560" xr:uid="{00000000-0005-0000-0000-0000D5D10000}"/>
    <cellStyle name="Vírgula 5 2 3 5 2 2" xfId="27774" xr:uid="{00000000-0005-0000-0000-0000D6D10000}"/>
    <cellStyle name="Vírgula 5 2 3 5 2 2 2" xfId="53955" xr:uid="{00000000-0005-0000-0000-0000D7D10000}"/>
    <cellStyle name="Vírgula 5 2 3 5 2 3" xfId="21860" xr:uid="{00000000-0005-0000-0000-0000D8D10000}"/>
    <cellStyle name="Vírgula 5 2 3 5 2 3 2" xfId="48047" xr:uid="{00000000-0005-0000-0000-0000D9D10000}"/>
    <cellStyle name="Vírgula 5 2 3 5 2 4" xfId="15946" xr:uid="{00000000-0005-0000-0000-0000DAD10000}"/>
    <cellStyle name="Vírgula 5 2 3 5 2 4 2" xfId="42139" xr:uid="{00000000-0005-0000-0000-0000DBD10000}"/>
    <cellStyle name="Vírgula 5 2 3 5 2 5" xfId="35753" xr:uid="{00000000-0005-0000-0000-0000DCD10000}"/>
    <cellStyle name="Vírgula 5 2 3 5 3" xfId="24817" xr:uid="{00000000-0005-0000-0000-0000DDD10000}"/>
    <cellStyle name="Vírgula 5 2 3 5 3 2" xfId="51001" xr:uid="{00000000-0005-0000-0000-0000DED10000}"/>
    <cellStyle name="Vírgula 5 2 3 5 4" xfId="18903" xr:uid="{00000000-0005-0000-0000-0000DFD10000}"/>
    <cellStyle name="Vírgula 5 2 3 5 4 2" xfId="45093" xr:uid="{00000000-0005-0000-0000-0000E0D10000}"/>
    <cellStyle name="Vírgula 5 2 3 5 5" xfId="12791" xr:uid="{00000000-0005-0000-0000-0000E1D10000}"/>
    <cellStyle name="Vírgula 5 2 3 5 5 2" xfId="38984" xr:uid="{00000000-0005-0000-0000-0000E2D10000}"/>
    <cellStyle name="Vírgula 5 2 3 5 6" xfId="32598" xr:uid="{00000000-0005-0000-0000-0000E3D10000}"/>
    <cellStyle name="Vírgula 5 2 3 6" xfId="8089" xr:uid="{00000000-0005-0000-0000-0000E4D10000}"/>
    <cellStyle name="Vírgula 5 2 3 6 2" xfId="26303" xr:uid="{00000000-0005-0000-0000-0000E5D10000}"/>
    <cellStyle name="Vírgula 5 2 3 6 2 2" xfId="52487" xr:uid="{00000000-0005-0000-0000-0000E6D10000}"/>
    <cellStyle name="Vírgula 5 2 3 6 3" xfId="20389" xr:uid="{00000000-0005-0000-0000-0000E7D10000}"/>
    <cellStyle name="Vírgula 5 2 3 6 3 2" xfId="46579" xr:uid="{00000000-0005-0000-0000-0000E8D10000}"/>
    <cellStyle name="Vírgula 5 2 3 6 4" xfId="14478" xr:uid="{00000000-0005-0000-0000-0000E9D10000}"/>
    <cellStyle name="Vírgula 5 2 3 6 4 2" xfId="40671" xr:uid="{00000000-0005-0000-0000-0000EAD10000}"/>
    <cellStyle name="Vírgula 5 2 3 6 5" xfId="34285" xr:uid="{00000000-0005-0000-0000-0000EBD10000}"/>
    <cellStyle name="Vírgula 5 2 3 7" xfId="4699" xr:uid="{00000000-0005-0000-0000-0000ECD10000}"/>
    <cellStyle name="Vírgula 5 2 3 7 2" xfId="23346" xr:uid="{00000000-0005-0000-0000-0000EDD10000}"/>
    <cellStyle name="Vírgula 5 2 3 7 2 2" xfId="49533" xr:uid="{00000000-0005-0000-0000-0000EED10000}"/>
    <cellStyle name="Vírgula 5 2 3 7 3" xfId="30899" xr:uid="{00000000-0005-0000-0000-0000EFD10000}"/>
    <cellStyle name="Vírgula 5 2 3 8" xfId="17432" xr:uid="{00000000-0005-0000-0000-0000F0D10000}"/>
    <cellStyle name="Vírgula 5 2 3 8 2" xfId="43625" xr:uid="{00000000-0005-0000-0000-0000F1D10000}"/>
    <cellStyle name="Vírgula 5 2 3 9" xfId="11090" xr:uid="{00000000-0005-0000-0000-0000F2D10000}"/>
    <cellStyle name="Vírgula 5 2 3 9 2" xfId="37283" xr:uid="{00000000-0005-0000-0000-0000F3D10000}"/>
    <cellStyle name="Vírgula 5 2 4" xfId="4308" xr:uid="{00000000-0005-0000-0000-0000F4D10000}"/>
    <cellStyle name="Vírgula 5 2 4 2" xfId="7709" xr:uid="{00000000-0005-0000-0000-0000F5D10000}"/>
    <cellStyle name="Vírgula 5 2 4 2 2" xfId="10803" xr:uid="{00000000-0005-0000-0000-0000F6D10000}"/>
    <cellStyle name="Vírgula 5 2 4 2 2 2" xfId="29017" xr:uid="{00000000-0005-0000-0000-0000F7D10000}"/>
    <cellStyle name="Vírgula 5 2 4 2 2 2 2" xfId="55198" xr:uid="{00000000-0005-0000-0000-0000F8D10000}"/>
    <cellStyle name="Vírgula 5 2 4 2 2 3" xfId="23103" xr:uid="{00000000-0005-0000-0000-0000F9D10000}"/>
    <cellStyle name="Vírgula 5 2 4 2 2 3 2" xfId="49290" xr:uid="{00000000-0005-0000-0000-0000FAD10000}"/>
    <cellStyle name="Vírgula 5 2 4 2 2 4" xfId="17189" xr:uid="{00000000-0005-0000-0000-0000FBD10000}"/>
    <cellStyle name="Vírgula 5 2 4 2 2 4 2" xfId="43382" xr:uid="{00000000-0005-0000-0000-0000FCD10000}"/>
    <cellStyle name="Vírgula 5 2 4 2 2 5" xfId="36996" xr:uid="{00000000-0005-0000-0000-0000FDD10000}"/>
    <cellStyle name="Vírgula 5 2 4 2 3" xfId="26060" xr:uid="{00000000-0005-0000-0000-0000FED10000}"/>
    <cellStyle name="Vírgula 5 2 4 2 3 2" xfId="52244" xr:uid="{00000000-0005-0000-0000-0000FFD10000}"/>
    <cellStyle name="Vírgula 5 2 4 2 4" xfId="20146" xr:uid="{00000000-0005-0000-0000-000000D20000}"/>
    <cellStyle name="Vírgula 5 2 4 2 4 2" xfId="46336" xr:uid="{00000000-0005-0000-0000-000001D20000}"/>
    <cellStyle name="Vírgula 5 2 4 2 5" xfId="14098" xr:uid="{00000000-0005-0000-0000-000002D20000}"/>
    <cellStyle name="Vírgula 5 2 4 2 5 2" xfId="40291" xr:uid="{00000000-0005-0000-0000-000003D20000}"/>
    <cellStyle name="Vírgula 5 2 4 2 6" xfId="33905" xr:uid="{00000000-0005-0000-0000-000004D20000}"/>
    <cellStyle name="Vírgula 5 2 4 3" xfId="9335" xr:uid="{00000000-0005-0000-0000-000005D20000}"/>
    <cellStyle name="Vírgula 5 2 4 3 2" xfId="27549" xr:uid="{00000000-0005-0000-0000-000006D20000}"/>
    <cellStyle name="Vírgula 5 2 4 3 2 2" xfId="53730" xr:uid="{00000000-0005-0000-0000-000007D20000}"/>
    <cellStyle name="Vírgula 5 2 4 3 3" xfId="21635" xr:uid="{00000000-0005-0000-0000-000008D20000}"/>
    <cellStyle name="Vírgula 5 2 4 3 3 2" xfId="47822" xr:uid="{00000000-0005-0000-0000-000009D20000}"/>
    <cellStyle name="Vírgula 5 2 4 3 4" xfId="15721" xr:uid="{00000000-0005-0000-0000-00000AD20000}"/>
    <cellStyle name="Vírgula 5 2 4 3 4 2" xfId="41914" xr:uid="{00000000-0005-0000-0000-00000BD20000}"/>
    <cellStyle name="Vírgula 5 2 4 3 5" xfId="35528" xr:uid="{00000000-0005-0000-0000-00000CD20000}"/>
    <cellStyle name="Vírgula 5 2 4 4" xfId="6009" xr:uid="{00000000-0005-0000-0000-00000DD20000}"/>
    <cellStyle name="Vírgula 5 2 4 4 2" xfId="24592" xr:uid="{00000000-0005-0000-0000-00000ED20000}"/>
    <cellStyle name="Vírgula 5 2 4 4 2 2" xfId="50776" xr:uid="{00000000-0005-0000-0000-00000FD20000}"/>
    <cellStyle name="Vírgula 5 2 4 4 3" xfId="32205" xr:uid="{00000000-0005-0000-0000-000010D20000}"/>
    <cellStyle name="Vírgula 5 2 4 5" xfId="18678" xr:uid="{00000000-0005-0000-0000-000011D20000}"/>
    <cellStyle name="Vírgula 5 2 4 5 2" xfId="44868" xr:uid="{00000000-0005-0000-0000-000012D20000}"/>
    <cellStyle name="Vírgula 5 2 4 6" xfId="12397" xr:uid="{00000000-0005-0000-0000-000013D20000}"/>
    <cellStyle name="Vírgula 5 2 4 6 2" xfId="38590" xr:uid="{00000000-0005-0000-0000-000014D20000}"/>
    <cellStyle name="Vírgula 5 2 4 7" xfId="30508" xr:uid="{00000000-0005-0000-0000-000015D20000}"/>
    <cellStyle name="Vírgula 5 2 5" xfId="4416" xr:uid="{00000000-0005-0000-0000-000016D20000}"/>
    <cellStyle name="Vírgula 5 2 5 2" xfId="7818" xr:uid="{00000000-0005-0000-0000-000017D20000}"/>
    <cellStyle name="Vírgula 5 2 5 2 2" xfId="10865" xr:uid="{00000000-0005-0000-0000-000018D20000}"/>
    <cellStyle name="Vírgula 5 2 5 2 2 2" xfId="29079" xr:uid="{00000000-0005-0000-0000-000019D20000}"/>
    <cellStyle name="Vírgula 5 2 5 2 2 2 2" xfId="55260" xr:uid="{00000000-0005-0000-0000-00001AD20000}"/>
    <cellStyle name="Vírgula 5 2 5 2 2 3" xfId="23165" xr:uid="{00000000-0005-0000-0000-00001BD20000}"/>
    <cellStyle name="Vírgula 5 2 5 2 2 3 2" xfId="49352" xr:uid="{00000000-0005-0000-0000-00001CD20000}"/>
    <cellStyle name="Vírgula 5 2 5 2 2 4" xfId="17251" xr:uid="{00000000-0005-0000-0000-00001DD20000}"/>
    <cellStyle name="Vírgula 5 2 5 2 2 4 2" xfId="43444" xr:uid="{00000000-0005-0000-0000-00001ED20000}"/>
    <cellStyle name="Vírgula 5 2 5 2 2 5" xfId="37058" xr:uid="{00000000-0005-0000-0000-00001FD20000}"/>
    <cellStyle name="Vírgula 5 2 5 2 3" xfId="26122" xr:uid="{00000000-0005-0000-0000-000020D20000}"/>
    <cellStyle name="Vírgula 5 2 5 2 3 2" xfId="52306" xr:uid="{00000000-0005-0000-0000-000021D20000}"/>
    <cellStyle name="Vírgula 5 2 5 2 4" xfId="20208" xr:uid="{00000000-0005-0000-0000-000022D20000}"/>
    <cellStyle name="Vírgula 5 2 5 2 4 2" xfId="46398" xr:uid="{00000000-0005-0000-0000-000023D20000}"/>
    <cellStyle name="Vírgula 5 2 5 2 5" xfId="14207" xr:uid="{00000000-0005-0000-0000-000024D20000}"/>
    <cellStyle name="Vírgula 5 2 5 2 5 2" xfId="40400" xr:uid="{00000000-0005-0000-0000-000025D20000}"/>
    <cellStyle name="Vírgula 5 2 5 2 6" xfId="34014" xr:uid="{00000000-0005-0000-0000-000026D20000}"/>
    <cellStyle name="Vírgula 5 2 5 3" xfId="9397" xr:uid="{00000000-0005-0000-0000-000027D20000}"/>
    <cellStyle name="Vírgula 5 2 5 3 2" xfId="27611" xr:uid="{00000000-0005-0000-0000-000028D20000}"/>
    <cellStyle name="Vírgula 5 2 5 3 2 2" xfId="53792" xr:uid="{00000000-0005-0000-0000-000029D20000}"/>
    <cellStyle name="Vírgula 5 2 5 3 3" xfId="21697" xr:uid="{00000000-0005-0000-0000-00002AD20000}"/>
    <cellStyle name="Vírgula 5 2 5 3 3 2" xfId="47884" xr:uid="{00000000-0005-0000-0000-00002BD20000}"/>
    <cellStyle name="Vírgula 5 2 5 3 4" xfId="15783" xr:uid="{00000000-0005-0000-0000-00002CD20000}"/>
    <cellStyle name="Vírgula 5 2 5 3 4 2" xfId="41976" xr:uid="{00000000-0005-0000-0000-00002DD20000}"/>
    <cellStyle name="Vírgula 5 2 5 3 5" xfId="35590" xr:uid="{00000000-0005-0000-0000-00002ED20000}"/>
    <cellStyle name="Vírgula 5 2 5 4" xfId="6118" xr:uid="{00000000-0005-0000-0000-00002FD20000}"/>
    <cellStyle name="Vírgula 5 2 5 4 2" xfId="24654" xr:uid="{00000000-0005-0000-0000-000030D20000}"/>
    <cellStyle name="Vírgula 5 2 5 4 2 2" xfId="50838" xr:uid="{00000000-0005-0000-0000-000031D20000}"/>
    <cellStyle name="Vírgula 5 2 5 4 3" xfId="32314" xr:uid="{00000000-0005-0000-0000-000032D20000}"/>
    <cellStyle name="Vírgula 5 2 5 5" xfId="18740" xr:uid="{00000000-0005-0000-0000-000033D20000}"/>
    <cellStyle name="Vírgula 5 2 5 5 2" xfId="44930" xr:uid="{00000000-0005-0000-0000-000034D20000}"/>
    <cellStyle name="Vírgula 5 2 5 6" xfId="12506" xr:uid="{00000000-0005-0000-0000-000035D20000}"/>
    <cellStyle name="Vírgula 5 2 5 6 2" xfId="38699" xr:uid="{00000000-0005-0000-0000-000036D20000}"/>
    <cellStyle name="Vírgula 5 2 5 7" xfId="30616" xr:uid="{00000000-0005-0000-0000-000037D20000}"/>
    <cellStyle name="Vírgula 5 2 6" xfId="4524" xr:uid="{00000000-0005-0000-0000-000038D20000}"/>
    <cellStyle name="Vírgula 5 2 6 2" xfId="7926" xr:uid="{00000000-0005-0000-0000-000039D20000}"/>
    <cellStyle name="Vírgula 5 2 6 2 2" xfId="10927" xr:uid="{00000000-0005-0000-0000-00003AD20000}"/>
    <cellStyle name="Vírgula 5 2 6 2 2 2" xfId="29141" xr:uid="{00000000-0005-0000-0000-00003BD20000}"/>
    <cellStyle name="Vírgula 5 2 6 2 2 2 2" xfId="55322" xr:uid="{00000000-0005-0000-0000-00003CD20000}"/>
    <cellStyle name="Vírgula 5 2 6 2 2 3" xfId="23227" xr:uid="{00000000-0005-0000-0000-00003DD20000}"/>
    <cellStyle name="Vírgula 5 2 6 2 2 3 2" xfId="49414" xr:uid="{00000000-0005-0000-0000-00003ED20000}"/>
    <cellStyle name="Vírgula 5 2 6 2 2 4" xfId="17313" xr:uid="{00000000-0005-0000-0000-00003FD20000}"/>
    <cellStyle name="Vírgula 5 2 6 2 2 4 2" xfId="43506" xr:uid="{00000000-0005-0000-0000-000040D20000}"/>
    <cellStyle name="Vírgula 5 2 6 2 2 5" xfId="37120" xr:uid="{00000000-0005-0000-0000-000041D20000}"/>
    <cellStyle name="Vírgula 5 2 6 2 3" xfId="26184" xr:uid="{00000000-0005-0000-0000-000042D20000}"/>
    <cellStyle name="Vírgula 5 2 6 2 3 2" xfId="52368" xr:uid="{00000000-0005-0000-0000-000043D20000}"/>
    <cellStyle name="Vírgula 5 2 6 2 4" xfId="20270" xr:uid="{00000000-0005-0000-0000-000044D20000}"/>
    <cellStyle name="Vírgula 5 2 6 2 4 2" xfId="46460" xr:uid="{00000000-0005-0000-0000-000045D20000}"/>
    <cellStyle name="Vírgula 5 2 6 2 5" xfId="14315" xr:uid="{00000000-0005-0000-0000-000046D20000}"/>
    <cellStyle name="Vírgula 5 2 6 2 5 2" xfId="40508" xr:uid="{00000000-0005-0000-0000-000047D20000}"/>
    <cellStyle name="Vírgula 5 2 6 2 6" xfId="34122" xr:uid="{00000000-0005-0000-0000-000048D20000}"/>
    <cellStyle name="Vírgula 5 2 6 3" xfId="9459" xr:uid="{00000000-0005-0000-0000-000049D20000}"/>
    <cellStyle name="Vírgula 5 2 6 3 2" xfId="27673" xr:uid="{00000000-0005-0000-0000-00004AD20000}"/>
    <cellStyle name="Vírgula 5 2 6 3 2 2" xfId="53854" xr:uid="{00000000-0005-0000-0000-00004BD20000}"/>
    <cellStyle name="Vírgula 5 2 6 3 3" xfId="21759" xr:uid="{00000000-0005-0000-0000-00004CD20000}"/>
    <cellStyle name="Vírgula 5 2 6 3 3 2" xfId="47946" xr:uid="{00000000-0005-0000-0000-00004DD20000}"/>
    <cellStyle name="Vírgula 5 2 6 3 4" xfId="15845" xr:uid="{00000000-0005-0000-0000-00004ED20000}"/>
    <cellStyle name="Vírgula 5 2 6 3 4 2" xfId="42038" xr:uid="{00000000-0005-0000-0000-00004FD20000}"/>
    <cellStyle name="Vírgula 5 2 6 3 5" xfId="35652" xr:uid="{00000000-0005-0000-0000-000050D20000}"/>
    <cellStyle name="Vírgula 5 2 6 4" xfId="6225" xr:uid="{00000000-0005-0000-0000-000051D20000}"/>
    <cellStyle name="Vírgula 5 2 6 4 2" xfId="24716" xr:uid="{00000000-0005-0000-0000-000052D20000}"/>
    <cellStyle name="Vírgula 5 2 6 4 2 2" xfId="50900" xr:uid="{00000000-0005-0000-0000-000053D20000}"/>
    <cellStyle name="Vírgula 5 2 6 4 3" xfId="32421" xr:uid="{00000000-0005-0000-0000-000054D20000}"/>
    <cellStyle name="Vírgula 5 2 6 5" xfId="18802" xr:uid="{00000000-0005-0000-0000-000055D20000}"/>
    <cellStyle name="Vírgula 5 2 6 5 2" xfId="44992" xr:uid="{00000000-0005-0000-0000-000056D20000}"/>
    <cellStyle name="Vírgula 5 2 6 6" xfId="12614" xr:uid="{00000000-0005-0000-0000-000057D20000}"/>
    <cellStyle name="Vírgula 5 2 6 6 2" xfId="38807" xr:uid="{00000000-0005-0000-0000-000058D20000}"/>
    <cellStyle name="Vírgula 5 2 6 7" xfId="30724" xr:uid="{00000000-0005-0000-0000-000059D20000}"/>
    <cellStyle name="Vírgula 5 2 7" xfId="5932" xr:uid="{00000000-0005-0000-0000-00005AD20000}"/>
    <cellStyle name="Vírgula 5 2 7 2" xfId="7632" xr:uid="{00000000-0005-0000-0000-00005BD20000}"/>
    <cellStyle name="Vírgula 5 2 7 2 2" xfId="10760" xr:uid="{00000000-0005-0000-0000-00005CD20000}"/>
    <cellStyle name="Vírgula 5 2 7 2 2 2" xfId="28974" xr:uid="{00000000-0005-0000-0000-00005DD20000}"/>
    <cellStyle name="Vírgula 5 2 7 2 2 2 2" xfId="55155" xr:uid="{00000000-0005-0000-0000-00005ED20000}"/>
    <cellStyle name="Vírgula 5 2 7 2 2 3" xfId="23060" xr:uid="{00000000-0005-0000-0000-00005FD20000}"/>
    <cellStyle name="Vírgula 5 2 7 2 2 3 2" xfId="49247" xr:uid="{00000000-0005-0000-0000-000060D20000}"/>
    <cellStyle name="Vírgula 5 2 7 2 2 4" xfId="17146" xr:uid="{00000000-0005-0000-0000-000061D20000}"/>
    <cellStyle name="Vírgula 5 2 7 2 2 4 2" xfId="43339" xr:uid="{00000000-0005-0000-0000-000062D20000}"/>
    <cellStyle name="Vírgula 5 2 7 2 2 5" xfId="36953" xr:uid="{00000000-0005-0000-0000-000063D20000}"/>
    <cellStyle name="Vírgula 5 2 7 2 3" xfId="26017" xr:uid="{00000000-0005-0000-0000-000064D20000}"/>
    <cellStyle name="Vírgula 5 2 7 2 3 2" xfId="52201" xr:uid="{00000000-0005-0000-0000-000065D20000}"/>
    <cellStyle name="Vírgula 5 2 7 2 4" xfId="20103" xr:uid="{00000000-0005-0000-0000-000066D20000}"/>
    <cellStyle name="Vírgula 5 2 7 2 4 2" xfId="46293" xr:uid="{00000000-0005-0000-0000-000067D20000}"/>
    <cellStyle name="Vírgula 5 2 7 2 5" xfId="14021" xr:uid="{00000000-0005-0000-0000-000068D20000}"/>
    <cellStyle name="Vírgula 5 2 7 2 5 2" xfId="40214" xr:uid="{00000000-0005-0000-0000-000069D20000}"/>
    <cellStyle name="Vírgula 5 2 7 2 6" xfId="33828" xr:uid="{00000000-0005-0000-0000-00006AD20000}"/>
    <cellStyle name="Vírgula 5 2 7 3" xfId="9292" xr:uid="{00000000-0005-0000-0000-00006BD20000}"/>
    <cellStyle name="Vírgula 5 2 7 3 2" xfId="27506" xr:uid="{00000000-0005-0000-0000-00006CD20000}"/>
    <cellStyle name="Vírgula 5 2 7 3 2 2" xfId="53687" xr:uid="{00000000-0005-0000-0000-00006DD20000}"/>
    <cellStyle name="Vírgula 5 2 7 3 3" xfId="21592" xr:uid="{00000000-0005-0000-0000-00006ED20000}"/>
    <cellStyle name="Vírgula 5 2 7 3 3 2" xfId="47779" xr:uid="{00000000-0005-0000-0000-00006FD20000}"/>
    <cellStyle name="Vírgula 5 2 7 3 4" xfId="15678" xr:uid="{00000000-0005-0000-0000-000070D20000}"/>
    <cellStyle name="Vírgula 5 2 7 3 4 2" xfId="41871" xr:uid="{00000000-0005-0000-0000-000071D20000}"/>
    <cellStyle name="Vírgula 5 2 7 3 5" xfId="35485" xr:uid="{00000000-0005-0000-0000-000072D20000}"/>
    <cellStyle name="Vírgula 5 2 7 4" xfId="24549" xr:uid="{00000000-0005-0000-0000-000073D20000}"/>
    <cellStyle name="Vírgula 5 2 7 4 2" xfId="50733" xr:uid="{00000000-0005-0000-0000-000074D20000}"/>
    <cellStyle name="Vírgula 5 2 7 5" xfId="18635" xr:uid="{00000000-0005-0000-0000-000075D20000}"/>
    <cellStyle name="Vírgula 5 2 7 5 2" xfId="44825" xr:uid="{00000000-0005-0000-0000-000076D20000}"/>
    <cellStyle name="Vírgula 5 2 7 6" xfId="12320" xr:uid="{00000000-0005-0000-0000-000077D20000}"/>
    <cellStyle name="Vírgula 5 2 7 6 2" xfId="38513" xr:uid="{00000000-0005-0000-0000-000078D20000}"/>
    <cellStyle name="Vírgula 5 2 7 7" xfId="32128" xr:uid="{00000000-0005-0000-0000-000079D20000}"/>
    <cellStyle name="Vírgula 5 2 8" xfId="6334" xr:uid="{00000000-0005-0000-0000-00007AD20000}"/>
    <cellStyle name="Vírgula 5 2 8 2" xfId="9521" xr:uid="{00000000-0005-0000-0000-00007BD20000}"/>
    <cellStyle name="Vírgula 5 2 8 2 2" xfId="27735" xr:uid="{00000000-0005-0000-0000-00007CD20000}"/>
    <cellStyle name="Vírgula 5 2 8 2 2 2" xfId="53916" xr:uid="{00000000-0005-0000-0000-00007DD20000}"/>
    <cellStyle name="Vírgula 5 2 8 2 3" xfId="21821" xr:uid="{00000000-0005-0000-0000-00007ED20000}"/>
    <cellStyle name="Vírgula 5 2 8 2 3 2" xfId="48008" xr:uid="{00000000-0005-0000-0000-00007FD20000}"/>
    <cellStyle name="Vírgula 5 2 8 2 4" xfId="15907" xr:uid="{00000000-0005-0000-0000-000080D20000}"/>
    <cellStyle name="Vírgula 5 2 8 2 4 2" xfId="42100" xr:uid="{00000000-0005-0000-0000-000081D20000}"/>
    <cellStyle name="Vírgula 5 2 8 2 5" xfId="35714" xr:uid="{00000000-0005-0000-0000-000082D20000}"/>
    <cellStyle name="Vírgula 5 2 8 3" xfId="24778" xr:uid="{00000000-0005-0000-0000-000083D20000}"/>
    <cellStyle name="Vírgula 5 2 8 3 2" xfId="50962" xr:uid="{00000000-0005-0000-0000-000084D20000}"/>
    <cellStyle name="Vírgula 5 2 8 4" xfId="18864" xr:uid="{00000000-0005-0000-0000-000085D20000}"/>
    <cellStyle name="Vírgula 5 2 8 4 2" xfId="45054" xr:uid="{00000000-0005-0000-0000-000086D20000}"/>
    <cellStyle name="Vírgula 5 2 8 5" xfId="12723" xr:uid="{00000000-0005-0000-0000-000087D20000}"/>
    <cellStyle name="Vírgula 5 2 8 5 2" xfId="38916" xr:uid="{00000000-0005-0000-0000-000088D20000}"/>
    <cellStyle name="Vírgula 5 2 8 6" xfId="32530" xr:uid="{00000000-0005-0000-0000-000089D20000}"/>
    <cellStyle name="Vírgula 5 2 9" xfId="8026" xr:uid="{00000000-0005-0000-0000-00008AD20000}"/>
    <cellStyle name="Vírgula 5 2 9 2" xfId="10985" xr:uid="{00000000-0005-0000-0000-00008BD20000}"/>
    <cellStyle name="Vírgula 5 2 9 2 2" xfId="29199" xr:uid="{00000000-0005-0000-0000-00008CD20000}"/>
    <cellStyle name="Vírgula 5 2 9 2 2 2" xfId="55380" xr:uid="{00000000-0005-0000-0000-00008DD20000}"/>
    <cellStyle name="Vírgula 5 2 9 2 3" xfId="23285" xr:uid="{00000000-0005-0000-0000-00008ED20000}"/>
    <cellStyle name="Vírgula 5 2 9 2 3 2" xfId="49472" xr:uid="{00000000-0005-0000-0000-00008FD20000}"/>
    <cellStyle name="Vírgula 5 2 9 2 4" xfId="17371" xr:uid="{00000000-0005-0000-0000-000090D20000}"/>
    <cellStyle name="Vírgula 5 2 9 2 4 2" xfId="43564" xr:uid="{00000000-0005-0000-0000-000091D20000}"/>
    <cellStyle name="Vírgula 5 2 9 2 5" xfId="37178" xr:uid="{00000000-0005-0000-0000-000092D20000}"/>
    <cellStyle name="Vírgula 5 2 9 3" xfId="26242" xr:uid="{00000000-0005-0000-0000-000093D20000}"/>
    <cellStyle name="Vírgula 5 2 9 3 2" xfId="52426" xr:uid="{00000000-0005-0000-0000-000094D20000}"/>
    <cellStyle name="Vírgula 5 2 9 4" xfId="20328" xr:uid="{00000000-0005-0000-0000-000095D20000}"/>
    <cellStyle name="Vírgula 5 2 9 4 2" xfId="46518" xr:uid="{00000000-0005-0000-0000-000096D20000}"/>
    <cellStyle name="Vírgula 5 2 9 5" xfId="14415" xr:uid="{00000000-0005-0000-0000-000097D20000}"/>
    <cellStyle name="Vírgula 5 2 9 5 2" xfId="40608" xr:uid="{00000000-0005-0000-0000-000098D20000}"/>
    <cellStyle name="Vírgula 5 2 9 6" xfId="34222" xr:uid="{00000000-0005-0000-0000-000099D20000}"/>
    <cellStyle name="Vírgula 5 3" xfId="4251" xr:uid="{00000000-0005-0000-0000-00009AD20000}"/>
    <cellStyle name="Vírgula 5 3 10" xfId="11042" xr:uid="{00000000-0005-0000-0000-00009BD20000}"/>
    <cellStyle name="Vírgula 5 3 10 2" xfId="37235" xr:uid="{00000000-0005-0000-0000-00009CD20000}"/>
    <cellStyle name="Vírgula 5 3 11" xfId="30451" xr:uid="{00000000-0005-0000-0000-00009DD20000}"/>
    <cellStyle name="Vírgula 5 3 2" xfId="4328" xr:uid="{00000000-0005-0000-0000-00009ED20000}"/>
    <cellStyle name="Vírgula 5 3 2 2" xfId="7729" xr:uid="{00000000-0005-0000-0000-00009FD20000}"/>
    <cellStyle name="Vírgula 5 3 2 2 2" xfId="10814" xr:uid="{00000000-0005-0000-0000-0000A0D20000}"/>
    <cellStyle name="Vírgula 5 3 2 2 2 2" xfId="29028" xr:uid="{00000000-0005-0000-0000-0000A1D20000}"/>
    <cellStyle name="Vírgula 5 3 2 2 2 2 2" xfId="55209" xr:uid="{00000000-0005-0000-0000-0000A2D20000}"/>
    <cellStyle name="Vírgula 5 3 2 2 2 3" xfId="23114" xr:uid="{00000000-0005-0000-0000-0000A3D20000}"/>
    <cellStyle name="Vírgula 5 3 2 2 2 3 2" xfId="49301" xr:uid="{00000000-0005-0000-0000-0000A4D20000}"/>
    <cellStyle name="Vírgula 5 3 2 2 2 4" xfId="17200" xr:uid="{00000000-0005-0000-0000-0000A5D20000}"/>
    <cellStyle name="Vírgula 5 3 2 2 2 4 2" xfId="43393" xr:uid="{00000000-0005-0000-0000-0000A6D20000}"/>
    <cellStyle name="Vírgula 5 3 2 2 2 5" xfId="37007" xr:uid="{00000000-0005-0000-0000-0000A7D20000}"/>
    <cellStyle name="Vírgula 5 3 2 2 3" xfId="26071" xr:uid="{00000000-0005-0000-0000-0000A8D20000}"/>
    <cellStyle name="Vírgula 5 3 2 2 3 2" xfId="52255" xr:uid="{00000000-0005-0000-0000-0000A9D20000}"/>
    <cellStyle name="Vírgula 5 3 2 2 4" xfId="20157" xr:uid="{00000000-0005-0000-0000-0000AAD20000}"/>
    <cellStyle name="Vírgula 5 3 2 2 4 2" xfId="46347" xr:uid="{00000000-0005-0000-0000-0000ABD20000}"/>
    <cellStyle name="Vírgula 5 3 2 2 5" xfId="14118" xr:uid="{00000000-0005-0000-0000-0000ACD20000}"/>
    <cellStyle name="Vírgula 5 3 2 2 5 2" xfId="40311" xr:uid="{00000000-0005-0000-0000-0000ADD20000}"/>
    <cellStyle name="Vírgula 5 3 2 2 6" xfId="33925" xr:uid="{00000000-0005-0000-0000-0000AED20000}"/>
    <cellStyle name="Vírgula 5 3 2 3" xfId="9346" xr:uid="{00000000-0005-0000-0000-0000AFD20000}"/>
    <cellStyle name="Vírgula 5 3 2 3 2" xfId="27560" xr:uid="{00000000-0005-0000-0000-0000B0D20000}"/>
    <cellStyle name="Vírgula 5 3 2 3 2 2" xfId="53741" xr:uid="{00000000-0005-0000-0000-0000B1D20000}"/>
    <cellStyle name="Vírgula 5 3 2 3 3" xfId="21646" xr:uid="{00000000-0005-0000-0000-0000B2D20000}"/>
    <cellStyle name="Vírgula 5 3 2 3 3 2" xfId="47833" xr:uid="{00000000-0005-0000-0000-0000B3D20000}"/>
    <cellStyle name="Vírgula 5 3 2 3 4" xfId="15732" xr:uid="{00000000-0005-0000-0000-0000B4D20000}"/>
    <cellStyle name="Vírgula 5 3 2 3 4 2" xfId="41925" xr:uid="{00000000-0005-0000-0000-0000B5D20000}"/>
    <cellStyle name="Vírgula 5 3 2 3 5" xfId="35539" xr:uid="{00000000-0005-0000-0000-0000B6D20000}"/>
    <cellStyle name="Vírgula 5 3 2 4" xfId="6029" xr:uid="{00000000-0005-0000-0000-0000B7D20000}"/>
    <cellStyle name="Vírgula 5 3 2 4 2" xfId="24603" xr:uid="{00000000-0005-0000-0000-0000B8D20000}"/>
    <cellStyle name="Vírgula 5 3 2 4 2 2" xfId="50787" xr:uid="{00000000-0005-0000-0000-0000B9D20000}"/>
    <cellStyle name="Vírgula 5 3 2 4 3" xfId="32225" xr:uid="{00000000-0005-0000-0000-0000BAD20000}"/>
    <cellStyle name="Vírgula 5 3 2 5" xfId="18689" xr:uid="{00000000-0005-0000-0000-0000BBD20000}"/>
    <cellStyle name="Vírgula 5 3 2 5 2" xfId="44879" xr:uid="{00000000-0005-0000-0000-0000BCD20000}"/>
    <cellStyle name="Vírgula 5 3 2 6" xfId="12417" xr:uid="{00000000-0005-0000-0000-0000BDD20000}"/>
    <cellStyle name="Vírgula 5 3 2 6 2" xfId="38610" xr:uid="{00000000-0005-0000-0000-0000BED20000}"/>
    <cellStyle name="Vírgula 5 3 2 7" xfId="30528" xr:uid="{00000000-0005-0000-0000-0000BFD20000}"/>
    <cellStyle name="Vírgula 5 3 3" xfId="4436" xr:uid="{00000000-0005-0000-0000-0000C0D20000}"/>
    <cellStyle name="Vírgula 5 3 3 2" xfId="7838" xr:uid="{00000000-0005-0000-0000-0000C1D20000}"/>
    <cellStyle name="Vírgula 5 3 3 2 2" xfId="10876" xr:uid="{00000000-0005-0000-0000-0000C2D20000}"/>
    <cellStyle name="Vírgula 5 3 3 2 2 2" xfId="29090" xr:uid="{00000000-0005-0000-0000-0000C3D20000}"/>
    <cellStyle name="Vírgula 5 3 3 2 2 2 2" xfId="55271" xr:uid="{00000000-0005-0000-0000-0000C4D20000}"/>
    <cellStyle name="Vírgula 5 3 3 2 2 3" xfId="23176" xr:uid="{00000000-0005-0000-0000-0000C5D20000}"/>
    <cellStyle name="Vírgula 5 3 3 2 2 3 2" xfId="49363" xr:uid="{00000000-0005-0000-0000-0000C6D20000}"/>
    <cellStyle name="Vírgula 5 3 3 2 2 4" xfId="17262" xr:uid="{00000000-0005-0000-0000-0000C7D20000}"/>
    <cellStyle name="Vírgula 5 3 3 2 2 4 2" xfId="43455" xr:uid="{00000000-0005-0000-0000-0000C8D20000}"/>
    <cellStyle name="Vírgula 5 3 3 2 2 5" xfId="37069" xr:uid="{00000000-0005-0000-0000-0000C9D20000}"/>
    <cellStyle name="Vírgula 5 3 3 2 3" xfId="26133" xr:uid="{00000000-0005-0000-0000-0000CAD20000}"/>
    <cellStyle name="Vírgula 5 3 3 2 3 2" xfId="52317" xr:uid="{00000000-0005-0000-0000-0000CBD20000}"/>
    <cellStyle name="Vírgula 5 3 3 2 4" xfId="20219" xr:uid="{00000000-0005-0000-0000-0000CCD20000}"/>
    <cellStyle name="Vírgula 5 3 3 2 4 2" xfId="46409" xr:uid="{00000000-0005-0000-0000-0000CDD20000}"/>
    <cellStyle name="Vírgula 5 3 3 2 5" xfId="14227" xr:uid="{00000000-0005-0000-0000-0000CED20000}"/>
    <cellStyle name="Vírgula 5 3 3 2 5 2" xfId="40420" xr:uid="{00000000-0005-0000-0000-0000CFD20000}"/>
    <cellStyle name="Vírgula 5 3 3 2 6" xfId="34034" xr:uid="{00000000-0005-0000-0000-0000D0D20000}"/>
    <cellStyle name="Vírgula 5 3 3 3" xfId="9408" xr:uid="{00000000-0005-0000-0000-0000D1D20000}"/>
    <cellStyle name="Vírgula 5 3 3 3 2" xfId="27622" xr:uid="{00000000-0005-0000-0000-0000D2D20000}"/>
    <cellStyle name="Vírgula 5 3 3 3 2 2" xfId="53803" xr:uid="{00000000-0005-0000-0000-0000D3D20000}"/>
    <cellStyle name="Vírgula 5 3 3 3 3" xfId="21708" xr:uid="{00000000-0005-0000-0000-0000D4D20000}"/>
    <cellStyle name="Vírgula 5 3 3 3 3 2" xfId="47895" xr:uid="{00000000-0005-0000-0000-0000D5D20000}"/>
    <cellStyle name="Vírgula 5 3 3 3 4" xfId="15794" xr:uid="{00000000-0005-0000-0000-0000D6D20000}"/>
    <cellStyle name="Vírgula 5 3 3 3 4 2" xfId="41987" xr:uid="{00000000-0005-0000-0000-0000D7D20000}"/>
    <cellStyle name="Vírgula 5 3 3 3 5" xfId="35601" xr:uid="{00000000-0005-0000-0000-0000D8D20000}"/>
    <cellStyle name="Vírgula 5 3 3 4" xfId="6138" xr:uid="{00000000-0005-0000-0000-0000D9D20000}"/>
    <cellStyle name="Vírgula 5 3 3 4 2" xfId="24665" xr:uid="{00000000-0005-0000-0000-0000DAD20000}"/>
    <cellStyle name="Vírgula 5 3 3 4 2 2" xfId="50849" xr:uid="{00000000-0005-0000-0000-0000DBD20000}"/>
    <cellStyle name="Vírgula 5 3 3 4 3" xfId="32334" xr:uid="{00000000-0005-0000-0000-0000DCD20000}"/>
    <cellStyle name="Vírgula 5 3 3 5" xfId="18751" xr:uid="{00000000-0005-0000-0000-0000DDD20000}"/>
    <cellStyle name="Vírgula 5 3 3 5 2" xfId="44941" xr:uid="{00000000-0005-0000-0000-0000DED20000}"/>
    <cellStyle name="Vírgula 5 3 3 6" xfId="12526" xr:uid="{00000000-0005-0000-0000-0000DFD20000}"/>
    <cellStyle name="Vírgula 5 3 3 6 2" xfId="38719" xr:uid="{00000000-0005-0000-0000-0000E0D20000}"/>
    <cellStyle name="Vírgula 5 3 3 7" xfId="30636" xr:uid="{00000000-0005-0000-0000-0000E1D20000}"/>
    <cellStyle name="Vírgula 5 3 4" xfId="4544" xr:uid="{00000000-0005-0000-0000-0000E2D20000}"/>
    <cellStyle name="Vírgula 5 3 4 2" xfId="7946" xr:uid="{00000000-0005-0000-0000-0000E3D20000}"/>
    <cellStyle name="Vírgula 5 3 4 2 2" xfId="10938" xr:uid="{00000000-0005-0000-0000-0000E4D20000}"/>
    <cellStyle name="Vírgula 5 3 4 2 2 2" xfId="29152" xr:uid="{00000000-0005-0000-0000-0000E5D20000}"/>
    <cellStyle name="Vírgula 5 3 4 2 2 2 2" xfId="55333" xr:uid="{00000000-0005-0000-0000-0000E6D20000}"/>
    <cellStyle name="Vírgula 5 3 4 2 2 3" xfId="23238" xr:uid="{00000000-0005-0000-0000-0000E7D20000}"/>
    <cellStyle name="Vírgula 5 3 4 2 2 3 2" xfId="49425" xr:uid="{00000000-0005-0000-0000-0000E8D20000}"/>
    <cellStyle name="Vírgula 5 3 4 2 2 4" xfId="17324" xr:uid="{00000000-0005-0000-0000-0000E9D20000}"/>
    <cellStyle name="Vírgula 5 3 4 2 2 4 2" xfId="43517" xr:uid="{00000000-0005-0000-0000-0000EAD20000}"/>
    <cellStyle name="Vírgula 5 3 4 2 2 5" xfId="37131" xr:uid="{00000000-0005-0000-0000-0000EBD20000}"/>
    <cellStyle name="Vírgula 5 3 4 2 3" xfId="26195" xr:uid="{00000000-0005-0000-0000-0000ECD20000}"/>
    <cellStyle name="Vírgula 5 3 4 2 3 2" xfId="52379" xr:uid="{00000000-0005-0000-0000-0000EDD20000}"/>
    <cellStyle name="Vírgula 5 3 4 2 4" xfId="20281" xr:uid="{00000000-0005-0000-0000-0000EED20000}"/>
    <cellStyle name="Vírgula 5 3 4 2 4 2" xfId="46471" xr:uid="{00000000-0005-0000-0000-0000EFD20000}"/>
    <cellStyle name="Vírgula 5 3 4 2 5" xfId="14335" xr:uid="{00000000-0005-0000-0000-0000F0D20000}"/>
    <cellStyle name="Vírgula 5 3 4 2 5 2" xfId="40528" xr:uid="{00000000-0005-0000-0000-0000F1D20000}"/>
    <cellStyle name="Vírgula 5 3 4 2 6" xfId="34142" xr:uid="{00000000-0005-0000-0000-0000F2D20000}"/>
    <cellStyle name="Vírgula 5 3 4 3" xfId="9470" xr:uid="{00000000-0005-0000-0000-0000F3D20000}"/>
    <cellStyle name="Vírgula 5 3 4 3 2" xfId="27684" xr:uid="{00000000-0005-0000-0000-0000F4D20000}"/>
    <cellStyle name="Vírgula 5 3 4 3 2 2" xfId="53865" xr:uid="{00000000-0005-0000-0000-0000F5D20000}"/>
    <cellStyle name="Vírgula 5 3 4 3 3" xfId="21770" xr:uid="{00000000-0005-0000-0000-0000F6D20000}"/>
    <cellStyle name="Vírgula 5 3 4 3 3 2" xfId="47957" xr:uid="{00000000-0005-0000-0000-0000F7D20000}"/>
    <cellStyle name="Vírgula 5 3 4 3 4" xfId="15856" xr:uid="{00000000-0005-0000-0000-0000F8D20000}"/>
    <cellStyle name="Vírgula 5 3 4 3 4 2" xfId="42049" xr:uid="{00000000-0005-0000-0000-0000F9D20000}"/>
    <cellStyle name="Vírgula 5 3 4 3 5" xfId="35663" xr:uid="{00000000-0005-0000-0000-0000FAD20000}"/>
    <cellStyle name="Vírgula 5 3 4 4" xfId="6245" xr:uid="{00000000-0005-0000-0000-0000FBD20000}"/>
    <cellStyle name="Vírgula 5 3 4 4 2" xfId="24727" xr:uid="{00000000-0005-0000-0000-0000FCD20000}"/>
    <cellStyle name="Vírgula 5 3 4 4 2 2" xfId="50911" xr:uid="{00000000-0005-0000-0000-0000FDD20000}"/>
    <cellStyle name="Vírgula 5 3 4 4 3" xfId="32441" xr:uid="{00000000-0005-0000-0000-0000FED20000}"/>
    <cellStyle name="Vírgula 5 3 4 5" xfId="18813" xr:uid="{00000000-0005-0000-0000-0000FFD20000}"/>
    <cellStyle name="Vírgula 5 3 4 5 2" xfId="45003" xr:uid="{00000000-0005-0000-0000-000000D30000}"/>
    <cellStyle name="Vírgula 5 3 4 6" xfId="12634" xr:uid="{00000000-0005-0000-0000-000001D30000}"/>
    <cellStyle name="Vírgula 5 3 4 6 2" xfId="38827" xr:uid="{00000000-0005-0000-0000-000002D30000}"/>
    <cellStyle name="Vírgula 5 3 4 7" xfId="30744" xr:uid="{00000000-0005-0000-0000-000003D30000}"/>
    <cellStyle name="Vírgula 5 3 5" xfId="5952" xr:uid="{00000000-0005-0000-0000-000004D30000}"/>
    <cellStyle name="Vírgula 5 3 5 2" xfId="7652" xr:uid="{00000000-0005-0000-0000-000005D30000}"/>
    <cellStyle name="Vírgula 5 3 5 2 2" xfId="10771" xr:uid="{00000000-0005-0000-0000-000006D30000}"/>
    <cellStyle name="Vírgula 5 3 5 2 2 2" xfId="28985" xr:uid="{00000000-0005-0000-0000-000007D30000}"/>
    <cellStyle name="Vírgula 5 3 5 2 2 2 2" xfId="55166" xr:uid="{00000000-0005-0000-0000-000008D30000}"/>
    <cellStyle name="Vírgula 5 3 5 2 2 3" xfId="23071" xr:uid="{00000000-0005-0000-0000-000009D30000}"/>
    <cellStyle name="Vírgula 5 3 5 2 2 3 2" xfId="49258" xr:uid="{00000000-0005-0000-0000-00000AD30000}"/>
    <cellStyle name="Vírgula 5 3 5 2 2 4" xfId="17157" xr:uid="{00000000-0005-0000-0000-00000BD30000}"/>
    <cellStyle name="Vírgula 5 3 5 2 2 4 2" xfId="43350" xr:uid="{00000000-0005-0000-0000-00000CD30000}"/>
    <cellStyle name="Vírgula 5 3 5 2 2 5" xfId="36964" xr:uid="{00000000-0005-0000-0000-00000DD30000}"/>
    <cellStyle name="Vírgula 5 3 5 2 3" xfId="26028" xr:uid="{00000000-0005-0000-0000-00000ED30000}"/>
    <cellStyle name="Vírgula 5 3 5 2 3 2" xfId="52212" xr:uid="{00000000-0005-0000-0000-00000FD30000}"/>
    <cellStyle name="Vírgula 5 3 5 2 4" xfId="20114" xr:uid="{00000000-0005-0000-0000-000010D30000}"/>
    <cellStyle name="Vírgula 5 3 5 2 4 2" xfId="46304" xr:uid="{00000000-0005-0000-0000-000011D30000}"/>
    <cellStyle name="Vírgula 5 3 5 2 5" xfId="14041" xr:uid="{00000000-0005-0000-0000-000012D30000}"/>
    <cellStyle name="Vírgula 5 3 5 2 5 2" xfId="40234" xr:uid="{00000000-0005-0000-0000-000013D30000}"/>
    <cellStyle name="Vírgula 5 3 5 2 6" xfId="33848" xr:uid="{00000000-0005-0000-0000-000014D30000}"/>
    <cellStyle name="Vírgula 5 3 5 3" xfId="9303" xr:uid="{00000000-0005-0000-0000-000015D30000}"/>
    <cellStyle name="Vírgula 5 3 5 3 2" xfId="27517" xr:uid="{00000000-0005-0000-0000-000016D30000}"/>
    <cellStyle name="Vírgula 5 3 5 3 2 2" xfId="53698" xr:uid="{00000000-0005-0000-0000-000017D30000}"/>
    <cellStyle name="Vírgula 5 3 5 3 3" xfId="21603" xr:uid="{00000000-0005-0000-0000-000018D30000}"/>
    <cellStyle name="Vírgula 5 3 5 3 3 2" xfId="47790" xr:uid="{00000000-0005-0000-0000-000019D30000}"/>
    <cellStyle name="Vírgula 5 3 5 3 4" xfId="15689" xr:uid="{00000000-0005-0000-0000-00001AD30000}"/>
    <cellStyle name="Vírgula 5 3 5 3 4 2" xfId="41882" xr:uid="{00000000-0005-0000-0000-00001BD30000}"/>
    <cellStyle name="Vírgula 5 3 5 3 5" xfId="35496" xr:uid="{00000000-0005-0000-0000-00001CD30000}"/>
    <cellStyle name="Vírgula 5 3 5 4" xfId="24560" xr:uid="{00000000-0005-0000-0000-00001DD30000}"/>
    <cellStyle name="Vírgula 5 3 5 4 2" xfId="50744" xr:uid="{00000000-0005-0000-0000-00001ED30000}"/>
    <cellStyle name="Vírgula 5 3 5 5" xfId="18646" xr:uid="{00000000-0005-0000-0000-00001FD30000}"/>
    <cellStyle name="Vírgula 5 3 5 5 2" xfId="44836" xr:uid="{00000000-0005-0000-0000-000020D30000}"/>
    <cellStyle name="Vírgula 5 3 5 6" xfId="12340" xr:uid="{00000000-0005-0000-0000-000021D30000}"/>
    <cellStyle name="Vírgula 5 3 5 6 2" xfId="38533" xr:uid="{00000000-0005-0000-0000-000022D30000}"/>
    <cellStyle name="Vírgula 5 3 5 7" xfId="32148" xr:uid="{00000000-0005-0000-0000-000023D30000}"/>
    <cellStyle name="Vírgula 5 3 6" xfId="6354" xr:uid="{00000000-0005-0000-0000-000024D30000}"/>
    <cellStyle name="Vírgula 5 3 6 2" xfId="9532" xr:uid="{00000000-0005-0000-0000-000025D30000}"/>
    <cellStyle name="Vírgula 5 3 6 2 2" xfId="27746" xr:uid="{00000000-0005-0000-0000-000026D30000}"/>
    <cellStyle name="Vírgula 5 3 6 2 2 2" xfId="53927" xr:uid="{00000000-0005-0000-0000-000027D30000}"/>
    <cellStyle name="Vírgula 5 3 6 2 3" xfId="21832" xr:uid="{00000000-0005-0000-0000-000028D30000}"/>
    <cellStyle name="Vírgula 5 3 6 2 3 2" xfId="48019" xr:uid="{00000000-0005-0000-0000-000029D30000}"/>
    <cellStyle name="Vírgula 5 3 6 2 4" xfId="15918" xr:uid="{00000000-0005-0000-0000-00002AD30000}"/>
    <cellStyle name="Vírgula 5 3 6 2 4 2" xfId="42111" xr:uid="{00000000-0005-0000-0000-00002BD30000}"/>
    <cellStyle name="Vírgula 5 3 6 2 5" xfId="35725" xr:uid="{00000000-0005-0000-0000-00002CD30000}"/>
    <cellStyle name="Vírgula 5 3 6 3" xfId="24789" xr:uid="{00000000-0005-0000-0000-00002DD30000}"/>
    <cellStyle name="Vírgula 5 3 6 3 2" xfId="50973" xr:uid="{00000000-0005-0000-0000-00002ED30000}"/>
    <cellStyle name="Vírgula 5 3 6 4" xfId="18875" xr:uid="{00000000-0005-0000-0000-00002FD30000}"/>
    <cellStyle name="Vírgula 5 3 6 4 2" xfId="45065" xr:uid="{00000000-0005-0000-0000-000030D30000}"/>
    <cellStyle name="Vírgula 5 3 6 5" xfId="12743" xr:uid="{00000000-0005-0000-0000-000031D30000}"/>
    <cellStyle name="Vírgula 5 3 6 5 2" xfId="38936" xr:uid="{00000000-0005-0000-0000-000032D30000}"/>
    <cellStyle name="Vírgula 5 3 6 6" xfId="32550" xr:uid="{00000000-0005-0000-0000-000033D30000}"/>
    <cellStyle name="Vírgula 5 3 7" xfId="8061" xr:uid="{00000000-0005-0000-0000-000034D30000}"/>
    <cellStyle name="Vírgula 5 3 7 2" xfId="26275" xr:uid="{00000000-0005-0000-0000-000035D30000}"/>
    <cellStyle name="Vírgula 5 3 7 2 2" xfId="52459" xr:uid="{00000000-0005-0000-0000-000036D30000}"/>
    <cellStyle name="Vírgula 5 3 7 3" xfId="20361" xr:uid="{00000000-0005-0000-0000-000037D30000}"/>
    <cellStyle name="Vírgula 5 3 7 3 2" xfId="46551" xr:uid="{00000000-0005-0000-0000-000038D30000}"/>
    <cellStyle name="Vírgula 5 3 7 4" xfId="14450" xr:uid="{00000000-0005-0000-0000-000039D30000}"/>
    <cellStyle name="Vírgula 5 3 7 4 2" xfId="40643" xr:uid="{00000000-0005-0000-0000-00003AD30000}"/>
    <cellStyle name="Vírgula 5 3 7 5" xfId="34257" xr:uid="{00000000-0005-0000-0000-00003BD30000}"/>
    <cellStyle name="Vírgula 5 3 8" xfId="4651" xr:uid="{00000000-0005-0000-0000-00003CD30000}"/>
    <cellStyle name="Vírgula 5 3 8 2" xfId="23318" xr:uid="{00000000-0005-0000-0000-00003DD30000}"/>
    <cellStyle name="Vírgula 5 3 8 2 2" xfId="49505" xr:uid="{00000000-0005-0000-0000-00003ED30000}"/>
    <cellStyle name="Vírgula 5 3 8 3" xfId="30851" xr:uid="{00000000-0005-0000-0000-00003FD30000}"/>
    <cellStyle name="Vírgula 5 3 9" xfId="17404" xr:uid="{00000000-0005-0000-0000-000040D30000}"/>
    <cellStyle name="Vírgula 5 3 9 2" xfId="43597" xr:uid="{00000000-0005-0000-0000-000041D30000}"/>
    <cellStyle name="Vírgula 5 4" xfId="4216" xr:uid="{00000000-0005-0000-0000-000042D30000}"/>
    <cellStyle name="Vírgula 5 4 10" xfId="11074" xr:uid="{00000000-0005-0000-0000-000043D30000}"/>
    <cellStyle name="Vírgula 5 4 10 2" xfId="37267" xr:uid="{00000000-0005-0000-0000-000044D30000}"/>
    <cellStyle name="Vírgula 5 4 11" xfId="30416" xr:uid="{00000000-0005-0000-0000-000045D30000}"/>
    <cellStyle name="Vírgula 5 4 2" xfId="4360" xr:uid="{00000000-0005-0000-0000-000046D30000}"/>
    <cellStyle name="Vírgula 5 4 2 2" xfId="7761" xr:uid="{00000000-0005-0000-0000-000047D30000}"/>
    <cellStyle name="Vírgula 5 4 2 2 2" xfId="10833" xr:uid="{00000000-0005-0000-0000-000048D30000}"/>
    <cellStyle name="Vírgula 5 4 2 2 2 2" xfId="29047" xr:uid="{00000000-0005-0000-0000-000049D30000}"/>
    <cellStyle name="Vírgula 5 4 2 2 2 2 2" xfId="55228" xr:uid="{00000000-0005-0000-0000-00004AD30000}"/>
    <cellStyle name="Vírgula 5 4 2 2 2 3" xfId="23133" xr:uid="{00000000-0005-0000-0000-00004BD30000}"/>
    <cellStyle name="Vírgula 5 4 2 2 2 3 2" xfId="49320" xr:uid="{00000000-0005-0000-0000-00004CD30000}"/>
    <cellStyle name="Vírgula 5 4 2 2 2 4" xfId="17219" xr:uid="{00000000-0005-0000-0000-00004DD30000}"/>
    <cellStyle name="Vírgula 5 4 2 2 2 4 2" xfId="43412" xr:uid="{00000000-0005-0000-0000-00004ED30000}"/>
    <cellStyle name="Vírgula 5 4 2 2 2 5" xfId="37026" xr:uid="{00000000-0005-0000-0000-00004FD30000}"/>
    <cellStyle name="Vírgula 5 4 2 2 3" xfId="26090" xr:uid="{00000000-0005-0000-0000-000050D30000}"/>
    <cellStyle name="Vírgula 5 4 2 2 3 2" xfId="52274" xr:uid="{00000000-0005-0000-0000-000051D30000}"/>
    <cellStyle name="Vírgula 5 4 2 2 4" xfId="20176" xr:uid="{00000000-0005-0000-0000-000052D30000}"/>
    <cellStyle name="Vírgula 5 4 2 2 4 2" xfId="46366" xr:uid="{00000000-0005-0000-0000-000053D30000}"/>
    <cellStyle name="Vírgula 5 4 2 2 5" xfId="14150" xr:uid="{00000000-0005-0000-0000-000054D30000}"/>
    <cellStyle name="Vírgula 5 4 2 2 5 2" xfId="40343" xr:uid="{00000000-0005-0000-0000-000055D30000}"/>
    <cellStyle name="Vírgula 5 4 2 2 6" xfId="33957" xr:uid="{00000000-0005-0000-0000-000056D30000}"/>
    <cellStyle name="Vírgula 5 4 2 3" xfId="9365" xr:uid="{00000000-0005-0000-0000-000057D30000}"/>
    <cellStyle name="Vírgula 5 4 2 3 2" xfId="27579" xr:uid="{00000000-0005-0000-0000-000058D30000}"/>
    <cellStyle name="Vírgula 5 4 2 3 2 2" xfId="53760" xr:uid="{00000000-0005-0000-0000-000059D30000}"/>
    <cellStyle name="Vírgula 5 4 2 3 3" xfId="21665" xr:uid="{00000000-0005-0000-0000-00005AD30000}"/>
    <cellStyle name="Vírgula 5 4 2 3 3 2" xfId="47852" xr:uid="{00000000-0005-0000-0000-00005BD30000}"/>
    <cellStyle name="Vírgula 5 4 2 3 4" xfId="15751" xr:uid="{00000000-0005-0000-0000-00005CD30000}"/>
    <cellStyle name="Vírgula 5 4 2 3 4 2" xfId="41944" xr:uid="{00000000-0005-0000-0000-00005DD30000}"/>
    <cellStyle name="Vírgula 5 4 2 3 5" xfId="35558" xr:uid="{00000000-0005-0000-0000-00005ED30000}"/>
    <cellStyle name="Vírgula 5 4 2 4" xfId="6061" xr:uid="{00000000-0005-0000-0000-00005FD30000}"/>
    <cellStyle name="Vírgula 5 4 2 4 2" xfId="24622" xr:uid="{00000000-0005-0000-0000-000060D30000}"/>
    <cellStyle name="Vírgula 5 4 2 4 2 2" xfId="50806" xr:uid="{00000000-0005-0000-0000-000061D30000}"/>
    <cellStyle name="Vírgula 5 4 2 4 3" xfId="32257" xr:uid="{00000000-0005-0000-0000-000062D30000}"/>
    <cellStyle name="Vírgula 5 4 2 5" xfId="18708" xr:uid="{00000000-0005-0000-0000-000063D30000}"/>
    <cellStyle name="Vírgula 5 4 2 5 2" xfId="44898" xr:uid="{00000000-0005-0000-0000-000064D30000}"/>
    <cellStyle name="Vírgula 5 4 2 6" xfId="12449" xr:uid="{00000000-0005-0000-0000-000065D30000}"/>
    <cellStyle name="Vírgula 5 4 2 6 2" xfId="38642" xr:uid="{00000000-0005-0000-0000-000066D30000}"/>
    <cellStyle name="Vírgula 5 4 2 7" xfId="30560" xr:uid="{00000000-0005-0000-0000-000067D30000}"/>
    <cellStyle name="Vírgula 5 4 3" xfId="4468" xr:uid="{00000000-0005-0000-0000-000068D30000}"/>
    <cellStyle name="Vírgula 5 4 3 2" xfId="7870" xr:uid="{00000000-0005-0000-0000-000069D30000}"/>
    <cellStyle name="Vírgula 5 4 3 2 2" xfId="10895" xr:uid="{00000000-0005-0000-0000-00006AD30000}"/>
    <cellStyle name="Vírgula 5 4 3 2 2 2" xfId="29109" xr:uid="{00000000-0005-0000-0000-00006BD30000}"/>
    <cellStyle name="Vírgula 5 4 3 2 2 2 2" xfId="55290" xr:uid="{00000000-0005-0000-0000-00006CD30000}"/>
    <cellStyle name="Vírgula 5 4 3 2 2 3" xfId="23195" xr:uid="{00000000-0005-0000-0000-00006DD30000}"/>
    <cellStyle name="Vírgula 5 4 3 2 2 3 2" xfId="49382" xr:uid="{00000000-0005-0000-0000-00006ED30000}"/>
    <cellStyle name="Vírgula 5 4 3 2 2 4" xfId="17281" xr:uid="{00000000-0005-0000-0000-00006FD30000}"/>
    <cellStyle name="Vírgula 5 4 3 2 2 4 2" xfId="43474" xr:uid="{00000000-0005-0000-0000-000070D30000}"/>
    <cellStyle name="Vírgula 5 4 3 2 2 5" xfId="37088" xr:uid="{00000000-0005-0000-0000-000071D30000}"/>
    <cellStyle name="Vírgula 5 4 3 2 3" xfId="26152" xr:uid="{00000000-0005-0000-0000-000072D30000}"/>
    <cellStyle name="Vírgula 5 4 3 2 3 2" xfId="52336" xr:uid="{00000000-0005-0000-0000-000073D30000}"/>
    <cellStyle name="Vírgula 5 4 3 2 4" xfId="20238" xr:uid="{00000000-0005-0000-0000-000074D30000}"/>
    <cellStyle name="Vírgula 5 4 3 2 4 2" xfId="46428" xr:uid="{00000000-0005-0000-0000-000075D30000}"/>
    <cellStyle name="Vírgula 5 4 3 2 5" xfId="14259" xr:uid="{00000000-0005-0000-0000-000076D30000}"/>
    <cellStyle name="Vírgula 5 4 3 2 5 2" xfId="40452" xr:uid="{00000000-0005-0000-0000-000077D30000}"/>
    <cellStyle name="Vírgula 5 4 3 2 6" xfId="34066" xr:uid="{00000000-0005-0000-0000-000078D30000}"/>
    <cellStyle name="Vírgula 5 4 3 3" xfId="9427" xr:uid="{00000000-0005-0000-0000-000079D30000}"/>
    <cellStyle name="Vírgula 5 4 3 3 2" xfId="27641" xr:uid="{00000000-0005-0000-0000-00007AD30000}"/>
    <cellStyle name="Vírgula 5 4 3 3 2 2" xfId="53822" xr:uid="{00000000-0005-0000-0000-00007BD30000}"/>
    <cellStyle name="Vírgula 5 4 3 3 3" xfId="21727" xr:uid="{00000000-0005-0000-0000-00007CD30000}"/>
    <cellStyle name="Vírgula 5 4 3 3 3 2" xfId="47914" xr:uid="{00000000-0005-0000-0000-00007DD30000}"/>
    <cellStyle name="Vírgula 5 4 3 3 4" xfId="15813" xr:uid="{00000000-0005-0000-0000-00007ED30000}"/>
    <cellStyle name="Vírgula 5 4 3 3 4 2" xfId="42006" xr:uid="{00000000-0005-0000-0000-00007FD30000}"/>
    <cellStyle name="Vírgula 5 4 3 3 5" xfId="35620" xr:uid="{00000000-0005-0000-0000-000080D30000}"/>
    <cellStyle name="Vírgula 5 4 3 4" xfId="6169" xr:uid="{00000000-0005-0000-0000-000081D30000}"/>
    <cellStyle name="Vírgula 5 4 3 4 2" xfId="24684" xr:uid="{00000000-0005-0000-0000-000082D30000}"/>
    <cellStyle name="Vírgula 5 4 3 4 2 2" xfId="50868" xr:uid="{00000000-0005-0000-0000-000083D30000}"/>
    <cellStyle name="Vírgula 5 4 3 4 3" xfId="32365" xr:uid="{00000000-0005-0000-0000-000084D30000}"/>
    <cellStyle name="Vírgula 5 4 3 5" xfId="18770" xr:uid="{00000000-0005-0000-0000-000085D30000}"/>
    <cellStyle name="Vírgula 5 4 3 5 2" xfId="44960" xr:uid="{00000000-0005-0000-0000-000086D30000}"/>
    <cellStyle name="Vírgula 5 4 3 6" xfId="12558" xr:uid="{00000000-0005-0000-0000-000087D30000}"/>
    <cellStyle name="Vírgula 5 4 3 6 2" xfId="38751" xr:uid="{00000000-0005-0000-0000-000088D30000}"/>
    <cellStyle name="Vírgula 5 4 3 7" xfId="30668" xr:uid="{00000000-0005-0000-0000-000089D30000}"/>
    <cellStyle name="Vírgula 5 4 4" xfId="4576" xr:uid="{00000000-0005-0000-0000-00008AD30000}"/>
    <cellStyle name="Vírgula 5 4 4 2" xfId="7978" xr:uid="{00000000-0005-0000-0000-00008BD30000}"/>
    <cellStyle name="Vírgula 5 4 4 2 2" xfId="10957" xr:uid="{00000000-0005-0000-0000-00008CD30000}"/>
    <cellStyle name="Vírgula 5 4 4 2 2 2" xfId="29171" xr:uid="{00000000-0005-0000-0000-00008DD30000}"/>
    <cellStyle name="Vírgula 5 4 4 2 2 2 2" xfId="55352" xr:uid="{00000000-0005-0000-0000-00008ED30000}"/>
    <cellStyle name="Vírgula 5 4 4 2 2 3" xfId="23257" xr:uid="{00000000-0005-0000-0000-00008FD30000}"/>
    <cellStyle name="Vírgula 5 4 4 2 2 3 2" xfId="49444" xr:uid="{00000000-0005-0000-0000-000090D30000}"/>
    <cellStyle name="Vírgula 5 4 4 2 2 4" xfId="17343" xr:uid="{00000000-0005-0000-0000-000091D30000}"/>
    <cellStyle name="Vírgula 5 4 4 2 2 4 2" xfId="43536" xr:uid="{00000000-0005-0000-0000-000092D30000}"/>
    <cellStyle name="Vírgula 5 4 4 2 2 5" xfId="37150" xr:uid="{00000000-0005-0000-0000-000093D30000}"/>
    <cellStyle name="Vírgula 5 4 4 2 3" xfId="26214" xr:uid="{00000000-0005-0000-0000-000094D30000}"/>
    <cellStyle name="Vírgula 5 4 4 2 3 2" xfId="52398" xr:uid="{00000000-0005-0000-0000-000095D30000}"/>
    <cellStyle name="Vírgula 5 4 4 2 4" xfId="20300" xr:uid="{00000000-0005-0000-0000-000096D30000}"/>
    <cellStyle name="Vírgula 5 4 4 2 4 2" xfId="46490" xr:uid="{00000000-0005-0000-0000-000097D30000}"/>
    <cellStyle name="Vírgula 5 4 4 2 5" xfId="14367" xr:uid="{00000000-0005-0000-0000-000098D30000}"/>
    <cellStyle name="Vírgula 5 4 4 2 5 2" xfId="40560" xr:uid="{00000000-0005-0000-0000-000099D30000}"/>
    <cellStyle name="Vírgula 5 4 4 2 6" xfId="34174" xr:uid="{00000000-0005-0000-0000-00009AD30000}"/>
    <cellStyle name="Vírgula 5 4 4 3" xfId="9489" xr:uid="{00000000-0005-0000-0000-00009BD30000}"/>
    <cellStyle name="Vírgula 5 4 4 3 2" xfId="27703" xr:uid="{00000000-0005-0000-0000-00009CD30000}"/>
    <cellStyle name="Vírgula 5 4 4 3 2 2" xfId="53884" xr:uid="{00000000-0005-0000-0000-00009DD30000}"/>
    <cellStyle name="Vírgula 5 4 4 3 3" xfId="21789" xr:uid="{00000000-0005-0000-0000-00009ED30000}"/>
    <cellStyle name="Vírgula 5 4 4 3 3 2" xfId="47976" xr:uid="{00000000-0005-0000-0000-00009FD30000}"/>
    <cellStyle name="Vírgula 5 4 4 3 4" xfId="15875" xr:uid="{00000000-0005-0000-0000-0000A0D30000}"/>
    <cellStyle name="Vírgula 5 4 4 3 4 2" xfId="42068" xr:uid="{00000000-0005-0000-0000-0000A1D30000}"/>
    <cellStyle name="Vírgula 5 4 4 3 5" xfId="35682" xr:uid="{00000000-0005-0000-0000-0000A2D30000}"/>
    <cellStyle name="Vírgula 5 4 4 4" xfId="6277" xr:uid="{00000000-0005-0000-0000-0000A3D30000}"/>
    <cellStyle name="Vírgula 5 4 4 4 2" xfId="24746" xr:uid="{00000000-0005-0000-0000-0000A4D30000}"/>
    <cellStyle name="Vírgula 5 4 4 4 2 2" xfId="50930" xr:uid="{00000000-0005-0000-0000-0000A5D30000}"/>
    <cellStyle name="Vírgula 5 4 4 4 3" xfId="32473" xr:uid="{00000000-0005-0000-0000-0000A6D30000}"/>
    <cellStyle name="Vírgula 5 4 4 5" xfId="18832" xr:uid="{00000000-0005-0000-0000-0000A7D30000}"/>
    <cellStyle name="Vírgula 5 4 4 5 2" xfId="45022" xr:uid="{00000000-0005-0000-0000-0000A8D30000}"/>
    <cellStyle name="Vírgula 5 4 4 6" xfId="12666" xr:uid="{00000000-0005-0000-0000-0000A9D30000}"/>
    <cellStyle name="Vírgula 5 4 4 6 2" xfId="38859" xr:uid="{00000000-0005-0000-0000-0000AAD30000}"/>
    <cellStyle name="Vírgula 5 4 4 7" xfId="30776" xr:uid="{00000000-0005-0000-0000-0000ABD30000}"/>
    <cellStyle name="Vírgula 5 4 5" xfId="5916" xr:uid="{00000000-0005-0000-0000-0000ACD30000}"/>
    <cellStyle name="Vírgula 5 4 5 2" xfId="7616" xr:uid="{00000000-0005-0000-0000-0000ADD30000}"/>
    <cellStyle name="Vírgula 5 4 5 2 2" xfId="10751" xr:uid="{00000000-0005-0000-0000-0000AED30000}"/>
    <cellStyle name="Vírgula 5 4 5 2 2 2" xfId="28965" xr:uid="{00000000-0005-0000-0000-0000AFD30000}"/>
    <cellStyle name="Vírgula 5 4 5 2 2 2 2" xfId="55146" xr:uid="{00000000-0005-0000-0000-0000B0D30000}"/>
    <cellStyle name="Vírgula 5 4 5 2 2 3" xfId="23051" xr:uid="{00000000-0005-0000-0000-0000B1D30000}"/>
    <cellStyle name="Vírgula 5 4 5 2 2 3 2" xfId="49238" xr:uid="{00000000-0005-0000-0000-0000B2D30000}"/>
    <cellStyle name="Vírgula 5 4 5 2 2 4" xfId="17137" xr:uid="{00000000-0005-0000-0000-0000B3D30000}"/>
    <cellStyle name="Vírgula 5 4 5 2 2 4 2" xfId="43330" xr:uid="{00000000-0005-0000-0000-0000B4D30000}"/>
    <cellStyle name="Vírgula 5 4 5 2 2 5" xfId="36944" xr:uid="{00000000-0005-0000-0000-0000B5D30000}"/>
    <cellStyle name="Vírgula 5 4 5 2 3" xfId="26008" xr:uid="{00000000-0005-0000-0000-0000B6D30000}"/>
    <cellStyle name="Vírgula 5 4 5 2 3 2" xfId="52192" xr:uid="{00000000-0005-0000-0000-0000B7D30000}"/>
    <cellStyle name="Vírgula 5 4 5 2 4" xfId="20094" xr:uid="{00000000-0005-0000-0000-0000B8D30000}"/>
    <cellStyle name="Vírgula 5 4 5 2 4 2" xfId="46284" xr:uid="{00000000-0005-0000-0000-0000B9D30000}"/>
    <cellStyle name="Vírgula 5 4 5 2 5" xfId="14005" xr:uid="{00000000-0005-0000-0000-0000BAD30000}"/>
    <cellStyle name="Vírgula 5 4 5 2 5 2" xfId="40198" xr:uid="{00000000-0005-0000-0000-0000BBD30000}"/>
    <cellStyle name="Vírgula 5 4 5 2 6" xfId="33812" xr:uid="{00000000-0005-0000-0000-0000BCD30000}"/>
    <cellStyle name="Vírgula 5 4 5 3" xfId="9283" xr:uid="{00000000-0005-0000-0000-0000BDD30000}"/>
    <cellStyle name="Vírgula 5 4 5 3 2" xfId="27497" xr:uid="{00000000-0005-0000-0000-0000BED30000}"/>
    <cellStyle name="Vírgula 5 4 5 3 2 2" xfId="53678" xr:uid="{00000000-0005-0000-0000-0000BFD30000}"/>
    <cellStyle name="Vírgula 5 4 5 3 3" xfId="21583" xr:uid="{00000000-0005-0000-0000-0000C0D30000}"/>
    <cellStyle name="Vírgula 5 4 5 3 3 2" xfId="47770" xr:uid="{00000000-0005-0000-0000-0000C1D30000}"/>
    <cellStyle name="Vírgula 5 4 5 3 4" xfId="15669" xr:uid="{00000000-0005-0000-0000-0000C2D30000}"/>
    <cellStyle name="Vírgula 5 4 5 3 4 2" xfId="41862" xr:uid="{00000000-0005-0000-0000-0000C3D30000}"/>
    <cellStyle name="Vírgula 5 4 5 3 5" xfId="35476" xr:uid="{00000000-0005-0000-0000-0000C4D30000}"/>
    <cellStyle name="Vírgula 5 4 5 4" xfId="24540" xr:uid="{00000000-0005-0000-0000-0000C5D30000}"/>
    <cellStyle name="Vírgula 5 4 5 4 2" xfId="50724" xr:uid="{00000000-0005-0000-0000-0000C6D30000}"/>
    <cellStyle name="Vírgula 5 4 5 5" xfId="18626" xr:uid="{00000000-0005-0000-0000-0000C7D30000}"/>
    <cellStyle name="Vírgula 5 4 5 5 2" xfId="44816" xr:uid="{00000000-0005-0000-0000-0000C8D30000}"/>
    <cellStyle name="Vírgula 5 4 5 6" xfId="12304" xr:uid="{00000000-0005-0000-0000-0000C9D30000}"/>
    <cellStyle name="Vírgula 5 4 5 6 2" xfId="38497" xr:uid="{00000000-0005-0000-0000-0000CAD30000}"/>
    <cellStyle name="Vírgula 5 4 5 7" xfId="32112" xr:uid="{00000000-0005-0000-0000-0000CBD30000}"/>
    <cellStyle name="Vírgula 5 4 6" xfId="6386" xr:uid="{00000000-0005-0000-0000-0000CCD30000}"/>
    <cellStyle name="Vírgula 5 4 6 2" xfId="9551" xr:uid="{00000000-0005-0000-0000-0000CDD30000}"/>
    <cellStyle name="Vírgula 5 4 6 2 2" xfId="27765" xr:uid="{00000000-0005-0000-0000-0000CED30000}"/>
    <cellStyle name="Vírgula 5 4 6 2 2 2" xfId="53946" xr:uid="{00000000-0005-0000-0000-0000CFD30000}"/>
    <cellStyle name="Vírgula 5 4 6 2 3" xfId="21851" xr:uid="{00000000-0005-0000-0000-0000D0D30000}"/>
    <cellStyle name="Vírgula 5 4 6 2 3 2" xfId="48038" xr:uid="{00000000-0005-0000-0000-0000D1D30000}"/>
    <cellStyle name="Vírgula 5 4 6 2 4" xfId="15937" xr:uid="{00000000-0005-0000-0000-0000D2D30000}"/>
    <cellStyle name="Vírgula 5 4 6 2 4 2" xfId="42130" xr:uid="{00000000-0005-0000-0000-0000D3D30000}"/>
    <cellStyle name="Vírgula 5 4 6 2 5" xfId="35744" xr:uid="{00000000-0005-0000-0000-0000D4D30000}"/>
    <cellStyle name="Vírgula 5 4 6 3" xfId="24808" xr:uid="{00000000-0005-0000-0000-0000D5D30000}"/>
    <cellStyle name="Vírgula 5 4 6 3 2" xfId="50992" xr:uid="{00000000-0005-0000-0000-0000D6D30000}"/>
    <cellStyle name="Vírgula 5 4 6 4" xfId="18894" xr:uid="{00000000-0005-0000-0000-0000D7D30000}"/>
    <cellStyle name="Vírgula 5 4 6 4 2" xfId="45084" xr:uid="{00000000-0005-0000-0000-0000D8D30000}"/>
    <cellStyle name="Vírgula 5 4 6 5" xfId="12775" xr:uid="{00000000-0005-0000-0000-0000D9D30000}"/>
    <cellStyle name="Vírgula 5 4 6 5 2" xfId="38968" xr:uid="{00000000-0005-0000-0000-0000DAD30000}"/>
    <cellStyle name="Vírgula 5 4 6 6" xfId="32582" xr:uid="{00000000-0005-0000-0000-0000DBD30000}"/>
    <cellStyle name="Vírgula 5 4 7" xfId="8080" xr:uid="{00000000-0005-0000-0000-0000DCD30000}"/>
    <cellStyle name="Vírgula 5 4 7 2" xfId="26294" xr:uid="{00000000-0005-0000-0000-0000DDD30000}"/>
    <cellStyle name="Vírgula 5 4 7 2 2" xfId="52478" xr:uid="{00000000-0005-0000-0000-0000DED30000}"/>
    <cellStyle name="Vírgula 5 4 7 3" xfId="20380" xr:uid="{00000000-0005-0000-0000-0000DFD30000}"/>
    <cellStyle name="Vírgula 5 4 7 3 2" xfId="46570" xr:uid="{00000000-0005-0000-0000-0000E0D30000}"/>
    <cellStyle name="Vírgula 5 4 7 4" xfId="14469" xr:uid="{00000000-0005-0000-0000-0000E1D30000}"/>
    <cellStyle name="Vírgula 5 4 7 4 2" xfId="40662" xr:uid="{00000000-0005-0000-0000-0000E2D30000}"/>
    <cellStyle name="Vírgula 5 4 7 5" xfId="34276" xr:uid="{00000000-0005-0000-0000-0000E3D30000}"/>
    <cellStyle name="Vírgula 5 4 8" xfId="4683" xr:uid="{00000000-0005-0000-0000-0000E4D30000}"/>
    <cellStyle name="Vírgula 5 4 8 2" xfId="23337" xr:uid="{00000000-0005-0000-0000-0000E5D30000}"/>
    <cellStyle name="Vírgula 5 4 8 2 2" xfId="49524" xr:uid="{00000000-0005-0000-0000-0000E6D30000}"/>
    <cellStyle name="Vírgula 5 4 8 3" xfId="30883" xr:uid="{00000000-0005-0000-0000-0000E7D30000}"/>
    <cellStyle name="Vírgula 5 4 9" xfId="17423" xr:uid="{00000000-0005-0000-0000-0000E8D30000}"/>
    <cellStyle name="Vírgula 5 4 9 2" xfId="43616" xr:uid="{00000000-0005-0000-0000-0000E9D30000}"/>
    <cellStyle name="Vírgula 5 5" xfId="4292" xr:uid="{00000000-0005-0000-0000-0000EAD30000}"/>
    <cellStyle name="Vírgula 5 5 2" xfId="7693" xr:uid="{00000000-0005-0000-0000-0000EBD30000}"/>
    <cellStyle name="Vírgula 5 5 2 2" xfId="10794" xr:uid="{00000000-0005-0000-0000-0000ECD30000}"/>
    <cellStyle name="Vírgula 5 5 2 2 2" xfId="29008" xr:uid="{00000000-0005-0000-0000-0000EDD30000}"/>
    <cellStyle name="Vírgula 5 5 2 2 2 2" xfId="55189" xr:uid="{00000000-0005-0000-0000-0000EED30000}"/>
    <cellStyle name="Vírgula 5 5 2 2 3" xfId="23094" xr:uid="{00000000-0005-0000-0000-0000EFD30000}"/>
    <cellStyle name="Vírgula 5 5 2 2 3 2" xfId="49281" xr:uid="{00000000-0005-0000-0000-0000F0D30000}"/>
    <cellStyle name="Vírgula 5 5 2 2 4" xfId="17180" xr:uid="{00000000-0005-0000-0000-0000F1D30000}"/>
    <cellStyle name="Vírgula 5 5 2 2 4 2" xfId="43373" xr:uid="{00000000-0005-0000-0000-0000F2D30000}"/>
    <cellStyle name="Vírgula 5 5 2 2 5" xfId="36987" xr:uid="{00000000-0005-0000-0000-0000F3D30000}"/>
    <cellStyle name="Vírgula 5 5 2 3" xfId="26051" xr:uid="{00000000-0005-0000-0000-0000F4D30000}"/>
    <cellStyle name="Vírgula 5 5 2 3 2" xfId="52235" xr:uid="{00000000-0005-0000-0000-0000F5D30000}"/>
    <cellStyle name="Vírgula 5 5 2 4" xfId="20137" xr:uid="{00000000-0005-0000-0000-0000F6D30000}"/>
    <cellStyle name="Vírgula 5 5 2 4 2" xfId="46327" xr:uid="{00000000-0005-0000-0000-0000F7D30000}"/>
    <cellStyle name="Vírgula 5 5 2 5" xfId="14082" xr:uid="{00000000-0005-0000-0000-0000F8D30000}"/>
    <cellStyle name="Vírgula 5 5 2 5 2" xfId="40275" xr:uid="{00000000-0005-0000-0000-0000F9D30000}"/>
    <cellStyle name="Vírgula 5 5 2 6" xfId="33889" xr:uid="{00000000-0005-0000-0000-0000FAD30000}"/>
    <cellStyle name="Vírgula 5 5 3" xfId="9326" xr:uid="{00000000-0005-0000-0000-0000FBD30000}"/>
    <cellStyle name="Vírgula 5 5 3 2" xfId="27540" xr:uid="{00000000-0005-0000-0000-0000FCD30000}"/>
    <cellStyle name="Vírgula 5 5 3 2 2" xfId="53721" xr:uid="{00000000-0005-0000-0000-0000FDD30000}"/>
    <cellStyle name="Vírgula 5 5 3 3" xfId="21626" xr:uid="{00000000-0005-0000-0000-0000FED30000}"/>
    <cellStyle name="Vírgula 5 5 3 3 2" xfId="47813" xr:uid="{00000000-0005-0000-0000-0000FFD30000}"/>
    <cellStyle name="Vírgula 5 5 3 4" xfId="15712" xr:uid="{00000000-0005-0000-0000-000000D40000}"/>
    <cellStyle name="Vírgula 5 5 3 4 2" xfId="41905" xr:uid="{00000000-0005-0000-0000-000001D40000}"/>
    <cellStyle name="Vírgula 5 5 3 5" xfId="35519" xr:uid="{00000000-0005-0000-0000-000002D40000}"/>
    <cellStyle name="Vírgula 5 5 4" xfId="5993" xr:uid="{00000000-0005-0000-0000-000003D40000}"/>
    <cellStyle name="Vírgula 5 5 4 2" xfId="24583" xr:uid="{00000000-0005-0000-0000-000004D40000}"/>
    <cellStyle name="Vírgula 5 5 4 2 2" xfId="50767" xr:uid="{00000000-0005-0000-0000-000005D40000}"/>
    <cellStyle name="Vírgula 5 5 4 3" xfId="32189" xr:uid="{00000000-0005-0000-0000-000006D40000}"/>
    <cellStyle name="Vírgula 5 5 5" xfId="18669" xr:uid="{00000000-0005-0000-0000-000007D40000}"/>
    <cellStyle name="Vírgula 5 5 5 2" xfId="44859" xr:uid="{00000000-0005-0000-0000-000008D40000}"/>
    <cellStyle name="Vírgula 5 5 6" xfId="12381" xr:uid="{00000000-0005-0000-0000-000009D40000}"/>
    <cellStyle name="Vírgula 5 5 6 2" xfId="38574" xr:uid="{00000000-0005-0000-0000-00000AD40000}"/>
    <cellStyle name="Vírgula 5 5 7" xfId="30492" xr:uid="{00000000-0005-0000-0000-00000BD40000}"/>
    <cellStyle name="Vírgula 5 6" xfId="4400" xr:uid="{00000000-0005-0000-0000-00000CD40000}"/>
    <cellStyle name="Vírgula 5 6 2" xfId="7802" xr:uid="{00000000-0005-0000-0000-00000DD40000}"/>
    <cellStyle name="Vírgula 5 6 2 2" xfId="10856" xr:uid="{00000000-0005-0000-0000-00000ED40000}"/>
    <cellStyle name="Vírgula 5 6 2 2 2" xfId="29070" xr:uid="{00000000-0005-0000-0000-00000FD40000}"/>
    <cellStyle name="Vírgula 5 6 2 2 2 2" xfId="55251" xr:uid="{00000000-0005-0000-0000-000010D40000}"/>
    <cellStyle name="Vírgula 5 6 2 2 3" xfId="23156" xr:uid="{00000000-0005-0000-0000-000011D40000}"/>
    <cellStyle name="Vírgula 5 6 2 2 3 2" xfId="49343" xr:uid="{00000000-0005-0000-0000-000012D40000}"/>
    <cellStyle name="Vírgula 5 6 2 2 4" xfId="17242" xr:uid="{00000000-0005-0000-0000-000013D40000}"/>
    <cellStyle name="Vírgula 5 6 2 2 4 2" xfId="43435" xr:uid="{00000000-0005-0000-0000-000014D40000}"/>
    <cellStyle name="Vírgula 5 6 2 2 5" xfId="37049" xr:uid="{00000000-0005-0000-0000-000015D40000}"/>
    <cellStyle name="Vírgula 5 6 2 3" xfId="26113" xr:uid="{00000000-0005-0000-0000-000016D40000}"/>
    <cellStyle name="Vírgula 5 6 2 3 2" xfId="52297" xr:uid="{00000000-0005-0000-0000-000017D40000}"/>
    <cellStyle name="Vírgula 5 6 2 4" xfId="20199" xr:uid="{00000000-0005-0000-0000-000018D40000}"/>
    <cellStyle name="Vírgula 5 6 2 4 2" xfId="46389" xr:uid="{00000000-0005-0000-0000-000019D40000}"/>
    <cellStyle name="Vírgula 5 6 2 5" xfId="14191" xr:uid="{00000000-0005-0000-0000-00001AD40000}"/>
    <cellStyle name="Vírgula 5 6 2 5 2" xfId="40384" xr:uid="{00000000-0005-0000-0000-00001BD40000}"/>
    <cellStyle name="Vírgula 5 6 2 6" xfId="33998" xr:uid="{00000000-0005-0000-0000-00001CD40000}"/>
    <cellStyle name="Vírgula 5 6 3" xfId="9388" xr:uid="{00000000-0005-0000-0000-00001DD40000}"/>
    <cellStyle name="Vírgula 5 6 3 2" xfId="27602" xr:uid="{00000000-0005-0000-0000-00001ED40000}"/>
    <cellStyle name="Vírgula 5 6 3 2 2" xfId="53783" xr:uid="{00000000-0005-0000-0000-00001FD40000}"/>
    <cellStyle name="Vírgula 5 6 3 3" xfId="21688" xr:uid="{00000000-0005-0000-0000-000020D40000}"/>
    <cellStyle name="Vírgula 5 6 3 3 2" xfId="47875" xr:uid="{00000000-0005-0000-0000-000021D40000}"/>
    <cellStyle name="Vírgula 5 6 3 4" xfId="15774" xr:uid="{00000000-0005-0000-0000-000022D40000}"/>
    <cellStyle name="Vírgula 5 6 3 4 2" xfId="41967" xr:uid="{00000000-0005-0000-0000-000023D40000}"/>
    <cellStyle name="Vírgula 5 6 3 5" xfId="35581" xr:uid="{00000000-0005-0000-0000-000024D40000}"/>
    <cellStyle name="Vírgula 5 6 4" xfId="6102" xr:uid="{00000000-0005-0000-0000-000025D40000}"/>
    <cellStyle name="Vírgula 5 6 4 2" xfId="24645" xr:uid="{00000000-0005-0000-0000-000026D40000}"/>
    <cellStyle name="Vírgula 5 6 4 2 2" xfId="50829" xr:uid="{00000000-0005-0000-0000-000027D40000}"/>
    <cellStyle name="Vírgula 5 6 4 3" xfId="32298" xr:uid="{00000000-0005-0000-0000-000028D40000}"/>
    <cellStyle name="Vírgula 5 6 5" xfId="18731" xr:uid="{00000000-0005-0000-0000-000029D40000}"/>
    <cellStyle name="Vírgula 5 6 5 2" xfId="44921" xr:uid="{00000000-0005-0000-0000-00002AD40000}"/>
    <cellStyle name="Vírgula 5 6 6" xfId="12490" xr:uid="{00000000-0005-0000-0000-00002BD40000}"/>
    <cellStyle name="Vírgula 5 6 6 2" xfId="38683" xr:uid="{00000000-0005-0000-0000-00002CD40000}"/>
    <cellStyle name="Vírgula 5 6 7" xfId="30600" xr:uid="{00000000-0005-0000-0000-00002DD40000}"/>
    <cellStyle name="Vírgula 5 7" xfId="4508" xr:uid="{00000000-0005-0000-0000-00002ED40000}"/>
    <cellStyle name="Vírgula 5 7 2" xfId="7910" xr:uid="{00000000-0005-0000-0000-00002FD40000}"/>
    <cellStyle name="Vírgula 5 7 2 2" xfId="10918" xr:uid="{00000000-0005-0000-0000-000030D40000}"/>
    <cellStyle name="Vírgula 5 7 2 2 2" xfId="29132" xr:uid="{00000000-0005-0000-0000-000031D40000}"/>
    <cellStyle name="Vírgula 5 7 2 2 2 2" xfId="55313" xr:uid="{00000000-0005-0000-0000-000032D40000}"/>
    <cellStyle name="Vírgula 5 7 2 2 3" xfId="23218" xr:uid="{00000000-0005-0000-0000-000033D40000}"/>
    <cellStyle name="Vírgula 5 7 2 2 3 2" xfId="49405" xr:uid="{00000000-0005-0000-0000-000034D40000}"/>
    <cellStyle name="Vírgula 5 7 2 2 4" xfId="17304" xr:uid="{00000000-0005-0000-0000-000035D40000}"/>
    <cellStyle name="Vírgula 5 7 2 2 4 2" xfId="43497" xr:uid="{00000000-0005-0000-0000-000036D40000}"/>
    <cellStyle name="Vírgula 5 7 2 2 5" xfId="37111" xr:uid="{00000000-0005-0000-0000-000037D40000}"/>
    <cellStyle name="Vírgula 5 7 2 3" xfId="26175" xr:uid="{00000000-0005-0000-0000-000038D40000}"/>
    <cellStyle name="Vírgula 5 7 2 3 2" xfId="52359" xr:uid="{00000000-0005-0000-0000-000039D40000}"/>
    <cellStyle name="Vírgula 5 7 2 4" xfId="20261" xr:uid="{00000000-0005-0000-0000-00003AD40000}"/>
    <cellStyle name="Vírgula 5 7 2 4 2" xfId="46451" xr:uid="{00000000-0005-0000-0000-00003BD40000}"/>
    <cellStyle name="Vírgula 5 7 2 5" xfId="14299" xr:uid="{00000000-0005-0000-0000-00003CD40000}"/>
    <cellStyle name="Vírgula 5 7 2 5 2" xfId="40492" xr:uid="{00000000-0005-0000-0000-00003DD40000}"/>
    <cellStyle name="Vírgula 5 7 2 6" xfId="34106" xr:uid="{00000000-0005-0000-0000-00003ED40000}"/>
    <cellStyle name="Vírgula 5 7 3" xfId="9450" xr:uid="{00000000-0005-0000-0000-00003FD40000}"/>
    <cellStyle name="Vírgula 5 7 3 2" xfId="27664" xr:uid="{00000000-0005-0000-0000-000040D40000}"/>
    <cellStyle name="Vírgula 5 7 3 2 2" xfId="53845" xr:uid="{00000000-0005-0000-0000-000041D40000}"/>
    <cellStyle name="Vírgula 5 7 3 3" xfId="21750" xr:uid="{00000000-0005-0000-0000-000042D40000}"/>
    <cellStyle name="Vírgula 5 7 3 3 2" xfId="47937" xr:uid="{00000000-0005-0000-0000-000043D40000}"/>
    <cellStyle name="Vírgula 5 7 3 4" xfId="15836" xr:uid="{00000000-0005-0000-0000-000044D40000}"/>
    <cellStyle name="Vírgula 5 7 3 4 2" xfId="42029" xr:uid="{00000000-0005-0000-0000-000045D40000}"/>
    <cellStyle name="Vírgula 5 7 3 5" xfId="35643" xr:uid="{00000000-0005-0000-0000-000046D40000}"/>
    <cellStyle name="Vírgula 5 7 4" xfId="6209" xr:uid="{00000000-0005-0000-0000-000047D40000}"/>
    <cellStyle name="Vírgula 5 7 4 2" xfId="24707" xr:uid="{00000000-0005-0000-0000-000048D40000}"/>
    <cellStyle name="Vírgula 5 7 4 2 2" xfId="50891" xr:uid="{00000000-0005-0000-0000-000049D40000}"/>
    <cellStyle name="Vírgula 5 7 4 3" xfId="32405" xr:uid="{00000000-0005-0000-0000-00004AD40000}"/>
    <cellStyle name="Vírgula 5 7 5" xfId="18793" xr:uid="{00000000-0005-0000-0000-00004BD40000}"/>
    <cellStyle name="Vírgula 5 7 5 2" xfId="44983" xr:uid="{00000000-0005-0000-0000-00004CD40000}"/>
    <cellStyle name="Vírgula 5 7 6" xfId="12598" xr:uid="{00000000-0005-0000-0000-00004DD40000}"/>
    <cellStyle name="Vírgula 5 7 6 2" xfId="38791" xr:uid="{00000000-0005-0000-0000-00004ED40000}"/>
    <cellStyle name="Vírgula 5 7 7" xfId="30708" xr:uid="{00000000-0005-0000-0000-00004FD40000}"/>
    <cellStyle name="Vírgula 5 8" xfId="4863" xr:uid="{00000000-0005-0000-0000-000050D40000}"/>
    <cellStyle name="Vírgula 5 8 2" xfId="6564" xr:uid="{00000000-0005-0000-0000-000051D40000}"/>
    <cellStyle name="Vírgula 5 8 2 2" xfId="9711" xr:uid="{00000000-0005-0000-0000-000052D40000}"/>
    <cellStyle name="Vírgula 5 8 2 2 2" xfId="27925" xr:uid="{00000000-0005-0000-0000-000053D40000}"/>
    <cellStyle name="Vírgula 5 8 2 2 2 2" xfId="54106" xr:uid="{00000000-0005-0000-0000-000054D40000}"/>
    <cellStyle name="Vírgula 5 8 2 2 3" xfId="22011" xr:uid="{00000000-0005-0000-0000-000055D40000}"/>
    <cellStyle name="Vírgula 5 8 2 2 3 2" xfId="48198" xr:uid="{00000000-0005-0000-0000-000056D40000}"/>
    <cellStyle name="Vírgula 5 8 2 2 4" xfId="16097" xr:uid="{00000000-0005-0000-0000-000057D40000}"/>
    <cellStyle name="Vírgula 5 8 2 2 4 2" xfId="42290" xr:uid="{00000000-0005-0000-0000-000058D40000}"/>
    <cellStyle name="Vírgula 5 8 2 2 5" xfId="35904" xr:uid="{00000000-0005-0000-0000-000059D40000}"/>
    <cellStyle name="Vírgula 5 8 2 3" xfId="24968" xr:uid="{00000000-0005-0000-0000-00005AD40000}"/>
    <cellStyle name="Vírgula 5 8 2 3 2" xfId="51152" xr:uid="{00000000-0005-0000-0000-00005BD40000}"/>
    <cellStyle name="Vírgula 5 8 2 4" xfId="19054" xr:uid="{00000000-0005-0000-0000-00005CD40000}"/>
    <cellStyle name="Vírgula 5 8 2 4 2" xfId="45244" xr:uid="{00000000-0005-0000-0000-00005DD40000}"/>
    <cellStyle name="Vírgula 5 8 2 5" xfId="12953" xr:uid="{00000000-0005-0000-0000-00005ED40000}"/>
    <cellStyle name="Vírgula 5 8 2 5 2" xfId="39146" xr:uid="{00000000-0005-0000-0000-00005FD40000}"/>
    <cellStyle name="Vírgula 5 8 2 6" xfId="32760" xr:uid="{00000000-0005-0000-0000-000060D40000}"/>
    <cellStyle name="Vírgula 5 8 3" xfId="8240" xr:uid="{00000000-0005-0000-0000-000061D40000}"/>
    <cellStyle name="Vírgula 5 8 3 2" xfId="26454" xr:uid="{00000000-0005-0000-0000-000062D40000}"/>
    <cellStyle name="Vírgula 5 8 3 2 2" xfId="52638" xr:uid="{00000000-0005-0000-0000-000063D40000}"/>
    <cellStyle name="Vírgula 5 8 3 3" xfId="20540" xr:uid="{00000000-0005-0000-0000-000064D40000}"/>
    <cellStyle name="Vírgula 5 8 3 3 2" xfId="46730" xr:uid="{00000000-0005-0000-0000-000065D40000}"/>
    <cellStyle name="Vírgula 5 8 3 4" xfId="14629" xr:uid="{00000000-0005-0000-0000-000066D40000}"/>
    <cellStyle name="Vírgula 5 8 3 4 2" xfId="40822" xr:uid="{00000000-0005-0000-0000-000067D40000}"/>
    <cellStyle name="Vírgula 5 8 3 5" xfId="34436" xr:uid="{00000000-0005-0000-0000-000068D40000}"/>
    <cellStyle name="Vírgula 5 8 4" xfId="23497" xr:uid="{00000000-0005-0000-0000-000069D40000}"/>
    <cellStyle name="Vírgula 5 8 4 2" xfId="49684" xr:uid="{00000000-0005-0000-0000-00006AD40000}"/>
    <cellStyle name="Vírgula 5 8 5" xfId="17583" xr:uid="{00000000-0005-0000-0000-00006BD40000}"/>
    <cellStyle name="Vírgula 5 8 5 2" xfId="43776" xr:uid="{00000000-0005-0000-0000-00006CD40000}"/>
    <cellStyle name="Vírgula 5 8 6" xfId="11252" xr:uid="{00000000-0005-0000-0000-00006DD40000}"/>
    <cellStyle name="Vírgula 5 8 6 2" xfId="37445" xr:uid="{00000000-0005-0000-0000-00006ED40000}"/>
    <cellStyle name="Vírgula 5 8 7" xfId="31061" xr:uid="{00000000-0005-0000-0000-00006FD40000}"/>
    <cellStyle name="Vírgula 5 9" xfId="6318" xr:uid="{00000000-0005-0000-0000-000070D40000}"/>
    <cellStyle name="Vírgula 5 9 2" xfId="9512" xr:uid="{00000000-0005-0000-0000-000071D40000}"/>
    <cellStyle name="Vírgula 5 9 2 2" xfId="27726" xr:uid="{00000000-0005-0000-0000-000072D40000}"/>
    <cellStyle name="Vírgula 5 9 2 2 2" xfId="53907" xr:uid="{00000000-0005-0000-0000-000073D40000}"/>
    <cellStyle name="Vírgula 5 9 2 3" xfId="21812" xr:uid="{00000000-0005-0000-0000-000074D40000}"/>
    <cellStyle name="Vírgula 5 9 2 3 2" xfId="47999" xr:uid="{00000000-0005-0000-0000-000075D40000}"/>
    <cellStyle name="Vírgula 5 9 2 4" xfId="15898" xr:uid="{00000000-0005-0000-0000-000076D40000}"/>
    <cellStyle name="Vírgula 5 9 2 4 2" xfId="42091" xr:uid="{00000000-0005-0000-0000-000077D40000}"/>
    <cellStyle name="Vírgula 5 9 2 5" xfId="35705" xr:uid="{00000000-0005-0000-0000-000078D40000}"/>
    <cellStyle name="Vírgula 5 9 3" xfId="24769" xr:uid="{00000000-0005-0000-0000-000079D40000}"/>
    <cellStyle name="Vírgula 5 9 3 2" xfId="50953" xr:uid="{00000000-0005-0000-0000-00007AD40000}"/>
    <cellStyle name="Vírgula 5 9 4" xfId="18855" xr:uid="{00000000-0005-0000-0000-00007BD40000}"/>
    <cellStyle name="Vírgula 5 9 4 2" xfId="45045" xr:uid="{00000000-0005-0000-0000-00007CD40000}"/>
    <cellStyle name="Vírgula 5 9 5" xfId="12707" xr:uid="{00000000-0005-0000-0000-00007DD40000}"/>
    <cellStyle name="Vírgula 5 9 5 2" xfId="38900" xr:uid="{00000000-0005-0000-0000-00007ED40000}"/>
    <cellStyle name="Vírgula 5 9 6" xfId="32514" xr:uid="{00000000-0005-0000-0000-00007FD40000}"/>
    <cellStyle name="Vírgula 6" xfId="4221" xr:uid="{00000000-0005-0000-0000-000080D40000}"/>
    <cellStyle name="Vírgula 6 10" xfId="8044" xr:uid="{00000000-0005-0000-0000-000081D40000}"/>
    <cellStyle name="Vírgula 6 10 2" xfId="26258" xr:uid="{00000000-0005-0000-0000-000082D40000}"/>
    <cellStyle name="Vírgula 6 10 2 2" xfId="52442" xr:uid="{00000000-0005-0000-0000-000083D40000}"/>
    <cellStyle name="Vírgula 6 10 3" xfId="20344" xr:uid="{00000000-0005-0000-0000-000084D40000}"/>
    <cellStyle name="Vírgula 6 10 3 2" xfId="46534" xr:uid="{00000000-0005-0000-0000-000085D40000}"/>
    <cellStyle name="Vírgula 6 10 4" xfId="14433" xr:uid="{00000000-0005-0000-0000-000086D40000}"/>
    <cellStyle name="Vírgula 6 10 4 2" xfId="40626" xr:uid="{00000000-0005-0000-0000-000087D40000}"/>
    <cellStyle name="Vírgula 6 10 5" xfId="34240" xr:uid="{00000000-0005-0000-0000-000088D40000}"/>
    <cellStyle name="Vírgula 6 11" xfId="4621" xr:uid="{00000000-0005-0000-0000-000089D40000}"/>
    <cellStyle name="Vírgula 6 11 2" xfId="23301" xr:uid="{00000000-0005-0000-0000-00008AD40000}"/>
    <cellStyle name="Vírgula 6 11 2 2" xfId="49488" xr:uid="{00000000-0005-0000-0000-00008BD40000}"/>
    <cellStyle name="Vírgula 6 11 3" xfId="30821" xr:uid="{00000000-0005-0000-0000-00008CD40000}"/>
    <cellStyle name="Vírgula 6 12" xfId="17387" xr:uid="{00000000-0005-0000-0000-00008DD40000}"/>
    <cellStyle name="Vírgula 6 12 2" xfId="43580" xr:uid="{00000000-0005-0000-0000-00008ED40000}"/>
    <cellStyle name="Vírgula 6 13" xfId="11012" xr:uid="{00000000-0005-0000-0000-00008FD40000}"/>
    <cellStyle name="Vírgula 6 13 2" xfId="37205" xr:uid="{00000000-0005-0000-0000-000090D40000}"/>
    <cellStyle name="Vírgula 6 14" xfId="30421" xr:uid="{00000000-0005-0000-0000-000091D40000}"/>
    <cellStyle name="Vírgula 6 2" xfId="4256" xr:uid="{00000000-0005-0000-0000-000092D40000}"/>
    <cellStyle name="Vírgula 6 2 10" xfId="11047" xr:uid="{00000000-0005-0000-0000-000093D40000}"/>
    <cellStyle name="Vírgula 6 2 10 2" xfId="37240" xr:uid="{00000000-0005-0000-0000-000094D40000}"/>
    <cellStyle name="Vírgula 6 2 11" xfId="30456" xr:uid="{00000000-0005-0000-0000-000095D40000}"/>
    <cellStyle name="Vírgula 6 2 2" xfId="4333" xr:uid="{00000000-0005-0000-0000-000096D40000}"/>
    <cellStyle name="Vírgula 6 2 2 2" xfId="7734" xr:uid="{00000000-0005-0000-0000-000097D40000}"/>
    <cellStyle name="Vírgula 6 2 2 2 2" xfId="10817" xr:uid="{00000000-0005-0000-0000-000098D40000}"/>
    <cellStyle name="Vírgula 6 2 2 2 2 2" xfId="29031" xr:uid="{00000000-0005-0000-0000-000099D40000}"/>
    <cellStyle name="Vírgula 6 2 2 2 2 2 2" xfId="55212" xr:uid="{00000000-0005-0000-0000-00009AD40000}"/>
    <cellStyle name="Vírgula 6 2 2 2 2 3" xfId="23117" xr:uid="{00000000-0005-0000-0000-00009BD40000}"/>
    <cellStyle name="Vírgula 6 2 2 2 2 3 2" xfId="49304" xr:uid="{00000000-0005-0000-0000-00009CD40000}"/>
    <cellStyle name="Vírgula 6 2 2 2 2 4" xfId="17203" xr:uid="{00000000-0005-0000-0000-00009DD40000}"/>
    <cellStyle name="Vírgula 6 2 2 2 2 4 2" xfId="43396" xr:uid="{00000000-0005-0000-0000-00009ED40000}"/>
    <cellStyle name="Vírgula 6 2 2 2 2 5" xfId="37010" xr:uid="{00000000-0005-0000-0000-00009FD40000}"/>
    <cellStyle name="Vírgula 6 2 2 2 3" xfId="26074" xr:uid="{00000000-0005-0000-0000-0000A0D40000}"/>
    <cellStyle name="Vírgula 6 2 2 2 3 2" xfId="52258" xr:uid="{00000000-0005-0000-0000-0000A1D40000}"/>
    <cellStyle name="Vírgula 6 2 2 2 4" xfId="20160" xr:uid="{00000000-0005-0000-0000-0000A2D40000}"/>
    <cellStyle name="Vírgula 6 2 2 2 4 2" xfId="46350" xr:uid="{00000000-0005-0000-0000-0000A3D40000}"/>
    <cellStyle name="Vírgula 6 2 2 2 5" xfId="14123" xr:uid="{00000000-0005-0000-0000-0000A4D40000}"/>
    <cellStyle name="Vírgula 6 2 2 2 5 2" xfId="40316" xr:uid="{00000000-0005-0000-0000-0000A5D40000}"/>
    <cellStyle name="Vírgula 6 2 2 2 6" xfId="33930" xr:uid="{00000000-0005-0000-0000-0000A6D40000}"/>
    <cellStyle name="Vírgula 6 2 2 3" xfId="9349" xr:uid="{00000000-0005-0000-0000-0000A7D40000}"/>
    <cellStyle name="Vírgula 6 2 2 3 2" xfId="27563" xr:uid="{00000000-0005-0000-0000-0000A8D40000}"/>
    <cellStyle name="Vírgula 6 2 2 3 2 2" xfId="53744" xr:uid="{00000000-0005-0000-0000-0000A9D40000}"/>
    <cellStyle name="Vírgula 6 2 2 3 3" xfId="21649" xr:uid="{00000000-0005-0000-0000-0000AAD40000}"/>
    <cellStyle name="Vírgula 6 2 2 3 3 2" xfId="47836" xr:uid="{00000000-0005-0000-0000-0000ABD40000}"/>
    <cellStyle name="Vírgula 6 2 2 3 4" xfId="15735" xr:uid="{00000000-0005-0000-0000-0000ACD40000}"/>
    <cellStyle name="Vírgula 6 2 2 3 4 2" xfId="41928" xr:uid="{00000000-0005-0000-0000-0000ADD40000}"/>
    <cellStyle name="Vírgula 6 2 2 3 5" xfId="35542" xr:uid="{00000000-0005-0000-0000-0000AED40000}"/>
    <cellStyle name="Vírgula 6 2 2 4" xfId="6034" xr:uid="{00000000-0005-0000-0000-0000AFD40000}"/>
    <cellStyle name="Vírgula 6 2 2 4 2" xfId="24606" xr:uid="{00000000-0005-0000-0000-0000B0D40000}"/>
    <cellStyle name="Vírgula 6 2 2 4 2 2" xfId="50790" xr:uid="{00000000-0005-0000-0000-0000B1D40000}"/>
    <cellStyle name="Vírgula 6 2 2 4 3" xfId="32230" xr:uid="{00000000-0005-0000-0000-0000B2D40000}"/>
    <cellStyle name="Vírgula 6 2 2 5" xfId="18692" xr:uid="{00000000-0005-0000-0000-0000B3D40000}"/>
    <cellStyle name="Vírgula 6 2 2 5 2" xfId="44882" xr:uid="{00000000-0005-0000-0000-0000B4D40000}"/>
    <cellStyle name="Vírgula 6 2 2 6" xfId="12422" xr:uid="{00000000-0005-0000-0000-0000B5D40000}"/>
    <cellStyle name="Vírgula 6 2 2 6 2" xfId="38615" xr:uid="{00000000-0005-0000-0000-0000B6D40000}"/>
    <cellStyle name="Vírgula 6 2 2 7" xfId="30533" xr:uid="{00000000-0005-0000-0000-0000B7D40000}"/>
    <cellStyle name="Vírgula 6 2 3" xfId="4441" xr:uid="{00000000-0005-0000-0000-0000B8D40000}"/>
    <cellStyle name="Vírgula 6 2 3 2" xfId="7843" xr:uid="{00000000-0005-0000-0000-0000B9D40000}"/>
    <cellStyle name="Vírgula 6 2 3 2 2" xfId="10879" xr:uid="{00000000-0005-0000-0000-0000BAD40000}"/>
    <cellStyle name="Vírgula 6 2 3 2 2 2" xfId="29093" xr:uid="{00000000-0005-0000-0000-0000BBD40000}"/>
    <cellStyle name="Vírgula 6 2 3 2 2 2 2" xfId="55274" xr:uid="{00000000-0005-0000-0000-0000BCD40000}"/>
    <cellStyle name="Vírgula 6 2 3 2 2 3" xfId="23179" xr:uid="{00000000-0005-0000-0000-0000BDD40000}"/>
    <cellStyle name="Vírgula 6 2 3 2 2 3 2" xfId="49366" xr:uid="{00000000-0005-0000-0000-0000BED40000}"/>
    <cellStyle name="Vírgula 6 2 3 2 2 4" xfId="17265" xr:uid="{00000000-0005-0000-0000-0000BFD40000}"/>
    <cellStyle name="Vírgula 6 2 3 2 2 4 2" xfId="43458" xr:uid="{00000000-0005-0000-0000-0000C0D40000}"/>
    <cellStyle name="Vírgula 6 2 3 2 2 5" xfId="37072" xr:uid="{00000000-0005-0000-0000-0000C1D40000}"/>
    <cellStyle name="Vírgula 6 2 3 2 3" xfId="26136" xr:uid="{00000000-0005-0000-0000-0000C2D40000}"/>
    <cellStyle name="Vírgula 6 2 3 2 3 2" xfId="52320" xr:uid="{00000000-0005-0000-0000-0000C3D40000}"/>
    <cellStyle name="Vírgula 6 2 3 2 4" xfId="20222" xr:uid="{00000000-0005-0000-0000-0000C4D40000}"/>
    <cellStyle name="Vírgula 6 2 3 2 4 2" xfId="46412" xr:uid="{00000000-0005-0000-0000-0000C5D40000}"/>
    <cellStyle name="Vírgula 6 2 3 2 5" xfId="14232" xr:uid="{00000000-0005-0000-0000-0000C6D40000}"/>
    <cellStyle name="Vírgula 6 2 3 2 5 2" xfId="40425" xr:uid="{00000000-0005-0000-0000-0000C7D40000}"/>
    <cellStyle name="Vírgula 6 2 3 2 6" xfId="34039" xr:uid="{00000000-0005-0000-0000-0000C8D40000}"/>
    <cellStyle name="Vírgula 6 2 3 3" xfId="9411" xr:uid="{00000000-0005-0000-0000-0000C9D40000}"/>
    <cellStyle name="Vírgula 6 2 3 3 2" xfId="27625" xr:uid="{00000000-0005-0000-0000-0000CAD40000}"/>
    <cellStyle name="Vírgula 6 2 3 3 2 2" xfId="53806" xr:uid="{00000000-0005-0000-0000-0000CBD40000}"/>
    <cellStyle name="Vírgula 6 2 3 3 3" xfId="21711" xr:uid="{00000000-0005-0000-0000-0000CCD40000}"/>
    <cellStyle name="Vírgula 6 2 3 3 3 2" xfId="47898" xr:uid="{00000000-0005-0000-0000-0000CDD40000}"/>
    <cellStyle name="Vírgula 6 2 3 3 4" xfId="15797" xr:uid="{00000000-0005-0000-0000-0000CED40000}"/>
    <cellStyle name="Vírgula 6 2 3 3 4 2" xfId="41990" xr:uid="{00000000-0005-0000-0000-0000CFD40000}"/>
    <cellStyle name="Vírgula 6 2 3 3 5" xfId="35604" xr:uid="{00000000-0005-0000-0000-0000D0D40000}"/>
    <cellStyle name="Vírgula 6 2 3 4" xfId="6143" xr:uid="{00000000-0005-0000-0000-0000D1D40000}"/>
    <cellStyle name="Vírgula 6 2 3 4 2" xfId="24668" xr:uid="{00000000-0005-0000-0000-0000D2D40000}"/>
    <cellStyle name="Vírgula 6 2 3 4 2 2" xfId="50852" xr:uid="{00000000-0005-0000-0000-0000D3D40000}"/>
    <cellStyle name="Vírgula 6 2 3 4 3" xfId="32339" xr:uid="{00000000-0005-0000-0000-0000D4D40000}"/>
    <cellStyle name="Vírgula 6 2 3 5" xfId="18754" xr:uid="{00000000-0005-0000-0000-0000D5D40000}"/>
    <cellStyle name="Vírgula 6 2 3 5 2" xfId="44944" xr:uid="{00000000-0005-0000-0000-0000D6D40000}"/>
    <cellStyle name="Vírgula 6 2 3 6" xfId="12531" xr:uid="{00000000-0005-0000-0000-0000D7D40000}"/>
    <cellStyle name="Vírgula 6 2 3 6 2" xfId="38724" xr:uid="{00000000-0005-0000-0000-0000D8D40000}"/>
    <cellStyle name="Vírgula 6 2 3 7" xfId="30641" xr:uid="{00000000-0005-0000-0000-0000D9D40000}"/>
    <cellStyle name="Vírgula 6 2 4" xfId="4549" xr:uid="{00000000-0005-0000-0000-0000DAD40000}"/>
    <cellStyle name="Vírgula 6 2 4 2" xfId="7951" xr:uid="{00000000-0005-0000-0000-0000DBD40000}"/>
    <cellStyle name="Vírgula 6 2 4 2 2" xfId="10941" xr:uid="{00000000-0005-0000-0000-0000DCD40000}"/>
    <cellStyle name="Vírgula 6 2 4 2 2 2" xfId="29155" xr:uid="{00000000-0005-0000-0000-0000DDD40000}"/>
    <cellStyle name="Vírgula 6 2 4 2 2 2 2" xfId="55336" xr:uid="{00000000-0005-0000-0000-0000DED40000}"/>
    <cellStyle name="Vírgula 6 2 4 2 2 3" xfId="23241" xr:uid="{00000000-0005-0000-0000-0000DFD40000}"/>
    <cellStyle name="Vírgula 6 2 4 2 2 3 2" xfId="49428" xr:uid="{00000000-0005-0000-0000-0000E0D40000}"/>
    <cellStyle name="Vírgula 6 2 4 2 2 4" xfId="17327" xr:uid="{00000000-0005-0000-0000-0000E1D40000}"/>
    <cellStyle name="Vírgula 6 2 4 2 2 4 2" xfId="43520" xr:uid="{00000000-0005-0000-0000-0000E2D40000}"/>
    <cellStyle name="Vírgula 6 2 4 2 2 5" xfId="37134" xr:uid="{00000000-0005-0000-0000-0000E3D40000}"/>
    <cellStyle name="Vírgula 6 2 4 2 3" xfId="26198" xr:uid="{00000000-0005-0000-0000-0000E4D40000}"/>
    <cellStyle name="Vírgula 6 2 4 2 3 2" xfId="52382" xr:uid="{00000000-0005-0000-0000-0000E5D40000}"/>
    <cellStyle name="Vírgula 6 2 4 2 4" xfId="20284" xr:uid="{00000000-0005-0000-0000-0000E6D40000}"/>
    <cellStyle name="Vírgula 6 2 4 2 4 2" xfId="46474" xr:uid="{00000000-0005-0000-0000-0000E7D40000}"/>
    <cellStyle name="Vírgula 6 2 4 2 5" xfId="14340" xr:uid="{00000000-0005-0000-0000-0000E8D40000}"/>
    <cellStyle name="Vírgula 6 2 4 2 5 2" xfId="40533" xr:uid="{00000000-0005-0000-0000-0000E9D40000}"/>
    <cellStyle name="Vírgula 6 2 4 2 6" xfId="34147" xr:uid="{00000000-0005-0000-0000-0000EAD40000}"/>
    <cellStyle name="Vírgula 6 2 4 3" xfId="9473" xr:uid="{00000000-0005-0000-0000-0000EBD40000}"/>
    <cellStyle name="Vírgula 6 2 4 3 2" xfId="27687" xr:uid="{00000000-0005-0000-0000-0000ECD40000}"/>
    <cellStyle name="Vírgula 6 2 4 3 2 2" xfId="53868" xr:uid="{00000000-0005-0000-0000-0000EDD40000}"/>
    <cellStyle name="Vírgula 6 2 4 3 3" xfId="21773" xr:uid="{00000000-0005-0000-0000-0000EED40000}"/>
    <cellStyle name="Vírgula 6 2 4 3 3 2" xfId="47960" xr:uid="{00000000-0005-0000-0000-0000EFD40000}"/>
    <cellStyle name="Vírgula 6 2 4 3 4" xfId="15859" xr:uid="{00000000-0005-0000-0000-0000F0D40000}"/>
    <cellStyle name="Vírgula 6 2 4 3 4 2" xfId="42052" xr:uid="{00000000-0005-0000-0000-0000F1D40000}"/>
    <cellStyle name="Vírgula 6 2 4 3 5" xfId="35666" xr:uid="{00000000-0005-0000-0000-0000F2D40000}"/>
    <cellStyle name="Vírgula 6 2 4 4" xfId="6250" xr:uid="{00000000-0005-0000-0000-0000F3D40000}"/>
    <cellStyle name="Vírgula 6 2 4 4 2" xfId="24730" xr:uid="{00000000-0005-0000-0000-0000F4D40000}"/>
    <cellStyle name="Vírgula 6 2 4 4 2 2" xfId="50914" xr:uid="{00000000-0005-0000-0000-0000F5D40000}"/>
    <cellStyle name="Vírgula 6 2 4 4 3" xfId="32446" xr:uid="{00000000-0005-0000-0000-0000F6D40000}"/>
    <cellStyle name="Vírgula 6 2 4 5" xfId="18816" xr:uid="{00000000-0005-0000-0000-0000F7D40000}"/>
    <cellStyle name="Vírgula 6 2 4 5 2" xfId="45006" xr:uid="{00000000-0005-0000-0000-0000F8D40000}"/>
    <cellStyle name="Vírgula 6 2 4 6" xfId="12639" xr:uid="{00000000-0005-0000-0000-0000F9D40000}"/>
    <cellStyle name="Vírgula 6 2 4 6 2" xfId="38832" xr:uid="{00000000-0005-0000-0000-0000FAD40000}"/>
    <cellStyle name="Vírgula 6 2 4 7" xfId="30749" xr:uid="{00000000-0005-0000-0000-0000FBD40000}"/>
    <cellStyle name="Vírgula 6 2 5" xfId="5957" xr:uid="{00000000-0005-0000-0000-0000FCD40000}"/>
    <cellStyle name="Vírgula 6 2 5 2" xfId="7657" xr:uid="{00000000-0005-0000-0000-0000FDD40000}"/>
    <cellStyle name="Vírgula 6 2 5 2 2" xfId="10774" xr:uid="{00000000-0005-0000-0000-0000FED40000}"/>
    <cellStyle name="Vírgula 6 2 5 2 2 2" xfId="28988" xr:uid="{00000000-0005-0000-0000-0000FFD40000}"/>
    <cellStyle name="Vírgula 6 2 5 2 2 2 2" xfId="55169" xr:uid="{00000000-0005-0000-0000-000000D50000}"/>
    <cellStyle name="Vírgula 6 2 5 2 2 3" xfId="23074" xr:uid="{00000000-0005-0000-0000-000001D50000}"/>
    <cellStyle name="Vírgula 6 2 5 2 2 3 2" xfId="49261" xr:uid="{00000000-0005-0000-0000-000002D50000}"/>
    <cellStyle name="Vírgula 6 2 5 2 2 4" xfId="17160" xr:uid="{00000000-0005-0000-0000-000003D50000}"/>
    <cellStyle name="Vírgula 6 2 5 2 2 4 2" xfId="43353" xr:uid="{00000000-0005-0000-0000-000004D50000}"/>
    <cellStyle name="Vírgula 6 2 5 2 2 5" xfId="36967" xr:uid="{00000000-0005-0000-0000-000005D50000}"/>
    <cellStyle name="Vírgula 6 2 5 2 3" xfId="26031" xr:uid="{00000000-0005-0000-0000-000006D50000}"/>
    <cellStyle name="Vírgula 6 2 5 2 3 2" xfId="52215" xr:uid="{00000000-0005-0000-0000-000007D50000}"/>
    <cellStyle name="Vírgula 6 2 5 2 4" xfId="20117" xr:uid="{00000000-0005-0000-0000-000008D50000}"/>
    <cellStyle name="Vírgula 6 2 5 2 4 2" xfId="46307" xr:uid="{00000000-0005-0000-0000-000009D50000}"/>
    <cellStyle name="Vírgula 6 2 5 2 5" xfId="14046" xr:uid="{00000000-0005-0000-0000-00000AD50000}"/>
    <cellStyle name="Vírgula 6 2 5 2 5 2" xfId="40239" xr:uid="{00000000-0005-0000-0000-00000BD50000}"/>
    <cellStyle name="Vírgula 6 2 5 2 6" xfId="33853" xr:uid="{00000000-0005-0000-0000-00000CD50000}"/>
    <cellStyle name="Vírgula 6 2 5 3" xfId="9306" xr:uid="{00000000-0005-0000-0000-00000DD50000}"/>
    <cellStyle name="Vírgula 6 2 5 3 2" xfId="27520" xr:uid="{00000000-0005-0000-0000-00000ED50000}"/>
    <cellStyle name="Vírgula 6 2 5 3 2 2" xfId="53701" xr:uid="{00000000-0005-0000-0000-00000FD50000}"/>
    <cellStyle name="Vírgula 6 2 5 3 3" xfId="21606" xr:uid="{00000000-0005-0000-0000-000010D50000}"/>
    <cellStyle name="Vírgula 6 2 5 3 3 2" xfId="47793" xr:uid="{00000000-0005-0000-0000-000011D50000}"/>
    <cellStyle name="Vírgula 6 2 5 3 4" xfId="15692" xr:uid="{00000000-0005-0000-0000-000012D50000}"/>
    <cellStyle name="Vírgula 6 2 5 3 4 2" xfId="41885" xr:uid="{00000000-0005-0000-0000-000013D50000}"/>
    <cellStyle name="Vírgula 6 2 5 3 5" xfId="35499" xr:uid="{00000000-0005-0000-0000-000014D50000}"/>
    <cellStyle name="Vírgula 6 2 5 4" xfId="24563" xr:uid="{00000000-0005-0000-0000-000015D50000}"/>
    <cellStyle name="Vírgula 6 2 5 4 2" xfId="50747" xr:uid="{00000000-0005-0000-0000-000016D50000}"/>
    <cellStyle name="Vírgula 6 2 5 5" xfId="18649" xr:uid="{00000000-0005-0000-0000-000017D50000}"/>
    <cellStyle name="Vírgula 6 2 5 5 2" xfId="44839" xr:uid="{00000000-0005-0000-0000-000018D50000}"/>
    <cellStyle name="Vírgula 6 2 5 6" xfId="12345" xr:uid="{00000000-0005-0000-0000-000019D50000}"/>
    <cellStyle name="Vírgula 6 2 5 6 2" xfId="38538" xr:uid="{00000000-0005-0000-0000-00001AD50000}"/>
    <cellStyle name="Vírgula 6 2 5 7" xfId="32153" xr:uid="{00000000-0005-0000-0000-00001BD50000}"/>
    <cellStyle name="Vírgula 6 2 6" xfId="6359" xr:uid="{00000000-0005-0000-0000-00001CD50000}"/>
    <cellStyle name="Vírgula 6 2 6 2" xfId="9535" xr:uid="{00000000-0005-0000-0000-00001DD50000}"/>
    <cellStyle name="Vírgula 6 2 6 2 2" xfId="27749" xr:uid="{00000000-0005-0000-0000-00001ED50000}"/>
    <cellStyle name="Vírgula 6 2 6 2 2 2" xfId="53930" xr:uid="{00000000-0005-0000-0000-00001FD50000}"/>
    <cellStyle name="Vírgula 6 2 6 2 3" xfId="21835" xr:uid="{00000000-0005-0000-0000-000020D50000}"/>
    <cellStyle name="Vírgula 6 2 6 2 3 2" xfId="48022" xr:uid="{00000000-0005-0000-0000-000021D50000}"/>
    <cellStyle name="Vírgula 6 2 6 2 4" xfId="15921" xr:uid="{00000000-0005-0000-0000-000022D50000}"/>
    <cellStyle name="Vírgula 6 2 6 2 4 2" xfId="42114" xr:uid="{00000000-0005-0000-0000-000023D50000}"/>
    <cellStyle name="Vírgula 6 2 6 2 5" xfId="35728" xr:uid="{00000000-0005-0000-0000-000024D50000}"/>
    <cellStyle name="Vírgula 6 2 6 3" xfId="24792" xr:uid="{00000000-0005-0000-0000-000025D50000}"/>
    <cellStyle name="Vírgula 6 2 6 3 2" xfId="50976" xr:uid="{00000000-0005-0000-0000-000026D50000}"/>
    <cellStyle name="Vírgula 6 2 6 4" xfId="18878" xr:uid="{00000000-0005-0000-0000-000027D50000}"/>
    <cellStyle name="Vírgula 6 2 6 4 2" xfId="45068" xr:uid="{00000000-0005-0000-0000-000028D50000}"/>
    <cellStyle name="Vírgula 6 2 6 5" xfId="12748" xr:uid="{00000000-0005-0000-0000-000029D50000}"/>
    <cellStyle name="Vírgula 6 2 6 5 2" xfId="38941" xr:uid="{00000000-0005-0000-0000-00002AD50000}"/>
    <cellStyle name="Vírgula 6 2 6 6" xfId="32555" xr:uid="{00000000-0005-0000-0000-00002BD50000}"/>
    <cellStyle name="Vírgula 6 2 7" xfId="8064" xr:uid="{00000000-0005-0000-0000-00002CD50000}"/>
    <cellStyle name="Vírgula 6 2 7 2" xfId="26278" xr:uid="{00000000-0005-0000-0000-00002DD50000}"/>
    <cellStyle name="Vírgula 6 2 7 2 2" xfId="52462" xr:uid="{00000000-0005-0000-0000-00002ED50000}"/>
    <cellStyle name="Vírgula 6 2 7 3" xfId="20364" xr:uid="{00000000-0005-0000-0000-00002FD50000}"/>
    <cellStyle name="Vírgula 6 2 7 3 2" xfId="46554" xr:uid="{00000000-0005-0000-0000-000030D50000}"/>
    <cellStyle name="Vírgula 6 2 7 4" xfId="14453" xr:uid="{00000000-0005-0000-0000-000031D50000}"/>
    <cellStyle name="Vírgula 6 2 7 4 2" xfId="40646" xr:uid="{00000000-0005-0000-0000-000032D50000}"/>
    <cellStyle name="Vírgula 6 2 7 5" xfId="34260" xr:uid="{00000000-0005-0000-0000-000033D50000}"/>
    <cellStyle name="Vírgula 6 2 8" xfId="4656" xr:uid="{00000000-0005-0000-0000-000034D50000}"/>
    <cellStyle name="Vírgula 6 2 8 2" xfId="23321" xr:uid="{00000000-0005-0000-0000-000035D50000}"/>
    <cellStyle name="Vírgula 6 2 8 2 2" xfId="49508" xr:uid="{00000000-0005-0000-0000-000036D50000}"/>
    <cellStyle name="Vírgula 6 2 8 3" xfId="30856" xr:uid="{00000000-0005-0000-0000-000037D50000}"/>
    <cellStyle name="Vírgula 6 2 9" xfId="17407" xr:uid="{00000000-0005-0000-0000-000038D50000}"/>
    <cellStyle name="Vírgula 6 2 9 2" xfId="43600" xr:uid="{00000000-0005-0000-0000-000039D50000}"/>
    <cellStyle name="Vírgula 6 3" xfId="4365" xr:uid="{00000000-0005-0000-0000-00003AD50000}"/>
    <cellStyle name="Vírgula 6 3 10" xfId="30565" xr:uid="{00000000-0005-0000-0000-00003BD50000}"/>
    <cellStyle name="Vírgula 6 3 2" xfId="4473" xr:uid="{00000000-0005-0000-0000-00003CD50000}"/>
    <cellStyle name="Vírgula 6 3 2 2" xfId="7875" xr:uid="{00000000-0005-0000-0000-00003DD50000}"/>
    <cellStyle name="Vírgula 6 3 2 2 2" xfId="10898" xr:uid="{00000000-0005-0000-0000-00003ED50000}"/>
    <cellStyle name="Vírgula 6 3 2 2 2 2" xfId="29112" xr:uid="{00000000-0005-0000-0000-00003FD50000}"/>
    <cellStyle name="Vírgula 6 3 2 2 2 2 2" xfId="55293" xr:uid="{00000000-0005-0000-0000-000040D50000}"/>
    <cellStyle name="Vírgula 6 3 2 2 2 3" xfId="23198" xr:uid="{00000000-0005-0000-0000-000041D50000}"/>
    <cellStyle name="Vírgula 6 3 2 2 2 3 2" xfId="49385" xr:uid="{00000000-0005-0000-0000-000042D50000}"/>
    <cellStyle name="Vírgula 6 3 2 2 2 4" xfId="17284" xr:uid="{00000000-0005-0000-0000-000043D50000}"/>
    <cellStyle name="Vírgula 6 3 2 2 2 4 2" xfId="43477" xr:uid="{00000000-0005-0000-0000-000044D50000}"/>
    <cellStyle name="Vírgula 6 3 2 2 2 5" xfId="37091" xr:uid="{00000000-0005-0000-0000-000045D50000}"/>
    <cellStyle name="Vírgula 6 3 2 2 3" xfId="26155" xr:uid="{00000000-0005-0000-0000-000046D50000}"/>
    <cellStyle name="Vírgula 6 3 2 2 3 2" xfId="52339" xr:uid="{00000000-0005-0000-0000-000047D50000}"/>
    <cellStyle name="Vírgula 6 3 2 2 4" xfId="20241" xr:uid="{00000000-0005-0000-0000-000048D50000}"/>
    <cellStyle name="Vírgula 6 3 2 2 4 2" xfId="46431" xr:uid="{00000000-0005-0000-0000-000049D50000}"/>
    <cellStyle name="Vírgula 6 3 2 2 5" xfId="14264" xr:uid="{00000000-0005-0000-0000-00004AD50000}"/>
    <cellStyle name="Vírgula 6 3 2 2 5 2" xfId="40457" xr:uid="{00000000-0005-0000-0000-00004BD50000}"/>
    <cellStyle name="Vírgula 6 3 2 2 6" xfId="34071" xr:uid="{00000000-0005-0000-0000-00004CD50000}"/>
    <cellStyle name="Vírgula 6 3 2 3" xfId="9430" xr:uid="{00000000-0005-0000-0000-00004DD50000}"/>
    <cellStyle name="Vírgula 6 3 2 3 2" xfId="27644" xr:uid="{00000000-0005-0000-0000-00004ED50000}"/>
    <cellStyle name="Vírgula 6 3 2 3 2 2" xfId="53825" xr:uid="{00000000-0005-0000-0000-00004FD50000}"/>
    <cellStyle name="Vírgula 6 3 2 3 3" xfId="21730" xr:uid="{00000000-0005-0000-0000-000050D50000}"/>
    <cellStyle name="Vírgula 6 3 2 3 3 2" xfId="47917" xr:uid="{00000000-0005-0000-0000-000051D50000}"/>
    <cellStyle name="Vírgula 6 3 2 3 4" xfId="15816" xr:uid="{00000000-0005-0000-0000-000052D50000}"/>
    <cellStyle name="Vírgula 6 3 2 3 4 2" xfId="42009" xr:uid="{00000000-0005-0000-0000-000053D50000}"/>
    <cellStyle name="Vírgula 6 3 2 3 5" xfId="35623" xr:uid="{00000000-0005-0000-0000-000054D50000}"/>
    <cellStyle name="Vírgula 6 3 2 4" xfId="6174" xr:uid="{00000000-0005-0000-0000-000055D50000}"/>
    <cellStyle name="Vírgula 6 3 2 4 2" xfId="24687" xr:uid="{00000000-0005-0000-0000-000056D50000}"/>
    <cellStyle name="Vírgula 6 3 2 4 2 2" xfId="50871" xr:uid="{00000000-0005-0000-0000-000057D50000}"/>
    <cellStyle name="Vírgula 6 3 2 4 3" xfId="32370" xr:uid="{00000000-0005-0000-0000-000058D50000}"/>
    <cellStyle name="Vírgula 6 3 2 5" xfId="18773" xr:uid="{00000000-0005-0000-0000-000059D50000}"/>
    <cellStyle name="Vírgula 6 3 2 5 2" xfId="44963" xr:uid="{00000000-0005-0000-0000-00005AD50000}"/>
    <cellStyle name="Vírgula 6 3 2 6" xfId="12563" xr:uid="{00000000-0005-0000-0000-00005BD50000}"/>
    <cellStyle name="Vírgula 6 3 2 6 2" xfId="38756" xr:uid="{00000000-0005-0000-0000-00005CD50000}"/>
    <cellStyle name="Vírgula 6 3 2 7" xfId="30673" xr:uid="{00000000-0005-0000-0000-00005DD50000}"/>
    <cellStyle name="Vírgula 6 3 3" xfId="4581" xr:uid="{00000000-0005-0000-0000-00005ED50000}"/>
    <cellStyle name="Vírgula 6 3 3 2" xfId="7983" xr:uid="{00000000-0005-0000-0000-00005FD50000}"/>
    <cellStyle name="Vírgula 6 3 3 2 2" xfId="10960" xr:uid="{00000000-0005-0000-0000-000060D50000}"/>
    <cellStyle name="Vírgula 6 3 3 2 2 2" xfId="29174" xr:uid="{00000000-0005-0000-0000-000061D50000}"/>
    <cellStyle name="Vírgula 6 3 3 2 2 2 2" xfId="55355" xr:uid="{00000000-0005-0000-0000-000062D50000}"/>
    <cellStyle name="Vírgula 6 3 3 2 2 3" xfId="23260" xr:uid="{00000000-0005-0000-0000-000063D50000}"/>
    <cellStyle name="Vírgula 6 3 3 2 2 3 2" xfId="49447" xr:uid="{00000000-0005-0000-0000-000064D50000}"/>
    <cellStyle name="Vírgula 6 3 3 2 2 4" xfId="17346" xr:uid="{00000000-0005-0000-0000-000065D50000}"/>
    <cellStyle name="Vírgula 6 3 3 2 2 4 2" xfId="43539" xr:uid="{00000000-0005-0000-0000-000066D50000}"/>
    <cellStyle name="Vírgula 6 3 3 2 2 5" xfId="37153" xr:uid="{00000000-0005-0000-0000-000067D50000}"/>
    <cellStyle name="Vírgula 6 3 3 2 3" xfId="26217" xr:uid="{00000000-0005-0000-0000-000068D50000}"/>
    <cellStyle name="Vírgula 6 3 3 2 3 2" xfId="52401" xr:uid="{00000000-0005-0000-0000-000069D50000}"/>
    <cellStyle name="Vírgula 6 3 3 2 4" xfId="20303" xr:uid="{00000000-0005-0000-0000-00006AD50000}"/>
    <cellStyle name="Vírgula 6 3 3 2 4 2" xfId="46493" xr:uid="{00000000-0005-0000-0000-00006BD50000}"/>
    <cellStyle name="Vírgula 6 3 3 2 5" xfId="14372" xr:uid="{00000000-0005-0000-0000-00006CD50000}"/>
    <cellStyle name="Vírgula 6 3 3 2 5 2" xfId="40565" xr:uid="{00000000-0005-0000-0000-00006DD50000}"/>
    <cellStyle name="Vírgula 6 3 3 2 6" xfId="34179" xr:uid="{00000000-0005-0000-0000-00006ED50000}"/>
    <cellStyle name="Vírgula 6 3 3 3" xfId="9492" xr:uid="{00000000-0005-0000-0000-00006FD50000}"/>
    <cellStyle name="Vírgula 6 3 3 3 2" xfId="27706" xr:uid="{00000000-0005-0000-0000-000070D50000}"/>
    <cellStyle name="Vírgula 6 3 3 3 2 2" xfId="53887" xr:uid="{00000000-0005-0000-0000-000071D50000}"/>
    <cellStyle name="Vírgula 6 3 3 3 3" xfId="21792" xr:uid="{00000000-0005-0000-0000-000072D50000}"/>
    <cellStyle name="Vírgula 6 3 3 3 3 2" xfId="47979" xr:uid="{00000000-0005-0000-0000-000073D50000}"/>
    <cellStyle name="Vírgula 6 3 3 3 4" xfId="15878" xr:uid="{00000000-0005-0000-0000-000074D50000}"/>
    <cellStyle name="Vírgula 6 3 3 3 4 2" xfId="42071" xr:uid="{00000000-0005-0000-0000-000075D50000}"/>
    <cellStyle name="Vírgula 6 3 3 3 5" xfId="35685" xr:uid="{00000000-0005-0000-0000-000076D50000}"/>
    <cellStyle name="Vírgula 6 3 3 4" xfId="6282" xr:uid="{00000000-0005-0000-0000-000077D50000}"/>
    <cellStyle name="Vírgula 6 3 3 4 2" xfId="24749" xr:uid="{00000000-0005-0000-0000-000078D50000}"/>
    <cellStyle name="Vírgula 6 3 3 4 2 2" xfId="50933" xr:uid="{00000000-0005-0000-0000-000079D50000}"/>
    <cellStyle name="Vírgula 6 3 3 4 3" xfId="32478" xr:uid="{00000000-0005-0000-0000-00007AD50000}"/>
    <cellStyle name="Vírgula 6 3 3 5" xfId="18835" xr:uid="{00000000-0005-0000-0000-00007BD50000}"/>
    <cellStyle name="Vírgula 6 3 3 5 2" xfId="45025" xr:uid="{00000000-0005-0000-0000-00007CD50000}"/>
    <cellStyle name="Vírgula 6 3 3 6" xfId="12671" xr:uid="{00000000-0005-0000-0000-00007DD50000}"/>
    <cellStyle name="Vírgula 6 3 3 6 2" xfId="38864" xr:uid="{00000000-0005-0000-0000-00007ED50000}"/>
    <cellStyle name="Vírgula 6 3 3 7" xfId="30781" xr:uid="{00000000-0005-0000-0000-00007FD50000}"/>
    <cellStyle name="Vírgula 6 3 4" xfId="6066" xr:uid="{00000000-0005-0000-0000-000080D50000}"/>
    <cellStyle name="Vírgula 6 3 4 2" xfId="7766" xr:uid="{00000000-0005-0000-0000-000081D50000}"/>
    <cellStyle name="Vírgula 6 3 4 2 2" xfId="10836" xr:uid="{00000000-0005-0000-0000-000082D50000}"/>
    <cellStyle name="Vírgula 6 3 4 2 2 2" xfId="29050" xr:uid="{00000000-0005-0000-0000-000083D50000}"/>
    <cellStyle name="Vírgula 6 3 4 2 2 2 2" xfId="55231" xr:uid="{00000000-0005-0000-0000-000084D50000}"/>
    <cellStyle name="Vírgula 6 3 4 2 2 3" xfId="23136" xr:uid="{00000000-0005-0000-0000-000085D50000}"/>
    <cellStyle name="Vírgula 6 3 4 2 2 3 2" xfId="49323" xr:uid="{00000000-0005-0000-0000-000086D50000}"/>
    <cellStyle name="Vírgula 6 3 4 2 2 4" xfId="17222" xr:uid="{00000000-0005-0000-0000-000087D50000}"/>
    <cellStyle name="Vírgula 6 3 4 2 2 4 2" xfId="43415" xr:uid="{00000000-0005-0000-0000-000088D50000}"/>
    <cellStyle name="Vírgula 6 3 4 2 2 5" xfId="37029" xr:uid="{00000000-0005-0000-0000-000089D50000}"/>
    <cellStyle name="Vírgula 6 3 4 2 3" xfId="26093" xr:uid="{00000000-0005-0000-0000-00008AD50000}"/>
    <cellStyle name="Vírgula 6 3 4 2 3 2" xfId="52277" xr:uid="{00000000-0005-0000-0000-00008BD50000}"/>
    <cellStyle name="Vírgula 6 3 4 2 4" xfId="20179" xr:uid="{00000000-0005-0000-0000-00008CD50000}"/>
    <cellStyle name="Vírgula 6 3 4 2 4 2" xfId="46369" xr:uid="{00000000-0005-0000-0000-00008DD50000}"/>
    <cellStyle name="Vírgula 6 3 4 2 5" xfId="14155" xr:uid="{00000000-0005-0000-0000-00008ED50000}"/>
    <cellStyle name="Vírgula 6 3 4 2 5 2" xfId="40348" xr:uid="{00000000-0005-0000-0000-00008FD50000}"/>
    <cellStyle name="Vírgula 6 3 4 2 6" xfId="33962" xr:uid="{00000000-0005-0000-0000-000090D50000}"/>
    <cellStyle name="Vírgula 6 3 4 3" xfId="9368" xr:uid="{00000000-0005-0000-0000-000091D50000}"/>
    <cellStyle name="Vírgula 6 3 4 3 2" xfId="27582" xr:uid="{00000000-0005-0000-0000-000092D50000}"/>
    <cellStyle name="Vírgula 6 3 4 3 2 2" xfId="53763" xr:uid="{00000000-0005-0000-0000-000093D50000}"/>
    <cellStyle name="Vírgula 6 3 4 3 3" xfId="21668" xr:uid="{00000000-0005-0000-0000-000094D50000}"/>
    <cellStyle name="Vírgula 6 3 4 3 3 2" xfId="47855" xr:uid="{00000000-0005-0000-0000-000095D50000}"/>
    <cellStyle name="Vírgula 6 3 4 3 4" xfId="15754" xr:uid="{00000000-0005-0000-0000-000096D50000}"/>
    <cellStyle name="Vírgula 6 3 4 3 4 2" xfId="41947" xr:uid="{00000000-0005-0000-0000-000097D50000}"/>
    <cellStyle name="Vírgula 6 3 4 3 5" xfId="35561" xr:uid="{00000000-0005-0000-0000-000098D50000}"/>
    <cellStyle name="Vírgula 6 3 4 4" xfId="24625" xr:uid="{00000000-0005-0000-0000-000099D50000}"/>
    <cellStyle name="Vírgula 6 3 4 4 2" xfId="50809" xr:uid="{00000000-0005-0000-0000-00009AD50000}"/>
    <cellStyle name="Vírgula 6 3 4 5" xfId="18711" xr:uid="{00000000-0005-0000-0000-00009BD50000}"/>
    <cellStyle name="Vírgula 6 3 4 5 2" xfId="44901" xr:uid="{00000000-0005-0000-0000-00009CD50000}"/>
    <cellStyle name="Vírgula 6 3 4 6" xfId="12454" xr:uid="{00000000-0005-0000-0000-00009DD50000}"/>
    <cellStyle name="Vírgula 6 3 4 6 2" xfId="38647" xr:uid="{00000000-0005-0000-0000-00009ED50000}"/>
    <cellStyle name="Vírgula 6 3 4 7" xfId="32262" xr:uid="{00000000-0005-0000-0000-00009FD50000}"/>
    <cellStyle name="Vírgula 6 3 5" xfId="6391" xr:uid="{00000000-0005-0000-0000-0000A0D50000}"/>
    <cellStyle name="Vírgula 6 3 5 2" xfId="9554" xr:uid="{00000000-0005-0000-0000-0000A1D50000}"/>
    <cellStyle name="Vírgula 6 3 5 2 2" xfId="27768" xr:uid="{00000000-0005-0000-0000-0000A2D50000}"/>
    <cellStyle name="Vírgula 6 3 5 2 2 2" xfId="53949" xr:uid="{00000000-0005-0000-0000-0000A3D50000}"/>
    <cellStyle name="Vírgula 6 3 5 2 3" xfId="21854" xr:uid="{00000000-0005-0000-0000-0000A4D50000}"/>
    <cellStyle name="Vírgula 6 3 5 2 3 2" xfId="48041" xr:uid="{00000000-0005-0000-0000-0000A5D50000}"/>
    <cellStyle name="Vírgula 6 3 5 2 4" xfId="15940" xr:uid="{00000000-0005-0000-0000-0000A6D50000}"/>
    <cellStyle name="Vírgula 6 3 5 2 4 2" xfId="42133" xr:uid="{00000000-0005-0000-0000-0000A7D50000}"/>
    <cellStyle name="Vírgula 6 3 5 2 5" xfId="35747" xr:uid="{00000000-0005-0000-0000-0000A8D50000}"/>
    <cellStyle name="Vírgula 6 3 5 3" xfId="24811" xr:uid="{00000000-0005-0000-0000-0000A9D50000}"/>
    <cellStyle name="Vírgula 6 3 5 3 2" xfId="50995" xr:uid="{00000000-0005-0000-0000-0000AAD50000}"/>
    <cellStyle name="Vírgula 6 3 5 4" xfId="18897" xr:uid="{00000000-0005-0000-0000-0000ABD50000}"/>
    <cellStyle name="Vírgula 6 3 5 4 2" xfId="45087" xr:uid="{00000000-0005-0000-0000-0000ACD50000}"/>
    <cellStyle name="Vírgula 6 3 5 5" xfId="12780" xr:uid="{00000000-0005-0000-0000-0000ADD50000}"/>
    <cellStyle name="Vírgula 6 3 5 5 2" xfId="38973" xr:uid="{00000000-0005-0000-0000-0000AED50000}"/>
    <cellStyle name="Vírgula 6 3 5 6" xfId="32587" xr:uid="{00000000-0005-0000-0000-0000AFD50000}"/>
    <cellStyle name="Vírgula 6 3 6" xfId="8083" xr:uid="{00000000-0005-0000-0000-0000B0D50000}"/>
    <cellStyle name="Vírgula 6 3 6 2" xfId="26297" xr:uid="{00000000-0005-0000-0000-0000B1D50000}"/>
    <cellStyle name="Vírgula 6 3 6 2 2" xfId="52481" xr:uid="{00000000-0005-0000-0000-0000B2D50000}"/>
    <cellStyle name="Vírgula 6 3 6 3" xfId="20383" xr:uid="{00000000-0005-0000-0000-0000B3D50000}"/>
    <cellStyle name="Vírgula 6 3 6 3 2" xfId="46573" xr:uid="{00000000-0005-0000-0000-0000B4D50000}"/>
    <cellStyle name="Vírgula 6 3 6 4" xfId="14472" xr:uid="{00000000-0005-0000-0000-0000B5D50000}"/>
    <cellStyle name="Vírgula 6 3 6 4 2" xfId="40665" xr:uid="{00000000-0005-0000-0000-0000B6D50000}"/>
    <cellStyle name="Vírgula 6 3 6 5" xfId="34279" xr:uid="{00000000-0005-0000-0000-0000B7D50000}"/>
    <cellStyle name="Vírgula 6 3 7" xfId="4688" xr:uid="{00000000-0005-0000-0000-0000B8D50000}"/>
    <cellStyle name="Vírgula 6 3 7 2" xfId="23340" xr:uid="{00000000-0005-0000-0000-0000B9D50000}"/>
    <cellStyle name="Vírgula 6 3 7 2 2" xfId="49527" xr:uid="{00000000-0005-0000-0000-0000BAD50000}"/>
    <cellStyle name="Vírgula 6 3 7 3" xfId="30888" xr:uid="{00000000-0005-0000-0000-0000BBD50000}"/>
    <cellStyle name="Vírgula 6 3 8" xfId="17426" xr:uid="{00000000-0005-0000-0000-0000BCD50000}"/>
    <cellStyle name="Vírgula 6 3 8 2" xfId="43619" xr:uid="{00000000-0005-0000-0000-0000BDD50000}"/>
    <cellStyle name="Vírgula 6 3 9" xfId="11079" xr:uid="{00000000-0005-0000-0000-0000BED50000}"/>
    <cellStyle name="Vírgula 6 3 9 2" xfId="37272" xr:uid="{00000000-0005-0000-0000-0000BFD50000}"/>
    <cellStyle name="Vírgula 6 4" xfId="4297" xr:uid="{00000000-0005-0000-0000-0000C0D50000}"/>
    <cellStyle name="Vírgula 6 4 2" xfId="7698" xr:uid="{00000000-0005-0000-0000-0000C1D50000}"/>
    <cellStyle name="Vírgula 6 4 2 2" xfId="10797" xr:uid="{00000000-0005-0000-0000-0000C2D50000}"/>
    <cellStyle name="Vírgula 6 4 2 2 2" xfId="29011" xr:uid="{00000000-0005-0000-0000-0000C3D50000}"/>
    <cellStyle name="Vírgula 6 4 2 2 2 2" xfId="55192" xr:uid="{00000000-0005-0000-0000-0000C4D50000}"/>
    <cellStyle name="Vírgula 6 4 2 2 3" xfId="23097" xr:uid="{00000000-0005-0000-0000-0000C5D50000}"/>
    <cellStyle name="Vírgula 6 4 2 2 3 2" xfId="49284" xr:uid="{00000000-0005-0000-0000-0000C6D50000}"/>
    <cellStyle name="Vírgula 6 4 2 2 4" xfId="17183" xr:uid="{00000000-0005-0000-0000-0000C7D50000}"/>
    <cellStyle name="Vírgula 6 4 2 2 4 2" xfId="43376" xr:uid="{00000000-0005-0000-0000-0000C8D50000}"/>
    <cellStyle name="Vírgula 6 4 2 2 5" xfId="36990" xr:uid="{00000000-0005-0000-0000-0000C9D50000}"/>
    <cellStyle name="Vírgula 6 4 2 3" xfId="26054" xr:uid="{00000000-0005-0000-0000-0000CAD50000}"/>
    <cellStyle name="Vírgula 6 4 2 3 2" xfId="52238" xr:uid="{00000000-0005-0000-0000-0000CBD50000}"/>
    <cellStyle name="Vírgula 6 4 2 4" xfId="20140" xr:uid="{00000000-0005-0000-0000-0000CCD50000}"/>
    <cellStyle name="Vírgula 6 4 2 4 2" xfId="46330" xr:uid="{00000000-0005-0000-0000-0000CDD50000}"/>
    <cellStyle name="Vírgula 6 4 2 5" xfId="14087" xr:uid="{00000000-0005-0000-0000-0000CED50000}"/>
    <cellStyle name="Vírgula 6 4 2 5 2" xfId="40280" xr:uid="{00000000-0005-0000-0000-0000CFD50000}"/>
    <cellStyle name="Vírgula 6 4 2 6" xfId="33894" xr:uid="{00000000-0005-0000-0000-0000D0D50000}"/>
    <cellStyle name="Vírgula 6 4 3" xfId="9329" xr:uid="{00000000-0005-0000-0000-0000D1D50000}"/>
    <cellStyle name="Vírgula 6 4 3 2" xfId="27543" xr:uid="{00000000-0005-0000-0000-0000D2D50000}"/>
    <cellStyle name="Vírgula 6 4 3 2 2" xfId="53724" xr:uid="{00000000-0005-0000-0000-0000D3D50000}"/>
    <cellStyle name="Vírgula 6 4 3 3" xfId="21629" xr:uid="{00000000-0005-0000-0000-0000D4D50000}"/>
    <cellStyle name="Vírgula 6 4 3 3 2" xfId="47816" xr:uid="{00000000-0005-0000-0000-0000D5D50000}"/>
    <cellStyle name="Vírgula 6 4 3 4" xfId="15715" xr:uid="{00000000-0005-0000-0000-0000D6D50000}"/>
    <cellStyle name="Vírgula 6 4 3 4 2" xfId="41908" xr:uid="{00000000-0005-0000-0000-0000D7D50000}"/>
    <cellStyle name="Vírgula 6 4 3 5" xfId="35522" xr:uid="{00000000-0005-0000-0000-0000D8D50000}"/>
    <cellStyle name="Vírgula 6 4 4" xfId="5998" xr:uid="{00000000-0005-0000-0000-0000D9D50000}"/>
    <cellStyle name="Vírgula 6 4 4 2" xfId="24586" xr:uid="{00000000-0005-0000-0000-0000DAD50000}"/>
    <cellStyle name="Vírgula 6 4 4 2 2" xfId="50770" xr:uid="{00000000-0005-0000-0000-0000DBD50000}"/>
    <cellStyle name="Vírgula 6 4 4 3" xfId="32194" xr:uid="{00000000-0005-0000-0000-0000DCD50000}"/>
    <cellStyle name="Vírgula 6 4 5" xfId="18672" xr:uid="{00000000-0005-0000-0000-0000DDD50000}"/>
    <cellStyle name="Vírgula 6 4 5 2" xfId="44862" xr:uid="{00000000-0005-0000-0000-0000DED50000}"/>
    <cellStyle name="Vírgula 6 4 6" xfId="12386" xr:uid="{00000000-0005-0000-0000-0000DFD50000}"/>
    <cellStyle name="Vírgula 6 4 6 2" xfId="38579" xr:uid="{00000000-0005-0000-0000-0000E0D50000}"/>
    <cellStyle name="Vírgula 6 4 7" xfId="30497" xr:uid="{00000000-0005-0000-0000-0000E1D50000}"/>
    <cellStyle name="Vírgula 6 5" xfId="4405" xr:uid="{00000000-0005-0000-0000-0000E2D50000}"/>
    <cellStyle name="Vírgula 6 5 2" xfId="7807" xr:uid="{00000000-0005-0000-0000-0000E3D50000}"/>
    <cellStyle name="Vírgula 6 5 2 2" xfId="10859" xr:uid="{00000000-0005-0000-0000-0000E4D50000}"/>
    <cellStyle name="Vírgula 6 5 2 2 2" xfId="29073" xr:uid="{00000000-0005-0000-0000-0000E5D50000}"/>
    <cellStyle name="Vírgula 6 5 2 2 2 2" xfId="55254" xr:uid="{00000000-0005-0000-0000-0000E6D50000}"/>
    <cellStyle name="Vírgula 6 5 2 2 3" xfId="23159" xr:uid="{00000000-0005-0000-0000-0000E7D50000}"/>
    <cellStyle name="Vírgula 6 5 2 2 3 2" xfId="49346" xr:uid="{00000000-0005-0000-0000-0000E8D50000}"/>
    <cellStyle name="Vírgula 6 5 2 2 4" xfId="17245" xr:uid="{00000000-0005-0000-0000-0000E9D50000}"/>
    <cellStyle name="Vírgula 6 5 2 2 4 2" xfId="43438" xr:uid="{00000000-0005-0000-0000-0000EAD50000}"/>
    <cellStyle name="Vírgula 6 5 2 2 5" xfId="37052" xr:uid="{00000000-0005-0000-0000-0000EBD50000}"/>
    <cellStyle name="Vírgula 6 5 2 3" xfId="26116" xr:uid="{00000000-0005-0000-0000-0000ECD50000}"/>
    <cellStyle name="Vírgula 6 5 2 3 2" xfId="52300" xr:uid="{00000000-0005-0000-0000-0000EDD50000}"/>
    <cellStyle name="Vírgula 6 5 2 4" xfId="20202" xr:uid="{00000000-0005-0000-0000-0000EED50000}"/>
    <cellStyle name="Vírgula 6 5 2 4 2" xfId="46392" xr:uid="{00000000-0005-0000-0000-0000EFD50000}"/>
    <cellStyle name="Vírgula 6 5 2 5" xfId="14196" xr:uid="{00000000-0005-0000-0000-0000F0D50000}"/>
    <cellStyle name="Vírgula 6 5 2 5 2" xfId="40389" xr:uid="{00000000-0005-0000-0000-0000F1D50000}"/>
    <cellStyle name="Vírgula 6 5 2 6" xfId="34003" xr:uid="{00000000-0005-0000-0000-0000F2D50000}"/>
    <cellStyle name="Vírgula 6 5 3" xfId="9391" xr:uid="{00000000-0005-0000-0000-0000F3D50000}"/>
    <cellStyle name="Vírgula 6 5 3 2" xfId="27605" xr:uid="{00000000-0005-0000-0000-0000F4D50000}"/>
    <cellStyle name="Vírgula 6 5 3 2 2" xfId="53786" xr:uid="{00000000-0005-0000-0000-0000F5D50000}"/>
    <cellStyle name="Vírgula 6 5 3 3" xfId="21691" xr:uid="{00000000-0005-0000-0000-0000F6D50000}"/>
    <cellStyle name="Vírgula 6 5 3 3 2" xfId="47878" xr:uid="{00000000-0005-0000-0000-0000F7D50000}"/>
    <cellStyle name="Vírgula 6 5 3 4" xfId="15777" xr:uid="{00000000-0005-0000-0000-0000F8D50000}"/>
    <cellStyle name="Vírgula 6 5 3 4 2" xfId="41970" xr:uid="{00000000-0005-0000-0000-0000F9D50000}"/>
    <cellStyle name="Vírgula 6 5 3 5" xfId="35584" xr:uid="{00000000-0005-0000-0000-0000FAD50000}"/>
    <cellStyle name="Vírgula 6 5 4" xfId="6107" xr:uid="{00000000-0005-0000-0000-0000FBD50000}"/>
    <cellStyle name="Vírgula 6 5 4 2" xfId="24648" xr:uid="{00000000-0005-0000-0000-0000FCD50000}"/>
    <cellStyle name="Vírgula 6 5 4 2 2" xfId="50832" xr:uid="{00000000-0005-0000-0000-0000FDD50000}"/>
    <cellStyle name="Vírgula 6 5 4 3" xfId="32303" xr:uid="{00000000-0005-0000-0000-0000FED50000}"/>
    <cellStyle name="Vírgula 6 5 5" xfId="18734" xr:uid="{00000000-0005-0000-0000-0000FFD50000}"/>
    <cellStyle name="Vírgula 6 5 5 2" xfId="44924" xr:uid="{00000000-0005-0000-0000-000000D60000}"/>
    <cellStyle name="Vírgula 6 5 6" xfId="12495" xr:uid="{00000000-0005-0000-0000-000001D60000}"/>
    <cellStyle name="Vírgula 6 5 6 2" xfId="38688" xr:uid="{00000000-0005-0000-0000-000002D60000}"/>
    <cellStyle name="Vírgula 6 5 7" xfId="30605" xr:uid="{00000000-0005-0000-0000-000003D60000}"/>
    <cellStyle name="Vírgula 6 6" xfId="4513" xr:uid="{00000000-0005-0000-0000-000004D60000}"/>
    <cellStyle name="Vírgula 6 6 2" xfId="7915" xr:uid="{00000000-0005-0000-0000-000005D60000}"/>
    <cellStyle name="Vírgula 6 6 2 2" xfId="10921" xr:uid="{00000000-0005-0000-0000-000006D60000}"/>
    <cellStyle name="Vírgula 6 6 2 2 2" xfId="29135" xr:uid="{00000000-0005-0000-0000-000007D60000}"/>
    <cellStyle name="Vírgula 6 6 2 2 2 2" xfId="55316" xr:uid="{00000000-0005-0000-0000-000008D60000}"/>
    <cellStyle name="Vírgula 6 6 2 2 3" xfId="23221" xr:uid="{00000000-0005-0000-0000-000009D60000}"/>
    <cellStyle name="Vírgula 6 6 2 2 3 2" xfId="49408" xr:uid="{00000000-0005-0000-0000-00000AD60000}"/>
    <cellStyle name="Vírgula 6 6 2 2 4" xfId="17307" xr:uid="{00000000-0005-0000-0000-00000BD60000}"/>
    <cellStyle name="Vírgula 6 6 2 2 4 2" xfId="43500" xr:uid="{00000000-0005-0000-0000-00000CD60000}"/>
    <cellStyle name="Vírgula 6 6 2 2 5" xfId="37114" xr:uid="{00000000-0005-0000-0000-00000DD60000}"/>
    <cellStyle name="Vírgula 6 6 2 3" xfId="26178" xr:uid="{00000000-0005-0000-0000-00000ED60000}"/>
    <cellStyle name="Vírgula 6 6 2 3 2" xfId="52362" xr:uid="{00000000-0005-0000-0000-00000FD60000}"/>
    <cellStyle name="Vírgula 6 6 2 4" xfId="20264" xr:uid="{00000000-0005-0000-0000-000010D60000}"/>
    <cellStyle name="Vírgula 6 6 2 4 2" xfId="46454" xr:uid="{00000000-0005-0000-0000-000011D60000}"/>
    <cellStyle name="Vírgula 6 6 2 5" xfId="14304" xr:uid="{00000000-0005-0000-0000-000012D60000}"/>
    <cellStyle name="Vírgula 6 6 2 5 2" xfId="40497" xr:uid="{00000000-0005-0000-0000-000013D60000}"/>
    <cellStyle name="Vírgula 6 6 2 6" xfId="34111" xr:uid="{00000000-0005-0000-0000-000014D60000}"/>
    <cellStyle name="Vírgula 6 6 3" xfId="9453" xr:uid="{00000000-0005-0000-0000-000015D60000}"/>
    <cellStyle name="Vírgula 6 6 3 2" xfId="27667" xr:uid="{00000000-0005-0000-0000-000016D60000}"/>
    <cellStyle name="Vírgula 6 6 3 2 2" xfId="53848" xr:uid="{00000000-0005-0000-0000-000017D60000}"/>
    <cellStyle name="Vírgula 6 6 3 3" xfId="21753" xr:uid="{00000000-0005-0000-0000-000018D60000}"/>
    <cellStyle name="Vírgula 6 6 3 3 2" xfId="47940" xr:uid="{00000000-0005-0000-0000-000019D60000}"/>
    <cellStyle name="Vírgula 6 6 3 4" xfId="15839" xr:uid="{00000000-0005-0000-0000-00001AD60000}"/>
    <cellStyle name="Vírgula 6 6 3 4 2" xfId="42032" xr:uid="{00000000-0005-0000-0000-00001BD60000}"/>
    <cellStyle name="Vírgula 6 6 3 5" xfId="35646" xr:uid="{00000000-0005-0000-0000-00001CD60000}"/>
    <cellStyle name="Vírgula 6 6 4" xfId="6214" xr:uid="{00000000-0005-0000-0000-00001DD60000}"/>
    <cellStyle name="Vírgula 6 6 4 2" xfId="24710" xr:uid="{00000000-0005-0000-0000-00001ED60000}"/>
    <cellStyle name="Vírgula 6 6 4 2 2" xfId="50894" xr:uid="{00000000-0005-0000-0000-00001FD60000}"/>
    <cellStyle name="Vírgula 6 6 4 3" xfId="32410" xr:uid="{00000000-0005-0000-0000-000020D60000}"/>
    <cellStyle name="Vírgula 6 6 5" xfId="18796" xr:uid="{00000000-0005-0000-0000-000021D60000}"/>
    <cellStyle name="Vírgula 6 6 5 2" xfId="44986" xr:uid="{00000000-0005-0000-0000-000022D60000}"/>
    <cellStyle name="Vírgula 6 6 6" xfId="12603" xr:uid="{00000000-0005-0000-0000-000023D60000}"/>
    <cellStyle name="Vírgula 6 6 6 2" xfId="38796" xr:uid="{00000000-0005-0000-0000-000024D60000}"/>
    <cellStyle name="Vírgula 6 6 7" xfId="30713" xr:uid="{00000000-0005-0000-0000-000025D60000}"/>
    <cellStyle name="Vírgula 6 7" xfId="5921" xr:uid="{00000000-0005-0000-0000-000026D60000}"/>
    <cellStyle name="Vírgula 6 7 2" xfId="7621" xr:uid="{00000000-0005-0000-0000-000027D60000}"/>
    <cellStyle name="Vírgula 6 7 2 2" xfId="10754" xr:uid="{00000000-0005-0000-0000-000028D60000}"/>
    <cellStyle name="Vírgula 6 7 2 2 2" xfId="28968" xr:uid="{00000000-0005-0000-0000-000029D60000}"/>
    <cellStyle name="Vírgula 6 7 2 2 2 2" xfId="55149" xr:uid="{00000000-0005-0000-0000-00002AD60000}"/>
    <cellStyle name="Vírgula 6 7 2 2 3" xfId="23054" xr:uid="{00000000-0005-0000-0000-00002BD60000}"/>
    <cellStyle name="Vírgula 6 7 2 2 3 2" xfId="49241" xr:uid="{00000000-0005-0000-0000-00002CD60000}"/>
    <cellStyle name="Vírgula 6 7 2 2 4" xfId="17140" xr:uid="{00000000-0005-0000-0000-00002DD60000}"/>
    <cellStyle name="Vírgula 6 7 2 2 4 2" xfId="43333" xr:uid="{00000000-0005-0000-0000-00002ED60000}"/>
    <cellStyle name="Vírgula 6 7 2 2 5" xfId="36947" xr:uid="{00000000-0005-0000-0000-00002FD60000}"/>
    <cellStyle name="Vírgula 6 7 2 3" xfId="26011" xr:uid="{00000000-0005-0000-0000-000030D60000}"/>
    <cellStyle name="Vírgula 6 7 2 3 2" xfId="52195" xr:uid="{00000000-0005-0000-0000-000031D60000}"/>
    <cellStyle name="Vírgula 6 7 2 4" xfId="20097" xr:uid="{00000000-0005-0000-0000-000032D60000}"/>
    <cellStyle name="Vírgula 6 7 2 4 2" xfId="46287" xr:uid="{00000000-0005-0000-0000-000033D60000}"/>
    <cellStyle name="Vírgula 6 7 2 5" xfId="14010" xr:uid="{00000000-0005-0000-0000-000034D60000}"/>
    <cellStyle name="Vírgula 6 7 2 5 2" xfId="40203" xr:uid="{00000000-0005-0000-0000-000035D60000}"/>
    <cellStyle name="Vírgula 6 7 2 6" xfId="33817" xr:uid="{00000000-0005-0000-0000-000036D60000}"/>
    <cellStyle name="Vírgula 6 7 3" xfId="9286" xr:uid="{00000000-0005-0000-0000-000037D60000}"/>
    <cellStyle name="Vírgula 6 7 3 2" xfId="27500" xr:uid="{00000000-0005-0000-0000-000038D60000}"/>
    <cellStyle name="Vírgula 6 7 3 2 2" xfId="53681" xr:uid="{00000000-0005-0000-0000-000039D60000}"/>
    <cellStyle name="Vírgula 6 7 3 3" xfId="21586" xr:uid="{00000000-0005-0000-0000-00003AD60000}"/>
    <cellStyle name="Vírgula 6 7 3 3 2" xfId="47773" xr:uid="{00000000-0005-0000-0000-00003BD60000}"/>
    <cellStyle name="Vírgula 6 7 3 4" xfId="15672" xr:uid="{00000000-0005-0000-0000-00003CD60000}"/>
    <cellStyle name="Vírgula 6 7 3 4 2" xfId="41865" xr:uid="{00000000-0005-0000-0000-00003DD60000}"/>
    <cellStyle name="Vírgula 6 7 3 5" xfId="35479" xr:uid="{00000000-0005-0000-0000-00003ED60000}"/>
    <cellStyle name="Vírgula 6 7 4" xfId="24543" xr:uid="{00000000-0005-0000-0000-00003FD60000}"/>
    <cellStyle name="Vírgula 6 7 4 2" xfId="50727" xr:uid="{00000000-0005-0000-0000-000040D60000}"/>
    <cellStyle name="Vírgula 6 7 5" xfId="18629" xr:uid="{00000000-0005-0000-0000-000041D60000}"/>
    <cellStyle name="Vírgula 6 7 5 2" xfId="44819" xr:uid="{00000000-0005-0000-0000-000042D60000}"/>
    <cellStyle name="Vírgula 6 7 6" xfId="12309" xr:uid="{00000000-0005-0000-0000-000043D60000}"/>
    <cellStyle name="Vírgula 6 7 6 2" xfId="38502" xr:uid="{00000000-0005-0000-0000-000044D60000}"/>
    <cellStyle name="Vírgula 6 7 7" xfId="32117" xr:uid="{00000000-0005-0000-0000-000045D60000}"/>
    <cellStyle name="Vírgula 6 8" xfId="6323" xr:uid="{00000000-0005-0000-0000-000046D60000}"/>
    <cellStyle name="Vírgula 6 8 2" xfId="9515" xr:uid="{00000000-0005-0000-0000-000047D60000}"/>
    <cellStyle name="Vírgula 6 8 2 2" xfId="27729" xr:uid="{00000000-0005-0000-0000-000048D60000}"/>
    <cellStyle name="Vírgula 6 8 2 2 2" xfId="53910" xr:uid="{00000000-0005-0000-0000-000049D60000}"/>
    <cellStyle name="Vírgula 6 8 2 3" xfId="21815" xr:uid="{00000000-0005-0000-0000-00004AD60000}"/>
    <cellStyle name="Vírgula 6 8 2 3 2" xfId="48002" xr:uid="{00000000-0005-0000-0000-00004BD60000}"/>
    <cellStyle name="Vírgula 6 8 2 4" xfId="15901" xr:uid="{00000000-0005-0000-0000-00004CD60000}"/>
    <cellStyle name="Vírgula 6 8 2 4 2" xfId="42094" xr:uid="{00000000-0005-0000-0000-00004DD60000}"/>
    <cellStyle name="Vírgula 6 8 2 5" xfId="35708" xr:uid="{00000000-0005-0000-0000-00004ED60000}"/>
    <cellStyle name="Vírgula 6 8 3" xfId="24772" xr:uid="{00000000-0005-0000-0000-00004FD60000}"/>
    <cellStyle name="Vírgula 6 8 3 2" xfId="50956" xr:uid="{00000000-0005-0000-0000-000050D60000}"/>
    <cellStyle name="Vírgula 6 8 4" xfId="18858" xr:uid="{00000000-0005-0000-0000-000051D60000}"/>
    <cellStyle name="Vírgula 6 8 4 2" xfId="45048" xr:uid="{00000000-0005-0000-0000-000052D60000}"/>
    <cellStyle name="Vírgula 6 8 5" xfId="12712" xr:uid="{00000000-0005-0000-0000-000053D60000}"/>
    <cellStyle name="Vírgula 6 8 5 2" xfId="38905" xr:uid="{00000000-0005-0000-0000-000054D60000}"/>
    <cellStyle name="Vírgula 6 8 6" xfId="32519" xr:uid="{00000000-0005-0000-0000-000055D60000}"/>
    <cellStyle name="Vírgula 6 9" xfId="8015" xr:uid="{00000000-0005-0000-0000-000056D60000}"/>
    <cellStyle name="Vírgula 6 9 2" xfId="10979" xr:uid="{00000000-0005-0000-0000-000057D60000}"/>
    <cellStyle name="Vírgula 6 9 2 2" xfId="29193" xr:uid="{00000000-0005-0000-0000-000058D60000}"/>
    <cellStyle name="Vírgula 6 9 2 2 2" xfId="55374" xr:uid="{00000000-0005-0000-0000-000059D60000}"/>
    <cellStyle name="Vírgula 6 9 2 3" xfId="23279" xr:uid="{00000000-0005-0000-0000-00005AD60000}"/>
    <cellStyle name="Vírgula 6 9 2 3 2" xfId="49466" xr:uid="{00000000-0005-0000-0000-00005BD60000}"/>
    <cellStyle name="Vírgula 6 9 2 4" xfId="17365" xr:uid="{00000000-0005-0000-0000-00005CD60000}"/>
    <cellStyle name="Vírgula 6 9 2 4 2" xfId="43558" xr:uid="{00000000-0005-0000-0000-00005DD60000}"/>
    <cellStyle name="Vírgula 6 9 2 5" xfId="37172" xr:uid="{00000000-0005-0000-0000-00005ED60000}"/>
    <cellStyle name="Vírgula 6 9 3" xfId="26236" xr:uid="{00000000-0005-0000-0000-00005FD60000}"/>
    <cellStyle name="Vírgula 6 9 3 2" xfId="52420" xr:uid="{00000000-0005-0000-0000-000060D60000}"/>
    <cellStyle name="Vírgula 6 9 4" xfId="20322" xr:uid="{00000000-0005-0000-0000-000061D60000}"/>
    <cellStyle name="Vírgula 6 9 4 2" xfId="46512" xr:uid="{00000000-0005-0000-0000-000062D60000}"/>
    <cellStyle name="Vírgula 6 9 5" xfId="14404" xr:uid="{00000000-0005-0000-0000-000063D60000}"/>
    <cellStyle name="Vírgula 6 9 5 2" xfId="40597" xr:uid="{00000000-0005-0000-0000-000064D60000}"/>
    <cellStyle name="Vírgula 6 9 6" xfId="34211" xr:uid="{00000000-0005-0000-0000-000065D60000}"/>
    <cellStyle name="Vírgula 7" xfId="4204" xr:uid="{00000000-0005-0000-0000-000066D60000}"/>
    <cellStyle name="Vírgula 7 10" xfId="10995" xr:uid="{00000000-0005-0000-0000-000067D60000}"/>
    <cellStyle name="Vírgula 7 10 2" xfId="37188" xr:uid="{00000000-0005-0000-0000-000068D60000}"/>
    <cellStyle name="Vírgula 7 11" xfId="30404" xr:uid="{00000000-0005-0000-0000-000069D60000}"/>
    <cellStyle name="Vírgula 7 2" xfId="4280" xr:uid="{00000000-0005-0000-0000-00006AD60000}"/>
    <cellStyle name="Vírgula 7 2 2" xfId="7681" xr:uid="{00000000-0005-0000-0000-00006BD60000}"/>
    <cellStyle name="Vírgula 7 2 2 2" xfId="10787" xr:uid="{00000000-0005-0000-0000-00006CD60000}"/>
    <cellStyle name="Vírgula 7 2 2 2 2" xfId="29001" xr:uid="{00000000-0005-0000-0000-00006DD60000}"/>
    <cellStyle name="Vírgula 7 2 2 2 2 2" xfId="55182" xr:uid="{00000000-0005-0000-0000-00006ED60000}"/>
    <cellStyle name="Vírgula 7 2 2 2 3" xfId="23087" xr:uid="{00000000-0005-0000-0000-00006FD60000}"/>
    <cellStyle name="Vírgula 7 2 2 2 3 2" xfId="49274" xr:uid="{00000000-0005-0000-0000-000070D60000}"/>
    <cellStyle name="Vírgula 7 2 2 2 4" xfId="17173" xr:uid="{00000000-0005-0000-0000-000071D60000}"/>
    <cellStyle name="Vírgula 7 2 2 2 4 2" xfId="43366" xr:uid="{00000000-0005-0000-0000-000072D60000}"/>
    <cellStyle name="Vírgula 7 2 2 2 5" xfId="36980" xr:uid="{00000000-0005-0000-0000-000073D60000}"/>
    <cellStyle name="Vírgula 7 2 2 3" xfId="26044" xr:uid="{00000000-0005-0000-0000-000074D60000}"/>
    <cellStyle name="Vírgula 7 2 2 3 2" xfId="52228" xr:uid="{00000000-0005-0000-0000-000075D60000}"/>
    <cellStyle name="Vírgula 7 2 2 4" xfId="20130" xr:uid="{00000000-0005-0000-0000-000076D60000}"/>
    <cellStyle name="Vírgula 7 2 2 4 2" xfId="46320" xr:uid="{00000000-0005-0000-0000-000077D60000}"/>
    <cellStyle name="Vírgula 7 2 2 5" xfId="14070" xr:uid="{00000000-0005-0000-0000-000078D60000}"/>
    <cellStyle name="Vírgula 7 2 2 5 2" xfId="40263" xr:uid="{00000000-0005-0000-0000-000079D60000}"/>
    <cellStyle name="Vírgula 7 2 2 6" xfId="33877" xr:uid="{00000000-0005-0000-0000-00007AD60000}"/>
    <cellStyle name="Vírgula 7 2 3" xfId="9319" xr:uid="{00000000-0005-0000-0000-00007BD60000}"/>
    <cellStyle name="Vírgula 7 2 3 2" xfId="27533" xr:uid="{00000000-0005-0000-0000-00007CD60000}"/>
    <cellStyle name="Vírgula 7 2 3 2 2" xfId="53714" xr:uid="{00000000-0005-0000-0000-00007DD60000}"/>
    <cellStyle name="Vírgula 7 2 3 3" xfId="21619" xr:uid="{00000000-0005-0000-0000-00007ED60000}"/>
    <cellStyle name="Vírgula 7 2 3 3 2" xfId="47806" xr:uid="{00000000-0005-0000-0000-00007FD60000}"/>
    <cellStyle name="Vírgula 7 2 3 4" xfId="15705" xr:uid="{00000000-0005-0000-0000-000080D60000}"/>
    <cellStyle name="Vírgula 7 2 3 4 2" xfId="41898" xr:uid="{00000000-0005-0000-0000-000081D60000}"/>
    <cellStyle name="Vírgula 7 2 3 5" xfId="35512" xr:uid="{00000000-0005-0000-0000-000082D60000}"/>
    <cellStyle name="Vírgula 7 2 4" xfId="5981" xr:uid="{00000000-0005-0000-0000-000083D60000}"/>
    <cellStyle name="Vírgula 7 2 4 2" xfId="24576" xr:uid="{00000000-0005-0000-0000-000084D60000}"/>
    <cellStyle name="Vírgula 7 2 4 2 2" xfId="50760" xr:uid="{00000000-0005-0000-0000-000085D60000}"/>
    <cellStyle name="Vírgula 7 2 4 3" xfId="32177" xr:uid="{00000000-0005-0000-0000-000086D60000}"/>
    <cellStyle name="Vírgula 7 2 5" xfId="18662" xr:uid="{00000000-0005-0000-0000-000087D60000}"/>
    <cellStyle name="Vírgula 7 2 5 2" xfId="44852" xr:uid="{00000000-0005-0000-0000-000088D60000}"/>
    <cellStyle name="Vírgula 7 2 6" xfId="12369" xr:uid="{00000000-0005-0000-0000-000089D60000}"/>
    <cellStyle name="Vírgula 7 2 6 2" xfId="38562" xr:uid="{00000000-0005-0000-0000-00008AD60000}"/>
    <cellStyle name="Vírgula 7 2 7" xfId="30480" xr:uid="{00000000-0005-0000-0000-00008BD60000}"/>
    <cellStyle name="Vírgula 7 3" xfId="4388" xr:uid="{00000000-0005-0000-0000-00008CD60000}"/>
    <cellStyle name="Vírgula 7 3 2" xfId="7790" xr:uid="{00000000-0005-0000-0000-00008DD60000}"/>
    <cellStyle name="Vírgula 7 3 2 2" xfId="10849" xr:uid="{00000000-0005-0000-0000-00008ED60000}"/>
    <cellStyle name="Vírgula 7 3 2 2 2" xfId="29063" xr:uid="{00000000-0005-0000-0000-00008FD60000}"/>
    <cellStyle name="Vírgula 7 3 2 2 2 2" xfId="55244" xr:uid="{00000000-0005-0000-0000-000090D60000}"/>
    <cellStyle name="Vírgula 7 3 2 2 3" xfId="23149" xr:uid="{00000000-0005-0000-0000-000091D60000}"/>
    <cellStyle name="Vírgula 7 3 2 2 3 2" xfId="49336" xr:uid="{00000000-0005-0000-0000-000092D60000}"/>
    <cellStyle name="Vírgula 7 3 2 2 4" xfId="17235" xr:uid="{00000000-0005-0000-0000-000093D60000}"/>
    <cellStyle name="Vírgula 7 3 2 2 4 2" xfId="43428" xr:uid="{00000000-0005-0000-0000-000094D60000}"/>
    <cellStyle name="Vírgula 7 3 2 2 5" xfId="37042" xr:uid="{00000000-0005-0000-0000-000095D60000}"/>
    <cellStyle name="Vírgula 7 3 2 3" xfId="26106" xr:uid="{00000000-0005-0000-0000-000096D60000}"/>
    <cellStyle name="Vírgula 7 3 2 3 2" xfId="52290" xr:uid="{00000000-0005-0000-0000-000097D60000}"/>
    <cellStyle name="Vírgula 7 3 2 4" xfId="20192" xr:uid="{00000000-0005-0000-0000-000098D60000}"/>
    <cellStyle name="Vírgula 7 3 2 4 2" xfId="46382" xr:uid="{00000000-0005-0000-0000-000099D60000}"/>
    <cellStyle name="Vírgula 7 3 2 5" xfId="14179" xr:uid="{00000000-0005-0000-0000-00009AD60000}"/>
    <cellStyle name="Vírgula 7 3 2 5 2" xfId="40372" xr:uid="{00000000-0005-0000-0000-00009BD60000}"/>
    <cellStyle name="Vírgula 7 3 2 6" xfId="33986" xr:uid="{00000000-0005-0000-0000-00009CD60000}"/>
    <cellStyle name="Vírgula 7 3 3" xfId="9381" xr:uid="{00000000-0005-0000-0000-00009DD60000}"/>
    <cellStyle name="Vírgula 7 3 3 2" xfId="27595" xr:uid="{00000000-0005-0000-0000-00009ED60000}"/>
    <cellStyle name="Vírgula 7 3 3 2 2" xfId="53776" xr:uid="{00000000-0005-0000-0000-00009FD60000}"/>
    <cellStyle name="Vírgula 7 3 3 3" xfId="21681" xr:uid="{00000000-0005-0000-0000-0000A0D60000}"/>
    <cellStyle name="Vírgula 7 3 3 3 2" xfId="47868" xr:uid="{00000000-0005-0000-0000-0000A1D60000}"/>
    <cellStyle name="Vírgula 7 3 3 4" xfId="15767" xr:uid="{00000000-0005-0000-0000-0000A2D60000}"/>
    <cellStyle name="Vírgula 7 3 3 4 2" xfId="41960" xr:uid="{00000000-0005-0000-0000-0000A3D60000}"/>
    <cellStyle name="Vírgula 7 3 3 5" xfId="35574" xr:uid="{00000000-0005-0000-0000-0000A4D60000}"/>
    <cellStyle name="Vírgula 7 3 4" xfId="6090" xr:uid="{00000000-0005-0000-0000-0000A5D60000}"/>
    <cellStyle name="Vírgula 7 3 4 2" xfId="24638" xr:uid="{00000000-0005-0000-0000-0000A6D60000}"/>
    <cellStyle name="Vírgula 7 3 4 2 2" xfId="50822" xr:uid="{00000000-0005-0000-0000-0000A7D60000}"/>
    <cellStyle name="Vírgula 7 3 4 3" xfId="32286" xr:uid="{00000000-0005-0000-0000-0000A8D60000}"/>
    <cellStyle name="Vírgula 7 3 5" xfId="18724" xr:uid="{00000000-0005-0000-0000-0000A9D60000}"/>
    <cellStyle name="Vírgula 7 3 5 2" xfId="44914" xr:uid="{00000000-0005-0000-0000-0000AAD60000}"/>
    <cellStyle name="Vírgula 7 3 6" xfId="12478" xr:uid="{00000000-0005-0000-0000-0000ABD60000}"/>
    <cellStyle name="Vírgula 7 3 6 2" xfId="38671" xr:uid="{00000000-0005-0000-0000-0000ACD60000}"/>
    <cellStyle name="Vírgula 7 3 7" xfId="30588" xr:uid="{00000000-0005-0000-0000-0000ADD60000}"/>
    <cellStyle name="Vírgula 7 4" xfId="4496" xr:uid="{00000000-0005-0000-0000-0000AED60000}"/>
    <cellStyle name="Vírgula 7 4 2" xfId="7898" xr:uid="{00000000-0005-0000-0000-0000AFD60000}"/>
    <cellStyle name="Vírgula 7 4 2 2" xfId="10911" xr:uid="{00000000-0005-0000-0000-0000B0D60000}"/>
    <cellStyle name="Vírgula 7 4 2 2 2" xfId="29125" xr:uid="{00000000-0005-0000-0000-0000B1D60000}"/>
    <cellStyle name="Vírgula 7 4 2 2 2 2" xfId="55306" xr:uid="{00000000-0005-0000-0000-0000B2D60000}"/>
    <cellStyle name="Vírgula 7 4 2 2 3" xfId="23211" xr:uid="{00000000-0005-0000-0000-0000B3D60000}"/>
    <cellStyle name="Vírgula 7 4 2 2 3 2" xfId="49398" xr:uid="{00000000-0005-0000-0000-0000B4D60000}"/>
    <cellStyle name="Vírgula 7 4 2 2 4" xfId="17297" xr:uid="{00000000-0005-0000-0000-0000B5D60000}"/>
    <cellStyle name="Vírgula 7 4 2 2 4 2" xfId="43490" xr:uid="{00000000-0005-0000-0000-0000B6D60000}"/>
    <cellStyle name="Vírgula 7 4 2 2 5" xfId="37104" xr:uid="{00000000-0005-0000-0000-0000B7D60000}"/>
    <cellStyle name="Vírgula 7 4 2 3" xfId="26168" xr:uid="{00000000-0005-0000-0000-0000B8D60000}"/>
    <cellStyle name="Vírgula 7 4 2 3 2" xfId="52352" xr:uid="{00000000-0005-0000-0000-0000B9D60000}"/>
    <cellStyle name="Vírgula 7 4 2 4" xfId="20254" xr:uid="{00000000-0005-0000-0000-0000BAD60000}"/>
    <cellStyle name="Vírgula 7 4 2 4 2" xfId="46444" xr:uid="{00000000-0005-0000-0000-0000BBD60000}"/>
    <cellStyle name="Vírgula 7 4 2 5" xfId="14287" xr:uid="{00000000-0005-0000-0000-0000BCD60000}"/>
    <cellStyle name="Vírgula 7 4 2 5 2" xfId="40480" xr:uid="{00000000-0005-0000-0000-0000BDD60000}"/>
    <cellStyle name="Vírgula 7 4 2 6" xfId="34094" xr:uid="{00000000-0005-0000-0000-0000BED60000}"/>
    <cellStyle name="Vírgula 7 4 3" xfId="9443" xr:uid="{00000000-0005-0000-0000-0000BFD60000}"/>
    <cellStyle name="Vírgula 7 4 3 2" xfId="27657" xr:uid="{00000000-0005-0000-0000-0000C0D60000}"/>
    <cellStyle name="Vírgula 7 4 3 2 2" xfId="53838" xr:uid="{00000000-0005-0000-0000-0000C1D60000}"/>
    <cellStyle name="Vírgula 7 4 3 3" xfId="21743" xr:uid="{00000000-0005-0000-0000-0000C2D60000}"/>
    <cellStyle name="Vírgula 7 4 3 3 2" xfId="47930" xr:uid="{00000000-0005-0000-0000-0000C3D60000}"/>
    <cellStyle name="Vírgula 7 4 3 4" xfId="15829" xr:uid="{00000000-0005-0000-0000-0000C4D60000}"/>
    <cellStyle name="Vírgula 7 4 3 4 2" xfId="42022" xr:uid="{00000000-0005-0000-0000-0000C5D60000}"/>
    <cellStyle name="Vírgula 7 4 3 5" xfId="35636" xr:uid="{00000000-0005-0000-0000-0000C6D60000}"/>
    <cellStyle name="Vírgula 7 4 4" xfId="6197" xr:uid="{00000000-0005-0000-0000-0000C7D60000}"/>
    <cellStyle name="Vírgula 7 4 4 2" xfId="24700" xr:uid="{00000000-0005-0000-0000-0000C8D60000}"/>
    <cellStyle name="Vírgula 7 4 4 2 2" xfId="50884" xr:uid="{00000000-0005-0000-0000-0000C9D60000}"/>
    <cellStyle name="Vírgula 7 4 4 3" xfId="32393" xr:uid="{00000000-0005-0000-0000-0000CAD60000}"/>
    <cellStyle name="Vírgula 7 4 5" xfId="18786" xr:uid="{00000000-0005-0000-0000-0000CBD60000}"/>
    <cellStyle name="Vírgula 7 4 5 2" xfId="44976" xr:uid="{00000000-0005-0000-0000-0000CCD60000}"/>
    <cellStyle name="Vírgula 7 4 6" xfId="12586" xr:uid="{00000000-0005-0000-0000-0000CDD60000}"/>
    <cellStyle name="Vírgula 7 4 6 2" xfId="38779" xr:uid="{00000000-0005-0000-0000-0000CED60000}"/>
    <cellStyle name="Vírgula 7 4 7" xfId="30696" xr:uid="{00000000-0005-0000-0000-0000CFD60000}"/>
    <cellStyle name="Vírgula 7 5" xfId="5905" xr:uid="{00000000-0005-0000-0000-0000D0D60000}"/>
    <cellStyle name="Vírgula 7 5 2" xfId="7604" xr:uid="{00000000-0005-0000-0000-0000D1D60000}"/>
    <cellStyle name="Vírgula 7 5 2 2" xfId="10744" xr:uid="{00000000-0005-0000-0000-0000D2D60000}"/>
    <cellStyle name="Vírgula 7 5 2 2 2" xfId="28958" xr:uid="{00000000-0005-0000-0000-0000D3D60000}"/>
    <cellStyle name="Vírgula 7 5 2 2 2 2" xfId="55139" xr:uid="{00000000-0005-0000-0000-0000D4D60000}"/>
    <cellStyle name="Vírgula 7 5 2 2 3" xfId="23044" xr:uid="{00000000-0005-0000-0000-0000D5D60000}"/>
    <cellStyle name="Vírgula 7 5 2 2 3 2" xfId="49231" xr:uid="{00000000-0005-0000-0000-0000D6D60000}"/>
    <cellStyle name="Vírgula 7 5 2 2 4" xfId="17130" xr:uid="{00000000-0005-0000-0000-0000D7D60000}"/>
    <cellStyle name="Vírgula 7 5 2 2 4 2" xfId="43323" xr:uid="{00000000-0005-0000-0000-0000D8D60000}"/>
    <cellStyle name="Vírgula 7 5 2 2 5" xfId="36937" xr:uid="{00000000-0005-0000-0000-0000D9D60000}"/>
    <cellStyle name="Vírgula 7 5 2 3" xfId="26001" xr:uid="{00000000-0005-0000-0000-0000DAD60000}"/>
    <cellStyle name="Vírgula 7 5 2 3 2" xfId="52185" xr:uid="{00000000-0005-0000-0000-0000DBD60000}"/>
    <cellStyle name="Vírgula 7 5 2 4" xfId="20087" xr:uid="{00000000-0005-0000-0000-0000DCD60000}"/>
    <cellStyle name="Vírgula 7 5 2 4 2" xfId="46277" xr:uid="{00000000-0005-0000-0000-0000DDD60000}"/>
    <cellStyle name="Vírgula 7 5 2 5" xfId="13993" xr:uid="{00000000-0005-0000-0000-0000DED60000}"/>
    <cellStyle name="Vírgula 7 5 2 5 2" xfId="40186" xr:uid="{00000000-0005-0000-0000-0000DFD60000}"/>
    <cellStyle name="Vírgula 7 5 2 6" xfId="33800" xr:uid="{00000000-0005-0000-0000-0000E0D60000}"/>
    <cellStyle name="Vírgula 7 5 3" xfId="9276" xr:uid="{00000000-0005-0000-0000-0000E1D60000}"/>
    <cellStyle name="Vírgula 7 5 3 2" xfId="27490" xr:uid="{00000000-0005-0000-0000-0000E2D60000}"/>
    <cellStyle name="Vírgula 7 5 3 2 2" xfId="53671" xr:uid="{00000000-0005-0000-0000-0000E3D60000}"/>
    <cellStyle name="Vírgula 7 5 3 3" xfId="21576" xr:uid="{00000000-0005-0000-0000-0000E4D60000}"/>
    <cellStyle name="Vírgula 7 5 3 3 2" xfId="47763" xr:uid="{00000000-0005-0000-0000-0000E5D60000}"/>
    <cellStyle name="Vírgula 7 5 3 4" xfId="15662" xr:uid="{00000000-0005-0000-0000-0000E6D60000}"/>
    <cellStyle name="Vírgula 7 5 3 4 2" xfId="41855" xr:uid="{00000000-0005-0000-0000-0000E7D60000}"/>
    <cellStyle name="Vírgula 7 5 3 5" xfId="35469" xr:uid="{00000000-0005-0000-0000-0000E8D60000}"/>
    <cellStyle name="Vírgula 7 5 4" xfId="24533" xr:uid="{00000000-0005-0000-0000-0000E9D60000}"/>
    <cellStyle name="Vírgula 7 5 4 2" xfId="50717" xr:uid="{00000000-0005-0000-0000-0000EAD60000}"/>
    <cellStyle name="Vírgula 7 5 5" xfId="18619" xr:uid="{00000000-0005-0000-0000-0000EBD60000}"/>
    <cellStyle name="Vírgula 7 5 5 2" xfId="44809" xr:uid="{00000000-0005-0000-0000-0000ECD60000}"/>
    <cellStyle name="Vírgula 7 5 6" xfId="12292" xr:uid="{00000000-0005-0000-0000-0000EDD60000}"/>
    <cellStyle name="Vírgula 7 5 6 2" xfId="38485" xr:uid="{00000000-0005-0000-0000-0000EED60000}"/>
    <cellStyle name="Vírgula 7 5 7" xfId="32101" xr:uid="{00000000-0005-0000-0000-0000EFD60000}"/>
    <cellStyle name="Vírgula 7 6" xfId="6306" xr:uid="{00000000-0005-0000-0000-0000F0D60000}"/>
    <cellStyle name="Vírgula 7 6 2" xfId="9505" xr:uid="{00000000-0005-0000-0000-0000F1D60000}"/>
    <cellStyle name="Vírgula 7 6 2 2" xfId="27719" xr:uid="{00000000-0005-0000-0000-0000F2D60000}"/>
    <cellStyle name="Vírgula 7 6 2 2 2" xfId="53900" xr:uid="{00000000-0005-0000-0000-0000F3D60000}"/>
    <cellStyle name="Vírgula 7 6 2 3" xfId="21805" xr:uid="{00000000-0005-0000-0000-0000F4D60000}"/>
    <cellStyle name="Vírgula 7 6 2 3 2" xfId="47992" xr:uid="{00000000-0005-0000-0000-0000F5D60000}"/>
    <cellStyle name="Vírgula 7 6 2 4" xfId="15891" xr:uid="{00000000-0005-0000-0000-0000F6D60000}"/>
    <cellStyle name="Vírgula 7 6 2 4 2" xfId="42084" xr:uid="{00000000-0005-0000-0000-0000F7D60000}"/>
    <cellStyle name="Vírgula 7 6 2 5" xfId="35698" xr:uid="{00000000-0005-0000-0000-0000F8D60000}"/>
    <cellStyle name="Vírgula 7 6 3" xfId="24762" xr:uid="{00000000-0005-0000-0000-0000F9D60000}"/>
    <cellStyle name="Vírgula 7 6 3 2" xfId="50946" xr:uid="{00000000-0005-0000-0000-0000FAD60000}"/>
    <cellStyle name="Vírgula 7 6 4" xfId="18848" xr:uid="{00000000-0005-0000-0000-0000FBD60000}"/>
    <cellStyle name="Vírgula 7 6 4 2" xfId="45038" xr:uid="{00000000-0005-0000-0000-0000FCD60000}"/>
    <cellStyle name="Vírgula 7 6 5" xfId="12695" xr:uid="{00000000-0005-0000-0000-0000FDD60000}"/>
    <cellStyle name="Vírgula 7 6 5 2" xfId="38888" xr:uid="{00000000-0005-0000-0000-0000FED60000}"/>
    <cellStyle name="Vírgula 7 6 6" xfId="32502" xr:uid="{00000000-0005-0000-0000-0000FFD60000}"/>
    <cellStyle name="Vírgula 7 7" xfId="8034" xr:uid="{00000000-0005-0000-0000-000000D70000}"/>
    <cellStyle name="Vírgula 7 7 2" xfId="26248" xr:uid="{00000000-0005-0000-0000-000001D70000}"/>
    <cellStyle name="Vírgula 7 7 2 2" xfId="52432" xr:uid="{00000000-0005-0000-0000-000002D70000}"/>
    <cellStyle name="Vírgula 7 7 3" xfId="20334" xr:uid="{00000000-0005-0000-0000-000003D70000}"/>
    <cellStyle name="Vírgula 7 7 3 2" xfId="46524" xr:uid="{00000000-0005-0000-0000-000004D70000}"/>
    <cellStyle name="Vírgula 7 7 4" xfId="14423" xr:uid="{00000000-0005-0000-0000-000005D70000}"/>
    <cellStyle name="Vírgula 7 7 4 2" xfId="40616" xr:uid="{00000000-0005-0000-0000-000006D70000}"/>
    <cellStyle name="Vírgula 7 7 5" xfId="34230" xr:uid="{00000000-0005-0000-0000-000007D70000}"/>
    <cellStyle name="Vírgula 7 8" xfId="4604" xr:uid="{00000000-0005-0000-0000-000008D70000}"/>
    <cellStyle name="Vírgula 7 8 2" xfId="23291" xr:uid="{00000000-0005-0000-0000-000009D70000}"/>
    <cellStyle name="Vírgula 7 8 2 2" xfId="49478" xr:uid="{00000000-0005-0000-0000-00000AD70000}"/>
    <cellStyle name="Vírgula 7 8 3" xfId="30804" xr:uid="{00000000-0005-0000-0000-00000BD70000}"/>
    <cellStyle name="Vírgula 7 9" xfId="17377" xr:uid="{00000000-0005-0000-0000-00000CD70000}"/>
    <cellStyle name="Vírgula 7 9 2" xfId="43570" xr:uid="{00000000-0005-0000-0000-00000DD70000}"/>
    <cellStyle name="Vírgula 8" xfId="4240" xr:uid="{00000000-0005-0000-0000-00000ED70000}"/>
    <cellStyle name="Vírgula 8 10" xfId="11031" xr:uid="{00000000-0005-0000-0000-00000FD70000}"/>
    <cellStyle name="Vírgula 8 10 2" xfId="37224" xr:uid="{00000000-0005-0000-0000-000010D70000}"/>
    <cellStyle name="Vírgula 8 11" xfId="30440" xr:uid="{00000000-0005-0000-0000-000011D70000}"/>
    <cellStyle name="Vírgula 8 2" xfId="4317" xr:uid="{00000000-0005-0000-0000-000012D70000}"/>
    <cellStyle name="Vírgula 8 2 2" xfId="7718" xr:uid="{00000000-0005-0000-0000-000013D70000}"/>
    <cellStyle name="Vírgula 8 2 2 2" xfId="10808" xr:uid="{00000000-0005-0000-0000-000014D70000}"/>
    <cellStyle name="Vírgula 8 2 2 2 2" xfId="29022" xr:uid="{00000000-0005-0000-0000-000015D70000}"/>
    <cellStyle name="Vírgula 8 2 2 2 2 2" xfId="55203" xr:uid="{00000000-0005-0000-0000-000016D70000}"/>
    <cellStyle name="Vírgula 8 2 2 2 3" xfId="23108" xr:uid="{00000000-0005-0000-0000-000017D70000}"/>
    <cellStyle name="Vírgula 8 2 2 2 3 2" xfId="49295" xr:uid="{00000000-0005-0000-0000-000018D70000}"/>
    <cellStyle name="Vírgula 8 2 2 2 4" xfId="17194" xr:uid="{00000000-0005-0000-0000-000019D70000}"/>
    <cellStyle name="Vírgula 8 2 2 2 4 2" xfId="43387" xr:uid="{00000000-0005-0000-0000-00001AD70000}"/>
    <cellStyle name="Vírgula 8 2 2 2 5" xfId="37001" xr:uid="{00000000-0005-0000-0000-00001BD70000}"/>
    <cellStyle name="Vírgula 8 2 2 3" xfId="26065" xr:uid="{00000000-0005-0000-0000-00001CD70000}"/>
    <cellStyle name="Vírgula 8 2 2 3 2" xfId="52249" xr:uid="{00000000-0005-0000-0000-00001DD70000}"/>
    <cellStyle name="Vírgula 8 2 2 4" xfId="20151" xr:uid="{00000000-0005-0000-0000-00001ED70000}"/>
    <cellStyle name="Vírgula 8 2 2 4 2" xfId="46341" xr:uid="{00000000-0005-0000-0000-00001FD70000}"/>
    <cellStyle name="Vírgula 8 2 2 5" xfId="14107" xr:uid="{00000000-0005-0000-0000-000020D70000}"/>
    <cellStyle name="Vírgula 8 2 2 5 2" xfId="40300" xr:uid="{00000000-0005-0000-0000-000021D70000}"/>
    <cellStyle name="Vírgula 8 2 2 6" xfId="33914" xr:uid="{00000000-0005-0000-0000-000022D70000}"/>
    <cellStyle name="Vírgula 8 2 3" xfId="9340" xr:uid="{00000000-0005-0000-0000-000023D70000}"/>
    <cellStyle name="Vírgula 8 2 3 2" xfId="27554" xr:uid="{00000000-0005-0000-0000-000024D70000}"/>
    <cellStyle name="Vírgula 8 2 3 2 2" xfId="53735" xr:uid="{00000000-0005-0000-0000-000025D70000}"/>
    <cellStyle name="Vírgula 8 2 3 3" xfId="21640" xr:uid="{00000000-0005-0000-0000-000026D70000}"/>
    <cellStyle name="Vírgula 8 2 3 3 2" xfId="47827" xr:uid="{00000000-0005-0000-0000-000027D70000}"/>
    <cellStyle name="Vírgula 8 2 3 4" xfId="15726" xr:uid="{00000000-0005-0000-0000-000028D70000}"/>
    <cellStyle name="Vírgula 8 2 3 4 2" xfId="41919" xr:uid="{00000000-0005-0000-0000-000029D70000}"/>
    <cellStyle name="Vírgula 8 2 3 5" xfId="35533" xr:uid="{00000000-0005-0000-0000-00002AD70000}"/>
    <cellStyle name="Vírgula 8 2 4" xfId="6018" xr:uid="{00000000-0005-0000-0000-00002BD70000}"/>
    <cellStyle name="Vírgula 8 2 4 2" xfId="24597" xr:uid="{00000000-0005-0000-0000-00002CD70000}"/>
    <cellStyle name="Vírgula 8 2 4 2 2" xfId="50781" xr:uid="{00000000-0005-0000-0000-00002DD70000}"/>
    <cellStyle name="Vírgula 8 2 4 3" xfId="32214" xr:uid="{00000000-0005-0000-0000-00002ED70000}"/>
    <cellStyle name="Vírgula 8 2 5" xfId="18683" xr:uid="{00000000-0005-0000-0000-00002FD70000}"/>
    <cellStyle name="Vírgula 8 2 5 2" xfId="44873" xr:uid="{00000000-0005-0000-0000-000030D70000}"/>
    <cellStyle name="Vírgula 8 2 6" xfId="12406" xr:uid="{00000000-0005-0000-0000-000031D70000}"/>
    <cellStyle name="Vírgula 8 2 6 2" xfId="38599" xr:uid="{00000000-0005-0000-0000-000032D70000}"/>
    <cellStyle name="Vírgula 8 2 7" xfId="30517" xr:uid="{00000000-0005-0000-0000-000033D70000}"/>
    <cellStyle name="Vírgula 8 3" xfId="4425" xr:uid="{00000000-0005-0000-0000-000034D70000}"/>
    <cellStyle name="Vírgula 8 3 2" xfId="7827" xr:uid="{00000000-0005-0000-0000-000035D70000}"/>
    <cellStyle name="Vírgula 8 3 2 2" xfId="10870" xr:uid="{00000000-0005-0000-0000-000036D70000}"/>
    <cellStyle name="Vírgula 8 3 2 2 2" xfId="29084" xr:uid="{00000000-0005-0000-0000-000037D70000}"/>
    <cellStyle name="Vírgula 8 3 2 2 2 2" xfId="55265" xr:uid="{00000000-0005-0000-0000-000038D70000}"/>
    <cellStyle name="Vírgula 8 3 2 2 3" xfId="23170" xr:uid="{00000000-0005-0000-0000-000039D70000}"/>
    <cellStyle name="Vírgula 8 3 2 2 3 2" xfId="49357" xr:uid="{00000000-0005-0000-0000-00003AD70000}"/>
    <cellStyle name="Vírgula 8 3 2 2 4" xfId="17256" xr:uid="{00000000-0005-0000-0000-00003BD70000}"/>
    <cellStyle name="Vírgula 8 3 2 2 4 2" xfId="43449" xr:uid="{00000000-0005-0000-0000-00003CD70000}"/>
    <cellStyle name="Vírgula 8 3 2 2 5" xfId="37063" xr:uid="{00000000-0005-0000-0000-00003DD70000}"/>
    <cellStyle name="Vírgula 8 3 2 3" xfId="26127" xr:uid="{00000000-0005-0000-0000-00003ED70000}"/>
    <cellStyle name="Vírgula 8 3 2 3 2" xfId="52311" xr:uid="{00000000-0005-0000-0000-00003FD70000}"/>
    <cellStyle name="Vírgula 8 3 2 4" xfId="20213" xr:uid="{00000000-0005-0000-0000-000040D70000}"/>
    <cellStyle name="Vírgula 8 3 2 4 2" xfId="46403" xr:uid="{00000000-0005-0000-0000-000041D70000}"/>
    <cellStyle name="Vírgula 8 3 2 5" xfId="14216" xr:uid="{00000000-0005-0000-0000-000042D70000}"/>
    <cellStyle name="Vírgula 8 3 2 5 2" xfId="40409" xr:uid="{00000000-0005-0000-0000-000043D70000}"/>
    <cellStyle name="Vírgula 8 3 2 6" xfId="34023" xr:uid="{00000000-0005-0000-0000-000044D70000}"/>
    <cellStyle name="Vírgula 8 3 3" xfId="9402" xr:uid="{00000000-0005-0000-0000-000045D70000}"/>
    <cellStyle name="Vírgula 8 3 3 2" xfId="27616" xr:uid="{00000000-0005-0000-0000-000046D70000}"/>
    <cellStyle name="Vírgula 8 3 3 2 2" xfId="53797" xr:uid="{00000000-0005-0000-0000-000047D70000}"/>
    <cellStyle name="Vírgula 8 3 3 3" xfId="21702" xr:uid="{00000000-0005-0000-0000-000048D70000}"/>
    <cellStyle name="Vírgula 8 3 3 3 2" xfId="47889" xr:uid="{00000000-0005-0000-0000-000049D70000}"/>
    <cellStyle name="Vírgula 8 3 3 4" xfId="15788" xr:uid="{00000000-0005-0000-0000-00004AD70000}"/>
    <cellStyle name="Vírgula 8 3 3 4 2" xfId="41981" xr:uid="{00000000-0005-0000-0000-00004BD70000}"/>
    <cellStyle name="Vírgula 8 3 3 5" xfId="35595" xr:uid="{00000000-0005-0000-0000-00004CD70000}"/>
    <cellStyle name="Vírgula 8 3 4" xfId="6127" xr:uid="{00000000-0005-0000-0000-00004DD70000}"/>
    <cellStyle name="Vírgula 8 3 4 2" xfId="24659" xr:uid="{00000000-0005-0000-0000-00004ED70000}"/>
    <cellStyle name="Vírgula 8 3 4 2 2" xfId="50843" xr:uid="{00000000-0005-0000-0000-00004FD70000}"/>
    <cellStyle name="Vírgula 8 3 4 3" xfId="32323" xr:uid="{00000000-0005-0000-0000-000050D70000}"/>
    <cellStyle name="Vírgula 8 3 5" xfId="18745" xr:uid="{00000000-0005-0000-0000-000051D70000}"/>
    <cellStyle name="Vírgula 8 3 5 2" xfId="44935" xr:uid="{00000000-0005-0000-0000-000052D70000}"/>
    <cellStyle name="Vírgula 8 3 6" xfId="12515" xr:uid="{00000000-0005-0000-0000-000053D70000}"/>
    <cellStyle name="Vírgula 8 3 6 2" xfId="38708" xr:uid="{00000000-0005-0000-0000-000054D70000}"/>
    <cellStyle name="Vírgula 8 3 7" xfId="30625" xr:uid="{00000000-0005-0000-0000-000055D70000}"/>
    <cellStyle name="Vírgula 8 4" xfId="4533" xr:uid="{00000000-0005-0000-0000-000056D70000}"/>
    <cellStyle name="Vírgula 8 4 2" xfId="7935" xr:uid="{00000000-0005-0000-0000-000057D70000}"/>
    <cellStyle name="Vírgula 8 4 2 2" xfId="10932" xr:uid="{00000000-0005-0000-0000-000058D70000}"/>
    <cellStyle name="Vírgula 8 4 2 2 2" xfId="29146" xr:uid="{00000000-0005-0000-0000-000059D70000}"/>
    <cellStyle name="Vírgula 8 4 2 2 2 2" xfId="55327" xr:uid="{00000000-0005-0000-0000-00005AD70000}"/>
    <cellStyle name="Vírgula 8 4 2 2 3" xfId="23232" xr:uid="{00000000-0005-0000-0000-00005BD70000}"/>
    <cellStyle name="Vírgula 8 4 2 2 3 2" xfId="49419" xr:uid="{00000000-0005-0000-0000-00005CD70000}"/>
    <cellStyle name="Vírgula 8 4 2 2 4" xfId="17318" xr:uid="{00000000-0005-0000-0000-00005DD70000}"/>
    <cellStyle name="Vírgula 8 4 2 2 4 2" xfId="43511" xr:uid="{00000000-0005-0000-0000-00005ED70000}"/>
    <cellStyle name="Vírgula 8 4 2 2 5" xfId="37125" xr:uid="{00000000-0005-0000-0000-00005FD70000}"/>
    <cellStyle name="Vírgula 8 4 2 3" xfId="26189" xr:uid="{00000000-0005-0000-0000-000060D70000}"/>
    <cellStyle name="Vírgula 8 4 2 3 2" xfId="52373" xr:uid="{00000000-0005-0000-0000-000061D70000}"/>
    <cellStyle name="Vírgula 8 4 2 4" xfId="20275" xr:uid="{00000000-0005-0000-0000-000062D70000}"/>
    <cellStyle name="Vírgula 8 4 2 4 2" xfId="46465" xr:uid="{00000000-0005-0000-0000-000063D70000}"/>
    <cellStyle name="Vírgula 8 4 2 5" xfId="14324" xr:uid="{00000000-0005-0000-0000-000064D70000}"/>
    <cellStyle name="Vírgula 8 4 2 5 2" xfId="40517" xr:uid="{00000000-0005-0000-0000-000065D70000}"/>
    <cellStyle name="Vírgula 8 4 2 6" xfId="34131" xr:uid="{00000000-0005-0000-0000-000066D70000}"/>
    <cellStyle name="Vírgula 8 4 3" xfId="9464" xr:uid="{00000000-0005-0000-0000-000067D70000}"/>
    <cellStyle name="Vírgula 8 4 3 2" xfId="27678" xr:uid="{00000000-0005-0000-0000-000068D70000}"/>
    <cellStyle name="Vírgula 8 4 3 2 2" xfId="53859" xr:uid="{00000000-0005-0000-0000-000069D70000}"/>
    <cellStyle name="Vírgula 8 4 3 3" xfId="21764" xr:uid="{00000000-0005-0000-0000-00006AD70000}"/>
    <cellStyle name="Vírgula 8 4 3 3 2" xfId="47951" xr:uid="{00000000-0005-0000-0000-00006BD70000}"/>
    <cellStyle name="Vírgula 8 4 3 4" xfId="15850" xr:uid="{00000000-0005-0000-0000-00006CD70000}"/>
    <cellStyle name="Vírgula 8 4 3 4 2" xfId="42043" xr:uid="{00000000-0005-0000-0000-00006DD70000}"/>
    <cellStyle name="Vírgula 8 4 3 5" xfId="35657" xr:uid="{00000000-0005-0000-0000-00006ED70000}"/>
    <cellStyle name="Vírgula 8 4 4" xfId="6234" xr:uid="{00000000-0005-0000-0000-00006FD70000}"/>
    <cellStyle name="Vírgula 8 4 4 2" xfId="24721" xr:uid="{00000000-0005-0000-0000-000070D70000}"/>
    <cellStyle name="Vírgula 8 4 4 2 2" xfId="50905" xr:uid="{00000000-0005-0000-0000-000071D70000}"/>
    <cellStyle name="Vírgula 8 4 4 3" xfId="32430" xr:uid="{00000000-0005-0000-0000-000072D70000}"/>
    <cellStyle name="Vírgula 8 4 5" xfId="18807" xr:uid="{00000000-0005-0000-0000-000073D70000}"/>
    <cellStyle name="Vírgula 8 4 5 2" xfId="44997" xr:uid="{00000000-0005-0000-0000-000074D70000}"/>
    <cellStyle name="Vírgula 8 4 6" xfId="12623" xr:uid="{00000000-0005-0000-0000-000075D70000}"/>
    <cellStyle name="Vírgula 8 4 6 2" xfId="38816" xr:uid="{00000000-0005-0000-0000-000076D70000}"/>
    <cellStyle name="Vírgula 8 4 7" xfId="30733" xr:uid="{00000000-0005-0000-0000-000077D70000}"/>
    <cellStyle name="Vírgula 8 5" xfId="5941" xr:uid="{00000000-0005-0000-0000-000078D70000}"/>
    <cellStyle name="Vírgula 8 5 2" xfId="7641" xr:uid="{00000000-0005-0000-0000-000079D70000}"/>
    <cellStyle name="Vírgula 8 5 2 2" xfId="10765" xr:uid="{00000000-0005-0000-0000-00007AD70000}"/>
    <cellStyle name="Vírgula 8 5 2 2 2" xfId="28979" xr:uid="{00000000-0005-0000-0000-00007BD70000}"/>
    <cellStyle name="Vírgula 8 5 2 2 2 2" xfId="55160" xr:uid="{00000000-0005-0000-0000-00007CD70000}"/>
    <cellStyle name="Vírgula 8 5 2 2 3" xfId="23065" xr:uid="{00000000-0005-0000-0000-00007DD70000}"/>
    <cellStyle name="Vírgula 8 5 2 2 3 2" xfId="49252" xr:uid="{00000000-0005-0000-0000-00007ED70000}"/>
    <cellStyle name="Vírgula 8 5 2 2 4" xfId="17151" xr:uid="{00000000-0005-0000-0000-00007FD70000}"/>
    <cellStyle name="Vírgula 8 5 2 2 4 2" xfId="43344" xr:uid="{00000000-0005-0000-0000-000080D70000}"/>
    <cellStyle name="Vírgula 8 5 2 2 5" xfId="36958" xr:uid="{00000000-0005-0000-0000-000081D70000}"/>
    <cellStyle name="Vírgula 8 5 2 3" xfId="26022" xr:uid="{00000000-0005-0000-0000-000082D70000}"/>
    <cellStyle name="Vírgula 8 5 2 3 2" xfId="52206" xr:uid="{00000000-0005-0000-0000-000083D70000}"/>
    <cellStyle name="Vírgula 8 5 2 4" xfId="20108" xr:uid="{00000000-0005-0000-0000-000084D70000}"/>
    <cellStyle name="Vírgula 8 5 2 4 2" xfId="46298" xr:uid="{00000000-0005-0000-0000-000085D70000}"/>
    <cellStyle name="Vírgula 8 5 2 5" xfId="14030" xr:uid="{00000000-0005-0000-0000-000086D70000}"/>
    <cellStyle name="Vírgula 8 5 2 5 2" xfId="40223" xr:uid="{00000000-0005-0000-0000-000087D70000}"/>
    <cellStyle name="Vírgula 8 5 2 6" xfId="33837" xr:uid="{00000000-0005-0000-0000-000088D70000}"/>
    <cellStyle name="Vírgula 8 5 3" xfId="9297" xr:uid="{00000000-0005-0000-0000-000089D70000}"/>
    <cellStyle name="Vírgula 8 5 3 2" xfId="27511" xr:uid="{00000000-0005-0000-0000-00008AD70000}"/>
    <cellStyle name="Vírgula 8 5 3 2 2" xfId="53692" xr:uid="{00000000-0005-0000-0000-00008BD70000}"/>
    <cellStyle name="Vírgula 8 5 3 3" xfId="21597" xr:uid="{00000000-0005-0000-0000-00008CD70000}"/>
    <cellStyle name="Vírgula 8 5 3 3 2" xfId="47784" xr:uid="{00000000-0005-0000-0000-00008DD70000}"/>
    <cellStyle name="Vírgula 8 5 3 4" xfId="15683" xr:uid="{00000000-0005-0000-0000-00008ED70000}"/>
    <cellStyle name="Vírgula 8 5 3 4 2" xfId="41876" xr:uid="{00000000-0005-0000-0000-00008FD70000}"/>
    <cellStyle name="Vírgula 8 5 3 5" xfId="35490" xr:uid="{00000000-0005-0000-0000-000090D70000}"/>
    <cellStyle name="Vírgula 8 5 4" xfId="24554" xr:uid="{00000000-0005-0000-0000-000091D70000}"/>
    <cellStyle name="Vírgula 8 5 4 2" xfId="50738" xr:uid="{00000000-0005-0000-0000-000092D70000}"/>
    <cellStyle name="Vírgula 8 5 5" xfId="18640" xr:uid="{00000000-0005-0000-0000-000093D70000}"/>
    <cellStyle name="Vírgula 8 5 5 2" xfId="44830" xr:uid="{00000000-0005-0000-0000-000094D70000}"/>
    <cellStyle name="Vírgula 8 5 6" xfId="12329" xr:uid="{00000000-0005-0000-0000-000095D70000}"/>
    <cellStyle name="Vírgula 8 5 6 2" xfId="38522" xr:uid="{00000000-0005-0000-0000-000096D70000}"/>
    <cellStyle name="Vírgula 8 5 7" xfId="32137" xr:uid="{00000000-0005-0000-0000-000097D70000}"/>
    <cellStyle name="Vírgula 8 6" xfId="6343" xr:uid="{00000000-0005-0000-0000-000098D70000}"/>
    <cellStyle name="Vírgula 8 6 2" xfId="9526" xr:uid="{00000000-0005-0000-0000-000099D70000}"/>
    <cellStyle name="Vírgula 8 6 2 2" xfId="27740" xr:uid="{00000000-0005-0000-0000-00009AD70000}"/>
    <cellStyle name="Vírgula 8 6 2 2 2" xfId="53921" xr:uid="{00000000-0005-0000-0000-00009BD70000}"/>
    <cellStyle name="Vírgula 8 6 2 3" xfId="21826" xr:uid="{00000000-0005-0000-0000-00009CD70000}"/>
    <cellStyle name="Vírgula 8 6 2 3 2" xfId="48013" xr:uid="{00000000-0005-0000-0000-00009DD70000}"/>
    <cellStyle name="Vírgula 8 6 2 4" xfId="15912" xr:uid="{00000000-0005-0000-0000-00009ED70000}"/>
    <cellStyle name="Vírgula 8 6 2 4 2" xfId="42105" xr:uid="{00000000-0005-0000-0000-00009FD70000}"/>
    <cellStyle name="Vírgula 8 6 2 5" xfId="35719" xr:uid="{00000000-0005-0000-0000-0000A0D70000}"/>
    <cellStyle name="Vírgula 8 6 3" xfId="24783" xr:uid="{00000000-0005-0000-0000-0000A1D70000}"/>
    <cellStyle name="Vírgula 8 6 3 2" xfId="50967" xr:uid="{00000000-0005-0000-0000-0000A2D70000}"/>
    <cellStyle name="Vírgula 8 6 4" xfId="18869" xr:uid="{00000000-0005-0000-0000-0000A3D70000}"/>
    <cellStyle name="Vírgula 8 6 4 2" xfId="45059" xr:uid="{00000000-0005-0000-0000-0000A4D70000}"/>
    <cellStyle name="Vírgula 8 6 5" xfId="12732" xr:uid="{00000000-0005-0000-0000-0000A5D70000}"/>
    <cellStyle name="Vírgula 8 6 5 2" xfId="38925" xr:uid="{00000000-0005-0000-0000-0000A6D70000}"/>
    <cellStyle name="Vírgula 8 6 6" xfId="32539" xr:uid="{00000000-0005-0000-0000-0000A7D70000}"/>
    <cellStyle name="Vírgula 8 7" xfId="8055" xr:uid="{00000000-0005-0000-0000-0000A8D70000}"/>
    <cellStyle name="Vírgula 8 7 2" xfId="26269" xr:uid="{00000000-0005-0000-0000-0000A9D70000}"/>
    <cellStyle name="Vírgula 8 7 2 2" xfId="52453" xr:uid="{00000000-0005-0000-0000-0000AAD70000}"/>
    <cellStyle name="Vírgula 8 7 3" xfId="20355" xr:uid="{00000000-0005-0000-0000-0000ABD70000}"/>
    <cellStyle name="Vírgula 8 7 3 2" xfId="46545" xr:uid="{00000000-0005-0000-0000-0000ACD70000}"/>
    <cellStyle name="Vírgula 8 7 4" xfId="14444" xr:uid="{00000000-0005-0000-0000-0000ADD70000}"/>
    <cellStyle name="Vírgula 8 7 4 2" xfId="40637" xr:uid="{00000000-0005-0000-0000-0000AED70000}"/>
    <cellStyle name="Vírgula 8 7 5" xfId="34251" xr:uid="{00000000-0005-0000-0000-0000AFD70000}"/>
    <cellStyle name="Vírgula 8 8" xfId="4640" xr:uid="{00000000-0005-0000-0000-0000B0D70000}"/>
    <cellStyle name="Vírgula 8 8 2" xfId="23312" xr:uid="{00000000-0005-0000-0000-0000B1D70000}"/>
    <cellStyle name="Vírgula 8 8 2 2" xfId="49499" xr:uid="{00000000-0005-0000-0000-0000B2D70000}"/>
    <cellStyle name="Vírgula 8 8 3" xfId="30840" xr:uid="{00000000-0005-0000-0000-0000B3D70000}"/>
    <cellStyle name="Vírgula 8 9" xfId="17398" xr:uid="{00000000-0005-0000-0000-0000B4D70000}"/>
    <cellStyle name="Vírgula 8 9 2" xfId="43591" xr:uid="{00000000-0005-0000-0000-0000B5D70000}"/>
    <cellStyle name="Vírgula 9" xfId="4271" xr:uid="{00000000-0005-0000-0000-0000B6D70000}"/>
    <cellStyle name="Vírgula 9 10" xfId="11062" xr:uid="{00000000-0005-0000-0000-0000B7D70000}"/>
    <cellStyle name="Vírgula 9 10 2" xfId="37255" xr:uid="{00000000-0005-0000-0000-0000B8D70000}"/>
    <cellStyle name="Vírgula 9 11" xfId="30471" xr:uid="{00000000-0005-0000-0000-0000B9D70000}"/>
    <cellStyle name="Vírgula 9 2" xfId="4348" xr:uid="{00000000-0005-0000-0000-0000BAD70000}"/>
    <cellStyle name="Vírgula 9 2 2" xfId="7749" xr:uid="{00000000-0005-0000-0000-0000BBD70000}"/>
    <cellStyle name="Vírgula 9 2 2 2" xfId="10826" xr:uid="{00000000-0005-0000-0000-0000BCD70000}"/>
    <cellStyle name="Vírgula 9 2 2 2 2" xfId="29040" xr:uid="{00000000-0005-0000-0000-0000BDD70000}"/>
    <cellStyle name="Vírgula 9 2 2 2 2 2" xfId="55221" xr:uid="{00000000-0005-0000-0000-0000BED70000}"/>
    <cellStyle name="Vírgula 9 2 2 2 3" xfId="23126" xr:uid="{00000000-0005-0000-0000-0000BFD70000}"/>
    <cellStyle name="Vírgula 9 2 2 2 3 2" xfId="49313" xr:uid="{00000000-0005-0000-0000-0000C0D70000}"/>
    <cellStyle name="Vírgula 9 2 2 2 4" xfId="17212" xr:uid="{00000000-0005-0000-0000-0000C1D70000}"/>
    <cellStyle name="Vírgula 9 2 2 2 4 2" xfId="43405" xr:uid="{00000000-0005-0000-0000-0000C2D70000}"/>
    <cellStyle name="Vírgula 9 2 2 2 5" xfId="37019" xr:uid="{00000000-0005-0000-0000-0000C3D70000}"/>
    <cellStyle name="Vírgula 9 2 2 3" xfId="26083" xr:uid="{00000000-0005-0000-0000-0000C4D70000}"/>
    <cellStyle name="Vírgula 9 2 2 3 2" xfId="52267" xr:uid="{00000000-0005-0000-0000-0000C5D70000}"/>
    <cellStyle name="Vírgula 9 2 2 4" xfId="20169" xr:uid="{00000000-0005-0000-0000-0000C6D70000}"/>
    <cellStyle name="Vírgula 9 2 2 4 2" xfId="46359" xr:uid="{00000000-0005-0000-0000-0000C7D70000}"/>
    <cellStyle name="Vírgula 9 2 2 5" xfId="14138" xr:uid="{00000000-0005-0000-0000-0000C8D70000}"/>
    <cellStyle name="Vírgula 9 2 2 5 2" xfId="40331" xr:uid="{00000000-0005-0000-0000-0000C9D70000}"/>
    <cellStyle name="Vírgula 9 2 2 6" xfId="33945" xr:uid="{00000000-0005-0000-0000-0000CAD70000}"/>
    <cellStyle name="Vírgula 9 2 3" xfId="9358" xr:uid="{00000000-0005-0000-0000-0000CBD70000}"/>
    <cellStyle name="Vírgula 9 2 3 2" xfId="27572" xr:uid="{00000000-0005-0000-0000-0000CCD70000}"/>
    <cellStyle name="Vírgula 9 2 3 2 2" xfId="53753" xr:uid="{00000000-0005-0000-0000-0000CDD70000}"/>
    <cellStyle name="Vírgula 9 2 3 3" xfId="21658" xr:uid="{00000000-0005-0000-0000-0000CED70000}"/>
    <cellStyle name="Vírgula 9 2 3 3 2" xfId="47845" xr:uid="{00000000-0005-0000-0000-0000CFD70000}"/>
    <cellStyle name="Vírgula 9 2 3 4" xfId="15744" xr:uid="{00000000-0005-0000-0000-0000D0D70000}"/>
    <cellStyle name="Vírgula 9 2 3 4 2" xfId="41937" xr:uid="{00000000-0005-0000-0000-0000D1D70000}"/>
    <cellStyle name="Vírgula 9 2 3 5" xfId="35551" xr:uid="{00000000-0005-0000-0000-0000D2D70000}"/>
    <cellStyle name="Vírgula 9 2 4" xfId="6049" xr:uid="{00000000-0005-0000-0000-0000D3D70000}"/>
    <cellStyle name="Vírgula 9 2 4 2" xfId="24615" xr:uid="{00000000-0005-0000-0000-0000D4D70000}"/>
    <cellStyle name="Vírgula 9 2 4 2 2" xfId="50799" xr:uid="{00000000-0005-0000-0000-0000D5D70000}"/>
    <cellStyle name="Vírgula 9 2 4 3" xfId="32245" xr:uid="{00000000-0005-0000-0000-0000D6D70000}"/>
    <cellStyle name="Vírgula 9 2 5" xfId="18701" xr:uid="{00000000-0005-0000-0000-0000D7D70000}"/>
    <cellStyle name="Vírgula 9 2 5 2" xfId="44891" xr:uid="{00000000-0005-0000-0000-0000D8D70000}"/>
    <cellStyle name="Vírgula 9 2 6" xfId="12437" xr:uid="{00000000-0005-0000-0000-0000D9D70000}"/>
    <cellStyle name="Vírgula 9 2 6 2" xfId="38630" xr:uid="{00000000-0005-0000-0000-0000DAD70000}"/>
    <cellStyle name="Vírgula 9 2 7" xfId="30548" xr:uid="{00000000-0005-0000-0000-0000DBD70000}"/>
    <cellStyle name="Vírgula 9 3" xfId="4456" xr:uid="{00000000-0005-0000-0000-0000DCD70000}"/>
    <cellStyle name="Vírgula 9 3 2" xfId="7858" xr:uid="{00000000-0005-0000-0000-0000DDD70000}"/>
    <cellStyle name="Vírgula 9 3 2 2" xfId="10888" xr:uid="{00000000-0005-0000-0000-0000DED70000}"/>
    <cellStyle name="Vírgula 9 3 2 2 2" xfId="29102" xr:uid="{00000000-0005-0000-0000-0000DFD70000}"/>
    <cellStyle name="Vírgula 9 3 2 2 2 2" xfId="55283" xr:uid="{00000000-0005-0000-0000-0000E0D70000}"/>
    <cellStyle name="Vírgula 9 3 2 2 3" xfId="23188" xr:uid="{00000000-0005-0000-0000-0000E1D70000}"/>
    <cellStyle name="Vírgula 9 3 2 2 3 2" xfId="49375" xr:uid="{00000000-0005-0000-0000-0000E2D70000}"/>
    <cellStyle name="Vírgula 9 3 2 2 4" xfId="17274" xr:uid="{00000000-0005-0000-0000-0000E3D70000}"/>
    <cellStyle name="Vírgula 9 3 2 2 4 2" xfId="43467" xr:uid="{00000000-0005-0000-0000-0000E4D70000}"/>
    <cellStyle name="Vírgula 9 3 2 2 5" xfId="37081" xr:uid="{00000000-0005-0000-0000-0000E5D70000}"/>
    <cellStyle name="Vírgula 9 3 2 3" xfId="26145" xr:uid="{00000000-0005-0000-0000-0000E6D70000}"/>
    <cellStyle name="Vírgula 9 3 2 3 2" xfId="52329" xr:uid="{00000000-0005-0000-0000-0000E7D70000}"/>
    <cellStyle name="Vírgula 9 3 2 4" xfId="20231" xr:uid="{00000000-0005-0000-0000-0000E8D70000}"/>
    <cellStyle name="Vírgula 9 3 2 4 2" xfId="46421" xr:uid="{00000000-0005-0000-0000-0000E9D70000}"/>
    <cellStyle name="Vírgula 9 3 2 5" xfId="14247" xr:uid="{00000000-0005-0000-0000-0000EAD70000}"/>
    <cellStyle name="Vírgula 9 3 2 5 2" xfId="40440" xr:uid="{00000000-0005-0000-0000-0000EBD70000}"/>
    <cellStyle name="Vírgula 9 3 2 6" xfId="34054" xr:uid="{00000000-0005-0000-0000-0000ECD70000}"/>
    <cellStyle name="Vírgula 9 3 3" xfId="9420" xr:uid="{00000000-0005-0000-0000-0000EDD70000}"/>
    <cellStyle name="Vírgula 9 3 3 2" xfId="27634" xr:uid="{00000000-0005-0000-0000-0000EED70000}"/>
    <cellStyle name="Vírgula 9 3 3 2 2" xfId="53815" xr:uid="{00000000-0005-0000-0000-0000EFD70000}"/>
    <cellStyle name="Vírgula 9 3 3 3" xfId="21720" xr:uid="{00000000-0005-0000-0000-0000F0D70000}"/>
    <cellStyle name="Vírgula 9 3 3 3 2" xfId="47907" xr:uid="{00000000-0005-0000-0000-0000F1D70000}"/>
    <cellStyle name="Vírgula 9 3 3 4" xfId="15806" xr:uid="{00000000-0005-0000-0000-0000F2D70000}"/>
    <cellStyle name="Vírgula 9 3 3 4 2" xfId="41999" xr:uid="{00000000-0005-0000-0000-0000F3D70000}"/>
    <cellStyle name="Vírgula 9 3 3 5" xfId="35613" xr:uid="{00000000-0005-0000-0000-0000F4D70000}"/>
    <cellStyle name="Vírgula 9 3 4" xfId="6157" xr:uid="{00000000-0005-0000-0000-0000F5D70000}"/>
    <cellStyle name="Vírgula 9 3 4 2" xfId="24677" xr:uid="{00000000-0005-0000-0000-0000F6D70000}"/>
    <cellStyle name="Vírgula 9 3 4 2 2" xfId="50861" xr:uid="{00000000-0005-0000-0000-0000F7D70000}"/>
    <cellStyle name="Vírgula 9 3 4 3" xfId="32353" xr:uid="{00000000-0005-0000-0000-0000F8D70000}"/>
    <cellStyle name="Vírgula 9 3 5" xfId="18763" xr:uid="{00000000-0005-0000-0000-0000F9D70000}"/>
    <cellStyle name="Vírgula 9 3 5 2" xfId="44953" xr:uid="{00000000-0005-0000-0000-0000FAD70000}"/>
    <cellStyle name="Vírgula 9 3 6" xfId="12546" xr:uid="{00000000-0005-0000-0000-0000FBD70000}"/>
    <cellStyle name="Vírgula 9 3 6 2" xfId="38739" xr:uid="{00000000-0005-0000-0000-0000FCD70000}"/>
    <cellStyle name="Vírgula 9 3 7" xfId="30656" xr:uid="{00000000-0005-0000-0000-0000FDD70000}"/>
    <cellStyle name="Vírgula 9 4" xfId="4564" xr:uid="{00000000-0005-0000-0000-0000FED70000}"/>
    <cellStyle name="Vírgula 9 4 2" xfId="7966" xr:uid="{00000000-0005-0000-0000-0000FFD70000}"/>
    <cellStyle name="Vírgula 9 4 2 2" xfId="10950" xr:uid="{00000000-0005-0000-0000-000000D80000}"/>
    <cellStyle name="Vírgula 9 4 2 2 2" xfId="29164" xr:uid="{00000000-0005-0000-0000-000001D80000}"/>
    <cellStyle name="Vírgula 9 4 2 2 2 2" xfId="55345" xr:uid="{00000000-0005-0000-0000-000002D80000}"/>
    <cellStyle name="Vírgula 9 4 2 2 3" xfId="23250" xr:uid="{00000000-0005-0000-0000-000003D80000}"/>
    <cellStyle name="Vírgula 9 4 2 2 3 2" xfId="49437" xr:uid="{00000000-0005-0000-0000-000004D80000}"/>
    <cellStyle name="Vírgula 9 4 2 2 4" xfId="17336" xr:uid="{00000000-0005-0000-0000-000005D80000}"/>
    <cellStyle name="Vírgula 9 4 2 2 4 2" xfId="43529" xr:uid="{00000000-0005-0000-0000-000006D80000}"/>
    <cellStyle name="Vírgula 9 4 2 2 5" xfId="37143" xr:uid="{00000000-0005-0000-0000-000007D80000}"/>
    <cellStyle name="Vírgula 9 4 2 3" xfId="26207" xr:uid="{00000000-0005-0000-0000-000008D80000}"/>
    <cellStyle name="Vírgula 9 4 2 3 2" xfId="52391" xr:uid="{00000000-0005-0000-0000-000009D80000}"/>
    <cellStyle name="Vírgula 9 4 2 4" xfId="20293" xr:uid="{00000000-0005-0000-0000-00000AD80000}"/>
    <cellStyle name="Vírgula 9 4 2 4 2" xfId="46483" xr:uid="{00000000-0005-0000-0000-00000BD80000}"/>
    <cellStyle name="Vírgula 9 4 2 5" xfId="14355" xr:uid="{00000000-0005-0000-0000-00000CD80000}"/>
    <cellStyle name="Vírgula 9 4 2 5 2" xfId="40548" xr:uid="{00000000-0005-0000-0000-00000DD80000}"/>
    <cellStyle name="Vírgula 9 4 2 6" xfId="34162" xr:uid="{00000000-0005-0000-0000-00000ED80000}"/>
    <cellStyle name="Vírgula 9 4 3" xfId="9482" xr:uid="{00000000-0005-0000-0000-00000FD80000}"/>
    <cellStyle name="Vírgula 9 4 3 2" xfId="27696" xr:uid="{00000000-0005-0000-0000-000010D80000}"/>
    <cellStyle name="Vírgula 9 4 3 2 2" xfId="53877" xr:uid="{00000000-0005-0000-0000-000011D80000}"/>
    <cellStyle name="Vírgula 9 4 3 3" xfId="21782" xr:uid="{00000000-0005-0000-0000-000012D80000}"/>
    <cellStyle name="Vírgula 9 4 3 3 2" xfId="47969" xr:uid="{00000000-0005-0000-0000-000013D80000}"/>
    <cellStyle name="Vírgula 9 4 3 4" xfId="15868" xr:uid="{00000000-0005-0000-0000-000014D80000}"/>
    <cellStyle name="Vírgula 9 4 3 4 2" xfId="42061" xr:uid="{00000000-0005-0000-0000-000015D80000}"/>
    <cellStyle name="Vírgula 9 4 3 5" xfId="35675" xr:uid="{00000000-0005-0000-0000-000016D80000}"/>
    <cellStyle name="Vírgula 9 4 4" xfId="6265" xr:uid="{00000000-0005-0000-0000-000017D80000}"/>
    <cellStyle name="Vírgula 9 4 4 2" xfId="24739" xr:uid="{00000000-0005-0000-0000-000018D80000}"/>
    <cellStyle name="Vírgula 9 4 4 2 2" xfId="50923" xr:uid="{00000000-0005-0000-0000-000019D80000}"/>
    <cellStyle name="Vírgula 9 4 4 3" xfId="32461" xr:uid="{00000000-0005-0000-0000-00001AD80000}"/>
    <cellStyle name="Vírgula 9 4 5" xfId="18825" xr:uid="{00000000-0005-0000-0000-00001BD80000}"/>
    <cellStyle name="Vírgula 9 4 5 2" xfId="45015" xr:uid="{00000000-0005-0000-0000-00001CD80000}"/>
    <cellStyle name="Vírgula 9 4 6" xfId="12654" xr:uid="{00000000-0005-0000-0000-00001DD80000}"/>
    <cellStyle name="Vírgula 9 4 6 2" xfId="38847" xr:uid="{00000000-0005-0000-0000-00001ED80000}"/>
    <cellStyle name="Vírgula 9 4 7" xfId="30764" xr:uid="{00000000-0005-0000-0000-00001FD80000}"/>
    <cellStyle name="Vírgula 9 5" xfId="5972" xr:uid="{00000000-0005-0000-0000-000020D80000}"/>
    <cellStyle name="Vírgula 9 5 2" xfId="7672" xr:uid="{00000000-0005-0000-0000-000021D80000}"/>
    <cellStyle name="Vírgula 9 5 2 2" xfId="10783" xr:uid="{00000000-0005-0000-0000-000022D80000}"/>
    <cellStyle name="Vírgula 9 5 2 2 2" xfId="28997" xr:uid="{00000000-0005-0000-0000-000023D80000}"/>
    <cellStyle name="Vírgula 9 5 2 2 2 2" xfId="55178" xr:uid="{00000000-0005-0000-0000-000024D80000}"/>
    <cellStyle name="Vírgula 9 5 2 2 3" xfId="23083" xr:uid="{00000000-0005-0000-0000-000025D80000}"/>
    <cellStyle name="Vírgula 9 5 2 2 3 2" xfId="49270" xr:uid="{00000000-0005-0000-0000-000026D80000}"/>
    <cellStyle name="Vírgula 9 5 2 2 4" xfId="17169" xr:uid="{00000000-0005-0000-0000-000027D80000}"/>
    <cellStyle name="Vírgula 9 5 2 2 4 2" xfId="43362" xr:uid="{00000000-0005-0000-0000-000028D80000}"/>
    <cellStyle name="Vírgula 9 5 2 2 5" xfId="36976" xr:uid="{00000000-0005-0000-0000-000029D80000}"/>
    <cellStyle name="Vírgula 9 5 2 3" xfId="26040" xr:uid="{00000000-0005-0000-0000-00002AD80000}"/>
    <cellStyle name="Vírgula 9 5 2 3 2" xfId="52224" xr:uid="{00000000-0005-0000-0000-00002BD80000}"/>
    <cellStyle name="Vírgula 9 5 2 4" xfId="20126" xr:uid="{00000000-0005-0000-0000-00002CD80000}"/>
    <cellStyle name="Vírgula 9 5 2 4 2" xfId="46316" xr:uid="{00000000-0005-0000-0000-00002DD80000}"/>
    <cellStyle name="Vírgula 9 5 2 5" xfId="14061" xr:uid="{00000000-0005-0000-0000-00002ED80000}"/>
    <cellStyle name="Vírgula 9 5 2 5 2" xfId="40254" xr:uid="{00000000-0005-0000-0000-00002FD80000}"/>
    <cellStyle name="Vírgula 9 5 2 6" xfId="33868" xr:uid="{00000000-0005-0000-0000-000030D80000}"/>
    <cellStyle name="Vírgula 9 5 3" xfId="9315" xr:uid="{00000000-0005-0000-0000-000031D80000}"/>
    <cellStyle name="Vírgula 9 5 3 2" xfId="27529" xr:uid="{00000000-0005-0000-0000-000032D80000}"/>
    <cellStyle name="Vírgula 9 5 3 2 2" xfId="53710" xr:uid="{00000000-0005-0000-0000-000033D80000}"/>
    <cellStyle name="Vírgula 9 5 3 3" xfId="21615" xr:uid="{00000000-0005-0000-0000-000034D80000}"/>
    <cellStyle name="Vírgula 9 5 3 3 2" xfId="47802" xr:uid="{00000000-0005-0000-0000-000035D80000}"/>
    <cellStyle name="Vírgula 9 5 3 4" xfId="15701" xr:uid="{00000000-0005-0000-0000-000036D80000}"/>
    <cellStyle name="Vírgula 9 5 3 4 2" xfId="41894" xr:uid="{00000000-0005-0000-0000-000037D80000}"/>
    <cellStyle name="Vírgula 9 5 3 5" xfId="35508" xr:uid="{00000000-0005-0000-0000-000038D80000}"/>
    <cellStyle name="Vírgula 9 5 4" xfId="24572" xr:uid="{00000000-0005-0000-0000-000039D80000}"/>
    <cellStyle name="Vírgula 9 5 4 2" xfId="50756" xr:uid="{00000000-0005-0000-0000-00003AD80000}"/>
    <cellStyle name="Vírgula 9 5 5" xfId="18658" xr:uid="{00000000-0005-0000-0000-00003BD80000}"/>
    <cellStyle name="Vírgula 9 5 5 2" xfId="44848" xr:uid="{00000000-0005-0000-0000-00003CD80000}"/>
    <cellStyle name="Vírgula 9 5 6" xfId="12360" xr:uid="{00000000-0005-0000-0000-00003DD80000}"/>
    <cellStyle name="Vírgula 9 5 6 2" xfId="38553" xr:uid="{00000000-0005-0000-0000-00003ED80000}"/>
    <cellStyle name="Vírgula 9 5 7" xfId="32168" xr:uid="{00000000-0005-0000-0000-00003FD80000}"/>
    <cellStyle name="Vírgula 9 6" xfId="6374" xr:uid="{00000000-0005-0000-0000-000040D80000}"/>
    <cellStyle name="Vírgula 9 6 2" xfId="9544" xr:uid="{00000000-0005-0000-0000-000041D80000}"/>
    <cellStyle name="Vírgula 9 6 2 2" xfId="27758" xr:uid="{00000000-0005-0000-0000-000042D80000}"/>
    <cellStyle name="Vírgula 9 6 2 2 2" xfId="53939" xr:uid="{00000000-0005-0000-0000-000043D80000}"/>
    <cellStyle name="Vírgula 9 6 2 3" xfId="21844" xr:uid="{00000000-0005-0000-0000-000044D80000}"/>
    <cellStyle name="Vírgula 9 6 2 3 2" xfId="48031" xr:uid="{00000000-0005-0000-0000-000045D80000}"/>
    <cellStyle name="Vírgula 9 6 2 4" xfId="15930" xr:uid="{00000000-0005-0000-0000-000046D80000}"/>
    <cellStyle name="Vírgula 9 6 2 4 2" xfId="42123" xr:uid="{00000000-0005-0000-0000-000047D80000}"/>
    <cellStyle name="Vírgula 9 6 2 5" xfId="35737" xr:uid="{00000000-0005-0000-0000-000048D80000}"/>
    <cellStyle name="Vírgula 9 6 3" xfId="24801" xr:uid="{00000000-0005-0000-0000-000049D80000}"/>
    <cellStyle name="Vírgula 9 6 3 2" xfId="50985" xr:uid="{00000000-0005-0000-0000-00004AD80000}"/>
    <cellStyle name="Vírgula 9 6 4" xfId="18887" xr:uid="{00000000-0005-0000-0000-00004BD80000}"/>
    <cellStyle name="Vírgula 9 6 4 2" xfId="45077" xr:uid="{00000000-0005-0000-0000-00004CD80000}"/>
    <cellStyle name="Vírgula 9 6 5" xfId="12763" xr:uid="{00000000-0005-0000-0000-00004DD80000}"/>
    <cellStyle name="Vírgula 9 6 5 2" xfId="38956" xr:uid="{00000000-0005-0000-0000-00004ED80000}"/>
    <cellStyle name="Vírgula 9 6 6" xfId="32570" xr:uid="{00000000-0005-0000-0000-00004FD80000}"/>
    <cellStyle name="Vírgula 9 7" xfId="8073" xr:uid="{00000000-0005-0000-0000-000050D80000}"/>
    <cellStyle name="Vírgula 9 7 2" xfId="26287" xr:uid="{00000000-0005-0000-0000-000051D80000}"/>
    <cellStyle name="Vírgula 9 7 2 2" xfId="52471" xr:uid="{00000000-0005-0000-0000-000052D80000}"/>
    <cellStyle name="Vírgula 9 7 3" xfId="20373" xr:uid="{00000000-0005-0000-0000-000053D80000}"/>
    <cellStyle name="Vírgula 9 7 3 2" xfId="46563" xr:uid="{00000000-0005-0000-0000-000054D80000}"/>
    <cellStyle name="Vírgula 9 7 4" xfId="14462" xr:uid="{00000000-0005-0000-0000-000055D80000}"/>
    <cellStyle name="Vírgula 9 7 4 2" xfId="40655" xr:uid="{00000000-0005-0000-0000-000056D80000}"/>
    <cellStyle name="Vírgula 9 7 5" xfId="34269" xr:uid="{00000000-0005-0000-0000-000057D80000}"/>
    <cellStyle name="Vírgula 9 8" xfId="4671" xr:uid="{00000000-0005-0000-0000-000058D80000}"/>
    <cellStyle name="Vírgula 9 8 2" xfId="23330" xr:uid="{00000000-0005-0000-0000-000059D80000}"/>
    <cellStyle name="Vírgula 9 8 2 2" xfId="49517" xr:uid="{00000000-0005-0000-0000-00005AD80000}"/>
    <cellStyle name="Vírgula 9 8 3" xfId="30871" xr:uid="{00000000-0005-0000-0000-00005BD80000}"/>
    <cellStyle name="Vírgula 9 9" xfId="17416" xr:uid="{00000000-0005-0000-0000-00005CD80000}"/>
    <cellStyle name="Vírgula 9 9 2" xfId="43609" xr:uid="{00000000-0005-0000-0000-00005DD80000}"/>
  </cellStyles>
  <dxfs count="317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499984740745262"/>
          <bgColor theme="8" tint="-0.499984740745262"/>
        </patternFill>
      </fill>
      <border diagonalUp="0" diagonalDown="0">
        <left/>
        <right/>
        <top/>
        <bottom/>
        <vertical/>
        <horizontal/>
      </border>
    </dxf>
    <dxf>
      <font>
        <color auto="1"/>
      </font>
      <fill>
        <patternFill patternType="solid">
          <fgColor theme="1"/>
          <bgColor theme="4" tint="0.39994506668294322"/>
        </patternFill>
      </fill>
      <border diagonalUp="0" diagonalDown="0">
        <left/>
        <right/>
        <top/>
        <bottom/>
        <vertical/>
        <horizontal/>
      </border>
    </dxf>
    <dxf>
      <font>
        <color auto="1"/>
      </font>
      <fill>
        <patternFill patternType="solid">
          <fgColor theme="8"/>
          <bgColor theme="8"/>
        </patternFill>
      </fill>
      <border diagonalUp="0" diagonalDown="0">
        <left/>
        <right/>
        <top/>
        <bottom/>
        <vertical/>
        <horizontal/>
      </border>
    </dxf>
  </dxfs>
  <tableStyles count="1" defaultTableStyle="TableStyleMedium2" defaultPivotStyle="PivotStyleLight16">
    <tableStyle name="TableStyleDark6 2" pivot="0" count="9" xr9:uid="{00000000-0011-0000-FFFF-FFFF00000000}">
      <tableStyleElement type="wholeTable" dxfId="3172"/>
      <tableStyleElement type="headerRow" dxfId="3171"/>
      <tableStyleElement type="totalRow" dxfId="3170"/>
      <tableStyleElement type="firstColumn" dxfId="3169"/>
      <tableStyleElement type="lastColumn" dxfId="3168"/>
      <tableStyleElement type="firstRowStripe" dxfId="3167"/>
      <tableStyleElement type="secondRowStripe" dxfId="3166"/>
      <tableStyleElement type="firstColumnStripe" dxfId="3165"/>
      <tableStyleElement type="secondColumnStripe" dxfId="316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customXml" Target="../ink/ink1.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19050</xdr:rowOff>
    </xdr:from>
    <xdr:to>
      <xdr:col>11</xdr:col>
      <xdr:colOff>209550</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1</xdr:row>
      <xdr:rowOff>95250</xdr:rowOff>
    </xdr:from>
    <xdr:to>
      <xdr:col>11</xdr:col>
      <xdr:colOff>219075</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9</xdr:col>
      <xdr:colOff>0</xdr:colOff>
      <xdr:row>0</xdr:row>
      <xdr:rowOff>19050</xdr:rowOff>
    </xdr:from>
    <xdr:ext cx="1221582" cy="366713"/>
    <xdr:sp macro="" textlink="">
      <xdr:nvSpPr>
        <xdr:cNvPr id="4" name="CommandButton1" hidden="1">
          <a:extLst>
            <a:ext uri="{63B3BB69-23CF-44E3-9099-C40C66FF867C}">
              <a14:compatExt xmlns:a14="http://schemas.microsoft.com/office/drawing/2010/main" spid="_x0000_s11266"/>
            </a:ext>
            <a:ext uri="{FF2B5EF4-FFF2-40B4-BE49-F238E27FC236}">
              <a16:creationId xmlns:a16="http://schemas.microsoft.com/office/drawing/2014/main" id="{35AF92E9-9EFF-4FA2-805B-EBB42B07E279}"/>
            </a:ext>
          </a:extLst>
        </xdr:cNvPr>
        <xdr:cNvSpPr/>
      </xdr:nvSpPr>
      <xdr:spPr bwMode="auto">
        <a:xfrm>
          <a:off x="17537906" y="19050"/>
          <a:ext cx="1221582" cy="36671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xdr:row>
      <xdr:rowOff>95250</xdr:rowOff>
    </xdr:from>
    <xdr:ext cx="1231107" cy="654843"/>
    <xdr:sp macro="" textlink="">
      <xdr:nvSpPr>
        <xdr:cNvPr id="5" name="CommandButton2" hidden="1">
          <a:extLst>
            <a:ext uri="{63B3BB69-23CF-44E3-9099-C40C66FF867C}">
              <a14:compatExt xmlns:a14="http://schemas.microsoft.com/office/drawing/2010/main" spid="_x0000_s11267"/>
            </a:ext>
            <a:ext uri="{FF2B5EF4-FFF2-40B4-BE49-F238E27FC236}">
              <a16:creationId xmlns:a16="http://schemas.microsoft.com/office/drawing/2014/main" id="{35AD99CE-9AAC-4DA6-8120-B19800A0FEAC}"/>
            </a:ext>
          </a:extLst>
        </xdr:cNvPr>
        <xdr:cNvSpPr/>
      </xdr:nvSpPr>
      <xdr:spPr bwMode="auto">
        <a:xfrm>
          <a:off x="16537781" y="404813"/>
          <a:ext cx="1231107" cy="65484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10</xdr:col>
      <xdr:colOff>791416</xdr:colOff>
      <xdr:row>4</xdr:row>
      <xdr:rowOff>300038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158003</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158003</xdr:colOff>
      <xdr:row>4</xdr:row>
      <xdr:rowOff>176213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2</xdr:row>
      <xdr:rowOff>102510</xdr:rowOff>
    </xdr:from>
    <xdr:to>
      <xdr:col>5</xdr:col>
      <xdr:colOff>38880</xdr:colOff>
      <xdr:row>2</xdr:row>
      <xdr:rowOff>148950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Tinta 3">
              <a:extLst>
                <a:ext uri="{FF2B5EF4-FFF2-40B4-BE49-F238E27FC236}">
                  <a16:creationId xmlns:a16="http://schemas.microsoft.com/office/drawing/2014/main" id="{00000000-0008-0000-0300-000004000000}"/>
                </a:ext>
              </a:extLst>
            </xdr14:cNvPr>
            <xdr14:cNvContentPartPr/>
          </xdr14:nvContentPartPr>
          <xdr14:nvPr macro=""/>
          <xdr14:xfrm>
            <a:off x="14865480" y="731160"/>
            <a:ext cx="38880" cy="46440"/>
          </xdr14:xfrm>
        </xdr:contentPart>
      </mc:Choice>
      <mc:Fallback xmlns="">
        <xdr:pic>
          <xdr:nvPicPr>
            <xdr:cNvPr id="4" name="Tinta 3">
              <a:extLst>
                <a:ext uri="{FF2B5EF4-FFF2-40B4-BE49-F238E27FC236}">
                  <a16:creationId xmlns:a16="http://schemas.microsoft.com/office/drawing/2014/main" id="{73259B8B-7EE3-7B25-E499-D7609CB9CB50}"/>
                </a:ext>
              </a:extLst>
            </xdr:cNvPr>
            <xdr:cNvPicPr/>
          </xdr:nvPicPr>
          <xdr:blipFill>
            <a:blip xmlns:r="http://schemas.openxmlformats.org/officeDocument/2006/relationships" r:embed="rId2"/>
            <a:stretch>
              <a:fillRect/>
            </a:stretch>
          </xdr:blipFill>
          <xdr:spPr>
            <a:xfrm>
              <a:off x="14856480" y="722520"/>
              <a:ext cx="56520" cy="6408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190500</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190500</xdr:colOff>
      <xdr:row>4</xdr:row>
      <xdr:rowOff>180975</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200025</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200025</xdr:colOff>
      <xdr:row>4</xdr:row>
      <xdr:rowOff>88900</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465021</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91DC6683\Materiais%20Fora%20de%20Planilha%202021-02%20Rev2%20-%20XR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_Documentos%20COPRE/Anexo%20A%20-%20ARP%202023%20R04%20-%20indica&#231;&#227;o%20de%20subcontrata&#231;&#227;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I"/>
      <sheetName val="BDI"/>
      <sheetName val="BASE II M"/>
      <sheetName val="Materiais_Fábio"/>
      <sheetName val="FERRA"/>
      <sheetName val="UNI EPI"/>
      <sheetName val="1"/>
      <sheetName val="2"/>
      <sheetName val="3"/>
      <sheetName val="4"/>
      <sheetName val="5"/>
      <sheetName val="6"/>
      <sheetName val="7"/>
      <sheetName val="8"/>
      <sheetName val="9"/>
      <sheetName val="10"/>
      <sheetName val="11"/>
      <sheetName val="12"/>
      <sheetName val="13"/>
      <sheetName val="14"/>
      <sheetName val="15"/>
      <sheetName val="16"/>
      <sheetName val="17"/>
      <sheetName val="Composição BDI"/>
      <sheetName val="Ressarcimento 3"/>
      <sheetName val="Ressarcimento 6"/>
      <sheetName val="Negados"/>
      <sheetName val="Fatores"/>
      <sheetName val="Codigos"/>
      <sheetName val="Materiais Comprados"/>
      <sheetName val="18"/>
      <sheetName val="19"/>
      <sheetName val="20"/>
      <sheetName val="21"/>
      <sheetName val="22"/>
      <sheetName val="ALUGUEL"/>
      <sheetName val="BDI Serviços"/>
      <sheetName val="Plan1"/>
      <sheetName val="FATOR K"/>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3">
          <cell r="B3">
            <v>0.14019999999999999</v>
          </cell>
          <cell r="D3">
            <v>0.73676980201258513</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ns ARP 2023"/>
      <sheetName val="BDI"/>
      <sheetName val="Levantamento_SEPROARQQQ"/>
      <sheetName val="Cálculo de Hh e Prazo"/>
      <sheetName val="SETORES"/>
    </sheetNames>
    <sheetDataSet>
      <sheetData sheetId="0" refreshError="1"/>
      <sheetData sheetId="1" refreshError="1"/>
      <sheetData sheetId="2" refreshError="1"/>
      <sheetData sheetId="3" refreshError="1"/>
      <sheetData sheetId="4">
        <row r="1">
          <cell r="A1" t="str">
            <v>Setor</v>
          </cell>
          <cell r="B1" t="str">
            <v>COEMANT</v>
          </cell>
          <cell r="C1" t="str">
            <v>SINFRA</v>
          </cell>
          <cell r="D1" t="str">
            <v>COOTELE</v>
          </cell>
          <cell r="E1" t="str">
            <v>PRODASEN</v>
          </cell>
        </row>
        <row r="2">
          <cell r="A2" t="str">
            <v>Subsetor</v>
          </cell>
        </row>
        <row r="20">
          <cell r="A20" t="str">
            <v>COEMANT</v>
          </cell>
        </row>
        <row r="21">
          <cell r="A21" t="str">
            <v>SINFRA</v>
          </cell>
        </row>
        <row r="22">
          <cell r="A22" t="str">
            <v>COOTELE</v>
          </cell>
        </row>
        <row r="23">
          <cell r="A23" t="str">
            <v>PRODASEN</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9-08T23:29:00.159"/>
    </inkml:context>
    <inkml:brush xml:id="br0">
      <inkml:brushProperty name="width" value="0.05" units="cm"/>
      <inkml:brushProperty name="height" value="0.05" units="cm"/>
    </inkml:brush>
  </inkml:definitions>
  <inkml:trace contextRef="#ctx0" brushRef="#br0">107 129 8442 0 0,'-13'-16'376'0'0,"-3"-1"-152"0"0,-3-6-240 0 0,5 8-32 0 0,2 1-16 0 0,3 0 0 0 0,3 6-24 0 0,-1-3-120 0 0,3 6-160 0 0,2 2-264 0 0,1 1-201 0 0,-1 4-135 0 0,0-1-40 0 0,4 6 104 0 0,0 4 208 0 0,-1 1 216 0 0,3 5 192 0 0,-1-1-1537 0 0</inkml:trace>
</inkm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2.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2.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2.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filterMode="1">
    <pageSetUpPr fitToPage="1"/>
  </sheetPr>
  <dimension ref="A1:K3283"/>
  <sheetViews>
    <sheetView tabSelected="1" zoomScale="80" zoomScaleNormal="80" zoomScaleSheetLayoutView="85" workbookViewId="0">
      <pane ySplit="5" topLeftCell="A6" activePane="bottomLeft" state="frozen"/>
      <selection pane="bottomLeft" activeCell="E3300" sqref="E3300"/>
    </sheetView>
  </sheetViews>
  <sheetFormatPr defaultRowHeight="15" x14ac:dyDescent="0.25"/>
  <cols>
    <col min="1" max="1" width="14.7109375" customWidth="1"/>
    <col min="2" max="2" width="97.7109375" style="4" customWidth="1"/>
    <col min="3" max="4" width="15.7109375" customWidth="1"/>
    <col min="5" max="6" width="20.7109375" customWidth="1"/>
    <col min="7" max="7" width="15.7109375" customWidth="1"/>
    <col min="8" max="9" width="20.7109375" customWidth="1"/>
    <col min="10" max="10" width="5.7109375" customWidth="1"/>
    <col min="11" max="11" width="15.140625" style="223" customWidth="1"/>
  </cols>
  <sheetData>
    <row r="1" spans="1:11" ht="24.95" customHeight="1" x14ac:dyDescent="0.25">
      <c r="A1" s="105" t="s">
        <v>8048</v>
      </c>
      <c r="B1" s="122"/>
      <c r="C1" s="105"/>
      <c r="D1" s="105"/>
      <c r="E1" s="105"/>
      <c r="F1" s="105"/>
      <c r="G1" s="105"/>
      <c r="H1" s="105"/>
      <c r="I1" s="105"/>
      <c r="J1" s="223"/>
    </row>
    <row r="2" spans="1:11" ht="24.95" customHeight="1" x14ac:dyDescent="0.25">
      <c r="A2" s="106" t="s">
        <v>1437</v>
      </c>
      <c r="B2" s="123"/>
      <c r="C2" s="106"/>
      <c r="D2" s="106"/>
      <c r="E2" s="106"/>
      <c r="F2" s="106"/>
      <c r="G2" s="106"/>
      <c r="H2" s="106"/>
      <c r="I2" s="106"/>
      <c r="J2" s="223"/>
    </row>
    <row r="3" spans="1:11" ht="20.100000000000001" customHeight="1" x14ac:dyDescent="0.25">
      <c r="A3" s="107" t="s">
        <v>8066</v>
      </c>
      <c r="B3" s="107"/>
      <c r="C3" s="107"/>
      <c r="D3" s="107"/>
      <c r="E3" s="107"/>
      <c r="F3" s="107"/>
      <c r="G3" s="107"/>
      <c r="H3" s="107"/>
      <c r="I3" s="107"/>
      <c r="J3" s="223"/>
    </row>
    <row r="4" spans="1:11" ht="18" customHeight="1" thickBot="1" x14ac:dyDescent="0.3">
      <c r="A4" s="108"/>
      <c r="B4" s="109"/>
      <c r="C4" s="110"/>
      <c r="D4" s="110"/>
      <c r="E4" s="111"/>
      <c r="F4" s="111"/>
      <c r="G4" s="109"/>
      <c r="H4" s="132"/>
      <c r="I4" s="132"/>
    </row>
    <row r="5" spans="1:11" s="161" customFormat="1" ht="45" customHeight="1" x14ac:dyDescent="0.25">
      <c r="A5" s="157" t="s">
        <v>1</v>
      </c>
      <c r="B5" s="158" t="s">
        <v>2</v>
      </c>
      <c r="C5" s="158" t="s">
        <v>4</v>
      </c>
      <c r="D5" s="159" t="s">
        <v>1438</v>
      </c>
      <c r="E5" s="160" t="s">
        <v>6</v>
      </c>
      <c r="F5" s="160" t="s">
        <v>3177</v>
      </c>
      <c r="G5" s="160" t="s">
        <v>1440</v>
      </c>
      <c r="H5" s="160" t="s">
        <v>1441</v>
      </c>
      <c r="I5" s="181" t="s">
        <v>3699</v>
      </c>
      <c r="K5" s="181" t="s">
        <v>8073</v>
      </c>
    </row>
    <row r="6" spans="1:11" s="161" customFormat="1" hidden="1" x14ac:dyDescent="0.25">
      <c r="A6" s="162" t="s">
        <v>10</v>
      </c>
      <c r="B6" s="163" t="s">
        <v>1442</v>
      </c>
      <c r="C6" s="164" t="s">
        <v>1443</v>
      </c>
      <c r="D6" s="164">
        <v>4500</v>
      </c>
      <c r="E6" s="133">
        <f ca="1">OFFSET(INDEX(Composições!A:J,MATCH(Orçamentária!A6,Composições!A:A,0),8),2,0)</f>
        <v>96.063999999999993</v>
      </c>
      <c r="F6" s="134">
        <f ca="1">IF(ISNUMBER(E6),D6*E6,"")</f>
        <v>432287.99999999994</v>
      </c>
      <c r="G6" s="135">
        <f>BDI!$B$17</f>
        <v>0.191</v>
      </c>
      <c r="H6" s="136">
        <f ca="1">IF(ISNUMBER(E6),ROUND(E6*(1+G6),2),"")</f>
        <v>114.41</v>
      </c>
      <c r="I6" s="182">
        <f ca="1">IF(ISNUMBER(E6),ROUND(H6*D6,2),"")</f>
        <v>514845</v>
      </c>
      <c r="J6" s="225"/>
      <c r="K6" s="224" t="s">
        <v>8074</v>
      </c>
    </row>
    <row r="7" spans="1:11" s="161" customFormat="1" hidden="1" x14ac:dyDescent="0.25">
      <c r="A7" s="162" t="s">
        <v>13</v>
      </c>
      <c r="B7" s="163" t="s">
        <v>1444</v>
      </c>
      <c r="C7" s="164" t="s">
        <v>1443</v>
      </c>
      <c r="D7" s="164">
        <v>9000</v>
      </c>
      <c r="E7" s="133">
        <f ca="1">OFFSET(INDEX(Composições!A:J,MATCH(Orçamentária!A7,Composições!A:A,0),8),2,0)</f>
        <v>41.495999999999995</v>
      </c>
      <c r="F7" s="134">
        <f t="shared" ref="F7:F70" ca="1" si="0">IF(ISNUMBER(E7),D7*E7,"")</f>
        <v>373463.99999999994</v>
      </c>
      <c r="G7" s="135">
        <f>BDI!$B$17</f>
        <v>0.191</v>
      </c>
      <c r="H7" s="136">
        <f t="shared" ref="H7:H70" ca="1" si="1">IF(ISNUMBER(E7),ROUND(E7*(1+G7),2),"")</f>
        <v>49.42</v>
      </c>
      <c r="I7" s="182">
        <f t="shared" ref="I7:I70" ca="1" si="2">IF(ISNUMBER(E7),ROUND(H7*D7,2),"")</f>
        <v>444780</v>
      </c>
      <c r="J7" s="226"/>
      <c r="K7" s="224" t="s">
        <v>8074</v>
      </c>
    </row>
    <row r="8" spans="1:11" hidden="1" x14ac:dyDescent="0.25">
      <c r="A8" s="112" t="s">
        <v>15</v>
      </c>
      <c r="B8" s="113" t="s">
        <v>1445</v>
      </c>
      <c r="C8" s="114" t="s">
        <v>20</v>
      </c>
      <c r="D8" s="114">
        <v>0</v>
      </c>
      <c r="E8" s="133">
        <f ca="1">OFFSET(INDEX(Composições!A:J,MATCH(Orçamentária!A8,Composições!A:A,0),8),2,0)</f>
        <v>1746.1759999999999</v>
      </c>
      <c r="F8" s="134">
        <f t="shared" ca="1" si="0"/>
        <v>0</v>
      </c>
      <c r="G8" s="135" t="e">
        <f>IF(A8&lt;&gt;"",IF(AND(#REF!="Padrão",$H$4=#REF!),BDI!$B$17,IF(AND(#REF!="Padrão",$H$4=#REF!),BDI!#REF!,IF(AND(#REF!="Diferenciado",$H$4=#REF!),BDI!$E$17,IF(AND(#REF!="Diferenciado",$H$4=#REF!),BDI!#REF!,IF(#REF!="ZERO",0))))),"")</f>
        <v>#REF!</v>
      </c>
      <c r="H8" s="136" t="e">
        <f t="shared" ca="1" si="1"/>
        <v>#REF!</v>
      </c>
      <c r="I8" s="134" t="e">
        <f t="shared" ca="1" si="2"/>
        <v>#REF!</v>
      </c>
      <c r="J8" s="226"/>
    </row>
    <row r="9" spans="1:11" s="161" customFormat="1" hidden="1" x14ac:dyDescent="0.25">
      <c r="A9" s="162" t="s">
        <v>17</v>
      </c>
      <c r="B9" s="163" t="s">
        <v>1446</v>
      </c>
      <c r="C9" s="164" t="s">
        <v>20</v>
      </c>
      <c r="D9" s="164">
        <v>10</v>
      </c>
      <c r="E9" s="133">
        <f ca="1">OFFSET(INDEX(Composições!A:J,MATCH(Orçamentária!A9,Composições!A:A,0),8),2,0)</f>
        <v>2423.12</v>
      </c>
      <c r="F9" s="134">
        <f t="shared" ca="1" si="0"/>
        <v>24231.199999999997</v>
      </c>
      <c r="G9" s="135">
        <f>BDI!$B$17</f>
        <v>0.191</v>
      </c>
      <c r="H9" s="136">
        <f t="shared" ca="1" si="1"/>
        <v>2885.94</v>
      </c>
      <c r="I9" s="182">
        <f t="shared" ca="1" si="2"/>
        <v>28859.4</v>
      </c>
      <c r="J9" s="226"/>
      <c r="K9" s="224" t="s">
        <v>8074</v>
      </c>
    </row>
    <row r="10" spans="1:11" s="161" customFormat="1" hidden="1" x14ac:dyDescent="0.25">
      <c r="A10" s="162" t="s">
        <v>21</v>
      </c>
      <c r="B10" s="163" t="s">
        <v>1447</v>
      </c>
      <c r="C10" s="164" t="s">
        <v>108</v>
      </c>
      <c r="D10" s="164">
        <v>95</v>
      </c>
      <c r="E10" s="133">
        <f ca="1">OFFSET(INDEX(Composições!A:J,MATCH(Orçamentária!A10,Composições!A:A,0),8),2,0)</f>
        <v>48.424228400000004</v>
      </c>
      <c r="F10" s="134">
        <f t="shared" ca="1" si="0"/>
        <v>4600.3016980000002</v>
      </c>
      <c r="G10" s="135">
        <f>BDI!$B$17</f>
        <v>0.191</v>
      </c>
      <c r="H10" s="136">
        <f t="shared" ca="1" si="1"/>
        <v>57.67</v>
      </c>
      <c r="I10" s="182">
        <f t="shared" ca="1" si="2"/>
        <v>5478.65</v>
      </c>
      <c r="J10" s="226"/>
      <c r="K10" s="224" t="s">
        <v>8074</v>
      </c>
    </row>
    <row r="11" spans="1:11" s="161" customFormat="1" hidden="1" x14ac:dyDescent="0.25">
      <c r="A11" s="162" t="s">
        <v>24</v>
      </c>
      <c r="B11" s="163" t="s">
        <v>1448</v>
      </c>
      <c r="C11" s="164" t="s">
        <v>108</v>
      </c>
      <c r="D11" s="164">
        <v>20</v>
      </c>
      <c r="E11" s="133">
        <f ca="1">OFFSET(INDEX(Composições!A:J,MATCH(Orçamentária!A11,Composições!A:A,0),8),2,0)</f>
        <v>271.82349999999997</v>
      </c>
      <c r="F11" s="134">
        <f t="shared" ca="1" si="0"/>
        <v>5436.4699999999993</v>
      </c>
      <c r="G11" s="135">
        <f>BDI!$B$17</f>
        <v>0.191</v>
      </c>
      <c r="H11" s="136">
        <f t="shared" ca="1" si="1"/>
        <v>323.74</v>
      </c>
      <c r="I11" s="182">
        <f t="shared" ca="1" si="2"/>
        <v>6474.8</v>
      </c>
      <c r="J11" s="226"/>
      <c r="K11" s="224" t="s">
        <v>8074</v>
      </c>
    </row>
    <row r="12" spans="1:11" s="161" customFormat="1" hidden="1" x14ac:dyDescent="0.25">
      <c r="A12" s="162" t="s">
        <v>25</v>
      </c>
      <c r="B12" s="163" t="s">
        <v>1449</v>
      </c>
      <c r="C12" s="164" t="s">
        <v>94</v>
      </c>
      <c r="D12" s="164">
        <v>320</v>
      </c>
      <c r="E12" s="133">
        <f ca="1">OFFSET(INDEX(Composições!A:J,MATCH(Orçamentária!A12,Composições!A:A,0),8),2,0)</f>
        <v>16.727600000000002</v>
      </c>
      <c r="F12" s="134">
        <f t="shared" ca="1" si="0"/>
        <v>5352.8320000000003</v>
      </c>
      <c r="G12" s="135">
        <f>BDI!$B$17</f>
        <v>0.191</v>
      </c>
      <c r="H12" s="136">
        <f t="shared" ca="1" si="1"/>
        <v>19.920000000000002</v>
      </c>
      <c r="I12" s="182">
        <f t="shared" ca="1" si="2"/>
        <v>6374.4</v>
      </c>
      <c r="J12" s="226"/>
      <c r="K12" s="224" t="s">
        <v>8074</v>
      </c>
    </row>
    <row r="13" spans="1:11" s="161" customFormat="1" hidden="1" x14ac:dyDescent="0.25">
      <c r="A13" s="162" t="s">
        <v>26</v>
      </c>
      <c r="B13" s="163" t="s">
        <v>1450</v>
      </c>
      <c r="C13" s="164" t="s">
        <v>94</v>
      </c>
      <c r="D13" s="164">
        <v>160</v>
      </c>
      <c r="E13" s="133">
        <f ca="1">OFFSET(INDEX(Composições!A:J,MATCH(Orçamentária!A13,Composições!A:A,0),8),2,0)</f>
        <v>6.5356475500000002</v>
      </c>
      <c r="F13" s="134">
        <f t="shared" ca="1" si="0"/>
        <v>1045.703608</v>
      </c>
      <c r="G13" s="135">
        <f>BDI!$B$17</f>
        <v>0.191</v>
      </c>
      <c r="H13" s="136">
        <f t="shared" ca="1" si="1"/>
        <v>7.78</v>
      </c>
      <c r="I13" s="182">
        <f t="shared" ca="1" si="2"/>
        <v>1244.8</v>
      </c>
      <c r="J13" s="226"/>
      <c r="K13" s="224" t="s">
        <v>8074</v>
      </c>
    </row>
    <row r="14" spans="1:11" s="161" customFormat="1" hidden="1" x14ac:dyDescent="0.25">
      <c r="A14" s="162" t="s">
        <v>28</v>
      </c>
      <c r="B14" s="163" t="s">
        <v>6243</v>
      </c>
      <c r="C14" s="164" t="s">
        <v>94</v>
      </c>
      <c r="D14" s="164">
        <v>2400</v>
      </c>
      <c r="E14" s="133">
        <f ca="1">OFFSET(INDEX(Composições!A:J,MATCH(Orçamentária!A14,Composições!A:A,0),8),2,0)</f>
        <v>1.4224036500000001</v>
      </c>
      <c r="F14" s="134">
        <f t="shared" ca="1" si="0"/>
        <v>3413.7687600000004</v>
      </c>
      <c r="G14" s="135">
        <f>BDI!$B$17</f>
        <v>0.191</v>
      </c>
      <c r="H14" s="136">
        <f t="shared" ca="1" si="1"/>
        <v>1.69</v>
      </c>
      <c r="I14" s="182">
        <f t="shared" ca="1" si="2"/>
        <v>4056</v>
      </c>
      <c r="J14" s="226"/>
      <c r="K14" s="224" t="s">
        <v>8074</v>
      </c>
    </row>
    <row r="15" spans="1:11" s="161" customFormat="1" hidden="1" x14ac:dyDescent="0.25">
      <c r="A15" s="162" t="s">
        <v>29</v>
      </c>
      <c r="B15" s="163" t="s">
        <v>1451</v>
      </c>
      <c r="C15" s="164" t="s">
        <v>92</v>
      </c>
      <c r="D15" s="164">
        <v>3000</v>
      </c>
      <c r="E15" s="133">
        <f ca="1">OFFSET(INDEX(Composições!A:J,MATCH(Orçamentária!A15,Composições!A:A,0),8),2,0)</f>
        <v>2.9385589999999997</v>
      </c>
      <c r="F15" s="134">
        <f t="shared" ca="1" si="0"/>
        <v>8815.6769999999997</v>
      </c>
      <c r="G15" s="135">
        <f>BDI!$B$17</f>
        <v>0.191</v>
      </c>
      <c r="H15" s="136">
        <f t="shared" ca="1" si="1"/>
        <v>3.5</v>
      </c>
      <c r="I15" s="182">
        <f t="shared" ca="1" si="2"/>
        <v>10500</v>
      </c>
      <c r="J15" s="226"/>
      <c r="K15" s="224" t="s">
        <v>8074</v>
      </c>
    </row>
    <row r="16" spans="1:11" s="161" customFormat="1" hidden="1" x14ac:dyDescent="0.25">
      <c r="A16" s="162" t="s">
        <v>31</v>
      </c>
      <c r="B16" s="163" t="s">
        <v>1452</v>
      </c>
      <c r="C16" s="164" t="s">
        <v>94</v>
      </c>
      <c r="D16" s="164">
        <v>680</v>
      </c>
      <c r="E16" s="133">
        <f ca="1">OFFSET(INDEX(Composições!A:J,MATCH(Orçamentária!A16,Composições!A:A,0),8),2,0)</f>
        <v>10.630728000000001</v>
      </c>
      <c r="F16" s="134">
        <f t="shared" ca="1" si="0"/>
        <v>7228.8950400000012</v>
      </c>
      <c r="G16" s="135">
        <f>BDI!$B$17</f>
        <v>0.191</v>
      </c>
      <c r="H16" s="136">
        <f t="shared" ca="1" si="1"/>
        <v>12.66</v>
      </c>
      <c r="I16" s="182">
        <f t="shared" ca="1" si="2"/>
        <v>8608.7999999999993</v>
      </c>
      <c r="J16" s="226"/>
      <c r="K16" s="224" t="s">
        <v>8074</v>
      </c>
    </row>
    <row r="17" spans="1:11" s="161" customFormat="1" hidden="1" x14ac:dyDescent="0.25">
      <c r="A17" s="162" t="s">
        <v>37</v>
      </c>
      <c r="B17" s="163" t="s">
        <v>1453</v>
      </c>
      <c r="C17" s="164" t="s">
        <v>94</v>
      </c>
      <c r="D17" s="164">
        <v>750</v>
      </c>
      <c r="E17" s="133">
        <f ca="1">OFFSET(INDEX(Composições!A:J,MATCH(Orçamentária!A17,Composições!A:A,0),8),2,0)</f>
        <v>2.8705646499999999</v>
      </c>
      <c r="F17" s="134">
        <f t="shared" ca="1" si="0"/>
        <v>2152.9234874999997</v>
      </c>
      <c r="G17" s="135">
        <f>BDI!$B$17</f>
        <v>0.191</v>
      </c>
      <c r="H17" s="136">
        <f t="shared" ca="1" si="1"/>
        <v>3.42</v>
      </c>
      <c r="I17" s="182">
        <f t="shared" ca="1" si="2"/>
        <v>2565</v>
      </c>
      <c r="J17" s="226"/>
      <c r="K17" s="224" t="s">
        <v>8074</v>
      </c>
    </row>
    <row r="18" spans="1:11" s="161" customFormat="1" hidden="1" x14ac:dyDescent="0.25">
      <c r="A18" s="162" t="s">
        <v>38</v>
      </c>
      <c r="B18" s="163" t="s">
        <v>1454</v>
      </c>
      <c r="C18" s="164" t="s">
        <v>92</v>
      </c>
      <c r="D18" s="164">
        <v>100</v>
      </c>
      <c r="E18" s="133">
        <f ca="1">OFFSET(INDEX(Composições!A:J,MATCH(Orçamentária!A18,Composições!A:A,0),8),2,0)</f>
        <v>0.43042410000000003</v>
      </c>
      <c r="F18" s="134">
        <f t="shared" ca="1" si="0"/>
        <v>43.042410000000004</v>
      </c>
      <c r="G18" s="135">
        <f>BDI!$B$17</f>
        <v>0.191</v>
      </c>
      <c r="H18" s="136">
        <f t="shared" ca="1" si="1"/>
        <v>0.51</v>
      </c>
      <c r="I18" s="182">
        <f t="shared" ca="1" si="2"/>
        <v>51</v>
      </c>
      <c r="J18" s="226"/>
      <c r="K18" s="224" t="s">
        <v>8074</v>
      </c>
    </row>
    <row r="19" spans="1:11" s="161" customFormat="1" hidden="1" x14ac:dyDescent="0.25">
      <c r="A19" s="162" t="s">
        <v>40</v>
      </c>
      <c r="B19" s="163" t="s">
        <v>1455</v>
      </c>
      <c r="C19" s="164" t="s">
        <v>108</v>
      </c>
      <c r="D19" s="164">
        <v>10</v>
      </c>
      <c r="E19" s="133">
        <f ca="1">OFFSET(INDEX(Composições!A:J,MATCH(Orçamentária!A19,Composições!A:A,0),8),2,0)</f>
        <v>247.65297870000001</v>
      </c>
      <c r="F19" s="134">
        <f t="shared" ca="1" si="0"/>
        <v>2476.5297869999999</v>
      </c>
      <c r="G19" s="135">
        <f>BDI!$B$17</f>
        <v>0.191</v>
      </c>
      <c r="H19" s="136">
        <f t="shared" ca="1" si="1"/>
        <v>294.95</v>
      </c>
      <c r="I19" s="182">
        <f t="shared" ca="1" si="2"/>
        <v>2949.5</v>
      </c>
      <c r="J19" s="226"/>
      <c r="K19" s="224" t="s">
        <v>8074</v>
      </c>
    </row>
    <row r="20" spans="1:11" s="161" customFormat="1" hidden="1" x14ac:dyDescent="0.25">
      <c r="A20" s="162" t="s">
        <v>1456</v>
      </c>
      <c r="B20" s="163" t="s">
        <v>1457</v>
      </c>
      <c r="C20" s="164" t="s">
        <v>20</v>
      </c>
      <c r="D20" s="164">
        <v>85</v>
      </c>
      <c r="E20" s="133">
        <v>342.17</v>
      </c>
      <c r="F20" s="134">
        <f t="shared" si="0"/>
        <v>29084.45</v>
      </c>
      <c r="G20" s="135">
        <f>BDI!$E$17</f>
        <v>0.11260000000000001</v>
      </c>
      <c r="H20" s="136">
        <f t="shared" si="1"/>
        <v>380.7</v>
      </c>
      <c r="I20" s="182">
        <f t="shared" si="2"/>
        <v>32359.5</v>
      </c>
      <c r="J20" s="226"/>
      <c r="K20" s="224" t="s">
        <v>8074</v>
      </c>
    </row>
    <row r="21" spans="1:11" s="161" customFormat="1" hidden="1" x14ac:dyDescent="0.25">
      <c r="A21" s="162" t="s">
        <v>43</v>
      </c>
      <c r="B21" s="163" t="s">
        <v>1458</v>
      </c>
      <c r="C21" s="164" t="s">
        <v>94</v>
      </c>
      <c r="D21" s="164">
        <v>220</v>
      </c>
      <c r="E21" s="133">
        <f ca="1">OFFSET(INDEX(Composições!A:J,MATCH(Orçamentária!A21,Composições!A:A,0),8),2,0)</f>
        <v>14.713124999999998</v>
      </c>
      <c r="F21" s="134">
        <f t="shared" ca="1" si="0"/>
        <v>3236.8874999999994</v>
      </c>
      <c r="G21" s="135">
        <f>BDI!$B$17</f>
        <v>0.191</v>
      </c>
      <c r="H21" s="136">
        <f t="shared" ca="1" si="1"/>
        <v>17.52</v>
      </c>
      <c r="I21" s="182">
        <f t="shared" ca="1" si="2"/>
        <v>3854.4</v>
      </c>
      <c r="J21" s="226"/>
      <c r="K21" s="224" t="s">
        <v>8074</v>
      </c>
    </row>
    <row r="22" spans="1:11" s="161" customFormat="1" hidden="1" x14ac:dyDescent="0.25">
      <c r="A22" s="162" t="s">
        <v>45</v>
      </c>
      <c r="B22" s="163" t="s">
        <v>1459</v>
      </c>
      <c r="C22" s="164" t="s">
        <v>94</v>
      </c>
      <c r="D22" s="164">
        <v>40</v>
      </c>
      <c r="E22" s="133">
        <f ca="1">OFFSET(INDEX(Composições!A:J,MATCH(Orçamentária!A22,Composições!A:A,0),8),2,0)</f>
        <v>22.154</v>
      </c>
      <c r="F22" s="134">
        <f t="shared" ca="1" si="0"/>
        <v>886.16</v>
      </c>
      <c r="G22" s="135">
        <f>BDI!$B$17</f>
        <v>0.191</v>
      </c>
      <c r="H22" s="136">
        <f t="shared" ca="1" si="1"/>
        <v>26.39</v>
      </c>
      <c r="I22" s="182">
        <f t="shared" ca="1" si="2"/>
        <v>1055.5999999999999</v>
      </c>
      <c r="J22" s="226"/>
      <c r="K22" s="224" t="s">
        <v>8074</v>
      </c>
    </row>
    <row r="23" spans="1:11" s="161" customFormat="1" hidden="1" x14ac:dyDescent="0.25">
      <c r="A23" s="162" t="s">
        <v>46</v>
      </c>
      <c r="B23" s="163" t="s">
        <v>1460</v>
      </c>
      <c r="C23" s="164" t="s">
        <v>20</v>
      </c>
      <c r="D23" s="164">
        <v>45</v>
      </c>
      <c r="E23" s="133">
        <f ca="1">OFFSET(INDEX(Composições!A:J,MATCH(Orçamentária!A23,Composições!A:A,0),8),2,0)</f>
        <v>8.3638000000000012</v>
      </c>
      <c r="F23" s="134">
        <f t="shared" ca="1" si="0"/>
        <v>376.37100000000004</v>
      </c>
      <c r="G23" s="135">
        <f>BDI!$B$17</f>
        <v>0.191</v>
      </c>
      <c r="H23" s="136">
        <f t="shared" ca="1" si="1"/>
        <v>9.9600000000000009</v>
      </c>
      <c r="I23" s="182">
        <f t="shared" ca="1" si="2"/>
        <v>448.2</v>
      </c>
      <c r="J23" s="226"/>
      <c r="K23" s="224" t="s">
        <v>8074</v>
      </c>
    </row>
    <row r="24" spans="1:11" s="161" customFormat="1" hidden="1" x14ac:dyDescent="0.25">
      <c r="A24" s="162" t="s">
        <v>47</v>
      </c>
      <c r="B24" s="163" t="s">
        <v>1461</v>
      </c>
      <c r="C24" s="164" t="s">
        <v>92</v>
      </c>
      <c r="D24" s="164">
        <v>150</v>
      </c>
      <c r="E24" s="133">
        <f ca="1">OFFSET(INDEX(Composições!A:J,MATCH(Orçamentária!A24,Composições!A:A,0),8),2,0)</f>
        <v>4.6490625000000003</v>
      </c>
      <c r="F24" s="134">
        <f t="shared" ca="1" si="0"/>
        <v>697.359375</v>
      </c>
      <c r="G24" s="135">
        <f>BDI!$B$17</f>
        <v>0.191</v>
      </c>
      <c r="H24" s="136">
        <f t="shared" ca="1" si="1"/>
        <v>5.54</v>
      </c>
      <c r="I24" s="182">
        <f t="shared" ca="1" si="2"/>
        <v>831</v>
      </c>
      <c r="J24" s="226"/>
      <c r="K24" s="224" t="s">
        <v>8074</v>
      </c>
    </row>
    <row r="25" spans="1:11" s="161" customFormat="1" hidden="1" x14ac:dyDescent="0.25">
      <c r="A25" s="162" t="s">
        <v>48</v>
      </c>
      <c r="B25" s="163" t="s">
        <v>1462</v>
      </c>
      <c r="C25" s="164" t="s">
        <v>94</v>
      </c>
      <c r="D25" s="164">
        <v>225</v>
      </c>
      <c r="E25" s="133">
        <f ca="1">OFFSET(INDEX(Composições!A:J,MATCH(Orçamentária!A25,Composições!A:A,0),8),2,0)</f>
        <v>2.0909500000000003</v>
      </c>
      <c r="F25" s="134">
        <f t="shared" ca="1" si="0"/>
        <v>470.46375000000006</v>
      </c>
      <c r="G25" s="135">
        <f>BDI!$B$17</f>
        <v>0.191</v>
      </c>
      <c r="H25" s="136">
        <f t="shared" ca="1" si="1"/>
        <v>2.4900000000000002</v>
      </c>
      <c r="I25" s="182">
        <f t="shared" ca="1" si="2"/>
        <v>560.25</v>
      </c>
      <c r="J25" s="226"/>
      <c r="K25" s="224" t="s">
        <v>8074</v>
      </c>
    </row>
    <row r="26" spans="1:11" s="161" customFormat="1" hidden="1" x14ac:dyDescent="0.25">
      <c r="A26" s="162" t="s">
        <v>49</v>
      </c>
      <c r="B26" s="163" t="s">
        <v>1463</v>
      </c>
      <c r="C26" s="164" t="s">
        <v>92</v>
      </c>
      <c r="D26" s="164">
        <v>40</v>
      </c>
      <c r="E26" s="133">
        <f ca="1">OFFSET(INDEX(Composições!A:J,MATCH(Orçamentária!A26,Composições!A:A,0),8),2,0)</f>
        <v>3.2464824999999995</v>
      </c>
      <c r="F26" s="134">
        <f t="shared" ca="1" si="0"/>
        <v>129.85929999999999</v>
      </c>
      <c r="G26" s="135">
        <f>BDI!$B$17</f>
        <v>0.191</v>
      </c>
      <c r="H26" s="136">
        <f t="shared" ca="1" si="1"/>
        <v>3.87</v>
      </c>
      <c r="I26" s="182">
        <f t="shared" ca="1" si="2"/>
        <v>154.80000000000001</v>
      </c>
      <c r="J26" s="226"/>
      <c r="K26" s="224" t="s">
        <v>8074</v>
      </c>
    </row>
    <row r="27" spans="1:11" s="161" customFormat="1" hidden="1" x14ac:dyDescent="0.25">
      <c r="A27" s="162" t="s">
        <v>51</v>
      </c>
      <c r="B27" s="163" t="s">
        <v>1464</v>
      </c>
      <c r="C27" s="164" t="s">
        <v>20</v>
      </c>
      <c r="D27" s="164">
        <v>100</v>
      </c>
      <c r="E27" s="133">
        <f ca="1">OFFSET(INDEX(Composições!A:J,MATCH(Orçamentária!A27,Composições!A:A,0),8),2,0)</f>
        <v>23.763300000000001</v>
      </c>
      <c r="F27" s="134">
        <f t="shared" ca="1" si="0"/>
        <v>2376.33</v>
      </c>
      <c r="G27" s="135">
        <f>BDI!$B$17</f>
        <v>0.191</v>
      </c>
      <c r="H27" s="136">
        <f t="shared" ca="1" si="1"/>
        <v>28.3</v>
      </c>
      <c r="I27" s="182">
        <f t="shared" ca="1" si="2"/>
        <v>2830</v>
      </c>
      <c r="J27" s="226"/>
      <c r="K27" s="224" t="s">
        <v>8074</v>
      </c>
    </row>
    <row r="28" spans="1:11" s="161" customFormat="1" hidden="1" x14ac:dyDescent="0.25">
      <c r="A28" s="162" t="s">
        <v>53</v>
      </c>
      <c r="B28" s="163" t="s">
        <v>1465</v>
      </c>
      <c r="C28" s="164" t="s">
        <v>94</v>
      </c>
      <c r="D28" s="164">
        <v>40</v>
      </c>
      <c r="E28" s="133">
        <f ca="1">OFFSET(INDEX(Composições!A:J,MATCH(Orçamentária!A28,Composições!A:A,0),8),2,0)</f>
        <v>36.9816</v>
      </c>
      <c r="F28" s="134">
        <f t="shared" ca="1" si="0"/>
        <v>1479.2640000000001</v>
      </c>
      <c r="G28" s="135">
        <f>BDI!$B$17</f>
        <v>0.191</v>
      </c>
      <c r="H28" s="136">
        <f t="shared" ca="1" si="1"/>
        <v>44.05</v>
      </c>
      <c r="I28" s="182">
        <f t="shared" ca="1" si="2"/>
        <v>1762</v>
      </c>
      <c r="J28" s="226"/>
      <c r="K28" s="224" t="s">
        <v>8074</v>
      </c>
    </row>
    <row r="29" spans="1:11" s="161" customFormat="1" hidden="1" x14ac:dyDescent="0.25">
      <c r="A29" s="162" t="s">
        <v>55</v>
      </c>
      <c r="B29" s="163" t="s">
        <v>1466</v>
      </c>
      <c r="C29" s="164" t="s">
        <v>94</v>
      </c>
      <c r="D29" s="164">
        <v>1100</v>
      </c>
      <c r="E29" s="133">
        <f ca="1">OFFSET(INDEX(Composições!A:J,MATCH(Orçamentária!A29,Composições!A:A,0),8),2,0)</f>
        <v>6.5356475500000002</v>
      </c>
      <c r="F29" s="134">
        <f t="shared" ca="1" si="0"/>
        <v>7189.212305</v>
      </c>
      <c r="G29" s="135">
        <f>BDI!$B$17</f>
        <v>0.191</v>
      </c>
      <c r="H29" s="136">
        <f t="shared" ca="1" si="1"/>
        <v>7.78</v>
      </c>
      <c r="I29" s="182">
        <f t="shared" ca="1" si="2"/>
        <v>8558</v>
      </c>
      <c r="J29" s="226"/>
      <c r="K29" s="224" t="s">
        <v>8074</v>
      </c>
    </row>
    <row r="30" spans="1:11" s="161" customFormat="1" hidden="1" x14ac:dyDescent="0.25">
      <c r="A30" s="162" t="s">
        <v>56</v>
      </c>
      <c r="B30" s="163" t="s">
        <v>1467</v>
      </c>
      <c r="C30" s="164" t="s">
        <v>92</v>
      </c>
      <c r="D30" s="164">
        <v>1000</v>
      </c>
      <c r="E30" s="133">
        <f ca="1">OFFSET(INDEX(Composições!A:J,MATCH(Orçamentária!A30,Composições!A:A,0),8),2,0)</f>
        <v>9.7788249999999994</v>
      </c>
      <c r="F30" s="134">
        <f t="shared" ca="1" si="0"/>
        <v>9778.8249999999989</v>
      </c>
      <c r="G30" s="135">
        <f>BDI!$B$17</f>
        <v>0.191</v>
      </c>
      <c r="H30" s="136">
        <f t="shared" ca="1" si="1"/>
        <v>11.65</v>
      </c>
      <c r="I30" s="182">
        <f t="shared" ca="1" si="2"/>
        <v>11650</v>
      </c>
      <c r="J30" s="226"/>
      <c r="K30" s="224" t="s">
        <v>8074</v>
      </c>
    </row>
    <row r="31" spans="1:11" s="161" customFormat="1" hidden="1" x14ac:dyDescent="0.25">
      <c r="A31" s="162" t="s">
        <v>57</v>
      </c>
      <c r="B31" s="163" t="s">
        <v>1468</v>
      </c>
      <c r="C31" s="164" t="s">
        <v>94</v>
      </c>
      <c r="D31" s="164">
        <v>65</v>
      </c>
      <c r="E31" s="133">
        <f ca="1">OFFSET(INDEX(Composições!A:J,MATCH(Orçamentária!A31,Composições!A:A,0),8),2,0)</f>
        <v>10.454750000000001</v>
      </c>
      <c r="F31" s="134">
        <f t="shared" ca="1" si="0"/>
        <v>679.55875000000003</v>
      </c>
      <c r="G31" s="135">
        <f>BDI!$B$17</f>
        <v>0.191</v>
      </c>
      <c r="H31" s="136">
        <f t="shared" ca="1" si="1"/>
        <v>12.45</v>
      </c>
      <c r="I31" s="182">
        <f t="shared" ca="1" si="2"/>
        <v>809.25</v>
      </c>
      <c r="J31" s="226"/>
      <c r="K31" s="224" t="s">
        <v>8074</v>
      </c>
    </row>
    <row r="32" spans="1:11" s="161" customFormat="1" hidden="1" x14ac:dyDescent="0.25">
      <c r="A32" s="162" t="s">
        <v>58</v>
      </c>
      <c r="B32" s="163" t="s">
        <v>1469</v>
      </c>
      <c r="C32" s="164" t="s">
        <v>20</v>
      </c>
      <c r="D32" s="164">
        <v>15</v>
      </c>
      <c r="E32" s="133">
        <f ca="1">OFFSET(INDEX(Composições!A:J,MATCH(Orçamentária!A32,Composições!A:A,0),8),2,0)</f>
        <v>7.5439499999999988</v>
      </c>
      <c r="F32" s="134">
        <f t="shared" ca="1" si="0"/>
        <v>113.15924999999999</v>
      </c>
      <c r="G32" s="135">
        <f>BDI!$B$17</f>
        <v>0.191</v>
      </c>
      <c r="H32" s="136">
        <f t="shared" ca="1" si="1"/>
        <v>8.98</v>
      </c>
      <c r="I32" s="182">
        <f t="shared" ca="1" si="2"/>
        <v>134.69999999999999</v>
      </c>
      <c r="J32" s="226"/>
      <c r="K32" s="224" t="s">
        <v>8074</v>
      </c>
    </row>
    <row r="33" spans="1:11" s="161" customFormat="1" hidden="1" x14ac:dyDescent="0.25">
      <c r="A33" s="162" t="s">
        <v>59</v>
      </c>
      <c r="B33" s="163" t="s">
        <v>1470</v>
      </c>
      <c r="C33" s="164" t="s">
        <v>20</v>
      </c>
      <c r="D33" s="164">
        <v>85</v>
      </c>
      <c r="E33" s="133">
        <f ca="1">OFFSET(INDEX(Composições!A:J,MATCH(Orçamentária!A33,Composições!A:A,0),8),2,0)</f>
        <v>5.9042499999999993</v>
      </c>
      <c r="F33" s="134">
        <f t="shared" ca="1" si="0"/>
        <v>501.86124999999993</v>
      </c>
      <c r="G33" s="135">
        <f>BDI!$B$17</f>
        <v>0.191</v>
      </c>
      <c r="H33" s="136">
        <f t="shared" ca="1" si="1"/>
        <v>7.03</v>
      </c>
      <c r="I33" s="182">
        <f t="shared" ca="1" si="2"/>
        <v>597.54999999999995</v>
      </c>
      <c r="J33" s="226"/>
      <c r="K33" s="224" t="s">
        <v>8074</v>
      </c>
    </row>
    <row r="34" spans="1:11" s="161" customFormat="1" hidden="1" x14ac:dyDescent="0.25">
      <c r="A34" s="162" t="s">
        <v>60</v>
      </c>
      <c r="B34" s="163" t="s">
        <v>6244</v>
      </c>
      <c r="C34" s="164" t="s">
        <v>20</v>
      </c>
      <c r="D34" s="164">
        <v>75</v>
      </c>
      <c r="E34" s="133">
        <f ca="1">OFFSET(INDEX(Composições!A:J,MATCH(Orçamentária!A34,Composições!A:A,0),8),2,0)</f>
        <v>8.0292081</v>
      </c>
      <c r="F34" s="134">
        <f t="shared" ca="1" si="0"/>
        <v>602.19060749999994</v>
      </c>
      <c r="G34" s="135">
        <f>BDI!$B$17</f>
        <v>0.191</v>
      </c>
      <c r="H34" s="136">
        <f t="shared" ca="1" si="1"/>
        <v>9.56</v>
      </c>
      <c r="I34" s="182">
        <f t="shared" ca="1" si="2"/>
        <v>717</v>
      </c>
      <c r="J34" s="226"/>
      <c r="K34" s="224" t="s">
        <v>8074</v>
      </c>
    </row>
    <row r="35" spans="1:11" s="161" customFormat="1" hidden="1" x14ac:dyDescent="0.25">
      <c r="A35" s="162" t="s">
        <v>61</v>
      </c>
      <c r="B35" s="163" t="s">
        <v>1471</v>
      </c>
      <c r="C35" s="164" t="s">
        <v>94</v>
      </c>
      <c r="D35" s="164">
        <v>850</v>
      </c>
      <c r="E35" s="133">
        <f ca="1">OFFSET(INDEX(Composições!A:J,MATCH(Orçamentária!A35,Composições!A:A,0),8),2,0)</f>
        <v>18.818549999999998</v>
      </c>
      <c r="F35" s="134">
        <f t="shared" ca="1" si="0"/>
        <v>15995.767499999998</v>
      </c>
      <c r="G35" s="135">
        <f>BDI!$B$17</f>
        <v>0.191</v>
      </c>
      <c r="H35" s="136">
        <f t="shared" ca="1" si="1"/>
        <v>22.41</v>
      </c>
      <c r="I35" s="182">
        <f t="shared" ca="1" si="2"/>
        <v>19048.5</v>
      </c>
      <c r="J35" s="226"/>
      <c r="K35" s="224" t="s">
        <v>8074</v>
      </c>
    </row>
    <row r="36" spans="1:11" s="161" customFormat="1" hidden="1" x14ac:dyDescent="0.25">
      <c r="A36" s="162" t="s">
        <v>62</v>
      </c>
      <c r="B36" s="163" t="s">
        <v>1472</v>
      </c>
      <c r="C36" s="164" t="s">
        <v>20</v>
      </c>
      <c r="D36" s="164">
        <v>75</v>
      </c>
      <c r="E36" s="133">
        <f ca="1">OFFSET(INDEX(Composições!A:J,MATCH(Orçamentária!A36,Composições!A:A,0),8),2,0)</f>
        <v>10.6162139</v>
      </c>
      <c r="F36" s="134">
        <f t="shared" ca="1" si="0"/>
        <v>796.21604249999996</v>
      </c>
      <c r="G36" s="135">
        <f>BDI!$B$17</f>
        <v>0.191</v>
      </c>
      <c r="H36" s="136">
        <f t="shared" ca="1" si="1"/>
        <v>12.64</v>
      </c>
      <c r="I36" s="182">
        <f t="shared" ca="1" si="2"/>
        <v>948</v>
      </c>
      <c r="J36" s="226"/>
      <c r="K36" s="224" t="s">
        <v>8074</v>
      </c>
    </row>
    <row r="37" spans="1:11" s="161" customFormat="1" hidden="1" x14ac:dyDescent="0.25">
      <c r="A37" s="162" t="s">
        <v>63</v>
      </c>
      <c r="B37" s="163" t="s">
        <v>1473</v>
      </c>
      <c r="C37" s="164" t="s">
        <v>20</v>
      </c>
      <c r="D37" s="164">
        <v>450</v>
      </c>
      <c r="E37" s="133">
        <f ca="1">OFFSET(INDEX(Composições!A:J,MATCH(Orçamentária!A37,Composições!A:A,0),8),2,0)</f>
        <v>5.6073844999999993</v>
      </c>
      <c r="F37" s="134">
        <f t="shared" ca="1" si="0"/>
        <v>2523.3230249999997</v>
      </c>
      <c r="G37" s="135">
        <f>BDI!$B$17</f>
        <v>0.191</v>
      </c>
      <c r="H37" s="136">
        <f t="shared" ca="1" si="1"/>
        <v>6.68</v>
      </c>
      <c r="I37" s="182">
        <f t="shared" ca="1" si="2"/>
        <v>3006</v>
      </c>
      <c r="J37" s="226"/>
      <c r="K37" s="224" t="s">
        <v>8074</v>
      </c>
    </row>
    <row r="38" spans="1:11" s="161" customFormat="1" hidden="1" x14ac:dyDescent="0.25">
      <c r="A38" s="162" t="s">
        <v>65</v>
      </c>
      <c r="B38" s="163" t="s">
        <v>1474</v>
      </c>
      <c r="C38" s="164" t="s">
        <v>20</v>
      </c>
      <c r="D38" s="164">
        <v>285</v>
      </c>
      <c r="E38" s="133">
        <f ca="1">OFFSET(INDEX(Composições!A:J,MATCH(Orçamentária!A38,Composições!A:A,0),8),2,0)</f>
        <v>7.7414417000000011</v>
      </c>
      <c r="F38" s="134">
        <f t="shared" ca="1" si="0"/>
        <v>2206.3108845000002</v>
      </c>
      <c r="G38" s="135">
        <f>BDI!$B$17</f>
        <v>0.191</v>
      </c>
      <c r="H38" s="136">
        <f t="shared" ca="1" si="1"/>
        <v>9.2200000000000006</v>
      </c>
      <c r="I38" s="182">
        <f t="shared" ca="1" si="2"/>
        <v>2627.7</v>
      </c>
      <c r="J38" s="226"/>
      <c r="K38" s="224" t="s">
        <v>8074</v>
      </c>
    </row>
    <row r="39" spans="1:11" s="161" customFormat="1" hidden="1" x14ac:dyDescent="0.25">
      <c r="A39" s="162" t="s">
        <v>66</v>
      </c>
      <c r="B39" s="163" t="s">
        <v>1475</v>
      </c>
      <c r="C39" s="164" t="s">
        <v>94</v>
      </c>
      <c r="D39" s="164">
        <v>350</v>
      </c>
      <c r="E39" s="133">
        <f ca="1">OFFSET(INDEX(Composições!A:J,MATCH(Orçamentária!A39,Composições!A:A,0),8),2,0)</f>
        <v>14.216730999999999</v>
      </c>
      <c r="F39" s="134">
        <f t="shared" ca="1" si="0"/>
        <v>4975.8558499999999</v>
      </c>
      <c r="G39" s="135">
        <f>BDI!$B$17</f>
        <v>0.191</v>
      </c>
      <c r="H39" s="136">
        <f t="shared" ca="1" si="1"/>
        <v>16.93</v>
      </c>
      <c r="I39" s="182">
        <f t="shared" ca="1" si="2"/>
        <v>5925.5</v>
      </c>
      <c r="J39" s="226"/>
      <c r="K39" s="224" t="s">
        <v>8074</v>
      </c>
    </row>
    <row r="40" spans="1:11" s="161" customFormat="1" hidden="1" x14ac:dyDescent="0.25">
      <c r="A40" s="162" t="s">
        <v>67</v>
      </c>
      <c r="B40" s="163" t="s">
        <v>1476</v>
      </c>
      <c r="C40" s="164" t="s">
        <v>94</v>
      </c>
      <c r="D40" s="164">
        <v>160</v>
      </c>
      <c r="E40" s="133">
        <f ca="1">OFFSET(INDEX(Composições!A:J,MATCH(Orçamentária!A40,Composições!A:A,0),8),2,0)</f>
        <v>9.1846000000000014</v>
      </c>
      <c r="F40" s="134">
        <f t="shared" ca="1" si="0"/>
        <v>1469.5360000000003</v>
      </c>
      <c r="G40" s="135">
        <f>BDI!$B$17</f>
        <v>0.191</v>
      </c>
      <c r="H40" s="136">
        <f t="shared" ca="1" si="1"/>
        <v>10.94</v>
      </c>
      <c r="I40" s="182">
        <f t="shared" ca="1" si="2"/>
        <v>1750.4</v>
      </c>
      <c r="J40" s="226"/>
      <c r="K40" s="224" t="s">
        <v>8074</v>
      </c>
    </row>
    <row r="41" spans="1:11" s="161" customFormat="1" hidden="1" x14ac:dyDescent="0.25">
      <c r="A41" s="162" t="s">
        <v>69</v>
      </c>
      <c r="B41" s="163" t="s">
        <v>1477</v>
      </c>
      <c r="C41" s="164" t="s">
        <v>92</v>
      </c>
      <c r="D41" s="164">
        <v>300</v>
      </c>
      <c r="E41" s="133">
        <f ca="1">OFFSET(INDEX(Composições!A:J,MATCH(Orçamentária!A41,Composições!A:A,0),8),2,0)</f>
        <v>3.2464824999999995</v>
      </c>
      <c r="F41" s="134">
        <f t="shared" ca="1" si="0"/>
        <v>973.94474999999989</v>
      </c>
      <c r="G41" s="135">
        <f>BDI!$B$17</f>
        <v>0.191</v>
      </c>
      <c r="H41" s="136">
        <f t="shared" ca="1" si="1"/>
        <v>3.87</v>
      </c>
      <c r="I41" s="182">
        <f t="shared" ca="1" si="2"/>
        <v>1161</v>
      </c>
      <c r="J41" s="226"/>
      <c r="K41" s="224" t="s">
        <v>8074</v>
      </c>
    </row>
    <row r="42" spans="1:11" s="161" customFormat="1" hidden="1" x14ac:dyDescent="0.25">
      <c r="A42" s="162" t="s">
        <v>70</v>
      </c>
      <c r="B42" s="163" t="s">
        <v>1478</v>
      </c>
      <c r="C42" s="164" t="s">
        <v>94</v>
      </c>
      <c r="D42" s="164">
        <v>2500</v>
      </c>
      <c r="E42" s="133">
        <f ca="1">OFFSET(INDEX(Composições!A:J,MATCH(Orçamentária!A42,Composições!A:A,0),8),2,0)</f>
        <v>7.3682000000000007</v>
      </c>
      <c r="F42" s="134">
        <f t="shared" ca="1" si="0"/>
        <v>18420.500000000004</v>
      </c>
      <c r="G42" s="135">
        <f>BDI!$B$17</f>
        <v>0.191</v>
      </c>
      <c r="H42" s="136">
        <f t="shared" ca="1" si="1"/>
        <v>8.7799999999999994</v>
      </c>
      <c r="I42" s="182">
        <f t="shared" ca="1" si="2"/>
        <v>21950</v>
      </c>
      <c r="J42" s="226"/>
      <c r="K42" s="224" t="s">
        <v>8074</v>
      </c>
    </row>
    <row r="43" spans="1:11" s="161" customFormat="1" hidden="1" x14ac:dyDescent="0.25">
      <c r="A43" s="162" t="s">
        <v>71</v>
      </c>
      <c r="B43" s="163" t="s">
        <v>1479</v>
      </c>
      <c r="C43" s="164" t="s">
        <v>94</v>
      </c>
      <c r="D43" s="164">
        <v>400</v>
      </c>
      <c r="E43" s="133">
        <f ca="1">OFFSET(INDEX(Composições!A:J,MATCH(Orçamentária!A43,Composições!A:A,0),8),2,0)</f>
        <v>4.2672109499999999</v>
      </c>
      <c r="F43" s="134">
        <f t="shared" ca="1" si="0"/>
        <v>1706.88438</v>
      </c>
      <c r="G43" s="135">
        <f>BDI!$B$17</f>
        <v>0.191</v>
      </c>
      <c r="H43" s="136">
        <f t="shared" ca="1" si="1"/>
        <v>5.08</v>
      </c>
      <c r="I43" s="182">
        <f t="shared" ca="1" si="2"/>
        <v>2032</v>
      </c>
      <c r="J43" s="226"/>
      <c r="K43" s="224" t="s">
        <v>8074</v>
      </c>
    </row>
    <row r="44" spans="1:11" s="161" customFormat="1" hidden="1" x14ac:dyDescent="0.25">
      <c r="A44" s="162" t="s">
        <v>73</v>
      </c>
      <c r="B44" s="163" t="s">
        <v>1480</v>
      </c>
      <c r="C44" s="164" t="s">
        <v>20</v>
      </c>
      <c r="D44" s="164">
        <v>25</v>
      </c>
      <c r="E44" s="133">
        <f ca="1">OFFSET(INDEX(Composições!A:J,MATCH(Orçamentária!A44,Composições!A:A,0),8),2,0)</f>
        <v>65.587999999999994</v>
      </c>
      <c r="F44" s="134">
        <f t="shared" ca="1" si="0"/>
        <v>1639.6999999999998</v>
      </c>
      <c r="G44" s="135">
        <f>BDI!$B$17</f>
        <v>0.191</v>
      </c>
      <c r="H44" s="136">
        <f t="shared" ca="1" si="1"/>
        <v>78.12</v>
      </c>
      <c r="I44" s="182">
        <f t="shared" ca="1" si="2"/>
        <v>1953</v>
      </c>
      <c r="J44" s="226"/>
      <c r="K44" s="224" t="s">
        <v>8074</v>
      </c>
    </row>
    <row r="45" spans="1:11" s="161" customFormat="1" hidden="1" x14ac:dyDescent="0.25">
      <c r="A45" s="162" t="s">
        <v>75</v>
      </c>
      <c r="B45" s="163" t="s">
        <v>1481</v>
      </c>
      <c r="C45" s="164" t="s">
        <v>94</v>
      </c>
      <c r="D45" s="164">
        <v>270</v>
      </c>
      <c r="E45" s="133">
        <f ca="1">OFFSET(INDEX(Composições!A:J,MATCH(Orçamentária!A45,Composições!A:A,0),8),2,0)</f>
        <v>3.6841000000000004</v>
      </c>
      <c r="F45" s="134">
        <f t="shared" ca="1" si="0"/>
        <v>994.70700000000011</v>
      </c>
      <c r="G45" s="135">
        <f>BDI!$B$17</f>
        <v>0.191</v>
      </c>
      <c r="H45" s="136">
        <f t="shared" ca="1" si="1"/>
        <v>4.3899999999999997</v>
      </c>
      <c r="I45" s="182">
        <f t="shared" ca="1" si="2"/>
        <v>1185.3</v>
      </c>
      <c r="J45" s="226"/>
      <c r="K45" s="224" t="s">
        <v>8074</v>
      </c>
    </row>
    <row r="46" spans="1:11" s="161" customFormat="1" hidden="1" x14ac:dyDescent="0.25">
      <c r="A46" s="162" t="s">
        <v>76</v>
      </c>
      <c r="B46" s="163" t="s">
        <v>1482</v>
      </c>
      <c r="C46" s="164" t="s">
        <v>92</v>
      </c>
      <c r="D46" s="164">
        <v>350</v>
      </c>
      <c r="E46" s="133">
        <f ca="1">OFFSET(INDEX(Composições!A:J,MATCH(Orçamentária!A46,Composições!A:A,0),8),2,0)</f>
        <v>1.6099517000000001</v>
      </c>
      <c r="F46" s="134">
        <f t="shared" ca="1" si="0"/>
        <v>563.48309500000005</v>
      </c>
      <c r="G46" s="135">
        <f>BDI!$B$17</f>
        <v>0.191</v>
      </c>
      <c r="H46" s="136">
        <f t="shared" ca="1" si="1"/>
        <v>1.92</v>
      </c>
      <c r="I46" s="182">
        <f t="shared" ca="1" si="2"/>
        <v>672</v>
      </c>
      <c r="J46" s="226"/>
      <c r="K46" s="224" t="s">
        <v>8074</v>
      </c>
    </row>
    <row r="47" spans="1:11" s="161" customFormat="1" hidden="1" x14ac:dyDescent="0.25">
      <c r="A47" s="162" t="s">
        <v>77</v>
      </c>
      <c r="B47" s="163" t="s">
        <v>1483</v>
      </c>
      <c r="C47" s="164" t="s">
        <v>94</v>
      </c>
      <c r="D47" s="164">
        <v>10</v>
      </c>
      <c r="E47" s="133">
        <f ca="1">OFFSET(INDEX(Composições!A:J,MATCH(Orçamentária!A47,Composições!A:A,0),8),2,0)</f>
        <v>6.6188874999999996</v>
      </c>
      <c r="F47" s="134">
        <f t="shared" ca="1" si="0"/>
        <v>66.188874999999996</v>
      </c>
      <c r="G47" s="135">
        <f>BDI!$B$17</f>
        <v>0.191</v>
      </c>
      <c r="H47" s="136">
        <f t="shared" ca="1" si="1"/>
        <v>7.88</v>
      </c>
      <c r="I47" s="182">
        <f t="shared" ca="1" si="2"/>
        <v>78.8</v>
      </c>
      <c r="J47" s="226"/>
      <c r="K47" s="224" t="s">
        <v>8074</v>
      </c>
    </row>
    <row r="48" spans="1:11" s="161" customFormat="1" hidden="1" x14ac:dyDescent="0.25">
      <c r="A48" s="162" t="s">
        <v>79</v>
      </c>
      <c r="B48" s="163" t="s">
        <v>1484</v>
      </c>
      <c r="C48" s="164" t="s">
        <v>92</v>
      </c>
      <c r="D48" s="164">
        <v>20</v>
      </c>
      <c r="E48" s="133">
        <f ca="1">OFFSET(INDEX(Composições!A:J,MATCH(Orçamentária!A48,Composições!A:A,0),8),2,0)</f>
        <v>10.131275</v>
      </c>
      <c r="F48" s="134">
        <f t="shared" ca="1" si="0"/>
        <v>202.62550000000002</v>
      </c>
      <c r="G48" s="135">
        <f>BDI!$B$17</f>
        <v>0.191</v>
      </c>
      <c r="H48" s="136">
        <f t="shared" ca="1" si="1"/>
        <v>12.07</v>
      </c>
      <c r="I48" s="182">
        <f t="shared" ca="1" si="2"/>
        <v>241.4</v>
      </c>
      <c r="J48" s="226"/>
      <c r="K48" s="224" t="s">
        <v>8074</v>
      </c>
    </row>
    <row r="49" spans="1:11" s="161" customFormat="1" hidden="1" x14ac:dyDescent="0.25">
      <c r="A49" s="162" t="s">
        <v>80</v>
      </c>
      <c r="B49" s="163" t="s">
        <v>1485</v>
      </c>
      <c r="C49" s="164" t="s">
        <v>20</v>
      </c>
      <c r="D49" s="164">
        <v>120</v>
      </c>
      <c r="E49" s="133">
        <f ca="1">OFFSET(INDEX(Composições!A:J,MATCH(Orçamentária!A49,Composições!A:A,0),8),2,0)</f>
        <v>47.604500000000002</v>
      </c>
      <c r="F49" s="134">
        <f t="shared" ca="1" si="0"/>
        <v>5712.54</v>
      </c>
      <c r="G49" s="135">
        <f>BDI!$B$17</f>
        <v>0.191</v>
      </c>
      <c r="H49" s="136">
        <f t="shared" ca="1" si="1"/>
        <v>56.7</v>
      </c>
      <c r="I49" s="182">
        <f t="shared" ca="1" si="2"/>
        <v>6804</v>
      </c>
      <c r="J49" s="226"/>
      <c r="K49" s="224" t="s">
        <v>8074</v>
      </c>
    </row>
    <row r="50" spans="1:11" s="161" customFormat="1" hidden="1" x14ac:dyDescent="0.25">
      <c r="A50" s="162" t="s">
        <v>82</v>
      </c>
      <c r="B50" s="163" t="s">
        <v>1486</v>
      </c>
      <c r="C50" s="164" t="s">
        <v>94</v>
      </c>
      <c r="D50" s="164">
        <v>60</v>
      </c>
      <c r="E50" s="133">
        <f ca="1">OFFSET(INDEX(Composições!A:J,MATCH(Orçamentária!A50,Composições!A:A,0),8),2,0)</f>
        <v>16.3915565</v>
      </c>
      <c r="F50" s="134">
        <f t="shared" ca="1" si="0"/>
        <v>983.49338999999998</v>
      </c>
      <c r="G50" s="135">
        <f>BDI!$B$17</f>
        <v>0.191</v>
      </c>
      <c r="H50" s="136">
        <f t="shared" ca="1" si="1"/>
        <v>19.52</v>
      </c>
      <c r="I50" s="182">
        <f t="shared" ca="1" si="2"/>
        <v>1171.2</v>
      </c>
      <c r="J50" s="226"/>
      <c r="K50" s="224" t="s">
        <v>8074</v>
      </c>
    </row>
    <row r="51" spans="1:11" s="161" customFormat="1" hidden="1" x14ac:dyDescent="0.25">
      <c r="A51" s="162" t="s">
        <v>83</v>
      </c>
      <c r="B51" s="163" t="s">
        <v>1487</v>
      </c>
      <c r="C51" s="164" t="s">
        <v>108</v>
      </c>
      <c r="D51" s="164">
        <v>425</v>
      </c>
      <c r="E51" s="133">
        <f ca="1">OFFSET(INDEX(Composições!A:J,MATCH(Orçamentária!A51,Composições!A:A,0),8),2,0)</f>
        <v>18.420500000000001</v>
      </c>
      <c r="F51" s="134">
        <f t="shared" ca="1" si="0"/>
        <v>7828.7125000000005</v>
      </c>
      <c r="G51" s="135">
        <f>BDI!$B$17</f>
        <v>0.191</v>
      </c>
      <c r="H51" s="136">
        <f t="shared" ca="1" si="1"/>
        <v>21.94</v>
      </c>
      <c r="I51" s="182">
        <f t="shared" ca="1" si="2"/>
        <v>9324.5</v>
      </c>
      <c r="J51" s="226"/>
      <c r="K51" s="224" t="s">
        <v>8074</v>
      </c>
    </row>
    <row r="52" spans="1:11" s="161" customFormat="1" hidden="1" x14ac:dyDescent="0.25">
      <c r="A52" s="162" t="s">
        <v>1488</v>
      </c>
      <c r="B52" s="163" t="s">
        <v>1489</v>
      </c>
      <c r="C52" s="164" t="s">
        <v>20</v>
      </c>
      <c r="D52" s="164">
        <v>4</v>
      </c>
      <c r="E52" s="180">
        <v>518.26</v>
      </c>
      <c r="F52" s="134">
        <f t="shared" si="0"/>
        <v>2073.04</v>
      </c>
      <c r="G52" s="135">
        <f>BDI!$B$17</f>
        <v>0.191</v>
      </c>
      <c r="H52" s="136">
        <f t="shared" si="1"/>
        <v>617.25</v>
      </c>
      <c r="I52" s="182">
        <f t="shared" si="2"/>
        <v>2469</v>
      </c>
      <c r="J52" s="226"/>
      <c r="K52" s="224" t="s">
        <v>8074</v>
      </c>
    </row>
    <row r="53" spans="1:11" s="161" customFormat="1" hidden="1" x14ac:dyDescent="0.25">
      <c r="A53" s="162" t="s">
        <v>84</v>
      </c>
      <c r="B53" s="163" t="s">
        <v>1490</v>
      </c>
      <c r="C53" s="164" t="s">
        <v>1491</v>
      </c>
      <c r="D53" s="164">
        <v>300</v>
      </c>
      <c r="E53" s="133">
        <f ca="1">OFFSET(INDEX(Composições!A:J,MATCH(Orçamentária!A53,Composições!A:A,0),8),2,0)</f>
        <v>6.327</v>
      </c>
      <c r="F53" s="134">
        <f t="shared" ca="1" si="0"/>
        <v>1898.1</v>
      </c>
      <c r="G53" s="135">
        <f>BDI!$B$17</f>
        <v>0.191</v>
      </c>
      <c r="H53" s="136">
        <f t="shared" ca="1" si="1"/>
        <v>7.54</v>
      </c>
      <c r="I53" s="182">
        <f t="shared" ca="1" si="2"/>
        <v>2262</v>
      </c>
      <c r="J53" s="226"/>
      <c r="K53" s="224" t="s">
        <v>8074</v>
      </c>
    </row>
    <row r="54" spans="1:11" s="161" customFormat="1" hidden="1" x14ac:dyDescent="0.25">
      <c r="A54" s="162" t="s">
        <v>86</v>
      </c>
      <c r="B54" s="163" t="s">
        <v>1492</v>
      </c>
      <c r="C54" s="164" t="s">
        <v>1493</v>
      </c>
      <c r="D54" s="164">
        <v>55</v>
      </c>
      <c r="E54" s="133">
        <f ca="1">OFFSET(INDEX(Composições!A:J,MATCH(Orçamentária!A54,Composições!A:A,0),8),2,0)</f>
        <v>19</v>
      </c>
      <c r="F54" s="134">
        <f t="shared" ca="1" si="0"/>
        <v>1045</v>
      </c>
      <c r="G54" s="135">
        <f>BDI!$B$17</f>
        <v>0.191</v>
      </c>
      <c r="H54" s="136">
        <f t="shared" ca="1" si="1"/>
        <v>22.63</v>
      </c>
      <c r="I54" s="182">
        <f t="shared" ca="1" si="2"/>
        <v>1244.6500000000001</v>
      </c>
      <c r="J54" s="226"/>
      <c r="K54" s="224" t="s">
        <v>8074</v>
      </c>
    </row>
    <row r="55" spans="1:11" s="161" customFormat="1" hidden="1" x14ac:dyDescent="0.25">
      <c r="A55" s="162" t="s">
        <v>1494</v>
      </c>
      <c r="B55" s="163" t="s">
        <v>1495</v>
      </c>
      <c r="C55" s="164" t="s">
        <v>92</v>
      </c>
      <c r="D55" s="164">
        <v>210</v>
      </c>
      <c r="E55" s="180">
        <v>27</v>
      </c>
      <c r="F55" s="134">
        <f t="shared" si="0"/>
        <v>5670</v>
      </c>
      <c r="G55" s="135">
        <f>BDI!$B$17</f>
        <v>0.191</v>
      </c>
      <c r="H55" s="136">
        <f t="shared" si="1"/>
        <v>32.159999999999997</v>
      </c>
      <c r="I55" s="182">
        <f t="shared" si="2"/>
        <v>6753.6</v>
      </c>
      <c r="J55" s="226"/>
      <c r="K55" s="224" t="s">
        <v>8074</v>
      </c>
    </row>
    <row r="56" spans="1:11" s="161" customFormat="1" hidden="1" x14ac:dyDescent="0.25">
      <c r="A56" s="162" t="s">
        <v>88</v>
      </c>
      <c r="B56" s="163" t="s">
        <v>1496</v>
      </c>
      <c r="C56" s="164" t="s">
        <v>92</v>
      </c>
      <c r="D56" s="164">
        <v>65</v>
      </c>
      <c r="E56" s="133">
        <f ca="1">OFFSET(INDEX(Composições!A:J,MATCH(Orçamentária!A56,Composições!A:A,0),8),2,0)</f>
        <v>6.0660349999999994</v>
      </c>
      <c r="F56" s="134">
        <f t="shared" ca="1" si="0"/>
        <v>394.29227499999996</v>
      </c>
      <c r="G56" s="135">
        <f>BDI!$B$17</f>
        <v>0.191</v>
      </c>
      <c r="H56" s="136">
        <f t="shared" ca="1" si="1"/>
        <v>7.22</v>
      </c>
      <c r="I56" s="182">
        <f t="shared" ca="1" si="2"/>
        <v>469.3</v>
      </c>
      <c r="J56" s="226"/>
      <c r="K56" s="224" t="s">
        <v>8074</v>
      </c>
    </row>
    <row r="57" spans="1:11" s="161" customFormat="1" hidden="1" x14ac:dyDescent="0.25">
      <c r="A57" s="162" t="s">
        <v>1497</v>
      </c>
      <c r="B57" s="163" t="s">
        <v>1498</v>
      </c>
      <c r="C57" s="164" t="s">
        <v>20</v>
      </c>
      <c r="D57" s="164">
        <v>15</v>
      </c>
      <c r="E57" s="180">
        <v>260.13</v>
      </c>
      <c r="F57" s="134">
        <f t="shared" si="0"/>
        <v>3901.95</v>
      </c>
      <c r="G57" s="135">
        <f>BDI!$B$17</f>
        <v>0.191</v>
      </c>
      <c r="H57" s="136">
        <f t="shared" si="1"/>
        <v>309.81</v>
      </c>
      <c r="I57" s="182">
        <f t="shared" si="2"/>
        <v>4647.1499999999996</v>
      </c>
      <c r="J57" s="226"/>
      <c r="K57" s="224" t="s">
        <v>8074</v>
      </c>
    </row>
    <row r="58" spans="1:11" hidden="1" x14ac:dyDescent="0.25">
      <c r="A58" s="112" t="s">
        <v>1499</v>
      </c>
      <c r="B58" s="113" t="s">
        <v>1500</v>
      </c>
      <c r="C58" s="114" t="s">
        <v>1493</v>
      </c>
      <c r="D58" s="114">
        <v>0</v>
      </c>
      <c r="E58" s="133" t="s">
        <v>514</v>
      </c>
      <c r="F58" s="134" t="str">
        <f t="shared" si="0"/>
        <v/>
      </c>
      <c r="G58" s="135" t="e">
        <f>IF(A58&lt;&gt;"",IF(AND(#REF!="Padrão",$H$4=#REF!),BDI!$B$17,IF(AND(#REF!="Padrão",$H$4=#REF!),BDI!#REF!,IF(AND(#REF!="Diferenciado",$H$4=#REF!),BDI!$E$17,IF(AND(#REF!="Diferenciado",$H$4=#REF!),BDI!#REF!,IF(#REF!="ZERO",0))))),"")</f>
        <v>#REF!</v>
      </c>
      <c r="H58" s="136" t="str">
        <f t="shared" si="1"/>
        <v/>
      </c>
      <c r="I58" s="134" t="str">
        <f t="shared" si="2"/>
        <v/>
      </c>
      <c r="J58" s="226"/>
    </row>
    <row r="59" spans="1:11" hidden="1" x14ac:dyDescent="0.25">
      <c r="A59" s="112" t="s">
        <v>1501</v>
      </c>
      <c r="B59" s="113" t="s">
        <v>1502</v>
      </c>
      <c r="C59" s="114" t="s">
        <v>20</v>
      </c>
      <c r="D59" s="114">
        <v>0</v>
      </c>
      <c r="E59" s="133" t="s">
        <v>514</v>
      </c>
      <c r="F59" s="134" t="str">
        <f t="shared" si="0"/>
        <v/>
      </c>
      <c r="G59" s="135" t="e">
        <f>IF(A59&lt;&gt;"",IF(AND(#REF!="Padrão",$H$4=#REF!),BDI!$B$17,IF(AND(#REF!="Padrão",$H$4=#REF!),BDI!#REF!,IF(AND(#REF!="Diferenciado",$H$4=#REF!),BDI!$E$17,IF(AND(#REF!="Diferenciado",$H$4=#REF!),BDI!#REF!,IF(#REF!="ZERO",0))))),"")</f>
        <v>#REF!</v>
      </c>
      <c r="H59" s="136" t="str">
        <f t="shared" si="1"/>
        <v/>
      </c>
      <c r="I59" s="134" t="str">
        <f t="shared" si="2"/>
        <v/>
      </c>
      <c r="J59" s="226"/>
    </row>
    <row r="60" spans="1:11" hidden="1" x14ac:dyDescent="0.25">
      <c r="A60" s="112" t="s">
        <v>1503</v>
      </c>
      <c r="B60" s="113" t="s">
        <v>1504</v>
      </c>
      <c r="C60" s="114" t="s">
        <v>1493</v>
      </c>
      <c r="D60" s="114">
        <v>0</v>
      </c>
      <c r="E60" s="133" t="s">
        <v>514</v>
      </c>
      <c r="F60" s="134" t="str">
        <f t="shared" si="0"/>
        <v/>
      </c>
      <c r="G60" s="135" t="e">
        <f>IF(A60&lt;&gt;"",IF(AND(#REF!="Padrão",$H$4=#REF!),BDI!$B$17,IF(AND(#REF!="Padrão",$H$4=#REF!),BDI!#REF!,IF(AND(#REF!="Diferenciado",$H$4=#REF!),BDI!$E$17,IF(AND(#REF!="Diferenciado",$H$4=#REF!),BDI!#REF!,IF(#REF!="ZERO",0))))),"")</f>
        <v>#REF!</v>
      </c>
      <c r="H60" s="136" t="str">
        <f t="shared" si="1"/>
        <v/>
      </c>
      <c r="I60" s="134" t="str">
        <f t="shared" si="2"/>
        <v/>
      </c>
      <c r="J60" s="226"/>
    </row>
    <row r="61" spans="1:11" hidden="1" x14ac:dyDescent="0.25">
      <c r="A61" s="112" t="s">
        <v>1505</v>
      </c>
      <c r="B61" s="113" t="s">
        <v>1506</v>
      </c>
      <c r="C61" s="114" t="s">
        <v>20</v>
      </c>
      <c r="D61" s="114">
        <v>0</v>
      </c>
      <c r="E61" s="133" t="s">
        <v>514</v>
      </c>
      <c r="F61" s="134" t="str">
        <f t="shared" si="0"/>
        <v/>
      </c>
      <c r="G61" s="135" t="e">
        <f>IF(A61&lt;&gt;"",IF(AND(#REF!="Padrão",$H$4=#REF!),BDI!$B$17,IF(AND(#REF!="Padrão",$H$4=#REF!),BDI!#REF!,IF(AND(#REF!="Diferenciado",$H$4=#REF!),BDI!$E$17,IF(AND(#REF!="Diferenciado",$H$4=#REF!),BDI!#REF!,IF(#REF!="ZERO",0))))),"")</f>
        <v>#REF!</v>
      </c>
      <c r="H61" s="136" t="str">
        <f t="shared" si="1"/>
        <v/>
      </c>
      <c r="I61" s="134" t="str">
        <f t="shared" si="2"/>
        <v/>
      </c>
      <c r="J61" s="226"/>
    </row>
    <row r="62" spans="1:11" s="161" customFormat="1" hidden="1" x14ac:dyDescent="0.25">
      <c r="A62" s="162" t="s">
        <v>91</v>
      </c>
      <c r="B62" s="163" t="s">
        <v>1507</v>
      </c>
      <c r="C62" s="164" t="s">
        <v>94</v>
      </c>
      <c r="D62" s="164">
        <v>150</v>
      </c>
      <c r="E62" s="133">
        <f ca="1">OFFSET(INDEX(Composições!A:J,MATCH(Orçamentária!A62,Composições!A:A,0),8),2,0)</f>
        <v>27.585625</v>
      </c>
      <c r="F62" s="134">
        <f t="shared" ca="1" si="0"/>
        <v>4137.84375</v>
      </c>
      <c r="G62" s="135">
        <f>BDI!$B$17</f>
        <v>0.191</v>
      </c>
      <c r="H62" s="136">
        <f t="shared" ca="1" si="1"/>
        <v>32.85</v>
      </c>
      <c r="I62" s="182">
        <f t="shared" ca="1" si="2"/>
        <v>4927.5</v>
      </c>
      <c r="J62" s="226"/>
      <c r="K62" s="224" t="s">
        <v>8074</v>
      </c>
    </row>
    <row r="63" spans="1:11" s="161" customFormat="1" hidden="1" x14ac:dyDescent="0.25">
      <c r="A63" s="162" t="s">
        <v>1508</v>
      </c>
      <c r="B63" s="163" t="s">
        <v>1509</v>
      </c>
      <c r="C63" s="164" t="s">
        <v>20</v>
      </c>
      <c r="D63" s="164">
        <v>4</v>
      </c>
      <c r="E63" s="180">
        <v>730</v>
      </c>
      <c r="F63" s="134">
        <f t="shared" si="0"/>
        <v>2920</v>
      </c>
      <c r="G63" s="135">
        <f>BDI!$B$17</f>
        <v>0.191</v>
      </c>
      <c r="H63" s="136">
        <f t="shared" si="1"/>
        <v>869.43</v>
      </c>
      <c r="I63" s="182">
        <f t="shared" si="2"/>
        <v>3477.72</v>
      </c>
      <c r="J63" s="226"/>
      <c r="K63" s="224" t="s">
        <v>8074</v>
      </c>
    </row>
    <row r="64" spans="1:11" hidden="1" x14ac:dyDescent="0.25">
      <c r="A64" s="112" t="s">
        <v>1510</v>
      </c>
      <c r="B64" s="113" t="s">
        <v>1511</v>
      </c>
      <c r="C64" s="114" t="s">
        <v>20</v>
      </c>
      <c r="D64" s="114">
        <v>0</v>
      </c>
      <c r="E64" s="133" t="s">
        <v>514</v>
      </c>
      <c r="F64" s="134" t="str">
        <f t="shared" si="0"/>
        <v/>
      </c>
      <c r="G64" s="135" t="e">
        <f>IF(A64&lt;&gt;"",IF(AND(#REF!="Padrão",$H$4=#REF!),BDI!$B$17,IF(AND(#REF!="Padrão",$H$4=#REF!),BDI!#REF!,IF(AND(#REF!="Diferenciado",$H$4=#REF!),BDI!$E$17,IF(AND(#REF!="Diferenciado",$H$4=#REF!),BDI!#REF!,IF(#REF!="ZERO",0))))),"")</f>
        <v>#REF!</v>
      </c>
      <c r="H64" s="136" t="str">
        <f t="shared" si="1"/>
        <v/>
      </c>
      <c r="I64" s="134" t="str">
        <f t="shared" si="2"/>
        <v/>
      </c>
      <c r="J64" s="226"/>
    </row>
    <row r="65" spans="1:11" s="161" customFormat="1" hidden="1" x14ac:dyDescent="0.25">
      <c r="A65" s="162" t="s">
        <v>1512</v>
      </c>
      <c r="B65" s="163" t="s">
        <v>1513</v>
      </c>
      <c r="C65" s="164" t="s">
        <v>20</v>
      </c>
      <c r="D65" s="164">
        <v>4</v>
      </c>
      <c r="E65" s="180">
        <v>198.11</v>
      </c>
      <c r="F65" s="134">
        <f t="shared" si="0"/>
        <v>792.44</v>
      </c>
      <c r="G65" s="135">
        <f>BDI!$B$17</f>
        <v>0.191</v>
      </c>
      <c r="H65" s="136">
        <f t="shared" si="1"/>
        <v>235.95</v>
      </c>
      <c r="I65" s="182">
        <f t="shared" si="2"/>
        <v>943.8</v>
      </c>
      <c r="J65" s="226"/>
      <c r="K65" s="224" t="s">
        <v>8074</v>
      </c>
    </row>
    <row r="66" spans="1:11" s="161" customFormat="1" hidden="1" x14ac:dyDescent="0.25">
      <c r="A66" s="162" t="s">
        <v>1514</v>
      </c>
      <c r="B66" s="163" t="s">
        <v>1515</v>
      </c>
      <c r="C66" s="164" t="s">
        <v>20</v>
      </c>
      <c r="D66" s="164">
        <v>15</v>
      </c>
      <c r="E66" s="180">
        <v>64.2</v>
      </c>
      <c r="F66" s="134">
        <f t="shared" si="0"/>
        <v>963</v>
      </c>
      <c r="G66" s="135">
        <f>BDI!$B$17</f>
        <v>0.191</v>
      </c>
      <c r="H66" s="136">
        <f t="shared" si="1"/>
        <v>76.459999999999994</v>
      </c>
      <c r="I66" s="182">
        <f t="shared" si="2"/>
        <v>1146.9000000000001</v>
      </c>
      <c r="J66" s="226"/>
      <c r="K66" s="224" t="s">
        <v>8074</v>
      </c>
    </row>
    <row r="67" spans="1:11" s="161" customFormat="1" hidden="1" x14ac:dyDescent="0.25">
      <c r="A67" s="162" t="s">
        <v>1516</v>
      </c>
      <c r="B67" s="163" t="s">
        <v>1517</v>
      </c>
      <c r="C67" s="164" t="s">
        <v>20</v>
      </c>
      <c r="D67" s="164">
        <v>15</v>
      </c>
      <c r="E67" s="180">
        <v>810</v>
      </c>
      <c r="F67" s="134">
        <f t="shared" si="0"/>
        <v>12150</v>
      </c>
      <c r="G67" s="135">
        <f>BDI!$B$17</f>
        <v>0.191</v>
      </c>
      <c r="H67" s="136">
        <f t="shared" si="1"/>
        <v>964.71</v>
      </c>
      <c r="I67" s="182">
        <f t="shared" si="2"/>
        <v>14470.65</v>
      </c>
      <c r="J67" s="226"/>
      <c r="K67" s="224" t="s">
        <v>8074</v>
      </c>
    </row>
    <row r="68" spans="1:11" hidden="1" x14ac:dyDescent="0.25">
      <c r="A68" s="112" t="s">
        <v>1518</v>
      </c>
      <c r="B68" s="113" t="s">
        <v>1519</v>
      </c>
      <c r="C68" s="114" t="s">
        <v>1491</v>
      </c>
      <c r="D68" s="114">
        <v>0</v>
      </c>
      <c r="E68" s="133" t="s">
        <v>514</v>
      </c>
      <c r="F68" s="134" t="str">
        <f t="shared" si="0"/>
        <v/>
      </c>
      <c r="G68" s="135" t="e">
        <f>IF(A68&lt;&gt;"",IF(AND(#REF!="Padrão",$H$4=#REF!),BDI!$B$17,IF(AND(#REF!="Padrão",$H$4=#REF!),BDI!#REF!,IF(AND(#REF!="Diferenciado",$H$4=#REF!),BDI!$E$17,IF(AND(#REF!="Diferenciado",$H$4=#REF!),BDI!#REF!,IF(#REF!="ZERO",0))))),"")</f>
        <v>#REF!</v>
      </c>
      <c r="H68" s="136" t="str">
        <f t="shared" si="1"/>
        <v/>
      </c>
      <c r="I68" s="134" t="str">
        <f t="shared" si="2"/>
        <v/>
      </c>
      <c r="J68" s="226"/>
    </row>
    <row r="69" spans="1:11" hidden="1" x14ac:dyDescent="0.25">
      <c r="A69" s="112" t="s">
        <v>1520</v>
      </c>
      <c r="B69" s="113" t="s">
        <v>1521</v>
      </c>
      <c r="C69" s="114" t="s">
        <v>20</v>
      </c>
      <c r="D69" s="114">
        <v>0</v>
      </c>
      <c r="E69" s="133" t="s">
        <v>514</v>
      </c>
      <c r="F69" s="134" t="str">
        <f t="shared" si="0"/>
        <v/>
      </c>
      <c r="G69" s="135" t="e">
        <f>IF(A69&lt;&gt;"",IF(AND(#REF!="Padrão",$H$4=#REF!),BDI!$B$17,IF(AND(#REF!="Padrão",$H$4=#REF!),BDI!#REF!,IF(AND(#REF!="Diferenciado",$H$4=#REF!),BDI!$E$17,IF(AND(#REF!="Diferenciado",$H$4=#REF!),BDI!#REF!,IF(#REF!="ZERO",0))))),"")</f>
        <v>#REF!</v>
      </c>
      <c r="H69" s="136" t="str">
        <f t="shared" si="1"/>
        <v/>
      </c>
      <c r="I69" s="134" t="str">
        <f t="shared" si="2"/>
        <v/>
      </c>
      <c r="J69" s="226"/>
    </row>
    <row r="70" spans="1:11" s="161" customFormat="1" hidden="1" x14ac:dyDescent="0.25">
      <c r="A70" s="162" t="s">
        <v>1522</v>
      </c>
      <c r="B70" s="163" t="s">
        <v>1523</v>
      </c>
      <c r="C70" s="164" t="s">
        <v>20</v>
      </c>
      <c r="D70" s="164">
        <v>10</v>
      </c>
      <c r="E70" s="180">
        <v>126.09</v>
      </c>
      <c r="F70" s="134">
        <f t="shared" si="0"/>
        <v>1260.9000000000001</v>
      </c>
      <c r="G70" s="135">
        <f>BDI!$B$17</f>
        <v>0.191</v>
      </c>
      <c r="H70" s="136">
        <f t="shared" si="1"/>
        <v>150.16999999999999</v>
      </c>
      <c r="I70" s="182">
        <f t="shared" si="2"/>
        <v>1501.7</v>
      </c>
      <c r="J70" s="226"/>
      <c r="K70" s="224" t="s">
        <v>8074</v>
      </c>
    </row>
    <row r="71" spans="1:11" s="161" customFormat="1" hidden="1" x14ac:dyDescent="0.25">
      <c r="A71" s="162" t="s">
        <v>1524</v>
      </c>
      <c r="B71" s="163" t="s">
        <v>1525</v>
      </c>
      <c r="C71" s="164" t="s">
        <v>20</v>
      </c>
      <c r="D71" s="164">
        <v>20</v>
      </c>
      <c r="E71" s="180">
        <v>200.85</v>
      </c>
      <c r="F71" s="134">
        <f t="shared" ref="F71:F134" si="3">IF(ISNUMBER(E71),D71*E71,"")</f>
        <v>4017</v>
      </c>
      <c r="G71" s="135">
        <f>BDI!$B$17</f>
        <v>0.191</v>
      </c>
      <c r="H71" s="136">
        <f t="shared" ref="H71:H134" si="4">IF(ISNUMBER(E71),ROUND(E71*(1+G71),2),"")</f>
        <v>239.21</v>
      </c>
      <c r="I71" s="182">
        <f t="shared" ref="I71:I134" si="5">IF(ISNUMBER(E71),ROUND(H71*D71,2),"")</f>
        <v>4784.2</v>
      </c>
      <c r="J71" s="226"/>
      <c r="K71" s="224" t="s">
        <v>8074</v>
      </c>
    </row>
    <row r="72" spans="1:11" hidden="1" x14ac:dyDescent="0.25">
      <c r="A72" s="112" t="s">
        <v>1526</v>
      </c>
      <c r="B72" s="113" t="s">
        <v>1527</v>
      </c>
      <c r="C72" s="114" t="s">
        <v>1528</v>
      </c>
      <c r="D72" s="114">
        <v>0</v>
      </c>
      <c r="E72" s="133" t="s">
        <v>514</v>
      </c>
      <c r="F72" s="134" t="str">
        <f t="shared" si="3"/>
        <v/>
      </c>
      <c r="G72" s="135" t="e">
        <f>IF(A72&lt;&gt;"",IF(AND(#REF!="Padrão",$H$4=#REF!),BDI!$B$17,IF(AND(#REF!="Padrão",$H$4=#REF!),BDI!#REF!,IF(AND(#REF!="Diferenciado",$H$4=#REF!),BDI!$E$17,IF(AND(#REF!="Diferenciado",$H$4=#REF!),BDI!#REF!,IF(#REF!="ZERO",0))))),"")</f>
        <v>#REF!</v>
      </c>
      <c r="H72" s="136" t="str">
        <f t="shared" si="4"/>
        <v/>
      </c>
      <c r="I72" s="134" t="str">
        <f t="shared" si="5"/>
        <v/>
      </c>
      <c r="J72" s="226"/>
    </row>
    <row r="73" spans="1:11" s="161" customFormat="1" hidden="1" x14ac:dyDescent="0.25">
      <c r="A73" s="162" t="s">
        <v>1529</v>
      </c>
      <c r="B73" s="163" t="s">
        <v>1530</v>
      </c>
      <c r="C73" s="164" t="s">
        <v>1493</v>
      </c>
      <c r="D73" s="164">
        <v>210</v>
      </c>
      <c r="E73" s="180">
        <v>11.76</v>
      </c>
      <c r="F73" s="134">
        <f t="shared" si="3"/>
        <v>2469.6</v>
      </c>
      <c r="G73" s="135">
        <f>BDI!$B$17</f>
        <v>0.191</v>
      </c>
      <c r="H73" s="136">
        <f t="shared" si="4"/>
        <v>14.01</v>
      </c>
      <c r="I73" s="182">
        <f t="shared" si="5"/>
        <v>2942.1</v>
      </c>
      <c r="J73" s="226"/>
      <c r="K73" s="224" t="s">
        <v>8074</v>
      </c>
    </row>
    <row r="74" spans="1:11" s="161" customFormat="1" hidden="1" x14ac:dyDescent="0.25">
      <c r="A74" s="162" t="s">
        <v>1531</v>
      </c>
      <c r="B74" s="163" t="s">
        <v>6245</v>
      </c>
      <c r="C74" s="164" t="s">
        <v>20</v>
      </c>
      <c r="D74" s="164">
        <v>15</v>
      </c>
      <c r="E74" s="180">
        <v>250</v>
      </c>
      <c r="F74" s="134">
        <f t="shared" si="3"/>
        <v>3750</v>
      </c>
      <c r="G74" s="135">
        <f>BDI!$B$17</f>
        <v>0.191</v>
      </c>
      <c r="H74" s="136">
        <f t="shared" si="4"/>
        <v>297.75</v>
      </c>
      <c r="I74" s="182">
        <f t="shared" si="5"/>
        <v>4466.25</v>
      </c>
      <c r="J74" s="226"/>
      <c r="K74" s="224" t="s">
        <v>8074</v>
      </c>
    </row>
    <row r="75" spans="1:11" s="161" customFormat="1" hidden="1" x14ac:dyDescent="0.25">
      <c r="A75" s="162" t="s">
        <v>95</v>
      </c>
      <c r="B75" s="163" t="s">
        <v>1532</v>
      </c>
      <c r="C75" s="164" t="s">
        <v>94</v>
      </c>
      <c r="D75" s="164">
        <v>225</v>
      </c>
      <c r="E75" s="133">
        <f ca="1">OFFSET(INDEX(Composições!A:J,MATCH(Orçamentária!A75,Composições!A:A,0),8),2,0)</f>
        <v>104.47065450000001</v>
      </c>
      <c r="F75" s="134">
        <f t="shared" ca="1" si="3"/>
        <v>23505.897262500002</v>
      </c>
      <c r="G75" s="135">
        <f>BDI!$B$17</f>
        <v>0.191</v>
      </c>
      <c r="H75" s="136">
        <f t="shared" ca="1" si="4"/>
        <v>124.42</v>
      </c>
      <c r="I75" s="182">
        <f t="shared" ca="1" si="5"/>
        <v>27994.5</v>
      </c>
      <c r="J75" s="226"/>
      <c r="K75" s="224" t="s">
        <v>8074</v>
      </c>
    </row>
    <row r="76" spans="1:11" s="161" customFormat="1" hidden="1" x14ac:dyDescent="0.25">
      <c r="A76" s="162" t="s">
        <v>1533</v>
      </c>
      <c r="B76" s="163" t="s">
        <v>1534</v>
      </c>
      <c r="C76" s="164" t="s">
        <v>20</v>
      </c>
      <c r="D76" s="164">
        <v>4</v>
      </c>
      <c r="E76" s="180">
        <v>544.41999999999996</v>
      </c>
      <c r="F76" s="134">
        <f t="shared" si="3"/>
        <v>2177.6799999999998</v>
      </c>
      <c r="G76" s="135">
        <f>BDI!$B$17</f>
        <v>0.191</v>
      </c>
      <c r="H76" s="136">
        <f t="shared" si="4"/>
        <v>648.4</v>
      </c>
      <c r="I76" s="182">
        <f t="shared" si="5"/>
        <v>2593.6</v>
      </c>
      <c r="J76" s="226"/>
      <c r="K76" s="224" t="s">
        <v>8074</v>
      </c>
    </row>
    <row r="77" spans="1:11" hidden="1" x14ac:dyDescent="0.25">
      <c r="A77" s="112" t="s">
        <v>1535</v>
      </c>
      <c r="B77" s="113" t="s">
        <v>1536</v>
      </c>
      <c r="C77" s="114" t="s">
        <v>20</v>
      </c>
      <c r="D77" s="114">
        <v>0</v>
      </c>
      <c r="E77" s="133" t="s">
        <v>514</v>
      </c>
      <c r="F77" s="134" t="str">
        <f t="shared" si="3"/>
        <v/>
      </c>
      <c r="G77" s="135" t="e">
        <f>IF(A77&lt;&gt;"",IF(AND(#REF!="Padrão",$H$4=#REF!),BDI!$B$17,IF(AND(#REF!="Padrão",$H$4=#REF!),BDI!#REF!,IF(AND(#REF!="Diferenciado",$H$4=#REF!),BDI!$E$17,IF(AND(#REF!="Diferenciado",$H$4=#REF!),BDI!#REF!,IF(#REF!="ZERO",0))))),"")</f>
        <v>#REF!</v>
      </c>
      <c r="H77" s="136" t="str">
        <f t="shared" si="4"/>
        <v/>
      </c>
      <c r="I77" s="134" t="str">
        <f t="shared" si="5"/>
        <v/>
      </c>
      <c r="J77" s="226"/>
    </row>
    <row r="78" spans="1:11" s="161" customFormat="1" hidden="1" x14ac:dyDescent="0.25">
      <c r="A78" s="162" t="s">
        <v>104</v>
      </c>
      <c r="B78" s="163" t="s">
        <v>6322</v>
      </c>
      <c r="C78" s="164" t="s">
        <v>94</v>
      </c>
      <c r="D78" s="164">
        <v>10000</v>
      </c>
      <c r="E78" s="133">
        <f ca="1">OFFSET(INDEX(Composições!A:J,MATCH(Orçamentária!A78,Composições!A:A,0),8),2,0)</f>
        <v>2.2473010000000002</v>
      </c>
      <c r="F78" s="134">
        <f t="shared" ca="1" si="3"/>
        <v>22473.010000000002</v>
      </c>
      <c r="G78" s="135">
        <f>BDI!$B$17</f>
        <v>0.191</v>
      </c>
      <c r="H78" s="136">
        <f t="shared" ca="1" si="4"/>
        <v>2.68</v>
      </c>
      <c r="I78" s="182">
        <f t="shared" ca="1" si="5"/>
        <v>26800</v>
      </c>
      <c r="J78" s="226"/>
      <c r="K78" s="224" t="s">
        <v>8074</v>
      </c>
    </row>
    <row r="79" spans="1:11" s="161" customFormat="1" hidden="1" x14ac:dyDescent="0.25">
      <c r="A79" s="162" t="s">
        <v>105</v>
      </c>
      <c r="B79" s="163" t="s">
        <v>1537</v>
      </c>
      <c r="C79" s="164" t="s">
        <v>92</v>
      </c>
      <c r="D79" s="164">
        <v>2700</v>
      </c>
      <c r="E79" s="133">
        <f ca="1">OFFSET(INDEX(Composições!A:J,MATCH(Orçamentária!A79,Composições!A:A,0),8),2,0)</f>
        <v>18.815285888976998</v>
      </c>
      <c r="F79" s="134">
        <f t="shared" ca="1" si="3"/>
        <v>50801.271900237894</v>
      </c>
      <c r="G79" s="135">
        <f>BDI!$B$17</f>
        <v>0.191</v>
      </c>
      <c r="H79" s="136">
        <f t="shared" ca="1" si="4"/>
        <v>22.41</v>
      </c>
      <c r="I79" s="182">
        <f t="shared" ca="1" si="5"/>
        <v>60507</v>
      </c>
      <c r="J79" s="226"/>
      <c r="K79" s="224" t="s">
        <v>8074</v>
      </c>
    </row>
    <row r="80" spans="1:11" s="161" customFormat="1" hidden="1" x14ac:dyDescent="0.25">
      <c r="A80" s="162" t="s">
        <v>109</v>
      </c>
      <c r="B80" s="163" t="s">
        <v>6246</v>
      </c>
      <c r="C80" s="164" t="s">
        <v>20</v>
      </c>
      <c r="D80" s="164">
        <v>30</v>
      </c>
      <c r="E80" s="133">
        <f ca="1">OFFSET(INDEX(Composições!A:J,MATCH(Orçamentária!A80,Composições!A:A,0),8),2,0)</f>
        <v>90.949180999999982</v>
      </c>
      <c r="F80" s="134">
        <f t="shared" ca="1" si="3"/>
        <v>2728.4754299999995</v>
      </c>
      <c r="G80" s="135">
        <f>BDI!$B$17</f>
        <v>0.191</v>
      </c>
      <c r="H80" s="136">
        <f t="shared" ca="1" si="4"/>
        <v>108.32</v>
      </c>
      <c r="I80" s="182">
        <f t="shared" ca="1" si="5"/>
        <v>3249.6</v>
      </c>
      <c r="J80" s="226"/>
      <c r="K80" s="224" t="s">
        <v>8074</v>
      </c>
    </row>
    <row r="81" spans="1:11" s="161" customFormat="1" hidden="1" x14ac:dyDescent="0.25">
      <c r="A81" s="162" t="s">
        <v>110</v>
      </c>
      <c r="B81" s="163" t="s">
        <v>1538</v>
      </c>
      <c r="C81" s="164" t="s">
        <v>20</v>
      </c>
      <c r="D81" s="164">
        <v>30</v>
      </c>
      <c r="E81" s="133">
        <f ca="1">OFFSET(INDEX(Composições!A:J,MATCH(Orçamentária!A81,Composições!A:A,0),8),2,0)</f>
        <v>116.16181049999999</v>
      </c>
      <c r="F81" s="134">
        <f t="shared" ca="1" si="3"/>
        <v>3484.8543149999996</v>
      </c>
      <c r="G81" s="135">
        <f>BDI!$B$17</f>
        <v>0.191</v>
      </c>
      <c r="H81" s="136">
        <f t="shared" ca="1" si="4"/>
        <v>138.35</v>
      </c>
      <c r="I81" s="182">
        <f t="shared" ca="1" si="5"/>
        <v>4150.5</v>
      </c>
      <c r="J81" s="226"/>
      <c r="K81" s="224" t="s">
        <v>8074</v>
      </c>
    </row>
    <row r="82" spans="1:11" s="161" customFormat="1" hidden="1" x14ac:dyDescent="0.25">
      <c r="A82" s="162" t="s">
        <v>111</v>
      </c>
      <c r="B82" s="163" t="s">
        <v>1539</v>
      </c>
      <c r="C82" s="164" t="s">
        <v>108</v>
      </c>
      <c r="D82" s="164">
        <v>10</v>
      </c>
      <c r="E82" s="133">
        <f ca="1">OFFSET(INDEX(Composições!A:J,MATCH(Orçamentária!A82,Composições!A:A,0),8),2,0)</f>
        <v>821.06377456362998</v>
      </c>
      <c r="F82" s="134">
        <f t="shared" ca="1" si="3"/>
        <v>8210.6377456363007</v>
      </c>
      <c r="G82" s="135">
        <f>BDI!$B$17</f>
        <v>0.191</v>
      </c>
      <c r="H82" s="136">
        <f t="shared" ca="1" si="4"/>
        <v>977.89</v>
      </c>
      <c r="I82" s="182">
        <f t="shared" ca="1" si="5"/>
        <v>9778.9</v>
      </c>
      <c r="J82" s="226"/>
      <c r="K82" s="224" t="s">
        <v>8074</v>
      </c>
    </row>
    <row r="83" spans="1:11" s="161" customFormat="1" hidden="1" x14ac:dyDescent="0.25">
      <c r="A83" s="162" t="s">
        <v>123</v>
      </c>
      <c r="B83" s="163" t="s">
        <v>1540</v>
      </c>
      <c r="C83" s="164" t="s">
        <v>108</v>
      </c>
      <c r="D83" s="164">
        <v>20</v>
      </c>
      <c r="E83" s="133">
        <f ca="1">OFFSET(INDEX(Composições!A:J,MATCH(Orçamentária!A83,Composições!A:A,0),8),2,0)</f>
        <v>861.27067217221497</v>
      </c>
      <c r="F83" s="134">
        <f t="shared" ca="1" si="3"/>
        <v>17225.4134434443</v>
      </c>
      <c r="G83" s="135">
        <f>BDI!$B$17</f>
        <v>0.191</v>
      </c>
      <c r="H83" s="136">
        <f t="shared" ca="1" si="4"/>
        <v>1025.77</v>
      </c>
      <c r="I83" s="182">
        <f t="shared" ca="1" si="5"/>
        <v>20515.400000000001</v>
      </c>
      <c r="J83" s="226"/>
      <c r="K83" s="224" t="s">
        <v>8074</v>
      </c>
    </row>
    <row r="84" spans="1:11" s="161" customFormat="1" hidden="1" x14ac:dyDescent="0.25">
      <c r="A84" s="162" t="s">
        <v>124</v>
      </c>
      <c r="B84" s="163" t="s">
        <v>1541</v>
      </c>
      <c r="C84" s="164" t="s">
        <v>1491</v>
      </c>
      <c r="D84" s="164">
        <v>75</v>
      </c>
      <c r="E84" s="133">
        <f ca="1">OFFSET(INDEX(Composições!A:J,MATCH(Orçamentária!A84,Composições!A:A,0),8),2,0)</f>
        <v>20.428800000000003</v>
      </c>
      <c r="F84" s="134">
        <f t="shared" ca="1" si="3"/>
        <v>1532.16</v>
      </c>
      <c r="G84" s="135">
        <f>BDI!$B$17</f>
        <v>0.191</v>
      </c>
      <c r="H84" s="136">
        <f t="shared" ca="1" si="4"/>
        <v>24.33</v>
      </c>
      <c r="I84" s="182">
        <f t="shared" ca="1" si="5"/>
        <v>1824.75</v>
      </c>
      <c r="J84" s="226"/>
      <c r="K84" s="224" t="s">
        <v>8074</v>
      </c>
    </row>
    <row r="85" spans="1:11" hidden="1" x14ac:dyDescent="0.25">
      <c r="A85" s="112" t="s">
        <v>128</v>
      </c>
      <c r="B85" s="113" t="s">
        <v>1542</v>
      </c>
      <c r="C85" s="114" t="s">
        <v>42</v>
      </c>
      <c r="D85" s="114">
        <v>0</v>
      </c>
      <c r="E85" s="133">
        <f ca="1">OFFSET(INDEX(Composições!A:J,MATCH(Orçamentária!A85,Composições!A:A,0),8),2,0)</f>
        <v>14.475625000000001</v>
      </c>
      <c r="F85" s="134">
        <f t="shared" ca="1" si="3"/>
        <v>0</v>
      </c>
      <c r="G85" s="135" t="e">
        <f>IF(A85&lt;&gt;"",IF(AND(#REF!="Padrão",$H$4=#REF!),BDI!$B$17,IF(AND(#REF!="Padrão",$H$4=#REF!),BDI!#REF!,IF(AND(#REF!="Diferenciado",$H$4=#REF!),BDI!$E$17,IF(AND(#REF!="Diferenciado",$H$4=#REF!),BDI!#REF!,IF(#REF!="ZERO",0))))),"")</f>
        <v>#REF!</v>
      </c>
      <c r="H85" s="136" t="e">
        <f t="shared" ca="1" si="4"/>
        <v>#REF!</v>
      </c>
      <c r="I85" s="134" t="e">
        <f t="shared" ca="1" si="5"/>
        <v>#REF!</v>
      </c>
      <c r="J85" s="226"/>
    </row>
    <row r="86" spans="1:11" s="161" customFormat="1" hidden="1" x14ac:dyDescent="0.25">
      <c r="A86" s="162" t="s">
        <v>138</v>
      </c>
      <c r="B86" s="163" t="s">
        <v>1543</v>
      </c>
      <c r="C86" s="164" t="s">
        <v>94</v>
      </c>
      <c r="D86" s="164">
        <v>75</v>
      </c>
      <c r="E86" s="133">
        <f ca="1">OFFSET(INDEX(Composições!A:J,MATCH(Orçamentária!A86,Composições!A:A,0),8),2,0)</f>
        <v>192.65446773199997</v>
      </c>
      <c r="F86" s="134">
        <f t="shared" ca="1" si="3"/>
        <v>14449.085079899998</v>
      </c>
      <c r="G86" s="135">
        <f>BDI!$B$17</f>
        <v>0.191</v>
      </c>
      <c r="H86" s="136">
        <f t="shared" ca="1" si="4"/>
        <v>229.45</v>
      </c>
      <c r="I86" s="182">
        <f t="shared" ca="1" si="5"/>
        <v>17208.75</v>
      </c>
      <c r="J86" s="226"/>
      <c r="K86" s="224" t="s">
        <v>8074</v>
      </c>
    </row>
    <row r="87" spans="1:11" s="161" customFormat="1" hidden="1" x14ac:dyDescent="0.25">
      <c r="A87" s="162" t="s">
        <v>139</v>
      </c>
      <c r="B87" s="163" t="s">
        <v>1544</v>
      </c>
      <c r="C87" s="164" t="s">
        <v>92</v>
      </c>
      <c r="D87" s="164">
        <v>50</v>
      </c>
      <c r="E87" s="133">
        <f ca="1">OFFSET(INDEX(Composições!A:J,MATCH(Orçamentária!A87,Composições!A:A,0),8),2,0)</f>
        <v>36.066860560999999</v>
      </c>
      <c r="F87" s="134">
        <f t="shared" ca="1" si="3"/>
        <v>1803.3430280499999</v>
      </c>
      <c r="G87" s="135">
        <f>BDI!$B$17</f>
        <v>0.191</v>
      </c>
      <c r="H87" s="136">
        <f t="shared" ca="1" si="4"/>
        <v>42.96</v>
      </c>
      <c r="I87" s="182">
        <f t="shared" ca="1" si="5"/>
        <v>2148</v>
      </c>
      <c r="J87" s="226"/>
      <c r="K87" s="224" t="s">
        <v>8074</v>
      </c>
    </row>
    <row r="88" spans="1:11" s="161" customFormat="1" hidden="1" x14ac:dyDescent="0.25">
      <c r="A88" s="162" t="s">
        <v>145</v>
      </c>
      <c r="B88" s="163" t="s">
        <v>1545</v>
      </c>
      <c r="C88" s="164" t="s">
        <v>94</v>
      </c>
      <c r="D88" s="164">
        <v>450</v>
      </c>
      <c r="E88" s="133">
        <f ca="1">OFFSET(INDEX(Composições!A:J,MATCH(Orçamentária!A88,Composições!A:A,0),8),2,0)</f>
        <v>26.653579999999998</v>
      </c>
      <c r="F88" s="134">
        <f t="shared" ca="1" si="3"/>
        <v>11994.110999999999</v>
      </c>
      <c r="G88" s="135">
        <f>BDI!$B$17</f>
        <v>0.191</v>
      </c>
      <c r="H88" s="136">
        <f t="shared" ca="1" si="4"/>
        <v>31.74</v>
      </c>
      <c r="I88" s="182">
        <f t="shared" ca="1" si="5"/>
        <v>14283</v>
      </c>
      <c r="J88" s="226"/>
      <c r="K88" s="224" t="s">
        <v>8074</v>
      </c>
    </row>
    <row r="89" spans="1:11" s="161" customFormat="1" hidden="1" x14ac:dyDescent="0.25">
      <c r="A89" s="162" t="s">
        <v>148</v>
      </c>
      <c r="B89" s="163" t="s">
        <v>1546</v>
      </c>
      <c r="C89" s="164" t="s">
        <v>94</v>
      </c>
      <c r="D89" s="164">
        <v>475</v>
      </c>
      <c r="E89" s="133">
        <f ca="1">OFFSET(INDEX(Composições!A:J,MATCH(Orçamentária!A89,Composições!A:A,0),8),2,0)</f>
        <v>84.157795237117199</v>
      </c>
      <c r="F89" s="134">
        <f t="shared" ca="1" si="3"/>
        <v>39974.952737630672</v>
      </c>
      <c r="G89" s="135">
        <f>BDI!$B$17</f>
        <v>0.191</v>
      </c>
      <c r="H89" s="136">
        <f t="shared" ca="1" si="4"/>
        <v>100.23</v>
      </c>
      <c r="I89" s="182">
        <f t="shared" ca="1" si="5"/>
        <v>47609.25</v>
      </c>
      <c r="J89" s="226"/>
      <c r="K89" s="224" t="s">
        <v>8074</v>
      </c>
    </row>
    <row r="90" spans="1:11" s="161" customFormat="1" hidden="1" x14ac:dyDescent="0.25">
      <c r="A90" s="162" t="s">
        <v>153</v>
      </c>
      <c r="B90" s="163" t="s">
        <v>1547</v>
      </c>
      <c r="C90" s="164" t="s">
        <v>94</v>
      </c>
      <c r="D90" s="164">
        <v>45</v>
      </c>
      <c r="E90" s="133">
        <f ca="1">OFFSET(INDEX(Composições!A:J,MATCH(Orçamentária!A90,Composições!A:A,0),8),2,0)</f>
        <v>56.274864049999998</v>
      </c>
      <c r="F90" s="134">
        <f t="shared" ca="1" si="3"/>
        <v>2532.3688822499998</v>
      </c>
      <c r="G90" s="135">
        <f>BDI!$B$17</f>
        <v>0.191</v>
      </c>
      <c r="H90" s="136">
        <f t="shared" ca="1" si="4"/>
        <v>67.02</v>
      </c>
      <c r="I90" s="182">
        <f t="shared" ca="1" si="5"/>
        <v>3015.9</v>
      </c>
      <c r="J90" s="226"/>
      <c r="K90" s="224" t="s">
        <v>8074</v>
      </c>
    </row>
    <row r="91" spans="1:11" s="161" customFormat="1" hidden="1" x14ac:dyDescent="0.25">
      <c r="A91" s="162" t="s">
        <v>161</v>
      </c>
      <c r="B91" s="163" t="s">
        <v>1548</v>
      </c>
      <c r="C91" s="164" t="s">
        <v>92</v>
      </c>
      <c r="D91" s="164">
        <v>270</v>
      </c>
      <c r="E91" s="133">
        <f ca="1">OFFSET(INDEX(Composições!A:J,MATCH(Orçamentária!A91,Composições!A:A,0),8),2,0)</f>
        <v>25.842796644063199</v>
      </c>
      <c r="F91" s="134">
        <f t="shared" ca="1" si="3"/>
        <v>6977.5550938970637</v>
      </c>
      <c r="G91" s="135">
        <f>BDI!$B$17</f>
        <v>0.191</v>
      </c>
      <c r="H91" s="136">
        <f t="shared" ca="1" si="4"/>
        <v>30.78</v>
      </c>
      <c r="I91" s="182">
        <f t="shared" ca="1" si="5"/>
        <v>8310.6</v>
      </c>
      <c r="J91" s="226"/>
      <c r="K91" s="224" t="s">
        <v>8074</v>
      </c>
    </row>
    <row r="92" spans="1:11" s="161" customFormat="1" hidden="1" x14ac:dyDescent="0.25">
      <c r="A92" s="162" t="s">
        <v>163</v>
      </c>
      <c r="B92" s="163" t="s">
        <v>1549</v>
      </c>
      <c r="C92" s="164" t="s">
        <v>94</v>
      </c>
      <c r="D92" s="164">
        <v>900</v>
      </c>
      <c r="E92" s="133">
        <f ca="1">OFFSET(INDEX(Composições!A:J,MATCH(Orçamentária!A92,Composições!A:A,0),8),2,0)</f>
        <v>81.651516749999999</v>
      </c>
      <c r="F92" s="134">
        <f t="shared" ca="1" si="3"/>
        <v>73486.365074999994</v>
      </c>
      <c r="G92" s="135">
        <f>BDI!$B$17</f>
        <v>0.191</v>
      </c>
      <c r="H92" s="136">
        <f t="shared" ca="1" si="4"/>
        <v>97.25</v>
      </c>
      <c r="I92" s="182">
        <f t="shared" ca="1" si="5"/>
        <v>87525</v>
      </c>
      <c r="J92" s="226"/>
      <c r="K92" s="224" t="s">
        <v>8074</v>
      </c>
    </row>
    <row r="93" spans="1:11" s="161" customFormat="1" hidden="1" x14ac:dyDescent="0.25">
      <c r="A93" s="162" t="s">
        <v>171</v>
      </c>
      <c r="B93" s="163" t="s">
        <v>1550</v>
      </c>
      <c r="C93" s="164" t="s">
        <v>94</v>
      </c>
      <c r="D93" s="164">
        <v>15</v>
      </c>
      <c r="E93" s="133">
        <f ca="1">OFFSET(INDEX(Composições!A:J,MATCH(Orçamentária!A93,Composições!A:A,0),8),2,0)</f>
        <v>5.3493626000000001</v>
      </c>
      <c r="F93" s="134">
        <f t="shared" ca="1" si="3"/>
        <v>80.240438999999995</v>
      </c>
      <c r="G93" s="135">
        <f>BDI!$B$17</f>
        <v>0.191</v>
      </c>
      <c r="H93" s="136">
        <f t="shared" ca="1" si="4"/>
        <v>6.37</v>
      </c>
      <c r="I93" s="182">
        <f t="shared" ca="1" si="5"/>
        <v>95.55</v>
      </c>
      <c r="J93" s="226"/>
      <c r="K93" s="224" t="s">
        <v>8074</v>
      </c>
    </row>
    <row r="94" spans="1:11" s="161" customFormat="1" hidden="1" x14ac:dyDescent="0.25">
      <c r="A94" s="162" t="s">
        <v>172</v>
      </c>
      <c r="B94" s="163" t="s">
        <v>1551</v>
      </c>
      <c r="C94" s="164" t="s">
        <v>94</v>
      </c>
      <c r="D94" s="164">
        <v>40</v>
      </c>
      <c r="E94" s="133">
        <f ca="1">OFFSET(INDEX(Composições!A:J,MATCH(Orçamentária!A94,Composições!A:A,0),8),2,0)</f>
        <v>84.786909051276382</v>
      </c>
      <c r="F94" s="134">
        <f t="shared" ca="1" si="3"/>
        <v>3391.4763620510553</v>
      </c>
      <c r="G94" s="135">
        <f>BDI!$B$17</f>
        <v>0.191</v>
      </c>
      <c r="H94" s="136">
        <f t="shared" ca="1" si="4"/>
        <v>100.98</v>
      </c>
      <c r="I94" s="182">
        <f t="shared" ca="1" si="5"/>
        <v>4039.2</v>
      </c>
      <c r="J94" s="226"/>
      <c r="K94" s="224" t="s">
        <v>8074</v>
      </c>
    </row>
    <row r="95" spans="1:11" s="161" customFormat="1" hidden="1" x14ac:dyDescent="0.25">
      <c r="A95" s="162" t="s">
        <v>173</v>
      </c>
      <c r="B95" s="163" t="s">
        <v>1552</v>
      </c>
      <c r="C95" s="164" t="s">
        <v>94</v>
      </c>
      <c r="D95" s="164">
        <v>30</v>
      </c>
      <c r="E95" s="133">
        <f ca="1">OFFSET(INDEX(Composições!A:J,MATCH(Orçamentária!A95,Composições!A:A,0),8),2,0)</f>
        <v>10.818510889999999</v>
      </c>
      <c r="F95" s="134">
        <f t="shared" ca="1" si="3"/>
        <v>324.55532669999997</v>
      </c>
      <c r="G95" s="135">
        <f>BDI!$B$17</f>
        <v>0.191</v>
      </c>
      <c r="H95" s="136">
        <f t="shared" ca="1" si="4"/>
        <v>12.88</v>
      </c>
      <c r="I95" s="182">
        <f t="shared" ca="1" si="5"/>
        <v>386.4</v>
      </c>
      <c r="J95" s="226"/>
      <c r="K95" s="224" t="s">
        <v>8074</v>
      </c>
    </row>
    <row r="96" spans="1:11" s="161" customFormat="1" hidden="1" x14ac:dyDescent="0.25">
      <c r="A96" s="162" t="s">
        <v>175</v>
      </c>
      <c r="B96" s="163" t="s">
        <v>1553</v>
      </c>
      <c r="C96" s="164" t="s">
        <v>94</v>
      </c>
      <c r="D96" s="164">
        <v>950</v>
      </c>
      <c r="E96" s="133">
        <f ca="1">OFFSET(INDEX(Composições!A:J,MATCH(Orçamentária!A96,Composições!A:A,0),8),2,0)</f>
        <v>4.8177136120876005</v>
      </c>
      <c r="F96" s="134">
        <f t="shared" ca="1" si="3"/>
        <v>4576.8279314832207</v>
      </c>
      <c r="G96" s="135">
        <f>BDI!$B$17</f>
        <v>0.191</v>
      </c>
      <c r="H96" s="136">
        <f t="shared" ca="1" si="4"/>
        <v>5.74</v>
      </c>
      <c r="I96" s="182">
        <f t="shared" ca="1" si="5"/>
        <v>5453</v>
      </c>
      <c r="J96" s="226"/>
      <c r="K96" s="224" t="s">
        <v>8074</v>
      </c>
    </row>
    <row r="97" spans="1:11" s="161" customFormat="1" hidden="1" x14ac:dyDescent="0.25">
      <c r="A97" s="162" t="s">
        <v>177</v>
      </c>
      <c r="B97" s="163" t="s">
        <v>179</v>
      </c>
      <c r="C97" s="164" t="s">
        <v>94</v>
      </c>
      <c r="D97" s="164">
        <v>485</v>
      </c>
      <c r="E97" s="133">
        <f ca="1">OFFSET(INDEX(Composições!A:J,MATCH(Orçamentária!A97,Composições!A:A,0),8),2,0)</f>
        <v>14.82264</v>
      </c>
      <c r="F97" s="134">
        <f t="shared" ca="1" si="3"/>
        <v>7188.9803999999995</v>
      </c>
      <c r="G97" s="135">
        <f>BDI!$B$17</f>
        <v>0.191</v>
      </c>
      <c r="H97" s="136">
        <f t="shared" ca="1" si="4"/>
        <v>17.649999999999999</v>
      </c>
      <c r="I97" s="182">
        <f t="shared" ca="1" si="5"/>
        <v>8560.25</v>
      </c>
      <c r="J97" s="226"/>
      <c r="K97" s="224" t="s">
        <v>8074</v>
      </c>
    </row>
    <row r="98" spans="1:11" s="161" customFormat="1" hidden="1" x14ac:dyDescent="0.25">
      <c r="A98" s="162" t="s">
        <v>181</v>
      </c>
      <c r="B98" s="163" t="s">
        <v>1554</v>
      </c>
      <c r="C98" s="164" t="s">
        <v>94</v>
      </c>
      <c r="D98" s="164">
        <v>950</v>
      </c>
      <c r="E98" s="133">
        <f ca="1">OFFSET(INDEX(Composições!A:J,MATCH(Orçamentária!A98,Composições!A:A,0),8),2,0)</f>
        <v>39.797420900000006</v>
      </c>
      <c r="F98" s="134">
        <f t="shared" ca="1" si="3"/>
        <v>37807.549855000005</v>
      </c>
      <c r="G98" s="135">
        <f>BDI!$B$17</f>
        <v>0.191</v>
      </c>
      <c r="H98" s="136">
        <f t="shared" ca="1" si="4"/>
        <v>47.4</v>
      </c>
      <c r="I98" s="182">
        <f t="shared" ca="1" si="5"/>
        <v>45030</v>
      </c>
      <c r="J98" s="226"/>
      <c r="K98" s="224" t="s">
        <v>8074</v>
      </c>
    </row>
    <row r="99" spans="1:11" s="161" customFormat="1" hidden="1" x14ac:dyDescent="0.25">
      <c r="A99" s="162" t="s">
        <v>185</v>
      </c>
      <c r="B99" s="163" t="s">
        <v>1555</v>
      </c>
      <c r="C99" s="164" t="s">
        <v>94</v>
      </c>
      <c r="D99" s="164">
        <v>360</v>
      </c>
      <c r="E99" s="133">
        <f ca="1">OFFSET(INDEX(Composições!A:J,MATCH(Orçamentária!A99,Composições!A:A,0),8),2,0)</f>
        <v>13.417156374999999</v>
      </c>
      <c r="F99" s="134">
        <f t="shared" ca="1" si="3"/>
        <v>4830.1762950000002</v>
      </c>
      <c r="G99" s="135">
        <f>BDI!$B$17</f>
        <v>0.191</v>
      </c>
      <c r="H99" s="136">
        <f t="shared" ca="1" si="4"/>
        <v>15.98</v>
      </c>
      <c r="I99" s="182">
        <f t="shared" ca="1" si="5"/>
        <v>5752.8</v>
      </c>
      <c r="J99" s="226"/>
      <c r="K99" s="224" t="s">
        <v>8074</v>
      </c>
    </row>
    <row r="100" spans="1:11" s="161" customFormat="1" hidden="1" x14ac:dyDescent="0.25">
      <c r="A100" s="162" t="s">
        <v>186</v>
      </c>
      <c r="B100" s="163" t="s">
        <v>1556</v>
      </c>
      <c r="C100" s="164" t="s">
        <v>92</v>
      </c>
      <c r="D100" s="164">
        <v>70</v>
      </c>
      <c r="E100" s="133">
        <f ca="1">OFFSET(INDEX(Composições!A:J,MATCH(Orçamentária!A100,Composições!A:A,0),8),2,0)</f>
        <v>29.615900199999999</v>
      </c>
      <c r="F100" s="134">
        <f t="shared" ca="1" si="3"/>
        <v>2073.113014</v>
      </c>
      <c r="G100" s="135">
        <f>BDI!$B$17</f>
        <v>0.191</v>
      </c>
      <c r="H100" s="136">
        <f t="shared" ca="1" si="4"/>
        <v>35.270000000000003</v>
      </c>
      <c r="I100" s="182">
        <f t="shared" ca="1" si="5"/>
        <v>2468.9</v>
      </c>
      <c r="J100" s="226"/>
      <c r="K100" s="224" t="s">
        <v>8074</v>
      </c>
    </row>
    <row r="101" spans="1:11" s="161" customFormat="1" hidden="1" x14ac:dyDescent="0.25">
      <c r="A101" s="162" t="s">
        <v>190</v>
      </c>
      <c r="B101" s="163" t="s">
        <v>1557</v>
      </c>
      <c r="C101" s="164" t="s">
        <v>94</v>
      </c>
      <c r="D101" s="164">
        <v>4860</v>
      </c>
      <c r="E101" s="133">
        <f ca="1">OFFSET(INDEX(Composições!A:J,MATCH(Orçamentária!A101,Composições!A:A,0),8),2,0)</f>
        <v>4.8526284999999998</v>
      </c>
      <c r="F101" s="134">
        <f t="shared" ca="1" si="3"/>
        <v>23583.774509999999</v>
      </c>
      <c r="G101" s="135">
        <f>BDI!$B$17</f>
        <v>0.191</v>
      </c>
      <c r="H101" s="136">
        <f t="shared" ca="1" si="4"/>
        <v>5.78</v>
      </c>
      <c r="I101" s="182">
        <f t="shared" ca="1" si="5"/>
        <v>28090.799999999999</v>
      </c>
      <c r="J101" s="226"/>
      <c r="K101" s="224" t="s">
        <v>8074</v>
      </c>
    </row>
    <row r="102" spans="1:11" s="161" customFormat="1" hidden="1" x14ac:dyDescent="0.25">
      <c r="A102" s="162" t="s">
        <v>192</v>
      </c>
      <c r="B102" s="163" t="s">
        <v>6247</v>
      </c>
      <c r="C102" s="164" t="s">
        <v>94</v>
      </c>
      <c r="D102" s="164">
        <v>300</v>
      </c>
      <c r="E102" s="133">
        <f ca="1">OFFSET(INDEX(Composições!A:J,MATCH(Orçamentária!A102,Composições!A:A,0),8),2,0)</f>
        <v>17.033647500000001</v>
      </c>
      <c r="F102" s="134">
        <f t="shared" ca="1" si="3"/>
        <v>5110.0942500000001</v>
      </c>
      <c r="G102" s="135">
        <f>BDI!$B$17</f>
        <v>0.191</v>
      </c>
      <c r="H102" s="136">
        <f t="shared" ca="1" si="4"/>
        <v>20.29</v>
      </c>
      <c r="I102" s="182">
        <f t="shared" ca="1" si="5"/>
        <v>6087</v>
      </c>
      <c r="J102" s="226"/>
      <c r="K102" s="224" t="s">
        <v>8074</v>
      </c>
    </row>
    <row r="103" spans="1:11" s="161" customFormat="1" hidden="1" x14ac:dyDescent="0.25">
      <c r="A103" s="162" t="s">
        <v>197</v>
      </c>
      <c r="B103" s="163" t="s">
        <v>1558</v>
      </c>
      <c r="C103" s="164" t="s">
        <v>94</v>
      </c>
      <c r="D103" s="164">
        <v>900</v>
      </c>
      <c r="E103" s="133">
        <f ca="1">OFFSET(INDEX(Composições!A:J,MATCH(Orçamentária!A103,Composições!A:A,0),8),2,0)</f>
        <v>20.858242180000001</v>
      </c>
      <c r="F103" s="134">
        <f t="shared" ca="1" si="3"/>
        <v>18772.417962</v>
      </c>
      <c r="G103" s="135">
        <f>BDI!$B$17</f>
        <v>0.191</v>
      </c>
      <c r="H103" s="136">
        <f t="shared" ca="1" si="4"/>
        <v>24.84</v>
      </c>
      <c r="I103" s="182">
        <f t="shared" ca="1" si="5"/>
        <v>22356</v>
      </c>
      <c r="J103" s="226"/>
      <c r="K103" s="224" t="s">
        <v>8074</v>
      </c>
    </row>
    <row r="104" spans="1:11" s="161" customFormat="1" hidden="1" x14ac:dyDescent="0.25">
      <c r="A104" s="162" t="s">
        <v>198</v>
      </c>
      <c r="B104" s="163" t="s">
        <v>1559</v>
      </c>
      <c r="C104" s="164" t="s">
        <v>94</v>
      </c>
      <c r="D104" s="164">
        <v>3000</v>
      </c>
      <c r="E104" s="133">
        <f ca="1">OFFSET(INDEX(Composições!A:J,MATCH(Orçamentária!A104,Composições!A:A,0),8),2,0)</f>
        <v>16.183667620000001</v>
      </c>
      <c r="F104" s="134">
        <f t="shared" ca="1" si="3"/>
        <v>48551.002860000001</v>
      </c>
      <c r="G104" s="135">
        <f>BDI!$B$17</f>
        <v>0.191</v>
      </c>
      <c r="H104" s="136">
        <f t="shared" ca="1" si="4"/>
        <v>19.27</v>
      </c>
      <c r="I104" s="182">
        <f t="shared" ca="1" si="5"/>
        <v>57810</v>
      </c>
      <c r="J104" s="226"/>
      <c r="K104" s="224" t="s">
        <v>8074</v>
      </c>
    </row>
    <row r="105" spans="1:11" s="161" customFormat="1" hidden="1" x14ac:dyDescent="0.25">
      <c r="A105" s="162" t="s">
        <v>199</v>
      </c>
      <c r="B105" s="163" t="s">
        <v>1560</v>
      </c>
      <c r="C105" s="164" t="s">
        <v>94</v>
      </c>
      <c r="D105" s="164">
        <v>8550</v>
      </c>
      <c r="E105" s="133">
        <f ca="1">OFFSET(INDEX(Composições!A:J,MATCH(Orçamentária!A105,Composições!A:A,0),8),2,0)</f>
        <v>14.441671999999999</v>
      </c>
      <c r="F105" s="134">
        <f t="shared" ca="1" si="3"/>
        <v>123476.29559999998</v>
      </c>
      <c r="G105" s="135">
        <f>BDI!$B$17</f>
        <v>0.191</v>
      </c>
      <c r="H105" s="136">
        <f t="shared" ca="1" si="4"/>
        <v>17.2</v>
      </c>
      <c r="I105" s="182">
        <f t="shared" ca="1" si="5"/>
        <v>147060</v>
      </c>
      <c r="J105" s="226"/>
      <c r="K105" s="224" t="s">
        <v>8074</v>
      </c>
    </row>
    <row r="106" spans="1:11" s="161" customFormat="1" hidden="1" x14ac:dyDescent="0.25">
      <c r="A106" s="162" t="s">
        <v>200</v>
      </c>
      <c r="B106" s="163" t="s">
        <v>1561</v>
      </c>
      <c r="C106" s="164" t="s">
        <v>94</v>
      </c>
      <c r="D106" s="164">
        <v>270</v>
      </c>
      <c r="E106" s="133">
        <f ca="1">OFFSET(INDEX(Composições!A:J,MATCH(Orçamentária!A106,Composições!A:A,0),8),2,0)</f>
        <v>23.105634999999999</v>
      </c>
      <c r="F106" s="134">
        <f t="shared" ca="1" si="3"/>
        <v>6238.5214500000002</v>
      </c>
      <c r="G106" s="135">
        <f>BDI!$B$17</f>
        <v>0.191</v>
      </c>
      <c r="H106" s="136">
        <f t="shared" ca="1" si="4"/>
        <v>27.52</v>
      </c>
      <c r="I106" s="182">
        <f t="shared" ca="1" si="5"/>
        <v>7430.4</v>
      </c>
      <c r="J106" s="226"/>
      <c r="K106" s="224" t="s">
        <v>8074</v>
      </c>
    </row>
    <row r="107" spans="1:11" s="161" customFormat="1" hidden="1" x14ac:dyDescent="0.25">
      <c r="A107" s="162" t="s">
        <v>202</v>
      </c>
      <c r="B107" s="163" t="s">
        <v>1562</v>
      </c>
      <c r="C107" s="164" t="s">
        <v>94</v>
      </c>
      <c r="D107" s="164">
        <v>375</v>
      </c>
      <c r="E107" s="133">
        <f ca="1">OFFSET(INDEX(Composições!A:J,MATCH(Orçamentária!A107,Composições!A:A,0),8),2,0)</f>
        <v>19.318344999999997</v>
      </c>
      <c r="F107" s="134">
        <f t="shared" ca="1" si="3"/>
        <v>7244.3793749999986</v>
      </c>
      <c r="G107" s="135">
        <f>BDI!$B$17</f>
        <v>0.191</v>
      </c>
      <c r="H107" s="136">
        <f t="shared" ca="1" si="4"/>
        <v>23.01</v>
      </c>
      <c r="I107" s="182">
        <f t="shared" ca="1" si="5"/>
        <v>8628.75</v>
      </c>
      <c r="J107" s="226"/>
      <c r="K107" s="224" t="s">
        <v>8074</v>
      </c>
    </row>
    <row r="108" spans="1:11" s="161" customFormat="1" hidden="1" x14ac:dyDescent="0.25">
      <c r="A108" s="162" t="s">
        <v>204</v>
      </c>
      <c r="B108" s="163" t="s">
        <v>1563</v>
      </c>
      <c r="C108" s="164" t="s">
        <v>94</v>
      </c>
      <c r="D108" s="164">
        <v>5400</v>
      </c>
      <c r="E108" s="133">
        <f ca="1">OFFSET(INDEX(Composições!A:J,MATCH(Orçamentária!A108,Composições!A:A,0),8),2,0)</f>
        <v>16.285669499999997</v>
      </c>
      <c r="F108" s="134">
        <f t="shared" ca="1" si="3"/>
        <v>87942.61529999999</v>
      </c>
      <c r="G108" s="135">
        <f>BDI!$B$17</f>
        <v>0.191</v>
      </c>
      <c r="H108" s="136">
        <f t="shared" ca="1" si="4"/>
        <v>19.399999999999999</v>
      </c>
      <c r="I108" s="182">
        <f t="shared" ca="1" si="5"/>
        <v>104760</v>
      </c>
      <c r="J108" s="226"/>
      <c r="K108" s="224" t="s">
        <v>8074</v>
      </c>
    </row>
    <row r="109" spans="1:11" hidden="1" x14ac:dyDescent="0.25">
      <c r="A109" s="112" t="s">
        <v>205</v>
      </c>
      <c r="B109" s="113" t="s">
        <v>1564</v>
      </c>
      <c r="C109" s="114" t="s">
        <v>94</v>
      </c>
      <c r="D109" s="114">
        <v>0</v>
      </c>
      <c r="E109" s="133">
        <f ca="1">OFFSET(INDEX(Composições!A:J,MATCH(Orçamentária!A109,Composições!A:A,0),8),2,0)</f>
        <v>73.20320000000001</v>
      </c>
      <c r="F109" s="134">
        <f t="shared" ca="1" si="3"/>
        <v>0</v>
      </c>
      <c r="G109" s="135" t="e">
        <f>IF(A109&lt;&gt;"",IF(AND(#REF!="Padrão",$H$4=#REF!),BDI!$B$17,IF(AND(#REF!="Padrão",$H$4=#REF!),BDI!#REF!,IF(AND(#REF!="Diferenciado",$H$4=#REF!),BDI!$E$17,IF(AND(#REF!="Diferenciado",$H$4=#REF!),BDI!#REF!,IF(#REF!="ZERO",0))))),"")</f>
        <v>#REF!</v>
      </c>
      <c r="H109" s="136" t="e">
        <f t="shared" ca="1" si="4"/>
        <v>#REF!</v>
      </c>
      <c r="I109" s="134" t="e">
        <f t="shared" ca="1" si="5"/>
        <v>#REF!</v>
      </c>
      <c r="J109" s="226"/>
    </row>
    <row r="110" spans="1:11" s="161" customFormat="1" hidden="1" x14ac:dyDescent="0.25">
      <c r="A110" s="162" t="s">
        <v>207</v>
      </c>
      <c r="B110" s="163" t="s">
        <v>1565</v>
      </c>
      <c r="C110" s="164" t="s">
        <v>94</v>
      </c>
      <c r="D110" s="164">
        <v>250</v>
      </c>
      <c r="E110" s="133">
        <f ca="1">OFFSET(INDEX(Composições!A:J,MATCH(Orçamentária!A110,Composições!A:A,0),8),2,0)</f>
        <v>55.993660840234995</v>
      </c>
      <c r="F110" s="134">
        <f t="shared" ca="1" si="3"/>
        <v>13998.415210058749</v>
      </c>
      <c r="G110" s="135">
        <f>BDI!$B$17</f>
        <v>0.191</v>
      </c>
      <c r="H110" s="136">
        <f t="shared" ca="1" si="4"/>
        <v>66.69</v>
      </c>
      <c r="I110" s="182">
        <f t="shared" ca="1" si="5"/>
        <v>16672.5</v>
      </c>
      <c r="J110" s="226"/>
      <c r="K110" s="224" t="s">
        <v>8074</v>
      </c>
    </row>
    <row r="111" spans="1:11" s="161" customFormat="1" hidden="1" x14ac:dyDescent="0.25">
      <c r="A111" s="162" t="s">
        <v>210</v>
      </c>
      <c r="B111" s="163" t="s">
        <v>1566</v>
      </c>
      <c r="C111" s="164" t="s">
        <v>94</v>
      </c>
      <c r="D111" s="164">
        <v>750</v>
      </c>
      <c r="E111" s="133">
        <f ca="1">OFFSET(INDEX(Composições!A:J,MATCH(Orçamentária!A111,Composições!A:A,0),8),2,0)</f>
        <v>35.996916293344988</v>
      </c>
      <c r="F111" s="134">
        <f t="shared" ca="1" si="3"/>
        <v>26997.687220008742</v>
      </c>
      <c r="G111" s="135">
        <f>BDI!$B$17</f>
        <v>0.191</v>
      </c>
      <c r="H111" s="136">
        <f t="shared" ca="1" si="4"/>
        <v>42.87</v>
      </c>
      <c r="I111" s="182">
        <f t="shared" ca="1" si="5"/>
        <v>32152.5</v>
      </c>
      <c r="J111" s="226"/>
      <c r="K111" s="224" t="s">
        <v>8074</v>
      </c>
    </row>
    <row r="112" spans="1:11" s="161" customFormat="1" hidden="1" x14ac:dyDescent="0.25">
      <c r="A112" s="162" t="s">
        <v>211</v>
      </c>
      <c r="B112" s="163" t="s">
        <v>1567</v>
      </c>
      <c r="C112" s="164" t="s">
        <v>94</v>
      </c>
      <c r="D112" s="164">
        <v>720</v>
      </c>
      <c r="E112" s="133">
        <f ca="1">OFFSET(INDEX(Composições!A:J,MATCH(Orçamentária!A112,Composições!A:A,0),8),2,0)</f>
        <v>275.06590699999998</v>
      </c>
      <c r="F112" s="134">
        <f t="shared" ca="1" si="3"/>
        <v>198047.45303999999</v>
      </c>
      <c r="G112" s="135">
        <f>BDI!$B$17</f>
        <v>0.191</v>
      </c>
      <c r="H112" s="136">
        <f t="shared" ca="1" si="4"/>
        <v>327.60000000000002</v>
      </c>
      <c r="I112" s="182">
        <f t="shared" ca="1" si="5"/>
        <v>235872</v>
      </c>
      <c r="J112" s="226"/>
      <c r="K112" s="224" t="s">
        <v>8074</v>
      </c>
    </row>
    <row r="113" spans="1:11" s="161" customFormat="1" hidden="1" x14ac:dyDescent="0.25">
      <c r="A113" s="162" t="s">
        <v>213</v>
      </c>
      <c r="B113" s="163" t="s">
        <v>1568</v>
      </c>
      <c r="C113" s="164" t="s">
        <v>94</v>
      </c>
      <c r="D113" s="164">
        <v>180</v>
      </c>
      <c r="E113" s="133">
        <f ca="1">OFFSET(INDEX(Composições!A:J,MATCH(Orçamentária!A113,Composições!A:A,0),8),2,0)</f>
        <v>943.0945720000002</v>
      </c>
      <c r="F113" s="134">
        <f t="shared" ca="1" si="3"/>
        <v>169757.02296000003</v>
      </c>
      <c r="G113" s="135">
        <f>BDI!$B$17</f>
        <v>0.191</v>
      </c>
      <c r="H113" s="136">
        <f t="shared" ca="1" si="4"/>
        <v>1123.23</v>
      </c>
      <c r="I113" s="182">
        <f t="shared" ca="1" si="5"/>
        <v>202181.4</v>
      </c>
      <c r="J113" s="226"/>
      <c r="K113" s="224" t="s">
        <v>8074</v>
      </c>
    </row>
    <row r="114" spans="1:11" s="161" customFormat="1" hidden="1" x14ac:dyDescent="0.25">
      <c r="A114" s="162" t="s">
        <v>216</v>
      </c>
      <c r="B114" s="163" t="s">
        <v>1569</v>
      </c>
      <c r="C114" s="164" t="s">
        <v>94</v>
      </c>
      <c r="D114" s="164">
        <v>20</v>
      </c>
      <c r="E114" s="133">
        <f ca="1">OFFSET(INDEX(Composições!A:J,MATCH(Orçamentária!A114,Composições!A:A,0),8),2,0)</f>
        <v>632.08834149999996</v>
      </c>
      <c r="F114" s="134">
        <f t="shared" ca="1" si="3"/>
        <v>12641.766829999999</v>
      </c>
      <c r="G114" s="135">
        <f>BDI!$B$17</f>
        <v>0.191</v>
      </c>
      <c r="H114" s="136">
        <f t="shared" ca="1" si="4"/>
        <v>752.82</v>
      </c>
      <c r="I114" s="182">
        <f t="shared" ca="1" si="5"/>
        <v>15056.4</v>
      </c>
      <c r="J114" s="226"/>
      <c r="K114" s="224" t="s">
        <v>8074</v>
      </c>
    </row>
    <row r="115" spans="1:11" s="161" customFormat="1" hidden="1" x14ac:dyDescent="0.25">
      <c r="A115" s="162" t="s">
        <v>219</v>
      </c>
      <c r="B115" s="163" t="s">
        <v>1570</v>
      </c>
      <c r="C115" s="164" t="s">
        <v>94</v>
      </c>
      <c r="D115" s="164">
        <v>25</v>
      </c>
      <c r="E115" s="133">
        <f ca="1">OFFSET(INDEX(Composições!A:J,MATCH(Orçamentária!A115,Composições!A:A,0),8),2,0)</f>
        <v>385.26590699999997</v>
      </c>
      <c r="F115" s="134">
        <f t="shared" ca="1" si="3"/>
        <v>9631.6476750000002</v>
      </c>
      <c r="G115" s="135">
        <f>BDI!$B$17</f>
        <v>0.191</v>
      </c>
      <c r="H115" s="136">
        <f t="shared" ca="1" si="4"/>
        <v>458.85</v>
      </c>
      <c r="I115" s="182">
        <f t="shared" ca="1" si="5"/>
        <v>11471.25</v>
      </c>
      <c r="J115" s="226"/>
      <c r="K115" s="224" t="s">
        <v>8074</v>
      </c>
    </row>
    <row r="116" spans="1:11" s="161" customFormat="1" hidden="1" x14ac:dyDescent="0.25">
      <c r="A116" s="162" t="s">
        <v>221</v>
      </c>
      <c r="B116" s="163" t="s">
        <v>1571</v>
      </c>
      <c r="C116" s="164" t="s">
        <v>94</v>
      </c>
      <c r="D116" s="164">
        <v>3</v>
      </c>
      <c r="E116" s="133">
        <f ca="1">OFFSET(INDEX(Composições!A:J,MATCH(Orçamentária!A116,Composições!A:A,0),8),2,0)</f>
        <v>922.59997700000008</v>
      </c>
      <c r="F116" s="134">
        <f t="shared" ca="1" si="3"/>
        <v>2767.7999310000005</v>
      </c>
      <c r="G116" s="135">
        <f>BDI!$B$17</f>
        <v>0.191</v>
      </c>
      <c r="H116" s="136">
        <f t="shared" ca="1" si="4"/>
        <v>1098.82</v>
      </c>
      <c r="I116" s="182">
        <f t="shared" ca="1" si="5"/>
        <v>3296.46</v>
      </c>
      <c r="J116" s="226"/>
      <c r="K116" s="224" t="s">
        <v>8074</v>
      </c>
    </row>
    <row r="117" spans="1:11" s="161" customFormat="1" hidden="1" x14ac:dyDescent="0.25">
      <c r="A117" s="162" t="s">
        <v>223</v>
      </c>
      <c r="B117" s="163" t="s">
        <v>1572</v>
      </c>
      <c r="C117" s="164" t="s">
        <v>94</v>
      </c>
      <c r="D117" s="164">
        <v>2</v>
      </c>
      <c r="E117" s="133">
        <f ca="1">OFFSET(INDEX(Composições!A:J,MATCH(Orçamentária!A117,Composições!A:A,0),8),2,0)</f>
        <v>605.42154149999999</v>
      </c>
      <c r="F117" s="134">
        <f t="shared" ca="1" si="3"/>
        <v>1210.843083</v>
      </c>
      <c r="G117" s="135">
        <f>BDI!$B$17</f>
        <v>0.191</v>
      </c>
      <c r="H117" s="136">
        <f t="shared" ca="1" si="4"/>
        <v>721.06</v>
      </c>
      <c r="I117" s="182">
        <f t="shared" ca="1" si="5"/>
        <v>1442.12</v>
      </c>
      <c r="J117" s="226"/>
      <c r="K117" s="224" t="s">
        <v>8074</v>
      </c>
    </row>
    <row r="118" spans="1:11" s="161" customFormat="1" hidden="1" x14ac:dyDescent="0.25">
      <c r="A118" s="162" t="s">
        <v>225</v>
      </c>
      <c r="B118" s="163" t="s">
        <v>1573</v>
      </c>
      <c r="C118" s="164" t="s">
        <v>92</v>
      </c>
      <c r="D118" s="164">
        <v>65</v>
      </c>
      <c r="E118" s="133">
        <f ca="1">OFFSET(INDEX(Composições!A:J,MATCH(Orçamentária!A118,Composições!A:A,0),8),2,0)</f>
        <v>13.40547565</v>
      </c>
      <c r="F118" s="134">
        <f t="shared" ca="1" si="3"/>
        <v>871.35591724999995</v>
      </c>
      <c r="G118" s="135">
        <f>BDI!$B$17</f>
        <v>0.191</v>
      </c>
      <c r="H118" s="136">
        <f t="shared" ca="1" si="4"/>
        <v>15.97</v>
      </c>
      <c r="I118" s="182">
        <f t="shared" ca="1" si="5"/>
        <v>1038.05</v>
      </c>
      <c r="J118" s="226"/>
      <c r="K118" s="224" t="s">
        <v>8074</v>
      </c>
    </row>
    <row r="119" spans="1:11" s="161" customFormat="1" hidden="1" x14ac:dyDescent="0.25">
      <c r="A119" s="162" t="s">
        <v>226</v>
      </c>
      <c r="B119" s="163" t="s">
        <v>1574</v>
      </c>
      <c r="C119" s="164" t="s">
        <v>94</v>
      </c>
      <c r="D119" s="164">
        <v>10</v>
      </c>
      <c r="E119" s="133">
        <f ca="1">OFFSET(INDEX(Composições!A:J,MATCH(Orçamentária!A119,Composições!A:A,0),8),2,0)</f>
        <v>344.665907</v>
      </c>
      <c r="F119" s="134">
        <f t="shared" ca="1" si="3"/>
        <v>3446.6590700000002</v>
      </c>
      <c r="G119" s="135">
        <f>BDI!$B$17</f>
        <v>0.191</v>
      </c>
      <c r="H119" s="136">
        <f t="shared" ca="1" si="4"/>
        <v>410.5</v>
      </c>
      <c r="I119" s="182">
        <f t="shared" ca="1" si="5"/>
        <v>4105</v>
      </c>
      <c r="J119" s="226"/>
      <c r="K119" s="224" t="s">
        <v>8074</v>
      </c>
    </row>
    <row r="120" spans="1:11" s="161" customFormat="1" hidden="1" x14ac:dyDescent="0.25">
      <c r="A120" s="162" t="s">
        <v>228</v>
      </c>
      <c r="B120" s="163" t="s">
        <v>1575</v>
      </c>
      <c r="C120" s="164" t="s">
        <v>94</v>
      </c>
      <c r="D120" s="164">
        <v>30</v>
      </c>
      <c r="E120" s="133">
        <f ca="1">OFFSET(INDEX(Composições!A:J,MATCH(Orçamentária!A120,Composições!A:A,0),8),2,0)</f>
        <v>623.56470699999988</v>
      </c>
      <c r="F120" s="134">
        <f t="shared" ca="1" si="3"/>
        <v>18706.941209999997</v>
      </c>
      <c r="G120" s="135">
        <f>BDI!$B$17</f>
        <v>0.191</v>
      </c>
      <c r="H120" s="136">
        <f t="shared" ca="1" si="4"/>
        <v>742.67</v>
      </c>
      <c r="I120" s="182">
        <f t="shared" ca="1" si="5"/>
        <v>22280.1</v>
      </c>
      <c r="J120" s="226"/>
      <c r="K120" s="224" t="s">
        <v>8074</v>
      </c>
    </row>
    <row r="121" spans="1:11" s="161" customFormat="1" hidden="1" x14ac:dyDescent="0.25">
      <c r="A121" s="162" t="s">
        <v>230</v>
      </c>
      <c r="B121" s="163" t="s">
        <v>1576</v>
      </c>
      <c r="C121" s="164" t="s">
        <v>92</v>
      </c>
      <c r="D121" s="164">
        <v>65</v>
      </c>
      <c r="E121" s="133">
        <f ca="1">OFFSET(INDEX(Composições!A:J,MATCH(Orçamentária!A121,Composições!A:A,0),8),2,0)</f>
        <v>30.474695649999994</v>
      </c>
      <c r="F121" s="134">
        <f t="shared" ca="1" si="3"/>
        <v>1980.8552172499997</v>
      </c>
      <c r="G121" s="135">
        <f>BDI!$B$17</f>
        <v>0.191</v>
      </c>
      <c r="H121" s="136">
        <f t="shared" ca="1" si="4"/>
        <v>36.299999999999997</v>
      </c>
      <c r="I121" s="182">
        <f t="shared" ca="1" si="5"/>
        <v>2359.5</v>
      </c>
      <c r="J121" s="226"/>
      <c r="K121" s="224" t="s">
        <v>8074</v>
      </c>
    </row>
    <row r="122" spans="1:11" s="161" customFormat="1" hidden="1" x14ac:dyDescent="0.25">
      <c r="A122" s="162" t="s">
        <v>232</v>
      </c>
      <c r="B122" s="163" t="s">
        <v>1577</v>
      </c>
      <c r="C122" s="164" t="s">
        <v>92</v>
      </c>
      <c r="D122" s="164">
        <v>15</v>
      </c>
      <c r="E122" s="133">
        <f ca="1">OFFSET(INDEX(Composições!A:J,MATCH(Orçamentária!A122,Composições!A:A,0),8),2,0)</f>
        <v>49.59</v>
      </c>
      <c r="F122" s="134">
        <f t="shared" ca="1" si="3"/>
        <v>743.85</v>
      </c>
      <c r="G122" s="135">
        <f>BDI!$B$17</f>
        <v>0.191</v>
      </c>
      <c r="H122" s="136">
        <f t="shared" ca="1" si="4"/>
        <v>59.06</v>
      </c>
      <c r="I122" s="182">
        <f t="shared" ca="1" si="5"/>
        <v>885.9</v>
      </c>
      <c r="J122" s="226"/>
      <c r="K122" s="224" t="s">
        <v>8074</v>
      </c>
    </row>
    <row r="123" spans="1:11" s="161" customFormat="1" hidden="1" x14ac:dyDescent="0.25">
      <c r="A123" s="162" t="s">
        <v>233</v>
      </c>
      <c r="B123" s="163" t="s">
        <v>1578</v>
      </c>
      <c r="C123" s="164" t="s">
        <v>92</v>
      </c>
      <c r="D123" s="164">
        <v>15</v>
      </c>
      <c r="E123" s="133">
        <f ca="1">OFFSET(INDEX(Composições!A:J,MATCH(Orçamentária!A123,Composições!A:A,0),8),2,0)</f>
        <v>43.391249999999999</v>
      </c>
      <c r="F123" s="134">
        <f t="shared" ca="1" si="3"/>
        <v>650.86874999999998</v>
      </c>
      <c r="G123" s="135">
        <f>BDI!$B$17</f>
        <v>0.191</v>
      </c>
      <c r="H123" s="136">
        <f t="shared" ca="1" si="4"/>
        <v>51.68</v>
      </c>
      <c r="I123" s="182">
        <f t="shared" ca="1" si="5"/>
        <v>775.2</v>
      </c>
      <c r="J123" s="226"/>
      <c r="K123" s="224" t="s">
        <v>8074</v>
      </c>
    </row>
    <row r="124" spans="1:11" s="161" customFormat="1" hidden="1" x14ac:dyDescent="0.25">
      <c r="A124" s="162" t="s">
        <v>234</v>
      </c>
      <c r="B124" s="163" t="s">
        <v>1579</v>
      </c>
      <c r="C124" s="164" t="s">
        <v>92</v>
      </c>
      <c r="D124" s="164">
        <v>15</v>
      </c>
      <c r="E124" s="133">
        <f ca="1">OFFSET(INDEX(Composições!A:J,MATCH(Orçamentária!A124,Composições!A:A,0),8),2,0)</f>
        <v>24.795000000000002</v>
      </c>
      <c r="F124" s="134">
        <f t="shared" ca="1" si="3"/>
        <v>371.92500000000001</v>
      </c>
      <c r="G124" s="135">
        <f>BDI!$B$17</f>
        <v>0.191</v>
      </c>
      <c r="H124" s="136">
        <f t="shared" ca="1" si="4"/>
        <v>29.53</v>
      </c>
      <c r="I124" s="182">
        <f t="shared" ca="1" si="5"/>
        <v>442.95</v>
      </c>
      <c r="J124" s="226"/>
      <c r="K124" s="224" t="s">
        <v>8074</v>
      </c>
    </row>
    <row r="125" spans="1:11" s="161" customFormat="1" hidden="1" x14ac:dyDescent="0.25">
      <c r="A125" s="162" t="s">
        <v>235</v>
      </c>
      <c r="B125" s="163" t="s">
        <v>1580</v>
      </c>
      <c r="C125" s="164" t="s">
        <v>92</v>
      </c>
      <c r="D125" s="164">
        <v>15</v>
      </c>
      <c r="E125" s="133">
        <f ca="1">OFFSET(INDEX(Composições!A:J,MATCH(Orçamentária!A125,Composições!A:A,0),8),2,0)</f>
        <v>30.993750000000002</v>
      </c>
      <c r="F125" s="134">
        <f t="shared" ca="1" si="3"/>
        <v>464.90625000000006</v>
      </c>
      <c r="G125" s="135">
        <f>BDI!$B$17</f>
        <v>0.191</v>
      </c>
      <c r="H125" s="136">
        <f t="shared" ca="1" si="4"/>
        <v>36.909999999999997</v>
      </c>
      <c r="I125" s="182">
        <f t="shared" ca="1" si="5"/>
        <v>553.65</v>
      </c>
      <c r="J125" s="226"/>
      <c r="K125" s="224" t="s">
        <v>8074</v>
      </c>
    </row>
    <row r="126" spans="1:11" s="161" customFormat="1" hidden="1" x14ac:dyDescent="0.25">
      <c r="A126" s="162" t="s">
        <v>236</v>
      </c>
      <c r="B126" s="163" t="s">
        <v>1581</v>
      </c>
      <c r="C126" s="164" t="s">
        <v>20</v>
      </c>
      <c r="D126" s="164">
        <v>20</v>
      </c>
      <c r="E126" s="133">
        <f ca="1">OFFSET(INDEX(Composições!A:J,MATCH(Orçamentária!A126,Composições!A:A,0),8),2,0)</f>
        <v>102.9705</v>
      </c>
      <c r="F126" s="134">
        <f t="shared" ca="1" si="3"/>
        <v>2059.41</v>
      </c>
      <c r="G126" s="135">
        <f>BDI!$B$17</f>
        <v>0.191</v>
      </c>
      <c r="H126" s="136">
        <f t="shared" ca="1" si="4"/>
        <v>122.64</v>
      </c>
      <c r="I126" s="182">
        <f t="shared" ca="1" si="5"/>
        <v>2452.8000000000002</v>
      </c>
      <c r="J126" s="226"/>
      <c r="K126" s="224" t="s">
        <v>8074</v>
      </c>
    </row>
    <row r="127" spans="1:11" s="161" customFormat="1" hidden="1" x14ac:dyDescent="0.25">
      <c r="A127" s="162" t="s">
        <v>238</v>
      </c>
      <c r="B127" s="163" t="s">
        <v>1582</v>
      </c>
      <c r="C127" s="164" t="s">
        <v>20</v>
      </c>
      <c r="D127" s="164">
        <v>20</v>
      </c>
      <c r="E127" s="133">
        <f ca="1">OFFSET(INDEX(Composições!A:J,MATCH(Orçamentária!A127,Composições!A:A,0),8),2,0)</f>
        <v>15.4375</v>
      </c>
      <c r="F127" s="134">
        <f t="shared" ca="1" si="3"/>
        <v>308.75</v>
      </c>
      <c r="G127" s="135">
        <f>BDI!$B$17</f>
        <v>0.191</v>
      </c>
      <c r="H127" s="136">
        <f t="shared" ca="1" si="4"/>
        <v>18.39</v>
      </c>
      <c r="I127" s="182">
        <f t="shared" ca="1" si="5"/>
        <v>367.8</v>
      </c>
      <c r="J127" s="226"/>
      <c r="K127" s="224" t="s">
        <v>8074</v>
      </c>
    </row>
    <row r="128" spans="1:11" s="161" customFormat="1" hidden="1" x14ac:dyDescent="0.25">
      <c r="A128" s="162" t="s">
        <v>239</v>
      </c>
      <c r="B128" s="163" t="s">
        <v>1583</v>
      </c>
      <c r="C128" s="164" t="s">
        <v>94</v>
      </c>
      <c r="D128" s="164">
        <v>85</v>
      </c>
      <c r="E128" s="133">
        <f ca="1">OFFSET(INDEX(Composições!A:J,MATCH(Orçamentária!A128,Composições!A:A,0),8),2,0)</f>
        <v>569.41845634999981</v>
      </c>
      <c r="F128" s="134">
        <f t="shared" ca="1" si="3"/>
        <v>48400.568789749981</v>
      </c>
      <c r="G128" s="135">
        <f>BDI!$B$17</f>
        <v>0.191</v>
      </c>
      <c r="H128" s="136">
        <f t="shared" ca="1" si="4"/>
        <v>678.18</v>
      </c>
      <c r="I128" s="182">
        <f t="shared" ca="1" si="5"/>
        <v>57645.3</v>
      </c>
      <c r="J128" s="226"/>
      <c r="K128" s="224" t="s">
        <v>8074</v>
      </c>
    </row>
    <row r="129" spans="1:11" s="161" customFormat="1" hidden="1" x14ac:dyDescent="0.25">
      <c r="A129" s="162" t="s">
        <v>241</v>
      </c>
      <c r="B129" s="163" t="s">
        <v>1584</v>
      </c>
      <c r="C129" s="164" t="s">
        <v>94</v>
      </c>
      <c r="D129" s="164">
        <v>45</v>
      </c>
      <c r="E129" s="133">
        <f ca="1">OFFSET(INDEX(Composições!A:J,MATCH(Orçamentária!A129,Composições!A:A,0),8),2,0)</f>
        <v>526.20150634999993</v>
      </c>
      <c r="F129" s="134">
        <f t="shared" ca="1" si="3"/>
        <v>23679.067785749998</v>
      </c>
      <c r="G129" s="135">
        <f>BDI!$B$17</f>
        <v>0.191</v>
      </c>
      <c r="H129" s="136">
        <f t="shared" ca="1" si="4"/>
        <v>626.71</v>
      </c>
      <c r="I129" s="182">
        <f t="shared" ca="1" si="5"/>
        <v>28201.95</v>
      </c>
      <c r="J129" s="226"/>
      <c r="K129" s="224" t="s">
        <v>8074</v>
      </c>
    </row>
    <row r="130" spans="1:11" s="161" customFormat="1" hidden="1" x14ac:dyDescent="0.25">
      <c r="A130" s="162" t="s">
        <v>243</v>
      </c>
      <c r="B130" s="163" t="s">
        <v>1585</v>
      </c>
      <c r="C130" s="164" t="s">
        <v>94</v>
      </c>
      <c r="D130" s="164">
        <v>75</v>
      </c>
      <c r="E130" s="133">
        <f ca="1">OFFSET(INDEX(Composições!A:J,MATCH(Orçamentária!A130,Composições!A:A,0),8),2,0)</f>
        <v>459.85128700000001</v>
      </c>
      <c r="F130" s="134">
        <f t="shared" ca="1" si="3"/>
        <v>34488.846525000001</v>
      </c>
      <c r="G130" s="135">
        <f>BDI!$B$17</f>
        <v>0.191</v>
      </c>
      <c r="H130" s="136">
        <f t="shared" ca="1" si="4"/>
        <v>547.67999999999995</v>
      </c>
      <c r="I130" s="182">
        <f t="shared" ca="1" si="5"/>
        <v>41076</v>
      </c>
      <c r="J130" s="226"/>
      <c r="K130" s="224" t="s">
        <v>8074</v>
      </c>
    </row>
    <row r="131" spans="1:11" s="161" customFormat="1" hidden="1" x14ac:dyDescent="0.25">
      <c r="A131" s="162" t="s">
        <v>245</v>
      </c>
      <c r="B131" s="163" t="s">
        <v>1586</v>
      </c>
      <c r="C131" s="164" t="s">
        <v>94</v>
      </c>
      <c r="D131" s="164">
        <v>25</v>
      </c>
      <c r="E131" s="133">
        <f ca="1">OFFSET(INDEX(Composições!A:J,MATCH(Orçamentária!A131,Composições!A:A,0),8),2,0)</f>
        <v>639.93011734999993</v>
      </c>
      <c r="F131" s="134">
        <f t="shared" ca="1" si="3"/>
        <v>15998.252933749998</v>
      </c>
      <c r="G131" s="135">
        <f>BDI!$B$17</f>
        <v>0.191</v>
      </c>
      <c r="H131" s="136">
        <f t="shared" ca="1" si="4"/>
        <v>762.16</v>
      </c>
      <c r="I131" s="182">
        <f t="shared" ca="1" si="5"/>
        <v>19054</v>
      </c>
      <c r="J131" s="226"/>
      <c r="K131" s="224" t="s">
        <v>8074</v>
      </c>
    </row>
    <row r="132" spans="1:11" s="161" customFormat="1" hidden="1" x14ac:dyDescent="0.25">
      <c r="A132" s="162" t="s">
        <v>247</v>
      </c>
      <c r="B132" s="163" t="s">
        <v>1587</v>
      </c>
      <c r="C132" s="164" t="s">
        <v>94</v>
      </c>
      <c r="D132" s="164">
        <v>10</v>
      </c>
      <c r="E132" s="133">
        <f ca="1">OFFSET(INDEX(Composições!A:J,MATCH(Orçamentária!A132,Composições!A:A,0),8),2,0)</f>
        <v>741.16625635000003</v>
      </c>
      <c r="F132" s="134">
        <f t="shared" ca="1" si="3"/>
        <v>7411.6625635</v>
      </c>
      <c r="G132" s="135">
        <f>BDI!$B$17</f>
        <v>0.191</v>
      </c>
      <c r="H132" s="136">
        <f t="shared" ca="1" si="4"/>
        <v>882.73</v>
      </c>
      <c r="I132" s="182">
        <f t="shared" ca="1" si="5"/>
        <v>8827.2999999999993</v>
      </c>
      <c r="J132" s="226"/>
      <c r="K132" s="224" t="s">
        <v>8074</v>
      </c>
    </row>
    <row r="133" spans="1:11" s="161" customFormat="1" hidden="1" x14ac:dyDescent="0.25">
      <c r="A133" s="162" t="s">
        <v>249</v>
      </c>
      <c r="B133" s="163" t="s">
        <v>1588</v>
      </c>
      <c r="C133" s="164" t="s">
        <v>94</v>
      </c>
      <c r="D133" s="164">
        <v>25</v>
      </c>
      <c r="E133" s="133">
        <f ca="1">OFFSET(INDEX(Composições!A:J,MATCH(Orçamentária!A133,Composições!A:A,0),8),2,0)</f>
        <v>151.69382734999999</v>
      </c>
      <c r="F133" s="134">
        <f t="shared" ca="1" si="3"/>
        <v>3792.3456837499998</v>
      </c>
      <c r="G133" s="135">
        <f>BDI!$B$17</f>
        <v>0.191</v>
      </c>
      <c r="H133" s="136">
        <f t="shared" ca="1" si="4"/>
        <v>180.67</v>
      </c>
      <c r="I133" s="182">
        <f t="shared" ca="1" si="5"/>
        <v>4516.75</v>
      </c>
      <c r="J133" s="226"/>
      <c r="K133" s="224" t="s">
        <v>8074</v>
      </c>
    </row>
    <row r="134" spans="1:11" s="161" customFormat="1" hidden="1" x14ac:dyDescent="0.25">
      <c r="A134" s="162" t="s">
        <v>250</v>
      </c>
      <c r="B134" s="163" t="s">
        <v>6248</v>
      </c>
      <c r="C134" s="164" t="s">
        <v>94</v>
      </c>
      <c r="D134" s="164">
        <v>15</v>
      </c>
      <c r="E134" s="133">
        <f ca="1">OFFSET(INDEX(Composições!A:J,MATCH(Orçamentária!A134,Composições!A:A,0),8),2,0)</f>
        <v>11.9268377</v>
      </c>
      <c r="F134" s="134">
        <f t="shared" ca="1" si="3"/>
        <v>178.90256550000001</v>
      </c>
      <c r="G134" s="135">
        <f>BDI!$B$17</f>
        <v>0.191</v>
      </c>
      <c r="H134" s="136">
        <f t="shared" ca="1" si="4"/>
        <v>14.2</v>
      </c>
      <c r="I134" s="182">
        <f t="shared" ca="1" si="5"/>
        <v>213</v>
      </c>
      <c r="J134" s="226"/>
      <c r="K134" s="224" t="s">
        <v>8074</v>
      </c>
    </row>
    <row r="135" spans="1:11" s="161" customFormat="1" hidden="1" x14ac:dyDescent="0.25">
      <c r="A135" s="162" t="s">
        <v>251</v>
      </c>
      <c r="B135" s="163" t="s">
        <v>1589</v>
      </c>
      <c r="C135" s="164" t="s">
        <v>94</v>
      </c>
      <c r="D135" s="164">
        <v>10</v>
      </c>
      <c r="E135" s="133">
        <f ca="1">OFFSET(INDEX(Composições!A:J,MATCH(Orçamentária!A135,Composições!A:A,0),8),2,0)</f>
        <v>54.237646999999996</v>
      </c>
      <c r="F135" s="134">
        <f t="shared" ref="F135:F198" ca="1" si="6">IF(ISNUMBER(E135),D135*E135,"")</f>
        <v>542.37646999999993</v>
      </c>
      <c r="G135" s="135">
        <f>BDI!$B$17</f>
        <v>0.191</v>
      </c>
      <c r="H135" s="136">
        <f t="shared" ref="H135:H198" ca="1" si="7">IF(ISNUMBER(E135),ROUND(E135*(1+G135),2),"")</f>
        <v>64.599999999999994</v>
      </c>
      <c r="I135" s="182">
        <f t="shared" ref="I135:I198" ca="1" si="8">IF(ISNUMBER(E135),ROUND(H135*D135,2),"")</f>
        <v>646</v>
      </c>
      <c r="J135" s="226"/>
      <c r="K135" s="224" t="s">
        <v>8074</v>
      </c>
    </row>
    <row r="136" spans="1:11" s="161" customFormat="1" hidden="1" x14ac:dyDescent="0.25">
      <c r="A136" s="162" t="s">
        <v>252</v>
      </c>
      <c r="B136" s="163" t="s">
        <v>1590</v>
      </c>
      <c r="C136" s="164" t="s">
        <v>94</v>
      </c>
      <c r="D136" s="164">
        <v>2</v>
      </c>
      <c r="E136" s="133">
        <f ca="1">OFFSET(INDEX(Composições!A:J,MATCH(Orçamentária!A136,Composições!A:A,0),8),2,0)</f>
        <v>789.38770800000009</v>
      </c>
      <c r="F136" s="134">
        <f t="shared" ca="1" si="6"/>
        <v>1578.7754160000002</v>
      </c>
      <c r="G136" s="135">
        <f>BDI!$B$17</f>
        <v>0.191</v>
      </c>
      <c r="H136" s="136">
        <f t="shared" ca="1" si="7"/>
        <v>940.16</v>
      </c>
      <c r="I136" s="182">
        <f t="shared" ca="1" si="8"/>
        <v>1880.32</v>
      </c>
      <c r="J136" s="226"/>
      <c r="K136" s="224" t="s">
        <v>8074</v>
      </c>
    </row>
    <row r="137" spans="1:11" s="161" customFormat="1" hidden="1" x14ac:dyDescent="0.25">
      <c r="A137" s="162" t="s">
        <v>1591</v>
      </c>
      <c r="B137" s="163" t="s">
        <v>1592</v>
      </c>
      <c r="C137" s="164" t="s">
        <v>94</v>
      </c>
      <c r="D137" s="164">
        <v>375</v>
      </c>
      <c r="E137" s="180">
        <v>520</v>
      </c>
      <c r="F137" s="134">
        <f t="shared" si="6"/>
        <v>195000</v>
      </c>
      <c r="G137" s="135">
        <f>BDI!$E$17</f>
        <v>0.11260000000000001</v>
      </c>
      <c r="H137" s="136">
        <f t="shared" si="7"/>
        <v>578.54999999999995</v>
      </c>
      <c r="I137" s="182">
        <f t="shared" si="8"/>
        <v>216956.25</v>
      </c>
      <c r="J137" s="226"/>
      <c r="K137" s="224" t="s">
        <v>8074</v>
      </c>
    </row>
    <row r="138" spans="1:11" s="161" customFormat="1" hidden="1" x14ac:dyDescent="0.25">
      <c r="A138" s="162" t="s">
        <v>1593</v>
      </c>
      <c r="B138" s="163" t="s">
        <v>1594</v>
      </c>
      <c r="C138" s="164" t="s">
        <v>94</v>
      </c>
      <c r="D138" s="164">
        <v>225</v>
      </c>
      <c r="E138" s="180">
        <v>770</v>
      </c>
      <c r="F138" s="134">
        <f t="shared" si="6"/>
        <v>173250</v>
      </c>
      <c r="G138" s="135">
        <f>BDI!$E$17</f>
        <v>0.11260000000000001</v>
      </c>
      <c r="H138" s="136">
        <f t="shared" si="7"/>
        <v>856.7</v>
      </c>
      <c r="I138" s="182">
        <f t="shared" si="8"/>
        <v>192757.5</v>
      </c>
      <c r="J138" s="226"/>
      <c r="K138" s="224" t="s">
        <v>8074</v>
      </c>
    </row>
    <row r="139" spans="1:11" s="161" customFormat="1" hidden="1" x14ac:dyDescent="0.25">
      <c r="A139" s="162" t="s">
        <v>1595</v>
      </c>
      <c r="B139" s="163" t="s">
        <v>1596</v>
      </c>
      <c r="C139" s="164" t="s">
        <v>94</v>
      </c>
      <c r="D139" s="164">
        <v>800</v>
      </c>
      <c r="E139" s="180">
        <v>758.05</v>
      </c>
      <c r="F139" s="134">
        <f t="shared" si="6"/>
        <v>606440</v>
      </c>
      <c r="G139" s="135">
        <f>BDI!$E$17</f>
        <v>0.11260000000000001</v>
      </c>
      <c r="H139" s="136">
        <f t="shared" si="7"/>
        <v>843.41</v>
      </c>
      <c r="I139" s="182">
        <f t="shared" si="8"/>
        <v>674728</v>
      </c>
      <c r="J139" s="226"/>
      <c r="K139" s="224" t="s">
        <v>8074</v>
      </c>
    </row>
    <row r="140" spans="1:11" s="161" customFormat="1" hidden="1" x14ac:dyDescent="0.25">
      <c r="A140" s="162" t="s">
        <v>1597</v>
      </c>
      <c r="B140" s="163" t="s">
        <v>1598</v>
      </c>
      <c r="C140" s="164" t="s">
        <v>94</v>
      </c>
      <c r="D140" s="164">
        <v>650</v>
      </c>
      <c r="E140" s="180">
        <v>1101.5999999999999</v>
      </c>
      <c r="F140" s="134">
        <f t="shared" si="6"/>
        <v>716039.99999999988</v>
      </c>
      <c r="G140" s="135">
        <f>BDI!$E$17</f>
        <v>0.11260000000000001</v>
      </c>
      <c r="H140" s="136">
        <f t="shared" si="7"/>
        <v>1225.6400000000001</v>
      </c>
      <c r="I140" s="182">
        <f t="shared" si="8"/>
        <v>796666</v>
      </c>
      <c r="J140" s="226"/>
      <c r="K140" s="224" t="s">
        <v>8074</v>
      </c>
    </row>
    <row r="141" spans="1:11" s="161" customFormat="1" hidden="1" x14ac:dyDescent="0.25">
      <c r="A141" s="162" t="s">
        <v>1599</v>
      </c>
      <c r="B141" s="163" t="s">
        <v>1600</v>
      </c>
      <c r="C141" s="164" t="s">
        <v>94</v>
      </c>
      <c r="D141" s="164">
        <v>250</v>
      </c>
      <c r="E141" s="180">
        <v>933.07</v>
      </c>
      <c r="F141" s="134">
        <f t="shared" si="6"/>
        <v>233267.5</v>
      </c>
      <c r="G141" s="135">
        <f>BDI!$E$17</f>
        <v>0.11260000000000001</v>
      </c>
      <c r="H141" s="136">
        <f t="shared" si="7"/>
        <v>1038.1300000000001</v>
      </c>
      <c r="I141" s="182">
        <f t="shared" si="8"/>
        <v>259532.5</v>
      </c>
      <c r="J141" s="226"/>
      <c r="K141" s="224" t="s">
        <v>8074</v>
      </c>
    </row>
    <row r="142" spans="1:11" s="161" customFormat="1" hidden="1" x14ac:dyDescent="0.25">
      <c r="A142" s="162" t="s">
        <v>1601</v>
      </c>
      <c r="B142" s="163" t="s">
        <v>1602</v>
      </c>
      <c r="C142" s="164" t="s">
        <v>94</v>
      </c>
      <c r="D142" s="164">
        <v>150</v>
      </c>
      <c r="E142" s="180">
        <v>1280</v>
      </c>
      <c r="F142" s="134">
        <f t="shared" si="6"/>
        <v>192000</v>
      </c>
      <c r="G142" s="135">
        <f>BDI!$E$17</f>
        <v>0.11260000000000001</v>
      </c>
      <c r="H142" s="136">
        <f t="shared" si="7"/>
        <v>1424.13</v>
      </c>
      <c r="I142" s="182">
        <f t="shared" si="8"/>
        <v>213619.5</v>
      </c>
      <c r="J142" s="226"/>
      <c r="K142" s="224" t="s">
        <v>8074</v>
      </c>
    </row>
    <row r="143" spans="1:11" s="161" customFormat="1" hidden="1" x14ac:dyDescent="0.25">
      <c r="A143" s="162" t="s">
        <v>254</v>
      </c>
      <c r="B143" s="163" t="s">
        <v>1603</v>
      </c>
      <c r="C143" s="164" t="s">
        <v>94</v>
      </c>
      <c r="D143" s="164">
        <v>560</v>
      </c>
      <c r="E143" s="133">
        <f ca="1">OFFSET(INDEX(Composições!A:J,MATCH(Orçamentária!A143,Composições!A:A,0),8),2,0)</f>
        <v>16.330500000000001</v>
      </c>
      <c r="F143" s="134">
        <f t="shared" ca="1" si="6"/>
        <v>9145.08</v>
      </c>
      <c r="G143" s="135">
        <f>BDI!$B$17</f>
        <v>0.191</v>
      </c>
      <c r="H143" s="136">
        <f t="shared" ca="1" si="7"/>
        <v>19.45</v>
      </c>
      <c r="I143" s="182">
        <f t="shared" ca="1" si="8"/>
        <v>10892</v>
      </c>
      <c r="J143" s="226"/>
      <c r="K143" s="224" t="s">
        <v>8074</v>
      </c>
    </row>
    <row r="144" spans="1:11" s="161" customFormat="1" hidden="1" x14ac:dyDescent="0.25">
      <c r="A144" s="162" t="s">
        <v>256</v>
      </c>
      <c r="B144" s="163" t="s">
        <v>1604</v>
      </c>
      <c r="C144" s="164" t="s">
        <v>94</v>
      </c>
      <c r="D144" s="164">
        <v>95</v>
      </c>
      <c r="E144" s="133">
        <f ca="1">OFFSET(INDEX(Composições!A:J,MATCH(Orçamentária!A144,Composições!A:A,0),8),2,0)</f>
        <v>141.85160999999999</v>
      </c>
      <c r="F144" s="134">
        <f t="shared" ca="1" si="6"/>
        <v>13475.90295</v>
      </c>
      <c r="G144" s="135">
        <f>BDI!$B$17</f>
        <v>0.191</v>
      </c>
      <c r="H144" s="136">
        <f t="shared" ca="1" si="7"/>
        <v>168.95</v>
      </c>
      <c r="I144" s="182">
        <f t="shared" ca="1" si="8"/>
        <v>16050.25</v>
      </c>
      <c r="J144" s="226"/>
      <c r="K144" s="224" t="s">
        <v>8074</v>
      </c>
    </row>
    <row r="145" spans="1:11" s="161" customFormat="1" hidden="1" x14ac:dyDescent="0.25">
      <c r="A145" s="162" t="s">
        <v>259</v>
      </c>
      <c r="B145" s="163" t="s">
        <v>1605</v>
      </c>
      <c r="C145" s="164" t="s">
        <v>94</v>
      </c>
      <c r="D145" s="164">
        <v>40</v>
      </c>
      <c r="E145" s="133">
        <f ca="1">OFFSET(INDEX(Composições!A:J,MATCH(Orçamentária!A145,Composições!A:A,0),8),2,0)</f>
        <v>64.876413899999989</v>
      </c>
      <c r="F145" s="134">
        <f t="shared" ca="1" si="6"/>
        <v>2595.0565559999995</v>
      </c>
      <c r="G145" s="135">
        <f>BDI!$B$17</f>
        <v>0.191</v>
      </c>
      <c r="H145" s="136">
        <f t="shared" ca="1" si="7"/>
        <v>77.27</v>
      </c>
      <c r="I145" s="182">
        <f t="shared" ca="1" si="8"/>
        <v>3090.8</v>
      </c>
      <c r="J145" s="226"/>
      <c r="K145" s="224" t="s">
        <v>8074</v>
      </c>
    </row>
    <row r="146" spans="1:11" s="161" customFormat="1" hidden="1" x14ac:dyDescent="0.25">
      <c r="A146" s="162" t="s">
        <v>266</v>
      </c>
      <c r="B146" s="163" t="s">
        <v>1606</v>
      </c>
      <c r="C146" s="164" t="s">
        <v>94</v>
      </c>
      <c r="D146" s="164">
        <v>75</v>
      </c>
      <c r="E146" s="133">
        <f ca="1">OFFSET(INDEX(Composições!A:J,MATCH(Orçamentária!A146,Composições!A:A,0),8),2,0)</f>
        <v>30.345110899999995</v>
      </c>
      <c r="F146" s="134">
        <f t="shared" ca="1" si="6"/>
        <v>2275.8833174999995</v>
      </c>
      <c r="G146" s="135">
        <f>BDI!$B$17</f>
        <v>0.191</v>
      </c>
      <c r="H146" s="136">
        <f t="shared" ca="1" si="7"/>
        <v>36.14</v>
      </c>
      <c r="I146" s="182">
        <f t="shared" ca="1" si="8"/>
        <v>2710.5</v>
      </c>
      <c r="J146" s="226"/>
      <c r="K146" s="224" t="s">
        <v>8074</v>
      </c>
    </row>
    <row r="147" spans="1:11" s="161" customFormat="1" hidden="1" x14ac:dyDescent="0.25">
      <c r="A147" s="162" t="s">
        <v>267</v>
      </c>
      <c r="B147" s="163" t="s">
        <v>1607</v>
      </c>
      <c r="C147" s="164" t="s">
        <v>94</v>
      </c>
      <c r="D147" s="164">
        <v>15</v>
      </c>
      <c r="E147" s="133">
        <f ca="1">OFFSET(INDEX(Composições!A:J,MATCH(Orçamentária!A147,Composições!A:A,0),8),2,0)</f>
        <v>102.1240749</v>
      </c>
      <c r="F147" s="134">
        <f t="shared" ca="1" si="6"/>
        <v>1531.8611234999998</v>
      </c>
      <c r="G147" s="135">
        <f>BDI!$B$17</f>
        <v>0.191</v>
      </c>
      <c r="H147" s="136">
        <f t="shared" ca="1" si="7"/>
        <v>121.63</v>
      </c>
      <c r="I147" s="182">
        <f t="shared" ca="1" si="8"/>
        <v>1824.45</v>
      </c>
      <c r="J147" s="226"/>
      <c r="K147" s="224" t="s">
        <v>8074</v>
      </c>
    </row>
    <row r="148" spans="1:11" s="161" customFormat="1" hidden="1" x14ac:dyDescent="0.25">
      <c r="A148" s="162" t="s">
        <v>269</v>
      </c>
      <c r="B148" s="163" t="s">
        <v>1608</v>
      </c>
      <c r="C148" s="164" t="s">
        <v>94</v>
      </c>
      <c r="D148" s="164">
        <v>300</v>
      </c>
      <c r="E148" s="133">
        <f ca="1">OFFSET(INDEX(Composições!A:J,MATCH(Orçamentária!A148,Composições!A:A,0),8),2,0)</f>
        <v>230.56924999999998</v>
      </c>
      <c r="F148" s="134">
        <f t="shared" ca="1" si="6"/>
        <v>69170.774999999994</v>
      </c>
      <c r="G148" s="135">
        <f>BDI!$B$17</f>
        <v>0.191</v>
      </c>
      <c r="H148" s="136">
        <f t="shared" ca="1" si="7"/>
        <v>274.61</v>
      </c>
      <c r="I148" s="182">
        <f t="shared" ca="1" si="8"/>
        <v>82383</v>
      </c>
      <c r="J148" s="226"/>
      <c r="K148" s="224" t="s">
        <v>8074</v>
      </c>
    </row>
    <row r="149" spans="1:11" s="161" customFormat="1" hidden="1" x14ac:dyDescent="0.25">
      <c r="A149" s="162" t="s">
        <v>272</v>
      </c>
      <c r="B149" s="163" t="s">
        <v>1609</v>
      </c>
      <c r="C149" s="164" t="s">
        <v>94</v>
      </c>
      <c r="D149" s="164">
        <v>2250</v>
      </c>
      <c r="E149" s="133">
        <f ca="1">OFFSET(INDEX(Composições!A:J,MATCH(Orçamentária!A149,Composições!A:A,0),8),2,0)</f>
        <v>65.276092199999994</v>
      </c>
      <c r="F149" s="134">
        <f t="shared" ca="1" si="6"/>
        <v>146871.20744999999</v>
      </c>
      <c r="G149" s="135">
        <f>BDI!$B$17</f>
        <v>0.191</v>
      </c>
      <c r="H149" s="136">
        <f t="shared" ca="1" si="7"/>
        <v>77.739999999999995</v>
      </c>
      <c r="I149" s="182">
        <f t="shared" ca="1" si="8"/>
        <v>174915</v>
      </c>
      <c r="J149" s="226"/>
      <c r="K149" s="224" t="s">
        <v>8074</v>
      </c>
    </row>
    <row r="150" spans="1:11" s="161" customFormat="1" hidden="1" x14ac:dyDescent="0.25">
      <c r="A150" s="162" t="s">
        <v>273</v>
      </c>
      <c r="B150" s="163" t="s">
        <v>1610</v>
      </c>
      <c r="C150" s="164" t="s">
        <v>94</v>
      </c>
      <c r="D150" s="164">
        <v>1500</v>
      </c>
      <c r="E150" s="133">
        <f ca="1">OFFSET(INDEX(Composições!A:J,MATCH(Orçamentária!A150,Composições!A:A,0),8),2,0)</f>
        <v>38.86377135</v>
      </c>
      <c r="F150" s="134">
        <f t="shared" ca="1" si="6"/>
        <v>58295.657025</v>
      </c>
      <c r="G150" s="135">
        <f>BDI!$B$17</f>
        <v>0.191</v>
      </c>
      <c r="H150" s="136">
        <f t="shared" ca="1" si="7"/>
        <v>46.29</v>
      </c>
      <c r="I150" s="182">
        <f t="shared" ca="1" si="8"/>
        <v>69435</v>
      </c>
      <c r="J150" s="226"/>
      <c r="K150" s="224" t="s">
        <v>8074</v>
      </c>
    </row>
    <row r="151" spans="1:11" s="161" customFormat="1" hidden="1" x14ac:dyDescent="0.25">
      <c r="A151" s="162" t="s">
        <v>274</v>
      </c>
      <c r="B151" s="163" t="s">
        <v>1611</v>
      </c>
      <c r="C151" s="164" t="s">
        <v>94</v>
      </c>
      <c r="D151" s="164">
        <v>225</v>
      </c>
      <c r="E151" s="133">
        <f ca="1">OFFSET(INDEX(Composições!A:J,MATCH(Orçamentária!A151,Composições!A:A,0),8),2,0)</f>
        <v>114.9785</v>
      </c>
      <c r="F151" s="134">
        <f t="shared" ca="1" si="6"/>
        <v>25870.162499999999</v>
      </c>
      <c r="G151" s="135">
        <f>BDI!$B$17</f>
        <v>0.191</v>
      </c>
      <c r="H151" s="136">
        <f t="shared" ca="1" si="7"/>
        <v>136.94</v>
      </c>
      <c r="I151" s="182">
        <f t="shared" ca="1" si="8"/>
        <v>30811.5</v>
      </c>
      <c r="J151" s="226"/>
      <c r="K151" s="224" t="s">
        <v>8074</v>
      </c>
    </row>
    <row r="152" spans="1:11" s="161" customFormat="1" hidden="1" x14ac:dyDescent="0.25">
      <c r="A152" s="162" t="s">
        <v>276</v>
      </c>
      <c r="B152" s="163" t="s">
        <v>1612</v>
      </c>
      <c r="C152" s="164" t="s">
        <v>94</v>
      </c>
      <c r="D152" s="164">
        <v>80</v>
      </c>
      <c r="E152" s="133">
        <f ca="1">OFFSET(INDEX(Composições!A:J,MATCH(Orçamentária!A152,Composições!A:A,0),8),2,0)</f>
        <v>31.454499999999996</v>
      </c>
      <c r="F152" s="134">
        <f t="shared" ca="1" si="6"/>
        <v>2516.3599999999997</v>
      </c>
      <c r="G152" s="135">
        <f>BDI!$B$17</f>
        <v>0.191</v>
      </c>
      <c r="H152" s="136">
        <f t="shared" ca="1" si="7"/>
        <v>37.46</v>
      </c>
      <c r="I152" s="182">
        <f t="shared" ca="1" si="8"/>
        <v>2996.8</v>
      </c>
      <c r="J152" s="226"/>
      <c r="K152" s="224" t="s">
        <v>8074</v>
      </c>
    </row>
    <row r="153" spans="1:11" s="161" customFormat="1" hidden="1" x14ac:dyDescent="0.25">
      <c r="A153" s="162" t="s">
        <v>279</v>
      </c>
      <c r="B153" s="163" t="s">
        <v>1613</v>
      </c>
      <c r="C153" s="164" t="s">
        <v>94</v>
      </c>
      <c r="D153" s="164">
        <v>80</v>
      </c>
      <c r="E153" s="133">
        <f ca="1">OFFSET(INDEX(Composições!A:J,MATCH(Orçamentária!A153,Composições!A:A,0),8),2,0)</f>
        <v>2.8362382999999998</v>
      </c>
      <c r="F153" s="134">
        <f t="shared" ca="1" si="6"/>
        <v>226.89906399999998</v>
      </c>
      <c r="G153" s="135">
        <f>BDI!$B$17</f>
        <v>0.191</v>
      </c>
      <c r="H153" s="136">
        <f t="shared" ca="1" si="7"/>
        <v>3.38</v>
      </c>
      <c r="I153" s="182">
        <f t="shared" ca="1" si="8"/>
        <v>270.39999999999998</v>
      </c>
      <c r="J153" s="226"/>
      <c r="K153" s="224" t="s">
        <v>8074</v>
      </c>
    </row>
    <row r="154" spans="1:11" s="161" customFormat="1" hidden="1" x14ac:dyDescent="0.25">
      <c r="A154" s="162" t="s">
        <v>280</v>
      </c>
      <c r="B154" s="163" t="s">
        <v>1614</v>
      </c>
      <c r="C154" s="164" t="s">
        <v>94</v>
      </c>
      <c r="D154" s="164">
        <v>75</v>
      </c>
      <c r="E154" s="133">
        <f ca="1">OFFSET(INDEX(Composições!A:J,MATCH(Orçamentária!A154,Composições!A:A,0),8),2,0)</f>
        <v>46.090199999999996</v>
      </c>
      <c r="F154" s="134">
        <f t="shared" ca="1" si="6"/>
        <v>3456.7649999999999</v>
      </c>
      <c r="G154" s="135">
        <f>BDI!$B$17</f>
        <v>0.191</v>
      </c>
      <c r="H154" s="136">
        <f t="shared" ca="1" si="7"/>
        <v>54.89</v>
      </c>
      <c r="I154" s="182">
        <f t="shared" ca="1" si="8"/>
        <v>4116.75</v>
      </c>
      <c r="J154" s="226"/>
      <c r="K154" s="224" t="s">
        <v>8074</v>
      </c>
    </row>
    <row r="155" spans="1:11" s="161" customFormat="1" hidden="1" x14ac:dyDescent="0.25">
      <c r="A155" s="162" t="s">
        <v>281</v>
      </c>
      <c r="B155" s="163" t="s">
        <v>1615</v>
      </c>
      <c r="C155" s="164" t="s">
        <v>92</v>
      </c>
      <c r="D155" s="164">
        <v>1875</v>
      </c>
      <c r="E155" s="133">
        <f ca="1">OFFSET(INDEX(Composições!A:J,MATCH(Orçamentária!A155,Composições!A:A,0),8),2,0)</f>
        <v>12.70885015</v>
      </c>
      <c r="F155" s="134">
        <f t="shared" ca="1" si="6"/>
        <v>23829.094031249999</v>
      </c>
      <c r="G155" s="135">
        <f>BDI!$B$17</f>
        <v>0.191</v>
      </c>
      <c r="H155" s="136">
        <f t="shared" ca="1" si="7"/>
        <v>15.14</v>
      </c>
      <c r="I155" s="182">
        <f t="shared" ca="1" si="8"/>
        <v>28387.5</v>
      </c>
      <c r="J155" s="226"/>
      <c r="K155" s="224" t="s">
        <v>8074</v>
      </c>
    </row>
    <row r="156" spans="1:11" s="161" customFormat="1" hidden="1" x14ac:dyDescent="0.25">
      <c r="A156" s="162" t="s">
        <v>283</v>
      </c>
      <c r="B156" s="163" t="s">
        <v>1616</v>
      </c>
      <c r="C156" s="164" t="s">
        <v>94</v>
      </c>
      <c r="D156" s="164">
        <v>250</v>
      </c>
      <c r="E156" s="133">
        <f ca="1">OFFSET(INDEX(Composições!A:J,MATCH(Orçamentária!A156,Composições!A:A,0),8),2,0)</f>
        <v>8.8948499999999999</v>
      </c>
      <c r="F156" s="134">
        <f t="shared" ca="1" si="6"/>
        <v>2223.7125000000001</v>
      </c>
      <c r="G156" s="135">
        <f>BDI!$B$17</f>
        <v>0.191</v>
      </c>
      <c r="H156" s="136">
        <f t="shared" ca="1" si="7"/>
        <v>10.59</v>
      </c>
      <c r="I156" s="182">
        <f t="shared" ca="1" si="8"/>
        <v>2647.5</v>
      </c>
      <c r="J156" s="226"/>
      <c r="K156" s="224" t="s">
        <v>8074</v>
      </c>
    </row>
    <row r="157" spans="1:11" hidden="1" x14ac:dyDescent="0.25">
      <c r="A157" s="112" t="s">
        <v>284</v>
      </c>
      <c r="B157" s="113" t="s">
        <v>285</v>
      </c>
      <c r="C157" s="114" t="s">
        <v>92</v>
      </c>
      <c r="D157" s="114">
        <v>0</v>
      </c>
      <c r="E157" s="133">
        <f ca="1">OFFSET(INDEX(Composições!A:J,MATCH(Orçamentária!A157,Composições!A:A,0),8),2,0)</f>
        <v>5.7403750000000002</v>
      </c>
      <c r="F157" s="134">
        <f t="shared" ca="1" si="6"/>
        <v>0</v>
      </c>
      <c r="G157" s="135" t="e">
        <f>IF(A157&lt;&gt;"",IF(AND(#REF!="Padrão",$H$4=#REF!),BDI!$B$17,IF(AND(#REF!="Padrão",$H$4=#REF!),BDI!#REF!,IF(AND(#REF!="Diferenciado",$H$4=#REF!),BDI!$E$17,IF(AND(#REF!="Diferenciado",$H$4=#REF!),BDI!#REF!,IF(#REF!="ZERO",0))))),"")</f>
        <v>#REF!</v>
      </c>
      <c r="H157" s="136" t="e">
        <f t="shared" ca="1" si="7"/>
        <v>#REF!</v>
      </c>
      <c r="I157" s="134" t="e">
        <f t="shared" ca="1" si="8"/>
        <v>#REF!</v>
      </c>
      <c r="J157" s="226"/>
    </row>
    <row r="158" spans="1:11" hidden="1" x14ac:dyDescent="0.25">
      <c r="A158" s="112" t="s">
        <v>286</v>
      </c>
      <c r="B158" s="113" t="s">
        <v>1617</v>
      </c>
      <c r="C158" s="114" t="s">
        <v>92</v>
      </c>
      <c r="D158" s="114">
        <v>0</v>
      </c>
      <c r="E158" s="133">
        <f ca="1">OFFSET(INDEX(Composições!A:J,MATCH(Orçamentária!A158,Composições!A:A,0),8),2,0)</f>
        <v>19.579975000000001</v>
      </c>
      <c r="F158" s="134">
        <f t="shared" ca="1" si="6"/>
        <v>0</v>
      </c>
      <c r="G158" s="135" t="e">
        <f>IF(A158&lt;&gt;"",IF(AND(#REF!="Padrão",$H$4=#REF!),BDI!$B$17,IF(AND(#REF!="Padrão",$H$4=#REF!),BDI!#REF!,IF(AND(#REF!="Diferenciado",$H$4=#REF!),BDI!$E$17,IF(AND(#REF!="Diferenciado",$H$4=#REF!),BDI!#REF!,IF(#REF!="ZERO",0))))),"")</f>
        <v>#REF!</v>
      </c>
      <c r="H158" s="136" t="e">
        <f t="shared" ca="1" si="7"/>
        <v>#REF!</v>
      </c>
      <c r="I158" s="134" t="e">
        <f t="shared" ca="1" si="8"/>
        <v>#REF!</v>
      </c>
      <c r="J158" s="226"/>
    </row>
    <row r="159" spans="1:11" s="161" customFormat="1" hidden="1" x14ac:dyDescent="0.25">
      <c r="A159" s="162" t="s">
        <v>288</v>
      </c>
      <c r="B159" s="163" t="s">
        <v>1618</v>
      </c>
      <c r="C159" s="164" t="s">
        <v>94</v>
      </c>
      <c r="D159" s="164">
        <v>100</v>
      </c>
      <c r="E159" s="133">
        <f ca="1">OFFSET(INDEX(Composições!A:J,MATCH(Orçamentária!A159,Composições!A:A,0),8),2,0)</f>
        <v>854.08799999999997</v>
      </c>
      <c r="F159" s="134">
        <f t="shared" ca="1" si="6"/>
        <v>85408.8</v>
      </c>
      <c r="G159" s="135">
        <f>BDI!$B$17</f>
        <v>0.191</v>
      </c>
      <c r="H159" s="136">
        <f t="shared" ca="1" si="7"/>
        <v>1017.22</v>
      </c>
      <c r="I159" s="182">
        <f t="shared" ca="1" si="8"/>
        <v>101722</v>
      </c>
      <c r="J159" s="226"/>
      <c r="K159" s="224" t="s">
        <v>8075</v>
      </c>
    </row>
    <row r="160" spans="1:11" s="161" customFormat="1" hidden="1" x14ac:dyDescent="0.25">
      <c r="A160" s="162" t="s">
        <v>290</v>
      </c>
      <c r="B160" s="163" t="s">
        <v>1619</v>
      </c>
      <c r="C160" s="164" t="s">
        <v>94</v>
      </c>
      <c r="D160" s="164">
        <v>45</v>
      </c>
      <c r="E160" s="133">
        <f ca="1">OFFSET(INDEX(Composições!A:J,MATCH(Orçamentária!A160,Composições!A:A,0),8),2,0)</f>
        <v>34.608499999999999</v>
      </c>
      <c r="F160" s="134">
        <f t="shared" ca="1" si="6"/>
        <v>1557.3824999999999</v>
      </c>
      <c r="G160" s="135">
        <f>BDI!$B$17</f>
        <v>0.191</v>
      </c>
      <c r="H160" s="136">
        <f t="shared" ca="1" si="7"/>
        <v>41.22</v>
      </c>
      <c r="I160" s="182">
        <f t="shared" ca="1" si="8"/>
        <v>1854.9</v>
      </c>
      <c r="J160" s="226"/>
      <c r="K160" s="224" t="s">
        <v>8074</v>
      </c>
    </row>
    <row r="161" spans="1:11" hidden="1" x14ac:dyDescent="0.25">
      <c r="A161" s="112" t="s">
        <v>291</v>
      </c>
      <c r="B161" s="113" t="s">
        <v>1620</v>
      </c>
      <c r="C161" s="114" t="s">
        <v>92</v>
      </c>
      <c r="D161" s="114">
        <v>0</v>
      </c>
      <c r="E161" s="133">
        <f ca="1">OFFSET(INDEX(Composições!A:J,MATCH(Orçamentária!A161,Composições!A:A,0),8),2,0)</f>
        <v>20.5521195</v>
      </c>
      <c r="F161" s="134">
        <f t="shared" ca="1" si="6"/>
        <v>0</v>
      </c>
      <c r="G161" s="135" t="e">
        <f>IF(A161&lt;&gt;"",IF(AND(#REF!="Padrão",$H$4=#REF!),BDI!$B$17,IF(AND(#REF!="Padrão",$H$4=#REF!),BDI!#REF!,IF(AND(#REF!="Diferenciado",$H$4=#REF!),BDI!$E$17,IF(AND(#REF!="Diferenciado",$H$4=#REF!),BDI!#REF!,IF(#REF!="ZERO",0))))),"")</f>
        <v>#REF!</v>
      </c>
      <c r="H161" s="136" t="e">
        <f t="shared" ca="1" si="7"/>
        <v>#REF!</v>
      </c>
      <c r="I161" s="134" t="e">
        <f t="shared" ca="1" si="8"/>
        <v>#REF!</v>
      </c>
      <c r="J161" s="226"/>
    </row>
    <row r="162" spans="1:11" s="161" customFormat="1" hidden="1" x14ac:dyDescent="0.25">
      <c r="A162" s="162" t="s">
        <v>294</v>
      </c>
      <c r="B162" s="163" t="s">
        <v>1621</v>
      </c>
      <c r="C162" s="164" t="s">
        <v>94</v>
      </c>
      <c r="D162" s="164">
        <v>20</v>
      </c>
      <c r="E162" s="133">
        <f ca="1">OFFSET(INDEX(Composições!A:J,MATCH(Orçamentária!A162,Composições!A:A,0),8),2,0)</f>
        <v>132.74854450000001</v>
      </c>
      <c r="F162" s="134">
        <f t="shared" ca="1" si="6"/>
        <v>2654.9708900000001</v>
      </c>
      <c r="G162" s="135">
        <f>BDI!$B$17</f>
        <v>0.191</v>
      </c>
      <c r="H162" s="136">
        <f t="shared" ca="1" si="7"/>
        <v>158.1</v>
      </c>
      <c r="I162" s="182">
        <f t="shared" ca="1" si="8"/>
        <v>3162</v>
      </c>
      <c r="J162" s="226"/>
      <c r="K162" s="224" t="s">
        <v>8075</v>
      </c>
    </row>
    <row r="163" spans="1:11" s="161" customFormat="1" hidden="1" x14ac:dyDescent="0.25">
      <c r="A163" s="162" t="s">
        <v>295</v>
      </c>
      <c r="B163" s="163" t="s">
        <v>1622</v>
      </c>
      <c r="C163" s="164" t="s">
        <v>94</v>
      </c>
      <c r="D163" s="164">
        <v>10</v>
      </c>
      <c r="E163" s="133">
        <f ca="1">OFFSET(INDEX(Composições!A:J,MATCH(Orçamentária!A163,Composições!A:A,0),8),2,0)</f>
        <v>155.28399799999997</v>
      </c>
      <c r="F163" s="134">
        <f t="shared" ca="1" si="6"/>
        <v>1552.8399799999997</v>
      </c>
      <c r="G163" s="135">
        <f>BDI!$B$17</f>
        <v>0.191</v>
      </c>
      <c r="H163" s="136">
        <f t="shared" ca="1" si="7"/>
        <v>184.94</v>
      </c>
      <c r="I163" s="182">
        <f t="shared" ca="1" si="8"/>
        <v>1849.4</v>
      </c>
      <c r="J163" s="226"/>
      <c r="K163" s="224" t="s">
        <v>8075</v>
      </c>
    </row>
    <row r="164" spans="1:11" s="161" customFormat="1" hidden="1" x14ac:dyDescent="0.25">
      <c r="A164" s="162" t="s">
        <v>297</v>
      </c>
      <c r="B164" s="163" t="s">
        <v>1623</v>
      </c>
      <c r="C164" s="164" t="s">
        <v>94</v>
      </c>
      <c r="D164" s="164">
        <v>65</v>
      </c>
      <c r="E164" s="133">
        <f ca="1">OFFSET(INDEX(Composições!A:J,MATCH(Orçamentária!A164,Composições!A:A,0),8),2,0)</f>
        <v>45.520200000000003</v>
      </c>
      <c r="F164" s="134">
        <f t="shared" ca="1" si="6"/>
        <v>2958.8130000000001</v>
      </c>
      <c r="G164" s="135">
        <f>BDI!$B$17</f>
        <v>0.191</v>
      </c>
      <c r="H164" s="136">
        <f t="shared" ca="1" si="7"/>
        <v>54.21</v>
      </c>
      <c r="I164" s="182">
        <f t="shared" ca="1" si="8"/>
        <v>3523.65</v>
      </c>
      <c r="J164" s="226"/>
      <c r="K164" s="224" t="s">
        <v>8074</v>
      </c>
    </row>
    <row r="165" spans="1:11" s="161" customFormat="1" hidden="1" x14ac:dyDescent="0.25">
      <c r="A165" s="162" t="s">
        <v>298</v>
      </c>
      <c r="B165" s="163" t="s">
        <v>1624</v>
      </c>
      <c r="C165" s="164" t="s">
        <v>20</v>
      </c>
      <c r="D165" s="164">
        <v>25</v>
      </c>
      <c r="E165" s="133">
        <f ca="1">OFFSET(INDEX(Composições!A:J,MATCH(Orçamentária!A165,Composições!A:A,0),8),2,0)</f>
        <v>1018.7730305</v>
      </c>
      <c r="F165" s="134">
        <f t="shared" ca="1" si="6"/>
        <v>25469.325762500001</v>
      </c>
      <c r="G165" s="135">
        <f>BDI!$B$17</f>
        <v>0.191</v>
      </c>
      <c r="H165" s="136">
        <f t="shared" ca="1" si="7"/>
        <v>1213.3599999999999</v>
      </c>
      <c r="I165" s="182">
        <f t="shared" ca="1" si="8"/>
        <v>30334</v>
      </c>
      <c r="J165" s="226"/>
      <c r="K165" s="224" t="s">
        <v>8075</v>
      </c>
    </row>
    <row r="166" spans="1:11" s="161" customFormat="1" hidden="1" x14ac:dyDescent="0.25">
      <c r="A166" s="162" t="s">
        <v>299</v>
      </c>
      <c r="B166" s="163" t="s">
        <v>1625</v>
      </c>
      <c r="C166" s="164" t="s">
        <v>92</v>
      </c>
      <c r="D166" s="164">
        <v>500</v>
      </c>
      <c r="E166" s="133">
        <f ca="1">OFFSET(INDEX(Composições!A:J,MATCH(Orçamentária!A166,Composições!A:A,0),8),2,0)</f>
        <v>6.491017499999999</v>
      </c>
      <c r="F166" s="134">
        <f t="shared" ca="1" si="6"/>
        <v>3245.5087499999995</v>
      </c>
      <c r="G166" s="135">
        <f>BDI!$B$17</f>
        <v>0.191</v>
      </c>
      <c r="H166" s="136">
        <f t="shared" ca="1" si="7"/>
        <v>7.73</v>
      </c>
      <c r="I166" s="182">
        <f t="shared" ca="1" si="8"/>
        <v>3865</v>
      </c>
      <c r="J166" s="226"/>
      <c r="K166" s="224" t="s">
        <v>8074</v>
      </c>
    </row>
    <row r="167" spans="1:11" hidden="1" x14ac:dyDescent="0.25">
      <c r="A167" s="112" t="s">
        <v>1626</v>
      </c>
      <c r="B167" s="113" t="s">
        <v>1627</v>
      </c>
      <c r="C167" s="114" t="s">
        <v>94</v>
      </c>
      <c r="D167" s="114">
        <v>0</v>
      </c>
      <c r="E167" s="133" t="s">
        <v>514</v>
      </c>
      <c r="F167" s="134" t="str">
        <f t="shared" si="6"/>
        <v/>
      </c>
      <c r="G167" s="135" t="e">
        <f>IF(A167&lt;&gt;"",IF(AND(#REF!="Padrão",$H$4=#REF!),BDI!$B$17,IF(AND(#REF!="Padrão",$H$4=#REF!),BDI!#REF!,IF(AND(#REF!="Diferenciado",$H$4=#REF!),BDI!$E$17,IF(AND(#REF!="Diferenciado",$H$4=#REF!),BDI!#REF!,IF(#REF!="ZERO",0))))),"")</f>
        <v>#REF!</v>
      </c>
      <c r="H167" s="136" t="str">
        <f t="shared" si="7"/>
        <v/>
      </c>
      <c r="I167" s="134" t="str">
        <f t="shared" si="8"/>
        <v/>
      </c>
      <c r="J167" s="226"/>
    </row>
    <row r="168" spans="1:11" s="161" customFormat="1" x14ac:dyDescent="0.25">
      <c r="A168" s="162" t="s">
        <v>1628</v>
      </c>
      <c r="B168" s="163" t="s">
        <v>1629</v>
      </c>
      <c r="C168" s="164" t="s">
        <v>94</v>
      </c>
      <c r="D168" s="164">
        <v>400</v>
      </c>
      <c r="E168" s="180">
        <v>138.63999999999999</v>
      </c>
      <c r="F168" s="134">
        <f t="shared" si="6"/>
        <v>55455.999999999993</v>
      </c>
      <c r="G168" s="135">
        <v>0</v>
      </c>
      <c r="H168" s="136">
        <f t="shared" si="7"/>
        <v>138.63999999999999</v>
      </c>
      <c r="I168" s="182">
        <f t="shared" si="8"/>
        <v>55456</v>
      </c>
      <c r="J168" s="226"/>
      <c r="K168" s="224" t="s">
        <v>8076</v>
      </c>
    </row>
    <row r="169" spans="1:11" s="161" customFormat="1" x14ac:dyDescent="0.25">
      <c r="A169" s="162" t="s">
        <v>1630</v>
      </c>
      <c r="B169" s="163" t="s">
        <v>1631</v>
      </c>
      <c r="C169" s="164" t="s">
        <v>94</v>
      </c>
      <c r="D169" s="164">
        <v>300</v>
      </c>
      <c r="E169" s="180">
        <v>148.28</v>
      </c>
      <c r="F169" s="134">
        <f t="shared" si="6"/>
        <v>44484</v>
      </c>
      <c r="G169" s="135">
        <v>0</v>
      </c>
      <c r="H169" s="136">
        <f t="shared" si="7"/>
        <v>148.28</v>
      </c>
      <c r="I169" s="182">
        <f t="shared" si="8"/>
        <v>44484</v>
      </c>
      <c r="J169" s="226"/>
      <c r="K169" s="224" t="s">
        <v>8076</v>
      </c>
    </row>
    <row r="170" spans="1:11" s="161" customFormat="1" hidden="1" x14ac:dyDescent="0.25">
      <c r="A170" s="162" t="s">
        <v>1632</v>
      </c>
      <c r="B170" s="163" t="s">
        <v>1633</v>
      </c>
      <c r="C170" s="164" t="s">
        <v>94</v>
      </c>
      <c r="D170" s="164">
        <v>80</v>
      </c>
      <c r="E170" s="180">
        <v>82.2</v>
      </c>
      <c r="F170" s="134">
        <f t="shared" si="6"/>
        <v>6576</v>
      </c>
      <c r="G170" s="135">
        <f>BDI!$B$17</f>
        <v>0.191</v>
      </c>
      <c r="H170" s="136">
        <f t="shared" si="7"/>
        <v>97.9</v>
      </c>
      <c r="I170" s="182">
        <f t="shared" si="8"/>
        <v>7832</v>
      </c>
      <c r="J170" s="226"/>
      <c r="K170" s="224" t="s">
        <v>8075</v>
      </c>
    </row>
    <row r="171" spans="1:11" s="161" customFormat="1" hidden="1" x14ac:dyDescent="0.25">
      <c r="A171" s="162" t="s">
        <v>300</v>
      </c>
      <c r="B171" s="163" t="s">
        <v>1634</v>
      </c>
      <c r="C171" s="164" t="s">
        <v>20</v>
      </c>
      <c r="D171" s="164">
        <v>15</v>
      </c>
      <c r="E171" s="133">
        <f ca="1">OFFSET(INDEX(Composições!A:J,MATCH(Orçamentária!A171,Composições!A:A,0),8),2,0)</f>
        <v>147.18270000000001</v>
      </c>
      <c r="F171" s="134">
        <f t="shared" ca="1" si="6"/>
        <v>2207.7405000000003</v>
      </c>
      <c r="G171" s="135">
        <f>BDI!$B$17</f>
        <v>0.191</v>
      </c>
      <c r="H171" s="136">
        <f t="shared" ca="1" si="7"/>
        <v>175.29</v>
      </c>
      <c r="I171" s="182">
        <f t="shared" ca="1" si="8"/>
        <v>2629.35</v>
      </c>
      <c r="J171" s="226"/>
      <c r="K171" s="224" t="s">
        <v>8074</v>
      </c>
    </row>
    <row r="172" spans="1:11" s="161" customFormat="1" hidden="1" x14ac:dyDescent="0.25">
      <c r="A172" s="162" t="s">
        <v>302</v>
      </c>
      <c r="B172" s="163" t="s">
        <v>1635</v>
      </c>
      <c r="C172" s="164" t="s">
        <v>92</v>
      </c>
      <c r="D172" s="164">
        <v>175</v>
      </c>
      <c r="E172" s="133">
        <f ca="1">OFFSET(INDEX(Composições!A:J,MATCH(Orçamentária!A172,Composições!A:A,0),8),2,0)</f>
        <v>73.636131149999997</v>
      </c>
      <c r="F172" s="134">
        <f t="shared" ca="1" si="6"/>
        <v>12886.32295125</v>
      </c>
      <c r="G172" s="135">
        <f>BDI!$B$17</f>
        <v>0.191</v>
      </c>
      <c r="H172" s="136">
        <f t="shared" ca="1" si="7"/>
        <v>87.7</v>
      </c>
      <c r="I172" s="182">
        <f t="shared" ca="1" si="8"/>
        <v>15347.5</v>
      </c>
      <c r="J172" s="226"/>
      <c r="K172" s="224" t="s">
        <v>8074</v>
      </c>
    </row>
    <row r="173" spans="1:11" s="161" customFormat="1" hidden="1" x14ac:dyDescent="0.25">
      <c r="A173" s="162" t="s">
        <v>304</v>
      </c>
      <c r="B173" s="163" t="s">
        <v>1636</v>
      </c>
      <c r="C173" s="164" t="s">
        <v>92</v>
      </c>
      <c r="D173" s="164">
        <v>75</v>
      </c>
      <c r="E173" s="133">
        <f ca="1">OFFSET(INDEX(Composições!A:J,MATCH(Orçamentária!A173,Composições!A:A,0),8),2,0)</f>
        <v>23.151538000000002</v>
      </c>
      <c r="F173" s="134">
        <f t="shared" ca="1" si="6"/>
        <v>1736.3653500000003</v>
      </c>
      <c r="G173" s="135">
        <f>BDI!$B$17</f>
        <v>0.191</v>
      </c>
      <c r="H173" s="136">
        <f t="shared" ca="1" si="7"/>
        <v>27.57</v>
      </c>
      <c r="I173" s="182">
        <f t="shared" ca="1" si="8"/>
        <v>2067.75</v>
      </c>
      <c r="J173" s="226"/>
      <c r="K173" s="224" t="s">
        <v>8074</v>
      </c>
    </row>
    <row r="174" spans="1:11" s="161" customFormat="1" hidden="1" x14ac:dyDescent="0.25">
      <c r="A174" s="162" t="s">
        <v>305</v>
      </c>
      <c r="B174" s="163" t="s">
        <v>1637</v>
      </c>
      <c r="C174" s="164" t="s">
        <v>92</v>
      </c>
      <c r="D174" s="164">
        <v>100</v>
      </c>
      <c r="E174" s="133">
        <f ca="1">OFFSET(INDEX(Composições!A:J,MATCH(Orçamentária!A174,Composições!A:A,0),8),2,0)</f>
        <v>31.431188900000002</v>
      </c>
      <c r="F174" s="134">
        <f t="shared" ca="1" si="6"/>
        <v>3143.1188900000002</v>
      </c>
      <c r="G174" s="135">
        <f>BDI!$B$17</f>
        <v>0.191</v>
      </c>
      <c r="H174" s="136">
        <f t="shared" ca="1" si="7"/>
        <v>37.43</v>
      </c>
      <c r="I174" s="182">
        <f t="shared" ca="1" si="8"/>
        <v>3743</v>
      </c>
      <c r="J174" s="226"/>
      <c r="K174" s="224" t="s">
        <v>8074</v>
      </c>
    </row>
    <row r="175" spans="1:11" s="161" customFormat="1" hidden="1" x14ac:dyDescent="0.25">
      <c r="A175" s="162" t="s">
        <v>306</v>
      </c>
      <c r="B175" s="163" t="s">
        <v>1638</v>
      </c>
      <c r="C175" s="164" t="s">
        <v>92</v>
      </c>
      <c r="D175" s="164">
        <v>75</v>
      </c>
      <c r="E175" s="133">
        <f ca="1">OFFSET(INDEX(Composições!A:J,MATCH(Orçamentária!A175,Composições!A:A,0),8),2,0)</f>
        <v>45.921017349999993</v>
      </c>
      <c r="F175" s="134">
        <f t="shared" ca="1" si="6"/>
        <v>3444.0763012499992</v>
      </c>
      <c r="G175" s="135">
        <f>BDI!$B$17</f>
        <v>0.191</v>
      </c>
      <c r="H175" s="136">
        <f t="shared" ca="1" si="7"/>
        <v>54.69</v>
      </c>
      <c r="I175" s="182">
        <f t="shared" ca="1" si="8"/>
        <v>4101.75</v>
      </c>
      <c r="J175" s="226"/>
      <c r="K175" s="224" t="s">
        <v>8074</v>
      </c>
    </row>
    <row r="176" spans="1:11" s="161" customFormat="1" hidden="1" x14ac:dyDescent="0.25">
      <c r="A176" s="162" t="s">
        <v>307</v>
      </c>
      <c r="B176" s="163" t="s">
        <v>6323</v>
      </c>
      <c r="C176" s="164" t="s">
        <v>92</v>
      </c>
      <c r="D176" s="164">
        <v>300</v>
      </c>
      <c r="E176" s="133">
        <f ca="1">OFFSET(INDEX(Composições!A:J,MATCH(Orçamentária!A176,Composições!A:A,0),8),2,0)</f>
        <v>5.8953579999999999</v>
      </c>
      <c r="F176" s="134">
        <f t="shared" ca="1" si="6"/>
        <v>1768.6073999999999</v>
      </c>
      <c r="G176" s="135">
        <f>BDI!$B$17</f>
        <v>0.191</v>
      </c>
      <c r="H176" s="136">
        <f t="shared" ca="1" si="7"/>
        <v>7.02</v>
      </c>
      <c r="I176" s="182">
        <f t="shared" ca="1" si="8"/>
        <v>2106</v>
      </c>
      <c r="J176" s="226"/>
      <c r="K176" s="224" t="s">
        <v>8074</v>
      </c>
    </row>
    <row r="177" spans="1:11" s="161" customFormat="1" hidden="1" x14ac:dyDescent="0.25">
      <c r="A177" s="162" t="s">
        <v>309</v>
      </c>
      <c r="B177" s="163" t="s">
        <v>6324</v>
      </c>
      <c r="C177" s="164" t="s">
        <v>92</v>
      </c>
      <c r="D177" s="164">
        <v>160</v>
      </c>
      <c r="E177" s="133">
        <f ca="1">OFFSET(INDEX(Composições!A:J,MATCH(Orçamentária!A177,Composições!A:A,0),8),2,0)</f>
        <v>12.550060499999997</v>
      </c>
      <c r="F177" s="134">
        <f t="shared" ca="1" si="6"/>
        <v>2008.0096799999997</v>
      </c>
      <c r="G177" s="135">
        <f>BDI!$B$17</f>
        <v>0.191</v>
      </c>
      <c r="H177" s="136">
        <f t="shared" ca="1" si="7"/>
        <v>14.95</v>
      </c>
      <c r="I177" s="182">
        <f t="shared" ca="1" si="8"/>
        <v>2392</v>
      </c>
      <c r="J177" s="226"/>
      <c r="K177" s="224" t="s">
        <v>8074</v>
      </c>
    </row>
    <row r="178" spans="1:11" s="161" customFormat="1" hidden="1" x14ac:dyDescent="0.25">
      <c r="A178" s="162" t="s">
        <v>311</v>
      </c>
      <c r="B178" s="163" t="s">
        <v>6325</v>
      </c>
      <c r="C178" s="164" t="s">
        <v>92</v>
      </c>
      <c r="D178" s="164">
        <v>75</v>
      </c>
      <c r="E178" s="133">
        <f ca="1">OFFSET(INDEX(Composições!A:J,MATCH(Orçamentária!A178,Composições!A:A,0),8),2,0)</f>
        <v>18.061732499999998</v>
      </c>
      <c r="F178" s="134">
        <f t="shared" ca="1" si="6"/>
        <v>1354.6299374999999</v>
      </c>
      <c r="G178" s="135">
        <f>BDI!$B$17</f>
        <v>0.191</v>
      </c>
      <c r="H178" s="136">
        <f t="shared" ca="1" si="7"/>
        <v>21.51</v>
      </c>
      <c r="I178" s="182">
        <f t="shared" ca="1" si="8"/>
        <v>1613.25</v>
      </c>
      <c r="J178" s="226"/>
      <c r="K178" s="224" t="s">
        <v>8074</v>
      </c>
    </row>
    <row r="179" spans="1:11" s="161" customFormat="1" hidden="1" x14ac:dyDescent="0.25">
      <c r="A179" s="162" t="s">
        <v>313</v>
      </c>
      <c r="B179" s="163" t="s">
        <v>6326</v>
      </c>
      <c r="C179" s="164" t="s">
        <v>92</v>
      </c>
      <c r="D179" s="164">
        <v>90</v>
      </c>
      <c r="E179" s="133">
        <f ca="1">OFFSET(INDEX(Composições!A:J,MATCH(Orçamentária!A179,Composições!A:A,0),8),2,0)</f>
        <v>20.752217999999999</v>
      </c>
      <c r="F179" s="134">
        <f t="shared" ca="1" si="6"/>
        <v>1867.6996199999999</v>
      </c>
      <c r="G179" s="135">
        <f>BDI!$B$17</f>
        <v>0.191</v>
      </c>
      <c r="H179" s="136">
        <f t="shared" ca="1" si="7"/>
        <v>24.72</v>
      </c>
      <c r="I179" s="182">
        <f t="shared" ca="1" si="8"/>
        <v>2224.8000000000002</v>
      </c>
      <c r="J179" s="226"/>
      <c r="K179" s="224" t="s">
        <v>8074</v>
      </c>
    </row>
    <row r="180" spans="1:11" s="161" customFormat="1" hidden="1" x14ac:dyDescent="0.25">
      <c r="A180" s="162" t="s">
        <v>315</v>
      </c>
      <c r="B180" s="163" t="s">
        <v>1639</v>
      </c>
      <c r="C180" s="164" t="s">
        <v>20</v>
      </c>
      <c r="D180" s="164">
        <v>45</v>
      </c>
      <c r="E180" s="133">
        <f ca="1">OFFSET(INDEX(Composições!A:J,MATCH(Orçamentária!A180,Composições!A:A,0),8),2,0)</f>
        <v>50.266992099999996</v>
      </c>
      <c r="F180" s="134">
        <f t="shared" ca="1" si="6"/>
        <v>2262.0146445</v>
      </c>
      <c r="G180" s="135">
        <f>BDI!$B$17</f>
        <v>0.191</v>
      </c>
      <c r="H180" s="136">
        <f t="shared" ca="1" si="7"/>
        <v>59.87</v>
      </c>
      <c r="I180" s="182">
        <f t="shared" ca="1" si="8"/>
        <v>2694.15</v>
      </c>
      <c r="J180" s="226"/>
      <c r="K180" s="224" t="s">
        <v>8074</v>
      </c>
    </row>
    <row r="181" spans="1:11" s="161" customFormat="1" hidden="1" x14ac:dyDescent="0.25">
      <c r="A181" s="162" t="s">
        <v>318</v>
      </c>
      <c r="B181" s="163" t="s">
        <v>1640</v>
      </c>
      <c r="C181" s="164" t="s">
        <v>20</v>
      </c>
      <c r="D181" s="164">
        <v>40</v>
      </c>
      <c r="E181" s="133">
        <f ca="1">OFFSET(INDEX(Composições!A:J,MATCH(Orçamentária!A181,Composições!A:A,0),8),2,0)</f>
        <v>108.38473809999999</v>
      </c>
      <c r="F181" s="134">
        <f t="shared" ca="1" si="6"/>
        <v>4335.3895240000002</v>
      </c>
      <c r="G181" s="135">
        <f>BDI!$B$17</f>
        <v>0.191</v>
      </c>
      <c r="H181" s="136">
        <f t="shared" ca="1" si="7"/>
        <v>129.09</v>
      </c>
      <c r="I181" s="182">
        <f t="shared" ca="1" si="8"/>
        <v>5163.6000000000004</v>
      </c>
      <c r="J181" s="226"/>
      <c r="K181" s="224" t="s">
        <v>8074</v>
      </c>
    </row>
    <row r="182" spans="1:11" s="161" customFormat="1" hidden="1" x14ac:dyDescent="0.25">
      <c r="A182" s="162" t="s">
        <v>319</v>
      </c>
      <c r="B182" s="163" t="s">
        <v>1641</v>
      </c>
      <c r="C182" s="164" t="s">
        <v>20</v>
      </c>
      <c r="D182" s="164">
        <v>30</v>
      </c>
      <c r="E182" s="133">
        <f ca="1">OFFSET(INDEX(Composições!A:J,MATCH(Orçamentária!A182,Composições!A:A,0),8),2,0)</f>
        <v>148.47473810000002</v>
      </c>
      <c r="F182" s="134">
        <f t="shared" ca="1" si="6"/>
        <v>4454.2421430000004</v>
      </c>
      <c r="G182" s="135">
        <f>BDI!$B$17</f>
        <v>0.191</v>
      </c>
      <c r="H182" s="136">
        <f t="shared" ca="1" si="7"/>
        <v>176.83</v>
      </c>
      <c r="I182" s="182">
        <f t="shared" ca="1" si="8"/>
        <v>5304.9</v>
      </c>
      <c r="J182" s="226"/>
      <c r="K182" s="224" t="s">
        <v>8074</v>
      </c>
    </row>
    <row r="183" spans="1:11" s="161" customFormat="1" hidden="1" x14ac:dyDescent="0.25">
      <c r="A183" s="162" t="s">
        <v>320</v>
      </c>
      <c r="B183" s="163" t="s">
        <v>1642</v>
      </c>
      <c r="C183" s="164" t="s">
        <v>20</v>
      </c>
      <c r="D183" s="164">
        <v>35</v>
      </c>
      <c r="E183" s="133">
        <f ca="1">OFFSET(INDEX(Composições!A:J,MATCH(Orçamentária!A183,Composições!A:A,0),8),2,0)</f>
        <v>50.663074999999999</v>
      </c>
      <c r="F183" s="134">
        <f t="shared" ca="1" si="6"/>
        <v>1773.207625</v>
      </c>
      <c r="G183" s="135">
        <f>BDI!$B$17</f>
        <v>0.191</v>
      </c>
      <c r="H183" s="136">
        <f t="shared" ca="1" si="7"/>
        <v>60.34</v>
      </c>
      <c r="I183" s="182">
        <f t="shared" ca="1" si="8"/>
        <v>2111.9</v>
      </c>
      <c r="J183" s="226"/>
      <c r="K183" s="224" t="s">
        <v>8074</v>
      </c>
    </row>
    <row r="184" spans="1:11" s="161" customFormat="1" hidden="1" x14ac:dyDescent="0.25">
      <c r="A184" s="162" t="s">
        <v>322</v>
      </c>
      <c r="B184" s="163" t="s">
        <v>1643</v>
      </c>
      <c r="C184" s="164" t="s">
        <v>20</v>
      </c>
      <c r="D184" s="164">
        <v>40</v>
      </c>
      <c r="E184" s="133">
        <f ca="1">OFFSET(INDEX(Composições!A:J,MATCH(Orçamentária!A184,Composições!A:A,0),8),2,0)</f>
        <v>78.923074999999997</v>
      </c>
      <c r="F184" s="134">
        <f t="shared" ca="1" si="6"/>
        <v>3156.9229999999998</v>
      </c>
      <c r="G184" s="135">
        <f>BDI!$B$17</f>
        <v>0.191</v>
      </c>
      <c r="H184" s="136">
        <f t="shared" ca="1" si="7"/>
        <v>94</v>
      </c>
      <c r="I184" s="182">
        <f t="shared" ca="1" si="8"/>
        <v>3760</v>
      </c>
      <c r="J184" s="226"/>
      <c r="K184" s="224" t="s">
        <v>8074</v>
      </c>
    </row>
    <row r="185" spans="1:11" s="161" customFormat="1" hidden="1" x14ac:dyDescent="0.25">
      <c r="A185" s="162" t="s">
        <v>324</v>
      </c>
      <c r="B185" s="163" t="s">
        <v>1644</v>
      </c>
      <c r="C185" s="164" t="s">
        <v>20</v>
      </c>
      <c r="D185" s="164">
        <v>30</v>
      </c>
      <c r="E185" s="133">
        <f ca="1">OFFSET(INDEX(Composições!A:J,MATCH(Orçamentária!A185,Composições!A:A,0),8),2,0)</f>
        <v>15.77738055</v>
      </c>
      <c r="F185" s="134">
        <f t="shared" ca="1" si="6"/>
        <v>473.3214165</v>
      </c>
      <c r="G185" s="135">
        <f>BDI!$B$17</f>
        <v>0.191</v>
      </c>
      <c r="H185" s="136">
        <f t="shared" ca="1" si="7"/>
        <v>18.79</v>
      </c>
      <c r="I185" s="182">
        <f t="shared" ca="1" si="8"/>
        <v>563.70000000000005</v>
      </c>
      <c r="J185" s="226"/>
      <c r="K185" s="224" t="s">
        <v>8074</v>
      </c>
    </row>
    <row r="186" spans="1:11" s="161" customFormat="1" hidden="1" x14ac:dyDescent="0.25">
      <c r="A186" s="162" t="s">
        <v>325</v>
      </c>
      <c r="B186" s="163" t="s">
        <v>6249</v>
      </c>
      <c r="C186" s="164" t="s">
        <v>20</v>
      </c>
      <c r="D186" s="164">
        <v>40</v>
      </c>
      <c r="E186" s="133">
        <f ca="1">OFFSET(INDEX(Composições!A:J,MATCH(Orçamentária!A186,Composições!A:A,0),8),2,0)</f>
        <v>91.132050000000007</v>
      </c>
      <c r="F186" s="134">
        <f t="shared" ca="1" si="6"/>
        <v>3645.2820000000002</v>
      </c>
      <c r="G186" s="135">
        <f>BDI!$B$17</f>
        <v>0.191</v>
      </c>
      <c r="H186" s="136">
        <f t="shared" ca="1" si="7"/>
        <v>108.54</v>
      </c>
      <c r="I186" s="182">
        <f t="shared" ca="1" si="8"/>
        <v>4341.6000000000004</v>
      </c>
      <c r="J186" s="226"/>
      <c r="K186" s="224" t="s">
        <v>8074</v>
      </c>
    </row>
    <row r="187" spans="1:11" s="161" customFormat="1" hidden="1" x14ac:dyDescent="0.25">
      <c r="A187" s="162" t="s">
        <v>327</v>
      </c>
      <c r="B187" s="163" t="s">
        <v>1645</v>
      </c>
      <c r="C187" s="164" t="s">
        <v>20</v>
      </c>
      <c r="D187" s="164">
        <v>40</v>
      </c>
      <c r="E187" s="133">
        <f ca="1">OFFSET(INDEX(Composições!A:J,MATCH(Orçamentária!A187,Composições!A:A,0),8),2,0)</f>
        <v>391.19163544999998</v>
      </c>
      <c r="F187" s="134">
        <f t="shared" ca="1" si="6"/>
        <v>15647.665417999999</v>
      </c>
      <c r="G187" s="135">
        <f>BDI!$B$17</f>
        <v>0.191</v>
      </c>
      <c r="H187" s="136">
        <f t="shared" ca="1" si="7"/>
        <v>465.91</v>
      </c>
      <c r="I187" s="182">
        <f t="shared" ca="1" si="8"/>
        <v>18636.400000000001</v>
      </c>
      <c r="J187" s="226"/>
      <c r="K187" s="224" t="s">
        <v>8074</v>
      </c>
    </row>
    <row r="188" spans="1:11" s="161" customFormat="1" hidden="1" x14ac:dyDescent="0.25">
      <c r="A188" s="162" t="s">
        <v>329</v>
      </c>
      <c r="B188" s="163" t="s">
        <v>1646</v>
      </c>
      <c r="C188" s="164" t="s">
        <v>20</v>
      </c>
      <c r="D188" s="164">
        <v>10</v>
      </c>
      <c r="E188" s="133">
        <f ca="1">OFFSET(INDEX(Composições!A:J,MATCH(Orçamentária!A188,Composições!A:A,0),8),2,0)</f>
        <v>440.74013544999997</v>
      </c>
      <c r="F188" s="134">
        <f t="shared" ca="1" si="6"/>
        <v>4407.4013544999998</v>
      </c>
      <c r="G188" s="135">
        <f>BDI!$B$17</f>
        <v>0.191</v>
      </c>
      <c r="H188" s="136">
        <f t="shared" ca="1" si="7"/>
        <v>524.91999999999996</v>
      </c>
      <c r="I188" s="182">
        <f t="shared" ca="1" si="8"/>
        <v>5249.2</v>
      </c>
      <c r="J188" s="226"/>
      <c r="K188" s="224" t="s">
        <v>8074</v>
      </c>
    </row>
    <row r="189" spans="1:11" s="161" customFormat="1" hidden="1" x14ac:dyDescent="0.25">
      <c r="A189" s="162" t="s">
        <v>331</v>
      </c>
      <c r="B189" s="163" t="s">
        <v>1647</v>
      </c>
      <c r="C189" s="164" t="s">
        <v>20</v>
      </c>
      <c r="D189" s="164">
        <v>45</v>
      </c>
      <c r="E189" s="133">
        <f ca="1">OFFSET(INDEX(Composições!A:J,MATCH(Orçamentária!A189,Composições!A:A,0),8),2,0)</f>
        <v>134.93636185</v>
      </c>
      <c r="F189" s="134">
        <f t="shared" ca="1" si="6"/>
        <v>6072.1362832499999</v>
      </c>
      <c r="G189" s="135">
        <f>BDI!$B$17</f>
        <v>0.191</v>
      </c>
      <c r="H189" s="136">
        <f t="shared" ca="1" si="7"/>
        <v>160.71</v>
      </c>
      <c r="I189" s="182">
        <f t="shared" ca="1" si="8"/>
        <v>7231.95</v>
      </c>
      <c r="J189" s="226"/>
      <c r="K189" s="224" t="s">
        <v>8074</v>
      </c>
    </row>
    <row r="190" spans="1:11" s="161" customFormat="1" hidden="1" x14ac:dyDescent="0.25">
      <c r="A190" s="162" t="s">
        <v>334</v>
      </c>
      <c r="B190" s="163" t="s">
        <v>6250</v>
      </c>
      <c r="C190" s="164" t="s">
        <v>20</v>
      </c>
      <c r="D190" s="164">
        <v>25</v>
      </c>
      <c r="E190" s="133">
        <f ca="1">OFFSET(INDEX(Composições!A:J,MATCH(Orçamentária!A190,Composições!A:A,0),8),2,0)</f>
        <v>366.67921059999998</v>
      </c>
      <c r="F190" s="134">
        <f t="shared" ca="1" si="6"/>
        <v>9166.9802650000001</v>
      </c>
      <c r="G190" s="135">
        <f>BDI!$B$17</f>
        <v>0.191</v>
      </c>
      <c r="H190" s="136">
        <f t="shared" ca="1" si="7"/>
        <v>436.71</v>
      </c>
      <c r="I190" s="182">
        <f t="shared" ca="1" si="8"/>
        <v>10917.75</v>
      </c>
      <c r="J190" s="226"/>
      <c r="K190" s="224" t="s">
        <v>8074</v>
      </c>
    </row>
    <row r="191" spans="1:11" s="161" customFormat="1" hidden="1" x14ac:dyDescent="0.25">
      <c r="A191" s="162" t="s">
        <v>336</v>
      </c>
      <c r="B191" s="163" t="s">
        <v>1648</v>
      </c>
      <c r="C191" s="164" t="s">
        <v>20</v>
      </c>
      <c r="D191" s="164">
        <v>15</v>
      </c>
      <c r="E191" s="133">
        <f ca="1">OFFSET(INDEX(Composições!A:J,MATCH(Orçamentária!A191,Composições!A:A,0),8),2,0)</f>
        <v>966.76636185000007</v>
      </c>
      <c r="F191" s="134">
        <f t="shared" ca="1" si="6"/>
        <v>14501.49542775</v>
      </c>
      <c r="G191" s="135">
        <f>BDI!$B$17</f>
        <v>0.191</v>
      </c>
      <c r="H191" s="136">
        <f t="shared" ca="1" si="7"/>
        <v>1151.42</v>
      </c>
      <c r="I191" s="182">
        <f t="shared" ca="1" si="8"/>
        <v>17271.3</v>
      </c>
      <c r="J191" s="226"/>
      <c r="K191" s="224" t="s">
        <v>8074</v>
      </c>
    </row>
    <row r="192" spans="1:11" s="161" customFormat="1" hidden="1" x14ac:dyDescent="0.25">
      <c r="A192" s="162" t="s">
        <v>338</v>
      </c>
      <c r="B192" s="163" t="s">
        <v>1649</v>
      </c>
      <c r="C192" s="164" t="s">
        <v>20</v>
      </c>
      <c r="D192" s="164">
        <v>25</v>
      </c>
      <c r="E192" s="133">
        <f ca="1">OFFSET(INDEX(Composições!A:J,MATCH(Orçamentária!A192,Composições!A:A,0),8),2,0)</f>
        <v>47.029010900000003</v>
      </c>
      <c r="F192" s="134">
        <f t="shared" ca="1" si="6"/>
        <v>1175.7252725000001</v>
      </c>
      <c r="G192" s="135">
        <f>BDI!$B$17</f>
        <v>0.191</v>
      </c>
      <c r="H192" s="136">
        <f t="shared" ca="1" si="7"/>
        <v>56.01</v>
      </c>
      <c r="I192" s="182">
        <f t="shared" ca="1" si="8"/>
        <v>1400.25</v>
      </c>
      <c r="J192" s="226"/>
      <c r="K192" s="224" t="s">
        <v>8074</v>
      </c>
    </row>
    <row r="193" spans="1:11" s="161" customFormat="1" hidden="1" x14ac:dyDescent="0.25">
      <c r="A193" s="162" t="s">
        <v>340</v>
      </c>
      <c r="B193" s="163" t="s">
        <v>1650</v>
      </c>
      <c r="C193" s="164" t="s">
        <v>20</v>
      </c>
      <c r="D193" s="164">
        <v>25</v>
      </c>
      <c r="E193" s="133">
        <f ca="1">OFFSET(INDEX(Composições!A:J,MATCH(Orçamentária!A193,Composições!A:A,0),8),2,0)</f>
        <v>47.522082749999996</v>
      </c>
      <c r="F193" s="134">
        <f t="shared" ca="1" si="6"/>
        <v>1188.05206875</v>
      </c>
      <c r="G193" s="135">
        <f>BDI!$B$17</f>
        <v>0.191</v>
      </c>
      <c r="H193" s="136">
        <f t="shared" ca="1" si="7"/>
        <v>56.6</v>
      </c>
      <c r="I193" s="182">
        <f t="shared" ca="1" si="8"/>
        <v>1415</v>
      </c>
      <c r="J193" s="226"/>
      <c r="K193" s="224" t="s">
        <v>8074</v>
      </c>
    </row>
    <row r="194" spans="1:11" s="161" customFormat="1" hidden="1" x14ac:dyDescent="0.25">
      <c r="A194" s="162" t="s">
        <v>343</v>
      </c>
      <c r="B194" s="163" t="s">
        <v>1651</v>
      </c>
      <c r="C194" s="164" t="s">
        <v>20</v>
      </c>
      <c r="D194" s="164">
        <v>25</v>
      </c>
      <c r="E194" s="133">
        <f ca="1">OFFSET(INDEX(Composições!A:J,MATCH(Orçamentária!A194,Composições!A:A,0),8),2,0)</f>
        <v>82.030135450000003</v>
      </c>
      <c r="F194" s="134">
        <f t="shared" ca="1" si="6"/>
        <v>2050.7533862499999</v>
      </c>
      <c r="G194" s="135">
        <f>BDI!$B$17</f>
        <v>0.191</v>
      </c>
      <c r="H194" s="136">
        <f t="shared" ca="1" si="7"/>
        <v>97.7</v>
      </c>
      <c r="I194" s="182">
        <f t="shared" ca="1" si="8"/>
        <v>2442.5</v>
      </c>
      <c r="J194" s="226"/>
      <c r="K194" s="224" t="s">
        <v>8074</v>
      </c>
    </row>
    <row r="195" spans="1:11" s="161" customFormat="1" hidden="1" x14ac:dyDescent="0.25">
      <c r="A195" s="162" t="s">
        <v>344</v>
      </c>
      <c r="B195" s="163" t="s">
        <v>1652</v>
      </c>
      <c r="C195" s="164" t="s">
        <v>20</v>
      </c>
      <c r="D195" s="164">
        <v>10</v>
      </c>
      <c r="E195" s="133">
        <f ca="1">OFFSET(INDEX(Composições!A:J,MATCH(Orçamentária!A195,Composições!A:A,0),8),2,0)</f>
        <v>129.08051090000001</v>
      </c>
      <c r="F195" s="134">
        <f t="shared" ca="1" si="6"/>
        <v>1290.8051090000001</v>
      </c>
      <c r="G195" s="135">
        <f>BDI!$B$17</f>
        <v>0.191</v>
      </c>
      <c r="H195" s="136">
        <f t="shared" ca="1" si="7"/>
        <v>153.72999999999999</v>
      </c>
      <c r="I195" s="182">
        <f t="shared" ca="1" si="8"/>
        <v>1537.3</v>
      </c>
      <c r="J195" s="226"/>
      <c r="K195" s="224" t="s">
        <v>8074</v>
      </c>
    </row>
    <row r="196" spans="1:11" s="161" customFormat="1" hidden="1" x14ac:dyDescent="0.25">
      <c r="A196" s="162" t="s">
        <v>345</v>
      </c>
      <c r="B196" s="163" t="s">
        <v>1653</v>
      </c>
      <c r="C196" s="164" t="s">
        <v>20</v>
      </c>
      <c r="D196" s="164">
        <v>20</v>
      </c>
      <c r="E196" s="133">
        <f ca="1">OFFSET(INDEX(Composições!A:J,MATCH(Orçamentária!A196,Composições!A:A,0),8),2,0)</f>
        <v>363.05508274999994</v>
      </c>
      <c r="F196" s="134">
        <f t="shared" ca="1" si="6"/>
        <v>7261.1016549999986</v>
      </c>
      <c r="G196" s="135">
        <f>BDI!$B$17</f>
        <v>0.191</v>
      </c>
      <c r="H196" s="136">
        <f t="shared" ca="1" si="7"/>
        <v>432.4</v>
      </c>
      <c r="I196" s="182">
        <f t="shared" ca="1" si="8"/>
        <v>8648</v>
      </c>
      <c r="J196" s="226"/>
      <c r="K196" s="224" t="s">
        <v>8074</v>
      </c>
    </row>
    <row r="197" spans="1:11" s="161" customFormat="1" hidden="1" x14ac:dyDescent="0.25">
      <c r="A197" s="162" t="s">
        <v>346</v>
      </c>
      <c r="B197" s="163" t="s">
        <v>6251</v>
      </c>
      <c r="C197" s="164" t="s">
        <v>20</v>
      </c>
      <c r="D197" s="164">
        <v>25</v>
      </c>
      <c r="E197" s="133">
        <f ca="1">OFFSET(INDEX(Composições!A:J,MATCH(Orçamentária!A197,Composições!A:A,0),8),2,0)</f>
        <v>586.88984790000006</v>
      </c>
      <c r="F197" s="134">
        <f t="shared" ca="1" si="6"/>
        <v>14672.246197500002</v>
      </c>
      <c r="G197" s="135">
        <f>BDI!$B$17</f>
        <v>0.191</v>
      </c>
      <c r="H197" s="136">
        <f t="shared" ca="1" si="7"/>
        <v>698.99</v>
      </c>
      <c r="I197" s="182">
        <f t="shared" ca="1" si="8"/>
        <v>17474.75</v>
      </c>
      <c r="J197" s="226"/>
      <c r="K197" s="224" t="s">
        <v>8074</v>
      </c>
    </row>
    <row r="198" spans="1:11" s="161" customFormat="1" hidden="1" x14ac:dyDescent="0.25">
      <c r="A198" s="162" t="s">
        <v>348</v>
      </c>
      <c r="B198" s="163" t="s">
        <v>6252</v>
      </c>
      <c r="C198" s="164" t="s">
        <v>20</v>
      </c>
      <c r="D198" s="164">
        <v>30</v>
      </c>
      <c r="E198" s="133">
        <f ca="1">OFFSET(INDEX(Composições!A:J,MATCH(Orçamentária!A198,Composições!A:A,0),8),2,0)</f>
        <v>59.554079999999999</v>
      </c>
      <c r="F198" s="134">
        <f t="shared" ca="1" si="6"/>
        <v>1786.6224</v>
      </c>
      <c r="G198" s="135">
        <f>BDI!$B$17</f>
        <v>0.191</v>
      </c>
      <c r="H198" s="136">
        <f t="shared" ca="1" si="7"/>
        <v>70.930000000000007</v>
      </c>
      <c r="I198" s="182">
        <f t="shared" ca="1" si="8"/>
        <v>2127.9</v>
      </c>
      <c r="J198" s="226"/>
      <c r="K198" s="224" t="s">
        <v>8074</v>
      </c>
    </row>
    <row r="199" spans="1:11" s="161" customFormat="1" hidden="1" x14ac:dyDescent="0.25">
      <c r="A199" s="162" t="s">
        <v>350</v>
      </c>
      <c r="B199" s="163" t="s">
        <v>6253</v>
      </c>
      <c r="C199" s="164" t="s">
        <v>20</v>
      </c>
      <c r="D199" s="164">
        <v>55</v>
      </c>
      <c r="E199" s="133">
        <f ca="1">OFFSET(INDEX(Composições!A:J,MATCH(Orçamentária!A199,Composições!A:A,0),8),2,0)</f>
        <v>47.83408</v>
      </c>
      <c r="F199" s="134">
        <f t="shared" ref="F199:F262" ca="1" si="9">IF(ISNUMBER(E199),D199*E199,"")</f>
        <v>2630.8744000000002</v>
      </c>
      <c r="G199" s="135">
        <f>BDI!$B$17</f>
        <v>0.191</v>
      </c>
      <c r="H199" s="136">
        <f t="shared" ref="H199:H262" ca="1" si="10">IF(ISNUMBER(E199),ROUND(E199*(1+G199),2),"")</f>
        <v>56.97</v>
      </c>
      <c r="I199" s="182">
        <f t="shared" ref="I199:I262" ca="1" si="11">IF(ISNUMBER(E199),ROUND(H199*D199,2),"")</f>
        <v>3133.35</v>
      </c>
      <c r="J199" s="226"/>
      <c r="K199" s="224" t="s">
        <v>8074</v>
      </c>
    </row>
    <row r="200" spans="1:11" s="161" customFormat="1" hidden="1" x14ac:dyDescent="0.25">
      <c r="A200" s="162" t="s">
        <v>352</v>
      </c>
      <c r="B200" s="163" t="s">
        <v>6254</v>
      </c>
      <c r="C200" s="164" t="s">
        <v>20</v>
      </c>
      <c r="D200" s="164">
        <v>45</v>
      </c>
      <c r="E200" s="133">
        <f ca="1">OFFSET(INDEX(Composições!A:J,MATCH(Orçamentária!A200,Composições!A:A,0),8),2,0)</f>
        <v>355.57800000000003</v>
      </c>
      <c r="F200" s="134">
        <f t="shared" ca="1" si="9"/>
        <v>16001.010000000002</v>
      </c>
      <c r="G200" s="135">
        <f>BDI!$B$17</f>
        <v>0.191</v>
      </c>
      <c r="H200" s="136">
        <f t="shared" ca="1" si="10"/>
        <v>423.49</v>
      </c>
      <c r="I200" s="182">
        <f t="shared" ca="1" si="11"/>
        <v>19057.05</v>
      </c>
      <c r="J200" s="226"/>
      <c r="K200" s="224" t="s">
        <v>8074</v>
      </c>
    </row>
    <row r="201" spans="1:11" s="161" customFormat="1" hidden="1" x14ac:dyDescent="0.25">
      <c r="A201" s="162" t="s">
        <v>354</v>
      </c>
      <c r="B201" s="163" t="s">
        <v>1654</v>
      </c>
      <c r="C201" s="164" t="s">
        <v>20</v>
      </c>
      <c r="D201" s="164">
        <v>200</v>
      </c>
      <c r="E201" s="133">
        <f ca="1">OFFSET(INDEX(Composições!A:J,MATCH(Orçamentária!A201,Composições!A:A,0),8),2,0)</f>
        <v>4.3726485999999998</v>
      </c>
      <c r="F201" s="134">
        <f t="shared" ca="1" si="9"/>
        <v>874.52972</v>
      </c>
      <c r="G201" s="135">
        <f>BDI!$B$17</f>
        <v>0.191</v>
      </c>
      <c r="H201" s="136">
        <f t="shared" ca="1" si="10"/>
        <v>5.21</v>
      </c>
      <c r="I201" s="182">
        <f t="shared" ca="1" si="11"/>
        <v>1042</v>
      </c>
      <c r="J201" s="226"/>
      <c r="K201" s="224" t="s">
        <v>8074</v>
      </c>
    </row>
    <row r="202" spans="1:11" s="161" customFormat="1" hidden="1" x14ac:dyDescent="0.25">
      <c r="A202" s="162" t="s">
        <v>355</v>
      </c>
      <c r="B202" s="163" t="s">
        <v>6255</v>
      </c>
      <c r="C202" s="164" t="s">
        <v>20</v>
      </c>
      <c r="D202" s="164">
        <v>75</v>
      </c>
      <c r="E202" s="133">
        <f ca="1">OFFSET(INDEX(Composições!A:J,MATCH(Orçamentária!A202,Composições!A:A,0),8),2,0)</f>
        <v>39.56833125</v>
      </c>
      <c r="F202" s="134">
        <f t="shared" ca="1" si="9"/>
        <v>2967.6248437499999</v>
      </c>
      <c r="G202" s="135">
        <f>BDI!$B$17</f>
        <v>0.191</v>
      </c>
      <c r="H202" s="136">
        <f t="shared" ca="1" si="10"/>
        <v>47.13</v>
      </c>
      <c r="I202" s="182">
        <f t="shared" ca="1" si="11"/>
        <v>3534.75</v>
      </c>
      <c r="J202" s="226"/>
      <c r="K202" s="224" t="s">
        <v>8074</v>
      </c>
    </row>
    <row r="203" spans="1:11" s="161" customFormat="1" hidden="1" x14ac:dyDescent="0.25">
      <c r="A203" s="162" t="s">
        <v>357</v>
      </c>
      <c r="B203" s="163" t="s">
        <v>6256</v>
      </c>
      <c r="C203" s="164" t="s">
        <v>20</v>
      </c>
      <c r="D203" s="164">
        <v>40</v>
      </c>
      <c r="E203" s="133">
        <f ca="1">OFFSET(INDEX(Composições!A:J,MATCH(Orçamentária!A203,Composições!A:A,0),8),2,0)</f>
        <v>276.03578550000003</v>
      </c>
      <c r="F203" s="134">
        <f t="shared" ca="1" si="9"/>
        <v>11041.431420000001</v>
      </c>
      <c r="G203" s="135">
        <f>BDI!$B$17</f>
        <v>0.191</v>
      </c>
      <c r="H203" s="136">
        <f t="shared" ca="1" si="10"/>
        <v>328.76</v>
      </c>
      <c r="I203" s="182">
        <f t="shared" ca="1" si="11"/>
        <v>13150.4</v>
      </c>
      <c r="J203" s="226"/>
      <c r="K203" s="224" t="s">
        <v>8074</v>
      </c>
    </row>
    <row r="204" spans="1:11" s="161" customFormat="1" hidden="1" x14ac:dyDescent="0.25">
      <c r="A204" s="162" t="s">
        <v>359</v>
      </c>
      <c r="B204" s="163" t="s">
        <v>1655</v>
      </c>
      <c r="C204" s="164" t="s">
        <v>20</v>
      </c>
      <c r="D204" s="164">
        <v>50</v>
      </c>
      <c r="E204" s="133">
        <f ca="1">OFFSET(INDEX(Composições!A:J,MATCH(Orçamentária!A204,Composições!A:A,0),8),2,0)</f>
        <v>147.60549</v>
      </c>
      <c r="F204" s="134">
        <f t="shared" ca="1" si="9"/>
        <v>7380.2745000000004</v>
      </c>
      <c r="G204" s="135">
        <f>BDI!$B$17</f>
        <v>0.191</v>
      </c>
      <c r="H204" s="136">
        <f t="shared" ca="1" si="10"/>
        <v>175.8</v>
      </c>
      <c r="I204" s="182">
        <f t="shared" ca="1" si="11"/>
        <v>8790</v>
      </c>
      <c r="J204" s="226"/>
      <c r="K204" s="224" t="s">
        <v>8074</v>
      </c>
    </row>
    <row r="205" spans="1:11" s="161" customFormat="1" hidden="1" x14ac:dyDescent="0.25">
      <c r="A205" s="162" t="s">
        <v>361</v>
      </c>
      <c r="B205" s="163" t="s">
        <v>6257</v>
      </c>
      <c r="C205" s="164" t="s">
        <v>20</v>
      </c>
      <c r="D205" s="164">
        <v>25</v>
      </c>
      <c r="E205" s="133">
        <f ca="1">OFFSET(INDEX(Composições!A:J,MATCH(Orçamentária!A205,Composições!A:A,0),8),2,0)</f>
        <v>155.76778549999997</v>
      </c>
      <c r="F205" s="134">
        <f t="shared" ca="1" si="9"/>
        <v>3894.1946374999993</v>
      </c>
      <c r="G205" s="135">
        <f>BDI!$B$17</f>
        <v>0.191</v>
      </c>
      <c r="H205" s="136">
        <f t="shared" ca="1" si="10"/>
        <v>185.52</v>
      </c>
      <c r="I205" s="182">
        <f t="shared" ca="1" si="11"/>
        <v>4638</v>
      </c>
      <c r="J205" s="226"/>
      <c r="K205" s="224" t="s">
        <v>8074</v>
      </c>
    </row>
    <row r="206" spans="1:11" hidden="1" x14ac:dyDescent="0.25">
      <c r="A206" s="112" t="s">
        <v>363</v>
      </c>
      <c r="B206" s="113" t="s">
        <v>1656</v>
      </c>
      <c r="C206" s="114" t="s">
        <v>20</v>
      </c>
      <c r="D206" s="114">
        <v>0</v>
      </c>
      <c r="E206" s="133">
        <f ca="1">OFFSET(INDEX(Composições!A:J,MATCH(Orçamentária!A206,Composições!A:A,0),8),2,0)</f>
        <v>5.1028404499999995</v>
      </c>
      <c r="F206" s="134">
        <f t="shared" ca="1" si="9"/>
        <v>0</v>
      </c>
      <c r="G206" s="135" t="e">
        <f>IF(A206&lt;&gt;"",IF(AND(#REF!="Padrão",$H$4=#REF!),BDI!$B$17,IF(AND(#REF!="Padrão",$H$4=#REF!),BDI!#REF!,IF(AND(#REF!="Diferenciado",$H$4=#REF!),BDI!$E$17,IF(AND(#REF!="Diferenciado",$H$4=#REF!),BDI!#REF!,IF(#REF!="ZERO",0))))),"")</f>
        <v>#REF!</v>
      </c>
      <c r="H206" s="136" t="e">
        <f t="shared" ca="1" si="10"/>
        <v>#REF!</v>
      </c>
      <c r="I206" s="134" t="e">
        <f t="shared" ca="1" si="11"/>
        <v>#REF!</v>
      </c>
      <c r="J206" s="226"/>
    </row>
    <row r="207" spans="1:11" s="161" customFormat="1" hidden="1" x14ac:dyDescent="0.25">
      <c r="A207" s="162" t="s">
        <v>365</v>
      </c>
      <c r="B207" s="163" t="s">
        <v>6258</v>
      </c>
      <c r="C207" s="164" t="s">
        <v>20</v>
      </c>
      <c r="D207" s="164">
        <v>30</v>
      </c>
      <c r="E207" s="133">
        <f ca="1">OFFSET(INDEX(Composições!A:J,MATCH(Orçamentária!A207,Composições!A:A,0),8),2,0)</f>
        <v>215.99284044999999</v>
      </c>
      <c r="F207" s="134">
        <f t="shared" ca="1" si="9"/>
        <v>6479.7852134999994</v>
      </c>
      <c r="G207" s="135">
        <f>BDI!$B$17</f>
        <v>0.191</v>
      </c>
      <c r="H207" s="136">
        <f t="shared" ca="1" si="10"/>
        <v>257.25</v>
      </c>
      <c r="I207" s="182">
        <f t="shared" ca="1" si="11"/>
        <v>7717.5</v>
      </c>
      <c r="J207" s="226"/>
      <c r="K207" s="224" t="s">
        <v>8074</v>
      </c>
    </row>
    <row r="208" spans="1:11" s="161" customFormat="1" hidden="1" x14ac:dyDescent="0.25">
      <c r="A208" s="162" t="s">
        <v>367</v>
      </c>
      <c r="B208" s="163" t="s">
        <v>1657</v>
      </c>
      <c r="C208" s="164" t="s">
        <v>20</v>
      </c>
      <c r="D208" s="164">
        <v>10</v>
      </c>
      <c r="E208" s="133">
        <f ca="1">OFFSET(INDEX(Composições!A:J,MATCH(Orçamentária!A208,Composições!A:A,0),8),2,0)</f>
        <v>526.34582464999994</v>
      </c>
      <c r="F208" s="134">
        <f t="shared" ca="1" si="9"/>
        <v>5263.4582464999994</v>
      </c>
      <c r="G208" s="135">
        <f>BDI!$B$17</f>
        <v>0.191</v>
      </c>
      <c r="H208" s="136">
        <f t="shared" ca="1" si="10"/>
        <v>626.88</v>
      </c>
      <c r="I208" s="182">
        <f t="shared" ca="1" si="11"/>
        <v>6268.8</v>
      </c>
      <c r="J208" s="226"/>
      <c r="K208" s="224" t="s">
        <v>8074</v>
      </c>
    </row>
    <row r="209" spans="1:11" s="161" customFormat="1" hidden="1" x14ac:dyDescent="0.25">
      <c r="A209" s="162" t="s">
        <v>369</v>
      </c>
      <c r="B209" s="163" t="s">
        <v>6259</v>
      </c>
      <c r="C209" s="164" t="s">
        <v>20</v>
      </c>
      <c r="D209" s="164">
        <v>60</v>
      </c>
      <c r="E209" s="133">
        <f ca="1">OFFSET(INDEX(Composições!A:J,MATCH(Orçamentária!A209,Composições!A:A,0),8),2,0)</f>
        <v>201.74582465000003</v>
      </c>
      <c r="F209" s="134">
        <f t="shared" ca="1" si="9"/>
        <v>12104.749479000002</v>
      </c>
      <c r="G209" s="135">
        <f>BDI!$B$17</f>
        <v>0.191</v>
      </c>
      <c r="H209" s="136">
        <f t="shared" ca="1" si="10"/>
        <v>240.28</v>
      </c>
      <c r="I209" s="182">
        <f t="shared" ca="1" si="11"/>
        <v>14416.8</v>
      </c>
      <c r="J209" s="226"/>
      <c r="K209" s="224" t="s">
        <v>8074</v>
      </c>
    </row>
    <row r="210" spans="1:11" s="161" customFormat="1" hidden="1" x14ac:dyDescent="0.25">
      <c r="A210" s="162" t="s">
        <v>371</v>
      </c>
      <c r="B210" s="163" t="s">
        <v>6260</v>
      </c>
      <c r="C210" s="164" t="s">
        <v>20</v>
      </c>
      <c r="D210" s="164">
        <v>60</v>
      </c>
      <c r="E210" s="133">
        <f ca="1">OFFSET(INDEX(Composições!A:J,MATCH(Orçamentária!A210,Composições!A:A,0),8),2,0)</f>
        <v>180.10582465000002</v>
      </c>
      <c r="F210" s="134">
        <f t="shared" ca="1" si="9"/>
        <v>10806.349479</v>
      </c>
      <c r="G210" s="135">
        <f>BDI!$B$17</f>
        <v>0.191</v>
      </c>
      <c r="H210" s="136">
        <f t="shared" ca="1" si="10"/>
        <v>214.51</v>
      </c>
      <c r="I210" s="182">
        <f t="shared" ca="1" si="11"/>
        <v>12870.6</v>
      </c>
      <c r="J210" s="226"/>
      <c r="K210" s="224" t="s">
        <v>8074</v>
      </c>
    </row>
    <row r="211" spans="1:11" s="161" customFormat="1" hidden="1" x14ac:dyDescent="0.25">
      <c r="A211" s="162" t="s">
        <v>373</v>
      </c>
      <c r="B211" s="163" t="s">
        <v>1658</v>
      </c>
      <c r="C211" s="164" t="s">
        <v>20</v>
      </c>
      <c r="D211" s="164">
        <v>50</v>
      </c>
      <c r="E211" s="133">
        <f ca="1">OFFSET(INDEX(Composições!A:J,MATCH(Orçamentária!A211,Composições!A:A,0),8),2,0)</f>
        <v>110.27832465</v>
      </c>
      <c r="F211" s="134">
        <f t="shared" ca="1" si="9"/>
        <v>5513.9162324999998</v>
      </c>
      <c r="G211" s="135">
        <f>BDI!$B$17</f>
        <v>0.191</v>
      </c>
      <c r="H211" s="136">
        <f t="shared" ca="1" si="10"/>
        <v>131.34</v>
      </c>
      <c r="I211" s="182">
        <f t="shared" ca="1" si="11"/>
        <v>6567</v>
      </c>
      <c r="J211" s="226"/>
      <c r="K211" s="224" t="s">
        <v>8074</v>
      </c>
    </row>
    <row r="212" spans="1:11" s="161" customFormat="1" hidden="1" x14ac:dyDescent="0.25">
      <c r="A212" s="162" t="s">
        <v>374</v>
      </c>
      <c r="B212" s="163" t="s">
        <v>6261</v>
      </c>
      <c r="C212" s="164" t="s">
        <v>20</v>
      </c>
      <c r="D212" s="164">
        <v>30</v>
      </c>
      <c r="E212" s="133">
        <f ca="1">OFFSET(INDEX(Composições!A:J,MATCH(Orçamentária!A212,Composições!A:A,0),8),2,0)</f>
        <v>294.57945625000002</v>
      </c>
      <c r="F212" s="134">
        <f t="shared" ca="1" si="9"/>
        <v>8837.3836875000015</v>
      </c>
      <c r="G212" s="135">
        <f>BDI!$B$17</f>
        <v>0.191</v>
      </c>
      <c r="H212" s="136">
        <f t="shared" ca="1" si="10"/>
        <v>350.84</v>
      </c>
      <c r="I212" s="182">
        <f t="shared" ca="1" si="11"/>
        <v>10525.2</v>
      </c>
      <c r="J212" s="226"/>
      <c r="K212" s="224" t="s">
        <v>8074</v>
      </c>
    </row>
    <row r="213" spans="1:11" s="161" customFormat="1" hidden="1" x14ac:dyDescent="0.25">
      <c r="A213" s="162" t="s">
        <v>376</v>
      </c>
      <c r="B213" s="163" t="s">
        <v>6262</v>
      </c>
      <c r="C213" s="164" t="s">
        <v>20</v>
      </c>
      <c r="D213" s="164">
        <v>25</v>
      </c>
      <c r="E213" s="133">
        <f ca="1">OFFSET(INDEX(Composições!A:J,MATCH(Orçamentária!A213,Composições!A:A,0),8),2,0)</f>
        <v>47.597716050000002</v>
      </c>
      <c r="F213" s="134">
        <f t="shared" ca="1" si="9"/>
        <v>1189.94290125</v>
      </c>
      <c r="G213" s="135">
        <f>BDI!$B$17</f>
        <v>0.191</v>
      </c>
      <c r="H213" s="136">
        <f t="shared" ca="1" si="10"/>
        <v>56.69</v>
      </c>
      <c r="I213" s="182">
        <f t="shared" ca="1" si="11"/>
        <v>1417.25</v>
      </c>
      <c r="J213" s="226"/>
      <c r="K213" s="224" t="s">
        <v>8074</v>
      </c>
    </row>
    <row r="214" spans="1:11" s="161" customFormat="1" hidden="1" x14ac:dyDescent="0.25">
      <c r="A214" s="162" t="s">
        <v>377</v>
      </c>
      <c r="B214" s="163" t="s">
        <v>6327</v>
      </c>
      <c r="C214" s="164" t="s">
        <v>20</v>
      </c>
      <c r="D214" s="164">
        <v>10</v>
      </c>
      <c r="E214" s="133">
        <f ca="1">OFFSET(INDEX(Composições!A:J,MATCH(Orçamentária!A214,Composições!A:A,0),8),2,0)</f>
        <v>510.80800000000005</v>
      </c>
      <c r="F214" s="134">
        <f t="shared" ca="1" si="9"/>
        <v>5108.0800000000008</v>
      </c>
      <c r="G214" s="135">
        <f>BDI!$B$17</f>
        <v>0.191</v>
      </c>
      <c r="H214" s="136">
        <f t="shared" ca="1" si="10"/>
        <v>608.37</v>
      </c>
      <c r="I214" s="182">
        <f t="shared" ca="1" si="11"/>
        <v>6083.7</v>
      </c>
      <c r="J214" s="226"/>
      <c r="K214" s="224" t="s">
        <v>8074</v>
      </c>
    </row>
    <row r="215" spans="1:11" s="161" customFormat="1" hidden="1" x14ac:dyDescent="0.25">
      <c r="A215" s="162" t="s">
        <v>379</v>
      </c>
      <c r="B215" s="163" t="s">
        <v>6328</v>
      </c>
      <c r="C215" s="164" t="s">
        <v>20</v>
      </c>
      <c r="D215" s="164">
        <v>50</v>
      </c>
      <c r="E215" s="133">
        <f ca="1">OFFSET(INDEX(Composições!A:J,MATCH(Orçamentária!A215,Composições!A:A,0),8),2,0)</f>
        <v>248.67799999999997</v>
      </c>
      <c r="F215" s="134">
        <f t="shared" ca="1" si="9"/>
        <v>12433.899999999998</v>
      </c>
      <c r="G215" s="135">
        <f>BDI!$B$17</f>
        <v>0.191</v>
      </c>
      <c r="H215" s="136">
        <f t="shared" ca="1" si="10"/>
        <v>296.18</v>
      </c>
      <c r="I215" s="182">
        <f t="shared" ca="1" si="11"/>
        <v>14809</v>
      </c>
      <c r="J215" s="226"/>
      <c r="K215" s="224" t="s">
        <v>8074</v>
      </c>
    </row>
    <row r="216" spans="1:11" s="161" customFormat="1" hidden="1" x14ac:dyDescent="0.25">
      <c r="A216" s="162" t="s">
        <v>380</v>
      </c>
      <c r="B216" s="163" t="s">
        <v>6329</v>
      </c>
      <c r="C216" s="164" t="s">
        <v>20</v>
      </c>
      <c r="D216" s="164">
        <v>10</v>
      </c>
      <c r="E216" s="133">
        <f ca="1">OFFSET(INDEX(Composições!A:J,MATCH(Orçamentária!A216,Composições!A:A,0),8),2,0)</f>
        <v>482.09800000000001</v>
      </c>
      <c r="F216" s="134">
        <f t="shared" ca="1" si="9"/>
        <v>4820.9800000000005</v>
      </c>
      <c r="G216" s="135">
        <f>BDI!$B$17</f>
        <v>0.191</v>
      </c>
      <c r="H216" s="136">
        <f t="shared" ca="1" si="10"/>
        <v>574.17999999999995</v>
      </c>
      <c r="I216" s="182">
        <f t="shared" ca="1" si="11"/>
        <v>5741.8</v>
      </c>
      <c r="J216" s="226"/>
      <c r="K216" s="224" t="s">
        <v>8074</v>
      </c>
    </row>
    <row r="217" spans="1:11" s="161" customFormat="1" hidden="1" x14ac:dyDescent="0.25">
      <c r="A217" s="162" t="s">
        <v>381</v>
      </c>
      <c r="B217" s="163" t="s">
        <v>6330</v>
      </c>
      <c r="C217" s="164" t="s">
        <v>20</v>
      </c>
      <c r="D217" s="164">
        <v>50</v>
      </c>
      <c r="E217" s="133">
        <f ca="1">OFFSET(INDEX(Composições!A:J,MATCH(Orçamentária!A217,Composições!A:A,0),8),2,0)</f>
        <v>248.67799999999997</v>
      </c>
      <c r="F217" s="134">
        <f t="shared" ca="1" si="9"/>
        <v>12433.899999999998</v>
      </c>
      <c r="G217" s="135">
        <f>BDI!$B$17</f>
        <v>0.191</v>
      </c>
      <c r="H217" s="136">
        <f t="shared" ca="1" si="10"/>
        <v>296.18</v>
      </c>
      <c r="I217" s="182">
        <f t="shared" ca="1" si="11"/>
        <v>14809</v>
      </c>
      <c r="J217" s="226"/>
      <c r="K217" s="224" t="s">
        <v>8074</v>
      </c>
    </row>
    <row r="218" spans="1:11" s="161" customFormat="1" hidden="1" x14ac:dyDescent="0.25">
      <c r="A218" s="162" t="s">
        <v>382</v>
      </c>
      <c r="B218" s="163" t="s">
        <v>6331</v>
      </c>
      <c r="C218" s="164" t="s">
        <v>20</v>
      </c>
      <c r="D218" s="164">
        <v>55</v>
      </c>
      <c r="E218" s="133">
        <f ca="1">OFFSET(INDEX(Composições!A:J,MATCH(Orçamentária!A218,Composições!A:A,0),8),2,0)</f>
        <v>40.220617400000002</v>
      </c>
      <c r="F218" s="134">
        <f t="shared" ca="1" si="9"/>
        <v>2212.133957</v>
      </c>
      <c r="G218" s="135">
        <f>BDI!$B$17</f>
        <v>0.191</v>
      </c>
      <c r="H218" s="136">
        <f t="shared" ca="1" si="10"/>
        <v>47.9</v>
      </c>
      <c r="I218" s="182">
        <f t="shared" ca="1" si="11"/>
        <v>2634.5</v>
      </c>
      <c r="J218" s="226"/>
      <c r="K218" s="224" t="s">
        <v>8074</v>
      </c>
    </row>
    <row r="219" spans="1:11" s="161" customFormat="1" hidden="1" x14ac:dyDescent="0.25">
      <c r="A219" s="162" t="s">
        <v>384</v>
      </c>
      <c r="B219" s="163" t="s">
        <v>6263</v>
      </c>
      <c r="C219" s="164" t="s">
        <v>20</v>
      </c>
      <c r="D219" s="164">
        <v>20</v>
      </c>
      <c r="E219" s="133">
        <f ca="1">OFFSET(INDEX(Composições!A:J,MATCH(Orçamentária!A219,Composições!A:A,0),8),2,0)</f>
        <v>47.628143600000001</v>
      </c>
      <c r="F219" s="134">
        <f t="shared" ca="1" si="9"/>
        <v>952.56287199999997</v>
      </c>
      <c r="G219" s="135">
        <f>BDI!$B$17</f>
        <v>0.191</v>
      </c>
      <c r="H219" s="136">
        <f t="shared" ca="1" si="10"/>
        <v>56.73</v>
      </c>
      <c r="I219" s="182">
        <f t="shared" ca="1" si="11"/>
        <v>1134.5999999999999</v>
      </c>
      <c r="J219" s="226"/>
      <c r="K219" s="224" t="s">
        <v>8074</v>
      </c>
    </row>
    <row r="220" spans="1:11" s="161" customFormat="1" hidden="1" x14ac:dyDescent="0.25">
      <c r="A220" s="162" t="s">
        <v>385</v>
      </c>
      <c r="B220" s="163" t="s">
        <v>1659</v>
      </c>
      <c r="C220" s="164" t="s">
        <v>20</v>
      </c>
      <c r="D220" s="164">
        <v>30</v>
      </c>
      <c r="E220" s="133">
        <f ca="1">OFFSET(INDEX(Composições!A:J,MATCH(Orçamentária!A220,Composições!A:A,0),8),2,0)</f>
        <v>235.78078119999998</v>
      </c>
      <c r="F220" s="134">
        <f t="shared" ca="1" si="9"/>
        <v>7073.4234359999991</v>
      </c>
      <c r="G220" s="135">
        <f>BDI!$B$17</f>
        <v>0.191</v>
      </c>
      <c r="H220" s="136">
        <f t="shared" ca="1" si="10"/>
        <v>280.81</v>
      </c>
      <c r="I220" s="182">
        <f t="shared" ca="1" si="11"/>
        <v>8424.2999999999993</v>
      </c>
      <c r="J220" s="226"/>
      <c r="K220" s="224" t="s">
        <v>8074</v>
      </c>
    </row>
    <row r="221" spans="1:11" s="161" customFormat="1" hidden="1" x14ac:dyDescent="0.25">
      <c r="A221" s="162" t="s">
        <v>387</v>
      </c>
      <c r="B221" s="163" t="s">
        <v>1660</v>
      </c>
      <c r="C221" s="164" t="s">
        <v>20</v>
      </c>
      <c r="D221" s="164">
        <v>15</v>
      </c>
      <c r="E221" s="133">
        <f ca="1">OFFSET(INDEX(Composições!A:J,MATCH(Orçamentária!A221,Composições!A:A,0),8),2,0)</f>
        <v>298.81094999999999</v>
      </c>
      <c r="F221" s="134">
        <f t="shared" ca="1" si="9"/>
        <v>4482.1642499999998</v>
      </c>
      <c r="G221" s="135">
        <f>BDI!$B$17</f>
        <v>0.191</v>
      </c>
      <c r="H221" s="136">
        <f t="shared" ca="1" si="10"/>
        <v>355.88</v>
      </c>
      <c r="I221" s="182">
        <f t="shared" ca="1" si="11"/>
        <v>5338.2</v>
      </c>
      <c r="J221" s="226"/>
      <c r="K221" s="224" t="s">
        <v>8074</v>
      </c>
    </row>
    <row r="222" spans="1:11" s="161" customFormat="1" hidden="1" x14ac:dyDescent="0.25">
      <c r="A222" s="162" t="s">
        <v>389</v>
      </c>
      <c r="B222" s="163" t="s">
        <v>1661</v>
      </c>
      <c r="C222" s="164" t="s">
        <v>20</v>
      </c>
      <c r="D222" s="164">
        <v>25</v>
      </c>
      <c r="E222" s="133">
        <f ca="1">OFFSET(INDEX(Composições!A:J,MATCH(Orçamentária!A222,Composições!A:A,0),8),2,0)</f>
        <v>99.245499999999993</v>
      </c>
      <c r="F222" s="134">
        <f t="shared" ca="1" si="9"/>
        <v>2481.1374999999998</v>
      </c>
      <c r="G222" s="135">
        <f>BDI!$B$17</f>
        <v>0.191</v>
      </c>
      <c r="H222" s="136">
        <f t="shared" ca="1" si="10"/>
        <v>118.2</v>
      </c>
      <c r="I222" s="182">
        <f t="shared" ca="1" si="11"/>
        <v>2955</v>
      </c>
      <c r="J222" s="226"/>
      <c r="K222" s="224" t="s">
        <v>8074</v>
      </c>
    </row>
    <row r="223" spans="1:11" s="161" customFormat="1" hidden="1" x14ac:dyDescent="0.25">
      <c r="A223" s="162" t="s">
        <v>392</v>
      </c>
      <c r="B223" s="163" t="s">
        <v>1662</v>
      </c>
      <c r="C223" s="164" t="s">
        <v>20</v>
      </c>
      <c r="D223" s="164">
        <v>20</v>
      </c>
      <c r="E223" s="133">
        <f ca="1">OFFSET(INDEX(Composições!A:J,MATCH(Orçamentária!A223,Composições!A:A,0),8),2,0)</f>
        <v>108.0155</v>
      </c>
      <c r="F223" s="134">
        <f t="shared" ca="1" si="9"/>
        <v>2160.31</v>
      </c>
      <c r="G223" s="135">
        <f>BDI!$B$17</f>
        <v>0.191</v>
      </c>
      <c r="H223" s="136">
        <f t="shared" ca="1" si="10"/>
        <v>128.65</v>
      </c>
      <c r="I223" s="182">
        <f t="shared" ca="1" si="11"/>
        <v>2573</v>
      </c>
      <c r="J223" s="226"/>
      <c r="K223" s="224" t="s">
        <v>8074</v>
      </c>
    </row>
    <row r="224" spans="1:11" s="161" customFormat="1" hidden="1" x14ac:dyDescent="0.25">
      <c r="A224" s="162" t="s">
        <v>394</v>
      </c>
      <c r="B224" s="163" t="s">
        <v>1663</v>
      </c>
      <c r="C224" s="164" t="s">
        <v>20</v>
      </c>
      <c r="D224" s="164">
        <v>20</v>
      </c>
      <c r="E224" s="133">
        <f ca="1">OFFSET(INDEX(Composições!A:J,MATCH(Orçamentária!A224,Composições!A:A,0),8),2,0)</f>
        <v>114.0155</v>
      </c>
      <c r="F224" s="134">
        <f t="shared" ca="1" si="9"/>
        <v>2280.31</v>
      </c>
      <c r="G224" s="135">
        <f>BDI!$B$17</f>
        <v>0.191</v>
      </c>
      <c r="H224" s="136">
        <f t="shared" ca="1" si="10"/>
        <v>135.79</v>
      </c>
      <c r="I224" s="182">
        <f t="shared" ca="1" si="11"/>
        <v>2715.8</v>
      </c>
      <c r="J224" s="226"/>
      <c r="K224" s="224" t="s">
        <v>8074</v>
      </c>
    </row>
    <row r="225" spans="1:11" s="161" customFormat="1" hidden="1" x14ac:dyDescent="0.25">
      <c r="A225" s="162" t="s">
        <v>396</v>
      </c>
      <c r="B225" s="163" t="s">
        <v>1664</v>
      </c>
      <c r="C225" s="164" t="s">
        <v>20</v>
      </c>
      <c r="D225" s="164">
        <v>20</v>
      </c>
      <c r="E225" s="133">
        <f ca="1">OFFSET(INDEX(Composições!A:J,MATCH(Orçamentária!A225,Composições!A:A,0),8),2,0)</f>
        <v>194.3655</v>
      </c>
      <c r="F225" s="134">
        <f t="shared" ca="1" si="9"/>
        <v>3887.31</v>
      </c>
      <c r="G225" s="135">
        <f>BDI!$B$17</f>
        <v>0.191</v>
      </c>
      <c r="H225" s="136">
        <f t="shared" ca="1" si="10"/>
        <v>231.49</v>
      </c>
      <c r="I225" s="182">
        <f t="shared" ca="1" si="11"/>
        <v>4629.8</v>
      </c>
      <c r="J225" s="226"/>
      <c r="K225" s="224" t="s">
        <v>8074</v>
      </c>
    </row>
    <row r="226" spans="1:11" s="161" customFormat="1" hidden="1" x14ac:dyDescent="0.25">
      <c r="A226" s="162" t="s">
        <v>398</v>
      </c>
      <c r="B226" s="163" t="s">
        <v>1665</v>
      </c>
      <c r="C226" s="164" t="s">
        <v>20</v>
      </c>
      <c r="D226" s="164">
        <v>10</v>
      </c>
      <c r="E226" s="133">
        <f ca="1">OFFSET(INDEX(Composições!A:J,MATCH(Orçamentária!A226,Composições!A:A,0),8),2,0)</f>
        <v>322.20901090000001</v>
      </c>
      <c r="F226" s="134">
        <f t="shared" ca="1" si="9"/>
        <v>3222.0901090000002</v>
      </c>
      <c r="G226" s="135">
        <f>BDI!$B$17</f>
        <v>0.191</v>
      </c>
      <c r="H226" s="136">
        <f t="shared" ca="1" si="10"/>
        <v>383.75</v>
      </c>
      <c r="I226" s="182">
        <f t="shared" ca="1" si="11"/>
        <v>3837.5</v>
      </c>
      <c r="J226" s="226"/>
      <c r="K226" s="224" t="s">
        <v>8074</v>
      </c>
    </row>
    <row r="227" spans="1:11" s="161" customFormat="1" hidden="1" x14ac:dyDescent="0.25">
      <c r="A227" s="162" t="s">
        <v>400</v>
      </c>
      <c r="B227" s="163" t="s">
        <v>1666</v>
      </c>
      <c r="C227" s="164" t="s">
        <v>20</v>
      </c>
      <c r="D227" s="164">
        <v>10</v>
      </c>
      <c r="E227" s="133">
        <f ca="1">OFFSET(INDEX(Composições!A:J,MATCH(Orçamentária!A227,Composições!A:A,0),8),2,0)</f>
        <v>701.94092195000007</v>
      </c>
      <c r="F227" s="134">
        <f t="shared" ca="1" si="9"/>
        <v>7019.4092195000012</v>
      </c>
      <c r="G227" s="135">
        <f>BDI!$B$17</f>
        <v>0.191</v>
      </c>
      <c r="H227" s="136">
        <f t="shared" ca="1" si="10"/>
        <v>836.01</v>
      </c>
      <c r="I227" s="182">
        <f t="shared" ca="1" si="11"/>
        <v>8360.1</v>
      </c>
      <c r="J227" s="226"/>
      <c r="K227" s="224" t="s">
        <v>8074</v>
      </c>
    </row>
    <row r="228" spans="1:11" s="161" customFormat="1" hidden="1" x14ac:dyDescent="0.25">
      <c r="A228" s="162" t="s">
        <v>402</v>
      </c>
      <c r="B228" s="163" t="s">
        <v>6264</v>
      </c>
      <c r="C228" s="164" t="s">
        <v>20</v>
      </c>
      <c r="D228" s="164">
        <v>80</v>
      </c>
      <c r="E228" s="133">
        <f ca="1">OFFSET(INDEX(Composições!A:J,MATCH(Orçamentária!A228,Composições!A:A,0),8),2,0)</f>
        <v>98.318657999999999</v>
      </c>
      <c r="F228" s="134">
        <f t="shared" ca="1" si="9"/>
        <v>7865.4926400000004</v>
      </c>
      <c r="G228" s="135">
        <f>BDI!$B$17</f>
        <v>0.191</v>
      </c>
      <c r="H228" s="136">
        <f t="shared" ca="1" si="10"/>
        <v>117.1</v>
      </c>
      <c r="I228" s="182">
        <f t="shared" ca="1" si="11"/>
        <v>9368</v>
      </c>
      <c r="J228" s="226"/>
      <c r="K228" s="224" t="s">
        <v>8074</v>
      </c>
    </row>
    <row r="229" spans="1:11" s="161" customFormat="1" hidden="1" x14ac:dyDescent="0.25">
      <c r="A229" s="162" t="s">
        <v>404</v>
      </c>
      <c r="B229" s="163" t="s">
        <v>6265</v>
      </c>
      <c r="C229" s="164" t="s">
        <v>20</v>
      </c>
      <c r="D229" s="164">
        <v>90</v>
      </c>
      <c r="E229" s="133">
        <f ca="1">OFFSET(INDEX(Composições!A:J,MATCH(Orçamentária!A229,Composições!A:A,0),8),2,0)</f>
        <v>168.15865799999997</v>
      </c>
      <c r="F229" s="134">
        <f t="shared" ca="1" si="9"/>
        <v>15134.279219999999</v>
      </c>
      <c r="G229" s="135">
        <f>BDI!$B$17</f>
        <v>0.191</v>
      </c>
      <c r="H229" s="136">
        <f t="shared" ca="1" si="10"/>
        <v>200.28</v>
      </c>
      <c r="I229" s="182">
        <f t="shared" ca="1" si="11"/>
        <v>18025.2</v>
      </c>
      <c r="J229" s="226"/>
      <c r="K229" s="224" t="s">
        <v>8074</v>
      </c>
    </row>
    <row r="230" spans="1:11" s="161" customFormat="1" hidden="1" x14ac:dyDescent="0.25">
      <c r="A230" s="162" t="s">
        <v>406</v>
      </c>
      <c r="B230" s="163" t="s">
        <v>6266</v>
      </c>
      <c r="C230" s="164" t="s">
        <v>20</v>
      </c>
      <c r="D230" s="164">
        <v>80</v>
      </c>
      <c r="E230" s="133">
        <f ca="1">OFFSET(INDEX(Composições!A:J,MATCH(Orçamentária!A230,Composições!A:A,0),8),2,0)</f>
        <v>203.21865799999998</v>
      </c>
      <c r="F230" s="134">
        <f t="shared" ca="1" si="9"/>
        <v>16257.492639999999</v>
      </c>
      <c r="G230" s="135">
        <f>BDI!$B$17</f>
        <v>0.191</v>
      </c>
      <c r="H230" s="136">
        <f t="shared" ca="1" si="10"/>
        <v>242.03</v>
      </c>
      <c r="I230" s="182">
        <f t="shared" ca="1" si="11"/>
        <v>19362.400000000001</v>
      </c>
      <c r="J230" s="226"/>
      <c r="K230" s="224" t="s">
        <v>8074</v>
      </c>
    </row>
    <row r="231" spans="1:11" s="161" customFormat="1" hidden="1" x14ac:dyDescent="0.25">
      <c r="A231" s="162" t="s">
        <v>408</v>
      </c>
      <c r="B231" s="163" t="s">
        <v>6267</v>
      </c>
      <c r="C231" s="164" t="s">
        <v>20</v>
      </c>
      <c r="D231" s="164">
        <v>70</v>
      </c>
      <c r="E231" s="133">
        <f ca="1">OFFSET(INDEX(Composições!A:J,MATCH(Orçamentária!A231,Composições!A:A,0),8),2,0)</f>
        <v>258.26488590000002</v>
      </c>
      <c r="F231" s="134">
        <f t="shared" ca="1" si="9"/>
        <v>18078.542013000002</v>
      </c>
      <c r="G231" s="135">
        <f>BDI!$B$17</f>
        <v>0.191</v>
      </c>
      <c r="H231" s="136">
        <f t="shared" ca="1" si="10"/>
        <v>307.58999999999997</v>
      </c>
      <c r="I231" s="182">
        <f t="shared" ca="1" si="11"/>
        <v>21531.3</v>
      </c>
      <c r="J231" s="226"/>
      <c r="K231" s="224" t="s">
        <v>8074</v>
      </c>
    </row>
    <row r="232" spans="1:11" s="161" customFormat="1" hidden="1" x14ac:dyDescent="0.25">
      <c r="A232" s="162" t="s">
        <v>410</v>
      </c>
      <c r="B232" s="163" t="s">
        <v>1667</v>
      </c>
      <c r="C232" s="164" t="s">
        <v>20</v>
      </c>
      <c r="D232" s="164">
        <v>1000</v>
      </c>
      <c r="E232" s="133">
        <f ca="1">OFFSET(INDEX(Composições!A:J,MATCH(Orçamentária!A232,Composições!A:A,0),8),2,0)</f>
        <v>10.047526066693099</v>
      </c>
      <c r="F232" s="134">
        <f t="shared" ca="1" si="9"/>
        <v>10047.526066693099</v>
      </c>
      <c r="G232" s="135">
        <f>BDI!$B$17</f>
        <v>0.191</v>
      </c>
      <c r="H232" s="136">
        <f t="shared" ca="1" si="10"/>
        <v>11.97</v>
      </c>
      <c r="I232" s="182">
        <f t="shared" ca="1" si="11"/>
        <v>11970</v>
      </c>
      <c r="J232" s="226"/>
      <c r="K232" s="224" t="s">
        <v>8074</v>
      </c>
    </row>
    <row r="233" spans="1:11" s="161" customFormat="1" hidden="1" x14ac:dyDescent="0.25">
      <c r="A233" s="162" t="s">
        <v>412</v>
      </c>
      <c r="B233" s="163" t="s">
        <v>413</v>
      </c>
      <c r="C233" s="164" t="s">
        <v>20</v>
      </c>
      <c r="D233" s="164">
        <v>360</v>
      </c>
      <c r="E233" s="133">
        <f ca="1">OFFSET(INDEX(Composições!A:J,MATCH(Orçamentária!A233,Composições!A:A,0),8),2,0)</f>
        <v>15.390474999999999</v>
      </c>
      <c r="F233" s="134">
        <f t="shared" ca="1" si="9"/>
        <v>5540.5709999999999</v>
      </c>
      <c r="G233" s="135">
        <f>BDI!$B$17</f>
        <v>0.191</v>
      </c>
      <c r="H233" s="136">
        <f t="shared" ca="1" si="10"/>
        <v>18.329999999999998</v>
      </c>
      <c r="I233" s="182">
        <f t="shared" ca="1" si="11"/>
        <v>6598.8</v>
      </c>
      <c r="J233" s="226"/>
      <c r="K233" s="224" t="s">
        <v>8074</v>
      </c>
    </row>
    <row r="234" spans="1:11" s="161" customFormat="1" hidden="1" x14ac:dyDescent="0.25">
      <c r="A234" s="162" t="s">
        <v>414</v>
      </c>
      <c r="B234" s="163" t="s">
        <v>1668</v>
      </c>
      <c r="C234" s="164" t="s">
        <v>20</v>
      </c>
      <c r="D234" s="164">
        <v>320</v>
      </c>
      <c r="E234" s="133">
        <f ca="1">OFFSET(INDEX(Composições!A:J,MATCH(Orçamentária!A234,Composições!A:A,0),8),2,0)</f>
        <v>14.088364755590799</v>
      </c>
      <c r="F234" s="134">
        <f t="shared" ca="1" si="9"/>
        <v>4508.276721789056</v>
      </c>
      <c r="G234" s="135">
        <f>BDI!$B$17</f>
        <v>0.191</v>
      </c>
      <c r="H234" s="136">
        <f t="shared" ca="1" si="10"/>
        <v>16.78</v>
      </c>
      <c r="I234" s="182">
        <f t="shared" ca="1" si="11"/>
        <v>5369.6</v>
      </c>
      <c r="J234" s="226"/>
      <c r="K234" s="224" t="s">
        <v>8074</v>
      </c>
    </row>
    <row r="235" spans="1:11" s="161" customFormat="1" hidden="1" x14ac:dyDescent="0.25">
      <c r="A235" s="162" t="s">
        <v>416</v>
      </c>
      <c r="B235" s="163" t="s">
        <v>417</v>
      </c>
      <c r="C235" s="164" t="s">
        <v>20</v>
      </c>
      <c r="D235" s="164">
        <v>80</v>
      </c>
      <c r="E235" s="133">
        <f ca="1">OFFSET(INDEX(Composições!A:J,MATCH(Orçamentária!A235,Composições!A:A,0),8),2,0)</f>
        <v>27.526129999999998</v>
      </c>
      <c r="F235" s="134">
        <f t="shared" ca="1" si="9"/>
        <v>2202.0904</v>
      </c>
      <c r="G235" s="135">
        <f>BDI!$B$17</f>
        <v>0.191</v>
      </c>
      <c r="H235" s="136">
        <f t="shared" ca="1" si="10"/>
        <v>32.78</v>
      </c>
      <c r="I235" s="182">
        <f t="shared" ca="1" si="11"/>
        <v>2622.4</v>
      </c>
      <c r="J235" s="226"/>
      <c r="K235" s="224" t="s">
        <v>8074</v>
      </c>
    </row>
    <row r="236" spans="1:11" s="161" customFormat="1" hidden="1" x14ac:dyDescent="0.25">
      <c r="A236" s="162" t="s">
        <v>418</v>
      </c>
      <c r="B236" s="163" t="s">
        <v>1669</v>
      </c>
      <c r="C236" s="164" t="s">
        <v>20</v>
      </c>
      <c r="D236" s="164">
        <v>1000</v>
      </c>
      <c r="E236" s="133">
        <f ca="1">OFFSET(INDEX(Composições!A:J,MATCH(Orçamentária!A236,Composições!A:A,0),8),2,0)</f>
        <v>46.576030000000003</v>
      </c>
      <c r="F236" s="134">
        <f t="shared" ca="1" si="9"/>
        <v>46576.030000000006</v>
      </c>
      <c r="G236" s="135">
        <f>BDI!$B$17</f>
        <v>0.191</v>
      </c>
      <c r="H236" s="136">
        <f t="shared" ca="1" si="10"/>
        <v>55.47</v>
      </c>
      <c r="I236" s="182">
        <f t="shared" ca="1" si="11"/>
        <v>55470</v>
      </c>
      <c r="J236" s="226"/>
      <c r="K236" s="224" t="s">
        <v>8074</v>
      </c>
    </row>
    <row r="237" spans="1:11" s="161" customFormat="1" hidden="1" x14ac:dyDescent="0.25">
      <c r="A237" s="162" t="s">
        <v>420</v>
      </c>
      <c r="B237" s="163" t="s">
        <v>1670</v>
      </c>
      <c r="C237" s="164" t="s">
        <v>20</v>
      </c>
      <c r="D237" s="164">
        <v>400</v>
      </c>
      <c r="E237" s="133">
        <f ca="1">OFFSET(INDEX(Composições!A:J,MATCH(Orçamentária!A237,Composições!A:A,0),8),2,0)</f>
        <v>137.47602999999998</v>
      </c>
      <c r="F237" s="134">
        <f t="shared" ca="1" si="9"/>
        <v>54990.411999999989</v>
      </c>
      <c r="G237" s="135">
        <f>BDI!$B$17</f>
        <v>0.191</v>
      </c>
      <c r="H237" s="136">
        <f t="shared" ca="1" si="10"/>
        <v>163.72999999999999</v>
      </c>
      <c r="I237" s="182">
        <f t="shared" ca="1" si="11"/>
        <v>65492</v>
      </c>
      <c r="J237" s="226"/>
      <c r="K237" s="224" t="s">
        <v>8074</v>
      </c>
    </row>
    <row r="238" spans="1:11" s="161" customFormat="1" hidden="1" x14ac:dyDescent="0.25">
      <c r="A238" s="162" t="s">
        <v>422</v>
      </c>
      <c r="B238" s="163" t="s">
        <v>1671</v>
      </c>
      <c r="C238" s="164" t="s">
        <v>20</v>
      </c>
      <c r="D238" s="164">
        <v>1300</v>
      </c>
      <c r="E238" s="133">
        <f ca="1">OFFSET(INDEX(Composições!A:J,MATCH(Orçamentária!A238,Composições!A:A,0),8),2,0)</f>
        <v>61.700181999999998</v>
      </c>
      <c r="F238" s="134">
        <f t="shared" ca="1" si="9"/>
        <v>80210.236600000004</v>
      </c>
      <c r="G238" s="135">
        <f>BDI!$B$17</f>
        <v>0.191</v>
      </c>
      <c r="H238" s="136">
        <f t="shared" ca="1" si="10"/>
        <v>73.48</v>
      </c>
      <c r="I238" s="182">
        <f t="shared" ca="1" si="11"/>
        <v>95524</v>
      </c>
      <c r="J238" s="226"/>
      <c r="K238" s="224" t="s">
        <v>8074</v>
      </c>
    </row>
    <row r="239" spans="1:11" s="161" customFormat="1" hidden="1" x14ac:dyDescent="0.25">
      <c r="A239" s="162" t="s">
        <v>424</v>
      </c>
      <c r="B239" s="163" t="s">
        <v>1672</v>
      </c>
      <c r="C239" s="164" t="s">
        <v>20</v>
      </c>
      <c r="D239" s="164">
        <v>150</v>
      </c>
      <c r="E239" s="133">
        <f ca="1">OFFSET(INDEX(Composições!A:J,MATCH(Orçamentária!A239,Composições!A:A,0),8),2,0)</f>
        <v>325.93602999999996</v>
      </c>
      <c r="F239" s="134">
        <f t="shared" ca="1" si="9"/>
        <v>48890.404499999997</v>
      </c>
      <c r="G239" s="135">
        <f>BDI!$B$17</f>
        <v>0.191</v>
      </c>
      <c r="H239" s="136">
        <f t="shared" ca="1" si="10"/>
        <v>388.19</v>
      </c>
      <c r="I239" s="182">
        <f t="shared" ca="1" si="11"/>
        <v>58228.5</v>
      </c>
      <c r="J239" s="226"/>
      <c r="K239" s="224" t="s">
        <v>8074</v>
      </c>
    </row>
    <row r="240" spans="1:11" s="161" customFormat="1" hidden="1" x14ac:dyDescent="0.25">
      <c r="A240" s="162" t="s">
        <v>426</v>
      </c>
      <c r="B240" s="163" t="s">
        <v>1673</v>
      </c>
      <c r="C240" s="164" t="s">
        <v>92</v>
      </c>
      <c r="D240" s="164">
        <v>540</v>
      </c>
      <c r="E240" s="133">
        <f ca="1">OFFSET(INDEX(Composições!A:J,MATCH(Orçamentária!A240,Composições!A:A,0),8),2,0)</f>
        <v>120.16789999999999</v>
      </c>
      <c r="F240" s="134">
        <f t="shared" ca="1" si="9"/>
        <v>64890.665999999997</v>
      </c>
      <c r="G240" s="135">
        <f>BDI!$B$17</f>
        <v>0.191</v>
      </c>
      <c r="H240" s="136">
        <f t="shared" ca="1" si="10"/>
        <v>143.12</v>
      </c>
      <c r="I240" s="182">
        <f t="shared" ca="1" si="11"/>
        <v>77284.800000000003</v>
      </c>
      <c r="J240" s="226"/>
      <c r="K240" s="224" t="s">
        <v>8074</v>
      </c>
    </row>
    <row r="241" spans="1:11" s="161" customFormat="1" hidden="1" x14ac:dyDescent="0.25">
      <c r="A241" s="162" t="s">
        <v>428</v>
      </c>
      <c r="B241" s="163" t="s">
        <v>6332</v>
      </c>
      <c r="C241" s="164" t="s">
        <v>20</v>
      </c>
      <c r="D241" s="164">
        <v>700</v>
      </c>
      <c r="E241" s="133">
        <f ca="1">OFFSET(INDEX(Composições!A:J,MATCH(Orçamentária!A241,Composições!A:A,0),8),2,0)</f>
        <v>44.417867499999993</v>
      </c>
      <c r="F241" s="134">
        <f t="shared" ca="1" si="9"/>
        <v>31092.507249999995</v>
      </c>
      <c r="G241" s="135">
        <f>BDI!$B$17</f>
        <v>0.191</v>
      </c>
      <c r="H241" s="136">
        <f t="shared" ca="1" si="10"/>
        <v>52.9</v>
      </c>
      <c r="I241" s="182">
        <f t="shared" ca="1" si="11"/>
        <v>37030</v>
      </c>
      <c r="J241" s="226"/>
      <c r="K241" s="224" t="s">
        <v>8074</v>
      </c>
    </row>
    <row r="242" spans="1:11" s="161" customFormat="1" hidden="1" x14ac:dyDescent="0.25">
      <c r="A242" s="162" t="s">
        <v>431</v>
      </c>
      <c r="B242" s="163" t="s">
        <v>1674</v>
      </c>
      <c r="C242" s="164" t="s">
        <v>92</v>
      </c>
      <c r="D242" s="164">
        <v>950</v>
      </c>
      <c r="E242" s="133">
        <f ca="1">OFFSET(INDEX(Composições!A:J,MATCH(Orçamentária!A242,Composições!A:A,0),8),2,0)</f>
        <v>69.713823999999988</v>
      </c>
      <c r="F242" s="134">
        <f t="shared" ca="1" si="9"/>
        <v>66228.132799999992</v>
      </c>
      <c r="G242" s="135">
        <f>BDI!$B$17</f>
        <v>0.191</v>
      </c>
      <c r="H242" s="136">
        <f t="shared" ca="1" si="10"/>
        <v>83.03</v>
      </c>
      <c r="I242" s="182">
        <f t="shared" ca="1" si="11"/>
        <v>78878.5</v>
      </c>
      <c r="J242" s="226"/>
      <c r="K242" s="224" t="s">
        <v>8074</v>
      </c>
    </row>
    <row r="243" spans="1:11" s="161" customFormat="1" hidden="1" x14ac:dyDescent="0.25">
      <c r="A243" s="162" t="s">
        <v>442</v>
      </c>
      <c r="B243" s="163" t="s">
        <v>1675</v>
      </c>
      <c r="C243" s="164" t="s">
        <v>92</v>
      </c>
      <c r="D243" s="164">
        <v>950</v>
      </c>
      <c r="E243" s="133">
        <f ca="1">OFFSET(INDEX(Composições!A:J,MATCH(Orçamentária!A243,Composições!A:A,0),8),2,0)</f>
        <v>130.05240069999999</v>
      </c>
      <c r="F243" s="134">
        <f t="shared" ca="1" si="9"/>
        <v>123549.780665</v>
      </c>
      <c r="G243" s="135">
        <f>BDI!$B$17</f>
        <v>0.191</v>
      </c>
      <c r="H243" s="136">
        <f t="shared" ca="1" si="10"/>
        <v>154.88999999999999</v>
      </c>
      <c r="I243" s="182">
        <f t="shared" ca="1" si="11"/>
        <v>147145.5</v>
      </c>
      <c r="J243" s="226"/>
      <c r="K243" s="224" t="s">
        <v>8074</v>
      </c>
    </row>
    <row r="244" spans="1:11" s="161" customFormat="1" hidden="1" x14ac:dyDescent="0.25">
      <c r="A244" s="162" t="s">
        <v>447</v>
      </c>
      <c r="B244" s="163" t="s">
        <v>1676</v>
      </c>
      <c r="C244" s="164" t="s">
        <v>92</v>
      </c>
      <c r="D244" s="164">
        <v>875</v>
      </c>
      <c r="E244" s="133">
        <f ca="1">OFFSET(INDEX(Composições!A:J,MATCH(Orçamentária!A244,Composições!A:A,0),8),2,0)</f>
        <v>111.66388070000001</v>
      </c>
      <c r="F244" s="134">
        <f t="shared" ca="1" si="9"/>
        <v>97705.895612500011</v>
      </c>
      <c r="G244" s="135">
        <f>BDI!$B$17</f>
        <v>0.191</v>
      </c>
      <c r="H244" s="136">
        <f t="shared" ca="1" si="10"/>
        <v>132.99</v>
      </c>
      <c r="I244" s="182">
        <f t="shared" ca="1" si="11"/>
        <v>116366.25</v>
      </c>
      <c r="J244" s="226"/>
      <c r="K244" s="224" t="s">
        <v>8074</v>
      </c>
    </row>
    <row r="245" spans="1:11" s="161" customFormat="1" hidden="1" x14ac:dyDescent="0.25">
      <c r="A245" s="162" t="s">
        <v>450</v>
      </c>
      <c r="B245" s="163" t="s">
        <v>1677</v>
      </c>
      <c r="C245" s="164" t="s">
        <v>92</v>
      </c>
      <c r="D245" s="164">
        <v>875</v>
      </c>
      <c r="E245" s="133">
        <f ca="1">OFFSET(INDEX(Composições!A:J,MATCH(Orçamentária!A245,Composições!A:A,0),8),2,0)</f>
        <v>166.22226069999999</v>
      </c>
      <c r="F245" s="134">
        <f t="shared" ca="1" si="9"/>
        <v>145444.47811249999</v>
      </c>
      <c r="G245" s="135">
        <f>BDI!$B$17</f>
        <v>0.191</v>
      </c>
      <c r="H245" s="136">
        <f t="shared" ca="1" si="10"/>
        <v>197.97</v>
      </c>
      <c r="I245" s="182">
        <f t="shared" ca="1" si="11"/>
        <v>173223.75</v>
      </c>
      <c r="J245" s="226"/>
      <c r="K245" s="224" t="s">
        <v>8074</v>
      </c>
    </row>
    <row r="246" spans="1:11" s="161" customFormat="1" hidden="1" x14ac:dyDescent="0.25">
      <c r="A246" s="162" t="s">
        <v>454</v>
      </c>
      <c r="B246" s="163" t="s">
        <v>1678</v>
      </c>
      <c r="C246" s="164" t="s">
        <v>92</v>
      </c>
      <c r="D246" s="164">
        <v>875</v>
      </c>
      <c r="E246" s="133">
        <f ca="1">OFFSET(INDEX(Composições!A:J,MATCH(Orçamentária!A246,Composições!A:A,0),8),2,0)</f>
        <v>145.1280557</v>
      </c>
      <c r="F246" s="134">
        <f t="shared" ca="1" si="9"/>
        <v>126987.04873750001</v>
      </c>
      <c r="G246" s="135">
        <f>BDI!$B$17</f>
        <v>0.191</v>
      </c>
      <c r="H246" s="136">
        <f t="shared" ca="1" si="10"/>
        <v>172.85</v>
      </c>
      <c r="I246" s="182">
        <f t="shared" ca="1" si="11"/>
        <v>151243.75</v>
      </c>
      <c r="J246" s="226"/>
      <c r="K246" s="224" t="s">
        <v>8074</v>
      </c>
    </row>
    <row r="247" spans="1:11" s="161" customFormat="1" hidden="1" x14ac:dyDescent="0.25">
      <c r="A247" s="162" t="s">
        <v>457</v>
      </c>
      <c r="B247" s="163" t="s">
        <v>1679</v>
      </c>
      <c r="C247" s="164" t="s">
        <v>92</v>
      </c>
      <c r="D247" s="164">
        <v>875</v>
      </c>
      <c r="E247" s="133">
        <f ca="1">OFFSET(INDEX(Composições!A:J,MATCH(Orçamentária!A247,Composições!A:A,0),8),2,0)</f>
        <v>228.3177657</v>
      </c>
      <c r="F247" s="134">
        <f t="shared" ca="1" si="9"/>
        <v>199778.0449875</v>
      </c>
      <c r="G247" s="135">
        <f>BDI!$B$17</f>
        <v>0.191</v>
      </c>
      <c r="H247" s="136">
        <f t="shared" ca="1" si="10"/>
        <v>271.93</v>
      </c>
      <c r="I247" s="182">
        <f t="shared" ca="1" si="11"/>
        <v>237938.75</v>
      </c>
      <c r="J247" s="226"/>
      <c r="K247" s="224" t="s">
        <v>8074</v>
      </c>
    </row>
    <row r="248" spans="1:11" s="161" customFormat="1" hidden="1" x14ac:dyDescent="0.25">
      <c r="A248" s="162" t="s">
        <v>461</v>
      </c>
      <c r="B248" s="163" t="s">
        <v>1680</v>
      </c>
      <c r="C248" s="164" t="s">
        <v>92</v>
      </c>
      <c r="D248" s="164">
        <v>1200</v>
      </c>
      <c r="E248" s="133">
        <f ca="1">OFFSET(INDEX(Composições!A:J,MATCH(Orçamentária!A248,Composições!A:A,0),8),2,0)</f>
        <v>59.322868999999997</v>
      </c>
      <c r="F248" s="134">
        <f t="shared" ca="1" si="9"/>
        <v>71187.44279999999</v>
      </c>
      <c r="G248" s="135">
        <f>BDI!$B$17</f>
        <v>0.191</v>
      </c>
      <c r="H248" s="136">
        <f t="shared" ca="1" si="10"/>
        <v>70.650000000000006</v>
      </c>
      <c r="I248" s="182">
        <f t="shared" ca="1" si="11"/>
        <v>84780</v>
      </c>
      <c r="J248" s="226"/>
      <c r="K248" s="224" t="s">
        <v>8074</v>
      </c>
    </row>
    <row r="249" spans="1:11" s="161" customFormat="1" hidden="1" x14ac:dyDescent="0.25">
      <c r="A249" s="162" t="s">
        <v>465</v>
      </c>
      <c r="B249" s="163" t="s">
        <v>1681</v>
      </c>
      <c r="C249" s="164" t="s">
        <v>92</v>
      </c>
      <c r="D249" s="164">
        <v>3000</v>
      </c>
      <c r="E249" s="133">
        <f ca="1">OFFSET(INDEX(Composições!A:J,MATCH(Orçamentária!A249,Composições!A:A,0),8),2,0)</f>
        <v>63.261449999999996</v>
      </c>
      <c r="F249" s="134">
        <f t="shared" ca="1" si="9"/>
        <v>189784.34999999998</v>
      </c>
      <c r="G249" s="135">
        <f>BDI!$B$17</f>
        <v>0.191</v>
      </c>
      <c r="H249" s="136">
        <f t="shared" ca="1" si="10"/>
        <v>75.34</v>
      </c>
      <c r="I249" s="182">
        <f t="shared" ca="1" si="11"/>
        <v>226020</v>
      </c>
      <c r="J249" s="226"/>
      <c r="K249" s="224" t="s">
        <v>8074</v>
      </c>
    </row>
    <row r="250" spans="1:11" s="161" customFormat="1" hidden="1" x14ac:dyDescent="0.25">
      <c r="A250" s="162" t="s">
        <v>467</v>
      </c>
      <c r="B250" s="163" t="s">
        <v>1682</v>
      </c>
      <c r="C250" s="164" t="s">
        <v>92</v>
      </c>
      <c r="D250" s="164">
        <v>3000</v>
      </c>
      <c r="E250" s="133">
        <f ca="1">OFFSET(INDEX(Composições!A:J,MATCH(Orçamentária!A250,Composições!A:A,0),8),2,0)</f>
        <v>60.219074999999989</v>
      </c>
      <c r="F250" s="134">
        <f t="shared" ca="1" si="9"/>
        <v>180657.22499999998</v>
      </c>
      <c r="G250" s="135">
        <f>BDI!$B$17</f>
        <v>0.191</v>
      </c>
      <c r="H250" s="136">
        <f t="shared" ca="1" si="10"/>
        <v>71.72</v>
      </c>
      <c r="I250" s="182">
        <f t="shared" ca="1" si="11"/>
        <v>215160</v>
      </c>
      <c r="J250" s="226"/>
      <c r="K250" s="224" t="s">
        <v>8074</v>
      </c>
    </row>
    <row r="251" spans="1:11" s="161" customFormat="1" hidden="1" x14ac:dyDescent="0.25">
      <c r="A251" s="162" t="s">
        <v>469</v>
      </c>
      <c r="B251" s="163" t="s">
        <v>1683</v>
      </c>
      <c r="C251" s="164" t="s">
        <v>92</v>
      </c>
      <c r="D251" s="164">
        <v>2000</v>
      </c>
      <c r="E251" s="133">
        <f ca="1">OFFSET(INDEX(Composições!A:J,MATCH(Orçamentária!A251,Composições!A:A,0),8),2,0)</f>
        <v>37.549225</v>
      </c>
      <c r="F251" s="134">
        <f t="shared" ca="1" si="9"/>
        <v>75098.45</v>
      </c>
      <c r="G251" s="135">
        <f>BDI!$B$17</f>
        <v>0.191</v>
      </c>
      <c r="H251" s="136">
        <f t="shared" ca="1" si="10"/>
        <v>44.72</v>
      </c>
      <c r="I251" s="182">
        <f t="shared" ca="1" si="11"/>
        <v>89440</v>
      </c>
      <c r="J251" s="226"/>
      <c r="K251" s="224" t="s">
        <v>8074</v>
      </c>
    </row>
    <row r="252" spans="1:11" s="161" customFormat="1" hidden="1" x14ac:dyDescent="0.25">
      <c r="A252" s="162" t="s">
        <v>471</v>
      </c>
      <c r="B252" s="163" t="s">
        <v>1684</v>
      </c>
      <c r="C252" s="164" t="s">
        <v>92</v>
      </c>
      <c r="D252" s="164">
        <v>2000</v>
      </c>
      <c r="E252" s="133">
        <f ca="1">OFFSET(INDEX(Composições!A:J,MATCH(Orçamentária!A252,Composições!A:A,0),8),2,0)</f>
        <v>80.428425000000004</v>
      </c>
      <c r="F252" s="134">
        <f t="shared" ca="1" si="9"/>
        <v>160856.85</v>
      </c>
      <c r="G252" s="135">
        <f>BDI!$B$17</f>
        <v>0.191</v>
      </c>
      <c r="H252" s="136">
        <f t="shared" ca="1" si="10"/>
        <v>95.79</v>
      </c>
      <c r="I252" s="182">
        <f t="shared" ca="1" si="11"/>
        <v>191580</v>
      </c>
      <c r="J252" s="226"/>
      <c r="K252" s="224" t="s">
        <v>8074</v>
      </c>
    </row>
    <row r="253" spans="1:11" s="161" customFormat="1" hidden="1" x14ac:dyDescent="0.25">
      <c r="A253" s="162" t="s">
        <v>474</v>
      </c>
      <c r="B253" s="163" t="s">
        <v>1685</v>
      </c>
      <c r="C253" s="164" t="s">
        <v>92</v>
      </c>
      <c r="D253" s="164">
        <v>2000</v>
      </c>
      <c r="E253" s="133">
        <f ca="1">OFFSET(INDEX(Composições!A:J,MATCH(Orçamentária!A253,Composições!A:A,0),8),2,0)</f>
        <v>34.716324999999998</v>
      </c>
      <c r="F253" s="134">
        <f t="shared" ca="1" si="9"/>
        <v>69432.649999999994</v>
      </c>
      <c r="G253" s="135">
        <f>BDI!$B$17</f>
        <v>0.191</v>
      </c>
      <c r="H253" s="136">
        <f t="shared" ca="1" si="10"/>
        <v>41.35</v>
      </c>
      <c r="I253" s="182">
        <f t="shared" ca="1" si="11"/>
        <v>82700</v>
      </c>
      <c r="J253" s="226"/>
      <c r="K253" s="224" t="s">
        <v>8074</v>
      </c>
    </row>
    <row r="254" spans="1:11" s="161" customFormat="1" hidden="1" x14ac:dyDescent="0.25">
      <c r="A254" s="162" t="s">
        <v>476</v>
      </c>
      <c r="B254" s="163" t="s">
        <v>1686</v>
      </c>
      <c r="C254" s="164" t="s">
        <v>92</v>
      </c>
      <c r="D254" s="164">
        <v>1000</v>
      </c>
      <c r="E254" s="133">
        <f ca="1">OFFSET(INDEX(Composições!A:J,MATCH(Orçamentária!A254,Composições!A:A,0),8),2,0)</f>
        <v>15.711119</v>
      </c>
      <c r="F254" s="134">
        <f t="shared" ca="1" si="9"/>
        <v>15711.119000000001</v>
      </c>
      <c r="G254" s="135">
        <f>BDI!$B$17</f>
        <v>0.191</v>
      </c>
      <c r="H254" s="136">
        <f t="shared" ca="1" si="10"/>
        <v>18.71</v>
      </c>
      <c r="I254" s="182">
        <f t="shared" ca="1" si="11"/>
        <v>18710</v>
      </c>
      <c r="J254" s="226"/>
      <c r="K254" s="224" t="s">
        <v>8074</v>
      </c>
    </row>
    <row r="255" spans="1:11" s="161" customFormat="1" hidden="1" x14ac:dyDescent="0.25">
      <c r="A255" s="162" t="s">
        <v>479</v>
      </c>
      <c r="B255" s="163" t="s">
        <v>1687</v>
      </c>
      <c r="C255" s="164" t="s">
        <v>92</v>
      </c>
      <c r="D255" s="164">
        <v>1000</v>
      </c>
      <c r="E255" s="133">
        <f ca="1">OFFSET(INDEX(Composições!A:J,MATCH(Orçamentária!A255,Composições!A:A,0),8),2,0)</f>
        <v>10.619119000000001</v>
      </c>
      <c r="F255" s="134">
        <f t="shared" ca="1" si="9"/>
        <v>10619.119000000001</v>
      </c>
      <c r="G255" s="135">
        <f>BDI!$B$17</f>
        <v>0.191</v>
      </c>
      <c r="H255" s="136">
        <f t="shared" ca="1" si="10"/>
        <v>12.65</v>
      </c>
      <c r="I255" s="182">
        <f t="shared" ca="1" si="11"/>
        <v>12650</v>
      </c>
      <c r="J255" s="226"/>
      <c r="K255" s="224" t="s">
        <v>8074</v>
      </c>
    </row>
    <row r="256" spans="1:11" s="161" customFormat="1" hidden="1" x14ac:dyDescent="0.25">
      <c r="A256" s="162" t="s">
        <v>481</v>
      </c>
      <c r="B256" s="163" t="s">
        <v>1688</v>
      </c>
      <c r="C256" s="164" t="s">
        <v>92</v>
      </c>
      <c r="D256" s="164">
        <v>2000</v>
      </c>
      <c r="E256" s="133">
        <f ca="1">OFFSET(INDEX(Composições!A:J,MATCH(Orçamentária!A256,Composições!A:A,0),8),2,0)</f>
        <v>25.534461</v>
      </c>
      <c r="F256" s="134">
        <f t="shared" ca="1" si="9"/>
        <v>51068.921999999999</v>
      </c>
      <c r="G256" s="135">
        <f>BDI!$B$17</f>
        <v>0.191</v>
      </c>
      <c r="H256" s="136">
        <f t="shared" ca="1" si="10"/>
        <v>30.41</v>
      </c>
      <c r="I256" s="182">
        <f t="shared" ca="1" si="11"/>
        <v>60820</v>
      </c>
      <c r="J256" s="226"/>
      <c r="K256" s="224" t="s">
        <v>8074</v>
      </c>
    </row>
    <row r="257" spans="1:11" s="161" customFormat="1" hidden="1" x14ac:dyDescent="0.25">
      <c r="A257" s="162" t="s">
        <v>483</v>
      </c>
      <c r="B257" s="163" t="s">
        <v>1689</v>
      </c>
      <c r="C257" s="164" t="s">
        <v>92</v>
      </c>
      <c r="D257" s="164">
        <v>2000</v>
      </c>
      <c r="E257" s="133">
        <f ca="1">OFFSET(INDEX(Composições!A:J,MATCH(Orçamentária!A257,Composições!A:A,0),8),2,0)</f>
        <v>19.716938399999997</v>
      </c>
      <c r="F257" s="134">
        <f t="shared" ca="1" si="9"/>
        <v>39433.876799999991</v>
      </c>
      <c r="G257" s="135">
        <f>BDI!$B$17</f>
        <v>0.191</v>
      </c>
      <c r="H257" s="136">
        <f t="shared" ca="1" si="10"/>
        <v>23.48</v>
      </c>
      <c r="I257" s="182">
        <f t="shared" ca="1" si="11"/>
        <v>46960</v>
      </c>
      <c r="J257" s="226"/>
      <c r="K257" s="224" t="s">
        <v>8074</v>
      </c>
    </row>
    <row r="258" spans="1:11" s="161" customFormat="1" hidden="1" x14ac:dyDescent="0.25">
      <c r="A258" s="162" t="s">
        <v>485</v>
      </c>
      <c r="B258" s="163" t="s">
        <v>1690</v>
      </c>
      <c r="C258" s="164" t="s">
        <v>92</v>
      </c>
      <c r="D258" s="164">
        <v>650</v>
      </c>
      <c r="E258" s="133">
        <f ca="1">OFFSET(INDEX(Composições!A:J,MATCH(Orçamentária!A258,Composições!A:A,0),8),2,0)</f>
        <v>78.463678850000008</v>
      </c>
      <c r="F258" s="134">
        <f t="shared" ca="1" si="9"/>
        <v>51001.391252500005</v>
      </c>
      <c r="G258" s="135">
        <f>BDI!$B$17</f>
        <v>0.191</v>
      </c>
      <c r="H258" s="136">
        <f t="shared" ca="1" si="10"/>
        <v>93.45</v>
      </c>
      <c r="I258" s="182">
        <f t="shared" ca="1" si="11"/>
        <v>60742.5</v>
      </c>
      <c r="J258" s="226"/>
      <c r="K258" s="224" t="s">
        <v>8074</v>
      </c>
    </row>
    <row r="259" spans="1:11" s="161" customFormat="1" hidden="1" x14ac:dyDescent="0.25">
      <c r="A259" s="162" t="s">
        <v>490</v>
      </c>
      <c r="B259" s="163" t="s">
        <v>1691</v>
      </c>
      <c r="C259" s="164" t="s">
        <v>20</v>
      </c>
      <c r="D259" s="164">
        <v>2000</v>
      </c>
      <c r="E259" s="133">
        <f ca="1">OFFSET(INDEX(Composições!A:J,MATCH(Orçamentária!A259,Composições!A:A,0),8),2,0)</f>
        <v>7.1908919999999998</v>
      </c>
      <c r="F259" s="134">
        <f t="shared" ca="1" si="9"/>
        <v>14381.784</v>
      </c>
      <c r="G259" s="135">
        <f>BDI!$B$17</f>
        <v>0.191</v>
      </c>
      <c r="H259" s="136">
        <f t="shared" ca="1" si="10"/>
        <v>8.56</v>
      </c>
      <c r="I259" s="182">
        <f t="shared" ca="1" si="11"/>
        <v>17120</v>
      </c>
      <c r="J259" s="226"/>
      <c r="K259" s="224" t="s">
        <v>8074</v>
      </c>
    </row>
    <row r="260" spans="1:11" s="161" customFormat="1" hidden="1" x14ac:dyDescent="0.25">
      <c r="A260" s="162" t="s">
        <v>493</v>
      </c>
      <c r="B260" s="163" t="s">
        <v>1692</v>
      </c>
      <c r="C260" s="164" t="s">
        <v>20</v>
      </c>
      <c r="D260" s="164">
        <v>400</v>
      </c>
      <c r="E260" s="133">
        <f ca="1">OFFSET(INDEX(Composições!A:J,MATCH(Orçamentária!A260,Composições!A:A,0),8),2,0)</f>
        <v>12.058235999999999</v>
      </c>
      <c r="F260" s="134">
        <f t="shared" ca="1" si="9"/>
        <v>4823.2943999999998</v>
      </c>
      <c r="G260" s="135">
        <f>BDI!$B$17</f>
        <v>0.191</v>
      </c>
      <c r="H260" s="136">
        <f t="shared" ca="1" si="10"/>
        <v>14.36</v>
      </c>
      <c r="I260" s="182">
        <f t="shared" ca="1" si="11"/>
        <v>5744</v>
      </c>
      <c r="J260" s="226"/>
      <c r="K260" s="224" t="s">
        <v>8074</v>
      </c>
    </row>
    <row r="261" spans="1:11" s="161" customFormat="1" hidden="1" x14ac:dyDescent="0.25">
      <c r="A261" s="162" t="s">
        <v>496</v>
      </c>
      <c r="B261" s="163" t="s">
        <v>497</v>
      </c>
      <c r="C261" s="164" t="s">
        <v>20</v>
      </c>
      <c r="D261" s="164">
        <v>10</v>
      </c>
      <c r="E261" s="133">
        <f ca="1">OFFSET(INDEX(Composições!A:J,MATCH(Orçamentária!A261,Composições!A:A,0),8),2,0)</f>
        <v>10.048736</v>
      </c>
      <c r="F261" s="134">
        <f t="shared" ca="1" si="9"/>
        <v>100.48736</v>
      </c>
      <c r="G261" s="135">
        <f>BDI!$B$17</f>
        <v>0.191</v>
      </c>
      <c r="H261" s="136">
        <f t="shared" ca="1" si="10"/>
        <v>11.97</v>
      </c>
      <c r="I261" s="182">
        <f t="shared" ca="1" si="11"/>
        <v>119.7</v>
      </c>
      <c r="J261" s="226"/>
      <c r="K261" s="224" t="s">
        <v>8074</v>
      </c>
    </row>
    <row r="262" spans="1:11" s="161" customFormat="1" hidden="1" x14ac:dyDescent="0.25">
      <c r="A262" s="162" t="s">
        <v>498</v>
      </c>
      <c r="B262" s="163" t="s">
        <v>1693</v>
      </c>
      <c r="C262" s="164" t="s">
        <v>20</v>
      </c>
      <c r="D262" s="164">
        <v>75</v>
      </c>
      <c r="E262" s="133">
        <f ca="1">OFFSET(INDEX(Composições!A:J,MATCH(Orçamentária!A262,Composições!A:A,0),8),2,0)</f>
        <v>26.443249999999999</v>
      </c>
      <c r="F262" s="134">
        <f t="shared" ca="1" si="9"/>
        <v>1983.2437499999999</v>
      </c>
      <c r="G262" s="135">
        <f>BDI!$B$17</f>
        <v>0.191</v>
      </c>
      <c r="H262" s="136">
        <f t="shared" ca="1" si="10"/>
        <v>31.49</v>
      </c>
      <c r="I262" s="182">
        <f t="shared" ca="1" si="11"/>
        <v>2361.75</v>
      </c>
      <c r="J262" s="226"/>
      <c r="K262" s="224" t="s">
        <v>8074</v>
      </c>
    </row>
    <row r="263" spans="1:11" s="161" customFormat="1" hidden="1" x14ac:dyDescent="0.25">
      <c r="A263" s="162" t="s">
        <v>501</v>
      </c>
      <c r="B263" s="163" t="s">
        <v>502</v>
      </c>
      <c r="C263" s="164" t="s">
        <v>20</v>
      </c>
      <c r="D263" s="164">
        <v>1000</v>
      </c>
      <c r="E263" s="133">
        <f ca="1">OFFSET(INDEX(Composições!A:J,MATCH(Orçamentária!A263,Composições!A:A,0),8),2,0)</f>
        <v>4.624649999999999</v>
      </c>
      <c r="F263" s="134">
        <f t="shared" ref="F263:F326" ca="1" si="12">IF(ISNUMBER(E263),D263*E263,"")</f>
        <v>4624.6499999999987</v>
      </c>
      <c r="G263" s="135">
        <f>BDI!$B$17</f>
        <v>0.191</v>
      </c>
      <c r="H263" s="136">
        <f t="shared" ref="H263:H326" ca="1" si="13">IF(ISNUMBER(E263),ROUND(E263*(1+G263),2),"")</f>
        <v>5.51</v>
      </c>
      <c r="I263" s="182">
        <f t="shared" ref="I263:I326" ca="1" si="14">IF(ISNUMBER(E263),ROUND(H263*D263,2),"")</f>
        <v>5510</v>
      </c>
      <c r="J263" s="226"/>
      <c r="K263" s="224" t="s">
        <v>8074</v>
      </c>
    </row>
    <row r="264" spans="1:11" s="161" customFormat="1" hidden="1" x14ac:dyDescent="0.25">
      <c r="A264" s="162" t="s">
        <v>503</v>
      </c>
      <c r="B264" s="163" t="s">
        <v>1694</v>
      </c>
      <c r="C264" s="164" t="s">
        <v>20</v>
      </c>
      <c r="D264" s="164">
        <v>80</v>
      </c>
      <c r="E264" s="133">
        <f ca="1">OFFSET(INDEX(Composições!A:J,MATCH(Orçamentária!A264,Composições!A:A,0),8),2,0)</f>
        <v>23.811939999999996</v>
      </c>
      <c r="F264" s="134">
        <f t="shared" ca="1" si="12"/>
        <v>1904.9551999999996</v>
      </c>
      <c r="G264" s="135">
        <f>BDI!$B$17</f>
        <v>0.191</v>
      </c>
      <c r="H264" s="136">
        <f t="shared" ca="1" si="13"/>
        <v>28.36</v>
      </c>
      <c r="I264" s="182">
        <f t="shared" ca="1" si="14"/>
        <v>2268.8000000000002</v>
      </c>
      <c r="J264" s="226"/>
      <c r="K264" s="224" t="s">
        <v>8074</v>
      </c>
    </row>
    <row r="265" spans="1:11" s="161" customFormat="1" hidden="1" x14ac:dyDescent="0.25">
      <c r="A265" s="162" t="s">
        <v>505</v>
      </c>
      <c r="B265" s="163" t="s">
        <v>1695</v>
      </c>
      <c r="C265" s="164" t="s">
        <v>20</v>
      </c>
      <c r="D265" s="164">
        <v>450</v>
      </c>
      <c r="E265" s="133">
        <f ca="1">OFFSET(INDEX(Composições!A:J,MATCH(Orçamentária!A265,Composições!A:A,0),8),2,0)</f>
        <v>17.767374999999998</v>
      </c>
      <c r="F265" s="134">
        <f t="shared" ca="1" si="12"/>
        <v>7995.3187499999985</v>
      </c>
      <c r="G265" s="135">
        <f>BDI!$B$17</f>
        <v>0.191</v>
      </c>
      <c r="H265" s="136">
        <f t="shared" ca="1" si="13"/>
        <v>21.16</v>
      </c>
      <c r="I265" s="182">
        <f t="shared" ca="1" si="14"/>
        <v>9522</v>
      </c>
      <c r="J265" s="226"/>
      <c r="K265" s="224" t="s">
        <v>8074</v>
      </c>
    </row>
    <row r="266" spans="1:11" s="161" customFormat="1" hidden="1" x14ac:dyDescent="0.25">
      <c r="A266" s="162" t="s">
        <v>507</v>
      </c>
      <c r="B266" s="163" t="s">
        <v>508</v>
      </c>
      <c r="C266" s="164" t="s">
        <v>20</v>
      </c>
      <c r="D266" s="164">
        <v>90</v>
      </c>
      <c r="E266" s="133">
        <f ca="1">OFFSET(INDEX(Composições!A:J,MATCH(Orçamentária!A266,Composições!A:A,0),8),2,0)</f>
        <v>4.5846499999999999</v>
      </c>
      <c r="F266" s="134">
        <f t="shared" ca="1" si="12"/>
        <v>412.61849999999998</v>
      </c>
      <c r="G266" s="135">
        <f>BDI!$B$17</f>
        <v>0.191</v>
      </c>
      <c r="H266" s="136">
        <f t="shared" ca="1" si="13"/>
        <v>5.46</v>
      </c>
      <c r="I266" s="182">
        <f t="shared" ca="1" si="14"/>
        <v>491.4</v>
      </c>
      <c r="J266" s="226"/>
      <c r="K266" s="224" t="s">
        <v>8074</v>
      </c>
    </row>
    <row r="267" spans="1:11" s="161" customFormat="1" hidden="1" x14ac:dyDescent="0.25">
      <c r="A267" s="162" t="s">
        <v>509</v>
      </c>
      <c r="B267" s="163" t="s">
        <v>510</v>
      </c>
      <c r="C267" s="164" t="s">
        <v>20</v>
      </c>
      <c r="D267" s="164">
        <v>50</v>
      </c>
      <c r="E267" s="133">
        <f ca="1">OFFSET(INDEX(Composições!A:J,MATCH(Orçamentária!A267,Composições!A:A,0),8),2,0)</f>
        <v>185.09294</v>
      </c>
      <c r="F267" s="134">
        <f t="shared" ca="1" si="12"/>
        <v>9254.6470000000008</v>
      </c>
      <c r="G267" s="135">
        <f>BDI!$B$17</f>
        <v>0.191</v>
      </c>
      <c r="H267" s="136">
        <f t="shared" ca="1" si="13"/>
        <v>220.45</v>
      </c>
      <c r="I267" s="182">
        <f t="shared" ca="1" si="14"/>
        <v>11022.5</v>
      </c>
      <c r="J267" s="226"/>
      <c r="K267" s="224" t="s">
        <v>8074</v>
      </c>
    </row>
    <row r="268" spans="1:11" s="161" customFormat="1" hidden="1" x14ac:dyDescent="0.25">
      <c r="A268" s="162" t="s">
        <v>511</v>
      </c>
      <c r="B268" s="163" t="s">
        <v>1696</v>
      </c>
      <c r="C268" s="164" t="s">
        <v>20</v>
      </c>
      <c r="D268" s="164">
        <v>1500</v>
      </c>
      <c r="E268" s="133">
        <f ca="1">OFFSET(INDEX(Composições!A:J,MATCH(Orçamentária!A268,Composições!A:A,0),8),2,0)</f>
        <v>19.276924999999999</v>
      </c>
      <c r="F268" s="134">
        <f t="shared" ca="1" si="12"/>
        <v>28915.387499999997</v>
      </c>
      <c r="G268" s="135">
        <f>BDI!$B$17</f>
        <v>0.191</v>
      </c>
      <c r="H268" s="136">
        <f t="shared" ca="1" si="13"/>
        <v>22.96</v>
      </c>
      <c r="I268" s="182">
        <f t="shared" ca="1" si="14"/>
        <v>34440</v>
      </c>
      <c r="J268" s="226"/>
      <c r="K268" s="224" t="s">
        <v>8074</v>
      </c>
    </row>
    <row r="269" spans="1:11" s="161" customFormat="1" hidden="1" x14ac:dyDescent="0.25">
      <c r="A269" s="162" t="s">
        <v>512</v>
      </c>
      <c r="B269" s="163" t="s">
        <v>1697</v>
      </c>
      <c r="C269" s="164" t="s">
        <v>20</v>
      </c>
      <c r="D269" s="164">
        <v>325</v>
      </c>
      <c r="E269" s="133">
        <f ca="1">OFFSET(INDEX(Composições!A:J,MATCH(Orçamentária!A269,Composições!A:A,0),8),2,0)</f>
        <v>21.746924999999997</v>
      </c>
      <c r="F269" s="134">
        <f t="shared" ca="1" si="12"/>
        <v>7067.7506249999988</v>
      </c>
      <c r="G269" s="135">
        <f>BDI!$B$17</f>
        <v>0.191</v>
      </c>
      <c r="H269" s="136">
        <f t="shared" ca="1" si="13"/>
        <v>25.9</v>
      </c>
      <c r="I269" s="182">
        <f t="shared" ca="1" si="14"/>
        <v>8417.5</v>
      </c>
      <c r="J269" s="226"/>
      <c r="K269" s="224" t="s">
        <v>8074</v>
      </c>
    </row>
    <row r="270" spans="1:11" s="161" customFormat="1" hidden="1" x14ac:dyDescent="0.25">
      <c r="A270" s="162" t="s">
        <v>513</v>
      </c>
      <c r="B270" s="163" t="s">
        <v>515</v>
      </c>
      <c r="C270" s="164" t="s">
        <v>20</v>
      </c>
      <c r="D270" s="164">
        <v>80</v>
      </c>
      <c r="E270" s="133">
        <f ca="1">OFFSET(INDEX(Composições!A:J,MATCH(Orçamentária!A270,Composições!A:A,0),8),2,0)</f>
        <v>45.157125000000001</v>
      </c>
      <c r="F270" s="134">
        <f t="shared" ca="1" si="12"/>
        <v>3612.57</v>
      </c>
      <c r="G270" s="135">
        <f>BDI!$B$17</f>
        <v>0.191</v>
      </c>
      <c r="H270" s="136">
        <f t="shared" ca="1" si="13"/>
        <v>53.78</v>
      </c>
      <c r="I270" s="182">
        <f t="shared" ca="1" si="14"/>
        <v>4302.3999999999996</v>
      </c>
      <c r="J270" s="226"/>
      <c r="K270" s="224" t="s">
        <v>8074</v>
      </c>
    </row>
    <row r="271" spans="1:11" s="161" customFormat="1" hidden="1" x14ac:dyDescent="0.25">
      <c r="A271" s="162" t="s">
        <v>516</v>
      </c>
      <c r="B271" s="163" t="s">
        <v>1698</v>
      </c>
      <c r="C271" s="164" t="s">
        <v>20</v>
      </c>
      <c r="D271" s="164">
        <v>40</v>
      </c>
      <c r="E271" s="133">
        <f ca="1">OFFSET(INDEX(Composições!A:J,MATCH(Orçamentária!A271,Composições!A:A,0),8),2,0)</f>
        <v>16.900850000000002</v>
      </c>
      <c r="F271" s="134">
        <f t="shared" ca="1" si="12"/>
        <v>676.03400000000011</v>
      </c>
      <c r="G271" s="135">
        <f>BDI!$B$17</f>
        <v>0.191</v>
      </c>
      <c r="H271" s="136">
        <f t="shared" ca="1" si="13"/>
        <v>20.13</v>
      </c>
      <c r="I271" s="182">
        <f t="shared" ca="1" si="14"/>
        <v>805.2</v>
      </c>
      <c r="J271" s="226"/>
      <c r="K271" s="224" t="s">
        <v>8074</v>
      </c>
    </row>
    <row r="272" spans="1:11" s="161" customFormat="1" hidden="1" x14ac:dyDescent="0.25">
      <c r="A272" s="162" t="s">
        <v>518</v>
      </c>
      <c r="B272" s="163" t="s">
        <v>1699</v>
      </c>
      <c r="C272" s="164" t="s">
        <v>20</v>
      </c>
      <c r="D272" s="164">
        <v>40</v>
      </c>
      <c r="E272" s="133">
        <f ca="1">OFFSET(INDEX(Composições!A:J,MATCH(Orçamentária!A272,Composições!A:A,0),8),2,0)</f>
        <v>21.010850000000001</v>
      </c>
      <c r="F272" s="134">
        <f t="shared" ca="1" si="12"/>
        <v>840.43400000000008</v>
      </c>
      <c r="G272" s="135">
        <f>BDI!$B$17</f>
        <v>0.191</v>
      </c>
      <c r="H272" s="136">
        <f t="shared" ca="1" si="13"/>
        <v>25.02</v>
      </c>
      <c r="I272" s="182">
        <f t="shared" ca="1" si="14"/>
        <v>1000.8</v>
      </c>
      <c r="J272" s="226"/>
      <c r="K272" s="224" t="s">
        <v>8074</v>
      </c>
    </row>
    <row r="273" spans="1:11" s="161" customFormat="1" hidden="1" x14ac:dyDescent="0.25">
      <c r="A273" s="162" t="s">
        <v>520</v>
      </c>
      <c r="B273" s="163" t="s">
        <v>1700</v>
      </c>
      <c r="C273" s="164" t="s">
        <v>20</v>
      </c>
      <c r="D273" s="164">
        <v>75</v>
      </c>
      <c r="E273" s="133">
        <f ca="1">OFFSET(INDEX(Composições!A:J,MATCH(Orçamentária!A273,Composições!A:A,0),8),2,0)</f>
        <v>9.1612749999999998</v>
      </c>
      <c r="F273" s="134">
        <f t="shared" ca="1" si="12"/>
        <v>687.09562500000004</v>
      </c>
      <c r="G273" s="135">
        <f>BDI!$B$17</f>
        <v>0.191</v>
      </c>
      <c r="H273" s="136">
        <f t="shared" ca="1" si="13"/>
        <v>10.91</v>
      </c>
      <c r="I273" s="182">
        <f t="shared" ca="1" si="14"/>
        <v>818.25</v>
      </c>
      <c r="J273" s="226"/>
      <c r="K273" s="224" t="s">
        <v>8074</v>
      </c>
    </row>
    <row r="274" spans="1:11" s="161" customFormat="1" hidden="1" x14ac:dyDescent="0.25">
      <c r="A274" s="162" t="s">
        <v>522</v>
      </c>
      <c r="B274" s="163" t="s">
        <v>1701</v>
      </c>
      <c r="C274" s="164" t="s">
        <v>20</v>
      </c>
      <c r="D274" s="164">
        <v>400</v>
      </c>
      <c r="E274" s="133">
        <f ca="1">OFFSET(INDEX(Composições!A:J,MATCH(Orçamentária!A274,Composições!A:A,0),8),2,0)</f>
        <v>17.08325</v>
      </c>
      <c r="F274" s="134">
        <f t="shared" ca="1" si="12"/>
        <v>6833.3</v>
      </c>
      <c r="G274" s="135">
        <f>BDI!$B$17</f>
        <v>0.191</v>
      </c>
      <c r="H274" s="136">
        <f t="shared" ca="1" si="13"/>
        <v>20.350000000000001</v>
      </c>
      <c r="I274" s="182">
        <f t="shared" ca="1" si="14"/>
        <v>8140</v>
      </c>
      <c r="J274" s="226"/>
      <c r="K274" s="224" t="s">
        <v>8074</v>
      </c>
    </row>
    <row r="275" spans="1:11" s="161" customFormat="1" hidden="1" x14ac:dyDescent="0.25">
      <c r="A275" s="162" t="s">
        <v>524</v>
      </c>
      <c r="B275" s="163" t="s">
        <v>1702</v>
      </c>
      <c r="C275" s="164" t="s">
        <v>20</v>
      </c>
      <c r="D275" s="164">
        <v>500</v>
      </c>
      <c r="E275" s="133">
        <f ca="1">OFFSET(INDEX(Composições!A:J,MATCH(Orçamentária!A275,Composições!A:A,0),8),2,0)</f>
        <v>28.342939999999999</v>
      </c>
      <c r="F275" s="134">
        <f t="shared" ca="1" si="12"/>
        <v>14171.47</v>
      </c>
      <c r="G275" s="135">
        <f>BDI!$B$17</f>
        <v>0.191</v>
      </c>
      <c r="H275" s="136">
        <f t="shared" ca="1" si="13"/>
        <v>33.76</v>
      </c>
      <c r="I275" s="182">
        <f t="shared" ca="1" si="14"/>
        <v>16880</v>
      </c>
      <c r="J275" s="226"/>
      <c r="K275" s="224" t="s">
        <v>8074</v>
      </c>
    </row>
    <row r="276" spans="1:11" s="161" customFormat="1" hidden="1" x14ac:dyDescent="0.25">
      <c r="A276" s="162" t="s">
        <v>525</v>
      </c>
      <c r="B276" s="163" t="s">
        <v>1703</v>
      </c>
      <c r="C276" s="164" t="s">
        <v>20</v>
      </c>
      <c r="D276" s="164">
        <v>75</v>
      </c>
      <c r="E276" s="133">
        <f ca="1">OFFSET(INDEX(Composições!A:J,MATCH(Orçamentária!A276,Composições!A:A,0),8),2,0)</f>
        <v>48.388249999999992</v>
      </c>
      <c r="F276" s="134">
        <f t="shared" ca="1" si="12"/>
        <v>3629.1187499999996</v>
      </c>
      <c r="G276" s="135">
        <f>BDI!$B$17</f>
        <v>0.191</v>
      </c>
      <c r="H276" s="136">
        <f t="shared" ca="1" si="13"/>
        <v>57.63</v>
      </c>
      <c r="I276" s="182">
        <f t="shared" ca="1" si="14"/>
        <v>4322.25</v>
      </c>
      <c r="J276" s="226"/>
      <c r="K276" s="224" t="s">
        <v>8074</v>
      </c>
    </row>
    <row r="277" spans="1:11" s="161" customFormat="1" hidden="1" x14ac:dyDescent="0.25">
      <c r="A277" s="162" t="s">
        <v>528</v>
      </c>
      <c r="B277" s="163" t="s">
        <v>1704</v>
      </c>
      <c r="C277" s="164" t="s">
        <v>20</v>
      </c>
      <c r="D277" s="164">
        <v>80</v>
      </c>
      <c r="E277" s="133">
        <f ca="1">OFFSET(INDEX(Composições!A:J,MATCH(Orçamentária!A277,Composições!A:A,0),8),2,0)</f>
        <v>233.23555255000002</v>
      </c>
      <c r="F277" s="134">
        <f t="shared" ca="1" si="12"/>
        <v>18658.844204000001</v>
      </c>
      <c r="G277" s="135">
        <f>BDI!$B$17</f>
        <v>0.191</v>
      </c>
      <c r="H277" s="136">
        <f t="shared" ca="1" si="13"/>
        <v>277.77999999999997</v>
      </c>
      <c r="I277" s="182">
        <f t="shared" ca="1" si="14"/>
        <v>22222.400000000001</v>
      </c>
      <c r="J277" s="226"/>
      <c r="K277" s="224" t="s">
        <v>8074</v>
      </c>
    </row>
    <row r="278" spans="1:11" s="161" customFormat="1" hidden="1" x14ac:dyDescent="0.25">
      <c r="A278" s="162" t="s">
        <v>530</v>
      </c>
      <c r="B278" s="163" t="s">
        <v>1705</v>
      </c>
      <c r="C278" s="164" t="s">
        <v>20</v>
      </c>
      <c r="D278" s="164">
        <v>400</v>
      </c>
      <c r="E278" s="133">
        <f ca="1">OFFSET(INDEX(Composições!A:J,MATCH(Orçamentária!A278,Composições!A:A,0),8),2,0)</f>
        <v>36.72198015</v>
      </c>
      <c r="F278" s="134">
        <f t="shared" ca="1" si="12"/>
        <v>14688.79206</v>
      </c>
      <c r="G278" s="135">
        <f>BDI!$B$17</f>
        <v>0.191</v>
      </c>
      <c r="H278" s="136">
        <f t="shared" ca="1" si="13"/>
        <v>43.74</v>
      </c>
      <c r="I278" s="182">
        <f t="shared" ca="1" si="14"/>
        <v>17496</v>
      </c>
      <c r="J278" s="226"/>
      <c r="K278" s="224" t="s">
        <v>8074</v>
      </c>
    </row>
    <row r="279" spans="1:11" s="161" customFormat="1" hidden="1" x14ac:dyDescent="0.25">
      <c r="A279" s="162" t="s">
        <v>534</v>
      </c>
      <c r="B279" s="163" t="s">
        <v>1706</v>
      </c>
      <c r="C279" s="164" t="s">
        <v>20</v>
      </c>
      <c r="D279" s="164">
        <v>45</v>
      </c>
      <c r="E279" s="133">
        <f ca="1">OFFSET(INDEX(Composições!A:J,MATCH(Orçamentária!A279,Composições!A:A,0),8),2,0)</f>
        <v>379.86198015000002</v>
      </c>
      <c r="F279" s="134">
        <f t="shared" ca="1" si="12"/>
        <v>17093.789106750002</v>
      </c>
      <c r="G279" s="135">
        <f>BDI!$B$17</f>
        <v>0.191</v>
      </c>
      <c r="H279" s="136">
        <f t="shared" ca="1" si="13"/>
        <v>452.42</v>
      </c>
      <c r="I279" s="182">
        <f t="shared" ca="1" si="14"/>
        <v>20358.900000000001</v>
      </c>
      <c r="J279" s="226"/>
      <c r="K279" s="224" t="s">
        <v>8074</v>
      </c>
    </row>
    <row r="280" spans="1:11" s="161" customFormat="1" hidden="1" x14ac:dyDescent="0.25">
      <c r="A280" s="162" t="s">
        <v>537</v>
      </c>
      <c r="B280" s="163" t="s">
        <v>1707</v>
      </c>
      <c r="C280" s="164" t="s">
        <v>20</v>
      </c>
      <c r="D280" s="164">
        <v>20</v>
      </c>
      <c r="E280" s="133">
        <f ca="1">OFFSET(INDEX(Composições!A:J,MATCH(Orçamentária!A280,Composições!A:A,0),8),2,0)</f>
        <v>409.62255754999995</v>
      </c>
      <c r="F280" s="134">
        <f t="shared" ca="1" si="12"/>
        <v>8192.4511509999993</v>
      </c>
      <c r="G280" s="135">
        <f>BDI!$B$17</f>
        <v>0.191</v>
      </c>
      <c r="H280" s="136">
        <f t="shared" ca="1" si="13"/>
        <v>487.86</v>
      </c>
      <c r="I280" s="182">
        <f t="shared" ca="1" si="14"/>
        <v>9757.2000000000007</v>
      </c>
      <c r="J280" s="226"/>
      <c r="K280" s="224" t="s">
        <v>8074</v>
      </c>
    </row>
    <row r="281" spans="1:11" s="161" customFormat="1" hidden="1" x14ac:dyDescent="0.25">
      <c r="A281" s="162" t="s">
        <v>539</v>
      </c>
      <c r="B281" s="163" t="s">
        <v>1708</v>
      </c>
      <c r="C281" s="164" t="s">
        <v>20</v>
      </c>
      <c r="D281" s="164">
        <v>450</v>
      </c>
      <c r="E281" s="133">
        <f ca="1">OFFSET(INDEX(Composições!A:J,MATCH(Orçamentária!A281,Composições!A:A,0),8),2,0)</f>
        <v>510.89198014999999</v>
      </c>
      <c r="F281" s="134">
        <f t="shared" ca="1" si="12"/>
        <v>229901.39106749999</v>
      </c>
      <c r="G281" s="135">
        <f>BDI!$B$17</f>
        <v>0.191</v>
      </c>
      <c r="H281" s="136">
        <f t="shared" ca="1" si="13"/>
        <v>608.47</v>
      </c>
      <c r="I281" s="182">
        <f t="shared" ca="1" si="14"/>
        <v>273811.5</v>
      </c>
      <c r="J281" s="226"/>
      <c r="K281" s="224" t="s">
        <v>8074</v>
      </c>
    </row>
    <row r="282" spans="1:11" s="161" customFormat="1" hidden="1" x14ac:dyDescent="0.25">
      <c r="A282" s="162" t="s">
        <v>542</v>
      </c>
      <c r="B282" s="163" t="s">
        <v>1709</v>
      </c>
      <c r="C282" s="164" t="s">
        <v>20</v>
      </c>
      <c r="D282" s="164">
        <v>75</v>
      </c>
      <c r="E282" s="133">
        <f ca="1">OFFSET(INDEX(Composições!A:J,MATCH(Orçamentária!A282,Composições!A:A,0),8),2,0)</f>
        <v>457.54255755000003</v>
      </c>
      <c r="F282" s="134">
        <f t="shared" ca="1" si="12"/>
        <v>34315.691816250001</v>
      </c>
      <c r="G282" s="135">
        <f>BDI!$B$17</f>
        <v>0.191</v>
      </c>
      <c r="H282" s="136">
        <f t="shared" ca="1" si="13"/>
        <v>544.92999999999995</v>
      </c>
      <c r="I282" s="182">
        <f t="shared" ca="1" si="14"/>
        <v>40869.75</v>
      </c>
      <c r="J282" s="226"/>
      <c r="K282" s="224" t="s">
        <v>8074</v>
      </c>
    </row>
    <row r="283" spans="1:11" s="161" customFormat="1" hidden="1" x14ac:dyDescent="0.25">
      <c r="A283" s="162" t="s">
        <v>544</v>
      </c>
      <c r="B283" s="163" t="s">
        <v>4001</v>
      </c>
      <c r="C283" s="164" t="s">
        <v>92</v>
      </c>
      <c r="D283" s="164">
        <v>1500</v>
      </c>
      <c r="E283" s="133">
        <f ca="1">OFFSET(INDEX(Composições!A:J,MATCH(Orçamentária!A283,Composições!A:A,0),8),2,0)</f>
        <v>15.751693499999996</v>
      </c>
      <c r="F283" s="134">
        <f t="shared" ca="1" si="12"/>
        <v>23627.540249999995</v>
      </c>
      <c r="G283" s="135">
        <f>BDI!$B$17</f>
        <v>0.191</v>
      </c>
      <c r="H283" s="136">
        <f t="shared" ca="1" si="13"/>
        <v>18.760000000000002</v>
      </c>
      <c r="I283" s="182">
        <f t="shared" ca="1" si="14"/>
        <v>28140</v>
      </c>
      <c r="J283" s="226"/>
      <c r="K283" s="224" t="s">
        <v>8074</v>
      </c>
    </row>
    <row r="284" spans="1:11" s="161" customFormat="1" hidden="1" x14ac:dyDescent="0.25">
      <c r="A284" s="162" t="s">
        <v>547</v>
      </c>
      <c r="B284" s="163" t="s">
        <v>4002</v>
      </c>
      <c r="C284" s="164" t="s">
        <v>92</v>
      </c>
      <c r="D284" s="164">
        <v>1720</v>
      </c>
      <c r="E284" s="133">
        <f ca="1">OFFSET(INDEX(Composições!A:J,MATCH(Orçamentária!A284,Composições!A:A,0),8),2,0)</f>
        <v>23.393636000000001</v>
      </c>
      <c r="F284" s="134">
        <f t="shared" ca="1" si="12"/>
        <v>40237.053919999998</v>
      </c>
      <c r="G284" s="135">
        <f>BDI!$B$17</f>
        <v>0.191</v>
      </c>
      <c r="H284" s="136">
        <f t="shared" ca="1" si="13"/>
        <v>27.86</v>
      </c>
      <c r="I284" s="182">
        <f t="shared" ca="1" si="14"/>
        <v>47919.199999999997</v>
      </c>
      <c r="J284" s="226"/>
      <c r="K284" s="224" t="s">
        <v>8074</v>
      </c>
    </row>
    <row r="285" spans="1:11" s="161" customFormat="1" hidden="1" x14ac:dyDescent="0.25">
      <c r="A285" s="162" t="s">
        <v>549</v>
      </c>
      <c r="B285" s="163" t="s">
        <v>1710</v>
      </c>
      <c r="C285" s="164" t="s">
        <v>92</v>
      </c>
      <c r="D285" s="164">
        <v>22800</v>
      </c>
      <c r="E285" s="133">
        <f ca="1">OFFSET(INDEX(Composições!A:J,MATCH(Orçamentária!A285,Composições!A:A,0),8),2,0)</f>
        <v>4.5643250000000002</v>
      </c>
      <c r="F285" s="134">
        <f t="shared" ca="1" si="12"/>
        <v>104066.61</v>
      </c>
      <c r="G285" s="135">
        <f>BDI!$B$17</f>
        <v>0.191</v>
      </c>
      <c r="H285" s="136">
        <f t="shared" ca="1" si="13"/>
        <v>5.44</v>
      </c>
      <c r="I285" s="182">
        <f t="shared" ca="1" si="14"/>
        <v>124032</v>
      </c>
      <c r="J285" s="226"/>
      <c r="K285" s="224" t="s">
        <v>8074</v>
      </c>
    </row>
    <row r="286" spans="1:11" s="161" customFormat="1" hidden="1" x14ac:dyDescent="0.25">
      <c r="A286" s="162" t="s">
        <v>551</v>
      </c>
      <c r="B286" s="163" t="s">
        <v>1711</v>
      </c>
      <c r="C286" s="164" t="s">
        <v>92</v>
      </c>
      <c r="D286" s="164">
        <v>4000</v>
      </c>
      <c r="E286" s="133">
        <f ca="1">OFFSET(INDEX(Composições!A:J,MATCH(Orçamentária!A286,Composições!A:A,0),8),2,0)</f>
        <v>11.649234999999999</v>
      </c>
      <c r="F286" s="134">
        <f t="shared" ca="1" si="12"/>
        <v>46596.939999999995</v>
      </c>
      <c r="G286" s="135">
        <f>BDI!$B$17</f>
        <v>0.191</v>
      </c>
      <c r="H286" s="136">
        <f t="shared" ca="1" si="13"/>
        <v>13.87</v>
      </c>
      <c r="I286" s="182">
        <f t="shared" ca="1" si="14"/>
        <v>55480</v>
      </c>
      <c r="J286" s="226"/>
      <c r="K286" s="224" t="s">
        <v>8074</v>
      </c>
    </row>
    <row r="287" spans="1:11" s="161" customFormat="1" hidden="1" x14ac:dyDescent="0.25">
      <c r="A287" s="162" t="s">
        <v>553</v>
      </c>
      <c r="B287" s="163" t="s">
        <v>1712</v>
      </c>
      <c r="C287" s="164" t="s">
        <v>92</v>
      </c>
      <c r="D287" s="164">
        <v>7125</v>
      </c>
      <c r="E287" s="133">
        <f ca="1">OFFSET(INDEX(Composições!A:J,MATCH(Orçamentária!A287,Composições!A:A,0),8),2,0)</f>
        <v>6.604474999999999</v>
      </c>
      <c r="F287" s="134">
        <f t="shared" ca="1" si="12"/>
        <v>47056.884374999994</v>
      </c>
      <c r="G287" s="135">
        <f>BDI!$B$17</f>
        <v>0.191</v>
      </c>
      <c r="H287" s="136">
        <f t="shared" ca="1" si="13"/>
        <v>7.87</v>
      </c>
      <c r="I287" s="182">
        <f t="shared" ca="1" si="14"/>
        <v>56073.75</v>
      </c>
      <c r="J287" s="226"/>
      <c r="K287" s="224" t="s">
        <v>8074</v>
      </c>
    </row>
    <row r="288" spans="1:11" s="161" customFormat="1" hidden="1" x14ac:dyDescent="0.25">
      <c r="A288" s="162" t="s">
        <v>555</v>
      </c>
      <c r="B288" s="163" t="s">
        <v>1713</v>
      </c>
      <c r="C288" s="164" t="s">
        <v>92</v>
      </c>
      <c r="D288" s="164">
        <v>4000</v>
      </c>
      <c r="E288" s="133">
        <f ca="1">OFFSET(INDEX(Composições!A:J,MATCH(Orçamentária!A288,Composições!A:A,0),8),2,0)</f>
        <v>10.652124999999998</v>
      </c>
      <c r="F288" s="134">
        <f t="shared" ca="1" si="12"/>
        <v>42608.499999999993</v>
      </c>
      <c r="G288" s="135">
        <f>BDI!$B$17</f>
        <v>0.191</v>
      </c>
      <c r="H288" s="136">
        <f t="shared" ca="1" si="13"/>
        <v>12.69</v>
      </c>
      <c r="I288" s="182">
        <f t="shared" ca="1" si="14"/>
        <v>50760</v>
      </c>
      <c r="J288" s="226"/>
      <c r="K288" s="224" t="s">
        <v>8074</v>
      </c>
    </row>
    <row r="289" spans="1:11" s="161" customFormat="1" hidden="1" x14ac:dyDescent="0.25">
      <c r="A289" s="162" t="s">
        <v>557</v>
      </c>
      <c r="B289" s="163" t="s">
        <v>1714</v>
      </c>
      <c r="C289" s="164" t="s">
        <v>92</v>
      </c>
      <c r="D289" s="164">
        <v>4500</v>
      </c>
      <c r="E289" s="133">
        <f ca="1">OFFSET(INDEX(Composições!A:J,MATCH(Orçamentária!A289,Composições!A:A,0),8),2,0)</f>
        <v>9.495334999999999</v>
      </c>
      <c r="F289" s="134">
        <f t="shared" ca="1" si="12"/>
        <v>42729.007499999992</v>
      </c>
      <c r="G289" s="135">
        <f>BDI!$B$17</f>
        <v>0.191</v>
      </c>
      <c r="H289" s="136">
        <f t="shared" ca="1" si="13"/>
        <v>11.31</v>
      </c>
      <c r="I289" s="182">
        <f t="shared" ca="1" si="14"/>
        <v>50895</v>
      </c>
      <c r="J289" s="226"/>
      <c r="K289" s="224" t="s">
        <v>8074</v>
      </c>
    </row>
    <row r="290" spans="1:11" s="161" customFormat="1" hidden="1" x14ac:dyDescent="0.25">
      <c r="A290" s="162" t="s">
        <v>559</v>
      </c>
      <c r="B290" s="163" t="s">
        <v>1715</v>
      </c>
      <c r="C290" s="164" t="s">
        <v>20</v>
      </c>
      <c r="D290" s="164">
        <v>6</v>
      </c>
      <c r="E290" s="133">
        <f ca="1">OFFSET(INDEX(Composições!A:J,MATCH(Orçamentária!A290,Composições!A:A,0),8),2,0)</f>
        <v>7956.5066278051263</v>
      </c>
      <c r="F290" s="134">
        <f t="shared" ca="1" si="12"/>
        <v>47739.039766830756</v>
      </c>
      <c r="G290" s="135">
        <f>BDI!$E$17</f>
        <v>0.11260000000000001</v>
      </c>
      <c r="H290" s="136">
        <f t="shared" ca="1" si="13"/>
        <v>8852.41</v>
      </c>
      <c r="I290" s="182">
        <f t="shared" ca="1" si="14"/>
        <v>53114.46</v>
      </c>
      <c r="J290" s="226"/>
      <c r="K290" s="224" t="s">
        <v>8074</v>
      </c>
    </row>
    <row r="291" spans="1:11" s="161" customFormat="1" hidden="1" x14ac:dyDescent="0.25">
      <c r="A291" s="162" t="s">
        <v>1716</v>
      </c>
      <c r="B291" s="163" t="s">
        <v>6333</v>
      </c>
      <c r="C291" s="164" t="s">
        <v>20</v>
      </c>
      <c r="D291" s="164">
        <v>4</v>
      </c>
      <c r="E291" s="180">
        <v>13006.41</v>
      </c>
      <c r="F291" s="134">
        <f t="shared" si="12"/>
        <v>52025.64</v>
      </c>
      <c r="G291" s="135">
        <f>BDI!$E$17</f>
        <v>0.11260000000000001</v>
      </c>
      <c r="H291" s="136">
        <f t="shared" si="13"/>
        <v>14470.93</v>
      </c>
      <c r="I291" s="182">
        <f t="shared" si="14"/>
        <v>57883.72</v>
      </c>
      <c r="J291" s="226"/>
      <c r="K291" s="224" t="s">
        <v>8074</v>
      </c>
    </row>
    <row r="292" spans="1:11" s="161" customFormat="1" hidden="1" x14ac:dyDescent="0.25">
      <c r="A292" s="162" t="s">
        <v>1717</v>
      </c>
      <c r="B292" s="163" t="s">
        <v>1718</v>
      </c>
      <c r="C292" s="164" t="s">
        <v>20</v>
      </c>
      <c r="D292" s="164">
        <v>20</v>
      </c>
      <c r="E292" s="180">
        <v>5749.7</v>
      </c>
      <c r="F292" s="134">
        <f t="shared" si="12"/>
        <v>114994</v>
      </c>
      <c r="G292" s="135">
        <f>BDI!$E$17</f>
        <v>0.11260000000000001</v>
      </c>
      <c r="H292" s="136">
        <f t="shared" si="13"/>
        <v>6397.12</v>
      </c>
      <c r="I292" s="182">
        <f t="shared" si="14"/>
        <v>127942.39999999999</v>
      </c>
      <c r="J292" s="226"/>
      <c r="K292" s="224" t="s">
        <v>8074</v>
      </c>
    </row>
    <row r="293" spans="1:11" s="161" customFormat="1" hidden="1" x14ac:dyDescent="0.25">
      <c r="A293" s="162" t="s">
        <v>1719</v>
      </c>
      <c r="B293" s="163" t="s">
        <v>1720</v>
      </c>
      <c r="C293" s="164" t="s">
        <v>20</v>
      </c>
      <c r="D293" s="164">
        <v>10</v>
      </c>
      <c r="E293" s="180">
        <v>5023.8</v>
      </c>
      <c r="F293" s="134">
        <f t="shared" si="12"/>
        <v>50238</v>
      </c>
      <c r="G293" s="135">
        <f>BDI!$E$17</f>
        <v>0.11260000000000001</v>
      </c>
      <c r="H293" s="136">
        <f t="shared" si="13"/>
        <v>5589.48</v>
      </c>
      <c r="I293" s="182">
        <f t="shared" si="14"/>
        <v>55894.8</v>
      </c>
      <c r="J293" s="226"/>
      <c r="K293" s="224" t="s">
        <v>8074</v>
      </c>
    </row>
    <row r="294" spans="1:11" s="161" customFormat="1" hidden="1" x14ac:dyDescent="0.25">
      <c r="A294" s="162" t="s">
        <v>1721</v>
      </c>
      <c r="B294" s="163" t="s">
        <v>1722</v>
      </c>
      <c r="C294" s="164" t="s">
        <v>20</v>
      </c>
      <c r="D294" s="164">
        <v>4</v>
      </c>
      <c r="E294" s="180">
        <v>3159.04</v>
      </c>
      <c r="F294" s="134">
        <f t="shared" si="12"/>
        <v>12636.16</v>
      </c>
      <c r="G294" s="135">
        <f>BDI!$E$17</f>
        <v>0.11260000000000001</v>
      </c>
      <c r="H294" s="136">
        <f t="shared" si="13"/>
        <v>3514.75</v>
      </c>
      <c r="I294" s="182">
        <f t="shared" si="14"/>
        <v>14059</v>
      </c>
      <c r="J294" s="226"/>
      <c r="K294" s="224" t="s">
        <v>8074</v>
      </c>
    </row>
    <row r="295" spans="1:11" s="161" customFormat="1" hidden="1" x14ac:dyDescent="0.25">
      <c r="A295" s="162" t="s">
        <v>1723</v>
      </c>
      <c r="B295" s="163" t="s">
        <v>1724</v>
      </c>
      <c r="C295" s="164" t="s">
        <v>20</v>
      </c>
      <c r="D295" s="164">
        <v>15</v>
      </c>
      <c r="E295" s="180">
        <v>13408.85</v>
      </c>
      <c r="F295" s="134">
        <f t="shared" si="12"/>
        <v>201132.75</v>
      </c>
      <c r="G295" s="135">
        <f>BDI!$E$17</f>
        <v>0.11260000000000001</v>
      </c>
      <c r="H295" s="136">
        <f t="shared" si="13"/>
        <v>14918.69</v>
      </c>
      <c r="I295" s="182">
        <f t="shared" si="14"/>
        <v>223780.35</v>
      </c>
      <c r="J295" s="226"/>
      <c r="K295" s="224" t="s">
        <v>8074</v>
      </c>
    </row>
    <row r="296" spans="1:11" s="161" customFormat="1" hidden="1" x14ac:dyDescent="0.25">
      <c r="A296" s="162" t="s">
        <v>1725</v>
      </c>
      <c r="B296" s="163" t="s">
        <v>1726</v>
      </c>
      <c r="C296" s="164" t="s">
        <v>20</v>
      </c>
      <c r="D296" s="164">
        <v>40</v>
      </c>
      <c r="E296" s="180">
        <v>2194.58</v>
      </c>
      <c r="F296" s="134">
        <f t="shared" si="12"/>
        <v>87783.2</v>
      </c>
      <c r="G296" s="135">
        <f>BDI!$E$17</f>
        <v>0.11260000000000001</v>
      </c>
      <c r="H296" s="136">
        <f t="shared" si="13"/>
        <v>2441.69</v>
      </c>
      <c r="I296" s="182">
        <f t="shared" si="14"/>
        <v>97667.6</v>
      </c>
      <c r="J296" s="226"/>
      <c r="K296" s="224" t="s">
        <v>8074</v>
      </c>
    </row>
    <row r="297" spans="1:11" s="161" customFormat="1" hidden="1" x14ac:dyDescent="0.25">
      <c r="A297" s="162" t="s">
        <v>1727</v>
      </c>
      <c r="B297" s="163" t="s">
        <v>1728</v>
      </c>
      <c r="C297" s="164" t="s">
        <v>20</v>
      </c>
      <c r="D297" s="164">
        <v>30</v>
      </c>
      <c r="E297" s="180">
        <v>3780.56</v>
      </c>
      <c r="F297" s="134">
        <f t="shared" si="12"/>
        <v>113416.8</v>
      </c>
      <c r="G297" s="135">
        <f>BDI!$E$17</f>
        <v>0.11260000000000001</v>
      </c>
      <c r="H297" s="136">
        <f t="shared" si="13"/>
        <v>4206.25</v>
      </c>
      <c r="I297" s="182">
        <f t="shared" si="14"/>
        <v>126187.5</v>
      </c>
      <c r="J297" s="226"/>
      <c r="K297" s="224" t="s">
        <v>8074</v>
      </c>
    </row>
    <row r="298" spans="1:11" s="161" customFormat="1" hidden="1" x14ac:dyDescent="0.25">
      <c r="A298" s="162" t="s">
        <v>560</v>
      </c>
      <c r="B298" s="163" t="s">
        <v>1729</v>
      </c>
      <c r="C298" s="164" t="s">
        <v>20</v>
      </c>
      <c r="D298" s="164">
        <v>25</v>
      </c>
      <c r="E298" s="133">
        <f ca="1">OFFSET(INDEX(Composições!A:J,MATCH(Orçamentária!A298,Composições!A:A,0),8),2,0)</f>
        <v>95.209000000000003</v>
      </c>
      <c r="F298" s="134">
        <f t="shared" ca="1" si="12"/>
        <v>2380.2249999999999</v>
      </c>
      <c r="G298" s="135">
        <f>BDI!$B$17</f>
        <v>0.191</v>
      </c>
      <c r="H298" s="136">
        <f t="shared" ca="1" si="13"/>
        <v>113.39</v>
      </c>
      <c r="I298" s="182">
        <f t="shared" ca="1" si="14"/>
        <v>2834.75</v>
      </c>
      <c r="J298" s="226"/>
      <c r="K298" s="224" t="s">
        <v>8074</v>
      </c>
    </row>
    <row r="299" spans="1:11" s="161" customFormat="1" hidden="1" x14ac:dyDescent="0.25">
      <c r="A299" s="162" t="s">
        <v>562</v>
      </c>
      <c r="B299" s="163" t="s">
        <v>1730</v>
      </c>
      <c r="C299" s="164" t="s">
        <v>20</v>
      </c>
      <c r="D299" s="164">
        <v>40</v>
      </c>
      <c r="E299" s="133">
        <f ca="1">OFFSET(INDEX(Composições!A:J,MATCH(Orçamentária!A299,Composições!A:A,0),8),2,0)</f>
        <v>142.81349999999998</v>
      </c>
      <c r="F299" s="134">
        <f t="shared" ca="1" si="12"/>
        <v>5712.5399999999991</v>
      </c>
      <c r="G299" s="135">
        <f>BDI!$B$17</f>
        <v>0.191</v>
      </c>
      <c r="H299" s="136">
        <f t="shared" ca="1" si="13"/>
        <v>170.09</v>
      </c>
      <c r="I299" s="182">
        <f t="shared" ca="1" si="14"/>
        <v>6803.6</v>
      </c>
      <c r="J299" s="226"/>
      <c r="K299" s="224" t="s">
        <v>8074</v>
      </c>
    </row>
    <row r="300" spans="1:11" s="161" customFormat="1" hidden="1" x14ac:dyDescent="0.25">
      <c r="A300" s="162" t="s">
        <v>563</v>
      </c>
      <c r="B300" s="163" t="s">
        <v>1731</v>
      </c>
      <c r="C300" s="164" t="s">
        <v>20</v>
      </c>
      <c r="D300" s="164">
        <v>45</v>
      </c>
      <c r="E300" s="133">
        <f ca="1">OFFSET(INDEX(Composições!A:J,MATCH(Orçamentária!A300,Composições!A:A,0),8),2,0)</f>
        <v>243.78499999999997</v>
      </c>
      <c r="F300" s="134">
        <f t="shared" ca="1" si="12"/>
        <v>10970.324999999999</v>
      </c>
      <c r="G300" s="135">
        <f>BDI!$B$17</f>
        <v>0.191</v>
      </c>
      <c r="H300" s="136">
        <f t="shared" ca="1" si="13"/>
        <v>290.35000000000002</v>
      </c>
      <c r="I300" s="182">
        <f t="shared" ca="1" si="14"/>
        <v>13065.75</v>
      </c>
      <c r="J300" s="226"/>
      <c r="K300" s="224" t="s">
        <v>8074</v>
      </c>
    </row>
    <row r="301" spans="1:11" s="161" customFormat="1" hidden="1" x14ac:dyDescent="0.25">
      <c r="A301" s="162" t="s">
        <v>565</v>
      </c>
      <c r="B301" s="163" t="s">
        <v>1732</v>
      </c>
      <c r="C301" s="164" t="s">
        <v>20</v>
      </c>
      <c r="D301" s="164">
        <v>4</v>
      </c>
      <c r="E301" s="133">
        <f ca="1">OFFSET(INDEX(Composições!A:J,MATCH(Orçamentária!A301,Composições!A:A,0),8),2,0)</f>
        <v>1133.7750000000001</v>
      </c>
      <c r="F301" s="134">
        <f t="shared" ca="1" si="12"/>
        <v>4535.1000000000004</v>
      </c>
      <c r="G301" s="135">
        <f>BDI!$B$17</f>
        <v>0.191</v>
      </c>
      <c r="H301" s="136">
        <f t="shared" ca="1" si="13"/>
        <v>1350.33</v>
      </c>
      <c r="I301" s="182">
        <f t="shared" ca="1" si="14"/>
        <v>5401.32</v>
      </c>
      <c r="J301" s="226"/>
      <c r="K301" s="224" t="s">
        <v>8074</v>
      </c>
    </row>
    <row r="302" spans="1:11" s="161" customFormat="1" hidden="1" x14ac:dyDescent="0.25">
      <c r="A302" s="162" t="s">
        <v>567</v>
      </c>
      <c r="B302" s="163" t="s">
        <v>1733</v>
      </c>
      <c r="C302" s="164" t="s">
        <v>94</v>
      </c>
      <c r="D302" s="164">
        <v>660</v>
      </c>
      <c r="E302" s="133">
        <f ca="1">OFFSET(INDEX(Composições!A:J,MATCH(Orçamentária!A302,Composições!A:A,0),8),2,0)</f>
        <v>279.12253999999996</v>
      </c>
      <c r="F302" s="134">
        <f t="shared" ca="1" si="12"/>
        <v>184220.87639999998</v>
      </c>
      <c r="G302" s="135">
        <f>BDI!$B$17</f>
        <v>0.191</v>
      </c>
      <c r="H302" s="136">
        <f t="shared" ca="1" si="13"/>
        <v>332.43</v>
      </c>
      <c r="I302" s="182">
        <f t="shared" ca="1" si="14"/>
        <v>219403.8</v>
      </c>
      <c r="J302" s="226"/>
      <c r="K302" s="224" t="s">
        <v>8074</v>
      </c>
    </row>
    <row r="303" spans="1:11" s="161" customFormat="1" hidden="1" x14ac:dyDescent="0.25">
      <c r="A303" s="162" t="s">
        <v>571</v>
      </c>
      <c r="B303" s="163" t="s">
        <v>1734</v>
      </c>
      <c r="C303" s="164" t="s">
        <v>92</v>
      </c>
      <c r="D303" s="164">
        <v>30</v>
      </c>
      <c r="E303" s="133">
        <f ca="1">OFFSET(INDEX(Composições!A:J,MATCH(Orçamentária!A303,Composições!A:A,0),8),2,0)</f>
        <v>41.277500000000003</v>
      </c>
      <c r="F303" s="134">
        <f t="shared" ca="1" si="12"/>
        <v>1238.325</v>
      </c>
      <c r="G303" s="135">
        <f>BDI!$B$17</f>
        <v>0.191</v>
      </c>
      <c r="H303" s="136">
        <f t="shared" ca="1" si="13"/>
        <v>49.16</v>
      </c>
      <c r="I303" s="182">
        <f t="shared" ca="1" si="14"/>
        <v>1474.8</v>
      </c>
      <c r="J303" s="226"/>
      <c r="K303" s="224" t="s">
        <v>8074</v>
      </c>
    </row>
    <row r="304" spans="1:11" s="161" customFormat="1" hidden="1" x14ac:dyDescent="0.25">
      <c r="A304" s="162" t="s">
        <v>573</v>
      </c>
      <c r="B304" s="163" t="s">
        <v>1735</v>
      </c>
      <c r="C304" s="164" t="s">
        <v>92</v>
      </c>
      <c r="D304" s="164">
        <v>20</v>
      </c>
      <c r="E304" s="133">
        <f ca="1">OFFSET(INDEX(Composições!A:J,MATCH(Orçamentária!A304,Composições!A:A,0),8),2,0)</f>
        <v>49.058000000000007</v>
      </c>
      <c r="F304" s="134">
        <f t="shared" ca="1" si="12"/>
        <v>981.16000000000008</v>
      </c>
      <c r="G304" s="135">
        <f>BDI!$B$17</f>
        <v>0.191</v>
      </c>
      <c r="H304" s="136">
        <f t="shared" ca="1" si="13"/>
        <v>58.43</v>
      </c>
      <c r="I304" s="182">
        <f t="shared" ca="1" si="14"/>
        <v>1168.5999999999999</v>
      </c>
      <c r="J304" s="226"/>
      <c r="K304" s="224" t="s">
        <v>8074</v>
      </c>
    </row>
    <row r="305" spans="1:11" s="161" customFormat="1" hidden="1" x14ac:dyDescent="0.25">
      <c r="A305" s="162" t="s">
        <v>575</v>
      </c>
      <c r="B305" s="163" t="s">
        <v>1736</v>
      </c>
      <c r="C305" s="164" t="s">
        <v>20</v>
      </c>
      <c r="D305" s="164">
        <v>135</v>
      </c>
      <c r="E305" s="133">
        <f ca="1">OFFSET(INDEX(Composições!A:J,MATCH(Orçamentária!A305,Composições!A:A,0),8),2,0)</f>
        <v>362.28125</v>
      </c>
      <c r="F305" s="134">
        <f t="shared" ca="1" si="12"/>
        <v>48907.96875</v>
      </c>
      <c r="G305" s="135">
        <f>BDI!$B$17</f>
        <v>0.191</v>
      </c>
      <c r="H305" s="136">
        <f t="shared" ca="1" si="13"/>
        <v>431.48</v>
      </c>
      <c r="I305" s="182">
        <f t="shared" ca="1" si="14"/>
        <v>58249.8</v>
      </c>
      <c r="J305" s="226"/>
      <c r="K305" s="224" t="s">
        <v>8074</v>
      </c>
    </row>
    <row r="306" spans="1:11" s="161" customFormat="1" hidden="1" x14ac:dyDescent="0.25">
      <c r="A306" s="162" t="s">
        <v>577</v>
      </c>
      <c r="B306" s="163" t="s">
        <v>1737</v>
      </c>
      <c r="C306" s="164" t="s">
        <v>20</v>
      </c>
      <c r="D306" s="164">
        <v>10</v>
      </c>
      <c r="E306" s="133">
        <f ca="1">OFFSET(INDEX(Composições!A:J,MATCH(Orçamentária!A306,Composições!A:A,0),8),2,0)</f>
        <v>515.92124999999999</v>
      </c>
      <c r="F306" s="134">
        <f t="shared" ca="1" si="12"/>
        <v>5159.2124999999996</v>
      </c>
      <c r="G306" s="135">
        <f>BDI!$B$17</f>
        <v>0.191</v>
      </c>
      <c r="H306" s="136">
        <f t="shared" ca="1" si="13"/>
        <v>614.46</v>
      </c>
      <c r="I306" s="182">
        <f t="shared" ca="1" si="14"/>
        <v>6144.6</v>
      </c>
      <c r="J306" s="226"/>
      <c r="K306" s="224" t="s">
        <v>8074</v>
      </c>
    </row>
    <row r="307" spans="1:11" s="161" customFormat="1" hidden="1" x14ac:dyDescent="0.25">
      <c r="A307" s="162" t="s">
        <v>579</v>
      </c>
      <c r="B307" s="163" t="s">
        <v>1738</v>
      </c>
      <c r="C307" s="164" t="s">
        <v>20</v>
      </c>
      <c r="D307" s="164">
        <v>10</v>
      </c>
      <c r="E307" s="133">
        <f ca="1">OFFSET(INDEX(Composições!A:J,MATCH(Orçamentária!A307,Composições!A:A,0),8),2,0)</f>
        <v>386.13125000000002</v>
      </c>
      <c r="F307" s="134">
        <f t="shared" ca="1" si="12"/>
        <v>3861.3125</v>
      </c>
      <c r="G307" s="135">
        <f>BDI!$B$17</f>
        <v>0.191</v>
      </c>
      <c r="H307" s="136">
        <f t="shared" ca="1" si="13"/>
        <v>459.88</v>
      </c>
      <c r="I307" s="182">
        <f t="shared" ca="1" si="14"/>
        <v>4598.8</v>
      </c>
      <c r="J307" s="226"/>
      <c r="K307" s="224" t="s">
        <v>8074</v>
      </c>
    </row>
    <row r="308" spans="1:11" s="161" customFormat="1" hidden="1" x14ac:dyDescent="0.25">
      <c r="A308" s="162" t="s">
        <v>581</v>
      </c>
      <c r="B308" s="163" t="s">
        <v>1739</v>
      </c>
      <c r="C308" s="164" t="s">
        <v>20</v>
      </c>
      <c r="D308" s="164">
        <v>4</v>
      </c>
      <c r="E308" s="133">
        <f ca="1">OFFSET(INDEX(Composições!A:J,MATCH(Orçamentária!A308,Composições!A:A,0),8),2,0)</f>
        <v>272.86124999999998</v>
      </c>
      <c r="F308" s="134">
        <f t="shared" ca="1" si="12"/>
        <v>1091.4449999999999</v>
      </c>
      <c r="G308" s="135">
        <f>BDI!$B$17</f>
        <v>0.191</v>
      </c>
      <c r="H308" s="136">
        <f t="shared" ca="1" si="13"/>
        <v>324.98</v>
      </c>
      <c r="I308" s="182">
        <f t="shared" ca="1" si="14"/>
        <v>1299.92</v>
      </c>
      <c r="J308" s="226"/>
      <c r="K308" s="224" t="s">
        <v>8074</v>
      </c>
    </row>
    <row r="309" spans="1:11" s="161" customFormat="1" hidden="1" x14ac:dyDescent="0.25">
      <c r="A309" s="162" t="s">
        <v>583</v>
      </c>
      <c r="B309" s="163" t="s">
        <v>1740</v>
      </c>
      <c r="C309" s="164" t="s">
        <v>20</v>
      </c>
      <c r="D309" s="164">
        <v>4</v>
      </c>
      <c r="E309" s="133">
        <f ca="1">OFFSET(INDEX(Composições!A:J,MATCH(Orçamentária!A309,Composições!A:A,0),8),2,0)</f>
        <v>323.25125000000003</v>
      </c>
      <c r="F309" s="134">
        <f t="shared" ca="1" si="12"/>
        <v>1293.0050000000001</v>
      </c>
      <c r="G309" s="135">
        <f>BDI!$B$17</f>
        <v>0.191</v>
      </c>
      <c r="H309" s="136">
        <f t="shared" ca="1" si="13"/>
        <v>384.99</v>
      </c>
      <c r="I309" s="182">
        <f t="shared" ca="1" si="14"/>
        <v>1539.96</v>
      </c>
      <c r="J309" s="226"/>
      <c r="K309" s="224" t="s">
        <v>8074</v>
      </c>
    </row>
    <row r="310" spans="1:11" s="161" customFormat="1" hidden="1" x14ac:dyDescent="0.25">
      <c r="A310" s="162" t="s">
        <v>585</v>
      </c>
      <c r="B310" s="163" t="s">
        <v>1741</v>
      </c>
      <c r="C310" s="164" t="s">
        <v>20</v>
      </c>
      <c r="D310" s="164">
        <v>4</v>
      </c>
      <c r="E310" s="133">
        <f ca="1">OFFSET(INDEX(Composições!A:J,MATCH(Orçamentária!A310,Composições!A:A,0),8),2,0)</f>
        <v>413.71124999999995</v>
      </c>
      <c r="F310" s="134">
        <f t="shared" ca="1" si="12"/>
        <v>1654.8449999999998</v>
      </c>
      <c r="G310" s="135">
        <f>BDI!$B$17</f>
        <v>0.191</v>
      </c>
      <c r="H310" s="136">
        <f t="shared" ca="1" si="13"/>
        <v>492.73</v>
      </c>
      <c r="I310" s="182">
        <f t="shared" ca="1" si="14"/>
        <v>1970.92</v>
      </c>
      <c r="J310" s="226"/>
      <c r="K310" s="224" t="s">
        <v>8074</v>
      </c>
    </row>
    <row r="311" spans="1:11" s="161" customFormat="1" hidden="1" x14ac:dyDescent="0.25">
      <c r="A311" s="162" t="s">
        <v>587</v>
      </c>
      <c r="B311" s="163" t="s">
        <v>1742</v>
      </c>
      <c r="C311" s="164" t="s">
        <v>20</v>
      </c>
      <c r="D311" s="164">
        <v>4</v>
      </c>
      <c r="E311" s="133">
        <f ca="1">OFFSET(INDEX(Composições!A:J,MATCH(Orçamentária!A311,Composições!A:A,0),8),2,0)</f>
        <v>260.98124999999999</v>
      </c>
      <c r="F311" s="134">
        <f t="shared" ca="1" si="12"/>
        <v>1043.925</v>
      </c>
      <c r="G311" s="135">
        <f>BDI!$B$17</f>
        <v>0.191</v>
      </c>
      <c r="H311" s="136">
        <f t="shared" ca="1" si="13"/>
        <v>310.83</v>
      </c>
      <c r="I311" s="182">
        <f t="shared" ca="1" si="14"/>
        <v>1243.32</v>
      </c>
      <c r="J311" s="226"/>
      <c r="K311" s="224" t="s">
        <v>8074</v>
      </c>
    </row>
    <row r="312" spans="1:11" s="161" customFormat="1" hidden="1" x14ac:dyDescent="0.25">
      <c r="A312" s="162" t="s">
        <v>589</v>
      </c>
      <c r="B312" s="163" t="s">
        <v>1743</v>
      </c>
      <c r="C312" s="164" t="s">
        <v>20</v>
      </c>
      <c r="D312" s="164">
        <v>10</v>
      </c>
      <c r="E312" s="133">
        <f ca="1">OFFSET(INDEX(Composições!A:J,MATCH(Orçamentária!A312,Composições!A:A,0),8),2,0)</f>
        <v>262.61124999999998</v>
      </c>
      <c r="F312" s="134">
        <f t="shared" ca="1" si="12"/>
        <v>2626.1124999999997</v>
      </c>
      <c r="G312" s="135">
        <f>BDI!$B$17</f>
        <v>0.191</v>
      </c>
      <c r="H312" s="136">
        <f t="shared" ca="1" si="13"/>
        <v>312.77</v>
      </c>
      <c r="I312" s="182">
        <f t="shared" ca="1" si="14"/>
        <v>3127.7</v>
      </c>
      <c r="J312" s="226"/>
      <c r="K312" s="224" t="s">
        <v>8074</v>
      </c>
    </row>
    <row r="313" spans="1:11" s="161" customFormat="1" hidden="1" x14ac:dyDescent="0.25">
      <c r="A313" s="162" t="s">
        <v>591</v>
      </c>
      <c r="B313" s="163" t="s">
        <v>1744</v>
      </c>
      <c r="C313" s="164" t="s">
        <v>20</v>
      </c>
      <c r="D313" s="164">
        <v>135</v>
      </c>
      <c r="E313" s="133">
        <f ca="1">OFFSET(INDEX(Composições!A:J,MATCH(Orçamentária!A313,Composições!A:A,0),8),2,0)</f>
        <v>206.57274999999998</v>
      </c>
      <c r="F313" s="134">
        <f t="shared" ca="1" si="12"/>
        <v>27887.321249999997</v>
      </c>
      <c r="G313" s="135">
        <f>BDI!$B$17</f>
        <v>0.191</v>
      </c>
      <c r="H313" s="136">
        <f t="shared" ca="1" si="13"/>
        <v>246.03</v>
      </c>
      <c r="I313" s="182">
        <f t="shared" ca="1" si="14"/>
        <v>33214.050000000003</v>
      </c>
      <c r="J313" s="226"/>
      <c r="K313" s="224" t="s">
        <v>8074</v>
      </c>
    </row>
    <row r="314" spans="1:11" s="161" customFormat="1" hidden="1" x14ac:dyDescent="0.25">
      <c r="A314" s="162" t="s">
        <v>593</v>
      </c>
      <c r="B314" s="163" t="s">
        <v>1745</v>
      </c>
      <c r="C314" s="164" t="s">
        <v>20</v>
      </c>
      <c r="D314" s="164">
        <v>10</v>
      </c>
      <c r="E314" s="133">
        <f ca="1">OFFSET(INDEX(Composições!A:J,MATCH(Orçamentária!A314,Composições!A:A,0),8),2,0)</f>
        <v>225.64875000000001</v>
      </c>
      <c r="F314" s="134">
        <f t="shared" ca="1" si="12"/>
        <v>2256.4875000000002</v>
      </c>
      <c r="G314" s="135">
        <f>BDI!$B$17</f>
        <v>0.191</v>
      </c>
      <c r="H314" s="136">
        <f t="shared" ca="1" si="13"/>
        <v>268.75</v>
      </c>
      <c r="I314" s="182">
        <f t="shared" ca="1" si="14"/>
        <v>2687.5</v>
      </c>
      <c r="J314" s="226"/>
      <c r="K314" s="224" t="s">
        <v>8074</v>
      </c>
    </row>
    <row r="315" spans="1:11" s="161" customFormat="1" hidden="1" x14ac:dyDescent="0.25">
      <c r="A315" s="162" t="s">
        <v>595</v>
      </c>
      <c r="B315" s="163" t="s">
        <v>1746</v>
      </c>
      <c r="C315" s="164" t="s">
        <v>20</v>
      </c>
      <c r="D315" s="164">
        <v>110</v>
      </c>
      <c r="E315" s="133">
        <f ca="1">OFFSET(INDEX(Composições!A:J,MATCH(Orçamentária!A315,Composições!A:A,0),8),2,0)</f>
        <v>119.01124999999999</v>
      </c>
      <c r="F315" s="134">
        <f t="shared" ca="1" si="12"/>
        <v>13091.237499999999</v>
      </c>
      <c r="G315" s="135">
        <f>BDI!$B$17</f>
        <v>0.191</v>
      </c>
      <c r="H315" s="136">
        <f t="shared" ca="1" si="13"/>
        <v>141.74</v>
      </c>
      <c r="I315" s="182">
        <f t="shared" ca="1" si="14"/>
        <v>15591.4</v>
      </c>
      <c r="J315" s="226"/>
      <c r="K315" s="224" t="s">
        <v>8074</v>
      </c>
    </row>
    <row r="316" spans="1:11" s="161" customFormat="1" hidden="1" x14ac:dyDescent="0.25">
      <c r="A316" s="162" t="s">
        <v>596</v>
      </c>
      <c r="B316" s="163" t="s">
        <v>1747</v>
      </c>
      <c r="C316" s="164" t="s">
        <v>20</v>
      </c>
      <c r="D316" s="164">
        <v>15</v>
      </c>
      <c r="E316" s="133">
        <f ca="1">OFFSET(INDEX(Composições!A:J,MATCH(Orçamentária!A316,Composições!A:A,0),8),2,0)</f>
        <v>44.554999999999993</v>
      </c>
      <c r="F316" s="134">
        <f t="shared" ca="1" si="12"/>
        <v>668.32499999999993</v>
      </c>
      <c r="G316" s="135">
        <f>BDI!$B$17</f>
        <v>0.191</v>
      </c>
      <c r="H316" s="136">
        <f t="shared" ca="1" si="13"/>
        <v>53.07</v>
      </c>
      <c r="I316" s="182">
        <f t="shared" ca="1" si="14"/>
        <v>796.05</v>
      </c>
      <c r="J316" s="226"/>
      <c r="K316" s="224" t="s">
        <v>8074</v>
      </c>
    </row>
    <row r="317" spans="1:11" s="161" customFormat="1" hidden="1" x14ac:dyDescent="0.25">
      <c r="A317" s="162" t="s">
        <v>597</v>
      </c>
      <c r="B317" s="163" t="s">
        <v>1748</v>
      </c>
      <c r="C317" s="164" t="s">
        <v>20</v>
      </c>
      <c r="D317" s="164">
        <v>15</v>
      </c>
      <c r="E317" s="133">
        <f ca="1">OFFSET(INDEX(Composições!A:J,MATCH(Orçamentária!A317,Composições!A:A,0),8),2,0)</f>
        <v>32.119500000000002</v>
      </c>
      <c r="F317" s="134">
        <f t="shared" ca="1" si="12"/>
        <v>481.79250000000002</v>
      </c>
      <c r="G317" s="135">
        <f>BDI!$B$17</f>
        <v>0.191</v>
      </c>
      <c r="H317" s="136">
        <f t="shared" ca="1" si="13"/>
        <v>38.25</v>
      </c>
      <c r="I317" s="182">
        <f t="shared" ca="1" si="14"/>
        <v>573.75</v>
      </c>
      <c r="J317" s="226"/>
      <c r="K317" s="224" t="s">
        <v>8074</v>
      </c>
    </row>
    <row r="318" spans="1:11" s="161" customFormat="1" hidden="1" x14ac:dyDescent="0.25">
      <c r="A318" s="162" t="s">
        <v>599</v>
      </c>
      <c r="B318" s="163" t="s">
        <v>1749</v>
      </c>
      <c r="C318" s="164" t="s">
        <v>20</v>
      </c>
      <c r="D318" s="164">
        <v>10</v>
      </c>
      <c r="E318" s="133">
        <f ca="1">OFFSET(INDEX(Composições!A:J,MATCH(Orçamentária!A318,Composições!A:A,0),8),2,0)</f>
        <v>623.71799999999996</v>
      </c>
      <c r="F318" s="134">
        <f t="shared" ca="1" si="12"/>
        <v>6237.1799999999994</v>
      </c>
      <c r="G318" s="135">
        <f>BDI!$B$17</f>
        <v>0.191</v>
      </c>
      <c r="H318" s="136">
        <f t="shared" ca="1" si="13"/>
        <v>742.85</v>
      </c>
      <c r="I318" s="182">
        <f t="shared" ca="1" si="14"/>
        <v>7428.5</v>
      </c>
      <c r="J318" s="226"/>
      <c r="K318" s="224" t="s">
        <v>8074</v>
      </c>
    </row>
    <row r="319" spans="1:11" s="161" customFormat="1" hidden="1" x14ac:dyDescent="0.25">
      <c r="A319" s="162" t="s">
        <v>601</v>
      </c>
      <c r="B319" s="163" t="s">
        <v>1750</v>
      </c>
      <c r="C319" s="164" t="s">
        <v>92</v>
      </c>
      <c r="D319" s="164">
        <v>450</v>
      </c>
      <c r="E319" s="133">
        <f ca="1">OFFSET(INDEX(Composições!A:J,MATCH(Orçamentária!A319,Composições!A:A,0),8),2,0)</f>
        <v>1.2192499999999999</v>
      </c>
      <c r="F319" s="134">
        <f t="shared" ca="1" si="12"/>
        <v>548.66250000000002</v>
      </c>
      <c r="G319" s="135">
        <f>BDI!$B$17</f>
        <v>0.191</v>
      </c>
      <c r="H319" s="136">
        <f t="shared" ca="1" si="13"/>
        <v>1.45</v>
      </c>
      <c r="I319" s="182">
        <f t="shared" ca="1" si="14"/>
        <v>652.5</v>
      </c>
      <c r="J319" s="226"/>
      <c r="K319" s="224" t="s">
        <v>8074</v>
      </c>
    </row>
    <row r="320" spans="1:11" s="161" customFormat="1" hidden="1" x14ac:dyDescent="0.25">
      <c r="A320" s="162" t="s">
        <v>603</v>
      </c>
      <c r="B320" s="163" t="s">
        <v>1751</v>
      </c>
      <c r="C320" s="164" t="s">
        <v>92</v>
      </c>
      <c r="D320" s="164">
        <v>7680</v>
      </c>
      <c r="E320" s="133">
        <f ca="1">OFFSET(INDEX(Composições!A:J,MATCH(Orçamentária!A320,Composições!A:A,0),8),2,0)</f>
        <v>1.6192500000000001</v>
      </c>
      <c r="F320" s="134">
        <f t="shared" ca="1" si="12"/>
        <v>12435.84</v>
      </c>
      <c r="G320" s="135">
        <f>BDI!$B$17</f>
        <v>0.191</v>
      </c>
      <c r="H320" s="136">
        <f t="shared" ca="1" si="13"/>
        <v>1.93</v>
      </c>
      <c r="I320" s="182">
        <f t="shared" ca="1" si="14"/>
        <v>14822.4</v>
      </c>
      <c r="J320" s="226"/>
      <c r="K320" s="224" t="s">
        <v>8074</v>
      </c>
    </row>
    <row r="321" spans="1:11" s="161" customFormat="1" hidden="1" x14ac:dyDescent="0.25">
      <c r="A321" s="162" t="s">
        <v>605</v>
      </c>
      <c r="B321" s="163" t="s">
        <v>1752</v>
      </c>
      <c r="C321" s="164" t="s">
        <v>92</v>
      </c>
      <c r="D321" s="164">
        <v>60</v>
      </c>
      <c r="E321" s="133">
        <f ca="1">OFFSET(INDEX(Composições!A:J,MATCH(Orçamentária!A321,Composições!A:A,0),8),2,0)</f>
        <v>163.57925</v>
      </c>
      <c r="F321" s="134">
        <f t="shared" ca="1" si="12"/>
        <v>9814.755000000001</v>
      </c>
      <c r="G321" s="135">
        <f>BDI!$B$17</f>
        <v>0.191</v>
      </c>
      <c r="H321" s="136">
        <f t="shared" ca="1" si="13"/>
        <v>194.82</v>
      </c>
      <c r="I321" s="182">
        <f t="shared" ca="1" si="14"/>
        <v>11689.2</v>
      </c>
      <c r="J321" s="226"/>
      <c r="K321" s="224" t="s">
        <v>8074</v>
      </c>
    </row>
    <row r="322" spans="1:11" s="161" customFormat="1" hidden="1" x14ac:dyDescent="0.25">
      <c r="A322" s="162" t="s">
        <v>607</v>
      </c>
      <c r="B322" s="163" t="s">
        <v>1753</v>
      </c>
      <c r="C322" s="164" t="s">
        <v>20</v>
      </c>
      <c r="D322" s="164">
        <v>115</v>
      </c>
      <c r="E322" s="133">
        <f ca="1">OFFSET(INDEX(Composições!A:J,MATCH(Orçamentária!A322,Composições!A:A,0),8),2,0)</f>
        <v>148.398</v>
      </c>
      <c r="F322" s="134">
        <f t="shared" ca="1" si="12"/>
        <v>17065.77</v>
      </c>
      <c r="G322" s="135">
        <f>BDI!$B$17</f>
        <v>0.191</v>
      </c>
      <c r="H322" s="136">
        <f t="shared" ca="1" si="13"/>
        <v>176.74</v>
      </c>
      <c r="I322" s="182">
        <f t="shared" ca="1" si="14"/>
        <v>20325.099999999999</v>
      </c>
      <c r="J322" s="226"/>
      <c r="K322" s="224" t="s">
        <v>8074</v>
      </c>
    </row>
    <row r="323" spans="1:11" s="161" customFormat="1" hidden="1" x14ac:dyDescent="0.25">
      <c r="A323" s="162" t="s">
        <v>611</v>
      </c>
      <c r="B323" s="163" t="s">
        <v>612</v>
      </c>
      <c r="C323" s="164" t="s">
        <v>20</v>
      </c>
      <c r="D323" s="164">
        <v>180</v>
      </c>
      <c r="E323" s="133">
        <f ca="1">OFFSET(INDEX(Composições!A:J,MATCH(Orçamentária!A323,Composições!A:A,0),8),2,0)</f>
        <v>134.428</v>
      </c>
      <c r="F323" s="134">
        <f t="shared" ca="1" si="12"/>
        <v>24197.040000000001</v>
      </c>
      <c r="G323" s="135">
        <f>BDI!$B$17</f>
        <v>0.191</v>
      </c>
      <c r="H323" s="136">
        <f t="shared" ca="1" si="13"/>
        <v>160.1</v>
      </c>
      <c r="I323" s="182">
        <f t="shared" ca="1" si="14"/>
        <v>28818</v>
      </c>
      <c r="J323" s="226"/>
      <c r="K323" s="224" t="s">
        <v>8074</v>
      </c>
    </row>
    <row r="324" spans="1:11" s="161" customFormat="1" hidden="1" x14ac:dyDescent="0.25">
      <c r="A324" s="162" t="s">
        <v>613</v>
      </c>
      <c r="B324" s="163" t="s">
        <v>1754</v>
      </c>
      <c r="C324" s="164" t="s">
        <v>20</v>
      </c>
      <c r="D324" s="164">
        <v>10</v>
      </c>
      <c r="E324" s="133">
        <f ca="1">OFFSET(INDEX(Composições!A:J,MATCH(Orçamentária!A324,Composições!A:A,0),8),2,0)</f>
        <v>135.10080780000001</v>
      </c>
      <c r="F324" s="134">
        <f t="shared" ca="1" si="12"/>
        <v>1351.0080780000001</v>
      </c>
      <c r="G324" s="135">
        <f>BDI!$B$17</f>
        <v>0.191</v>
      </c>
      <c r="H324" s="136">
        <f t="shared" ca="1" si="13"/>
        <v>160.91</v>
      </c>
      <c r="I324" s="182">
        <f t="shared" ca="1" si="14"/>
        <v>1609.1</v>
      </c>
      <c r="J324" s="226"/>
      <c r="K324" s="224" t="s">
        <v>8074</v>
      </c>
    </row>
    <row r="325" spans="1:11" s="161" customFormat="1" hidden="1" x14ac:dyDescent="0.25">
      <c r="A325" s="162" t="s">
        <v>615</v>
      </c>
      <c r="B325" s="163" t="s">
        <v>1755</v>
      </c>
      <c r="C325" s="164" t="s">
        <v>20</v>
      </c>
      <c r="D325" s="164">
        <v>50</v>
      </c>
      <c r="E325" s="133">
        <f ca="1">OFFSET(INDEX(Composições!A:J,MATCH(Orçamentária!A325,Composições!A:A,0),8),2,0)</f>
        <v>102.9300361</v>
      </c>
      <c r="F325" s="134">
        <f t="shared" ca="1" si="12"/>
        <v>5146.5018049999999</v>
      </c>
      <c r="G325" s="135">
        <f>BDI!$B$17</f>
        <v>0.191</v>
      </c>
      <c r="H325" s="136">
        <f t="shared" ca="1" si="13"/>
        <v>122.59</v>
      </c>
      <c r="I325" s="182">
        <f t="shared" ca="1" si="14"/>
        <v>6129.5</v>
      </c>
      <c r="J325" s="226"/>
      <c r="K325" s="224" t="s">
        <v>8074</v>
      </c>
    </row>
    <row r="326" spans="1:11" s="161" customFormat="1" hidden="1" x14ac:dyDescent="0.25">
      <c r="A326" s="162" t="s">
        <v>617</v>
      </c>
      <c r="B326" s="163" t="s">
        <v>1756</v>
      </c>
      <c r="C326" s="164" t="s">
        <v>20</v>
      </c>
      <c r="D326" s="164">
        <v>10</v>
      </c>
      <c r="E326" s="133">
        <f ca="1">OFFSET(INDEX(Composições!A:J,MATCH(Orçamentária!A326,Composições!A:A,0),8),2,0)</f>
        <v>806.80080780000003</v>
      </c>
      <c r="F326" s="134">
        <f t="shared" ca="1" si="12"/>
        <v>8068.0080780000008</v>
      </c>
      <c r="G326" s="135">
        <f>BDI!$B$17</f>
        <v>0.191</v>
      </c>
      <c r="H326" s="136">
        <f t="shared" ca="1" si="13"/>
        <v>960.9</v>
      </c>
      <c r="I326" s="182">
        <f t="shared" ca="1" si="14"/>
        <v>9609</v>
      </c>
      <c r="J326" s="226"/>
      <c r="K326" s="224" t="s">
        <v>8074</v>
      </c>
    </row>
    <row r="327" spans="1:11" s="161" customFormat="1" hidden="1" x14ac:dyDescent="0.25">
      <c r="A327" s="162" t="s">
        <v>620</v>
      </c>
      <c r="B327" s="163" t="s">
        <v>1757</v>
      </c>
      <c r="C327" s="164" t="s">
        <v>20</v>
      </c>
      <c r="D327" s="164">
        <v>50</v>
      </c>
      <c r="E327" s="133">
        <f ca="1">OFFSET(INDEX(Composições!A:J,MATCH(Orçamentária!A327,Composições!A:A,0),8),2,0)</f>
        <v>703.69003610000004</v>
      </c>
      <c r="F327" s="134">
        <f t="shared" ref="F327:F390" ca="1" si="15">IF(ISNUMBER(E327),D327*E327,"")</f>
        <v>35184.501805</v>
      </c>
      <c r="G327" s="135">
        <f>BDI!$B$17</f>
        <v>0.191</v>
      </c>
      <c r="H327" s="136">
        <f t="shared" ref="H327:H390" ca="1" si="16">IF(ISNUMBER(E327),ROUND(E327*(1+G327),2),"")</f>
        <v>838.09</v>
      </c>
      <c r="I327" s="182">
        <f t="shared" ref="I327:I390" ca="1" si="17">IF(ISNUMBER(E327),ROUND(H327*D327,2),"")</f>
        <v>41904.5</v>
      </c>
      <c r="J327" s="226"/>
      <c r="K327" s="224" t="s">
        <v>8074</v>
      </c>
    </row>
    <row r="328" spans="1:11" s="161" customFormat="1" hidden="1" x14ac:dyDescent="0.25">
      <c r="A328" s="162" t="s">
        <v>622</v>
      </c>
      <c r="B328" s="163" t="s">
        <v>1758</v>
      </c>
      <c r="C328" s="164" t="s">
        <v>20</v>
      </c>
      <c r="D328" s="164">
        <v>15</v>
      </c>
      <c r="E328" s="133">
        <f ca="1">OFFSET(INDEX(Composições!A:J,MATCH(Orçamentária!A328,Composições!A:A,0),8),2,0)</f>
        <v>157.8095103</v>
      </c>
      <c r="F328" s="134">
        <f t="shared" ca="1" si="15"/>
        <v>2367.1426544999999</v>
      </c>
      <c r="G328" s="135">
        <f>BDI!$B$17</f>
        <v>0.191</v>
      </c>
      <c r="H328" s="136">
        <f t="shared" ca="1" si="16"/>
        <v>187.95</v>
      </c>
      <c r="I328" s="182">
        <f t="shared" ca="1" si="17"/>
        <v>2819.25</v>
      </c>
      <c r="J328" s="226"/>
      <c r="K328" s="224" t="s">
        <v>8074</v>
      </c>
    </row>
    <row r="329" spans="1:11" s="161" customFormat="1" hidden="1" x14ac:dyDescent="0.25">
      <c r="A329" s="162" t="s">
        <v>624</v>
      </c>
      <c r="B329" s="163" t="s">
        <v>1759</v>
      </c>
      <c r="C329" s="164" t="s">
        <v>20</v>
      </c>
      <c r="D329" s="164">
        <v>15</v>
      </c>
      <c r="E329" s="133">
        <f ca="1">OFFSET(INDEX(Composições!A:J,MATCH(Orçamentária!A329,Composições!A:A,0),8),2,0)</f>
        <v>130.26892479999998</v>
      </c>
      <c r="F329" s="134">
        <f t="shared" ca="1" si="15"/>
        <v>1954.0338719999997</v>
      </c>
      <c r="G329" s="135">
        <f>BDI!$B$17</f>
        <v>0.191</v>
      </c>
      <c r="H329" s="136">
        <f t="shared" ca="1" si="16"/>
        <v>155.15</v>
      </c>
      <c r="I329" s="182">
        <f t="shared" ca="1" si="17"/>
        <v>2327.25</v>
      </c>
      <c r="J329" s="226"/>
      <c r="K329" s="224" t="s">
        <v>8074</v>
      </c>
    </row>
    <row r="330" spans="1:11" s="161" customFormat="1" hidden="1" x14ac:dyDescent="0.25">
      <c r="A330" s="162" t="s">
        <v>626</v>
      </c>
      <c r="B330" s="163" t="s">
        <v>1760</v>
      </c>
      <c r="C330" s="164" t="s">
        <v>20</v>
      </c>
      <c r="D330" s="164">
        <v>15</v>
      </c>
      <c r="E330" s="133">
        <f ca="1">OFFSET(INDEX(Composições!A:J,MATCH(Orçamentária!A330,Composições!A:A,0),8),2,0)</f>
        <v>87.989307799999978</v>
      </c>
      <c r="F330" s="134">
        <f t="shared" ca="1" si="15"/>
        <v>1319.8396169999996</v>
      </c>
      <c r="G330" s="135">
        <f>BDI!$B$17</f>
        <v>0.191</v>
      </c>
      <c r="H330" s="136">
        <f t="shared" ca="1" si="16"/>
        <v>104.8</v>
      </c>
      <c r="I330" s="182">
        <f t="shared" ca="1" si="17"/>
        <v>1572</v>
      </c>
      <c r="J330" s="226"/>
      <c r="K330" s="224" t="s">
        <v>8074</v>
      </c>
    </row>
    <row r="331" spans="1:11" s="161" customFormat="1" hidden="1" x14ac:dyDescent="0.25">
      <c r="A331" s="162" t="s">
        <v>628</v>
      </c>
      <c r="B331" s="163" t="s">
        <v>1761</v>
      </c>
      <c r="C331" s="164" t="s">
        <v>20</v>
      </c>
      <c r="D331" s="164">
        <v>115</v>
      </c>
      <c r="E331" s="133">
        <f ca="1">OFFSET(INDEX(Composições!A:J,MATCH(Orçamentária!A331,Composições!A:A,0),8),2,0)</f>
        <v>65.198536099999998</v>
      </c>
      <c r="F331" s="134">
        <f t="shared" ca="1" si="15"/>
        <v>7497.8316514999997</v>
      </c>
      <c r="G331" s="135">
        <f>BDI!$B$17</f>
        <v>0.191</v>
      </c>
      <c r="H331" s="136">
        <f t="shared" ca="1" si="16"/>
        <v>77.650000000000006</v>
      </c>
      <c r="I331" s="182">
        <f t="shared" ca="1" si="17"/>
        <v>8929.75</v>
      </c>
      <c r="J331" s="226"/>
      <c r="K331" s="224" t="s">
        <v>8074</v>
      </c>
    </row>
    <row r="332" spans="1:11" s="161" customFormat="1" hidden="1" x14ac:dyDescent="0.25">
      <c r="A332" s="162" t="s">
        <v>630</v>
      </c>
      <c r="B332" s="163" t="s">
        <v>1762</v>
      </c>
      <c r="C332" s="164" t="s">
        <v>94</v>
      </c>
      <c r="D332" s="164">
        <v>620</v>
      </c>
      <c r="E332" s="133">
        <f ca="1">OFFSET(INDEX(Composições!A:J,MATCH(Orçamentária!A332,Composições!A:A,0),8),2,0)</f>
        <v>160.45359999999999</v>
      </c>
      <c r="F332" s="134">
        <f t="shared" ca="1" si="15"/>
        <v>99481.232000000004</v>
      </c>
      <c r="G332" s="135">
        <f>BDI!$B$17</f>
        <v>0.191</v>
      </c>
      <c r="H332" s="136">
        <f t="shared" ca="1" si="16"/>
        <v>191.1</v>
      </c>
      <c r="I332" s="182">
        <f t="shared" ca="1" si="17"/>
        <v>118482</v>
      </c>
      <c r="J332" s="226"/>
      <c r="K332" s="224" t="s">
        <v>8074</v>
      </c>
    </row>
    <row r="333" spans="1:11" s="161" customFormat="1" hidden="1" x14ac:dyDescent="0.25">
      <c r="A333" s="162" t="s">
        <v>632</v>
      </c>
      <c r="B333" s="163" t="s">
        <v>1763</v>
      </c>
      <c r="C333" s="164" t="s">
        <v>92</v>
      </c>
      <c r="D333" s="164">
        <v>610</v>
      </c>
      <c r="E333" s="133">
        <f ca="1">OFFSET(INDEX(Composições!A:J,MATCH(Orçamentária!A333,Composições!A:A,0),8),2,0)</f>
        <v>26.023740199999999</v>
      </c>
      <c r="F333" s="134">
        <f t="shared" ca="1" si="15"/>
        <v>15874.481522</v>
      </c>
      <c r="G333" s="135">
        <f>BDI!$B$17</f>
        <v>0.191</v>
      </c>
      <c r="H333" s="136">
        <f t="shared" ca="1" si="16"/>
        <v>30.99</v>
      </c>
      <c r="I333" s="182">
        <f t="shared" ca="1" si="17"/>
        <v>18903.900000000001</v>
      </c>
      <c r="J333" s="226"/>
      <c r="K333" s="224" t="s">
        <v>8074</v>
      </c>
    </row>
    <row r="334" spans="1:11" s="161" customFormat="1" hidden="1" x14ac:dyDescent="0.25">
      <c r="A334" s="162" t="s">
        <v>635</v>
      </c>
      <c r="B334" s="163" t="s">
        <v>1764</v>
      </c>
      <c r="C334" s="164" t="s">
        <v>92</v>
      </c>
      <c r="D334" s="164">
        <v>380</v>
      </c>
      <c r="E334" s="133">
        <f ca="1">OFFSET(INDEX(Composições!A:J,MATCH(Orçamentária!A334,Composições!A:A,0),8),2,0)</f>
        <v>14.854693799999998</v>
      </c>
      <c r="F334" s="134">
        <f t="shared" ca="1" si="15"/>
        <v>5644.7836439999992</v>
      </c>
      <c r="G334" s="135">
        <f>BDI!$B$17</f>
        <v>0.191</v>
      </c>
      <c r="H334" s="136">
        <f t="shared" ca="1" si="16"/>
        <v>17.690000000000001</v>
      </c>
      <c r="I334" s="182">
        <f t="shared" ca="1" si="17"/>
        <v>6722.2</v>
      </c>
      <c r="J334" s="226"/>
      <c r="K334" s="224" t="s">
        <v>8074</v>
      </c>
    </row>
    <row r="335" spans="1:11" s="161" customFormat="1" hidden="1" x14ac:dyDescent="0.25">
      <c r="A335" s="162" t="s">
        <v>637</v>
      </c>
      <c r="B335" s="163" t="s">
        <v>1765</v>
      </c>
      <c r="C335" s="164" t="s">
        <v>92</v>
      </c>
      <c r="D335" s="164">
        <v>380</v>
      </c>
      <c r="E335" s="133">
        <f ca="1">OFFSET(INDEX(Composições!A:J,MATCH(Orçamentária!A335,Composições!A:A,0),8),2,0)</f>
        <v>11.623169599999999</v>
      </c>
      <c r="F335" s="134">
        <f t="shared" ca="1" si="15"/>
        <v>4416.8044479999999</v>
      </c>
      <c r="G335" s="135">
        <f>BDI!$B$17</f>
        <v>0.191</v>
      </c>
      <c r="H335" s="136">
        <f t="shared" ca="1" si="16"/>
        <v>13.84</v>
      </c>
      <c r="I335" s="182">
        <f t="shared" ca="1" si="17"/>
        <v>5259.2</v>
      </c>
      <c r="J335" s="226"/>
      <c r="K335" s="224" t="s">
        <v>8074</v>
      </c>
    </row>
    <row r="336" spans="1:11" s="161" customFormat="1" hidden="1" x14ac:dyDescent="0.25">
      <c r="A336" s="162" t="s">
        <v>639</v>
      </c>
      <c r="B336" s="163" t="s">
        <v>1766</v>
      </c>
      <c r="C336" s="164" t="s">
        <v>92</v>
      </c>
      <c r="D336" s="164">
        <v>300</v>
      </c>
      <c r="E336" s="133">
        <f ca="1">OFFSET(INDEX(Composições!A:J,MATCH(Orçamentária!A336,Composições!A:A,0),8),2,0)</f>
        <v>19.846085199999997</v>
      </c>
      <c r="F336" s="134">
        <f t="shared" ca="1" si="15"/>
        <v>5953.8255599999993</v>
      </c>
      <c r="G336" s="135">
        <f>BDI!$B$17</f>
        <v>0.191</v>
      </c>
      <c r="H336" s="136">
        <f t="shared" ca="1" si="16"/>
        <v>23.64</v>
      </c>
      <c r="I336" s="182">
        <f t="shared" ca="1" si="17"/>
        <v>7092</v>
      </c>
      <c r="J336" s="226"/>
      <c r="K336" s="224" t="s">
        <v>8074</v>
      </c>
    </row>
    <row r="337" spans="1:11" s="161" customFormat="1" hidden="1" x14ac:dyDescent="0.25">
      <c r="A337" s="162" t="s">
        <v>641</v>
      </c>
      <c r="B337" s="163" t="s">
        <v>1767</v>
      </c>
      <c r="C337" s="164" t="s">
        <v>92</v>
      </c>
      <c r="D337" s="164">
        <v>720</v>
      </c>
      <c r="E337" s="133">
        <f ca="1">OFFSET(INDEX(Composições!A:J,MATCH(Orçamentária!A337,Composições!A:A,0),8),2,0)</f>
        <v>13.240335599999998</v>
      </c>
      <c r="F337" s="134">
        <f t="shared" ca="1" si="15"/>
        <v>9533.0416319999986</v>
      </c>
      <c r="G337" s="135">
        <f>BDI!$B$17</f>
        <v>0.191</v>
      </c>
      <c r="H337" s="136">
        <f t="shared" ca="1" si="16"/>
        <v>15.77</v>
      </c>
      <c r="I337" s="182">
        <f t="shared" ca="1" si="17"/>
        <v>11354.4</v>
      </c>
      <c r="J337" s="226"/>
      <c r="K337" s="224" t="s">
        <v>8074</v>
      </c>
    </row>
    <row r="338" spans="1:11" s="161" customFormat="1" hidden="1" x14ac:dyDescent="0.25">
      <c r="A338" s="162" t="s">
        <v>643</v>
      </c>
      <c r="B338" s="163" t="s">
        <v>1768</v>
      </c>
      <c r="C338" s="164" t="s">
        <v>92</v>
      </c>
      <c r="D338" s="164">
        <v>380</v>
      </c>
      <c r="E338" s="133">
        <f ca="1">OFFSET(INDEX(Composições!A:J,MATCH(Orçamentária!A338,Composições!A:A,0),8),2,0)</f>
        <v>18.4063342</v>
      </c>
      <c r="F338" s="134">
        <f t="shared" ca="1" si="15"/>
        <v>6994.4069959999997</v>
      </c>
      <c r="G338" s="135">
        <f>BDI!$B$17</f>
        <v>0.191</v>
      </c>
      <c r="H338" s="136">
        <f t="shared" ca="1" si="16"/>
        <v>21.92</v>
      </c>
      <c r="I338" s="182">
        <f t="shared" ca="1" si="17"/>
        <v>8329.6</v>
      </c>
      <c r="J338" s="226"/>
      <c r="K338" s="224" t="s">
        <v>8074</v>
      </c>
    </row>
    <row r="339" spans="1:11" s="161" customFormat="1" hidden="1" x14ac:dyDescent="0.25">
      <c r="A339" s="162" t="s">
        <v>645</v>
      </c>
      <c r="B339" s="163" t="s">
        <v>1769</v>
      </c>
      <c r="C339" s="164" t="s">
        <v>92</v>
      </c>
      <c r="D339" s="164">
        <v>75</v>
      </c>
      <c r="E339" s="133">
        <f ca="1">OFFSET(INDEX(Composições!A:J,MATCH(Orçamentária!A339,Composições!A:A,0),8),2,0)</f>
        <v>23.072761199999999</v>
      </c>
      <c r="F339" s="134">
        <f t="shared" ca="1" si="15"/>
        <v>1730.4570899999999</v>
      </c>
      <c r="G339" s="135">
        <f>BDI!$B$17</f>
        <v>0.191</v>
      </c>
      <c r="H339" s="136">
        <f t="shared" ca="1" si="16"/>
        <v>27.48</v>
      </c>
      <c r="I339" s="182">
        <f t="shared" ca="1" si="17"/>
        <v>2061</v>
      </c>
      <c r="J339" s="226"/>
      <c r="K339" s="224" t="s">
        <v>8074</v>
      </c>
    </row>
    <row r="340" spans="1:11" s="161" customFormat="1" hidden="1" x14ac:dyDescent="0.25">
      <c r="A340" s="162" t="s">
        <v>647</v>
      </c>
      <c r="B340" s="163" t="s">
        <v>1770</v>
      </c>
      <c r="C340" s="164" t="s">
        <v>92</v>
      </c>
      <c r="D340" s="164">
        <v>25</v>
      </c>
      <c r="E340" s="133">
        <f ca="1">OFFSET(INDEX(Composições!A:J,MATCH(Orçamentária!A340,Composições!A:A,0),8),2,0)</f>
        <v>23.899852199999998</v>
      </c>
      <c r="F340" s="134">
        <f t="shared" ca="1" si="15"/>
        <v>597.49630499999989</v>
      </c>
      <c r="G340" s="135">
        <f>BDI!$B$17</f>
        <v>0.191</v>
      </c>
      <c r="H340" s="136">
        <f t="shared" ca="1" si="16"/>
        <v>28.46</v>
      </c>
      <c r="I340" s="182">
        <f t="shared" ca="1" si="17"/>
        <v>711.5</v>
      </c>
      <c r="J340" s="226"/>
      <c r="K340" s="224" t="s">
        <v>8074</v>
      </c>
    </row>
    <row r="341" spans="1:11" s="161" customFormat="1" hidden="1" x14ac:dyDescent="0.25">
      <c r="A341" s="162" t="s">
        <v>649</v>
      </c>
      <c r="B341" s="163" t="s">
        <v>1771</v>
      </c>
      <c r="C341" s="164" t="s">
        <v>92</v>
      </c>
      <c r="D341" s="164">
        <v>75</v>
      </c>
      <c r="E341" s="133">
        <f ca="1">OFFSET(INDEX(Composições!A:J,MATCH(Orçamentária!A341,Composições!A:A,0),8),2,0)</f>
        <v>40.942011199999996</v>
      </c>
      <c r="F341" s="134">
        <f t="shared" ca="1" si="15"/>
        <v>3070.6508399999998</v>
      </c>
      <c r="G341" s="135">
        <f>BDI!$B$17</f>
        <v>0.191</v>
      </c>
      <c r="H341" s="136">
        <f t="shared" ca="1" si="16"/>
        <v>48.76</v>
      </c>
      <c r="I341" s="182">
        <f t="shared" ca="1" si="17"/>
        <v>3657</v>
      </c>
      <c r="J341" s="226"/>
      <c r="K341" s="224" t="s">
        <v>8074</v>
      </c>
    </row>
    <row r="342" spans="1:11" s="161" customFormat="1" hidden="1" x14ac:dyDescent="0.25">
      <c r="A342" s="162" t="s">
        <v>651</v>
      </c>
      <c r="B342" s="163" t="s">
        <v>6334</v>
      </c>
      <c r="C342" s="164" t="s">
        <v>92</v>
      </c>
      <c r="D342" s="164">
        <v>75</v>
      </c>
      <c r="E342" s="133">
        <f ca="1">OFFSET(INDEX(Composições!A:J,MATCH(Orçamentária!A342,Composições!A:A,0),8),2,0)</f>
        <v>36.510437199999991</v>
      </c>
      <c r="F342" s="134">
        <f t="shared" ca="1" si="15"/>
        <v>2738.2827899999993</v>
      </c>
      <c r="G342" s="135">
        <f>BDI!$B$17</f>
        <v>0.191</v>
      </c>
      <c r="H342" s="136">
        <f t="shared" ca="1" si="16"/>
        <v>43.48</v>
      </c>
      <c r="I342" s="182">
        <f t="shared" ca="1" si="17"/>
        <v>3261</v>
      </c>
      <c r="J342" s="226"/>
      <c r="K342" s="224" t="s">
        <v>8074</v>
      </c>
    </row>
    <row r="343" spans="1:11" s="161" customFormat="1" hidden="1" x14ac:dyDescent="0.25">
      <c r="A343" s="162" t="s">
        <v>653</v>
      </c>
      <c r="B343" s="163" t="s">
        <v>6335</v>
      </c>
      <c r="C343" s="164" t="s">
        <v>92</v>
      </c>
      <c r="D343" s="164">
        <v>75</v>
      </c>
      <c r="E343" s="133">
        <f ca="1">OFFSET(INDEX(Composições!A:J,MATCH(Orçamentária!A343,Composições!A:A,0),8),2,0)</f>
        <v>30.046874199999998</v>
      </c>
      <c r="F343" s="134">
        <f t="shared" ca="1" si="15"/>
        <v>2253.5155649999997</v>
      </c>
      <c r="G343" s="135">
        <f>BDI!$B$17</f>
        <v>0.191</v>
      </c>
      <c r="H343" s="136">
        <f t="shared" ca="1" si="16"/>
        <v>35.79</v>
      </c>
      <c r="I343" s="182">
        <f t="shared" ca="1" si="17"/>
        <v>2684.25</v>
      </c>
      <c r="J343" s="226"/>
      <c r="K343" s="224" t="s">
        <v>8074</v>
      </c>
    </row>
    <row r="344" spans="1:11" s="161" customFormat="1" hidden="1" x14ac:dyDescent="0.25">
      <c r="A344" s="162" t="s">
        <v>655</v>
      </c>
      <c r="B344" s="163" t="s">
        <v>1772</v>
      </c>
      <c r="C344" s="164" t="s">
        <v>94</v>
      </c>
      <c r="D344" s="164">
        <v>75</v>
      </c>
      <c r="E344" s="133">
        <f ca="1">OFFSET(INDEX(Composições!A:J,MATCH(Orçamentária!A344,Composições!A:A,0),8),2,0)</f>
        <v>37.050200000000004</v>
      </c>
      <c r="F344" s="134">
        <f t="shared" ca="1" si="15"/>
        <v>2778.7650000000003</v>
      </c>
      <c r="G344" s="135">
        <f>BDI!$B$17</f>
        <v>0.191</v>
      </c>
      <c r="H344" s="136">
        <f t="shared" ca="1" si="16"/>
        <v>44.13</v>
      </c>
      <c r="I344" s="182">
        <f t="shared" ca="1" si="17"/>
        <v>3309.75</v>
      </c>
      <c r="J344" s="226"/>
      <c r="K344" s="224" t="s">
        <v>8074</v>
      </c>
    </row>
    <row r="345" spans="1:11" s="161" customFormat="1" hidden="1" x14ac:dyDescent="0.25">
      <c r="A345" s="162" t="s">
        <v>657</v>
      </c>
      <c r="B345" s="163" t="s">
        <v>1773</v>
      </c>
      <c r="C345" s="164" t="s">
        <v>92</v>
      </c>
      <c r="D345" s="164">
        <v>75</v>
      </c>
      <c r="E345" s="133">
        <f ca="1">OFFSET(INDEX(Composições!A:J,MATCH(Orçamentária!A345,Composições!A:A,0),8),2,0)</f>
        <v>105.95772749999999</v>
      </c>
      <c r="F345" s="134">
        <f t="shared" ca="1" si="15"/>
        <v>7946.8295624999992</v>
      </c>
      <c r="G345" s="135">
        <f>BDI!$B$17</f>
        <v>0.191</v>
      </c>
      <c r="H345" s="136">
        <f t="shared" ca="1" si="16"/>
        <v>126.2</v>
      </c>
      <c r="I345" s="182">
        <f t="shared" ca="1" si="17"/>
        <v>9465</v>
      </c>
      <c r="J345" s="226"/>
      <c r="K345" s="224" t="s">
        <v>8074</v>
      </c>
    </row>
    <row r="346" spans="1:11" s="161" customFormat="1" hidden="1" x14ac:dyDescent="0.25">
      <c r="A346" s="162" t="s">
        <v>659</v>
      </c>
      <c r="B346" s="163" t="s">
        <v>1774</v>
      </c>
      <c r="C346" s="164" t="s">
        <v>92</v>
      </c>
      <c r="D346" s="164">
        <v>75</v>
      </c>
      <c r="E346" s="133">
        <f ca="1">OFFSET(INDEX(Composições!A:J,MATCH(Orçamentária!A346,Composições!A:A,0),8),2,0)</f>
        <v>97.540746500000012</v>
      </c>
      <c r="F346" s="134">
        <f t="shared" ca="1" si="15"/>
        <v>7315.5559875000008</v>
      </c>
      <c r="G346" s="135">
        <f>BDI!$B$17</f>
        <v>0.191</v>
      </c>
      <c r="H346" s="136">
        <f t="shared" ca="1" si="16"/>
        <v>116.17</v>
      </c>
      <c r="I346" s="182">
        <f t="shared" ca="1" si="17"/>
        <v>8712.75</v>
      </c>
      <c r="J346" s="226"/>
      <c r="K346" s="224" t="s">
        <v>8074</v>
      </c>
    </row>
    <row r="347" spans="1:11" s="161" customFormat="1" hidden="1" x14ac:dyDescent="0.25">
      <c r="A347" s="162" t="s">
        <v>660</v>
      </c>
      <c r="B347" s="163" t="s">
        <v>1775</v>
      </c>
      <c r="C347" s="164" t="s">
        <v>92</v>
      </c>
      <c r="D347" s="164">
        <v>75</v>
      </c>
      <c r="E347" s="133">
        <f ca="1">OFFSET(INDEX(Composições!A:J,MATCH(Orçamentária!A347,Composições!A:A,0),8),2,0)</f>
        <v>76.770487999999986</v>
      </c>
      <c r="F347" s="134">
        <f t="shared" ca="1" si="15"/>
        <v>5757.7865999999985</v>
      </c>
      <c r="G347" s="135">
        <f>BDI!$B$17</f>
        <v>0.191</v>
      </c>
      <c r="H347" s="136">
        <f t="shared" ca="1" si="16"/>
        <v>91.43</v>
      </c>
      <c r="I347" s="182">
        <f t="shared" ca="1" si="17"/>
        <v>6857.25</v>
      </c>
      <c r="J347" s="226"/>
      <c r="K347" s="224" t="s">
        <v>8074</v>
      </c>
    </row>
    <row r="348" spans="1:11" s="161" customFormat="1" hidden="1" x14ac:dyDescent="0.25">
      <c r="A348" s="162" t="s">
        <v>661</v>
      </c>
      <c r="B348" s="163" t="s">
        <v>1776</v>
      </c>
      <c r="C348" s="164" t="s">
        <v>92</v>
      </c>
      <c r="D348" s="164">
        <v>565</v>
      </c>
      <c r="E348" s="133">
        <f ca="1">OFFSET(INDEX(Composições!A:J,MATCH(Orçamentária!A348,Composições!A:A,0),8),2,0)</f>
        <v>69.653857499999987</v>
      </c>
      <c r="F348" s="134">
        <f t="shared" ca="1" si="15"/>
        <v>39354.429487499991</v>
      </c>
      <c r="G348" s="135">
        <f>BDI!$B$17</f>
        <v>0.191</v>
      </c>
      <c r="H348" s="136">
        <f t="shared" ca="1" si="16"/>
        <v>82.96</v>
      </c>
      <c r="I348" s="182">
        <f t="shared" ca="1" si="17"/>
        <v>46872.4</v>
      </c>
      <c r="J348" s="226"/>
      <c r="K348" s="224" t="s">
        <v>8074</v>
      </c>
    </row>
    <row r="349" spans="1:11" s="161" customFormat="1" hidden="1" x14ac:dyDescent="0.25">
      <c r="A349" s="162" t="s">
        <v>663</v>
      </c>
      <c r="B349" s="163" t="s">
        <v>1777</v>
      </c>
      <c r="C349" s="164" t="s">
        <v>92</v>
      </c>
      <c r="D349" s="164">
        <v>380</v>
      </c>
      <c r="E349" s="133">
        <f ca="1">OFFSET(INDEX(Composições!A:J,MATCH(Orçamentária!A349,Composições!A:A,0),8),2,0)</f>
        <v>45.718444099999992</v>
      </c>
      <c r="F349" s="134">
        <f t="shared" ca="1" si="15"/>
        <v>17373.008757999996</v>
      </c>
      <c r="G349" s="135">
        <f>BDI!$B$17</f>
        <v>0.191</v>
      </c>
      <c r="H349" s="136">
        <f t="shared" ca="1" si="16"/>
        <v>54.45</v>
      </c>
      <c r="I349" s="182">
        <f t="shared" ca="1" si="17"/>
        <v>20691</v>
      </c>
      <c r="J349" s="226"/>
      <c r="K349" s="224" t="s">
        <v>8074</v>
      </c>
    </row>
    <row r="350" spans="1:11" s="161" customFormat="1" hidden="1" x14ac:dyDescent="0.25">
      <c r="A350" s="162" t="s">
        <v>665</v>
      </c>
      <c r="B350" s="163" t="s">
        <v>1778</v>
      </c>
      <c r="C350" s="164" t="s">
        <v>92</v>
      </c>
      <c r="D350" s="164">
        <v>380</v>
      </c>
      <c r="E350" s="133">
        <f ca="1">OFFSET(INDEX(Composições!A:J,MATCH(Orçamentária!A350,Composições!A:A,0),8),2,0)</f>
        <v>22.600489549999999</v>
      </c>
      <c r="F350" s="134">
        <f t="shared" ca="1" si="15"/>
        <v>8588.1860290000004</v>
      </c>
      <c r="G350" s="135">
        <f>BDI!$B$17</f>
        <v>0.191</v>
      </c>
      <c r="H350" s="136">
        <f t="shared" ca="1" si="16"/>
        <v>26.92</v>
      </c>
      <c r="I350" s="182">
        <f t="shared" ca="1" si="17"/>
        <v>10229.6</v>
      </c>
      <c r="J350" s="226"/>
      <c r="K350" s="224" t="s">
        <v>8074</v>
      </c>
    </row>
    <row r="351" spans="1:11" s="161" customFormat="1" hidden="1" x14ac:dyDescent="0.25">
      <c r="A351" s="162" t="s">
        <v>667</v>
      </c>
      <c r="B351" s="163" t="s">
        <v>1779</v>
      </c>
      <c r="C351" s="164" t="s">
        <v>92</v>
      </c>
      <c r="D351" s="164">
        <v>300</v>
      </c>
      <c r="E351" s="133">
        <f ca="1">OFFSET(INDEX(Composições!A:J,MATCH(Orçamentária!A351,Composições!A:A,0),8),2,0)</f>
        <v>67.926601699999992</v>
      </c>
      <c r="F351" s="134">
        <f t="shared" ca="1" si="15"/>
        <v>20377.980509999998</v>
      </c>
      <c r="G351" s="135">
        <f>BDI!$B$17</f>
        <v>0.191</v>
      </c>
      <c r="H351" s="136">
        <f t="shared" ca="1" si="16"/>
        <v>80.900000000000006</v>
      </c>
      <c r="I351" s="182">
        <f t="shared" ca="1" si="17"/>
        <v>24270</v>
      </c>
      <c r="J351" s="226"/>
      <c r="K351" s="224" t="s">
        <v>8074</v>
      </c>
    </row>
    <row r="352" spans="1:11" s="161" customFormat="1" hidden="1" x14ac:dyDescent="0.25">
      <c r="A352" s="162" t="s">
        <v>669</v>
      </c>
      <c r="B352" s="163" t="s">
        <v>1780</v>
      </c>
      <c r="C352" s="164" t="s">
        <v>92</v>
      </c>
      <c r="D352" s="164">
        <v>720</v>
      </c>
      <c r="E352" s="133">
        <f ca="1">OFFSET(INDEX(Composições!A:J,MATCH(Orçamentária!A352,Composições!A:A,0),8),2,0)</f>
        <v>34.072800700000002</v>
      </c>
      <c r="F352" s="134">
        <f t="shared" ca="1" si="15"/>
        <v>24532.416504000001</v>
      </c>
      <c r="G352" s="135">
        <f>BDI!$B$17</f>
        <v>0.191</v>
      </c>
      <c r="H352" s="136">
        <f t="shared" ca="1" si="16"/>
        <v>40.58</v>
      </c>
      <c r="I352" s="182">
        <f t="shared" ca="1" si="17"/>
        <v>29217.599999999999</v>
      </c>
      <c r="J352" s="226"/>
      <c r="K352" s="224" t="s">
        <v>8074</v>
      </c>
    </row>
    <row r="353" spans="1:11" s="161" customFormat="1" hidden="1" x14ac:dyDescent="0.25">
      <c r="A353" s="162" t="s">
        <v>671</v>
      </c>
      <c r="B353" s="163" t="s">
        <v>1781</v>
      </c>
      <c r="C353" s="164" t="s">
        <v>92</v>
      </c>
      <c r="D353" s="164">
        <v>380</v>
      </c>
      <c r="E353" s="133">
        <f ca="1">OFFSET(INDEX(Composições!A:J,MATCH(Orçamentária!A353,Composições!A:A,0),8),2,0)</f>
        <v>56.499471599999993</v>
      </c>
      <c r="F353" s="134">
        <f t="shared" ca="1" si="15"/>
        <v>21469.799207999997</v>
      </c>
      <c r="G353" s="135">
        <f>BDI!$B$17</f>
        <v>0.191</v>
      </c>
      <c r="H353" s="136">
        <f t="shared" ca="1" si="16"/>
        <v>67.290000000000006</v>
      </c>
      <c r="I353" s="182">
        <f t="shared" ca="1" si="17"/>
        <v>25570.2</v>
      </c>
      <c r="J353" s="226"/>
      <c r="K353" s="224" t="s">
        <v>8074</v>
      </c>
    </row>
    <row r="354" spans="1:11" s="161" customFormat="1" hidden="1" x14ac:dyDescent="0.25">
      <c r="A354" s="162" t="s">
        <v>673</v>
      </c>
      <c r="B354" s="163" t="s">
        <v>1782</v>
      </c>
      <c r="C354" s="164" t="s">
        <v>92</v>
      </c>
      <c r="D354" s="164">
        <v>75</v>
      </c>
      <c r="E354" s="133">
        <f ca="1">OFFSET(INDEX(Composições!A:J,MATCH(Orçamentária!A354,Composições!A:A,0),8),2,0)</f>
        <v>49.243534999999987</v>
      </c>
      <c r="F354" s="134">
        <f t="shared" ca="1" si="15"/>
        <v>3693.265124999999</v>
      </c>
      <c r="G354" s="135">
        <f>BDI!$B$17</f>
        <v>0.191</v>
      </c>
      <c r="H354" s="136">
        <f t="shared" ca="1" si="16"/>
        <v>58.65</v>
      </c>
      <c r="I354" s="182">
        <f t="shared" ca="1" si="17"/>
        <v>4398.75</v>
      </c>
      <c r="J354" s="226"/>
      <c r="K354" s="224" t="s">
        <v>8074</v>
      </c>
    </row>
    <row r="355" spans="1:11" s="161" customFormat="1" hidden="1" x14ac:dyDescent="0.25">
      <c r="A355" s="162" t="s">
        <v>675</v>
      </c>
      <c r="B355" s="163" t="s">
        <v>1783</v>
      </c>
      <c r="C355" s="164" t="s">
        <v>92</v>
      </c>
      <c r="D355" s="164">
        <v>25</v>
      </c>
      <c r="E355" s="133">
        <f ca="1">OFFSET(INDEX(Composições!A:J,MATCH(Orçamentária!A355,Composições!A:A,0),8),2,0)</f>
        <v>49.243534999999987</v>
      </c>
      <c r="F355" s="134">
        <f t="shared" ca="1" si="15"/>
        <v>1231.0883749999996</v>
      </c>
      <c r="G355" s="135">
        <f>BDI!$B$17</f>
        <v>0.191</v>
      </c>
      <c r="H355" s="136">
        <f t="shared" ca="1" si="16"/>
        <v>58.65</v>
      </c>
      <c r="I355" s="182">
        <f t="shared" ca="1" si="17"/>
        <v>1466.25</v>
      </c>
      <c r="J355" s="226"/>
      <c r="K355" s="224" t="s">
        <v>8074</v>
      </c>
    </row>
    <row r="356" spans="1:11" s="161" customFormat="1" hidden="1" x14ac:dyDescent="0.25">
      <c r="A356" s="162" t="s">
        <v>677</v>
      </c>
      <c r="B356" s="163" t="s">
        <v>1784</v>
      </c>
      <c r="C356" s="164" t="s">
        <v>92</v>
      </c>
      <c r="D356" s="164">
        <v>45</v>
      </c>
      <c r="E356" s="133">
        <f ca="1">OFFSET(INDEX(Composições!A:J,MATCH(Orçamentária!A356,Composições!A:A,0),8),2,0)</f>
        <v>61.989926299999986</v>
      </c>
      <c r="F356" s="134">
        <f t="shared" ca="1" si="15"/>
        <v>2789.5466834999993</v>
      </c>
      <c r="G356" s="135">
        <f>BDI!$B$17</f>
        <v>0.191</v>
      </c>
      <c r="H356" s="136">
        <f t="shared" ca="1" si="16"/>
        <v>73.83</v>
      </c>
      <c r="I356" s="182">
        <f t="shared" ca="1" si="17"/>
        <v>3322.35</v>
      </c>
      <c r="J356" s="226"/>
      <c r="K356" s="224" t="s">
        <v>8074</v>
      </c>
    </row>
    <row r="357" spans="1:11" s="161" customFormat="1" hidden="1" x14ac:dyDescent="0.25">
      <c r="A357" s="162" t="s">
        <v>1785</v>
      </c>
      <c r="B357" s="163" t="s">
        <v>1786</v>
      </c>
      <c r="C357" s="164" t="s">
        <v>94</v>
      </c>
      <c r="D357" s="164">
        <v>400</v>
      </c>
      <c r="E357" s="180">
        <v>620.86</v>
      </c>
      <c r="F357" s="134">
        <f t="shared" si="15"/>
        <v>248344</v>
      </c>
      <c r="G357" s="135">
        <v>0</v>
      </c>
      <c r="H357" s="136">
        <f t="shared" si="16"/>
        <v>620.86</v>
      </c>
      <c r="I357" s="182">
        <f t="shared" si="17"/>
        <v>248344</v>
      </c>
      <c r="J357" s="226"/>
      <c r="K357" s="224" t="s">
        <v>8077</v>
      </c>
    </row>
    <row r="358" spans="1:11" s="161" customFormat="1" hidden="1" x14ac:dyDescent="0.25">
      <c r="A358" s="162" t="s">
        <v>1787</v>
      </c>
      <c r="B358" s="163" t="s">
        <v>6268</v>
      </c>
      <c r="C358" s="164" t="s">
        <v>94</v>
      </c>
      <c r="D358" s="164">
        <v>180</v>
      </c>
      <c r="E358" s="180">
        <v>804.12</v>
      </c>
      <c r="F358" s="134">
        <f t="shared" si="15"/>
        <v>144741.6</v>
      </c>
      <c r="G358" s="135">
        <v>0</v>
      </c>
      <c r="H358" s="136">
        <f t="shared" si="16"/>
        <v>804.12</v>
      </c>
      <c r="I358" s="182">
        <f t="shared" si="17"/>
        <v>144741.6</v>
      </c>
      <c r="J358" s="226"/>
      <c r="K358" s="224" t="s">
        <v>8077</v>
      </c>
    </row>
    <row r="359" spans="1:11" s="161" customFormat="1" hidden="1" x14ac:dyDescent="0.25">
      <c r="A359" s="162" t="s">
        <v>679</v>
      </c>
      <c r="B359" s="163" t="s">
        <v>1788</v>
      </c>
      <c r="C359" s="164" t="s">
        <v>94</v>
      </c>
      <c r="D359" s="164">
        <v>180</v>
      </c>
      <c r="E359" s="133">
        <f ca="1">OFFSET(INDEX(Composições!A:J,MATCH(Orçamentária!A359,Composições!A:A,0),8),2,0)</f>
        <v>103.40369999999999</v>
      </c>
      <c r="F359" s="134">
        <f t="shared" ca="1" si="15"/>
        <v>18612.665999999997</v>
      </c>
      <c r="G359" s="135">
        <f>BDI!$B$17</f>
        <v>0.191</v>
      </c>
      <c r="H359" s="136">
        <f t="shared" ca="1" si="16"/>
        <v>123.15</v>
      </c>
      <c r="I359" s="182">
        <f t="shared" ca="1" si="17"/>
        <v>22167</v>
      </c>
      <c r="J359" s="226"/>
      <c r="K359" s="224" t="s">
        <v>8074</v>
      </c>
    </row>
    <row r="360" spans="1:11" s="161" customFormat="1" hidden="1" x14ac:dyDescent="0.25">
      <c r="A360" s="162" t="s">
        <v>680</v>
      </c>
      <c r="B360" s="163" t="s">
        <v>1789</v>
      </c>
      <c r="C360" s="164" t="s">
        <v>94</v>
      </c>
      <c r="D360" s="164">
        <v>20</v>
      </c>
      <c r="E360" s="133">
        <f ca="1">OFFSET(INDEX(Composições!A:J,MATCH(Orçamentária!A360,Composições!A:A,0),8),2,0)</f>
        <v>214.71614999999997</v>
      </c>
      <c r="F360" s="134">
        <f t="shared" ca="1" si="15"/>
        <v>4294.3229999999994</v>
      </c>
      <c r="G360" s="135">
        <f>BDI!$B$17</f>
        <v>0.191</v>
      </c>
      <c r="H360" s="136">
        <f t="shared" ca="1" si="16"/>
        <v>255.73</v>
      </c>
      <c r="I360" s="182">
        <f t="shared" ca="1" si="17"/>
        <v>5114.6000000000004</v>
      </c>
      <c r="J360" s="226"/>
      <c r="K360" s="224" t="s">
        <v>8077</v>
      </c>
    </row>
    <row r="361" spans="1:11" s="161" customFormat="1" hidden="1" x14ac:dyDescent="0.25">
      <c r="A361" s="162" t="s">
        <v>683</v>
      </c>
      <c r="B361" s="163" t="s">
        <v>6637</v>
      </c>
      <c r="C361" s="164" t="s">
        <v>94</v>
      </c>
      <c r="D361" s="164">
        <v>40</v>
      </c>
      <c r="E361" s="133">
        <f ca="1">OFFSET(INDEX(Composições!A:J,MATCH(Orçamentária!A361,Composições!A:A,0),8),2,0)</f>
        <v>267.46980000000002</v>
      </c>
      <c r="F361" s="134">
        <f t="shared" ca="1" si="15"/>
        <v>10698.792000000001</v>
      </c>
      <c r="G361" s="135">
        <f>BDI!$B$17</f>
        <v>0.191</v>
      </c>
      <c r="H361" s="136">
        <f t="shared" ca="1" si="16"/>
        <v>318.56</v>
      </c>
      <c r="I361" s="182">
        <f t="shared" ca="1" si="17"/>
        <v>12742.4</v>
      </c>
      <c r="J361" s="226"/>
      <c r="K361" s="224" t="s">
        <v>8077</v>
      </c>
    </row>
    <row r="362" spans="1:11" s="161" customFormat="1" hidden="1" x14ac:dyDescent="0.25">
      <c r="A362" s="162" t="s">
        <v>684</v>
      </c>
      <c r="B362" s="163" t="s">
        <v>6236</v>
      </c>
      <c r="C362" s="164" t="s">
        <v>94</v>
      </c>
      <c r="D362" s="164">
        <v>45</v>
      </c>
      <c r="E362" s="133">
        <f ca="1">OFFSET(INDEX(Composições!A:J,MATCH(Orçamentária!A362,Composições!A:A,0),8),2,0)</f>
        <v>170.30459999999999</v>
      </c>
      <c r="F362" s="134">
        <f t="shared" ca="1" si="15"/>
        <v>7663.7069999999994</v>
      </c>
      <c r="G362" s="135">
        <f>BDI!$B$17</f>
        <v>0.191</v>
      </c>
      <c r="H362" s="136">
        <f t="shared" ca="1" si="16"/>
        <v>202.83</v>
      </c>
      <c r="I362" s="182">
        <f t="shared" ca="1" si="17"/>
        <v>9127.35</v>
      </c>
      <c r="J362" s="226"/>
      <c r="K362" s="224" t="s">
        <v>8077</v>
      </c>
    </row>
    <row r="363" spans="1:11" hidden="1" x14ac:dyDescent="0.25">
      <c r="A363" s="112" t="s">
        <v>685</v>
      </c>
      <c r="B363" s="113" t="s">
        <v>1790</v>
      </c>
      <c r="C363" s="114" t="s">
        <v>20</v>
      </c>
      <c r="D363" s="114">
        <v>0</v>
      </c>
      <c r="E363" s="133">
        <f ca="1">OFFSET(INDEX(Composições!A:J,MATCH(Orçamentária!A363,Composições!A:A,0),8),2,0)</f>
        <v>42.825999999999993</v>
      </c>
      <c r="F363" s="134">
        <f t="shared" ca="1" si="15"/>
        <v>0</v>
      </c>
      <c r="G363" s="135" t="e">
        <f>IF(A363&lt;&gt;"",IF(AND(#REF!="Padrão",$H$4=#REF!),BDI!$B$17,IF(AND(#REF!="Padrão",$H$4=#REF!),BDI!#REF!,IF(AND(#REF!="Diferenciado",$H$4=#REF!),BDI!$E$17,IF(AND(#REF!="Diferenciado",$H$4=#REF!),BDI!#REF!,IF(#REF!="ZERO",0))))),"")</f>
        <v>#REF!</v>
      </c>
      <c r="H363" s="136" t="e">
        <f t="shared" ca="1" si="16"/>
        <v>#REF!</v>
      </c>
      <c r="I363" s="134" t="e">
        <f t="shared" ca="1" si="17"/>
        <v>#REF!</v>
      </c>
      <c r="J363" s="226"/>
    </row>
    <row r="364" spans="1:11" s="161" customFormat="1" hidden="1" x14ac:dyDescent="0.25">
      <c r="A364" s="162" t="s">
        <v>687</v>
      </c>
      <c r="B364" s="163" t="s">
        <v>3533</v>
      </c>
      <c r="C364" s="164" t="s">
        <v>20</v>
      </c>
      <c r="D364" s="164">
        <v>75</v>
      </c>
      <c r="E364" s="133">
        <f ca="1">OFFSET(INDEX(Composições!A:J,MATCH(Orçamentária!A364,Composições!A:A,0),8),2,0)</f>
        <v>323.75482325000002</v>
      </c>
      <c r="F364" s="134">
        <f t="shared" ca="1" si="15"/>
        <v>24281.61174375</v>
      </c>
      <c r="G364" s="135">
        <f>BDI!$B$17</f>
        <v>0.191</v>
      </c>
      <c r="H364" s="136">
        <f t="shared" ca="1" si="16"/>
        <v>385.59</v>
      </c>
      <c r="I364" s="182">
        <f t="shared" ca="1" si="17"/>
        <v>28919.25</v>
      </c>
      <c r="J364" s="226"/>
      <c r="K364" s="224" t="s">
        <v>8074</v>
      </c>
    </row>
    <row r="365" spans="1:11" s="161" customFormat="1" hidden="1" x14ac:dyDescent="0.25">
      <c r="A365" s="162" t="s">
        <v>689</v>
      </c>
      <c r="B365" s="163" t="s">
        <v>1791</v>
      </c>
      <c r="C365" s="164" t="s">
        <v>94</v>
      </c>
      <c r="D365" s="164">
        <v>5</v>
      </c>
      <c r="E365" s="133">
        <f ca="1">OFFSET(INDEX(Composições!A:J,MATCH(Orçamentária!A365,Composições!A:A,0),8),2,0)</f>
        <v>136.92574999999999</v>
      </c>
      <c r="F365" s="134">
        <f t="shared" ca="1" si="15"/>
        <v>684.62874999999997</v>
      </c>
      <c r="G365" s="135">
        <f>BDI!$B$17</f>
        <v>0.191</v>
      </c>
      <c r="H365" s="136">
        <f t="shared" ca="1" si="16"/>
        <v>163.08000000000001</v>
      </c>
      <c r="I365" s="182">
        <f t="shared" ca="1" si="17"/>
        <v>815.4</v>
      </c>
      <c r="J365" s="226"/>
      <c r="K365" s="224" t="s">
        <v>8074</v>
      </c>
    </row>
    <row r="366" spans="1:11" s="161" customFormat="1" hidden="1" x14ac:dyDescent="0.25">
      <c r="A366" s="162" t="s">
        <v>691</v>
      </c>
      <c r="B366" s="163" t="s">
        <v>3524</v>
      </c>
      <c r="C366" s="164" t="s">
        <v>20</v>
      </c>
      <c r="D366" s="164">
        <v>20</v>
      </c>
      <c r="E366" s="133">
        <f ca="1">OFFSET(INDEX(Composições!A:J,MATCH(Orçamentária!A366,Composições!A:A,0),8),2,0)</f>
        <v>315.24184359999992</v>
      </c>
      <c r="F366" s="134">
        <f t="shared" ca="1" si="15"/>
        <v>6304.836871999998</v>
      </c>
      <c r="G366" s="135">
        <f>BDI!$B$17</f>
        <v>0.191</v>
      </c>
      <c r="H366" s="136">
        <f t="shared" ca="1" si="16"/>
        <v>375.45</v>
      </c>
      <c r="I366" s="182">
        <f t="shared" ca="1" si="17"/>
        <v>7509</v>
      </c>
      <c r="J366" s="226"/>
      <c r="K366" s="224" t="s">
        <v>8074</v>
      </c>
    </row>
    <row r="367" spans="1:11" s="161" customFormat="1" hidden="1" x14ac:dyDescent="0.25">
      <c r="A367" s="162" t="s">
        <v>697</v>
      </c>
      <c r="B367" s="163" t="s">
        <v>3525</v>
      </c>
      <c r="C367" s="164" t="s">
        <v>20</v>
      </c>
      <c r="D367" s="164">
        <v>30</v>
      </c>
      <c r="E367" s="133">
        <f ca="1">OFFSET(INDEX(Composições!A:J,MATCH(Orçamentária!A367,Composições!A:A,0),8),2,0)</f>
        <v>330.83022644999994</v>
      </c>
      <c r="F367" s="134">
        <f t="shared" ca="1" si="15"/>
        <v>9924.9067934999985</v>
      </c>
      <c r="G367" s="135">
        <f>BDI!$B$17</f>
        <v>0.191</v>
      </c>
      <c r="H367" s="136">
        <f t="shared" ca="1" si="16"/>
        <v>394.02</v>
      </c>
      <c r="I367" s="182">
        <f t="shared" ca="1" si="17"/>
        <v>11820.6</v>
      </c>
      <c r="J367" s="226"/>
      <c r="K367" s="224" t="s">
        <v>8074</v>
      </c>
    </row>
    <row r="368" spans="1:11" s="161" customFormat="1" hidden="1" x14ac:dyDescent="0.25">
      <c r="A368" s="162" t="s">
        <v>698</v>
      </c>
      <c r="B368" s="163" t="s">
        <v>3526</v>
      </c>
      <c r="C368" s="164" t="s">
        <v>20</v>
      </c>
      <c r="D368" s="164">
        <v>40</v>
      </c>
      <c r="E368" s="133">
        <f ca="1">OFFSET(INDEX(Composições!A:J,MATCH(Orçamentária!A368,Composições!A:A,0),8),2,0)</f>
        <v>398.01063104999997</v>
      </c>
      <c r="F368" s="134">
        <f t="shared" ca="1" si="15"/>
        <v>15920.425241999999</v>
      </c>
      <c r="G368" s="135">
        <f>BDI!$B$17</f>
        <v>0.191</v>
      </c>
      <c r="H368" s="136">
        <f t="shared" ca="1" si="16"/>
        <v>474.03</v>
      </c>
      <c r="I368" s="182">
        <f t="shared" ca="1" si="17"/>
        <v>18961.2</v>
      </c>
      <c r="J368" s="226"/>
      <c r="K368" s="224" t="s">
        <v>8074</v>
      </c>
    </row>
    <row r="369" spans="1:11" s="161" customFormat="1" hidden="1" x14ac:dyDescent="0.25">
      <c r="A369" s="162" t="s">
        <v>699</v>
      </c>
      <c r="B369" s="163" t="s">
        <v>3527</v>
      </c>
      <c r="C369" s="164" t="s">
        <v>20</v>
      </c>
      <c r="D369" s="164">
        <v>15</v>
      </c>
      <c r="E369" s="133">
        <f ca="1">OFFSET(INDEX(Composições!A:J,MATCH(Orçamentária!A369,Composições!A:A,0),8),2,0)</f>
        <v>451.48760265000004</v>
      </c>
      <c r="F369" s="134">
        <f t="shared" ca="1" si="15"/>
        <v>6772.314039750001</v>
      </c>
      <c r="G369" s="135">
        <f>BDI!$B$17</f>
        <v>0.191</v>
      </c>
      <c r="H369" s="136">
        <f t="shared" ca="1" si="16"/>
        <v>537.72</v>
      </c>
      <c r="I369" s="182">
        <f t="shared" ca="1" si="17"/>
        <v>8065.8</v>
      </c>
      <c r="J369" s="226"/>
      <c r="K369" s="224" t="s">
        <v>8074</v>
      </c>
    </row>
    <row r="370" spans="1:11" s="161" customFormat="1" hidden="1" x14ac:dyDescent="0.25">
      <c r="A370" s="162" t="s">
        <v>700</v>
      </c>
      <c r="B370" s="163" t="s">
        <v>3528</v>
      </c>
      <c r="C370" s="164" t="s">
        <v>20</v>
      </c>
      <c r="D370" s="164">
        <v>10</v>
      </c>
      <c r="E370" s="133">
        <f ca="1">OFFSET(INDEX(Composições!A:J,MATCH(Orçamentária!A370,Composições!A:A,0),8),2,0)</f>
        <v>483.95594964999998</v>
      </c>
      <c r="F370" s="134">
        <f t="shared" ca="1" si="15"/>
        <v>4839.5594965</v>
      </c>
      <c r="G370" s="135">
        <f>BDI!$B$17</f>
        <v>0.191</v>
      </c>
      <c r="H370" s="136">
        <f t="shared" ca="1" si="16"/>
        <v>576.39</v>
      </c>
      <c r="I370" s="182">
        <f t="shared" ca="1" si="17"/>
        <v>5763.9</v>
      </c>
      <c r="J370" s="226"/>
      <c r="K370" s="224" t="s">
        <v>8074</v>
      </c>
    </row>
    <row r="371" spans="1:11" s="161" customFormat="1" hidden="1" x14ac:dyDescent="0.25">
      <c r="A371" s="162" t="s">
        <v>701</v>
      </c>
      <c r="B371" s="163" t="s">
        <v>1792</v>
      </c>
      <c r="C371" s="164" t="s">
        <v>20</v>
      </c>
      <c r="D371" s="164">
        <v>25</v>
      </c>
      <c r="E371" s="133">
        <f ca="1">OFFSET(INDEX(Composições!A:J,MATCH(Orçamentária!A371,Composições!A:A,0),8),2,0)</f>
        <v>90.601936999999992</v>
      </c>
      <c r="F371" s="134">
        <f t="shared" ca="1" si="15"/>
        <v>2265.048425</v>
      </c>
      <c r="G371" s="135">
        <f>BDI!$B$17</f>
        <v>0.191</v>
      </c>
      <c r="H371" s="136">
        <f t="shared" ca="1" si="16"/>
        <v>107.91</v>
      </c>
      <c r="I371" s="182">
        <f t="shared" ca="1" si="17"/>
        <v>2697.75</v>
      </c>
      <c r="J371" s="226"/>
      <c r="K371" s="224" t="s">
        <v>8074</v>
      </c>
    </row>
    <row r="372" spans="1:11" s="161" customFormat="1" hidden="1" x14ac:dyDescent="0.25">
      <c r="A372" s="162" t="s">
        <v>702</v>
      </c>
      <c r="B372" s="163" t="s">
        <v>1793</v>
      </c>
      <c r="C372" s="164" t="s">
        <v>20</v>
      </c>
      <c r="D372" s="164">
        <v>30</v>
      </c>
      <c r="E372" s="133">
        <f ca="1">OFFSET(INDEX(Composições!A:J,MATCH(Orçamentária!A372,Composições!A:A,0),8),2,0)</f>
        <v>65.939015500000011</v>
      </c>
      <c r="F372" s="134">
        <f t="shared" ca="1" si="15"/>
        <v>1978.1704650000004</v>
      </c>
      <c r="G372" s="135">
        <f>BDI!$B$17</f>
        <v>0.191</v>
      </c>
      <c r="H372" s="136">
        <f t="shared" ca="1" si="16"/>
        <v>78.53</v>
      </c>
      <c r="I372" s="182">
        <f t="shared" ca="1" si="17"/>
        <v>2355.9</v>
      </c>
      <c r="J372" s="226"/>
      <c r="K372" s="224" t="s">
        <v>8074</v>
      </c>
    </row>
    <row r="373" spans="1:11" s="161" customFormat="1" hidden="1" x14ac:dyDescent="0.25">
      <c r="A373" s="162" t="s">
        <v>704</v>
      </c>
      <c r="B373" s="163" t="s">
        <v>1794</v>
      </c>
      <c r="C373" s="164" t="s">
        <v>20</v>
      </c>
      <c r="D373" s="164">
        <v>360</v>
      </c>
      <c r="E373" s="133">
        <f ca="1">OFFSET(INDEX(Composições!A:J,MATCH(Orçamentária!A373,Composições!A:A,0),8),2,0)</f>
        <v>52.746261000000004</v>
      </c>
      <c r="F373" s="134">
        <f t="shared" ca="1" si="15"/>
        <v>18988.653960000003</v>
      </c>
      <c r="G373" s="135">
        <f>BDI!$B$17</f>
        <v>0.191</v>
      </c>
      <c r="H373" s="136">
        <f t="shared" ca="1" si="16"/>
        <v>62.82</v>
      </c>
      <c r="I373" s="182">
        <f t="shared" ca="1" si="17"/>
        <v>22615.200000000001</v>
      </c>
      <c r="J373" s="226"/>
      <c r="K373" s="224" t="s">
        <v>8074</v>
      </c>
    </row>
    <row r="374" spans="1:11" s="161" customFormat="1" hidden="1" x14ac:dyDescent="0.25">
      <c r="A374" s="162" t="s">
        <v>705</v>
      </c>
      <c r="B374" s="163" t="s">
        <v>1795</v>
      </c>
      <c r="C374" s="164" t="s">
        <v>20</v>
      </c>
      <c r="D374" s="164">
        <v>15</v>
      </c>
      <c r="E374" s="133">
        <f ca="1">OFFSET(INDEX(Composições!A:J,MATCH(Orçamentária!A374,Composições!A:A,0),8),2,0)</f>
        <v>172.39771100000002</v>
      </c>
      <c r="F374" s="134">
        <f t="shared" ca="1" si="15"/>
        <v>2585.9656650000002</v>
      </c>
      <c r="G374" s="135">
        <f>BDI!$B$17</f>
        <v>0.191</v>
      </c>
      <c r="H374" s="136">
        <f t="shared" ca="1" si="16"/>
        <v>205.33</v>
      </c>
      <c r="I374" s="182">
        <f t="shared" ca="1" si="17"/>
        <v>3079.95</v>
      </c>
      <c r="J374" s="226"/>
      <c r="K374" s="224" t="s">
        <v>8074</v>
      </c>
    </row>
    <row r="375" spans="1:11" s="161" customFormat="1" hidden="1" x14ac:dyDescent="0.25">
      <c r="A375" s="162" t="s">
        <v>707</v>
      </c>
      <c r="B375" s="163" t="s">
        <v>1796</v>
      </c>
      <c r="C375" s="164" t="s">
        <v>20</v>
      </c>
      <c r="D375" s="164">
        <v>20</v>
      </c>
      <c r="E375" s="133">
        <f ca="1">OFFSET(INDEX(Composições!A:J,MATCH(Orçamentária!A375,Composições!A:A,0),8),2,0)</f>
        <v>196.76290449999999</v>
      </c>
      <c r="F375" s="134">
        <f t="shared" ca="1" si="15"/>
        <v>3935.2580899999998</v>
      </c>
      <c r="G375" s="135">
        <f>BDI!$B$17</f>
        <v>0.191</v>
      </c>
      <c r="H375" s="136">
        <f t="shared" ca="1" si="16"/>
        <v>234.34</v>
      </c>
      <c r="I375" s="182">
        <f t="shared" ca="1" si="17"/>
        <v>4686.8</v>
      </c>
      <c r="J375" s="226"/>
      <c r="K375" s="224" t="s">
        <v>8074</v>
      </c>
    </row>
    <row r="376" spans="1:11" s="161" customFormat="1" hidden="1" x14ac:dyDescent="0.25">
      <c r="A376" s="162" t="s">
        <v>709</v>
      </c>
      <c r="B376" s="163" t="s">
        <v>1797</v>
      </c>
      <c r="C376" s="164" t="s">
        <v>20</v>
      </c>
      <c r="D376" s="164">
        <v>145</v>
      </c>
      <c r="E376" s="133">
        <f ca="1">OFFSET(INDEX(Composições!A:J,MATCH(Orçamentária!A376,Composições!A:A,0),8),2,0)</f>
        <v>929.41290449999997</v>
      </c>
      <c r="F376" s="134">
        <f t="shared" ca="1" si="15"/>
        <v>134764.87115249998</v>
      </c>
      <c r="G376" s="135">
        <f>BDI!$B$17</f>
        <v>0.191</v>
      </c>
      <c r="H376" s="136">
        <f t="shared" ca="1" si="16"/>
        <v>1106.93</v>
      </c>
      <c r="I376" s="182">
        <f t="shared" ca="1" si="17"/>
        <v>160504.85</v>
      </c>
      <c r="J376" s="226"/>
      <c r="K376" s="224" t="s">
        <v>8074</v>
      </c>
    </row>
    <row r="377" spans="1:11" s="161" customFormat="1" hidden="1" x14ac:dyDescent="0.25">
      <c r="A377" s="162" t="s">
        <v>711</v>
      </c>
      <c r="B377" s="163" t="s">
        <v>1798</v>
      </c>
      <c r="C377" s="164" t="s">
        <v>20</v>
      </c>
      <c r="D377" s="164">
        <v>25</v>
      </c>
      <c r="E377" s="133">
        <f ca="1">OFFSET(INDEX(Composições!A:J,MATCH(Orçamentária!A377,Composições!A:A,0),8),2,0)</f>
        <v>32.8929045</v>
      </c>
      <c r="F377" s="134">
        <f t="shared" ca="1" si="15"/>
        <v>822.32261249999999</v>
      </c>
      <c r="G377" s="135">
        <f>BDI!$B$17</f>
        <v>0.191</v>
      </c>
      <c r="H377" s="136">
        <f t="shared" ca="1" si="16"/>
        <v>39.18</v>
      </c>
      <c r="I377" s="182">
        <f t="shared" ca="1" si="17"/>
        <v>979.5</v>
      </c>
      <c r="J377" s="226"/>
      <c r="K377" s="224" t="s">
        <v>8074</v>
      </c>
    </row>
    <row r="378" spans="1:11" s="161" customFormat="1" hidden="1" x14ac:dyDescent="0.25">
      <c r="A378" s="162" t="s">
        <v>712</v>
      </c>
      <c r="B378" s="163" t="s">
        <v>1799</v>
      </c>
      <c r="C378" s="164" t="s">
        <v>20</v>
      </c>
      <c r="D378" s="164">
        <v>20</v>
      </c>
      <c r="E378" s="133">
        <f ca="1">OFFSET(INDEX(Composições!A:J,MATCH(Orçamentária!A378,Composições!A:A,0),8),2,0)</f>
        <v>291.24200000000002</v>
      </c>
      <c r="F378" s="134">
        <f t="shared" ca="1" si="15"/>
        <v>5824.84</v>
      </c>
      <c r="G378" s="135">
        <f>BDI!$B$17</f>
        <v>0.191</v>
      </c>
      <c r="H378" s="136">
        <f t="shared" ca="1" si="16"/>
        <v>346.87</v>
      </c>
      <c r="I378" s="182">
        <f t="shared" ca="1" si="17"/>
        <v>6937.4</v>
      </c>
      <c r="J378" s="226"/>
      <c r="K378" s="224" t="s">
        <v>8074</v>
      </c>
    </row>
    <row r="379" spans="1:11" s="161" customFormat="1" hidden="1" x14ac:dyDescent="0.25">
      <c r="A379" s="162" t="s">
        <v>714</v>
      </c>
      <c r="B379" s="163" t="s">
        <v>1800</v>
      </c>
      <c r="C379" s="164" t="s">
        <v>20</v>
      </c>
      <c r="D379" s="164">
        <v>20</v>
      </c>
      <c r="E379" s="133">
        <f ca="1">OFFSET(INDEX(Composições!A:J,MATCH(Orçamentária!A379,Composições!A:A,0),8),2,0)</f>
        <v>79.566000000000003</v>
      </c>
      <c r="F379" s="134">
        <f t="shared" ca="1" si="15"/>
        <v>1591.3200000000002</v>
      </c>
      <c r="G379" s="135">
        <f>BDI!$B$17</f>
        <v>0.191</v>
      </c>
      <c r="H379" s="136">
        <f t="shared" ca="1" si="16"/>
        <v>94.76</v>
      </c>
      <c r="I379" s="182">
        <f t="shared" ca="1" si="17"/>
        <v>1895.2</v>
      </c>
      <c r="J379" s="226"/>
      <c r="K379" s="224" t="s">
        <v>8074</v>
      </c>
    </row>
    <row r="380" spans="1:11" s="161" customFormat="1" hidden="1" x14ac:dyDescent="0.25">
      <c r="A380" s="162" t="s">
        <v>716</v>
      </c>
      <c r="B380" s="163" t="s">
        <v>1801</v>
      </c>
      <c r="C380" s="164" t="s">
        <v>92</v>
      </c>
      <c r="D380" s="164">
        <v>15000</v>
      </c>
      <c r="E380" s="133">
        <f ca="1">OFFSET(INDEX(Composições!A:J,MATCH(Orçamentária!A380,Composições!A:A,0),8),2,0)</f>
        <v>7.6952540000000003</v>
      </c>
      <c r="F380" s="134">
        <f t="shared" ca="1" si="15"/>
        <v>115428.81</v>
      </c>
      <c r="G380" s="135">
        <f>BDI!$B$17</f>
        <v>0.191</v>
      </c>
      <c r="H380" s="136">
        <f t="shared" ca="1" si="16"/>
        <v>9.17</v>
      </c>
      <c r="I380" s="182">
        <f t="shared" ca="1" si="17"/>
        <v>137550</v>
      </c>
      <c r="J380" s="226"/>
      <c r="K380" s="224" t="s">
        <v>8074</v>
      </c>
    </row>
    <row r="381" spans="1:11" s="161" customFormat="1" hidden="1" x14ac:dyDescent="0.25">
      <c r="A381" s="162" t="s">
        <v>718</v>
      </c>
      <c r="B381" s="163" t="s">
        <v>1802</v>
      </c>
      <c r="C381" s="164" t="s">
        <v>20</v>
      </c>
      <c r="D381" s="164">
        <v>500</v>
      </c>
      <c r="E381" s="133">
        <f ca="1">OFFSET(INDEX(Composições!A:J,MATCH(Orçamentária!A381,Composições!A:A,0),8),2,0)</f>
        <v>81.644481999999996</v>
      </c>
      <c r="F381" s="134">
        <f t="shared" ca="1" si="15"/>
        <v>40822.241000000002</v>
      </c>
      <c r="G381" s="135">
        <f>BDI!$B$17</f>
        <v>0.191</v>
      </c>
      <c r="H381" s="136">
        <f t="shared" ca="1" si="16"/>
        <v>97.24</v>
      </c>
      <c r="I381" s="182">
        <f t="shared" ca="1" si="17"/>
        <v>48620</v>
      </c>
      <c r="J381" s="226"/>
      <c r="K381" s="224" t="s">
        <v>8074</v>
      </c>
    </row>
    <row r="382" spans="1:11" s="161" customFormat="1" hidden="1" x14ac:dyDescent="0.25">
      <c r="A382" s="162" t="s">
        <v>722</v>
      </c>
      <c r="B382" s="163" t="s">
        <v>1803</v>
      </c>
      <c r="C382" s="164" t="s">
        <v>20</v>
      </c>
      <c r="D382" s="164">
        <v>25</v>
      </c>
      <c r="E382" s="133">
        <f ca="1">OFFSET(INDEX(Composições!A:J,MATCH(Orçamentária!A382,Composições!A:A,0),8),2,0)</f>
        <v>2212.7921884999996</v>
      </c>
      <c r="F382" s="134">
        <f t="shared" ca="1" si="15"/>
        <v>55319.804712499987</v>
      </c>
      <c r="G382" s="135">
        <f>BDI!$B$17</f>
        <v>0.191</v>
      </c>
      <c r="H382" s="136">
        <f t="shared" ca="1" si="16"/>
        <v>2635.44</v>
      </c>
      <c r="I382" s="182">
        <f t="shared" ca="1" si="17"/>
        <v>65886</v>
      </c>
      <c r="J382" s="226"/>
      <c r="K382" s="224" t="s">
        <v>8074</v>
      </c>
    </row>
    <row r="383" spans="1:11" s="161" customFormat="1" hidden="1" x14ac:dyDescent="0.25">
      <c r="A383" s="162" t="s">
        <v>724</v>
      </c>
      <c r="B383" s="163" t="s">
        <v>1804</v>
      </c>
      <c r="C383" s="164" t="s">
        <v>92</v>
      </c>
      <c r="D383" s="164">
        <v>9000</v>
      </c>
      <c r="E383" s="133">
        <f ca="1">OFFSET(INDEX(Composições!A:J,MATCH(Orçamentária!A383,Composições!A:A,0),8),2,0)</f>
        <v>4.1427505</v>
      </c>
      <c r="F383" s="134">
        <f t="shared" ca="1" si="15"/>
        <v>37284.754500000003</v>
      </c>
      <c r="G383" s="135">
        <f>BDI!$B$17</f>
        <v>0.191</v>
      </c>
      <c r="H383" s="136">
        <f t="shared" ca="1" si="16"/>
        <v>4.93</v>
      </c>
      <c r="I383" s="182">
        <f t="shared" ca="1" si="17"/>
        <v>44370</v>
      </c>
      <c r="J383" s="226"/>
      <c r="K383" s="224" t="s">
        <v>8074</v>
      </c>
    </row>
    <row r="384" spans="1:11" s="161" customFormat="1" hidden="1" x14ac:dyDescent="0.25">
      <c r="A384" s="162" t="s">
        <v>726</v>
      </c>
      <c r="B384" s="163" t="s">
        <v>1805</v>
      </c>
      <c r="C384" s="164" t="s">
        <v>20</v>
      </c>
      <c r="D384" s="164">
        <v>835</v>
      </c>
      <c r="E384" s="133">
        <f ca="1">OFFSET(INDEX(Composições!A:J,MATCH(Orçamentária!A384,Composições!A:A,0),8),2,0)</f>
        <v>51.267740999999994</v>
      </c>
      <c r="F384" s="134">
        <f t="shared" ca="1" si="15"/>
        <v>42808.563734999996</v>
      </c>
      <c r="G384" s="135">
        <f>BDI!$B$17</f>
        <v>0.191</v>
      </c>
      <c r="H384" s="136">
        <f t="shared" ca="1" si="16"/>
        <v>61.06</v>
      </c>
      <c r="I384" s="182">
        <f t="shared" ca="1" si="17"/>
        <v>50985.1</v>
      </c>
      <c r="J384" s="226"/>
      <c r="K384" s="224" t="s">
        <v>8074</v>
      </c>
    </row>
    <row r="385" spans="1:11" s="161" customFormat="1" hidden="1" x14ac:dyDescent="0.25">
      <c r="A385" s="162" t="s">
        <v>729</v>
      </c>
      <c r="B385" s="163" t="s">
        <v>1806</v>
      </c>
      <c r="C385" s="164" t="s">
        <v>20</v>
      </c>
      <c r="D385" s="164">
        <v>75</v>
      </c>
      <c r="E385" s="133">
        <f ca="1">OFFSET(INDEX(Composições!A:J,MATCH(Orçamentária!A385,Composições!A:A,0),8),2,0)</f>
        <v>334.19574999999998</v>
      </c>
      <c r="F385" s="134">
        <f t="shared" ca="1" si="15"/>
        <v>25064.681249999998</v>
      </c>
      <c r="G385" s="135">
        <f>BDI!$B$17</f>
        <v>0.191</v>
      </c>
      <c r="H385" s="136">
        <f t="shared" ca="1" si="16"/>
        <v>398.03</v>
      </c>
      <c r="I385" s="182">
        <f t="shared" ca="1" si="17"/>
        <v>29852.25</v>
      </c>
      <c r="J385" s="226"/>
      <c r="K385" s="224" t="s">
        <v>8074</v>
      </c>
    </row>
    <row r="386" spans="1:11" hidden="1" x14ac:dyDescent="0.25">
      <c r="A386" s="112" t="s">
        <v>1807</v>
      </c>
      <c r="B386" s="113" t="s">
        <v>1808</v>
      </c>
      <c r="C386" s="114" t="s">
        <v>6238</v>
      </c>
      <c r="D386" s="114">
        <v>0</v>
      </c>
      <c r="E386" s="133" t="s">
        <v>514</v>
      </c>
      <c r="F386" s="134" t="str">
        <f t="shared" si="15"/>
        <v/>
      </c>
      <c r="G386" s="135" t="e">
        <f>IF(A386&lt;&gt;"",IF(AND(#REF!="Padrão",$H$4=#REF!),BDI!$B$17,IF(AND(#REF!="Padrão",$H$4=#REF!),BDI!#REF!,IF(AND(#REF!="Diferenciado",$H$4=#REF!),BDI!$E$17,IF(AND(#REF!="Diferenciado",$H$4=#REF!),BDI!#REF!,IF(#REF!="ZERO",0))))),"")</f>
        <v>#REF!</v>
      </c>
      <c r="H386" s="136" t="str">
        <f t="shared" si="16"/>
        <v/>
      </c>
      <c r="I386" s="134" t="str">
        <f t="shared" si="17"/>
        <v/>
      </c>
      <c r="J386" s="226"/>
    </row>
    <row r="387" spans="1:11" hidden="1" x14ac:dyDescent="0.25">
      <c r="A387" s="112" t="s">
        <v>1809</v>
      </c>
      <c r="B387" s="113" t="s">
        <v>1810</v>
      </c>
      <c r="C387" s="114" t="s">
        <v>101</v>
      </c>
      <c r="D387" s="114">
        <v>0</v>
      </c>
      <c r="E387" s="133" t="s">
        <v>514</v>
      </c>
      <c r="F387" s="134" t="str">
        <f t="shared" si="15"/>
        <v/>
      </c>
      <c r="G387" s="135" t="e">
        <f>IF(A387&lt;&gt;"",IF(AND(#REF!="Padrão",$H$4=#REF!),BDI!$B$17,IF(AND(#REF!="Padrão",$H$4=#REF!),BDI!#REF!,IF(AND(#REF!="Diferenciado",$H$4=#REF!),BDI!$E$17,IF(AND(#REF!="Diferenciado",$H$4=#REF!),BDI!#REF!,IF(#REF!="ZERO",0))))),"")</f>
        <v>#REF!</v>
      </c>
      <c r="H387" s="136" t="str">
        <f t="shared" si="16"/>
        <v/>
      </c>
      <c r="I387" s="134" t="str">
        <f t="shared" si="17"/>
        <v/>
      </c>
      <c r="J387" s="226"/>
    </row>
    <row r="388" spans="1:11" hidden="1" x14ac:dyDescent="0.25">
      <c r="A388" s="112" t="s">
        <v>1811</v>
      </c>
      <c r="B388" s="113" t="s">
        <v>1812</v>
      </c>
      <c r="C388" s="114" t="s">
        <v>6237</v>
      </c>
      <c r="D388" s="114">
        <v>0</v>
      </c>
      <c r="E388" s="133" t="s">
        <v>514</v>
      </c>
      <c r="F388" s="134" t="str">
        <f t="shared" si="15"/>
        <v/>
      </c>
      <c r="G388" s="135" t="e">
        <f>IF(A388&lt;&gt;"",IF(AND(#REF!="Padrão",$H$4=#REF!),BDI!$B$17,IF(AND(#REF!="Padrão",$H$4=#REF!),BDI!#REF!,IF(AND(#REF!="Diferenciado",$H$4=#REF!),BDI!$E$17,IF(AND(#REF!="Diferenciado",$H$4=#REF!),BDI!#REF!,IF(#REF!="ZERO",0))))),"")</f>
        <v>#REF!</v>
      </c>
      <c r="H388" s="136" t="str">
        <f t="shared" si="16"/>
        <v/>
      </c>
      <c r="I388" s="134" t="str">
        <f t="shared" si="17"/>
        <v/>
      </c>
      <c r="J388" s="226"/>
    </row>
    <row r="389" spans="1:11" hidden="1" x14ac:dyDescent="0.25">
      <c r="A389" s="112" t="s">
        <v>1813</v>
      </c>
      <c r="B389" s="113" t="s">
        <v>1814</v>
      </c>
      <c r="C389" s="114" t="s">
        <v>42</v>
      </c>
      <c r="D389" s="114">
        <v>0</v>
      </c>
      <c r="E389" s="133" t="s">
        <v>514</v>
      </c>
      <c r="F389" s="134" t="str">
        <f t="shared" si="15"/>
        <v/>
      </c>
      <c r="G389" s="135" t="e">
        <f>IF(A389&lt;&gt;"",IF(AND(#REF!="Padrão",$H$4=#REF!),BDI!$B$17,IF(AND(#REF!="Padrão",$H$4=#REF!),BDI!#REF!,IF(AND(#REF!="Diferenciado",$H$4=#REF!),BDI!$E$17,IF(AND(#REF!="Diferenciado",$H$4=#REF!),BDI!#REF!,IF(#REF!="ZERO",0))))),"")</f>
        <v>#REF!</v>
      </c>
      <c r="H389" s="136" t="str">
        <f t="shared" si="16"/>
        <v/>
      </c>
      <c r="I389" s="134" t="str">
        <f t="shared" si="17"/>
        <v/>
      </c>
      <c r="J389" s="226"/>
    </row>
    <row r="390" spans="1:11" hidden="1" x14ac:dyDescent="0.25">
      <c r="A390" s="112" t="s">
        <v>1815</v>
      </c>
      <c r="B390" s="113" t="s">
        <v>1816</v>
      </c>
      <c r="C390" s="114" t="s">
        <v>42</v>
      </c>
      <c r="D390" s="114">
        <v>0</v>
      </c>
      <c r="E390" s="133" t="s">
        <v>514</v>
      </c>
      <c r="F390" s="134" t="str">
        <f t="shared" si="15"/>
        <v/>
      </c>
      <c r="G390" s="135" t="e">
        <f>IF(A390&lt;&gt;"",IF(AND(#REF!="Padrão",$H$4=#REF!),BDI!$B$17,IF(AND(#REF!="Padrão",$H$4=#REF!),BDI!#REF!,IF(AND(#REF!="Diferenciado",$H$4=#REF!),BDI!$E$17,IF(AND(#REF!="Diferenciado",$H$4=#REF!),BDI!#REF!,IF(#REF!="ZERO",0))))),"")</f>
        <v>#REF!</v>
      </c>
      <c r="H390" s="136" t="str">
        <f t="shared" si="16"/>
        <v/>
      </c>
      <c r="I390" s="134" t="str">
        <f t="shared" si="17"/>
        <v/>
      </c>
      <c r="J390" s="226"/>
    </row>
    <row r="391" spans="1:11" hidden="1" x14ac:dyDescent="0.25">
      <c r="A391" s="112" t="s">
        <v>1817</v>
      </c>
      <c r="B391" s="113" t="s">
        <v>1818</v>
      </c>
      <c r="C391" s="114" t="s">
        <v>1819</v>
      </c>
      <c r="D391" s="114">
        <v>0</v>
      </c>
      <c r="E391" s="133" t="s">
        <v>514</v>
      </c>
      <c r="F391" s="134" t="str">
        <f t="shared" ref="F391:F454" si="18">IF(ISNUMBER(E391),D391*E391,"")</f>
        <v/>
      </c>
      <c r="G391" s="135" t="e">
        <f>IF(A391&lt;&gt;"",IF(AND(#REF!="Padrão",$H$4=#REF!),BDI!$B$17,IF(AND(#REF!="Padrão",$H$4=#REF!),BDI!#REF!,IF(AND(#REF!="Diferenciado",$H$4=#REF!),BDI!$E$17,IF(AND(#REF!="Diferenciado",$H$4=#REF!),BDI!#REF!,IF(#REF!="ZERO",0))))),"")</f>
        <v>#REF!</v>
      </c>
      <c r="H391" s="136" t="str">
        <f t="shared" ref="H391:H454" si="19">IF(ISNUMBER(E391),ROUND(E391*(1+G391),2),"")</f>
        <v/>
      </c>
      <c r="I391" s="134" t="str">
        <f t="shared" ref="I391:I454" si="20">IF(ISNUMBER(E391),ROUND(H391*D391,2),"")</f>
        <v/>
      </c>
      <c r="J391" s="226"/>
    </row>
    <row r="392" spans="1:11" hidden="1" x14ac:dyDescent="0.25">
      <c r="A392" s="112" t="s">
        <v>1820</v>
      </c>
      <c r="B392" s="113" t="s">
        <v>1821</v>
      </c>
      <c r="C392" s="114" t="s">
        <v>101</v>
      </c>
      <c r="D392" s="114">
        <v>0</v>
      </c>
      <c r="E392" s="133" t="s">
        <v>514</v>
      </c>
      <c r="F392" s="134" t="str">
        <f t="shared" si="18"/>
        <v/>
      </c>
      <c r="G392" s="135" t="e">
        <f>IF(A392&lt;&gt;"",IF(AND(#REF!="Padrão",$H$4=#REF!),BDI!$B$17,IF(AND(#REF!="Padrão",$H$4=#REF!),BDI!#REF!,IF(AND(#REF!="Diferenciado",$H$4=#REF!),BDI!$E$17,IF(AND(#REF!="Diferenciado",$H$4=#REF!),BDI!#REF!,IF(#REF!="ZERO",0))))),"")</f>
        <v>#REF!</v>
      </c>
      <c r="H392" s="136" t="str">
        <f t="shared" si="19"/>
        <v/>
      </c>
      <c r="I392" s="134" t="str">
        <f t="shared" si="20"/>
        <v/>
      </c>
      <c r="J392" s="226"/>
    </row>
    <row r="393" spans="1:11" hidden="1" x14ac:dyDescent="0.25">
      <c r="A393" s="112" t="s">
        <v>1822</v>
      </c>
      <c r="B393" s="113" t="s">
        <v>1823</v>
      </c>
      <c r="C393" s="114" t="s">
        <v>787</v>
      </c>
      <c r="D393" s="114">
        <v>0</v>
      </c>
      <c r="E393" s="133" t="s">
        <v>514</v>
      </c>
      <c r="F393" s="134" t="str">
        <f t="shared" si="18"/>
        <v/>
      </c>
      <c r="G393" s="135" t="e">
        <f>IF(A393&lt;&gt;"",IF(AND(#REF!="Padrão",$H$4=#REF!),BDI!$B$17,IF(AND(#REF!="Padrão",$H$4=#REF!),BDI!#REF!,IF(AND(#REF!="Diferenciado",$H$4=#REF!),BDI!$E$17,IF(AND(#REF!="Diferenciado",$H$4=#REF!),BDI!#REF!,IF(#REF!="ZERO",0))))),"")</f>
        <v>#REF!</v>
      </c>
      <c r="H393" s="136" t="str">
        <f t="shared" si="19"/>
        <v/>
      </c>
      <c r="I393" s="134" t="str">
        <f t="shared" si="20"/>
        <v/>
      </c>
      <c r="J393" s="226"/>
    </row>
    <row r="394" spans="1:11" hidden="1" x14ac:dyDescent="0.25">
      <c r="A394" s="112" t="s">
        <v>1824</v>
      </c>
      <c r="B394" s="113" t="s">
        <v>1825</v>
      </c>
      <c r="C394" s="114" t="s">
        <v>42</v>
      </c>
      <c r="D394" s="114">
        <v>0</v>
      </c>
      <c r="E394" s="133" t="s">
        <v>514</v>
      </c>
      <c r="F394" s="134" t="str">
        <f t="shared" si="18"/>
        <v/>
      </c>
      <c r="G394" s="135" t="e">
        <f>IF(A394&lt;&gt;"",IF(AND(#REF!="Padrão",$H$4=#REF!),BDI!$B$17,IF(AND(#REF!="Padrão",$H$4=#REF!),BDI!#REF!,IF(AND(#REF!="Diferenciado",$H$4=#REF!),BDI!$E$17,IF(AND(#REF!="Diferenciado",$H$4=#REF!),BDI!#REF!,IF(#REF!="ZERO",0))))),"")</f>
        <v>#REF!</v>
      </c>
      <c r="H394" s="136" t="str">
        <f t="shared" si="19"/>
        <v/>
      </c>
      <c r="I394" s="134" t="str">
        <f t="shared" si="20"/>
        <v/>
      </c>
      <c r="J394" s="226"/>
    </row>
    <row r="395" spans="1:11" hidden="1" x14ac:dyDescent="0.25">
      <c r="A395" s="112" t="s">
        <v>1826</v>
      </c>
      <c r="B395" s="113" t="s">
        <v>1827</v>
      </c>
      <c r="C395" s="114" t="s">
        <v>92</v>
      </c>
      <c r="D395" s="114">
        <v>0</v>
      </c>
      <c r="E395" s="133" t="s">
        <v>514</v>
      </c>
      <c r="F395" s="134" t="str">
        <f t="shared" si="18"/>
        <v/>
      </c>
      <c r="G395" s="135" t="e">
        <f>IF(A395&lt;&gt;"",IF(AND(#REF!="Padrão",$H$4=#REF!),BDI!$B$17,IF(AND(#REF!="Padrão",$H$4=#REF!),BDI!#REF!,IF(AND(#REF!="Diferenciado",$H$4=#REF!),BDI!$E$17,IF(AND(#REF!="Diferenciado",$H$4=#REF!),BDI!#REF!,IF(#REF!="ZERO",0))))),"")</f>
        <v>#REF!</v>
      </c>
      <c r="H395" s="136" t="str">
        <f t="shared" si="19"/>
        <v/>
      </c>
      <c r="I395" s="134" t="str">
        <f t="shared" si="20"/>
        <v/>
      </c>
      <c r="J395" s="226"/>
    </row>
    <row r="396" spans="1:11" hidden="1" x14ac:dyDescent="0.25">
      <c r="A396" s="112" t="s">
        <v>1828</v>
      </c>
      <c r="B396" s="113" t="s">
        <v>1829</v>
      </c>
      <c r="C396" s="114" t="s">
        <v>92</v>
      </c>
      <c r="D396" s="114">
        <v>0</v>
      </c>
      <c r="E396" s="133" t="s">
        <v>514</v>
      </c>
      <c r="F396" s="134" t="str">
        <f t="shared" si="18"/>
        <v/>
      </c>
      <c r="G396" s="135" t="e">
        <f>IF(A396&lt;&gt;"",IF(AND(#REF!="Padrão",$H$4=#REF!),BDI!$B$17,IF(AND(#REF!="Padrão",$H$4=#REF!),BDI!#REF!,IF(AND(#REF!="Diferenciado",$H$4=#REF!),BDI!$E$17,IF(AND(#REF!="Diferenciado",$H$4=#REF!),BDI!#REF!,IF(#REF!="ZERO",0))))),"")</f>
        <v>#REF!</v>
      </c>
      <c r="H396" s="136" t="str">
        <f t="shared" si="19"/>
        <v/>
      </c>
      <c r="I396" s="134" t="str">
        <f t="shared" si="20"/>
        <v/>
      </c>
      <c r="J396" s="226"/>
    </row>
    <row r="397" spans="1:11" hidden="1" x14ac:dyDescent="0.25">
      <c r="A397" s="112" t="s">
        <v>1830</v>
      </c>
      <c r="B397" s="113" t="s">
        <v>1831</v>
      </c>
      <c r="C397" s="114" t="s">
        <v>92</v>
      </c>
      <c r="D397" s="114">
        <v>0</v>
      </c>
      <c r="E397" s="133" t="s">
        <v>514</v>
      </c>
      <c r="F397" s="134" t="str">
        <f t="shared" si="18"/>
        <v/>
      </c>
      <c r="G397" s="135" t="e">
        <f>IF(A397&lt;&gt;"",IF(AND(#REF!="Padrão",$H$4=#REF!),BDI!$B$17,IF(AND(#REF!="Padrão",$H$4=#REF!),BDI!#REF!,IF(AND(#REF!="Diferenciado",$H$4=#REF!),BDI!$E$17,IF(AND(#REF!="Diferenciado",$H$4=#REF!),BDI!#REF!,IF(#REF!="ZERO",0))))),"")</f>
        <v>#REF!</v>
      </c>
      <c r="H397" s="136" t="str">
        <f t="shared" si="19"/>
        <v/>
      </c>
      <c r="I397" s="134" t="str">
        <f t="shared" si="20"/>
        <v/>
      </c>
      <c r="J397" s="226"/>
    </row>
    <row r="398" spans="1:11" hidden="1" x14ac:dyDescent="0.25">
      <c r="A398" s="112" t="s">
        <v>1832</v>
      </c>
      <c r="B398" s="113" t="s">
        <v>1833</v>
      </c>
      <c r="C398" s="114" t="s">
        <v>92</v>
      </c>
      <c r="D398" s="114">
        <v>0</v>
      </c>
      <c r="E398" s="133" t="s">
        <v>514</v>
      </c>
      <c r="F398" s="134" t="str">
        <f t="shared" si="18"/>
        <v/>
      </c>
      <c r="G398" s="135" t="e">
        <f>IF(A398&lt;&gt;"",IF(AND(#REF!="Padrão",$H$4=#REF!),BDI!$B$17,IF(AND(#REF!="Padrão",$H$4=#REF!),BDI!#REF!,IF(AND(#REF!="Diferenciado",$H$4=#REF!),BDI!$E$17,IF(AND(#REF!="Diferenciado",$H$4=#REF!),BDI!#REF!,IF(#REF!="ZERO",0))))),"")</f>
        <v>#REF!</v>
      </c>
      <c r="H398" s="136" t="str">
        <f t="shared" si="19"/>
        <v/>
      </c>
      <c r="I398" s="134" t="str">
        <f t="shared" si="20"/>
        <v/>
      </c>
      <c r="J398" s="226"/>
    </row>
    <row r="399" spans="1:11" hidden="1" x14ac:dyDescent="0.25">
      <c r="A399" s="112" t="s">
        <v>1834</v>
      </c>
      <c r="B399" s="113" t="s">
        <v>1835</v>
      </c>
      <c r="C399" s="114" t="s">
        <v>20</v>
      </c>
      <c r="D399" s="114">
        <v>0</v>
      </c>
      <c r="E399" s="133" t="s">
        <v>514</v>
      </c>
      <c r="F399" s="134" t="str">
        <f t="shared" si="18"/>
        <v/>
      </c>
      <c r="G399" s="135" t="e">
        <f>IF(A399&lt;&gt;"",IF(AND(#REF!="Padrão",$H$4=#REF!),BDI!$B$17,IF(AND(#REF!="Padrão",$H$4=#REF!),BDI!#REF!,IF(AND(#REF!="Diferenciado",$H$4=#REF!),BDI!$E$17,IF(AND(#REF!="Diferenciado",$H$4=#REF!),BDI!#REF!,IF(#REF!="ZERO",0))))),"")</f>
        <v>#REF!</v>
      </c>
      <c r="H399" s="136" t="str">
        <f t="shared" si="19"/>
        <v/>
      </c>
      <c r="I399" s="134" t="str">
        <f t="shared" si="20"/>
        <v/>
      </c>
      <c r="J399" s="226"/>
    </row>
    <row r="400" spans="1:11" hidden="1" x14ac:dyDescent="0.25">
      <c r="A400" s="112" t="s">
        <v>1836</v>
      </c>
      <c r="B400" s="113" t="s">
        <v>1837</v>
      </c>
      <c r="C400" s="114" t="s">
        <v>20</v>
      </c>
      <c r="D400" s="114">
        <v>0</v>
      </c>
      <c r="E400" s="133" t="s">
        <v>514</v>
      </c>
      <c r="F400" s="134" t="str">
        <f t="shared" si="18"/>
        <v/>
      </c>
      <c r="G400" s="135" t="e">
        <f>IF(A400&lt;&gt;"",IF(AND(#REF!="Padrão",$H$4=#REF!),BDI!$B$17,IF(AND(#REF!="Padrão",$H$4=#REF!),BDI!#REF!,IF(AND(#REF!="Diferenciado",$H$4=#REF!),BDI!$E$17,IF(AND(#REF!="Diferenciado",$H$4=#REF!),BDI!#REF!,IF(#REF!="ZERO",0))))),"")</f>
        <v>#REF!</v>
      </c>
      <c r="H400" s="136" t="str">
        <f t="shared" si="19"/>
        <v/>
      </c>
      <c r="I400" s="134" t="str">
        <f t="shared" si="20"/>
        <v/>
      </c>
      <c r="J400" s="226"/>
    </row>
    <row r="401" spans="1:10" hidden="1" x14ac:dyDescent="0.25">
      <c r="A401" s="112" t="s">
        <v>1838</v>
      </c>
      <c r="B401" s="113" t="s">
        <v>1839</v>
      </c>
      <c r="C401" s="114" t="s">
        <v>20</v>
      </c>
      <c r="D401" s="114">
        <v>0</v>
      </c>
      <c r="E401" s="133" t="s">
        <v>514</v>
      </c>
      <c r="F401" s="134" t="str">
        <f t="shared" si="18"/>
        <v/>
      </c>
      <c r="G401" s="135" t="e">
        <f>IF(A401&lt;&gt;"",IF(AND(#REF!="Padrão",$H$4=#REF!),BDI!$B$17,IF(AND(#REF!="Padrão",$H$4=#REF!),BDI!#REF!,IF(AND(#REF!="Diferenciado",$H$4=#REF!),BDI!$E$17,IF(AND(#REF!="Diferenciado",$H$4=#REF!),BDI!#REF!,IF(#REF!="ZERO",0))))),"")</f>
        <v>#REF!</v>
      </c>
      <c r="H401" s="136" t="str">
        <f t="shared" si="19"/>
        <v/>
      </c>
      <c r="I401" s="134" t="str">
        <f t="shared" si="20"/>
        <v/>
      </c>
      <c r="J401" s="226"/>
    </row>
    <row r="402" spans="1:10" hidden="1" x14ac:dyDescent="0.25">
      <c r="A402" s="112" t="s">
        <v>1840</v>
      </c>
      <c r="B402" s="113" t="s">
        <v>1841</v>
      </c>
      <c r="C402" s="114" t="s">
        <v>20</v>
      </c>
      <c r="D402" s="114">
        <v>0</v>
      </c>
      <c r="E402" s="133" t="s">
        <v>514</v>
      </c>
      <c r="F402" s="134" t="str">
        <f t="shared" si="18"/>
        <v/>
      </c>
      <c r="G402" s="135" t="e">
        <f>IF(A402&lt;&gt;"",IF(AND(#REF!="Padrão",$H$4=#REF!),BDI!$B$17,IF(AND(#REF!="Padrão",$H$4=#REF!),BDI!#REF!,IF(AND(#REF!="Diferenciado",$H$4=#REF!),BDI!$E$17,IF(AND(#REF!="Diferenciado",$H$4=#REF!),BDI!#REF!,IF(#REF!="ZERO",0))))),"")</f>
        <v>#REF!</v>
      </c>
      <c r="H402" s="136" t="str">
        <f t="shared" si="19"/>
        <v/>
      </c>
      <c r="I402" s="134" t="str">
        <f t="shared" si="20"/>
        <v/>
      </c>
      <c r="J402" s="226"/>
    </row>
    <row r="403" spans="1:10" hidden="1" x14ac:dyDescent="0.25">
      <c r="A403" s="112" t="s">
        <v>1842</v>
      </c>
      <c r="B403" s="113" t="s">
        <v>1843</v>
      </c>
      <c r="C403" s="114" t="s">
        <v>92</v>
      </c>
      <c r="D403" s="114">
        <v>0</v>
      </c>
      <c r="E403" s="133" t="s">
        <v>514</v>
      </c>
      <c r="F403" s="134" t="str">
        <f t="shared" si="18"/>
        <v/>
      </c>
      <c r="G403" s="135" t="e">
        <f>IF(A403&lt;&gt;"",IF(AND(#REF!="Padrão",$H$4=#REF!),BDI!$B$17,IF(AND(#REF!="Padrão",$H$4=#REF!),BDI!#REF!,IF(AND(#REF!="Diferenciado",$H$4=#REF!),BDI!$E$17,IF(AND(#REF!="Diferenciado",$H$4=#REF!),BDI!#REF!,IF(#REF!="ZERO",0))))),"")</f>
        <v>#REF!</v>
      </c>
      <c r="H403" s="136" t="str">
        <f t="shared" si="19"/>
        <v/>
      </c>
      <c r="I403" s="134" t="str">
        <f t="shared" si="20"/>
        <v/>
      </c>
      <c r="J403" s="226"/>
    </row>
    <row r="404" spans="1:10" hidden="1" x14ac:dyDescent="0.25">
      <c r="A404" s="112" t="s">
        <v>1844</v>
      </c>
      <c r="B404" s="113" t="s">
        <v>1845</v>
      </c>
      <c r="C404" s="114" t="s">
        <v>92</v>
      </c>
      <c r="D404" s="114">
        <v>0</v>
      </c>
      <c r="E404" s="133" t="s">
        <v>514</v>
      </c>
      <c r="F404" s="134" t="str">
        <f t="shared" si="18"/>
        <v/>
      </c>
      <c r="G404" s="135" t="e">
        <f>IF(A404&lt;&gt;"",IF(AND(#REF!="Padrão",$H$4=#REF!),BDI!$B$17,IF(AND(#REF!="Padrão",$H$4=#REF!),BDI!#REF!,IF(AND(#REF!="Diferenciado",$H$4=#REF!),BDI!$E$17,IF(AND(#REF!="Diferenciado",$H$4=#REF!),BDI!#REF!,IF(#REF!="ZERO",0))))),"")</f>
        <v>#REF!</v>
      </c>
      <c r="H404" s="136" t="str">
        <f t="shared" si="19"/>
        <v/>
      </c>
      <c r="I404" s="134" t="str">
        <f t="shared" si="20"/>
        <v/>
      </c>
      <c r="J404" s="226"/>
    </row>
    <row r="405" spans="1:10" hidden="1" x14ac:dyDescent="0.25">
      <c r="A405" s="112" t="s">
        <v>1846</v>
      </c>
      <c r="B405" s="113" t="s">
        <v>1847</v>
      </c>
      <c r="C405" s="114" t="s">
        <v>20</v>
      </c>
      <c r="D405" s="114">
        <v>0</v>
      </c>
      <c r="E405" s="133" t="s">
        <v>514</v>
      </c>
      <c r="F405" s="134" t="str">
        <f t="shared" si="18"/>
        <v/>
      </c>
      <c r="G405" s="135" t="e">
        <f>IF(A405&lt;&gt;"",IF(AND(#REF!="Padrão",$H$4=#REF!),BDI!$B$17,IF(AND(#REF!="Padrão",$H$4=#REF!),BDI!#REF!,IF(AND(#REF!="Diferenciado",$H$4=#REF!),BDI!$E$17,IF(AND(#REF!="Diferenciado",$H$4=#REF!),BDI!#REF!,IF(#REF!="ZERO",0))))),"")</f>
        <v>#REF!</v>
      </c>
      <c r="H405" s="136" t="str">
        <f t="shared" si="19"/>
        <v/>
      </c>
      <c r="I405" s="134" t="str">
        <f t="shared" si="20"/>
        <v/>
      </c>
      <c r="J405" s="226"/>
    </row>
    <row r="406" spans="1:10" hidden="1" x14ac:dyDescent="0.25">
      <c r="A406" s="112" t="s">
        <v>1848</v>
      </c>
      <c r="B406" s="113" t="s">
        <v>1849</v>
      </c>
      <c r="C406" s="114" t="s">
        <v>92</v>
      </c>
      <c r="D406" s="114">
        <v>0</v>
      </c>
      <c r="E406" s="133" t="s">
        <v>514</v>
      </c>
      <c r="F406" s="134" t="str">
        <f t="shared" si="18"/>
        <v/>
      </c>
      <c r="G406" s="135" t="e">
        <f>IF(A406&lt;&gt;"",IF(AND(#REF!="Padrão",$H$4=#REF!),BDI!$B$17,IF(AND(#REF!="Padrão",$H$4=#REF!),BDI!#REF!,IF(AND(#REF!="Diferenciado",$H$4=#REF!),BDI!$E$17,IF(AND(#REF!="Diferenciado",$H$4=#REF!),BDI!#REF!,IF(#REF!="ZERO",0))))),"")</f>
        <v>#REF!</v>
      </c>
      <c r="H406" s="136" t="str">
        <f t="shared" si="19"/>
        <v/>
      </c>
      <c r="I406" s="134" t="str">
        <f t="shared" si="20"/>
        <v/>
      </c>
      <c r="J406" s="226"/>
    </row>
    <row r="407" spans="1:10" hidden="1" x14ac:dyDescent="0.25">
      <c r="A407" s="112" t="s">
        <v>1850</v>
      </c>
      <c r="B407" s="113" t="s">
        <v>1851</v>
      </c>
      <c r="C407" s="114" t="s">
        <v>20</v>
      </c>
      <c r="D407" s="114">
        <v>0</v>
      </c>
      <c r="E407" s="133" t="s">
        <v>514</v>
      </c>
      <c r="F407" s="134" t="str">
        <f t="shared" si="18"/>
        <v/>
      </c>
      <c r="G407" s="135" t="e">
        <f>IF(A407&lt;&gt;"",IF(AND(#REF!="Padrão",$H$4=#REF!),BDI!$B$17,IF(AND(#REF!="Padrão",$H$4=#REF!),BDI!#REF!,IF(AND(#REF!="Diferenciado",$H$4=#REF!),BDI!$E$17,IF(AND(#REF!="Diferenciado",$H$4=#REF!),BDI!#REF!,IF(#REF!="ZERO",0))))),"")</f>
        <v>#REF!</v>
      </c>
      <c r="H407" s="136" t="str">
        <f t="shared" si="19"/>
        <v/>
      </c>
      <c r="I407" s="134" t="str">
        <f t="shared" si="20"/>
        <v/>
      </c>
      <c r="J407" s="226"/>
    </row>
    <row r="408" spans="1:10" hidden="1" x14ac:dyDescent="0.25">
      <c r="A408" s="112" t="s">
        <v>1852</v>
      </c>
      <c r="B408" s="113" t="s">
        <v>1853</v>
      </c>
      <c r="C408" s="114" t="s">
        <v>20</v>
      </c>
      <c r="D408" s="114">
        <v>0</v>
      </c>
      <c r="E408" s="133" t="s">
        <v>514</v>
      </c>
      <c r="F408" s="134" t="str">
        <f t="shared" si="18"/>
        <v/>
      </c>
      <c r="G408" s="135" t="e">
        <f>IF(A408&lt;&gt;"",IF(AND(#REF!="Padrão",$H$4=#REF!),BDI!$B$17,IF(AND(#REF!="Padrão",$H$4=#REF!),BDI!#REF!,IF(AND(#REF!="Diferenciado",$H$4=#REF!),BDI!$E$17,IF(AND(#REF!="Diferenciado",$H$4=#REF!),BDI!#REF!,IF(#REF!="ZERO",0))))),"")</f>
        <v>#REF!</v>
      </c>
      <c r="H408" s="136" t="str">
        <f t="shared" si="19"/>
        <v/>
      </c>
      <c r="I408" s="134" t="str">
        <f t="shared" si="20"/>
        <v/>
      </c>
      <c r="J408" s="226"/>
    </row>
    <row r="409" spans="1:10" hidden="1" x14ac:dyDescent="0.25">
      <c r="A409" s="112" t="s">
        <v>1854</v>
      </c>
      <c r="B409" s="113" t="s">
        <v>1855</v>
      </c>
      <c r="C409" s="114" t="s">
        <v>20</v>
      </c>
      <c r="D409" s="114">
        <v>0</v>
      </c>
      <c r="E409" s="133" t="s">
        <v>514</v>
      </c>
      <c r="F409" s="134" t="str">
        <f t="shared" si="18"/>
        <v/>
      </c>
      <c r="G409" s="135" t="e">
        <f>IF(A409&lt;&gt;"",IF(AND(#REF!="Padrão",$H$4=#REF!),BDI!$B$17,IF(AND(#REF!="Padrão",$H$4=#REF!),BDI!#REF!,IF(AND(#REF!="Diferenciado",$H$4=#REF!),BDI!$E$17,IF(AND(#REF!="Diferenciado",$H$4=#REF!),BDI!#REF!,IF(#REF!="ZERO",0))))),"")</f>
        <v>#REF!</v>
      </c>
      <c r="H409" s="136" t="str">
        <f t="shared" si="19"/>
        <v/>
      </c>
      <c r="I409" s="134" t="str">
        <f t="shared" si="20"/>
        <v/>
      </c>
      <c r="J409" s="226"/>
    </row>
    <row r="410" spans="1:10" hidden="1" x14ac:dyDescent="0.25">
      <c r="A410" s="112" t="s">
        <v>1856</v>
      </c>
      <c r="B410" s="113" t="s">
        <v>1857</v>
      </c>
      <c r="C410" s="114" t="s">
        <v>20</v>
      </c>
      <c r="D410" s="114">
        <v>0</v>
      </c>
      <c r="E410" s="133">
        <f ca="1">OFFSET(INDEX(Composições!A:J,MATCH(Orçamentária!A410,Composições!A:A,0),8),2,0)</f>
        <v>19.722000000000001</v>
      </c>
      <c r="F410" s="134">
        <f t="shared" ca="1" si="18"/>
        <v>0</v>
      </c>
      <c r="G410" s="135" t="e">
        <f>IF(A410&lt;&gt;"",IF(AND(#REF!="Padrão",$H$4=#REF!),BDI!$B$17,IF(AND(#REF!="Padrão",$H$4=#REF!),BDI!#REF!,IF(AND(#REF!="Diferenciado",$H$4=#REF!),BDI!$E$17,IF(AND(#REF!="Diferenciado",$H$4=#REF!),BDI!#REF!,IF(#REF!="ZERO",0))))),"")</f>
        <v>#REF!</v>
      </c>
      <c r="H410" s="136" t="e">
        <f t="shared" ca="1" si="19"/>
        <v>#REF!</v>
      </c>
      <c r="I410" s="134" t="e">
        <f t="shared" ca="1" si="20"/>
        <v>#REF!</v>
      </c>
      <c r="J410" s="226"/>
    </row>
    <row r="411" spans="1:10" hidden="1" x14ac:dyDescent="0.25">
      <c r="A411" s="112" t="s">
        <v>1858</v>
      </c>
      <c r="B411" s="113" t="s">
        <v>1859</v>
      </c>
      <c r="C411" s="114" t="s">
        <v>20</v>
      </c>
      <c r="D411" s="114">
        <v>0</v>
      </c>
      <c r="E411" s="133" t="s">
        <v>514</v>
      </c>
      <c r="F411" s="134" t="str">
        <f t="shared" si="18"/>
        <v/>
      </c>
      <c r="G411" s="135" t="e">
        <f>IF(A411&lt;&gt;"",IF(AND(#REF!="Padrão",$H$4=#REF!),BDI!$B$17,IF(AND(#REF!="Padrão",$H$4=#REF!),BDI!#REF!,IF(AND(#REF!="Diferenciado",$H$4=#REF!),BDI!$E$17,IF(AND(#REF!="Diferenciado",$H$4=#REF!),BDI!#REF!,IF(#REF!="ZERO",0))))),"")</f>
        <v>#REF!</v>
      </c>
      <c r="H411" s="136" t="str">
        <f t="shared" si="19"/>
        <v/>
      </c>
      <c r="I411" s="134" t="str">
        <f t="shared" si="20"/>
        <v/>
      </c>
      <c r="J411" s="226"/>
    </row>
    <row r="412" spans="1:10" hidden="1" x14ac:dyDescent="0.25">
      <c r="A412" s="112" t="s">
        <v>1860</v>
      </c>
      <c r="B412" s="113" t="s">
        <v>1861</v>
      </c>
      <c r="C412" s="114" t="s">
        <v>20</v>
      </c>
      <c r="D412" s="114">
        <v>0</v>
      </c>
      <c r="E412" s="133">
        <f ca="1">OFFSET(INDEX(Composições!A:J,MATCH(Orçamentária!A412,Composições!A:A,0),8),2,0)</f>
        <v>56.904999999999994</v>
      </c>
      <c r="F412" s="134">
        <f t="shared" ca="1" si="18"/>
        <v>0</v>
      </c>
      <c r="G412" s="135" t="e">
        <f>IF(A412&lt;&gt;"",IF(AND(#REF!="Padrão",$H$4=#REF!),BDI!$B$17,IF(AND(#REF!="Padrão",$H$4=#REF!),BDI!#REF!,IF(AND(#REF!="Diferenciado",$H$4=#REF!),BDI!$E$17,IF(AND(#REF!="Diferenciado",$H$4=#REF!),BDI!#REF!,IF(#REF!="ZERO",0))))),"")</f>
        <v>#REF!</v>
      </c>
      <c r="H412" s="136" t="e">
        <f t="shared" ca="1" si="19"/>
        <v>#REF!</v>
      </c>
      <c r="I412" s="134" t="e">
        <f t="shared" ca="1" si="20"/>
        <v>#REF!</v>
      </c>
      <c r="J412" s="226"/>
    </row>
    <row r="413" spans="1:10" hidden="1" x14ac:dyDescent="0.25">
      <c r="A413" s="112" t="s">
        <v>731</v>
      </c>
      <c r="B413" s="113" t="s">
        <v>1862</v>
      </c>
      <c r="C413" s="114" t="s">
        <v>20</v>
      </c>
      <c r="D413" s="114">
        <v>0</v>
      </c>
      <c r="E413" s="133">
        <f ca="1">OFFSET(INDEX(Composições!A:J,MATCH(Orçamentária!A413,Composições!A:A,0),8),2,0)</f>
        <v>73.957499999999996</v>
      </c>
      <c r="F413" s="134">
        <f t="shared" ca="1" si="18"/>
        <v>0</v>
      </c>
      <c r="G413" s="135" t="e">
        <f>IF(A413&lt;&gt;"",IF(AND(#REF!="Padrão",$H$4=#REF!),BDI!$B$17,IF(AND(#REF!="Padrão",$H$4=#REF!),BDI!#REF!,IF(AND(#REF!="Diferenciado",$H$4=#REF!),BDI!$E$17,IF(AND(#REF!="Diferenciado",$H$4=#REF!),BDI!#REF!,IF(#REF!="ZERO",0))))),"")</f>
        <v>#REF!</v>
      </c>
      <c r="H413" s="136" t="e">
        <f t="shared" ca="1" si="19"/>
        <v>#REF!</v>
      </c>
      <c r="I413" s="134" t="e">
        <f t="shared" ca="1" si="20"/>
        <v>#REF!</v>
      </c>
      <c r="J413" s="226"/>
    </row>
    <row r="414" spans="1:10" hidden="1" x14ac:dyDescent="0.25">
      <c r="A414" s="112" t="s">
        <v>1863</v>
      </c>
      <c r="B414" s="113" t="s">
        <v>1864</v>
      </c>
      <c r="C414" s="114" t="s">
        <v>20</v>
      </c>
      <c r="D414" s="114">
        <v>0</v>
      </c>
      <c r="E414" s="133">
        <f ca="1">OFFSET(INDEX(Composições!A:J,MATCH(Orçamentária!A414,Composições!A:A,0),8),2,0)</f>
        <v>44.744999999999997</v>
      </c>
      <c r="F414" s="134">
        <f t="shared" ca="1" si="18"/>
        <v>0</v>
      </c>
      <c r="G414" s="135" t="e">
        <f>IF(A414&lt;&gt;"",IF(AND(#REF!="Padrão",$H$4=#REF!),BDI!$B$17,IF(AND(#REF!="Padrão",$H$4=#REF!),BDI!#REF!,IF(AND(#REF!="Diferenciado",$H$4=#REF!),BDI!$E$17,IF(AND(#REF!="Diferenciado",$H$4=#REF!),BDI!#REF!,IF(#REF!="ZERO",0))))),"")</f>
        <v>#REF!</v>
      </c>
      <c r="H414" s="136" t="e">
        <f t="shared" ca="1" si="19"/>
        <v>#REF!</v>
      </c>
      <c r="I414" s="134" t="e">
        <f t="shared" ca="1" si="20"/>
        <v>#REF!</v>
      </c>
      <c r="J414" s="226"/>
    </row>
    <row r="415" spans="1:10" hidden="1" x14ac:dyDescent="0.25">
      <c r="A415" s="112" t="s">
        <v>1865</v>
      </c>
      <c r="B415" s="113" t="s">
        <v>1866</v>
      </c>
      <c r="C415" s="114" t="s">
        <v>20</v>
      </c>
      <c r="D415" s="114">
        <v>0</v>
      </c>
      <c r="E415" s="133" t="s">
        <v>514</v>
      </c>
      <c r="F415" s="134" t="str">
        <f t="shared" si="18"/>
        <v/>
      </c>
      <c r="G415" s="135" t="e">
        <f>IF(A415&lt;&gt;"",IF(AND(#REF!="Padrão",$H$4=#REF!),BDI!$B$17,IF(AND(#REF!="Padrão",$H$4=#REF!),BDI!#REF!,IF(AND(#REF!="Diferenciado",$H$4=#REF!),BDI!$E$17,IF(AND(#REF!="Diferenciado",$H$4=#REF!),BDI!#REF!,IF(#REF!="ZERO",0))))),"")</f>
        <v>#REF!</v>
      </c>
      <c r="H415" s="136" t="str">
        <f t="shared" si="19"/>
        <v/>
      </c>
      <c r="I415" s="134" t="str">
        <f t="shared" si="20"/>
        <v/>
      </c>
      <c r="J415" s="226"/>
    </row>
    <row r="416" spans="1:10" hidden="1" x14ac:dyDescent="0.25">
      <c r="A416" s="112" t="s">
        <v>1867</v>
      </c>
      <c r="B416" s="113" t="s">
        <v>1868</v>
      </c>
      <c r="C416" s="114" t="s">
        <v>20</v>
      </c>
      <c r="D416" s="114">
        <v>0</v>
      </c>
      <c r="E416" s="133">
        <f ca="1">OFFSET(INDEX(Composições!A:J,MATCH(Orçamentária!A416,Composições!A:A,0),8),2,0)</f>
        <v>41.324999999999996</v>
      </c>
      <c r="F416" s="134">
        <f t="shared" ca="1" si="18"/>
        <v>0</v>
      </c>
      <c r="G416" s="135" t="e">
        <f>IF(A416&lt;&gt;"",IF(AND(#REF!="Padrão",$H$4=#REF!),BDI!$B$17,IF(AND(#REF!="Padrão",$H$4=#REF!),BDI!#REF!,IF(AND(#REF!="Diferenciado",$H$4=#REF!),BDI!$E$17,IF(AND(#REF!="Diferenciado",$H$4=#REF!),BDI!#REF!,IF(#REF!="ZERO",0))))),"")</f>
        <v>#REF!</v>
      </c>
      <c r="H416" s="136" t="e">
        <f t="shared" ca="1" si="19"/>
        <v>#REF!</v>
      </c>
      <c r="I416" s="134" t="e">
        <f t="shared" ca="1" si="20"/>
        <v>#REF!</v>
      </c>
      <c r="J416" s="226"/>
    </row>
    <row r="417" spans="1:10" hidden="1" x14ac:dyDescent="0.25">
      <c r="A417" s="112" t="s">
        <v>1869</v>
      </c>
      <c r="B417" s="113" t="s">
        <v>1870</v>
      </c>
      <c r="C417" s="114" t="s">
        <v>20</v>
      </c>
      <c r="D417" s="114">
        <v>0</v>
      </c>
      <c r="E417" s="133" t="s">
        <v>514</v>
      </c>
      <c r="F417" s="134" t="str">
        <f t="shared" si="18"/>
        <v/>
      </c>
      <c r="G417" s="135" t="e">
        <f>IF(A417&lt;&gt;"",IF(AND(#REF!="Padrão",$H$4=#REF!),BDI!$B$17,IF(AND(#REF!="Padrão",$H$4=#REF!),BDI!#REF!,IF(AND(#REF!="Diferenciado",$H$4=#REF!),BDI!$E$17,IF(AND(#REF!="Diferenciado",$H$4=#REF!),BDI!#REF!,IF(#REF!="ZERO",0))))),"")</f>
        <v>#REF!</v>
      </c>
      <c r="H417" s="136" t="str">
        <f t="shared" si="19"/>
        <v/>
      </c>
      <c r="I417" s="134" t="str">
        <f t="shared" si="20"/>
        <v/>
      </c>
      <c r="J417" s="226"/>
    </row>
    <row r="418" spans="1:10" hidden="1" x14ac:dyDescent="0.25">
      <c r="A418" s="112" t="s">
        <v>1871</v>
      </c>
      <c r="B418" s="113" t="s">
        <v>1872</v>
      </c>
      <c r="C418" s="114" t="s">
        <v>20</v>
      </c>
      <c r="D418" s="114">
        <v>0</v>
      </c>
      <c r="E418" s="133" t="s">
        <v>514</v>
      </c>
      <c r="F418" s="134" t="str">
        <f t="shared" si="18"/>
        <v/>
      </c>
      <c r="G418" s="135" t="e">
        <f>IF(A418&lt;&gt;"",IF(AND(#REF!="Padrão",$H$4=#REF!),BDI!$B$17,IF(AND(#REF!="Padrão",$H$4=#REF!),BDI!#REF!,IF(AND(#REF!="Diferenciado",$H$4=#REF!),BDI!$E$17,IF(AND(#REF!="Diferenciado",$H$4=#REF!),BDI!#REF!,IF(#REF!="ZERO",0))))),"")</f>
        <v>#REF!</v>
      </c>
      <c r="H418" s="136" t="str">
        <f t="shared" si="19"/>
        <v/>
      </c>
      <c r="I418" s="134" t="str">
        <f t="shared" si="20"/>
        <v/>
      </c>
      <c r="J418" s="226"/>
    </row>
    <row r="419" spans="1:10" hidden="1" x14ac:dyDescent="0.25">
      <c r="A419" s="112" t="s">
        <v>1873</v>
      </c>
      <c r="B419" s="113" t="s">
        <v>1874</v>
      </c>
      <c r="C419" s="114" t="s">
        <v>20</v>
      </c>
      <c r="D419" s="114">
        <v>0</v>
      </c>
      <c r="E419" s="133">
        <f ca="1">OFFSET(INDEX(Composições!A:J,MATCH(Orçamentária!A419,Composições!A:A,0),8),2,0)</f>
        <v>11.2385</v>
      </c>
      <c r="F419" s="134">
        <f t="shared" ca="1" si="18"/>
        <v>0</v>
      </c>
      <c r="G419" s="135" t="e">
        <f>IF(A419&lt;&gt;"",IF(AND(#REF!="Padrão",$H$4=#REF!),BDI!$B$17,IF(AND(#REF!="Padrão",$H$4=#REF!),BDI!#REF!,IF(AND(#REF!="Diferenciado",$H$4=#REF!),BDI!$E$17,IF(AND(#REF!="Diferenciado",$H$4=#REF!),BDI!#REF!,IF(#REF!="ZERO",0))))),"")</f>
        <v>#REF!</v>
      </c>
      <c r="H419" s="136" t="e">
        <f t="shared" ca="1" si="19"/>
        <v>#REF!</v>
      </c>
      <c r="I419" s="134" t="e">
        <f t="shared" ca="1" si="20"/>
        <v>#REF!</v>
      </c>
      <c r="J419" s="226"/>
    </row>
    <row r="420" spans="1:10" hidden="1" x14ac:dyDescent="0.25">
      <c r="A420" s="112" t="s">
        <v>1875</v>
      </c>
      <c r="B420" s="113" t="s">
        <v>1876</v>
      </c>
      <c r="C420" s="114" t="s">
        <v>20</v>
      </c>
      <c r="D420" s="114">
        <v>0</v>
      </c>
      <c r="E420" s="133">
        <f ca="1">OFFSET(INDEX(Composições!A:J,MATCH(Orçamentária!A420,Composições!A:A,0),8),2,0)</f>
        <v>11.228999999999999</v>
      </c>
      <c r="F420" s="134">
        <f t="shared" ca="1" si="18"/>
        <v>0</v>
      </c>
      <c r="G420" s="135" t="e">
        <f>IF(A420&lt;&gt;"",IF(AND(#REF!="Padrão",$H$4=#REF!),BDI!$B$17,IF(AND(#REF!="Padrão",$H$4=#REF!),BDI!#REF!,IF(AND(#REF!="Diferenciado",$H$4=#REF!),BDI!$E$17,IF(AND(#REF!="Diferenciado",$H$4=#REF!),BDI!#REF!,IF(#REF!="ZERO",0))))),"")</f>
        <v>#REF!</v>
      </c>
      <c r="H420" s="136" t="e">
        <f t="shared" ca="1" si="19"/>
        <v>#REF!</v>
      </c>
      <c r="I420" s="134" t="e">
        <f t="shared" ca="1" si="20"/>
        <v>#REF!</v>
      </c>
      <c r="J420" s="226"/>
    </row>
    <row r="421" spans="1:10" hidden="1" x14ac:dyDescent="0.25">
      <c r="A421" s="112" t="s">
        <v>1877</v>
      </c>
      <c r="B421" s="113" t="s">
        <v>1878</v>
      </c>
      <c r="C421" s="114" t="s">
        <v>20</v>
      </c>
      <c r="D421" s="114">
        <v>0</v>
      </c>
      <c r="E421" s="133">
        <f ca="1">OFFSET(INDEX(Composições!A:J,MATCH(Orçamentária!A421,Composições!A:A,0),8),2,0)</f>
        <v>11.228999999999999</v>
      </c>
      <c r="F421" s="134">
        <f t="shared" ca="1" si="18"/>
        <v>0</v>
      </c>
      <c r="G421" s="135" t="e">
        <f>IF(A421&lt;&gt;"",IF(AND(#REF!="Padrão",$H$4=#REF!),BDI!$B$17,IF(AND(#REF!="Padrão",$H$4=#REF!),BDI!#REF!,IF(AND(#REF!="Diferenciado",$H$4=#REF!),BDI!$E$17,IF(AND(#REF!="Diferenciado",$H$4=#REF!),BDI!#REF!,IF(#REF!="ZERO",0))))),"")</f>
        <v>#REF!</v>
      </c>
      <c r="H421" s="136" t="e">
        <f t="shared" ca="1" si="19"/>
        <v>#REF!</v>
      </c>
      <c r="I421" s="134" t="e">
        <f t="shared" ca="1" si="20"/>
        <v>#REF!</v>
      </c>
      <c r="J421" s="226"/>
    </row>
    <row r="422" spans="1:10" hidden="1" x14ac:dyDescent="0.25">
      <c r="A422" s="112" t="s">
        <v>1879</v>
      </c>
      <c r="B422" s="113" t="s">
        <v>1880</v>
      </c>
      <c r="C422" s="114" t="s">
        <v>20</v>
      </c>
      <c r="D422" s="114">
        <v>0</v>
      </c>
      <c r="E422" s="133" t="s">
        <v>514</v>
      </c>
      <c r="F422" s="134" t="str">
        <f t="shared" si="18"/>
        <v/>
      </c>
      <c r="G422" s="135" t="e">
        <f>IF(A422&lt;&gt;"",IF(AND(#REF!="Padrão",$H$4=#REF!),BDI!$B$17,IF(AND(#REF!="Padrão",$H$4=#REF!),BDI!#REF!,IF(AND(#REF!="Diferenciado",$H$4=#REF!),BDI!$E$17,IF(AND(#REF!="Diferenciado",$H$4=#REF!),BDI!#REF!,IF(#REF!="ZERO",0))))),"")</f>
        <v>#REF!</v>
      </c>
      <c r="H422" s="136" t="str">
        <f t="shared" si="19"/>
        <v/>
      </c>
      <c r="I422" s="134" t="str">
        <f t="shared" si="20"/>
        <v/>
      </c>
      <c r="J422" s="226"/>
    </row>
    <row r="423" spans="1:10" hidden="1" x14ac:dyDescent="0.25">
      <c r="A423" s="112" t="s">
        <v>1881</v>
      </c>
      <c r="B423" s="113" t="s">
        <v>1882</v>
      </c>
      <c r="C423" s="114" t="s">
        <v>20</v>
      </c>
      <c r="D423" s="114">
        <v>0</v>
      </c>
      <c r="E423" s="133" t="s">
        <v>514</v>
      </c>
      <c r="F423" s="134" t="str">
        <f t="shared" si="18"/>
        <v/>
      </c>
      <c r="G423" s="135" t="e">
        <f>IF(A423&lt;&gt;"",IF(AND(#REF!="Padrão",$H$4=#REF!),BDI!$B$17,IF(AND(#REF!="Padrão",$H$4=#REF!),BDI!#REF!,IF(AND(#REF!="Diferenciado",$H$4=#REF!),BDI!$E$17,IF(AND(#REF!="Diferenciado",$H$4=#REF!),BDI!#REF!,IF(#REF!="ZERO",0))))),"")</f>
        <v>#REF!</v>
      </c>
      <c r="H423" s="136" t="str">
        <f t="shared" si="19"/>
        <v/>
      </c>
      <c r="I423" s="134" t="str">
        <f t="shared" si="20"/>
        <v/>
      </c>
      <c r="J423" s="226"/>
    </row>
    <row r="424" spans="1:10" hidden="1" x14ac:dyDescent="0.25">
      <c r="A424" s="112" t="s">
        <v>1883</v>
      </c>
      <c r="B424" s="113" t="s">
        <v>1884</v>
      </c>
      <c r="C424" s="114" t="s">
        <v>20</v>
      </c>
      <c r="D424" s="114">
        <v>0</v>
      </c>
      <c r="E424" s="133" t="s">
        <v>514</v>
      </c>
      <c r="F424" s="134" t="str">
        <f t="shared" si="18"/>
        <v/>
      </c>
      <c r="G424" s="135" t="e">
        <f>IF(A424&lt;&gt;"",IF(AND(#REF!="Padrão",$H$4=#REF!),BDI!$B$17,IF(AND(#REF!="Padrão",$H$4=#REF!),BDI!#REF!,IF(AND(#REF!="Diferenciado",$H$4=#REF!),BDI!$E$17,IF(AND(#REF!="Diferenciado",$H$4=#REF!),BDI!#REF!,IF(#REF!="ZERO",0))))),"")</f>
        <v>#REF!</v>
      </c>
      <c r="H424" s="136" t="str">
        <f t="shared" si="19"/>
        <v/>
      </c>
      <c r="I424" s="134" t="str">
        <f t="shared" si="20"/>
        <v/>
      </c>
      <c r="J424" s="226"/>
    </row>
    <row r="425" spans="1:10" hidden="1" x14ac:dyDescent="0.25">
      <c r="A425" s="112" t="s">
        <v>1885</v>
      </c>
      <c r="B425" s="113" t="s">
        <v>1886</v>
      </c>
      <c r="C425" s="114" t="s">
        <v>20</v>
      </c>
      <c r="D425" s="114">
        <v>0</v>
      </c>
      <c r="E425" s="133" t="s">
        <v>514</v>
      </c>
      <c r="F425" s="134" t="str">
        <f t="shared" si="18"/>
        <v/>
      </c>
      <c r="G425" s="135" t="e">
        <f>IF(A425&lt;&gt;"",IF(AND(#REF!="Padrão",$H$4=#REF!),BDI!$B$17,IF(AND(#REF!="Padrão",$H$4=#REF!),BDI!#REF!,IF(AND(#REF!="Diferenciado",$H$4=#REF!),BDI!$E$17,IF(AND(#REF!="Diferenciado",$H$4=#REF!),BDI!#REF!,IF(#REF!="ZERO",0))))),"")</f>
        <v>#REF!</v>
      </c>
      <c r="H425" s="136" t="str">
        <f t="shared" si="19"/>
        <v/>
      </c>
      <c r="I425" s="134" t="str">
        <f t="shared" si="20"/>
        <v/>
      </c>
      <c r="J425" s="226"/>
    </row>
    <row r="426" spans="1:10" hidden="1" x14ac:dyDescent="0.25">
      <c r="A426" s="112" t="s">
        <v>1887</v>
      </c>
      <c r="B426" s="113" t="s">
        <v>1888</v>
      </c>
      <c r="C426" s="114" t="s">
        <v>20</v>
      </c>
      <c r="D426" s="114">
        <v>0</v>
      </c>
      <c r="E426" s="133" t="s">
        <v>514</v>
      </c>
      <c r="F426" s="134" t="str">
        <f t="shared" si="18"/>
        <v/>
      </c>
      <c r="G426" s="135" t="e">
        <f>IF(A426&lt;&gt;"",IF(AND(#REF!="Padrão",$H$4=#REF!),BDI!$B$17,IF(AND(#REF!="Padrão",$H$4=#REF!),BDI!#REF!,IF(AND(#REF!="Diferenciado",$H$4=#REF!),BDI!$E$17,IF(AND(#REF!="Diferenciado",$H$4=#REF!),BDI!#REF!,IF(#REF!="ZERO",0))))),"")</f>
        <v>#REF!</v>
      </c>
      <c r="H426" s="136" t="str">
        <f t="shared" si="19"/>
        <v/>
      </c>
      <c r="I426" s="134" t="str">
        <f t="shared" si="20"/>
        <v/>
      </c>
      <c r="J426" s="226"/>
    </row>
    <row r="427" spans="1:10" hidden="1" x14ac:dyDescent="0.25">
      <c r="A427" s="112" t="s">
        <v>1889</v>
      </c>
      <c r="B427" s="113" t="s">
        <v>1890</v>
      </c>
      <c r="C427" s="114" t="s">
        <v>20</v>
      </c>
      <c r="D427" s="114">
        <v>0</v>
      </c>
      <c r="E427" s="133" t="s">
        <v>514</v>
      </c>
      <c r="F427" s="134" t="str">
        <f t="shared" si="18"/>
        <v/>
      </c>
      <c r="G427" s="135" t="e">
        <f>IF(A427&lt;&gt;"",IF(AND(#REF!="Padrão",$H$4=#REF!),BDI!$B$17,IF(AND(#REF!="Padrão",$H$4=#REF!),BDI!#REF!,IF(AND(#REF!="Diferenciado",$H$4=#REF!),BDI!$E$17,IF(AND(#REF!="Diferenciado",$H$4=#REF!),BDI!#REF!,IF(#REF!="ZERO",0))))),"")</f>
        <v>#REF!</v>
      </c>
      <c r="H427" s="136" t="str">
        <f t="shared" si="19"/>
        <v/>
      </c>
      <c r="I427" s="134" t="str">
        <f t="shared" si="20"/>
        <v/>
      </c>
      <c r="J427" s="226"/>
    </row>
    <row r="428" spans="1:10" hidden="1" x14ac:dyDescent="0.25">
      <c r="A428" s="112" t="s">
        <v>1891</v>
      </c>
      <c r="B428" s="113" t="s">
        <v>1892</v>
      </c>
      <c r="C428" s="114" t="s">
        <v>20</v>
      </c>
      <c r="D428" s="114">
        <v>0</v>
      </c>
      <c r="E428" s="133" t="s">
        <v>514</v>
      </c>
      <c r="F428" s="134" t="str">
        <f t="shared" si="18"/>
        <v/>
      </c>
      <c r="G428" s="135" t="e">
        <f>IF(A428&lt;&gt;"",IF(AND(#REF!="Padrão",$H$4=#REF!),BDI!$B$17,IF(AND(#REF!="Padrão",$H$4=#REF!),BDI!#REF!,IF(AND(#REF!="Diferenciado",$H$4=#REF!),BDI!$E$17,IF(AND(#REF!="Diferenciado",$H$4=#REF!),BDI!#REF!,IF(#REF!="ZERO",0))))),"")</f>
        <v>#REF!</v>
      </c>
      <c r="H428" s="136" t="str">
        <f t="shared" si="19"/>
        <v/>
      </c>
      <c r="I428" s="134" t="str">
        <f t="shared" si="20"/>
        <v/>
      </c>
      <c r="J428" s="226"/>
    </row>
    <row r="429" spans="1:10" hidden="1" x14ac:dyDescent="0.25">
      <c r="A429" s="112" t="s">
        <v>1893</v>
      </c>
      <c r="B429" s="113" t="s">
        <v>1894</v>
      </c>
      <c r="C429" s="114" t="s">
        <v>20</v>
      </c>
      <c r="D429" s="114">
        <v>0</v>
      </c>
      <c r="E429" s="133" t="s">
        <v>514</v>
      </c>
      <c r="F429" s="134" t="str">
        <f t="shared" si="18"/>
        <v/>
      </c>
      <c r="G429" s="135" t="e">
        <f>IF(A429&lt;&gt;"",IF(AND(#REF!="Padrão",$H$4=#REF!),BDI!$B$17,IF(AND(#REF!="Padrão",$H$4=#REF!),BDI!#REF!,IF(AND(#REF!="Diferenciado",$H$4=#REF!),BDI!$E$17,IF(AND(#REF!="Diferenciado",$H$4=#REF!),BDI!#REF!,IF(#REF!="ZERO",0))))),"")</f>
        <v>#REF!</v>
      </c>
      <c r="H429" s="136" t="str">
        <f t="shared" si="19"/>
        <v/>
      </c>
      <c r="I429" s="134" t="str">
        <f t="shared" si="20"/>
        <v/>
      </c>
      <c r="J429" s="226"/>
    </row>
    <row r="430" spans="1:10" hidden="1" x14ac:dyDescent="0.25">
      <c r="A430" s="112" t="s">
        <v>1895</v>
      </c>
      <c r="B430" s="113" t="s">
        <v>1896</v>
      </c>
      <c r="C430" s="114" t="s">
        <v>20</v>
      </c>
      <c r="D430" s="114">
        <v>0</v>
      </c>
      <c r="E430" s="133" t="s">
        <v>514</v>
      </c>
      <c r="F430" s="134" t="str">
        <f t="shared" si="18"/>
        <v/>
      </c>
      <c r="G430" s="135" t="e">
        <f>IF(A430&lt;&gt;"",IF(AND(#REF!="Padrão",$H$4=#REF!),BDI!$B$17,IF(AND(#REF!="Padrão",$H$4=#REF!),BDI!#REF!,IF(AND(#REF!="Diferenciado",$H$4=#REF!),BDI!$E$17,IF(AND(#REF!="Diferenciado",$H$4=#REF!),BDI!#REF!,IF(#REF!="ZERO",0))))),"")</f>
        <v>#REF!</v>
      </c>
      <c r="H430" s="136" t="str">
        <f t="shared" si="19"/>
        <v/>
      </c>
      <c r="I430" s="134" t="str">
        <f t="shared" si="20"/>
        <v/>
      </c>
      <c r="J430" s="226"/>
    </row>
    <row r="431" spans="1:10" hidden="1" x14ac:dyDescent="0.25">
      <c r="A431" s="112" t="s">
        <v>1897</v>
      </c>
      <c r="B431" s="113" t="s">
        <v>1898</v>
      </c>
      <c r="C431" s="114" t="s">
        <v>20</v>
      </c>
      <c r="D431" s="114">
        <v>0</v>
      </c>
      <c r="E431" s="133" t="s">
        <v>514</v>
      </c>
      <c r="F431" s="134" t="str">
        <f t="shared" si="18"/>
        <v/>
      </c>
      <c r="G431" s="135" t="e">
        <f>IF(A431&lt;&gt;"",IF(AND(#REF!="Padrão",$H$4=#REF!),BDI!$B$17,IF(AND(#REF!="Padrão",$H$4=#REF!),BDI!#REF!,IF(AND(#REF!="Diferenciado",$H$4=#REF!),BDI!$E$17,IF(AND(#REF!="Diferenciado",$H$4=#REF!),BDI!#REF!,IF(#REF!="ZERO",0))))),"")</f>
        <v>#REF!</v>
      </c>
      <c r="H431" s="136" t="str">
        <f t="shared" si="19"/>
        <v/>
      </c>
      <c r="I431" s="134" t="str">
        <f t="shared" si="20"/>
        <v/>
      </c>
      <c r="J431" s="226"/>
    </row>
    <row r="432" spans="1:10" hidden="1" x14ac:dyDescent="0.25">
      <c r="A432" s="112" t="s">
        <v>1899</v>
      </c>
      <c r="B432" s="113" t="s">
        <v>1900</v>
      </c>
      <c r="C432" s="114" t="s">
        <v>20</v>
      </c>
      <c r="D432" s="114">
        <v>0</v>
      </c>
      <c r="E432" s="133" t="s">
        <v>514</v>
      </c>
      <c r="F432" s="134" t="str">
        <f t="shared" si="18"/>
        <v/>
      </c>
      <c r="G432" s="135" t="e">
        <f>IF(A432&lt;&gt;"",IF(AND(#REF!="Padrão",$H$4=#REF!),BDI!$B$17,IF(AND(#REF!="Padrão",$H$4=#REF!),BDI!#REF!,IF(AND(#REF!="Diferenciado",$H$4=#REF!),BDI!$E$17,IF(AND(#REF!="Diferenciado",$H$4=#REF!),BDI!#REF!,IF(#REF!="ZERO",0))))),"")</f>
        <v>#REF!</v>
      </c>
      <c r="H432" s="136" t="str">
        <f t="shared" si="19"/>
        <v/>
      </c>
      <c r="I432" s="134" t="str">
        <f t="shared" si="20"/>
        <v/>
      </c>
      <c r="J432" s="226"/>
    </row>
    <row r="433" spans="1:10" hidden="1" x14ac:dyDescent="0.25">
      <c r="A433" s="112" t="s">
        <v>1901</v>
      </c>
      <c r="B433" s="113" t="s">
        <v>1902</v>
      </c>
      <c r="C433" s="114" t="s">
        <v>20</v>
      </c>
      <c r="D433" s="114">
        <v>0</v>
      </c>
      <c r="E433" s="133" t="s">
        <v>514</v>
      </c>
      <c r="F433" s="134" t="str">
        <f t="shared" si="18"/>
        <v/>
      </c>
      <c r="G433" s="135" t="e">
        <f>IF(A433&lt;&gt;"",IF(AND(#REF!="Padrão",$H$4=#REF!),BDI!$B$17,IF(AND(#REF!="Padrão",$H$4=#REF!),BDI!#REF!,IF(AND(#REF!="Diferenciado",$H$4=#REF!),BDI!$E$17,IF(AND(#REF!="Diferenciado",$H$4=#REF!),BDI!#REF!,IF(#REF!="ZERO",0))))),"")</f>
        <v>#REF!</v>
      </c>
      <c r="H433" s="136" t="str">
        <f t="shared" si="19"/>
        <v/>
      </c>
      <c r="I433" s="134" t="str">
        <f t="shared" si="20"/>
        <v/>
      </c>
      <c r="J433" s="226"/>
    </row>
    <row r="434" spans="1:10" hidden="1" x14ac:dyDescent="0.25">
      <c r="A434" s="112" t="s">
        <v>1903</v>
      </c>
      <c r="B434" s="113" t="s">
        <v>1904</v>
      </c>
      <c r="C434" s="114" t="s">
        <v>1905</v>
      </c>
      <c r="D434" s="114">
        <v>0</v>
      </c>
      <c r="E434" s="133" t="s">
        <v>514</v>
      </c>
      <c r="F434" s="134" t="str">
        <f t="shared" si="18"/>
        <v/>
      </c>
      <c r="G434" s="135" t="e">
        <f>IF(A434&lt;&gt;"",IF(AND(#REF!="Padrão",$H$4=#REF!),BDI!$B$17,IF(AND(#REF!="Padrão",$H$4=#REF!),BDI!#REF!,IF(AND(#REF!="Diferenciado",$H$4=#REF!),BDI!$E$17,IF(AND(#REF!="Diferenciado",$H$4=#REF!),BDI!#REF!,IF(#REF!="ZERO",0))))),"")</f>
        <v>#REF!</v>
      </c>
      <c r="H434" s="136" t="str">
        <f t="shared" si="19"/>
        <v/>
      </c>
      <c r="I434" s="134" t="str">
        <f t="shared" si="20"/>
        <v/>
      </c>
      <c r="J434" s="226"/>
    </row>
    <row r="435" spans="1:10" hidden="1" x14ac:dyDescent="0.25">
      <c r="A435" s="112" t="s">
        <v>1906</v>
      </c>
      <c r="B435" s="113" t="s">
        <v>1907</v>
      </c>
      <c r="C435" s="114" t="s">
        <v>1905</v>
      </c>
      <c r="D435" s="114">
        <v>0</v>
      </c>
      <c r="E435" s="133" t="s">
        <v>514</v>
      </c>
      <c r="F435" s="134" t="str">
        <f t="shared" si="18"/>
        <v/>
      </c>
      <c r="G435" s="135" t="e">
        <f>IF(A435&lt;&gt;"",IF(AND(#REF!="Padrão",$H$4=#REF!),BDI!$B$17,IF(AND(#REF!="Padrão",$H$4=#REF!),BDI!#REF!,IF(AND(#REF!="Diferenciado",$H$4=#REF!),BDI!$E$17,IF(AND(#REF!="Diferenciado",$H$4=#REF!),BDI!#REF!,IF(#REF!="ZERO",0))))),"")</f>
        <v>#REF!</v>
      </c>
      <c r="H435" s="136" t="str">
        <f t="shared" si="19"/>
        <v/>
      </c>
      <c r="I435" s="134" t="str">
        <f t="shared" si="20"/>
        <v/>
      </c>
      <c r="J435" s="226"/>
    </row>
    <row r="436" spans="1:10" hidden="1" x14ac:dyDescent="0.25">
      <c r="A436" s="112" t="s">
        <v>1908</v>
      </c>
      <c r="B436" s="113" t="s">
        <v>1909</v>
      </c>
      <c r="C436" s="114" t="s">
        <v>1905</v>
      </c>
      <c r="D436" s="114">
        <v>0</v>
      </c>
      <c r="E436" s="133" t="s">
        <v>514</v>
      </c>
      <c r="F436" s="134" t="str">
        <f t="shared" si="18"/>
        <v/>
      </c>
      <c r="G436" s="135" t="e">
        <f>IF(A436&lt;&gt;"",IF(AND(#REF!="Padrão",$H$4=#REF!),BDI!$B$17,IF(AND(#REF!="Padrão",$H$4=#REF!),BDI!#REF!,IF(AND(#REF!="Diferenciado",$H$4=#REF!),BDI!$E$17,IF(AND(#REF!="Diferenciado",$H$4=#REF!),BDI!#REF!,IF(#REF!="ZERO",0))))),"")</f>
        <v>#REF!</v>
      </c>
      <c r="H436" s="136" t="str">
        <f t="shared" si="19"/>
        <v/>
      </c>
      <c r="I436" s="134" t="str">
        <f t="shared" si="20"/>
        <v/>
      </c>
      <c r="J436" s="226"/>
    </row>
    <row r="437" spans="1:10" hidden="1" x14ac:dyDescent="0.25">
      <c r="A437" s="112" t="s">
        <v>1910</v>
      </c>
      <c r="B437" s="113" t="s">
        <v>1911</v>
      </c>
      <c r="C437" s="114" t="s">
        <v>1905</v>
      </c>
      <c r="D437" s="114">
        <v>0</v>
      </c>
      <c r="E437" s="133" t="s">
        <v>514</v>
      </c>
      <c r="F437" s="134" t="str">
        <f t="shared" si="18"/>
        <v/>
      </c>
      <c r="G437" s="135" t="e">
        <f>IF(A437&lt;&gt;"",IF(AND(#REF!="Padrão",$H$4=#REF!),BDI!$B$17,IF(AND(#REF!="Padrão",$H$4=#REF!),BDI!#REF!,IF(AND(#REF!="Diferenciado",$H$4=#REF!),BDI!$E$17,IF(AND(#REF!="Diferenciado",$H$4=#REF!),BDI!#REF!,IF(#REF!="ZERO",0))))),"")</f>
        <v>#REF!</v>
      </c>
      <c r="H437" s="136" t="str">
        <f t="shared" si="19"/>
        <v/>
      </c>
      <c r="I437" s="134" t="str">
        <f t="shared" si="20"/>
        <v/>
      </c>
      <c r="J437" s="226"/>
    </row>
    <row r="438" spans="1:10" hidden="1" x14ac:dyDescent="0.25">
      <c r="A438" s="112" t="s">
        <v>1912</v>
      </c>
      <c r="B438" s="113" t="s">
        <v>1913</v>
      </c>
      <c r="C438" s="114" t="s">
        <v>1905</v>
      </c>
      <c r="D438" s="114">
        <v>0</v>
      </c>
      <c r="E438" s="133" t="s">
        <v>514</v>
      </c>
      <c r="F438" s="134" t="str">
        <f t="shared" si="18"/>
        <v/>
      </c>
      <c r="G438" s="135" t="e">
        <f>IF(A438&lt;&gt;"",IF(AND(#REF!="Padrão",$H$4=#REF!),BDI!$B$17,IF(AND(#REF!="Padrão",$H$4=#REF!),BDI!#REF!,IF(AND(#REF!="Diferenciado",$H$4=#REF!),BDI!$E$17,IF(AND(#REF!="Diferenciado",$H$4=#REF!),BDI!#REF!,IF(#REF!="ZERO",0))))),"")</f>
        <v>#REF!</v>
      </c>
      <c r="H438" s="136" t="str">
        <f t="shared" si="19"/>
        <v/>
      </c>
      <c r="I438" s="134" t="str">
        <f t="shared" si="20"/>
        <v/>
      </c>
      <c r="J438" s="226"/>
    </row>
    <row r="439" spans="1:10" hidden="1" x14ac:dyDescent="0.25">
      <c r="A439" s="112" t="s">
        <v>1914</v>
      </c>
      <c r="B439" s="113" t="s">
        <v>1915</v>
      </c>
      <c r="C439" s="114" t="s">
        <v>1905</v>
      </c>
      <c r="D439" s="114">
        <v>0</v>
      </c>
      <c r="E439" s="133" t="s">
        <v>514</v>
      </c>
      <c r="F439" s="134" t="str">
        <f t="shared" si="18"/>
        <v/>
      </c>
      <c r="G439" s="135" t="e">
        <f>IF(A439&lt;&gt;"",IF(AND(#REF!="Padrão",$H$4=#REF!),BDI!$B$17,IF(AND(#REF!="Padrão",$H$4=#REF!),BDI!#REF!,IF(AND(#REF!="Diferenciado",$H$4=#REF!),BDI!$E$17,IF(AND(#REF!="Diferenciado",$H$4=#REF!),BDI!#REF!,IF(#REF!="ZERO",0))))),"")</f>
        <v>#REF!</v>
      </c>
      <c r="H439" s="136" t="str">
        <f t="shared" si="19"/>
        <v/>
      </c>
      <c r="I439" s="134" t="str">
        <f t="shared" si="20"/>
        <v/>
      </c>
      <c r="J439" s="226"/>
    </row>
    <row r="440" spans="1:10" hidden="1" x14ac:dyDescent="0.25">
      <c r="A440" s="112" t="s">
        <v>1916</v>
      </c>
      <c r="B440" s="113" t="s">
        <v>1917</v>
      </c>
      <c r="C440" s="114" t="s">
        <v>20</v>
      </c>
      <c r="D440" s="114">
        <v>0</v>
      </c>
      <c r="E440" s="133" t="s">
        <v>514</v>
      </c>
      <c r="F440" s="134" t="str">
        <f t="shared" si="18"/>
        <v/>
      </c>
      <c r="G440" s="135" t="e">
        <f>IF(A440&lt;&gt;"",IF(AND(#REF!="Padrão",$H$4=#REF!),BDI!$B$17,IF(AND(#REF!="Padrão",$H$4=#REF!),BDI!#REF!,IF(AND(#REF!="Diferenciado",$H$4=#REF!),BDI!$E$17,IF(AND(#REF!="Diferenciado",$H$4=#REF!),BDI!#REF!,IF(#REF!="ZERO",0))))),"")</f>
        <v>#REF!</v>
      </c>
      <c r="H440" s="136" t="str">
        <f t="shared" si="19"/>
        <v/>
      </c>
      <c r="I440" s="134" t="str">
        <f t="shared" si="20"/>
        <v/>
      </c>
      <c r="J440" s="226"/>
    </row>
    <row r="441" spans="1:10" hidden="1" x14ac:dyDescent="0.25">
      <c r="A441" s="112" t="s">
        <v>1918</v>
      </c>
      <c r="B441" s="113" t="s">
        <v>1919</v>
      </c>
      <c r="C441" s="114" t="s">
        <v>20</v>
      </c>
      <c r="D441" s="114">
        <v>0</v>
      </c>
      <c r="E441" s="133" t="s">
        <v>514</v>
      </c>
      <c r="F441" s="134" t="str">
        <f t="shared" si="18"/>
        <v/>
      </c>
      <c r="G441" s="135" t="e">
        <f>IF(A441&lt;&gt;"",IF(AND(#REF!="Padrão",$H$4=#REF!),BDI!$B$17,IF(AND(#REF!="Padrão",$H$4=#REF!),BDI!#REF!,IF(AND(#REF!="Diferenciado",$H$4=#REF!),BDI!$E$17,IF(AND(#REF!="Diferenciado",$H$4=#REF!),BDI!#REF!,IF(#REF!="ZERO",0))))),"")</f>
        <v>#REF!</v>
      </c>
      <c r="H441" s="136" t="str">
        <f t="shared" si="19"/>
        <v/>
      </c>
      <c r="I441" s="134" t="str">
        <f t="shared" si="20"/>
        <v/>
      </c>
      <c r="J441" s="226"/>
    </row>
    <row r="442" spans="1:10" hidden="1" x14ac:dyDescent="0.25">
      <c r="A442" s="112" t="s">
        <v>1920</v>
      </c>
      <c r="B442" s="113" t="s">
        <v>1921</v>
      </c>
      <c r="C442" s="114" t="s">
        <v>20</v>
      </c>
      <c r="D442" s="114">
        <v>0</v>
      </c>
      <c r="E442" s="133" t="s">
        <v>514</v>
      </c>
      <c r="F442" s="134" t="str">
        <f t="shared" si="18"/>
        <v/>
      </c>
      <c r="G442" s="135" t="e">
        <f>IF(A442&lt;&gt;"",IF(AND(#REF!="Padrão",$H$4=#REF!),BDI!$B$17,IF(AND(#REF!="Padrão",$H$4=#REF!),BDI!#REF!,IF(AND(#REF!="Diferenciado",$H$4=#REF!),BDI!$E$17,IF(AND(#REF!="Diferenciado",$H$4=#REF!),BDI!#REF!,IF(#REF!="ZERO",0))))),"")</f>
        <v>#REF!</v>
      </c>
      <c r="H442" s="136" t="str">
        <f t="shared" si="19"/>
        <v/>
      </c>
      <c r="I442" s="134" t="str">
        <f t="shared" si="20"/>
        <v/>
      </c>
      <c r="J442" s="226"/>
    </row>
    <row r="443" spans="1:10" hidden="1" x14ac:dyDescent="0.25">
      <c r="A443" s="112" t="s">
        <v>1922</v>
      </c>
      <c r="B443" s="113" t="s">
        <v>1923</v>
      </c>
      <c r="C443" s="114" t="s">
        <v>20</v>
      </c>
      <c r="D443" s="114">
        <v>0</v>
      </c>
      <c r="E443" s="133" t="s">
        <v>514</v>
      </c>
      <c r="F443" s="134" t="str">
        <f t="shared" si="18"/>
        <v/>
      </c>
      <c r="G443" s="135" t="e">
        <f>IF(A443&lt;&gt;"",IF(AND(#REF!="Padrão",$H$4=#REF!),BDI!$B$17,IF(AND(#REF!="Padrão",$H$4=#REF!),BDI!#REF!,IF(AND(#REF!="Diferenciado",$H$4=#REF!),BDI!$E$17,IF(AND(#REF!="Diferenciado",$H$4=#REF!),BDI!#REF!,IF(#REF!="ZERO",0))))),"")</f>
        <v>#REF!</v>
      </c>
      <c r="H443" s="136" t="str">
        <f t="shared" si="19"/>
        <v/>
      </c>
      <c r="I443" s="134" t="str">
        <f t="shared" si="20"/>
        <v/>
      </c>
      <c r="J443" s="226"/>
    </row>
    <row r="444" spans="1:10" hidden="1" x14ac:dyDescent="0.25">
      <c r="A444" s="112" t="s">
        <v>1924</v>
      </c>
      <c r="B444" s="113" t="s">
        <v>1925</v>
      </c>
      <c r="C444" s="114" t="s">
        <v>20</v>
      </c>
      <c r="D444" s="114">
        <v>0</v>
      </c>
      <c r="E444" s="133" t="s">
        <v>514</v>
      </c>
      <c r="F444" s="134" t="str">
        <f t="shared" si="18"/>
        <v/>
      </c>
      <c r="G444" s="135" t="e">
        <f>IF(A444&lt;&gt;"",IF(AND(#REF!="Padrão",$H$4=#REF!),BDI!$B$17,IF(AND(#REF!="Padrão",$H$4=#REF!),BDI!#REF!,IF(AND(#REF!="Diferenciado",$H$4=#REF!),BDI!$E$17,IF(AND(#REF!="Diferenciado",$H$4=#REF!),BDI!#REF!,IF(#REF!="ZERO",0))))),"")</f>
        <v>#REF!</v>
      </c>
      <c r="H444" s="136" t="str">
        <f t="shared" si="19"/>
        <v/>
      </c>
      <c r="I444" s="134" t="str">
        <f t="shared" si="20"/>
        <v/>
      </c>
      <c r="J444" s="226"/>
    </row>
    <row r="445" spans="1:10" hidden="1" x14ac:dyDescent="0.25">
      <c r="A445" s="112" t="s">
        <v>1926</v>
      </c>
      <c r="B445" s="113" t="s">
        <v>1927</v>
      </c>
      <c r="C445" s="114" t="s">
        <v>20</v>
      </c>
      <c r="D445" s="114">
        <v>0</v>
      </c>
      <c r="E445" s="133" t="s">
        <v>514</v>
      </c>
      <c r="F445" s="134" t="str">
        <f t="shared" si="18"/>
        <v/>
      </c>
      <c r="G445" s="135" t="e">
        <f>IF(A445&lt;&gt;"",IF(AND(#REF!="Padrão",$H$4=#REF!),BDI!$B$17,IF(AND(#REF!="Padrão",$H$4=#REF!),BDI!#REF!,IF(AND(#REF!="Diferenciado",$H$4=#REF!),BDI!$E$17,IF(AND(#REF!="Diferenciado",$H$4=#REF!),BDI!#REF!,IF(#REF!="ZERO",0))))),"")</f>
        <v>#REF!</v>
      </c>
      <c r="H445" s="136" t="str">
        <f t="shared" si="19"/>
        <v/>
      </c>
      <c r="I445" s="134" t="str">
        <f t="shared" si="20"/>
        <v/>
      </c>
      <c r="J445" s="226"/>
    </row>
    <row r="446" spans="1:10" hidden="1" x14ac:dyDescent="0.25">
      <c r="A446" s="112" t="s">
        <v>1928</v>
      </c>
      <c r="B446" s="113" t="s">
        <v>1929</v>
      </c>
      <c r="C446" s="114" t="s">
        <v>20</v>
      </c>
      <c r="D446" s="114">
        <v>0</v>
      </c>
      <c r="E446" s="133" t="s">
        <v>514</v>
      </c>
      <c r="F446" s="134" t="str">
        <f t="shared" si="18"/>
        <v/>
      </c>
      <c r="G446" s="135" t="e">
        <f>IF(A446&lt;&gt;"",IF(AND(#REF!="Padrão",$H$4=#REF!),BDI!$B$17,IF(AND(#REF!="Padrão",$H$4=#REF!),BDI!#REF!,IF(AND(#REF!="Diferenciado",$H$4=#REF!),BDI!$E$17,IF(AND(#REF!="Diferenciado",$H$4=#REF!),BDI!#REF!,IF(#REF!="ZERO",0))))),"")</f>
        <v>#REF!</v>
      </c>
      <c r="H446" s="136" t="str">
        <f t="shared" si="19"/>
        <v/>
      </c>
      <c r="I446" s="134" t="str">
        <f t="shared" si="20"/>
        <v/>
      </c>
      <c r="J446" s="226"/>
    </row>
    <row r="447" spans="1:10" hidden="1" x14ac:dyDescent="0.25">
      <c r="A447" s="112" t="s">
        <v>1930</v>
      </c>
      <c r="B447" s="113" t="s">
        <v>1931</v>
      </c>
      <c r="C447" s="114" t="s">
        <v>20</v>
      </c>
      <c r="D447" s="114">
        <v>0</v>
      </c>
      <c r="E447" s="133" t="s">
        <v>514</v>
      </c>
      <c r="F447" s="134" t="str">
        <f t="shared" si="18"/>
        <v/>
      </c>
      <c r="G447" s="135" t="e">
        <f>IF(A447&lt;&gt;"",IF(AND(#REF!="Padrão",$H$4=#REF!),BDI!$B$17,IF(AND(#REF!="Padrão",$H$4=#REF!),BDI!#REF!,IF(AND(#REF!="Diferenciado",$H$4=#REF!),BDI!$E$17,IF(AND(#REF!="Diferenciado",$H$4=#REF!),BDI!#REF!,IF(#REF!="ZERO",0))))),"")</f>
        <v>#REF!</v>
      </c>
      <c r="H447" s="136" t="str">
        <f t="shared" si="19"/>
        <v/>
      </c>
      <c r="I447" s="134" t="str">
        <f t="shared" si="20"/>
        <v/>
      </c>
      <c r="J447" s="226"/>
    </row>
    <row r="448" spans="1:10" hidden="1" x14ac:dyDescent="0.25">
      <c r="A448" s="112" t="s">
        <v>1932</v>
      </c>
      <c r="B448" s="113" t="s">
        <v>1933</v>
      </c>
      <c r="C448" s="114" t="s">
        <v>20</v>
      </c>
      <c r="D448" s="114">
        <v>0</v>
      </c>
      <c r="E448" s="133">
        <f ca="1">OFFSET(INDEX(Composições!A:J,MATCH(Orçamentária!A448,Composições!A:A,0),8),2,0)</f>
        <v>18.3065</v>
      </c>
      <c r="F448" s="134">
        <f t="shared" ca="1" si="18"/>
        <v>0</v>
      </c>
      <c r="G448" s="135" t="e">
        <f>IF(A448&lt;&gt;"",IF(AND(#REF!="Padrão",$H$4=#REF!),BDI!$B$17,IF(AND(#REF!="Padrão",$H$4=#REF!),BDI!#REF!,IF(AND(#REF!="Diferenciado",$H$4=#REF!),BDI!$E$17,IF(AND(#REF!="Diferenciado",$H$4=#REF!),BDI!#REF!,IF(#REF!="ZERO",0))))),"")</f>
        <v>#REF!</v>
      </c>
      <c r="H448" s="136" t="e">
        <f t="shared" ca="1" si="19"/>
        <v>#REF!</v>
      </c>
      <c r="I448" s="134" t="e">
        <f t="shared" ca="1" si="20"/>
        <v>#REF!</v>
      </c>
      <c r="J448" s="226"/>
    </row>
    <row r="449" spans="1:10" hidden="1" x14ac:dyDescent="0.25">
      <c r="A449" s="112" t="s">
        <v>1934</v>
      </c>
      <c r="B449" s="113" t="s">
        <v>1935</v>
      </c>
      <c r="C449" s="114" t="s">
        <v>20</v>
      </c>
      <c r="D449" s="114">
        <v>0</v>
      </c>
      <c r="E449" s="133" t="s">
        <v>514</v>
      </c>
      <c r="F449" s="134" t="str">
        <f t="shared" si="18"/>
        <v/>
      </c>
      <c r="G449" s="135" t="e">
        <f>IF(A449&lt;&gt;"",IF(AND(#REF!="Padrão",$H$4=#REF!),BDI!$B$17,IF(AND(#REF!="Padrão",$H$4=#REF!),BDI!#REF!,IF(AND(#REF!="Diferenciado",$H$4=#REF!),BDI!$E$17,IF(AND(#REF!="Diferenciado",$H$4=#REF!),BDI!#REF!,IF(#REF!="ZERO",0))))),"")</f>
        <v>#REF!</v>
      </c>
      <c r="H449" s="136" t="str">
        <f t="shared" si="19"/>
        <v/>
      </c>
      <c r="I449" s="134" t="str">
        <f t="shared" si="20"/>
        <v/>
      </c>
      <c r="J449" s="226"/>
    </row>
    <row r="450" spans="1:10" hidden="1" x14ac:dyDescent="0.25">
      <c r="A450" s="112" t="s">
        <v>1936</v>
      </c>
      <c r="B450" s="113" t="s">
        <v>1937</v>
      </c>
      <c r="C450" s="114" t="s">
        <v>20</v>
      </c>
      <c r="D450" s="114">
        <v>0</v>
      </c>
      <c r="E450" s="133" t="s">
        <v>514</v>
      </c>
      <c r="F450" s="134" t="str">
        <f t="shared" si="18"/>
        <v/>
      </c>
      <c r="G450" s="135" t="e">
        <f>IF(A450&lt;&gt;"",IF(AND(#REF!="Padrão",$H$4=#REF!),BDI!$B$17,IF(AND(#REF!="Padrão",$H$4=#REF!),BDI!#REF!,IF(AND(#REF!="Diferenciado",$H$4=#REF!),BDI!$E$17,IF(AND(#REF!="Diferenciado",$H$4=#REF!),BDI!#REF!,IF(#REF!="ZERO",0))))),"")</f>
        <v>#REF!</v>
      </c>
      <c r="H450" s="136" t="str">
        <f t="shared" si="19"/>
        <v/>
      </c>
      <c r="I450" s="134" t="str">
        <f t="shared" si="20"/>
        <v/>
      </c>
      <c r="J450" s="226"/>
    </row>
    <row r="451" spans="1:10" hidden="1" x14ac:dyDescent="0.25">
      <c r="A451" s="112" t="s">
        <v>1938</v>
      </c>
      <c r="B451" s="113" t="s">
        <v>1939</v>
      </c>
      <c r="C451" s="114" t="s">
        <v>20</v>
      </c>
      <c r="D451" s="114">
        <v>0</v>
      </c>
      <c r="E451" s="133" t="s">
        <v>514</v>
      </c>
      <c r="F451" s="134" t="str">
        <f t="shared" si="18"/>
        <v/>
      </c>
      <c r="G451" s="135" t="e">
        <f>IF(A451&lt;&gt;"",IF(AND(#REF!="Padrão",$H$4=#REF!),BDI!$B$17,IF(AND(#REF!="Padrão",$H$4=#REF!),BDI!#REF!,IF(AND(#REF!="Diferenciado",$H$4=#REF!),BDI!$E$17,IF(AND(#REF!="Diferenciado",$H$4=#REF!),BDI!#REF!,IF(#REF!="ZERO",0))))),"")</f>
        <v>#REF!</v>
      </c>
      <c r="H451" s="136" t="str">
        <f t="shared" si="19"/>
        <v/>
      </c>
      <c r="I451" s="134" t="str">
        <f t="shared" si="20"/>
        <v/>
      </c>
      <c r="J451" s="226"/>
    </row>
    <row r="452" spans="1:10" hidden="1" x14ac:dyDescent="0.25">
      <c r="A452" s="112" t="s">
        <v>1940</v>
      </c>
      <c r="B452" s="113" t="s">
        <v>1941</v>
      </c>
      <c r="C452" s="114" t="s">
        <v>20</v>
      </c>
      <c r="D452" s="114">
        <v>0</v>
      </c>
      <c r="E452" s="133" t="s">
        <v>514</v>
      </c>
      <c r="F452" s="134" t="str">
        <f t="shared" si="18"/>
        <v/>
      </c>
      <c r="G452" s="135" t="e">
        <f>IF(A452&lt;&gt;"",IF(AND(#REF!="Padrão",$H$4=#REF!),BDI!$B$17,IF(AND(#REF!="Padrão",$H$4=#REF!),BDI!#REF!,IF(AND(#REF!="Diferenciado",$H$4=#REF!),BDI!$E$17,IF(AND(#REF!="Diferenciado",$H$4=#REF!),BDI!#REF!,IF(#REF!="ZERO",0))))),"")</f>
        <v>#REF!</v>
      </c>
      <c r="H452" s="136" t="str">
        <f t="shared" si="19"/>
        <v/>
      </c>
      <c r="I452" s="134" t="str">
        <f t="shared" si="20"/>
        <v/>
      </c>
      <c r="J452" s="226"/>
    </row>
    <row r="453" spans="1:10" hidden="1" x14ac:dyDescent="0.25">
      <c r="A453" s="112" t="s">
        <v>1942</v>
      </c>
      <c r="B453" s="113" t="s">
        <v>1943</v>
      </c>
      <c r="C453" s="114" t="s">
        <v>20</v>
      </c>
      <c r="D453" s="114">
        <v>0</v>
      </c>
      <c r="E453" s="133" t="s">
        <v>514</v>
      </c>
      <c r="F453" s="134" t="str">
        <f t="shared" si="18"/>
        <v/>
      </c>
      <c r="G453" s="135" t="e">
        <f>IF(A453&lt;&gt;"",IF(AND(#REF!="Padrão",$H$4=#REF!),BDI!$B$17,IF(AND(#REF!="Padrão",$H$4=#REF!),BDI!#REF!,IF(AND(#REF!="Diferenciado",$H$4=#REF!),BDI!$E$17,IF(AND(#REF!="Diferenciado",$H$4=#REF!),BDI!#REF!,IF(#REF!="ZERO",0))))),"")</f>
        <v>#REF!</v>
      </c>
      <c r="H453" s="136" t="str">
        <f t="shared" si="19"/>
        <v/>
      </c>
      <c r="I453" s="134" t="str">
        <f t="shared" si="20"/>
        <v/>
      </c>
      <c r="J453" s="226"/>
    </row>
    <row r="454" spans="1:10" hidden="1" x14ac:dyDescent="0.25">
      <c r="A454" s="112" t="s">
        <v>1944</v>
      </c>
      <c r="B454" s="113" t="s">
        <v>1945</v>
      </c>
      <c r="C454" s="114" t="s">
        <v>20</v>
      </c>
      <c r="D454" s="114">
        <v>0</v>
      </c>
      <c r="E454" s="133" t="s">
        <v>514</v>
      </c>
      <c r="F454" s="134" t="str">
        <f t="shared" si="18"/>
        <v/>
      </c>
      <c r="G454" s="135" t="e">
        <f>IF(A454&lt;&gt;"",IF(AND(#REF!="Padrão",$H$4=#REF!),BDI!$B$17,IF(AND(#REF!="Padrão",$H$4=#REF!),BDI!#REF!,IF(AND(#REF!="Diferenciado",$H$4=#REF!),BDI!$E$17,IF(AND(#REF!="Diferenciado",$H$4=#REF!),BDI!#REF!,IF(#REF!="ZERO",0))))),"")</f>
        <v>#REF!</v>
      </c>
      <c r="H454" s="136" t="str">
        <f t="shared" si="19"/>
        <v/>
      </c>
      <c r="I454" s="134" t="str">
        <f t="shared" si="20"/>
        <v/>
      </c>
      <c r="J454" s="226"/>
    </row>
    <row r="455" spans="1:10" hidden="1" x14ac:dyDescent="0.25">
      <c r="A455" s="112" t="s">
        <v>1946</v>
      </c>
      <c r="B455" s="113" t="s">
        <v>1947</v>
      </c>
      <c r="C455" s="114" t="s">
        <v>20</v>
      </c>
      <c r="D455" s="114">
        <v>0</v>
      </c>
      <c r="E455" s="133" t="s">
        <v>514</v>
      </c>
      <c r="F455" s="134" t="str">
        <f t="shared" ref="F455:F518" si="21">IF(ISNUMBER(E455),D455*E455,"")</f>
        <v/>
      </c>
      <c r="G455" s="135" t="e">
        <f>IF(A455&lt;&gt;"",IF(AND(#REF!="Padrão",$H$4=#REF!),BDI!$B$17,IF(AND(#REF!="Padrão",$H$4=#REF!),BDI!#REF!,IF(AND(#REF!="Diferenciado",$H$4=#REF!),BDI!$E$17,IF(AND(#REF!="Diferenciado",$H$4=#REF!),BDI!#REF!,IF(#REF!="ZERO",0))))),"")</f>
        <v>#REF!</v>
      </c>
      <c r="H455" s="136" t="str">
        <f t="shared" ref="H455:H518" si="22">IF(ISNUMBER(E455),ROUND(E455*(1+G455),2),"")</f>
        <v/>
      </c>
      <c r="I455" s="134" t="str">
        <f t="shared" ref="I455:I518" si="23">IF(ISNUMBER(E455),ROUND(H455*D455,2),"")</f>
        <v/>
      </c>
      <c r="J455" s="226"/>
    </row>
    <row r="456" spans="1:10" hidden="1" x14ac:dyDescent="0.25">
      <c r="A456" s="112" t="s">
        <v>1948</v>
      </c>
      <c r="B456" s="113" t="s">
        <v>1949</v>
      </c>
      <c r="C456" s="114" t="s">
        <v>20</v>
      </c>
      <c r="D456" s="114">
        <v>0</v>
      </c>
      <c r="E456" s="133" t="s">
        <v>514</v>
      </c>
      <c r="F456" s="134" t="str">
        <f t="shared" si="21"/>
        <v/>
      </c>
      <c r="G456" s="135" t="e">
        <f>IF(A456&lt;&gt;"",IF(AND(#REF!="Padrão",$H$4=#REF!),BDI!$B$17,IF(AND(#REF!="Padrão",$H$4=#REF!),BDI!#REF!,IF(AND(#REF!="Diferenciado",$H$4=#REF!),BDI!$E$17,IF(AND(#REF!="Diferenciado",$H$4=#REF!),BDI!#REF!,IF(#REF!="ZERO",0))))),"")</f>
        <v>#REF!</v>
      </c>
      <c r="H456" s="136" t="str">
        <f t="shared" si="22"/>
        <v/>
      </c>
      <c r="I456" s="134" t="str">
        <f t="shared" si="23"/>
        <v/>
      </c>
      <c r="J456" s="226"/>
    </row>
    <row r="457" spans="1:10" hidden="1" x14ac:dyDescent="0.25">
      <c r="A457" s="112" t="s">
        <v>1950</v>
      </c>
      <c r="B457" s="113" t="s">
        <v>1951</v>
      </c>
      <c r="C457" s="114" t="s">
        <v>20</v>
      </c>
      <c r="D457" s="114">
        <v>0</v>
      </c>
      <c r="E457" s="133" t="s">
        <v>514</v>
      </c>
      <c r="F457" s="134" t="str">
        <f t="shared" si="21"/>
        <v/>
      </c>
      <c r="G457" s="135" t="e">
        <f>IF(A457&lt;&gt;"",IF(AND(#REF!="Padrão",$H$4=#REF!),BDI!$B$17,IF(AND(#REF!="Padrão",$H$4=#REF!),BDI!#REF!,IF(AND(#REF!="Diferenciado",$H$4=#REF!),BDI!$E$17,IF(AND(#REF!="Diferenciado",$H$4=#REF!),BDI!#REF!,IF(#REF!="ZERO",0))))),"")</f>
        <v>#REF!</v>
      </c>
      <c r="H457" s="136" t="str">
        <f t="shared" si="22"/>
        <v/>
      </c>
      <c r="I457" s="134" t="str">
        <f t="shared" si="23"/>
        <v/>
      </c>
      <c r="J457" s="226"/>
    </row>
    <row r="458" spans="1:10" hidden="1" x14ac:dyDescent="0.25">
      <c r="A458" s="112" t="s">
        <v>1952</v>
      </c>
      <c r="B458" s="113" t="s">
        <v>1953</v>
      </c>
      <c r="C458" s="114" t="s">
        <v>20</v>
      </c>
      <c r="D458" s="114">
        <v>0</v>
      </c>
      <c r="E458" s="133" t="s">
        <v>514</v>
      </c>
      <c r="F458" s="134" t="str">
        <f t="shared" si="21"/>
        <v/>
      </c>
      <c r="G458" s="135" t="e">
        <f>IF(A458&lt;&gt;"",IF(AND(#REF!="Padrão",$H$4=#REF!),BDI!$B$17,IF(AND(#REF!="Padrão",$H$4=#REF!),BDI!#REF!,IF(AND(#REF!="Diferenciado",$H$4=#REF!),BDI!$E$17,IF(AND(#REF!="Diferenciado",$H$4=#REF!),BDI!#REF!,IF(#REF!="ZERO",0))))),"")</f>
        <v>#REF!</v>
      </c>
      <c r="H458" s="136" t="str">
        <f t="shared" si="22"/>
        <v/>
      </c>
      <c r="I458" s="134" t="str">
        <f t="shared" si="23"/>
        <v/>
      </c>
      <c r="J458" s="226"/>
    </row>
    <row r="459" spans="1:10" hidden="1" x14ac:dyDescent="0.25">
      <c r="A459" s="112" t="s">
        <v>1954</v>
      </c>
      <c r="B459" s="113" t="s">
        <v>1955</v>
      </c>
      <c r="C459" s="114" t="s">
        <v>20</v>
      </c>
      <c r="D459" s="114">
        <v>0</v>
      </c>
      <c r="E459" s="133" t="s">
        <v>514</v>
      </c>
      <c r="F459" s="134" t="str">
        <f t="shared" si="21"/>
        <v/>
      </c>
      <c r="G459" s="135" t="e">
        <f>IF(A459&lt;&gt;"",IF(AND(#REF!="Padrão",$H$4=#REF!),BDI!$B$17,IF(AND(#REF!="Padrão",$H$4=#REF!),BDI!#REF!,IF(AND(#REF!="Diferenciado",$H$4=#REF!),BDI!$E$17,IF(AND(#REF!="Diferenciado",$H$4=#REF!),BDI!#REF!,IF(#REF!="ZERO",0))))),"")</f>
        <v>#REF!</v>
      </c>
      <c r="H459" s="136" t="str">
        <f t="shared" si="22"/>
        <v/>
      </c>
      <c r="I459" s="134" t="str">
        <f t="shared" si="23"/>
        <v/>
      </c>
      <c r="J459" s="226"/>
    </row>
    <row r="460" spans="1:10" hidden="1" x14ac:dyDescent="0.25">
      <c r="A460" s="112" t="s">
        <v>1956</v>
      </c>
      <c r="B460" s="113" t="s">
        <v>1957</v>
      </c>
      <c r="C460" s="114" t="s">
        <v>20</v>
      </c>
      <c r="D460" s="114">
        <v>0</v>
      </c>
      <c r="E460" s="133" t="s">
        <v>514</v>
      </c>
      <c r="F460" s="134" t="str">
        <f t="shared" si="21"/>
        <v/>
      </c>
      <c r="G460" s="135" t="e">
        <f>IF(A460&lt;&gt;"",IF(AND(#REF!="Padrão",$H$4=#REF!),BDI!$B$17,IF(AND(#REF!="Padrão",$H$4=#REF!),BDI!#REF!,IF(AND(#REF!="Diferenciado",$H$4=#REF!),BDI!$E$17,IF(AND(#REF!="Diferenciado",$H$4=#REF!),BDI!#REF!,IF(#REF!="ZERO",0))))),"")</f>
        <v>#REF!</v>
      </c>
      <c r="H460" s="136" t="str">
        <f t="shared" si="22"/>
        <v/>
      </c>
      <c r="I460" s="134" t="str">
        <f t="shared" si="23"/>
        <v/>
      </c>
      <c r="J460" s="226"/>
    </row>
    <row r="461" spans="1:10" hidden="1" x14ac:dyDescent="0.25">
      <c r="A461" s="112" t="s">
        <v>1958</v>
      </c>
      <c r="B461" s="113" t="s">
        <v>1959</v>
      </c>
      <c r="C461" s="114" t="s">
        <v>20</v>
      </c>
      <c r="D461" s="114">
        <v>0</v>
      </c>
      <c r="E461" s="133" t="s">
        <v>514</v>
      </c>
      <c r="F461" s="134" t="str">
        <f t="shared" si="21"/>
        <v/>
      </c>
      <c r="G461" s="135" t="e">
        <f>IF(A461&lt;&gt;"",IF(AND(#REF!="Padrão",$H$4=#REF!),BDI!$B$17,IF(AND(#REF!="Padrão",$H$4=#REF!),BDI!#REF!,IF(AND(#REF!="Diferenciado",$H$4=#REF!),BDI!$E$17,IF(AND(#REF!="Diferenciado",$H$4=#REF!),BDI!#REF!,IF(#REF!="ZERO",0))))),"")</f>
        <v>#REF!</v>
      </c>
      <c r="H461" s="136" t="str">
        <f t="shared" si="22"/>
        <v/>
      </c>
      <c r="I461" s="134" t="str">
        <f t="shared" si="23"/>
        <v/>
      </c>
      <c r="J461" s="226"/>
    </row>
    <row r="462" spans="1:10" ht="25.5" hidden="1" x14ac:dyDescent="0.25">
      <c r="A462" s="112" t="s">
        <v>1960</v>
      </c>
      <c r="B462" s="113" t="s">
        <v>1961</v>
      </c>
      <c r="C462" s="114" t="s">
        <v>20</v>
      </c>
      <c r="D462" s="114">
        <v>0</v>
      </c>
      <c r="E462" s="133" t="s">
        <v>514</v>
      </c>
      <c r="F462" s="134" t="str">
        <f t="shared" si="21"/>
        <v/>
      </c>
      <c r="G462" s="135" t="e">
        <f>IF(A462&lt;&gt;"",IF(AND(#REF!="Padrão",$H$4=#REF!),BDI!$B$17,IF(AND(#REF!="Padrão",$H$4=#REF!),BDI!#REF!,IF(AND(#REF!="Diferenciado",$H$4=#REF!),BDI!$E$17,IF(AND(#REF!="Diferenciado",$H$4=#REF!),BDI!#REF!,IF(#REF!="ZERO",0))))),"")</f>
        <v>#REF!</v>
      </c>
      <c r="H462" s="136" t="str">
        <f t="shared" si="22"/>
        <v/>
      </c>
      <c r="I462" s="134" t="str">
        <f t="shared" si="23"/>
        <v/>
      </c>
      <c r="J462" s="226"/>
    </row>
    <row r="463" spans="1:10" hidden="1" x14ac:dyDescent="0.25">
      <c r="A463" s="112" t="s">
        <v>1962</v>
      </c>
      <c r="B463" s="113" t="s">
        <v>1963</v>
      </c>
      <c r="C463" s="114" t="s">
        <v>20</v>
      </c>
      <c r="D463" s="114">
        <v>0</v>
      </c>
      <c r="E463" s="133" t="s">
        <v>514</v>
      </c>
      <c r="F463" s="134" t="str">
        <f t="shared" si="21"/>
        <v/>
      </c>
      <c r="G463" s="135" t="e">
        <f>IF(A463&lt;&gt;"",IF(AND(#REF!="Padrão",$H$4=#REF!),BDI!$B$17,IF(AND(#REF!="Padrão",$H$4=#REF!),BDI!#REF!,IF(AND(#REF!="Diferenciado",$H$4=#REF!),BDI!$E$17,IF(AND(#REF!="Diferenciado",$H$4=#REF!),BDI!#REF!,IF(#REF!="ZERO",0))))),"")</f>
        <v>#REF!</v>
      </c>
      <c r="H463" s="136" t="str">
        <f t="shared" si="22"/>
        <v/>
      </c>
      <c r="I463" s="134" t="str">
        <f t="shared" si="23"/>
        <v/>
      </c>
      <c r="J463" s="226"/>
    </row>
    <row r="464" spans="1:10" hidden="1" x14ac:dyDescent="0.25">
      <c r="A464" s="112" t="s">
        <v>1964</v>
      </c>
      <c r="B464" s="113" t="s">
        <v>1965</v>
      </c>
      <c r="C464" s="114" t="s">
        <v>20</v>
      </c>
      <c r="D464" s="114">
        <v>0</v>
      </c>
      <c r="E464" s="133" t="s">
        <v>514</v>
      </c>
      <c r="F464" s="134" t="str">
        <f t="shared" si="21"/>
        <v/>
      </c>
      <c r="G464" s="135" t="e">
        <f>IF(A464&lt;&gt;"",IF(AND(#REF!="Padrão",$H$4=#REF!),BDI!$B$17,IF(AND(#REF!="Padrão",$H$4=#REF!),BDI!#REF!,IF(AND(#REF!="Diferenciado",$H$4=#REF!),BDI!$E$17,IF(AND(#REF!="Diferenciado",$H$4=#REF!),BDI!#REF!,IF(#REF!="ZERO",0))))),"")</f>
        <v>#REF!</v>
      </c>
      <c r="H464" s="136" t="str">
        <f t="shared" si="22"/>
        <v/>
      </c>
      <c r="I464" s="134" t="str">
        <f t="shared" si="23"/>
        <v/>
      </c>
      <c r="J464" s="226"/>
    </row>
    <row r="465" spans="1:10" hidden="1" x14ac:dyDescent="0.25">
      <c r="A465" s="112" t="s">
        <v>1966</v>
      </c>
      <c r="B465" s="113" t="s">
        <v>1967</v>
      </c>
      <c r="C465" s="114" t="s">
        <v>20</v>
      </c>
      <c r="D465" s="114">
        <v>0</v>
      </c>
      <c r="E465" s="133" t="s">
        <v>514</v>
      </c>
      <c r="F465" s="134" t="str">
        <f t="shared" si="21"/>
        <v/>
      </c>
      <c r="G465" s="135" t="e">
        <f>IF(A465&lt;&gt;"",IF(AND(#REF!="Padrão",$H$4=#REF!),BDI!$B$17,IF(AND(#REF!="Padrão",$H$4=#REF!),BDI!#REF!,IF(AND(#REF!="Diferenciado",$H$4=#REF!),BDI!$E$17,IF(AND(#REF!="Diferenciado",$H$4=#REF!),BDI!#REF!,IF(#REF!="ZERO",0))))),"")</f>
        <v>#REF!</v>
      </c>
      <c r="H465" s="136" t="str">
        <f t="shared" si="22"/>
        <v/>
      </c>
      <c r="I465" s="134" t="str">
        <f t="shared" si="23"/>
        <v/>
      </c>
      <c r="J465" s="226"/>
    </row>
    <row r="466" spans="1:10" hidden="1" x14ac:dyDescent="0.25">
      <c r="A466" s="112" t="s">
        <v>1968</v>
      </c>
      <c r="B466" s="113" t="s">
        <v>1969</v>
      </c>
      <c r="C466" s="114" t="s">
        <v>20</v>
      </c>
      <c r="D466" s="114">
        <v>0</v>
      </c>
      <c r="E466" s="133" t="s">
        <v>514</v>
      </c>
      <c r="F466" s="134" t="str">
        <f t="shared" si="21"/>
        <v/>
      </c>
      <c r="G466" s="135" t="e">
        <f>IF(A466&lt;&gt;"",IF(AND(#REF!="Padrão",$H$4=#REF!),BDI!$B$17,IF(AND(#REF!="Padrão",$H$4=#REF!),BDI!#REF!,IF(AND(#REF!="Diferenciado",$H$4=#REF!),BDI!$E$17,IF(AND(#REF!="Diferenciado",$H$4=#REF!),BDI!#REF!,IF(#REF!="ZERO",0))))),"")</f>
        <v>#REF!</v>
      </c>
      <c r="H466" s="136" t="str">
        <f t="shared" si="22"/>
        <v/>
      </c>
      <c r="I466" s="134" t="str">
        <f t="shared" si="23"/>
        <v/>
      </c>
      <c r="J466" s="226"/>
    </row>
    <row r="467" spans="1:10" hidden="1" x14ac:dyDescent="0.25">
      <c r="A467" s="112" t="s">
        <v>1970</v>
      </c>
      <c r="B467" s="113" t="s">
        <v>1971</v>
      </c>
      <c r="C467" s="114" t="s">
        <v>20</v>
      </c>
      <c r="D467" s="114">
        <v>0</v>
      </c>
      <c r="E467" s="133" t="s">
        <v>514</v>
      </c>
      <c r="F467" s="134" t="str">
        <f t="shared" si="21"/>
        <v/>
      </c>
      <c r="G467" s="135" t="e">
        <f>IF(A467&lt;&gt;"",IF(AND(#REF!="Padrão",$H$4=#REF!),BDI!$B$17,IF(AND(#REF!="Padrão",$H$4=#REF!),BDI!#REF!,IF(AND(#REF!="Diferenciado",$H$4=#REF!),BDI!$E$17,IF(AND(#REF!="Diferenciado",$H$4=#REF!),BDI!#REF!,IF(#REF!="ZERO",0))))),"")</f>
        <v>#REF!</v>
      </c>
      <c r="H467" s="136" t="str">
        <f t="shared" si="22"/>
        <v/>
      </c>
      <c r="I467" s="134" t="str">
        <f t="shared" si="23"/>
        <v/>
      </c>
      <c r="J467" s="226"/>
    </row>
    <row r="468" spans="1:10" hidden="1" x14ac:dyDescent="0.25">
      <c r="A468" s="112" t="s">
        <v>1972</v>
      </c>
      <c r="B468" s="113" t="s">
        <v>1973</v>
      </c>
      <c r="C468" s="114" t="s">
        <v>20</v>
      </c>
      <c r="D468" s="114">
        <v>0</v>
      </c>
      <c r="E468" s="133" t="s">
        <v>514</v>
      </c>
      <c r="F468" s="134" t="str">
        <f t="shared" si="21"/>
        <v/>
      </c>
      <c r="G468" s="135" t="e">
        <f>IF(A468&lt;&gt;"",IF(AND(#REF!="Padrão",$H$4=#REF!),BDI!$B$17,IF(AND(#REF!="Padrão",$H$4=#REF!),BDI!#REF!,IF(AND(#REF!="Diferenciado",$H$4=#REF!),BDI!$E$17,IF(AND(#REF!="Diferenciado",$H$4=#REF!),BDI!#REF!,IF(#REF!="ZERO",0))))),"")</f>
        <v>#REF!</v>
      </c>
      <c r="H468" s="136" t="str">
        <f t="shared" si="22"/>
        <v/>
      </c>
      <c r="I468" s="134" t="str">
        <f t="shared" si="23"/>
        <v/>
      </c>
      <c r="J468" s="226"/>
    </row>
    <row r="469" spans="1:10" hidden="1" x14ac:dyDescent="0.25">
      <c r="A469" s="112" t="s">
        <v>1974</v>
      </c>
      <c r="B469" s="113" t="s">
        <v>1975</v>
      </c>
      <c r="C469" s="114" t="s">
        <v>20</v>
      </c>
      <c r="D469" s="114">
        <v>0</v>
      </c>
      <c r="E469" s="133" t="s">
        <v>514</v>
      </c>
      <c r="F469" s="134" t="str">
        <f t="shared" si="21"/>
        <v/>
      </c>
      <c r="G469" s="135" t="e">
        <f>IF(A469&lt;&gt;"",IF(AND(#REF!="Padrão",$H$4=#REF!),BDI!$B$17,IF(AND(#REF!="Padrão",$H$4=#REF!),BDI!#REF!,IF(AND(#REF!="Diferenciado",$H$4=#REF!),BDI!$E$17,IF(AND(#REF!="Diferenciado",$H$4=#REF!),BDI!#REF!,IF(#REF!="ZERO",0))))),"")</f>
        <v>#REF!</v>
      </c>
      <c r="H469" s="136" t="str">
        <f t="shared" si="22"/>
        <v/>
      </c>
      <c r="I469" s="134" t="str">
        <f t="shared" si="23"/>
        <v/>
      </c>
      <c r="J469" s="226"/>
    </row>
    <row r="470" spans="1:10" hidden="1" x14ac:dyDescent="0.25">
      <c r="A470" s="112" t="s">
        <v>1976</v>
      </c>
      <c r="B470" s="113" t="s">
        <v>1977</v>
      </c>
      <c r="C470" s="114" t="s">
        <v>20</v>
      </c>
      <c r="D470" s="114">
        <v>0</v>
      </c>
      <c r="E470" s="133" t="s">
        <v>514</v>
      </c>
      <c r="F470" s="134" t="str">
        <f t="shared" si="21"/>
        <v/>
      </c>
      <c r="G470" s="135" t="e">
        <f>IF(A470&lt;&gt;"",IF(AND(#REF!="Padrão",$H$4=#REF!),BDI!$B$17,IF(AND(#REF!="Padrão",$H$4=#REF!),BDI!#REF!,IF(AND(#REF!="Diferenciado",$H$4=#REF!),BDI!$E$17,IF(AND(#REF!="Diferenciado",$H$4=#REF!),BDI!#REF!,IF(#REF!="ZERO",0))))),"")</f>
        <v>#REF!</v>
      </c>
      <c r="H470" s="136" t="str">
        <f t="shared" si="22"/>
        <v/>
      </c>
      <c r="I470" s="134" t="str">
        <f t="shared" si="23"/>
        <v/>
      </c>
      <c r="J470" s="226"/>
    </row>
    <row r="471" spans="1:10" hidden="1" x14ac:dyDescent="0.25">
      <c r="A471" s="112" t="s">
        <v>1978</v>
      </c>
      <c r="B471" s="113" t="s">
        <v>1979</v>
      </c>
      <c r="C471" s="114" t="s">
        <v>20</v>
      </c>
      <c r="D471" s="114">
        <v>0</v>
      </c>
      <c r="E471" s="133" t="s">
        <v>514</v>
      </c>
      <c r="F471" s="134" t="str">
        <f t="shared" si="21"/>
        <v/>
      </c>
      <c r="G471" s="135" t="e">
        <f>IF(A471&lt;&gt;"",IF(AND(#REF!="Padrão",$H$4=#REF!),BDI!$B$17,IF(AND(#REF!="Padrão",$H$4=#REF!),BDI!#REF!,IF(AND(#REF!="Diferenciado",$H$4=#REF!),BDI!$E$17,IF(AND(#REF!="Diferenciado",$H$4=#REF!),BDI!#REF!,IF(#REF!="ZERO",0))))),"")</f>
        <v>#REF!</v>
      </c>
      <c r="H471" s="136" t="str">
        <f t="shared" si="22"/>
        <v/>
      </c>
      <c r="I471" s="134" t="str">
        <f t="shared" si="23"/>
        <v/>
      </c>
      <c r="J471" s="226"/>
    </row>
    <row r="472" spans="1:10" hidden="1" x14ac:dyDescent="0.25">
      <c r="A472" s="112" t="s">
        <v>733</v>
      </c>
      <c r="B472" s="113" t="s">
        <v>1980</v>
      </c>
      <c r="C472" s="114" t="s">
        <v>1981</v>
      </c>
      <c r="D472" s="114">
        <v>0</v>
      </c>
      <c r="E472" s="133">
        <f ca="1">OFFSET(INDEX(Composições!A:J,MATCH(Orçamentária!A472,Composições!A:A,0),8),2,0)</f>
        <v>25.65</v>
      </c>
      <c r="F472" s="134">
        <f t="shared" ca="1" si="21"/>
        <v>0</v>
      </c>
      <c r="G472" s="135" t="e">
        <f>IF(A472&lt;&gt;"",IF(AND(#REF!="Padrão",$H$4=#REF!),BDI!$B$17,IF(AND(#REF!="Padrão",$H$4=#REF!),BDI!#REF!,IF(AND(#REF!="Diferenciado",$H$4=#REF!),BDI!$E$17,IF(AND(#REF!="Diferenciado",$H$4=#REF!),BDI!#REF!,IF(#REF!="ZERO",0))))),"")</f>
        <v>#REF!</v>
      </c>
      <c r="H472" s="136" t="e">
        <f t="shared" ca="1" si="22"/>
        <v>#REF!</v>
      </c>
      <c r="I472" s="134" t="e">
        <f t="shared" ca="1" si="23"/>
        <v>#REF!</v>
      </c>
      <c r="J472" s="226"/>
    </row>
    <row r="473" spans="1:10" hidden="1" x14ac:dyDescent="0.25">
      <c r="A473" s="112" t="s">
        <v>1982</v>
      </c>
      <c r="B473" s="113" t="s">
        <v>1983</v>
      </c>
      <c r="C473" s="114" t="s">
        <v>42</v>
      </c>
      <c r="D473" s="114">
        <v>0</v>
      </c>
      <c r="E473" s="133">
        <f ca="1">OFFSET(INDEX(Composições!A:J,MATCH(Orçamentária!A473,Composições!A:A,0),8),2,0)</f>
        <v>45.637999999999998</v>
      </c>
      <c r="F473" s="134">
        <f t="shared" ca="1" si="21"/>
        <v>0</v>
      </c>
      <c r="G473" s="135" t="e">
        <f>IF(A473&lt;&gt;"",IF(AND(#REF!="Padrão",$H$4=#REF!),BDI!$B$17,IF(AND(#REF!="Padrão",$H$4=#REF!),BDI!#REF!,IF(AND(#REF!="Diferenciado",$H$4=#REF!),BDI!$E$17,IF(AND(#REF!="Diferenciado",$H$4=#REF!),BDI!#REF!,IF(#REF!="ZERO",0))))),"")</f>
        <v>#REF!</v>
      </c>
      <c r="H473" s="136" t="e">
        <f t="shared" ca="1" si="22"/>
        <v>#REF!</v>
      </c>
      <c r="I473" s="134" t="e">
        <f t="shared" ca="1" si="23"/>
        <v>#REF!</v>
      </c>
      <c r="J473" s="226"/>
    </row>
    <row r="474" spans="1:10" hidden="1" x14ac:dyDescent="0.25">
      <c r="A474" s="112" t="s">
        <v>1984</v>
      </c>
      <c r="B474" s="113" t="s">
        <v>1985</v>
      </c>
      <c r="C474" s="114" t="s">
        <v>42</v>
      </c>
      <c r="D474" s="114">
        <v>0</v>
      </c>
      <c r="E474" s="133" t="s">
        <v>514</v>
      </c>
      <c r="F474" s="134" t="str">
        <f t="shared" si="21"/>
        <v/>
      </c>
      <c r="G474" s="135" t="e">
        <f>IF(A474&lt;&gt;"",IF(AND(#REF!="Padrão",$H$4=#REF!),BDI!$B$17,IF(AND(#REF!="Padrão",$H$4=#REF!),BDI!#REF!,IF(AND(#REF!="Diferenciado",$H$4=#REF!),BDI!$E$17,IF(AND(#REF!="Diferenciado",$H$4=#REF!),BDI!#REF!,IF(#REF!="ZERO",0))))),"")</f>
        <v>#REF!</v>
      </c>
      <c r="H474" s="136" t="str">
        <f t="shared" si="22"/>
        <v/>
      </c>
      <c r="I474" s="134" t="str">
        <f t="shared" si="23"/>
        <v/>
      </c>
      <c r="J474" s="226"/>
    </row>
    <row r="475" spans="1:10" hidden="1" x14ac:dyDescent="0.25">
      <c r="A475" s="112" t="s">
        <v>1986</v>
      </c>
      <c r="B475" s="113" t="s">
        <v>1987</v>
      </c>
      <c r="C475" s="114" t="s">
        <v>94</v>
      </c>
      <c r="D475" s="114">
        <v>0</v>
      </c>
      <c r="E475" s="133">
        <f ca="1">OFFSET(INDEX(Composições!A:J,MATCH(Orçamentária!A475,Composições!A:A,0),8),2,0)</f>
        <v>61.502999999999993</v>
      </c>
      <c r="F475" s="134">
        <f t="shared" ca="1" si="21"/>
        <v>0</v>
      </c>
      <c r="G475" s="135" t="e">
        <f>IF(A475&lt;&gt;"",IF(AND(#REF!="Padrão",$H$4=#REF!),BDI!$B$17,IF(AND(#REF!="Padrão",$H$4=#REF!),BDI!#REF!,IF(AND(#REF!="Diferenciado",$H$4=#REF!),BDI!$E$17,IF(AND(#REF!="Diferenciado",$H$4=#REF!),BDI!#REF!,IF(#REF!="ZERO",0))))),"")</f>
        <v>#REF!</v>
      </c>
      <c r="H475" s="136" t="e">
        <f t="shared" ca="1" si="22"/>
        <v>#REF!</v>
      </c>
      <c r="I475" s="134" t="e">
        <f t="shared" ca="1" si="23"/>
        <v>#REF!</v>
      </c>
      <c r="J475" s="226"/>
    </row>
    <row r="476" spans="1:10" hidden="1" x14ac:dyDescent="0.25">
      <c r="A476" s="112" t="s">
        <v>1988</v>
      </c>
      <c r="B476" s="113" t="s">
        <v>1989</v>
      </c>
      <c r="C476" s="114" t="s">
        <v>94</v>
      </c>
      <c r="D476" s="114">
        <v>0</v>
      </c>
      <c r="E476" s="133">
        <f ca="1">OFFSET(INDEX(Composições!A:J,MATCH(Orçamentária!A476,Composições!A:A,0),8),2,0)</f>
        <v>61.502999999999993</v>
      </c>
      <c r="F476" s="134">
        <f t="shared" ca="1" si="21"/>
        <v>0</v>
      </c>
      <c r="G476" s="135" t="e">
        <f>IF(A476&lt;&gt;"",IF(AND(#REF!="Padrão",$H$4=#REF!),BDI!$B$17,IF(AND(#REF!="Padrão",$H$4=#REF!),BDI!#REF!,IF(AND(#REF!="Diferenciado",$H$4=#REF!),BDI!$E$17,IF(AND(#REF!="Diferenciado",$H$4=#REF!),BDI!#REF!,IF(#REF!="ZERO",0))))),"")</f>
        <v>#REF!</v>
      </c>
      <c r="H476" s="136" t="e">
        <f t="shared" ca="1" si="22"/>
        <v>#REF!</v>
      </c>
      <c r="I476" s="134" t="e">
        <f t="shared" ca="1" si="23"/>
        <v>#REF!</v>
      </c>
      <c r="J476" s="226"/>
    </row>
    <row r="477" spans="1:10" hidden="1" x14ac:dyDescent="0.25">
      <c r="A477" s="112" t="s">
        <v>1990</v>
      </c>
      <c r="B477" s="113" t="s">
        <v>1991</v>
      </c>
      <c r="C477" s="114" t="s">
        <v>94</v>
      </c>
      <c r="D477" s="114">
        <v>0</v>
      </c>
      <c r="E477" s="133">
        <f ca="1">OFFSET(INDEX(Composições!A:J,MATCH(Orçamentária!A477,Composições!A:A,0),8),2,0)</f>
        <v>61.502999999999993</v>
      </c>
      <c r="F477" s="134">
        <f t="shared" ca="1" si="21"/>
        <v>0</v>
      </c>
      <c r="G477" s="135" t="e">
        <f>IF(A477&lt;&gt;"",IF(AND(#REF!="Padrão",$H$4=#REF!),BDI!$B$17,IF(AND(#REF!="Padrão",$H$4=#REF!),BDI!#REF!,IF(AND(#REF!="Diferenciado",$H$4=#REF!),BDI!$E$17,IF(AND(#REF!="Diferenciado",$H$4=#REF!),BDI!#REF!,IF(#REF!="ZERO",0))))),"")</f>
        <v>#REF!</v>
      </c>
      <c r="H477" s="136" t="e">
        <f t="shared" ca="1" si="22"/>
        <v>#REF!</v>
      </c>
      <c r="I477" s="134" t="e">
        <f t="shared" ca="1" si="23"/>
        <v>#REF!</v>
      </c>
      <c r="J477" s="226"/>
    </row>
    <row r="478" spans="1:10" hidden="1" x14ac:dyDescent="0.25">
      <c r="A478" s="112" t="s">
        <v>1992</v>
      </c>
      <c r="B478" s="113" t="s">
        <v>3730</v>
      </c>
      <c r="C478" s="114" t="s">
        <v>94</v>
      </c>
      <c r="D478" s="114">
        <v>0</v>
      </c>
      <c r="E478" s="133" t="s">
        <v>514</v>
      </c>
      <c r="F478" s="134" t="str">
        <f t="shared" si="21"/>
        <v/>
      </c>
      <c r="G478" s="135" t="e">
        <f>IF(A478&lt;&gt;"",IF(AND(#REF!="Padrão",$H$4=#REF!),BDI!$B$17,IF(AND(#REF!="Padrão",$H$4=#REF!),BDI!#REF!,IF(AND(#REF!="Diferenciado",$H$4=#REF!),BDI!$E$17,IF(AND(#REF!="Diferenciado",$H$4=#REF!),BDI!#REF!,IF(#REF!="ZERO",0))))),"")</f>
        <v>#REF!</v>
      </c>
      <c r="H478" s="136" t="str">
        <f t="shared" si="22"/>
        <v/>
      </c>
      <c r="I478" s="134" t="str">
        <f t="shared" si="23"/>
        <v/>
      </c>
      <c r="J478" s="226"/>
    </row>
    <row r="479" spans="1:10" hidden="1" x14ac:dyDescent="0.25">
      <c r="A479" s="112" t="s">
        <v>1993</v>
      </c>
      <c r="B479" s="113" t="s">
        <v>1994</v>
      </c>
      <c r="C479" s="114" t="s">
        <v>94</v>
      </c>
      <c r="D479" s="114">
        <v>0</v>
      </c>
      <c r="E479" s="133" t="s">
        <v>514</v>
      </c>
      <c r="F479" s="134" t="str">
        <f t="shared" si="21"/>
        <v/>
      </c>
      <c r="G479" s="135" t="e">
        <f>IF(A479&lt;&gt;"",IF(AND(#REF!="Padrão",$H$4=#REF!),BDI!$B$17,IF(AND(#REF!="Padrão",$H$4=#REF!),BDI!#REF!,IF(AND(#REF!="Diferenciado",$H$4=#REF!),BDI!$E$17,IF(AND(#REF!="Diferenciado",$H$4=#REF!),BDI!#REF!,IF(#REF!="ZERO",0))))),"")</f>
        <v>#REF!</v>
      </c>
      <c r="H479" s="136" t="str">
        <f t="shared" si="22"/>
        <v/>
      </c>
      <c r="I479" s="134" t="str">
        <f t="shared" si="23"/>
        <v/>
      </c>
      <c r="J479" s="226"/>
    </row>
    <row r="480" spans="1:10" hidden="1" x14ac:dyDescent="0.25">
      <c r="A480" s="112" t="s">
        <v>1995</v>
      </c>
      <c r="B480" s="113" t="s">
        <v>1996</v>
      </c>
      <c r="C480" s="114" t="s">
        <v>94</v>
      </c>
      <c r="D480" s="114">
        <v>0</v>
      </c>
      <c r="E480" s="133" t="s">
        <v>514</v>
      </c>
      <c r="F480" s="134" t="str">
        <f t="shared" si="21"/>
        <v/>
      </c>
      <c r="G480" s="135" t="e">
        <f>IF(A480&lt;&gt;"",IF(AND(#REF!="Padrão",$H$4=#REF!),BDI!$B$17,IF(AND(#REF!="Padrão",$H$4=#REF!),BDI!#REF!,IF(AND(#REF!="Diferenciado",$H$4=#REF!),BDI!$E$17,IF(AND(#REF!="Diferenciado",$H$4=#REF!),BDI!#REF!,IF(#REF!="ZERO",0))))),"")</f>
        <v>#REF!</v>
      </c>
      <c r="H480" s="136" t="str">
        <f t="shared" si="22"/>
        <v/>
      </c>
      <c r="I480" s="134" t="str">
        <f t="shared" si="23"/>
        <v/>
      </c>
      <c r="J480" s="226"/>
    </row>
    <row r="481" spans="1:10" hidden="1" x14ac:dyDescent="0.25">
      <c r="A481" s="112" t="s">
        <v>1997</v>
      </c>
      <c r="B481" s="113" t="s">
        <v>1998</v>
      </c>
      <c r="C481" s="114" t="s">
        <v>94</v>
      </c>
      <c r="D481" s="114">
        <v>0</v>
      </c>
      <c r="E481" s="133" t="s">
        <v>514</v>
      </c>
      <c r="F481" s="134" t="str">
        <f t="shared" si="21"/>
        <v/>
      </c>
      <c r="G481" s="135" t="e">
        <f>IF(A481&lt;&gt;"",IF(AND(#REF!="Padrão",$H$4=#REF!),BDI!$B$17,IF(AND(#REF!="Padrão",$H$4=#REF!),BDI!#REF!,IF(AND(#REF!="Diferenciado",$H$4=#REF!),BDI!$E$17,IF(AND(#REF!="Diferenciado",$H$4=#REF!),BDI!#REF!,IF(#REF!="ZERO",0))))),"")</f>
        <v>#REF!</v>
      </c>
      <c r="H481" s="136" t="str">
        <f t="shared" si="22"/>
        <v/>
      </c>
      <c r="I481" s="134" t="str">
        <f t="shared" si="23"/>
        <v/>
      </c>
      <c r="J481" s="226"/>
    </row>
    <row r="482" spans="1:10" hidden="1" x14ac:dyDescent="0.25">
      <c r="A482" s="112" t="s">
        <v>1999</v>
      </c>
      <c r="B482" s="113" t="s">
        <v>2000</v>
      </c>
      <c r="C482" s="114" t="s">
        <v>94</v>
      </c>
      <c r="D482" s="114">
        <v>0</v>
      </c>
      <c r="E482" s="133" t="s">
        <v>514</v>
      </c>
      <c r="F482" s="134" t="str">
        <f t="shared" si="21"/>
        <v/>
      </c>
      <c r="G482" s="135" t="e">
        <f>IF(A482&lt;&gt;"",IF(AND(#REF!="Padrão",$H$4=#REF!),BDI!$B$17,IF(AND(#REF!="Padrão",$H$4=#REF!),BDI!#REF!,IF(AND(#REF!="Diferenciado",$H$4=#REF!),BDI!$E$17,IF(AND(#REF!="Diferenciado",$H$4=#REF!),BDI!#REF!,IF(#REF!="ZERO",0))))),"")</f>
        <v>#REF!</v>
      </c>
      <c r="H482" s="136" t="str">
        <f t="shared" si="22"/>
        <v/>
      </c>
      <c r="I482" s="134" t="str">
        <f t="shared" si="23"/>
        <v/>
      </c>
      <c r="J482" s="226"/>
    </row>
    <row r="483" spans="1:10" hidden="1" x14ac:dyDescent="0.25">
      <c r="A483" s="112" t="s">
        <v>2001</v>
      </c>
      <c r="B483" s="113" t="s">
        <v>2002</v>
      </c>
      <c r="C483" s="114" t="s">
        <v>94</v>
      </c>
      <c r="D483" s="114">
        <v>0</v>
      </c>
      <c r="E483" s="133" t="s">
        <v>514</v>
      </c>
      <c r="F483" s="134" t="str">
        <f t="shared" si="21"/>
        <v/>
      </c>
      <c r="G483" s="135" t="e">
        <f>IF(A483&lt;&gt;"",IF(AND(#REF!="Padrão",$H$4=#REF!),BDI!$B$17,IF(AND(#REF!="Padrão",$H$4=#REF!),BDI!#REF!,IF(AND(#REF!="Diferenciado",$H$4=#REF!),BDI!$E$17,IF(AND(#REF!="Diferenciado",$H$4=#REF!),BDI!#REF!,IF(#REF!="ZERO",0))))),"")</f>
        <v>#REF!</v>
      </c>
      <c r="H483" s="136" t="str">
        <f t="shared" si="22"/>
        <v/>
      </c>
      <c r="I483" s="134" t="str">
        <f t="shared" si="23"/>
        <v/>
      </c>
      <c r="J483" s="226"/>
    </row>
    <row r="484" spans="1:10" hidden="1" x14ac:dyDescent="0.25">
      <c r="A484" s="112" t="s">
        <v>2003</v>
      </c>
      <c r="B484" s="113" t="s">
        <v>2004</v>
      </c>
      <c r="C484" s="114" t="s">
        <v>94</v>
      </c>
      <c r="D484" s="114">
        <v>0</v>
      </c>
      <c r="E484" s="133" t="s">
        <v>514</v>
      </c>
      <c r="F484" s="134" t="str">
        <f t="shared" si="21"/>
        <v/>
      </c>
      <c r="G484" s="135" t="e">
        <f>IF(A484&lt;&gt;"",IF(AND(#REF!="Padrão",$H$4=#REF!),BDI!$B$17,IF(AND(#REF!="Padrão",$H$4=#REF!),BDI!#REF!,IF(AND(#REF!="Diferenciado",$H$4=#REF!),BDI!$E$17,IF(AND(#REF!="Diferenciado",$H$4=#REF!),BDI!#REF!,IF(#REF!="ZERO",0))))),"")</f>
        <v>#REF!</v>
      </c>
      <c r="H484" s="136" t="str">
        <f t="shared" si="22"/>
        <v/>
      </c>
      <c r="I484" s="134" t="str">
        <f t="shared" si="23"/>
        <v/>
      </c>
      <c r="J484" s="226"/>
    </row>
    <row r="485" spans="1:10" hidden="1" x14ac:dyDescent="0.25">
      <c r="A485" s="112" t="s">
        <v>2005</v>
      </c>
      <c r="B485" s="113" t="s">
        <v>2006</v>
      </c>
      <c r="C485" s="114" t="s">
        <v>94</v>
      </c>
      <c r="D485" s="114">
        <v>0</v>
      </c>
      <c r="E485" s="133" t="s">
        <v>514</v>
      </c>
      <c r="F485" s="134" t="str">
        <f t="shared" si="21"/>
        <v/>
      </c>
      <c r="G485" s="135" t="e">
        <f>IF(A485&lt;&gt;"",IF(AND(#REF!="Padrão",$H$4=#REF!),BDI!$B$17,IF(AND(#REF!="Padrão",$H$4=#REF!),BDI!#REF!,IF(AND(#REF!="Diferenciado",$H$4=#REF!),BDI!$E$17,IF(AND(#REF!="Diferenciado",$H$4=#REF!),BDI!#REF!,IF(#REF!="ZERO",0))))),"")</f>
        <v>#REF!</v>
      </c>
      <c r="H485" s="136" t="str">
        <f t="shared" si="22"/>
        <v/>
      </c>
      <c r="I485" s="134" t="str">
        <f t="shared" si="23"/>
        <v/>
      </c>
      <c r="J485" s="226"/>
    </row>
    <row r="486" spans="1:10" hidden="1" x14ac:dyDescent="0.25">
      <c r="A486" s="112" t="s">
        <v>2007</v>
      </c>
      <c r="B486" s="113" t="s">
        <v>3727</v>
      </c>
      <c r="C486" s="114" t="s">
        <v>94</v>
      </c>
      <c r="D486" s="114">
        <v>0</v>
      </c>
      <c r="E486" s="133" t="s">
        <v>514</v>
      </c>
      <c r="F486" s="134" t="str">
        <f t="shared" si="21"/>
        <v/>
      </c>
      <c r="G486" s="135" t="e">
        <f>IF(A486&lt;&gt;"",IF(AND(#REF!="Padrão",$H$4=#REF!),BDI!$B$17,IF(AND(#REF!="Padrão",$H$4=#REF!),BDI!#REF!,IF(AND(#REF!="Diferenciado",$H$4=#REF!),BDI!$E$17,IF(AND(#REF!="Diferenciado",$H$4=#REF!),BDI!#REF!,IF(#REF!="ZERO",0))))),"")</f>
        <v>#REF!</v>
      </c>
      <c r="H486" s="136" t="str">
        <f t="shared" si="22"/>
        <v/>
      </c>
      <c r="I486" s="134" t="str">
        <f t="shared" si="23"/>
        <v/>
      </c>
      <c r="J486" s="226"/>
    </row>
    <row r="487" spans="1:10" hidden="1" x14ac:dyDescent="0.25">
      <c r="A487" s="112" t="s">
        <v>2008</v>
      </c>
      <c r="B487" s="113" t="s">
        <v>2009</v>
      </c>
      <c r="C487" s="114" t="s">
        <v>94</v>
      </c>
      <c r="D487" s="114">
        <v>0</v>
      </c>
      <c r="E487" s="133" t="s">
        <v>514</v>
      </c>
      <c r="F487" s="134" t="str">
        <f t="shared" si="21"/>
        <v/>
      </c>
      <c r="G487" s="135" t="e">
        <f>IF(A487&lt;&gt;"",IF(AND(#REF!="Padrão",$H$4=#REF!),BDI!$B$17,IF(AND(#REF!="Padrão",$H$4=#REF!),BDI!#REF!,IF(AND(#REF!="Diferenciado",$H$4=#REF!),BDI!$E$17,IF(AND(#REF!="Diferenciado",$H$4=#REF!),BDI!#REF!,IF(#REF!="ZERO",0))))),"")</f>
        <v>#REF!</v>
      </c>
      <c r="H487" s="136" t="str">
        <f t="shared" si="22"/>
        <v/>
      </c>
      <c r="I487" s="134" t="str">
        <f t="shared" si="23"/>
        <v/>
      </c>
      <c r="J487" s="226"/>
    </row>
    <row r="488" spans="1:10" hidden="1" x14ac:dyDescent="0.25">
      <c r="A488" s="112" t="s">
        <v>2010</v>
      </c>
      <c r="B488" s="113" t="s">
        <v>2011</v>
      </c>
      <c r="C488" s="114" t="s">
        <v>94</v>
      </c>
      <c r="D488" s="114">
        <v>0</v>
      </c>
      <c r="E488" s="133" t="s">
        <v>514</v>
      </c>
      <c r="F488" s="134" t="str">
        <f t="shared" si="21"/>
        <v/>
      </c>
      <c r="G488" s="135" t="e">
        <f>IF(A488&lt;&gt;"",IF(AND(#REF!="Padrão",$H$4=#REF!),BDI!$B$17,IF(AND(#REF!="Padrão",$H$4=#REF!),BDI!#REF!,IF(AND(#REF!="Diferenciado",$H$4=#REF!),BDI!$E$17,IF(AND(#REF!="Diferenciado",$H$4=#REF!),BDI!#REF!,IF(#REF!="ZERO",0))))),"")</f>
        <v>#REF!</v>
      </c>
      <c r="H488" s="136" t="str">
        <f t="shared" si="22"/>
        <v/>
      </c>
      <c r="I488" s="134" t="str">
        <f t="shared" si="23"/>
        <v/>
      </c>
      <c r="J488" s="226"/>
    </row>
    <row r="489" spans="1:10" hidden="1" x14ac:dyDescent="0.25">
      <c r="A489" s="112" t="s">
        <v>2012</v>
      </c>
      <c r="B489" s="113" t="s">
        <v>2013</v>
      </c>
      <c r="C489" s="114" t="s">
        <v>94</v>
      </c>
      <c r="D489" s="114">
        <v>0</v>
      </c>
      <c r="E489" s="133" t="s">
        <v>514</v>
      </c>
      <c r="F489" s="134" t="str">
        <f t="shared" si="21"/>
        <v/>
      </c>
      <c r="G489" s="135" t="e">
        <f>IF(A489&lt;&gt;"",IF(AND(#REF!="Padrão",$H$4=#REF!),BDI!$B$17,IF(AND(#REF!="Padrão",$H$4=#REF!),BDI!#REF!,IF(AND(#REF!="Diferenciado",$H$4=#REF!),BDI!$E$17,IF(AND(#REF!="Diferenciado",$H$4=#REF!),BDI!#REF!,IF(#REF!="ZERO",0))))),"")</f>
        <v>#REF!</v>
      </c>
      <c r="H489" s="136" t="str">
        <f t="shared" si="22"/>
        <v/>
      </c>
      <c r="I489" s="134" t="str">
        <f t="shared" si="23"/>
        <v/>
      </c>
      <c r="J489" s="226"/>
    </row>
    <row r="490" spans="1:10" hidden="1" x14ac:dyDescent="0.25">
      <c r="A490" s="112" t="s">
        <v>2014</v>
      </c>
      <c r="B490" s="113" t="s">
        <v>2015</v>
      </c>
      <c r="C490" s="114" t="s">
        <v>94</v>
      </c>
      <c r="D490" s="114">
        <v>0</v>
      </c>
      <c r="E490" s="133" t="s">
        <v>514</v>
      </c>
      <c r="F490" s="134" t="str">
        <f t="shared" si="21"/>
        <v/>
      </c>
      <c r="G490" s="135" t="e">
        <f>IF(A490&lt;&gt;"",IF(AND(#REF!="Padrão",$H$4=#REF!),BDI!$B$17,IF(AND(#REF!="Padrão",$H$4=#REF!),BDI!#REF!,IF(AND(#REF!="Diferenciado",$H$4=#REF!),BDI!$E$17,IF(AND(#REF!="Diferenciado",$H$4=#REF!),BDI!#REF!,IF(#REF!="ZERO",0))))),"")</f>
        <v>#REF!</v>
      </c>
      <c r="H490" s="136" t="str">
        <f t="shared" si="22"/>
        <v/>
      </c>
      <c r="I490" s="134" t="str">
        <f t="shared" si="23"/>
        <v/>
      </c>
      <c r="J490" s="226"/>
    </row>
    <row r="491" spans="1:10" hidden="1" x14ac:dyDescent="0.25">
      <c r="A491" s="112" t="s">
        <v>2016</v>
      </c>
      <c r="B491" s="113" t="s">
        <v>2017</v>
      </c>
      <c r="C491" s="114" t="s">
        <v>108</v>
      </c>
      <c r="D491" s="114">
        <v>0</v>
      </c>
      <c r="E491" s="133" t="s">
        <v>514</v>
      </c>
      <c r="F491" s="134" t="str">
        <f t="shared" si="21"/>
        <v/>
      </c>
      <c r="G491" s="135" t="e">
        <f>IF(A491&lt;&gt;"",IF(AND(#REF!="Padrão",$H$4=#REF!),BDI!$B$17,IF(AND(#REF!="Padrão",$H$4=#REF!),BDI!#REF!,IF(AND(#REF!="Diferenciado",$H$4=#REF!),BDI!$E$17,IF(AND(#REF!="Diferenciado",$H$4=#REF!),BDI!#REF!,IF(#REF!="ZERO",0))))),"")</f>
        <v>#REF!</v>
      </c>
      <c r="H491" s="136" t="str">
        <f t="shared" si="22"/>
        <v/>
      </c>
      <c r="I491" s="134" t="str">
        <f t="shared" si="23"/>
        <v/>
      </c>
      <c r="J491" s="226"/>
    </row>
    <row r="492" spans="1:10" hidden="1" x14ac:dyDescent="0.25">
      <c r="A492" s="112" t="s">
        <v>2018</v>
      </c>
      <c r="B492" s="113" t="s">
        <v>2019</v>
      </c>
      <c r="C492" s="114" t="s">
        <v>108</v>
      </c>
      <c r="D492" s="114">
        <v>0</v>
      </c>
      <c r="E492" s="133" t="s">
        <v>514</v>
      </c>
      <c r="F492" s="134" t="str">
        <f t="shared" si="21"/>
        <v/>
      </c>
      <c r="G492" s="135" t="e">
        <f>IF(A492&lt;&gt;"",IF(AND(#REF!="Padrão",$H$4=#REF!),BDI!$B$17,IF(AND(#REF!="Padrão",$H$4=#REF!),BDI!#REF!,IF(AND(#REF!="Diferenciado",$H$4=#REF!),BDI!$E$17,IF(AND(#REF!="Diferenciado",$H$4=#REF!),BDI!#REF!,IF(#REF!="ZERO",0))))),"")</f>
        <v>#REF!</v>
      </c>
      <c r="H492" s="136" t="str">
        <f t="shared" si="22"/>
        <v/>
      </c>
      <c r="I492" s="134" t="str">
        <f t="shared" si="23"/>
        <v/>
      </c>
      <c r="J492" s="226"/>
    </row>
    <row r="493" spans="1:10" hidden="1" x14ac:dyDescent="0.25">
      <c r="A493" s="112" t="s">
        <v>2020</v>
      </c>
      <c r="B493" s="113" t="s">
        <v>2021</v>
      </c>
      <c r="C493" s="114" t="s">
        <v>108</v>
      </c>
      <c r="D493" s="114">
        <v>0</v>
      </c>
      <c r="E493" s="133" t="s">
        <v>514</v>
      </c>
      <c r="F493" s="134" t="str">
        <f t="shared" si="21"/>
        <v/>
      </c>
      <c r="G493" s="135" t="e">
        <f>IF(A493&lt;&gt;"",IF(AND(#REF!="Padrão",$H$4=#REF!),BDI!$B$17,IF(AND(#REF!="Padrão",$H$4=#REF!),BDI!#REF!,IF(AND(#REF!="Diferenciado",$H$4=#REF!),BDI!$E$17,IF(AND(#REF!="Diferenciado",$H$4=#REF!),BDI!#REF!,IF(#REF!="ZERO",0))))),"")</f>
        <v>#REF!</v>
      </c>
      <c r="H493" s="136" t="str">
        <f t="shared" si="22"/>
        <v/>
      </c>
      <c r="I493" s="134" t="str">
        <f t="shared" si="23"/>
        <v/>
      </c>
      <c r="J493" s="226"/>
    </row>
    <row r="494" spans="1:10" hidden="1" x14ac:dyDescent="0.25">
      <c r="A494" s="112" t="s">
        <v>2022</v>
      </c>
      <c r="B494" s="113" t="s">
        <v>2023</v>
      </c>
      <c r="C494" s="114" t="s">
        <v>108</v>
      </c>
      <c r="D494" s="114">
        <v>0</v>
      </c>
      <c r="E494" s="133">
        <f ca="1">OFFSET(INDEX(Composições!A:J,MATCH(Orçamentária!A494,Composições!A:A,0),8),2,0)</f>
        <v>1836.6666666666665</v>
      </c>
      <c r="F494" s="134">
        <f t="shared" ca="1" si="21"/>
        <v>0</v>
      </c>
      <c r="G494" s="135" t="e">
        <f>IF(A494&lt;&gt;"",IF(AND(#REF!="Padrão",$H$4=#REF!),BDI!$B$17,IF(AND(#REF!="Padrão",$H$4=#REF!),BDI!#REF!,IF(AND(#REF!="Diferenciado",$H$4=#REF!),BDI!$E$17,IF(AND(#REF!="Diferenciado",$H$4=#REF!),BDI!#REF!,IF(#REF!="ZERO",0))))),"")</f>
        <v>#REF!</v>
      </c>
      <c r="H494" s="136" t="e">
        <f t="shared" ca="1" si="22"/>
        <v>#REF!</v>
      </c>
      <c r="I494" s="134" t="e">
        <f t="shared" ca="1" si="23"/>
        <v>#REF!</v>
      </c>
      <c r="J494" s="226"/>
    </row>
    <row r="495" spans="1:10" hidden="1" x14ac:dyDescent="0.25">
      <c r="A495" s="112" t="s">
        <v>2024</v>
      </c>
      <c r="B495" s="113" t="s">
        <v>2025</v>
      </c>
      <c r="C495" s="114" t="s">
        <v>92</v>
      </c>
      <c r="D495" s="114">
        <v>0</v>
      </c>
      <c r="E495" s="133">
        <f ca="1">OFFSET(INDEX(Composições!A:J,MATCH(Orçamentária!A495,Composições!A:A,0),8),2,0)</f>
        <v>4.2084999999999999</v>
      </c>
      <c r="F495" s="134">
        <f t="shared" ca="1" si="21"/>
        <v>0</v>
      </c>
      <c r="G495" s="135" t="e">
        <f>IF(A495&lt;&gt;"",IF(AND(#REF!="Padrão",$H$4=#REF!),BDI!$B$17,IF(AND(#REF!="Padrão",$H$4=#REF!),BDI!#REF!,IF(AND(#REF!="Diferenciado",$H$4=#REF!),BDI!$E$17,IF(AND(#REF!="Diferenciado",$H$4=#REF!),BDI!#REF!,IF(#REF!="ZERO",0))))),"")</f>
        <v>#REF!</v>
      </c>
      <c r="H495" s="136" t="e">
        <f t="shared" ca="1" si="22"/>
        <v>#REF!</v>
      </c>
      <c r="I495" s="134" t="e">
        <f t="shared" ca="1" si="23"/>
        <v>#REF!</v>
      </c>
      <c r="J495" s="226"/>
    </row>
    <row r="496" spans="1:10" hidden="1" x14ac:dyDescent="0.25">
      <c r="A496" s="112" t="s">
        <v>2026</v>
      </c>
      <c r="B496" s="113" t="s">
        <v>2027</v>
      </c>
      <c r="C496" s="114" t="s">
        <v>92</v>
      </c>
      <c r="D496" s="114">
        <v>0</v>
      </c>
      <c r="E496" s="133">
        <f ca="1">OFFSET(INDEX(Composições!A:J,MATCH(Orçamentária!A496,Composições!A:A,0),8),2,0)</f>
        <v>5.8425000000000002</v>
      </c>
      <c r="F496" s="134">
        <f t="shared" ca="1" si="21"/>
        <v>0</v>
      </c>
      <c r="G496" s="135" t="e">
        <f>IF(A496&lt;&gt;"",IF(AND(#REF!="Padrão",$H$4=#REF!),BDI!$B$17,IF(AND(#REF!="Padrão",$H$4=#REF!),BDI!#REF!,IF(AND(#REF!="Diferenciado",$H$4=#REF!),BDI!$E$17,IF(AND(#REF!="Diferenciado",$H$4=#REF!),BDI!#REF!,IF(#REF!="ZERO",0))))),"")</f>
        <v>#REF!</v>
      </c>
      <c r="H496" s="136" t="e">
        <f t="shared" ca="1" si="22"/>
        <v>#REF!</v>
      </c>
      <c r="I496" s="134" t="e">
        <f t="shared" ca="1" si="23"/>
        <v>#REF!</v>
      </c>
      <c r="J496" s="226"/>
    </row>
    <row r="497" spans="1:10" hidden="1" x14ac:dyDescent="0.25">
      <c r="A497" s="112" t="s">
        <v>2028</v>
      </c>
      <c r="B497" s="113" t="s">
        <v>2029</v>
      </c>
      <c r="C497" s="114" t="s">
        <v>92</v>
      </c>
      <c r="D497" s="114">
        <v>0</v>
      </c>
      <c r="E497" s="133" t="s">
        <v>514</v>
      </c>
      <c r="F497" s="134" t="str">
        <f t="shared" si="21"/>
        <v/>
      </c>
      <c r="G497" s="135" t="e">
        <f>IF(A497&lt;&gt;"",IF(AND(#REF!="Padrão",$H$4=#REF!),BDI!$B$17,IF(AND(#REF!="Padrão",$H$4=#REF!),BDI!#REF!,IF(AND(#REF!="Diferenciado",$H$4=#REF!),BDI!$E$17,IF(AND(#REF!="Diferenciado",$H$4=#REF!),BDI!#REF!,IF(#REF!="ZERO",0))))),"")</f>
        <v>#REF!</v>
      </c>
      <c r="H497" s="136" t="str">
        <f t="shared" si="22"/>
        <v/>
      </c>
      <c r="I497" s="134" t="str">
        <f t="shared" si="23"/>
        <v/>
      </c>
      <c r="J497" s="226"/>
    </row>
    <row r="498" spans="1:10" hidden="1" x14ac:dyDescent="0.25">
      <c r="A498" s="112" t="s">
        <v>2030</v>
      </c>
      <c r="B498" s="113" t="s">
        <v>2031</v>
      </c>
      <c r="C498" s="114" t="s">
        <v>92</v>
      </c>
      <c r="D498" s="114">
        <v>0</v>
      </c>
      <c r="E498" s="133" t="s">
        <v>514</v>
      </c>
      <c r="F498" s="134" t="str">
        <f t="shared" si="21"/>
        <v/>
      </c>
      <c r="G498" s="135" t="e">
        <f>IF(A498&lt;&gt;"",IF(AND(#REF!="Padrão",$H$4=#REF!),BDI!$B$17,IF(AND(#REF!="Padrão",$H$4=#REF!),BDI!#REF!,IF(AND(#REF!="Diferenciado",$H$4=#REF!),BDI!$E$17,IF(AND(#REF!="Diferenciado",$H$4=#REF!),BDI!#REF!,IF(#REF!="ZERO",0))))),"")</f>
        <v>#REF!</v>
      </c>
      <c r="H498" s="136" t="str">
        <f t="shared" si="22"/>
        <v/>
      </c>
      <c r="I498" s="134" t="str">
        <f t="shared" si="23"/>
        <v/>
      </c>
      <c r="J498" s="226"/>
    </row>
    <row r="499" spans="1:10" hidden="1" x14ac:dyDescent="0.25">
      <c r="A499" s="112" t="s">
        <v>2032</v>
      </c>
      <c r="B499" s="113" t="s">
        <v>2033</v>
      </c>
      <c r="C499" s="114" t="s">
        <v>94</v>
      </c>
      <c r="D499" s="114">
        <v>0</v>
      </c>
      <c r="E499" s="133">
        <f ca="1">OFFSET(INDEX(Composições!A:J,MATCH(Orçamentária!A499,Composições!A:A,0),8),2,0)</f>
        <v>29.259999999999998</v>
      </c>
      <c r="F499" s="134">
        <f t="shared" ca="1" si="21"/>
        <v>0</v>
      </c>
      <c r="G499" s="135" t="e">
        <f>IF(A499&lt;&gt;"",IF(AND(#REF!="Padrão",$H$4=#REF!),BDI!$B$17,IF(AND(#REF!="Padrão",$H$4=#REF!),BDI!#REF!,IF(AND(#REF!="Diferenciado",$H$4=#REF!),BDI!$E$17,IF(AND(#REF!="Diferenciado",$H$4=#REF!),BDI!#REF!,IF(#REF!="ZERO",0))))),"")</f>
        <v>#REF!</v>
      </c>
      <c r="H499" s="136" t="e">
        <f t="shared" ca="1" si="22"/>
        <v>#REF!</v>
      </c>
      <c r="I499" s="134" t="e">
        <f t="shared" ca="1" si="23"/>
        <v>#REF!</v>
      </c>
      <c r="J499" s="226"/>
    </row>
    <row r="500" spans="1:10" hidden="1" x14ac:dyDescent="0.25">
      <c r="A500" s="112" t="s">
        <v>2034</v>
      </c>
      <c r="B500" s="113" t="s">
        <v>2035</v>
      </c>
      <c r="C500" s="114" t="s">
        <v>94</v>
      </c>
      <c r="D500" s="114">
        <v>0</v>
      </c>
      <c r="E500" s="133" t="s">
        <v>514</v>
      </c>
      <c r="F500" s="134" t="str">
        <f t="shared" si="21"/>
        <v/>
      </c>
      <c r="G500" s="135" t="e">
        <f>IF(A500&lt;&gt;"",IF(AND(#REF!="Padrão",$H$4=#REF!),BDI!$B$17,IF(AND(#REF!="Padrão",$H$4=#REF!),BDI!#REF!,IF(AND(#REF!="Diferenciado",$H$4=#REF!),BDI!$E$17,IF(AND(#REF!="Diferenciado",$H$4=#REF!),BDI!#REF!,IF(#REF!="ZERO",0))))),"")</f>
        <v>#REF!</v>
      </c>
      <c r="H500" s="136" t="str">
        <f t="shared" si="22"/>
        <v/>
      </c>
      <c r="I500" s="134" t="str">
        <f t="shared" si="23"/>
        <v/>
      </c>
      <c r="J500" s="226"/>
    </row>
    <row r="501" spans="1:10" hidden="1" x14ac:dyDescent="0.25">
      <c r="A501" s="112" t="s">
        <v>2036</v>
      </c>
      <c r="B501" s="113" t="s">
        <v>2037</v>
      </c>
      <c r="C501" s="114" t="s">
        <v>94</v>
      </c>
      <c r="D501" s="114">
        <v>0</v>
      </c>
      <c r="E501" s="133">
        <f ca="1">OFFSET(INDEX(Composições!A:J,MATCH(Orçamentária!A501,Composições!A:A,0),8),2,0)</f>
        <v>45.913499999999999</v>
      </c>
      <c r="F501" s="134">
        <f t="shared" ca="1" si="21"/>
        <v>0</v>
      </c>
      <c r="G501" s="135" t="e">
        <f>IF(A501&lt;&gt;"",IF(AND(#REF!="Padrão",$H$4=#REF!),BDI!$B$17,IF(AND(#REF!="Padrão",$H$4=#REF!),BDI!#REF!,IF(AND(#REF!="Diferenciado",$H$4=#REF!),BDI!$E$17,IF(AND(#REF!="Diferenciado",$H$4=#REF!),BDI!#REF!,IF(#REF!="ZERO",0))))),"")</f>
        <v>#REF!</v>
      </c>
      <c r="H501" s="136" t="e">
        <f t="shared" ca="1" si="22"/>
        <v>#REF!</v>
      </c>
      <c r="I501" s="134" t="e">
        <f t="shared" ca="1" si="23"/>
        <v>#REF!</v>
      </c>
      <c r="J501" s="226"/>
    </row>
    <row r="502" spans="1:10" hidden="1" x14ac:dyDescent="0.25">
      <c r="A502" s="112" t="s">
        <v>2038</v>
      </c>
      <c r="B502" s="113" t="s">
        <v>2039</v>
      </c>
      <c r="C502" s="114" t="s">
        <v>94</v>
      </c>
      <c r="D502" s="114">
        <v>0</v>
      </c>
      <c r="E502" s="133" t="s">
        <v>514</v>
      </c>
      <c r="F502" s="134" t="str">
        <f t="shared" si="21"/>
        <v/>
      </c>
      <c r="G502" s="135" t="e">
        <f>IF(A502&lt;&gt;"",IF(AND(#REF!="Padrão",$H$4=#REF!),BDI!$B$17,IF(AND(#REF!="Padrão",$H$4=#REF!),BDI!#REF!,IF(AND(#REF!="Diferenciado",$H$4=#REF!),BDI!$E$17,IF(AND(#REF!="Diferenciado",$H$4=#REF!),BDI!#REF!,IF(#REF!="ZERO",0))))),"")</f>
        <v>#REF!</v>
      </c>
      <c r="H502" s="136" t="str">
        <f t="shared" si="22"/>
        <v/>
      </c>
      <c r="I502" s="134" t="str">
        <f t="shared" si="23"/>
        <v/>
      </c>
      <c r="J502" s="226"/>
    </row>
    <row r="503" spans="1:10" hidden="1" x14ac:dyDescent="0.25">
      <c r="A503" s="112" t="s">
        <v>2040</v>
      </c>
      <c r="B503" s="113" t="s">
        <v>2041</v>
      </c>
      <c r="C503" s="114" t="s">
        <v>94</v>
      </c>
      <c r="D503" s="114">
        <v>0</v>
      </c>
      <c r="E503" s="133">
        <f ca="1">OFFSET(INDEX(Composições!A:J,MATCH(Orçamentária!A503,Composições!A:A,0),8),2,0)</f>
        <v>57</v>
      </c>
      <c r="F503" s="134">
        <f t="shared" ca="1" si="21"/>
        <v>0</v>
      </c>
      <c r="G503" s="135" t="e">
        <f>IF(A503&lt;&gt;"",IF(AND(#REF!="Padrão",$H$4=#REF!),BDI!$B$17,IF(AND(#REF!="Padrão",$H$4=#REF!),BDI!#REF!,IF(AND(#REF!="Diferenciado",$H$4=#REF!),BDI!$E$17,IF(AND(#REF!="Diferenciado",$H$4=#REF!),BDI!#REF!,IF(#REF!="ZERO",0))))),"")</f>
        <v>#REF!</v>
      </c>
      <c r="H503" s="136" t="e">
        <f t="shared" ca="1" si="22"/>
        <v>#REF!</v>
      </c>
      <c r="I503" s="134" t="e">
        <f t="shared" ca="1" si="23"/>
        <v>#REF!</v>
      </c>
      <c r="J503" s="226"/>
    </row>
    <row r="504" spans="1:10" hidden="1" x14ac:dyDescent="0.25">
      <c r="A504" s="112" t="s">
        <v>2042</v>
      </c>
      <c r="B504" s="113" t="s">
        <v>2043</v>
      </c>
      <c r="C504" s="114" t="s">
        <v>94</v>
      </c>
      <c r="D504" s="114">
        <v>0</v>
      </c>
      <c r="E504" s="133" t="s">
        <v>514</v>
      </c>
      <c r="F504" s="134" t="str">
        <f t="shared" si="21"/>
        <v/>
      </c>
      <c r="G504" s="135" t="e">
        <f>IF(A504&lt;&gt;"",IF(AND(#REF!="Padrão",$H$4=#REF!),BDI!$B$17,IF(AND(#REF!="Padrão",$H$4=#REF!),BDI!#REF!,IF(AND(#REF!="Diferenciado",$H$4=#REF!),BDI!$E$17,IF(AND(#REF!="Diferenciado",$H$4=#REF!),BDI!#REF!,IF(#REF!="ZERO",0))))),"")</f>
        <v>#REF!</v>
      </c>
      <c r="H504" s="136" t="str">
        <f t="shared" si="22"/>
        <v/>
      </c>
      <c r="I504" s="134" t="str">
        <f t="shared" si="23"/>
        <v/>
      </c>
      <c r="J504" s="226"/>
    </row>
    <row r="505" spans="1:10" hidden="1" x14ac:dyDescent="0.25">
      <c r="A505" s="112" t="s">
        <v>2044</v>
      </c>
      <c r="B505" s="113" t="s">
        <v>2045</v>
      </c>
      <c r="C505" s="114" t="s">
        <v>92</v>
      </c>
      <c r="D505" s="114">
        <v>0</v>
      </c>
      <c r="E505" s="133">
        <f ca="1">OFFSET(INDEX(Composições!A:J,MATCH(Orçamentária!A505,Composições!A:A,0),8),2,0)</f>
        <v>19.146774999999998</v>
      </c>
      <c r="F505" s="134">
        <f t="shared" ca="1" si="21"/>
        <v>0</v>
      </c>
      <c r="G505" s="135" t="e">
        <f>IF(A505&lt;&gt;"",IF(AND(#REF!="Padrão",$H$4=#REF!),BDI!$B$17,IF(AND(#REF!="Padrão",$H$4=#REF!),BDI!#REF!,IF(AND(#REF!="Diferenciado",$H$4=#REF!),BDI!$E$17,IF(AND(#REF!="Diferenciado",$H$4=#REF!),BDI!#REF!,IF(#REF!="ZERO",0))))),"")</f>
        <v>#REF!</v>
      </c>
      <c r="H505" s="136" t="e">
        <f t="shared" ca="1" si="22"/>
        <v>#REF!</v>
      </c>
      <c r="I505" s="134" t="e">
        <f t="shared" ca="1" si="23"/>
        <v>#REF!</v>
      </c>
      <c r="J505" s="226"/>
    </row>
    <row r="506" spans="1:10" hidden="1" x14ac:dyDescent="0.25">
      <c r="A506" s="112" t="s">
        <v>2046</v>
      </c>
      <c r="B506" s="113" t="s">
        <v>2047</v>
      </c>
      <c r="C506" s="114" t="s">
        <v>92</v>
      </c>
      <c r="D506" s="114">
        <v>0</v>
      </c>
      <c r="E506" s="133">
        <f ca="1">OFFSET(INDEX(Composições!A:J,MATCH(Orçamentária!A506,Composições!A:A,0),8),2,0)</f>
        <v>24.348500000000001</v>
      </c>
      <c r="F506" s="134">
        <f t="shared" ca="1" si="21"/>
        <v>0</v>
      </c>
      <c r="G506" s="135" t="e">
        <f>IF(A506&lt;&gt;"",IF(AND(#REF!="Padrão",$H$4=#REF!),BDI!$B$17,IF(AND(#REF!="Padrão",$H$4=#REF!),BDI!#REF!,IF(AND(#REF!="Diferenciado",$H$4=#REF!),BDI!$E$17,IF(AND(#REF!="Diferenciado",$H$4=#REF!),BDI!#REF!,IF(#REF!="ZERO",0))))),"")</f>
        <v>#REF!</v>
      </c>
      <c r="H506" s="136" t="e">
        <f t="shared" ca="1" si="22"/>
        <v>#REF!</v>
      </c>
      <c r="I506" s="134" t="e">
        <f t="shared" ca="1" si="23"/>
        <v>#REF!</v>
      </c>
      <c r="J506" s="226"/>
    </row>
    <row r="507" spans="1:10" hidden="1" x14ac:dyDescent="0.25">
      <c r="A507" s="112" t="s">
        <v>2048</v>
      </c>
      <c r="B507" s="113" t="s">
        <v>2049</v>
      </c>
      <c r="C507" s="114" t="s">
        <v>92</v>
      </c>
      <c r="D507" s="114">
        <v>0</v>
      </c>
      <c r="E507" s="133">
        <f ca="1">OFFSET(INDEX(Composições!A:J,MATCH(Orçamentária!A507,Composições!A:A,0),8),2,0)</f>
        <v>27.226049999999997</v>
      </c>
      <c r="F507" s="134">
        <f t="shared" ca="1" si="21"/>
        <v>0</v>
      </c>
      <c r="G507" s="135" t="e">
        <f>IF(A507&lt;&gt;"",IF(AND(#REF!="Padrão",$H$4=#REF!),BDI!$B$17,IF(AND(#REF!="Padrão",$H$4=#REF!),BDI!#REF!,IF(AND(#REF!="Diferenciado",$H$4=#REF!),BDI!$E$17,IF(AND(#REF!="Diferenciado",$H$4=#REF!),BDI!#REF!,IF(#REF!="ZERO",0))))),"")</f>
        <v>#REF!</v>
      </c>
      <c r="H507" s="136" t="e">
        <f t="shared" ca="1" si="22"/>
        <v>#REF!</v>
      </c>
      <c r="I507" s="134" t="e">
        <f t="shared" ca="1" si="23"/>
        <v>#REF!</v>
      </c>
      <c r="J507" s="226"/>
    </row>
    <row r="508" spans="1:10" hidden="1" x14ac:dyDescent="0.25">
      <c r="A508" s="112" t="s">
        <v>2050</v>
      </c>
      <c r="B508" s="113" t="s">
        <v>2051</v>
      </c>
      <c r="C508" s="114" t="s">
        <v>92</v>
      </c>
      <c r="D508" s="114">
        <v>0</v>
      </c>
      <c r="E508" s="133">
        <f ca="1">OFFSET(INDEX(Composições!A:J,MATCH(Orçamentária!A508,Composições!A:A,0),8),2,0)</f>
        <v>40.175024999999998</v>
      </c>
      <c r="F508" s="134">
        <f t="shared" ca="1" si="21"/>
        <v>0</v>
      </c>
      <c r="G508" s="135" t="e">
        <f>IF(A508&lt;&gt;"",IF(AND(#REF!="Padrão",$H$4=#REF!),BDI!$B$17,IF(AND(#REF!="Padrão",$H$4=#REF!),BDI!#REF!,IF(AND(#REF!="Diferenciado",$H$4=#REF!),BDI!$E$17,IF(AND(#REF!="Diferenciado",$H$4=#REF!),BDI!#REF!,IF(#REF!="ZERO",0))))),"")</f>
        <v>#REF!</v>
      </c>
      <c r="H508" s="136" t="e">
        <f t="shared" ca="1" si="22"/>
        <v>#REF!</v>
      </c>
      <c r="I508" s="134" t="e">
        <f t="shared" ca="1" si="23"/>
        <v>#REF!</v>
      </c>
      <c r="J508" s="226"/>
    </row>
    <row r="509" spans="1:10" hidden="1" x14ac:dyDescent="0.25">
      <c r="A509" s="112" t="s">
        <v>2052</v>
      </c>
      <c r="B509" s="113" t="s">
        <v>2053</v>
      </c>
      <c r="C509" s="114" t="s">
        <v>92</v>
      </c>
      <c r="D509" s="114">
        <v>0</v>
      </c>
      <c r="E509" s="133">
        <f ca="1">OFFSET(INDEX(Composições!A:J,MATCH(Orçamentária!A509,Composições!A:A,0),8),2,0)</f>
        <v>7.8579249999999989</v>
      </c>
      <c r="F509" s="134">
        <f t="shared" ca="1" si="21"/>
        <v>0</v>
      </c>
      <c r="G509" s="135" t="e">
        <f>IF(A509&lt;&gt;"",IF(AND(#REF!="Padrão",$H$4=#REF!),BDI!$B$17,IF(AND(#REF!="Padrão",$H$4=#REF!),BDI!#REF!,IF(AND(#REF!="Diferenciado",$H$4=#REF!),BDI!$E$17,IF(AND(#REF!="Diferenciado",$H$4=#REF!),BDI!#REF!,IF(#REF!="ZERO",0))))),"")</f>
        <v>#REF!</v>
      </c>
      <c r="H509" s="136" t="e">
        <f t="shared" ca="1" si="22"/>
        <v>#REF!</v>
      </c>
      <c r="I509" s="134" t="e">
        <f t="shared" ca="1" si="23"/>
        <v>#REF!</v>
      </c>
      <c r="J509" s="226"/>
    </row>
    <row r="510" spans="1:10" hidden="1" x14ac:dyDescent="0.25">
      <c r="A510" s="112" t="s">
        <v>2054</v>
      </c>
      <c r="B510" s="113" t="s">
        <v>2055</v>
      </c>
      <c r="C510" s="114" t="s">
        <v>42</v>
      </c>
      <c r="D510" s="114">
        <v>0</v>
      </c>
      <c r="E510" s="133">
        <f ca="1">OFFSET(INDEX(Composições!A:J,MATCH(Orçamentária!A510,Composições!A:A,0),8),2,0)</f>
        <v>14.706</v>
      </c>
      <c r="F510" s="134">
        <f t="shared" ca="1" si="21"/>
        <v>0</v>
      </c>
      <c r="G510" s="135" t="e">
        <f>IF(A510&lt;&gt;"",IF(AND(#REF!="Padrão",$H$4=#REF!),BDI!$B$17,IF(AND(#REF!="Padrão",$H$4=#REF!),BDI!#REF!,IF(AND(#REF!="Diferenciado",$H$4=#REF!),BDI!$E$17,IF(AND(#REF!="Diferenciado",$H$4=#REF!),BDI!#REF!,IF(#REF!="ZERO",0))))),"")</f>
        <v>#REF!</v>
      </c>
      <c r="H510" s="136" t="e">
        <f t="shared" ca="1" si="22"/>
        <v>#REF!</v>
      </c>
      <c r="I510" s="134" t="e">
        <f t="shared" ca="1" si="23"/>
        <v>#REF!</v>
      </c>
      <c r="J510" s="226"/>
    </row>
    <row r="511" spans="1:10" hidden="1" x14ac:dyDescent="0.25">
      <c r="A511" s="112" t="s">
        <v>2056</v>
      </c>
      <c r="B511" s="113" t="s">
        <v>2057</v>
      </c>
      <c r="C511" s="114" t="s">
        <v>92</v>
      </c>
      <c r="D511" s="114">
        <v>0</v>
      </c>
      <c r="E511" s="133">
        <f ca="1">OFFSET(INDEX(Composições!A:J,MATCH(Orçamentária!A511,Composições!A:A,0),8),2,0)</f>
        <v>7.3615500000000003</v>
      </c>
      <c r="F511" s="134">
        <f t="shared" ca="1" si="21"/>
        <v>0</v>
      </c>
      <c r="G511" s="135" t="e">
        <f>IF(A511&lt;&gt;"",IF(AND(#REF!="Padrão",$H$4=#REF!),BDI!$B$17,IF(AND(#REF!="Padrão",$H$4=#REF!),BDI!#REF!,IF(AND(#REF!="Diferenciado",$H$4=#REF!),BDI!$E$17,IF(AND(#REF!="Diferenciado",$H$4=#REF!),BDI!#REF!,IF(#REF!="ZERO",0))))),"")</f>
        <v>#REF!</v>
      </c>
      <c r="H511" s="136" t="e">
        <f t="shared" ca="1" si="22"/>
        <v>#REF!</v>
      </c>
      <c r="I511" s="134" t="e">
        <f t="shared" ca="1" si="23"/>
        <v>#REF!</v>
      </c>
      <c r="J511" s="226"/>
    </row>
    <row r="512" spans="1:10" hidden="1" x14ac:dyDescent="0.25">
      <c r="A512" s="112" t="s">
        <v>2058</v>
      </c>
      <c r="B512" s="113" t="s">
        <v>2059</v>
      </c>
      <c r="C512" s="114" t="s">
        <v>92</v>
      </c>
      <c r="D512" s="114">
        <v>0</v>
      </c>
      <c r="E512" s="133">
        <f ca="1">OFFSET(INDEX(Composições!A:J,MATCH(Orçamentária!A512,Composições!A:A,0),8),2,0)</f>
        <v>11.10075</v>
      </c>
      <c r="F512" s="134">
        <f t="shared" ca="1" si="21"/>
        <v>0</v>
      </c>
      <c r="G512" s="135" t="e">
        <f>IF(A512&lt;&gt;"",IF(AND(#REF!="Padrão",$H$4=#REF!),BDI!$B$17,IF(AND(#REF!="Padrão",$H$4=#REF!),BDI!#REF!,IF(AND(#REF!="Diferenciado",$H$4=#REF!),BDI!$E$17,IF(AND(#REF!="Diferenciado",$H$4=#REF!),BDI!#REF!,IF(#REF!="ZERO",0))))),"")</f>
        <v>#REF!</v>
      </c>
      <c r="H512" s="136" t="e">
        <f t="shared" ca="1" si="22"/>
        <v>#REF!</v>
      </c>
      <c r="I512" s="134" t="e">
        <f t="shared" ca="1" si="23"/>
        <v>#REF!</v>
      </c>
      <c r="J512" s="226"/>
    </row>
    <row r="513" spans="1:10" hidden="1" x14ac:dyDescent="0.25">
      <c r="A513" s="112" t="s">
        <v>2060</v>
      </c>
      <c r="B513" s="113" t="s">
        <v>2061</v>
      </c>
      <c r="C513" s="114" t="s">
        <v>92</v>
      </c>
      <c r="D513" s="114">
        <v>0</v>
      </c>
      <c r="E513" s="133">
        <f ca="1">OFFSET(INDEX(Composições!A:J,MATCH(Orçamentária!A513,Composições!A:A,0),8),2,0)</f>
        <v>12.970350000000002</v>
      </c>
      <c r="F513" s="134">
        <f t="shared" ca="1" si="21"/>
        <v>0</v>
      </c>
      <c r="G513" s="135" t="e">
        <f>IF(A513&lt;&gt;"",IF(AND(#REF!="Padrão",$H$4=#REF!),BDI!$B$17,IF(AND(#REF!="Padrão",$H$4=#REF!),BDI!#REF!,IF(AND(#REF!="Diferenciado",$H$4=#REF!),BDI!$E$17,IF(AND(#REF!="Diferenciado",$H$4=#REF!),BDI!#REF!,IF(#REF!="ZERO",0))))),"")</f>
        <v>#REF!</v>
      </c>
      <c r="H513" s="136" t="e">
        <f t="shared" ca="1" si="22"/>
        <v>#REF!</v>
      </c>
      <c r="I513" s="134" t="e">
        <f t="shared" ca="1" si="23"/>
        <v>#REF!</v>
      </c>
      <c r="J513" s="226"/>
    </row>
    <row r="514" spans="1:10" hidden="1" x14ac:dyDescent="0.25">
      <c r="A514" s="112" t="s">
        <v>2062</v>
      </c>
      <c r="B514" s="113" t="s">
        <v>2063</v>
      </c>
      <c r="C514" s="114" t="s">
        <v>92</v>
      </c>
      <c r="D514" s="114">
        <v>0</v>
      </c>
      <c r="E514" s="133">
        <f ca="1">OFFSET(INDEX(Composições!A:J,MATCH(Orçamentária!A514,Composições!A:A,0),8),2,0)</f>
        <v>5.6088000000000005</v>
      </c>
      <c r="F514" s="134">
        <f t="shared" ca="1" si="21"/>
        <v>0</v>
      </c>
      <c r="G514" s="135" t="e">
        <f>IF(A514&lt;&gt;"",IF(AND(#REF!="Padrão",$H$4=#REF!),BDI!$B$17,IF(AND(#REF!="Padrão",$H$4=#REF!),BDI!#REF!,IF(AND(#REF!="Diferenciado",$H$4=#REF!),BDI!$E$17,IF(AND(#REF!="Diferenciado",$H$4=#REF!),BDI!#REF!,IF(#REF!="ZERO",0))))),"")</f>
        <v>#REF!</v>
      </c>
      <c r="H514" s="136" t="e">
        <f t="shared" ca="1" si="22"/>
        <v>#REF!</v>
      </c>
      <c r="I514" s="134" t="e">
        <f t="shared" ca="1" si="23"/>
        <v>#REF!</v>
      </c>
      <c r="J514" s="226"/>
    </row>
    <row r="515" spans="1:10" hidden="1" x14ac:dyDescent="0.25">
      <c r="A515" s="112" t="s">
        <v>2064</v>
      </c>
      <c r="B515" s="113" t="s">
        <v>2065</v>
      </c>
      <c r="C515" s="114" t="s">
        <v>92</v>
      </c>
      <c r="D515" s="114">
        <v>0</v>
      </c>
      <c r="E515" s="133">
        <f ca="1">OFFSET(INDEX(Composições!A:J,MATCH(Orçamentária!A515,Composições!A:A,0),8),2,0)</f>
        <v>8.2963500000000003</v>
      </c>
      <c r="F515" s="134">
        <f t="shared" ca="1" si="21"/>
        <v>0</v>
      </c>
      <c r="G515" s="135" t="e">
        <f>IF(A515&lt;&gt;"",IF(AND(#REF!="Padrão",$H$4=#REF!),BDI!$B$17,IF(AND(#REF!="Padrão",$H$4=#REF!),BDI!#REF!,IF(AND(#REF!="Diferenciado",$H$4=#REF!),BDI!$E$17,IF(AND(#REF!="Diferenciado",$H$4=#REF!),BDI!#REF!,IF(#REF!="ZERO",0))))),"")</f>
        <v>#REF!</v>
      </c>
      <c r="H515" s="136" t="e">
        <f t="shared" ca="1" si="22"/>
        <v>#REF!</v>
      </c>
      <c r="I515" s="134" t="e">
        <f t="shared" ca="1" si="23"/>
        <v>#REF!</v>
      </c>
      <c r="J515" s="226"/>
    </row>
    <row r="516" spans="1:10" hidden="1" x14ac:dyDescent="0.25">
      <c r="A516" s="112" t="s">
        <v>2066</v>
      </c>
      <c r="B516" s="113" t="s">
        <v>2067</v>
      </c>
      <c r="C516" s="114" t="s">
        <v>92</v>
      </c>
      <c r="D516" s="114">
        <v>0</v>
      </c>
      <c r="E516" s="133">
        <f ca="1">OFFSET(INDEX(Composições!A:J,MATCH(Orçamentária!A516,Composições!A:A,0),8),2,0)</f>
        <v>4.6740000000000004</v>
      </c>
      <c r="F516" s="134">
        <f t="shared" ca="1" si="21"/>
        <v>0</v>
      </c>
      <c r="G516" s="135" t="e">
        <f>IF(A516&lt;&gt;"",IF(AND(#REF!="Padrão",$H$4=#REF!),BDI!$B$17,IF(AND(#REF!="Padrão",$H$4=#REF!),BDI!#REF!,IF(AND(#REF!="Diferenciado",$H$4=#REF!),BDI!$E$17,IF(AND(#REF!="Diferenciado",$H$4=#REF!),BDI!#REF!,IF(#REF!="ZERO",0))))),"")</f>
        <v>#REF!</v>
      </c>
      <c r="H516" s="136" t="e">
        <f t="shared" ca="1" si="22"/>
        <v>#REF!</v>
      </c>
      <c r="I516" s="134" t="e">
        <f t="shared" ca="1" si="23"/>
        <v>#REF!</v>
      </c>
      <c r="J516" s="226"/>
    </row>
    <row r="517" spans="1:10" hidden="1" x14ac:dyDescent="0.25">
      <c r="A517" s="112" t="s">
        <v>2068</v>
      </c>
      <c r="B517" s="113" t="s">
        <v>2069</v>
      </c>
      <c r="C517" s="114" t="s">
        <v>92</v>
      </c>
      <c r="D517" s="114">
        <v>0</v>
      </c>
      <c r="E517" s="133">
        <f ca="1">OFFSET(INDEX(Composições!A:J,MATCH(Orçamentária!A517,Composições!A:A,0),8),2,0)</f>
        <v>9.2311500000000013</v>
      </c>
      <c r="F517" s="134">
        <f t="shared" ca="1" si="21"/>
        <v>0</v>
      </c>
      <c r="G517" s="135" t="e">
        <f>IF(A517&lt;&gt;"",IF(AND(#REF!="Padrão",$H$4=#REF!),BDI!$B$17,IF(AND(#REF!="Padrão",$H$4=#REF!),BDI!#REF!,IF(AND(#REF!="Diferenciado",$H$4=#REF!),BDI!$E$17,IF(AND(#REF!="Diferenciado",$H$4=#REF!),BDI!#REF!,IF(#REF!="ZERO",0))))),"")</f>
        <v>#REF!</v>
      </c>
      <c r="H517" s="136" t="e">
        <f t="shared" ca="1" si="22"/>
        <v>#REF!</v>
      </c>
      <c r="I517" s="134" t="e">
        <f t="shared" ca="1" si="23"/>
        <v>#REF!</v>
      </c>
      <c r="J517" s="226"/>
    </row>
    <row r="518" spans="1:10" hidden="1" x14ac:dyDescent="0.25">
      <c r="A518" s="112" t="s">
        <v>2070</v>
      </c>
      <c r="B518" s="113" t="s">
        <v>2071</v>
      </c>
      <c r="C518" s="114" t="s">
        <v>92</v>
      </c>
      <c r="D518" s="114">
        <v>0</v>
      </c>
      <c r="E518" s="133">
        <f ca="1">OFFSET(INDEX(Composições!A:J,MATCH(Orçamentária!A518,Composições!A:A,0),8),2,0)</f>
        <v>6.4267500000000011</v>
      </c>
      <c r="F518" s="134">
        <f t="shared" ca="1" si="21"/>
        <v>0</v>
      </c>
      <c r="G518" s="135" t="e">
        <f>IF(A518&lt;&gt;"",IF(AND(#REF!="Padrão",$H$4=#REF!),BDI!$B$17,IF(AND(#REF!="Padrão",$H$4=#REF!),BDI!#REF!,IF(AND(#REF!="Diferenciado",$H$4=#REF!),BDI!$E$17,IF(AND(#REF!="Diferenciado",$H$4=#REF!),BDI!#REF!,IF(#REF!="ZERO",0))))),"")</f>
        <v>#REF!</v>
      </c>
      <c r="H518" s="136" t="e">
        <f t="shared" ca="1" si="22"/>
        <v>#REF!</v>
      </c>
      <c r="I518" s="134" t="e">
        <f t="shared" ca="1" si="23"/>
        <v>#REF!</v>
      </c>
      <c r="J518" s="226"/>
    </row>
    <row r="519" spans="1:10" hidden="1" x14ac:dyDescent="0.25">
      <c r="A519" s="112" t="s">
        <v>2072</v>
      </c>
      <c r="B519" s="113" t="s">
        <v>2073</v>
      </c>
      <c r="C519" s="114" t="s">
        <v>92</v>
      </c>
      <c r="D519" s="114">
        <v>0</v>
      </c>
      <c r="E519" s="133">
        <f ca="1">OFFSET(INDEX(Composições!A:J,MATCH(Orçamentária!A519,Composições!A:A,0),8),2,0)</f>
        <v>9.6985499999999991</v>
      </c>
      <c r="F519" s="134">
        <f t="shared" ref="F519:F582" ca="1" si="24">IF(ISNUMBER(E519),D519*E519,"")</f>
        <v>0</v>
      </c>
      <c r="G519" s="135" t="e">
        <f>IF(A519&lt;&gt;"",IF(AND(#REF!="Padrão",$H$4=#REF!),BDI!$B$17,IF(AND(#REF!="Padrão",$H$4=#REF!),BDI!#REF!,IF(AND(#REF!="Diferenciado",$H$4=#REF!),BDI!$E$17,IF(AND(#REF!="Diferenciado",$H$4=#REF!),BDI!#REF!,IF(#REF!="ZERO",0))))),"")</f>
        <v>#REF!</v>
      </c>
      <c r="H519" s="136" t="e">
        <f t="shared" ref="H519:H582" ca="1" si="25">IF(ISNUMBER(E519),ROUND(E519*(1+G519),2),"")</f>
        <v>#REF!</v>
      </c>
      <c r="I519" s="134" t="e">
        <f t="shared" ref="I519:I582" ca="1" si="26">IF(ISNUMBER(E519),ROUND(H519*D519,2),"")</f>
        <v>#REF!</v>
      </c>
      <c r="J519" s="226"/>
    </row>
    <row r="520" spans="1:10" hidden="1" x14ac:dyDescent="0.25">
      <c r="A520" s="112" t="s">
        <v>2074</v>
      </c>
      <c r="B520" s="113" t="s">
        <v>2075</v>
      </c>
      <c r="C520" s="114" t="s">
        <v>92</v>
      </c>
      <c r="D520" s="114">
        <v>0</v>
      </c>
      <c r="E520" s="133" t="s">
        <v>514</v>
      </c>
      <c r="F520" s="134" t="str">
        <f t="shared" si="24"/>
        <v/>
      </c>
      <c r="G520" s="135" t="e">
        <f>IF(A520&lt;&gt;"",IF(AND(#REF!="Padrão",$H$4=#REF!),BDI!$B$17,IF(AND(#REF!="Padrão",$H$4=#REF!),BDI!#REF!,IF(AND(#REF!="Diferenciado",$H$4=#REF!),BDI!$E$17,IF(AND(#REF!="Diferenciado",$H$4=#REF!),BDI!#REF!,IF(#REF!="ZERO",0))))),"")</f>
        <v>#REF!</v>
      </c>
      <c r="H520" s="136" t="str">
        <f t="shared" si="25"/>
        <v/>
      </c>
      <c r="I520" s="134" t="str">
        <f t="shared" si="26"/>
        <v/>
      </c>
      <c r="J520" s="226"/>
    </row>
    <row r="521" spans="1:10" hidden="1" x14ac:dyDescent="0.25">
      <c r="A521" s="112" t="s">
        <v>2076</v>
      </c>
      <c r="B521" s="113" t="s">
        <v>2077</v>
      </c>
      <c r="C521" s="114" t="s">
        <v>92</v>
      </c>
      <c r="D521" s="114">
        <v>0</v>
      </c>
      <c r="E521" s="133" t="s">
        <v>514</v>
      </c>
      <c r="F521" s="134" t="str">
        <f t="shared" si="24"/>
        <v/>
      </c>
      <c r="G521" s="135" t="e">
        <f>IF(A521&lt;&gt;"",IF(AND(#REF!="Padrão",$H$4=#REF!),BDI!$B$17,IF(AND(#REF!="Padrão",$H$4=#REF!),BDI!#REF!,IF(AND(#REF!="Diferenciado",$H$4=#REF!),BDI!$E$17,IF(AND(#REF!="Diferenciado",$H$4=#REF!),BDI!#REF!,IF(#REF!="ZERO",0))))),"")</f>
        <v>#REF!</v>
      </c>
      <c r="H521" s="136" t="str">
        <f t="shared" si="25"/>
        <v/>
      </c>
      <c r="I521" s="134" t="str">
        <f t="shared" si="26"/>
        <v/>
      </c>
      <c r="J521" s="226"/>
    </row>
    <row r="522" spans="1:10" hidden="1" x14ac:dyDescent="0.25">
      <c r="A522" s="112" t="s">
        <v>2078</v>
      </c>
      <c r="B522" s="113" t="s">
        <v>2079</v>
      </c>
      <c r="C522" s="114" t="s">
        <v>92</v>
      </c>
      <c r="D522" s="114">
        <v>0</v>
      </c>
      <c r="E522" s="133" t="s">
        <v>514</v>
      </c>
      <c r="F522" s="134" t="str">
        <f t="shared" si="24"/>
        <v/>
      </c>
      <c r="G522" s="135" t="e">
        <f>IF(A522&lt;&gt;"",IF(AND(#REF!="Padrão",$H$4=#REF!),BDI!$B$17,IF(AND(#REF!="Padrão",$H$4=#REF!),BDI!#REF!,IF(AND(#REF!="Diferenciado",$H$4=#REF!),BDI!$E$17,IF(AND(#REF!="Diferenciado",$H$4=#REF!),BDI!#REF!,IF(#REF!="ZERO",0))))),"")</f>
        <v>#REF!</v>
      </c>
      <c r="H522" s="136" t="str">
        <f t="shared" si="25"/>
        <v/>
      </c>
      <c r="I522" s="134" t="str">
        <f t="shared" si="26"/>
        <v/>
      </c>
      <c r="J522" s="226"/>
    </row>
    <row r="523" spans="1:10" hidden="1" x14ac:dyDescent="0.25">
      <c r="A523" s="112" t="s">
        <v>2080</v>
      </c>
      <c r="B523" s="113" t="s">
        <v>2081</v>
      </c>
      <c r="C523" s="114" t="s">
        <v>92</v>
      </c>
      <c r="D523" s="114">
        <v>0</v>
      </c>
      <c r="E523" s="133" t="s">
        <v>514</v>
      </c>
      <c r="F523" s="134" t="str">
        <f t="shared" si="24"/>
        <v/>
      </c>
      <c r="G523" s="135" t="e">
        <f>IF(A523&lt;&gt;"",IF(AND(#REF!="Padrão",$H$4=#REF!),BDI!$B$17,IF(AND(#REF!="Padrão",$H$4=#REF!),BDI!#REF!,IF(AND(#REF!="Diferenciado",$H$4=#REF!),BDI!$E$17,IF(AND(#REF!="Diferenciado",$H$4=#REF!),BDI!#REF!,IF(#REF!="ZERO",0))))),"")</f>
        <v>#REF!</v>
      </c>
      <c r="H523" s="136" t="str">
        <f t="shared" si="25"/>
        <v/>
      </c>
      <c r="I523" s="134" t="str">
        <f t="shared" si="26"/>
        <v/>
      </c>
      <c r="J523" s="226"/>
    </row>
    <row r="524" spans="1:10" hidden="1" x14ac:dyDescent="0.25">
      <c r="A524" s="112" t="s">
        <v>2082</v>
      </c>
      <c r="B524" s="113" t="s">
        <v>2083</v>
      </c>
      <c r="C524" s="114" t="s">
        <v>92</v>
      </c>
      <c r="D524" s="114">
        <v>0</v>
      </c>
      <c r="E524" s="133" t="s">
        <v>514</v>
      </c>
      <c r="F524" s="134" t="str">
        <f t="shared" si="24"/>
        <v/>
      </c>
      <c r="G524" s="135" t="e">
        <f>IF(A524&lt;&gt;"",IF(AND(#REF!="Padrão",$H$4=#REF!),BDI!$B$17,IF(AND(#REF!="Padrão",$H$4=#REF!),BDI!#REF!,IF(AND(#REF!="Diferenciado",$H$4=#REF!),BDI!$E$17,IF(AND(#REF!="Diferenciado",$H$4=#REF!),BDI!#REF!,IF(#REF!="ZERO",0))))),"")</f>
        <v>#REF!</v>
      </c>
      <c r="H524" s="136" t="str">
        <f t="shared" si="25"/>
        <v/>
      </c>
      <c r="I524" s="134" t="str">
        <f t="shared" si="26"/>
        <v/>
      </c>
      <c r="J524" s="226"/>
    </row>
    <row r="525" spans="1:10" hidden="1" x14ac:dyDescent="0.25">
      <c r="A525" s="112" t="s">
        <v>2084</v>
      </c>
      <c r="B525" s="113" t="s">
        <v>2085</v>
      </c>
      <c r="C525" s="114" t="s">
        <v>92</v>
      </c>
      <c r="D525" s="114">
        <v>0</v>
      </c>
      <c r="E525" s="133" t="s">
        <v>514</v>
      </c>
      <c r="F525" s="134" t="str">
        <f t="shared" si="24"/>
        <v/>
      </c>
      <c r="G525" s="135" t="e">
        <f>IF(A525&lt;&gt;"",IF(AND(#REF!="Padrão",$H$4=#REF!),BDI!$B$17,IF(AND(#REF!="Padrão",$H$4=#REF!),BDI!#REF!,IF(AND(#REF!="Diferenciado",$H$4=#REF!),BDI!$E$17,IF(AND(#REF!="Diferenciado",$H$4=#REF!),BDI!#REF!,IF(#REF!="ZERO",0))))),"")</f>
        <v>#REF!</v>
      </c>
      <c r="H525" s="136" t="str">
        <f t="shared" si="25"/>
        <v/>
      </c>
      <c r="I525" s="134" t="str">
        <f t="shared" si="26"/>
        <v/>
      </c>
      <c r="J525" s="226"/>
    </row>
    <row r="526" spans="1:10" hidden="1" x14ac:dyDescent="0.25">
      <c r="A526" s="112" t="s">
        <v>2086</v>
      </c>
      <c r="B526" s="113" t="s">
        <v>2087</v>
      </c>
      <c r="C526" s="114" t="s">
        <v>92</v>
      </c>
      <c r="D526" s="114">
        <v>0</v>
      </c>
      <c r="E526" s="133" t="s">
        <v>514</v>
      </c>
      <c r="F526" s="134" t="str">
        <f t="shared" si="24"/>
        <v/>
      </c>
      <c r="G526" s="135" t="e">
        <f>IF(A526&lt;&gt;"",IF(AND(#REF!="Padrão",$H$4=#REF!),BDI!$B$17,IF(AND(#REF!="Padrão",$H$4=#REF!),BDI!#REF!,IF(AND(#REF!="Diferenciado",$H$4=#REF!),BDI!$E$17,IF(AND(#REF!="Diferenciado",$H$4=#REF!),BDI!#REF!,IF(#REF!="ZERO",0))))),"")</f>
        <v>#REF!</v>
      </c>
      <c r="H526" s="136" t="str">
        <f t="shared" si="25"/>
        <v/>
      </c>
      <c r="I526" s="134" t="str">
        <f t="shared" si="26"/>
        <v/>
      </c>
      <c r="J526" s="226"/>
    </row>
    <row r="527" spans="1:10" hidden="1" x14ac:dyDescent="0.25">
      <c r="A527" s="112" t="s">
        <v>2088</v>
      </c>
      <c r="B527" s="113" t="s">
        <v>2089</v>
      </c>
      <c r="C527" s="114" t="s">
        <v>92</v>
      </c>
      <c r="D527" s="114">
        <v>0</v>
      </c>
      <c r="E527" s="133" t="s">
        <v>514</v>
      </c>
      <c r="F527" s="134" t="str">
        <f t="shared" si="24"/>
        <v/>
      </c>
      <c r="G527" s="135" t="e">
        <f>IF(A527&lt;&gt;"",IF(AND(#REF!="Padrão",$H$4=#REF!),BDI!$B$17,IF(AND(#REF!="Padrão",$H$4=#REF!),BDI!#REF!,IF(AND(#REF!="Diferenciado",$H$4=#REF!),BDI!$E$17,IF(AND(#REF!="Diferenciado",$H$4=#REF!),BDI!#REF!,IF(#REF!="ZERO",0))))),"")</f>
        <v>#REF!</v>
      </c>
      <c r="H527" s="136" t="str">
        <f t="shared" si="25"/>
        <v/>
      </c>
      <c r="I527" s="134" t="str">
        <f t="shared" si="26"/>
        <v/>
      </c>
      <c r="J527" s="226"/>
    </row>
    <row r="528" spans="1:10" hidden="1" x14ac:dyDescent="0.25">
      <c r="A528" s="112" t="s">
        <v>2090</v>
      </c>
      <c r="B528" s="113" t="s">
        <v>2091</v>
      </c>
      <c r="C528" s="114" t="s">
        <v>92</v>
      </c>
      <c r="D528" s="114">
        <v>0</v>
      </c>
      <c r="E528" s="133" t="s">
        <v>514</v>
      </c>
      <c r="F528" s="134" t="str">
        <f t="shared" si="24"/>
        <v/>
      </c>
      <c r="G528" s="135" t="e">
        <f>IF(A528&lt;&gt;"",IF(AND(#REF!="Padrão",$H$4=#REF!),BDI!$B$17,IF(AND(#REF!="Padrão",$H$4=#REF!),BDI!#REF!,IF(AND(#REF!="Diferenciado",$H$4=#REF!),BDI!$E$17,IF(AND(#REF!="Diferenciado",$H$4=#REF!),BDI!#REF!,IF(#REF!="ZERO",0))))),"")</f>
        <v>#REF!</v>
      </c>
      <c r="H528" s="136" t="str">
        <f t="shared" si="25"/>
        <v/>
      </c>
      <c r="I528" s="134" t="str">
        <f t="shared" si="26"/>
        <v/>
      </c>
      <c r="J528" s="226"/>
    </row>
    <row r="529" spans="1:10" hidden="1" x14ac:dyDescent="0.25">
      <c r="A529" s="112" t="s">
        <v>2092</v>
      </c>
      <c r="B529" s="113" t="s">
        <v>2093</v>
      </c>
      <c r="C529" s="114" t="s">
        <v>92</v>
      </c>
      <c r="D529" s="114">
        <v>0</v>
      </c>
      <c r="E529" s="133" t="s">
        <v>514</v>
      </c>
      <c r="F529" s="134" t="str">
        <f t="shared" si="24"/>
        <v/>
      </c>
      <c r="G529" s="135" t="e">
        <f>IF(A529&lt;&gt;"",IF(AND(#REF!="Padrão",$H$4=#REF!),BDI!$B$17,IF(AND(#REF!="Padrão",$H$4=#REF!),BDI!#REF!,IF(AND(#REF!="Diferenciado",$H$4=#REF!),BDI!$E$17,IF(AND(#REF!="Diferenciado",$H$4=#REF!),BDI!#REF!,IF(#REF!="ZERO",0))))),"")</f>
        <v>#REF!</v>
      </c>
      <c r="H529" s="136" t="str">
        <f t="shared" si="25"/>
        <v/>
      </c>
      <c r="I529" s="134" t="str">
        <f t="shared" si="26"/>
        <v/>
      </c>
      <c r="J529" s="226"/>
    </row>
    <row r="530" spans="1:10" hidden="1" x14ac:dyDescent="0.25">
      <c r="A530" s="112" t="s">
        <v>2094</v>
      </c>
      <c r="B530" s="113" t="s">
        <v>2095</v>
      </c>
      <c r="C530" s="114" t="s">
        <v>92</v>
      </c>
      <c r="D530" s="114">
        <v>0</v>
      </c>
      <c r="E530" s="133" t="s">
        <v>514</v>
      </c>
      <c r="F530" s="134" t="str">
        <f t="shared" si="24"/>
        <v/>
      </c>
      <c r="G530" s="135" t="e">
        <f>IF(A530&lt;&gt;"",IF(AND(#REF!="Padrão",$H$4=#REF!),BDI!$B$17,IF(AND(#REF!="Padrão",$H$4=#REF!),BDI!#REF!,IF(AND(#REF!="Diferenciado",$H$4=#REF!),BDI!$E$17,IF(AND(#REF!="Diferenciado",$H$4=#REF!),BDI!#REF!,IF(#REF!="ZERO",0))))),"")</f>
        <v>#REF!</v>
      </c>
      <c r="H530" s="136" t="str">
        <f t="shared" si="25"/>
        <v/>
      </c>
      <c r="I530" s="134" t="str">
        <f t="shared" si="26"/>
        <v/>
      </c>
      <c r="J530" s="226"/>
    </row>
    <row r="531" spans="1:10" hidden="1" x14ac:dyDescent="0.25">
      <c r="A531" s="112" t="s">
        <v>2096</v>
      </c>
      <c r="B531" s="113" t="s">
        <v>2097</v>
      </c>
      <c r="C531" s="114" t="s">
        <v>92</v>
      </c>
      <c r="D531" s="114">
        <v>0</v>
      </c>
      <c r="E531" s="133" t="s">
        <v>514</v>
      </c>
      <c r="F531" s="134" t="str">
        <f t="shared" si="24"/>
        <v/>
      </c>
      <c r="G531" s="135" t="e">
        <f>IF(A531&lt;&gt;"",IF(AND(#REF!="Padrão",$H$4=#REF!),BDI!$B$17,IF(AND(#REF!="Padrão",$H$4=#REF!),BDI!#REF!,IF(AND(#REF!="Diferenciado",$H$4=#REF!),BDI!$E$17,IF(AND(#REF!="Diferenciado",$H$4=#REF!),BDI!#REF!,IF(#REF!="ZERO",0))))),"")</f>
        <v>#REF!</v>
      </c>
      <c r="H531" s="136" t="str">
        <f t="shared" si="25"/>
        <v/>
      </c>
      <c r="I531" s="134" t="str">
        <f t="shared" si="26"/>
        <v/>
      </c>
      <c r="J531" s="226"/>
    </row>
    <row r="532" spans="1:10" hidden="1" x14ac:dyDescent="0.25">
      <c r="A532" s="112" t="s">
        <v>2098</v>
      </c>
      <c r="B532" s="113" t="s">
        <v>2099</v>
      </c>
      <c r="C532" s="114" t="s">
        <v>92</v>
      </c>
      <c r="D532" s="114">
        <v>0</v>
      </c>
      <c r="E532" s="133" t="s">
        <v>514</v>
      </c>
      <c r="F532" s="134" t="str">
        <f t="shared" si="24"/>
        <v/>
      </c>
      <c r="G532" s="135" t="e">
        <f>IF(A532&lt;&gt;"",IF(AND(#REF!="Padrão",$H$4=#REF!),BDI!$B$17,IF(AND(#REF!="Padrão",$H$4=#REF!),BDI!#REF!,IF(AND(#REF!="Diferenciado",$H$4=#REF!),BDI!$E$17,IF(AND(#REF!="Diferenciado",$H$4=#REF!),BDI!#REF!,IF(#REF!="ZERO",0))))),"")</f>
        <v>#REF!</v>
      </c>
      <c r="H532" s="136" t="str">
        <f t="shared" si="25"/>
        <v/>
      </c>
      <c r="I532" s="134" t="str">
        <f t="shared" si="26"/>
        <v/>
      </c>
      <c r="J532" s="226"/>
    </row>
    <row r="533" spans="1:10" hidden="1" x14ac:dyDescent="0.25">
      <c r="A533" s="112" t="s">
        <v>2100</v>
      </c>
      <c r="B533" s="113" t="s">
        <v>2101</v>
      </c>
      <c r="C533" s="114" t="s">
        <v>92</v>
      </c>
      <c r="D533" s="114">
        <v>0</v>
      </c>
      <c r="E533" s="133" t="s">
        <v>514</v>
      </c>
      <c r="F533" s="134" t="str">
        <f t="shared" si="24"/>
        <v/>
      </c>
      <c r="G533" s="135" t="e">
        <f>IF(A533&lt;&gt;"",IF(AND(#REF!="Padrão",$H$4=#REF!),BDI!$B$17,IF(AND(#REF!="Padrão",$H$4=#REF!),BDI!#REF!,IF(AND(#REF!="Diferenciado",$H$4=#REF!),BDI!$E$17,IF(AND(#REF!="Diferenciado",$H$4=#REF!),BDI!#REF!,IF(#REF!="ZERO",0))))),"")</f>
        <v>#REF!</v>
      </c>
      <c r="H533" s="136" t="str">
        <f t="shared" si="25"/>
        <v/>
      </c>
      <c r="I533" s="134" t="str">
        <f t="shared" si="26"/>
        <v/>
      </c>
      <c r="J533" s="226"/>
    </row>
    <row r="534" spans="1:10" hidden="1" x14ac:dyDescent="0.25">
      <c r="A534" s="112" t="s">
        <v>2102</v>
      </c>
      <c r="B534" s="113" t="s">
        <v>2103</v>
      </c>
      <c r="C534" s="114" t="s">
        <v>92</v>
      </c>
      <c r="D534" s="114">
        <v>0</v>
      </c>
      <c r="E534" s="133" t="s">
        <v>514</v>
      </c>
      <c r="F534" s="134" t="str">
        <f t="shared" si="24"/>
        <v/>
      </c>
      <c r="G534" s="135" t="e">
        <f>IF(A534&lt;&gt;"",IF(AND(#REF!="Padrão",$H$4=#REF!),BDI!$B$17,IF(AND(#REF!="Padrão",$H$4=#REF!),BDI!#REF!,IF(AND(#REF!="Diferenciado",$H$4=#REF!),BDI!$E$17,IF(AND(#REF!="Diferenciado",$H$4=#REF!),BDI!#REF!,IF(#REF!="ZERO",0))))),"")</f>
        <v>#REF!</v>
      </c>
      <c r="H534" s="136" t="str">
        <f t="shared" si="25"/>
        <v/>
      </c>
      <c r="I534" s="134" t="str">
        <f t="shared" si="26"/>
        <v/>
      </c>
      <c r="J534" s="226"/>
    </row>
    <row r="535" spans="1:10" hidden="1" x14ac:dyDescent="0.25">
      <c r="A535" s="112" t="s">
        <v>2104</v>
      </c>
      <c r="B535" s="113" t="s">
        <v>2105</v>
      </c>
      <c r="C535" s="114" t="s">
        <v>92</v>
      </c>
      <c r="D535" s="114">
        <v>0</v>
      </c>
      <c r="E535" s="133" t="s">
        <v>514</v>
      </c>
      <c r="F535" s="134" t="str">
        <f t="shared" si="24"/>
        <v/>
      </c>
      <c r="G535" s="135" t="e">
        <f>IF(A535&lt;&gt;"",IF(AND(#REF!="Padrão",$H$4=#REF!),BDI!$B$17,IF(AND(#REF!="Padrão",$H$4=#REF!),BDI!#REF!,IF(AND(#REF!="Diferenciado",$H$4=#REF!),BDI!$E$17,IF(AND(#REF!="Diferenciado",$H$4=#REF!),BDI!#REF!,IF(#REF!="ZERO",0))))),"")</f>
        <v>#REF!</v>
      </c>
      <c r="H535" s="136" t="str">
        <f t="shared" si="25"/>
        <v/>
      </c>
      <c r="I535" s="134" t="str">
        <f t="shared" si="26"/>
        <v/>
      </c>
      <c r="J535" s="226"/>
    </row>
    <row r="536" spans="1:10" hidden="1" x14ac:dyDescent="0.25">
      <c r="A536" s="112" t="s">
        <v>2106</v>
      </c>
      <c r="B536" s="113" t="s">
        <v>2107</v>
      </c>
      <c r="C536" s="114" t="s">
        <v>92</v>
      </c>
      <c r="D536" s="114">
        <v>0</v>
      </c>
      <c r="E536" s="133" t="s">
        <v>514</v>
      </c>
      <c r="F536" s="134" t="str">
        <f t="shared" si="24"/>
        <v/>
      </c>
      <c r="G536" s="135" t="e">
        <f>IF(A536&lt;&gt;"",IF(AND(#REF!="Padrão",$H$4=#REF!),BDI!$B$17,IF(AND(#REF!="Padrão",$H$4=#REF!),BDI!#REF!,IF(AND(#REF!="Diferenciado",$H$4=#REF!),BDI!$E$17,IF(AND(#REF!="Diferenciado",$H$4=#REF!),BDI!#REF!,IF(#REF!="ZERO",0))))),"")</f>
        <v>#REF!</v>
      </c>
      <c r="H536" s="136" t="str">
        <f t="shared" si="25"/>
        <v/>
      </c>
      <c r="I536" s="134" t="str">
        <f t="shared" si="26"/>
        <v/>
      </c>
      <c r="J536" s="226"/>
    </row>
    <row r="537" spans="1:10" hidden="1" x14ac:dyDescent="0.25">
      <c r="A537" s="112" t="s">
        <v>2108</v>
      </c>
      <c r="B537" s="113" t="s">
        <v>2109</v>
      </c>
      <c r="C537" s="114" t="s">
        <v>92</v>
      </c>
      <c r="D537" s="114">
        <v>0</v>
      </c>
      <c r="E537" s="133" t="s">
        <v>514</v>
      </c>
      <c r="F537" s="134" t="str">
        <f t="shared" si="24"/>
        <v/>
      </c>
      <c r="G537" s="135" t="e">
        <f>IF(A537&lt;&gt;"",IF(AND(#REF!="Padrão",$H$4=#REF!),BDI!$B$17,IF(AND(#REF!="Padrão",$H$4=#REF!),BDI!#REF!,IF(AND(#REF!="Diferenciado",$H$4=#REF!),BDI!$E$17,IF(AND(#REF!="Diferenciado",$H$4=#REF!),BDI!#REF!,IF(#REF!="ZERO",0))))),"")</f>
        <v>#REF!</v>
      </c>
      <c r="H537" s="136" t="str">
        <f t="shared" si="25"/>
        <v/>
      </c>
      <c r="I537" s="134" t="str">
        <f t="shared" si="26"/>
        <v/>
      </c>
      <c r="J537" s="226"/>
    </row>
    <row r="538" spans="1:10" hidden="1" x14ac:dyDescent="0.25">
      <c r="A538" s="112" t="s">
        <v>2110</v>
      </c>
      <c r="B538" s="113" t="s">
        <v>2111</v>
      </c>
      <c r="C538" s="114" t="s">
        <v>92</v>
      </c>
      <c r="D538" s="114">
        <v>0</v>
      </c>
      <c r="E538" s="133" t="s">
        <v>514</v>
      </c>
      <c r="F538" s="134" t="str">
        <f t="shared" si="24"/>
        <v/>
      </c>
      <c r="G538" s="135" t="e">
        <f>IF(A538&lt;&gt;"",IF(AND(#REF!="Padrão",$H$4=#REF!),BDI!$B$17,IF(AND(#REF!="Padrão",$H$4=#REF!),BDI!#REF!,IF(AND(#REF!="Diferenciado",$H$4=#REF!),BDI!$E$17,IF(AND(#REF!="Diferenciado",$H$4=#REF!),BDI!#REF!,IF(#REF!="ZERO",0))))),"")</f>
        <v>#REF!</v>
      </c>
      <c r="H538" s="136" t="str">
        <f t="shared" si="25"/>
        <v/>
      </c>
      <c r="I538" s="134" t="str">
        <f t="shared" si="26"/>
        <v/>
      </c>
      <c r="J538" s="226"/>
    </row>
    <row r="539" spans="1:10" hidden="1" x14ac:dyDescent="0.25">
      <c r="A539" s="112" t="s">
        <v>2112</v>
      </c>
      <c r="B539" s="113" t="s">
        <v>2113</v>
      </c>
      <c r="C539" s="114" t="s">
        <v>92</v>
      </c>
      <c r="D539" s="114">
        <v>0</v>
      </c>
      <c r="E539" s="133" t="s">
        <v>514</v>
      </c>
      <c r="F539" s="134" t="str">
        <f t="shared" si="24"/>
        <v/>
      </c>
      <c r="G539" s="135" t="e">
        <f>IF(A539&lt;&gt;"",IF(AND(#REF!="Padrão",$H$4=#REF!),BDI!$B$17,IF(AND(#REF!="Padrão",$H$4=#REF!),BDI!#REF!,IF(AND(#REF!="Diferenciado",$H$4=#REF!),BDI!$E$17,IF(AND(#REF!="Diferenciado",$H$4=#REF!),BDI!#REF!,IF(#REF!="ZERO",0))))),"")</f>
        <v>#REF!</v>
      </c>
      <c r="H539" s="136" t="str">
        <f t="shared" si="25"/>
        <v/>
      </c>
      <c r="I539" s="134" t="str">
        <f t="shared" si="26"/>
        <v/>
      </c>
      <c r="J539" s="226"/>
    </row>
    <row r="540" spans="1:10" hidden="1" x14ac:dyDescent="0.25">
      <c r="A540" s="112" t="s">
        <v>2114</v>
      </c>
      <c r="B540" s="113" t="s">
        <v>2115</v>
      </c>
      <c r="C540" s="114" t="s">
        <v>92</v>
      </c>
      <c r="D540" s="114">
        <v>0</v>
      </c>
      <c r="E540" s="133" t="s">
        <v>514</v>
      </c>
      <c r="F540" s="134" t="str">
        <f t="shared" si="24"/>
        <v/>
      </c>
      <c r="G540" s="135" t="e">
        <f>IF(A540&lt;&gt;"",IF(AND(#REF!="Padrão",$H$4=#REF!),BDI!$B$17,IF(AND(#REF!="Padrão",$H$4=#REF!),BDI!#REF!,IF(AND(#REF!="Diferenciado",$H$4=#REF!),BDI!$E$17,IF(AND(#REF!="Diferenciado",$H$4=#REF!),BDI!#REF!,IF(#REF!="ZERO",0))))),"")</f>
        <v>#REF!</v>
      </c>
      <c r="H540" s="136" t="str">
        <f t="shared" si="25"/>
        <v/>
      </c>
      <c r="I540" s="134" t="str">
        <f t="shared" si="26"/>
        <v/>
      </c>
      <c r="J540" s="226"/>
    </row>
    <row r="541" spans="1:10" hidden="1" x14ac:dyDescent="0.25">
      <c r="A541" s="112" t="s">
        <v>2116</v>
      </c>
      <c r="B541" s="113" t="s">
        <v>2117</v>
      </c>
      <c r="C541" s="114" t="s">
        <v>92</v>
      </c>
      <c r="D541" s="114">
        <v>0</v>
      </c>
      <c r="E541" s="133" t="s">
        <v>514</v>
      </c>
      <c r="F541" s="134" t="str">
        <f t="shared" si="24"/>
        <v/>
      </c>
      <c r="G541" s="135" t="e">
        <f>IF(A541&lt;&gt;"",IF(AND(#REF!="Padrão",$H$4=#REF!),BDI!$B$17,IF(AND(#REF!="Padrão",$H$4=#REF!),BDI!#REF!,IF(AND(#REF!="Diferenciado",$H$4=#REF!),BDI!$E$17,IF(AND(#REF!="Diferenciado",$H$4=#REF!),BDI!#REF!,IF(#REF!="ZERO",0))))),"")</f>
        <v>#REF!</v>
      </c>
      <c r="H541" s="136" t="str">
        <f t="shared" si="25"/>
        <v/>
      </c>
      <c r="I541" s="134" t="str">
        <f t="shared" si="26"/>
        <v/>
      </c>
      <c r="J541" s="226"/>
    </row>
    <row r="542" spans="1:10" hidden="1" x14ac:dyDescent="0.25">
      <c r="A542" s="112" t="s">
        <v>2118</v>
      </c>
      <c r="B542" s="113" t="s">
        <v>2119</v>
      </c>
      <c r="C542" s="114" t="s">
        <v>92</v>
      </c>
      <c r="D542" s="114">
        <v>0</v>
      </c>
      <c r="E542" s="133" t="s">
        <v>514</v>
      </c>
      <c r="F542" s="134" t="str">
        <f t="shared" si="24"/>
        <v/>
      </c>
      <c r="G542" s="135" t="e">
        <f>IF(A542&lt;&gt;"",IF(AND(#REF!="Padrão",$H$4=#REF!),BDI!$B$17,IF(AND(#REF!="Padrão",$H$4=#REF!),BDI!#REF!,IF(AND(#REF!="Diferenciado",$H$4=#REF!),BDI!$E$17,IF(AND(#REF!="Diferenciado",$H$4=#REF!),BDI!#REF!,IF(#REF!="ZERO",0))))),"")</f>
        <v>#REF!</v>
      </c>
      <c r="H542" s="136" t="str">
        <f t="shared" si="25"/>
        <v/>
      </c>
      <c r="I542" s="134" t="str">
        <f t="shared" si="26"/>
        <v/>
      </c>
      <c r="J542" s="226"/>
    </row>
    <row r="543" spans="1:10" hidden="1" x14ac:dyDescent="0.25">
      <c r="A543" s="112" t="s">
        <v>2120</v>
      </c>
      <c r="B543" s="113" t="s">
        <v>2121</v>
      </c>
      <c r="C543" s="114" t="s">
        <v>20</v>
      </c>
      <c r="D543" s="114">
        <v>0</v>
      </c>
      <c r="E543" s="133" t="s">
        <v>514</v>
      </c>
      <c r="F543" s="134" t="str">
        <f t="shared" si="24"/>
        <v/>
      </c>
      <c r="G543" s="135" t="e">
        <f>IF(A543&lt;&gt;"",IF(AND(#REF!="Padrão",$H$4=#REF!),BDI!$B$17,IF(AND(#REF!="Padrão",$H$4=#REF!),BDI!#REF!,IF(AND(#REF!="Diferenciado",$H$4=#REF!),BDI!$E$17,IF(AND(#REF!="Diferenciado",$H$4=#REF!),BDI!#REF!,IF(#REF!="ZERO",0))))),"")</f>
        <v>#REF!</v>
      </c>
      <c r="H543" s="136" t="str">
        <f t="shared" si="25"/>
        <v/>
      </c>
      <c r="I543" s="134" t="str">
        <f t="shared" si="26"/>
        <v/>
      </c>
      <c r="J543" s="226"/>
    </row>
    <row r="544" spans="1:10" hidden="1" x14ac:dyDescent="0.25">
      <c r="A544" s="112" t="s">
        <v>2122</v>
      </c>
      <c r="B544" s="113" t="s">
        <v>2123</v>
      </c>
      <c r="C544" s="114" t="s">
        <v>20</v>
      </c>
      <c r="D544" s="114">
        <v>0</v>
      </c>
      <c r="E544" s="133" t="s">
        <v>514</v>
      </c>
      <c r="F544" s="134" t="str">
        <f t="shared" si="24"/>
        <v/>
      </c>
      <c r="G544" s="135" t="e">
        <f>IF(A544&lt;&gt;"",IF(AND(#REF!="Padrão",$H$4=#REF!),BDI!$B$17,IF(AND(#REF!="Padrão",$H$4=#REF!),BDI!#REF!,IF(AND(#REF!="Diferenciado",$H$4=#REF!),BDI!$E$17,IF(AND(#REF!="Diferenciado",$H$4=#REF!),BDI!#REF!,IF(#REF!="ZERO",0))))),"")</f>
        <v>#REF!</v>
      </c>
      <c r="H544" s="136" t="str">
        <f t="shared" si="25"/>
        <v/>
      </c>
      <c r="I544" s="134" t="str">
        <f t="shared" si="26"/>
        <v/>
      </c>
      <c r="J544" s="226"/>
    </row>
    <row r="545" spans="1:10" hidden="1" x14ac:dyDescent="0.25">
      <c r="A545" s="112" t="s">
        <v>2124</v>
      </c>
      <c r="B545" s="113" t="s">
        <v>2125</v>
      </c>
      <c r="C545" s="114" t="s">
        <v>92</v>
      </c>
      <c r="D545" s="114">
        <v>0</v>
      </c>
      <c r="E545" s="133" t="s">
        <v>514</v>
      </c>
      <c r="F545" s="134" t="str">
        <f t="shared" si="24"/>
        <v/>
      </c>
      <c r="G545" s="135" t="e">
        <f>IF(A545&lt;&gt;"",IF(AND(#REF!="Padrão",$H$4=#REF!),BDI!$B$17,IF(AND(#REF!="Padrão",$H$4=#REF!),BDI!#REF!,IF(AND(#REF!="Diferenciado",$H$4=#REF!),BDI!$E$17,IF(AND(#REF!="Diferenciado",$H$4=#REF!),BDI!#REF!,IF(#REF!="ZERO",0))))),"")</f>
        <v>#REF!</v>
      </c>
      <c r="H545" s="136" t="str">
        <f t="shared" si="25"/>
        <v/>
      </c>
      <c r="I545" s="134" t="str">
        <f t="shared" si="26"/>
        <v/>
      </c>
      <c r="J545" s="226"/>
    </row>
    <row r="546" spans="1:10" hidden="1" x14ac:dyDescent="0.25">
      <c r="A546" s="112" t="s">
        <v>2126</v>
      </c>
      <c r="B546" s="113" t="s">
        <v>2127</v>
      </c>
      <c r="C546" s="114" t="s">
        <v>92</v>
      </c>
      <c r="D546" s="114">
        <v>0</v>
      </c>
      <c r="E546" s="133" t="s">
        <v>514</v>
      </c>
      <c r="F546" s="134" t="str">
        <f t="shared" si="24"/>
        <v/>
      </c>
      <c r="G546" s="135" t="e">
        <f>IF(A546&lt;&gt;"",IF(AND(#REF!="Padrão",$H$4=#REF!),BDI!$B$17,IF(AND(#REF!="Padrão",$H$4=#REF!),BDI!#REF!,IF(AND(#REF!="Diferenciado",$H$4=#REF!),BDI!$E$17,IF(AND(#REF!="Diferenciado",$H$4=#REF!),BDI!#REF!,IF(#REF!="ZERO",0))))),"")</f>
        <v>#REF!</v>
      </c>
      <c r="H546" s="136" t="str">
        <f t="shared" si="25"/>
        <v/>
      </c>
      <c r="I546" s="134" t="str">
        <f t="shared" si="26"/>
        <v/>
      </c>
      <c r="J546" s="226"/>
    </row>
    <row r="547" spans="1:10" hidden="1" x14ac:dyDescent="0.25">
      <c r="A547" s="112" t="s">
        <v>2128</v>
      </c>
      <c r="B547" s="113" t="s">
        <v>2129</v>
      </c>
      <c r="C547" s="114" t="s">
        <v>92</v>
      </c>
      <c r="D547" s="114">
        <v>0</v>
      </c>
      <c r="E547" s="133" t="s">
        <v>514</v>
      </c>
      <c r="F547" s="134" t="str">
        <f t="shared" si="24"/>
        <v/>
      </c>
      <c r="G547" s="135" t="e">
        <f>IF(A547&lt;&gt;"",IF(AND(#REF!="Padrão",$H$4=#REF!),BDI!$B$17,IF(AND(#REF!="Padrão",$H$4=#REF!),BDI!#REF!,IF(AND(#REF!="Diferenciado",$H$4=#REF!),BDI!$E$17,IF(AND(#REF!="Diferenciado",$H$4=#REF!),BDI!#REF!,IF(#REF!="ZERO",0))))),"")</f>
        <v>#REF!</v>
      </c>
      <c r="H547" s="136" t="str">
        <f t="shared" si="25"/>
        <v/>
      </c>
      <c r="I547" s="134" t="str">
        <f t="shared" si="26"/>
        <v/>
      </c>
      <c r="J547" s="226"/>
    </row>
    <row r="548" spans="1:10" hidden="1" x14ac:dyDescent="0.25">
      <c r="A548" s="112" t="s">
        <v>2130</v>
      </c>
      <c r="B548" s="113" t="s">
        <v>2131</v>
      </c>
      <c r="C548" s="114" t="s">
        <v>92</v>
      </c>
      <c r="D548" s="114">
        <v>0</v>
      </c>
      <c r="E548" s="133" t="s">
        <v>514</v>
      </c>
      <c r="F548" s="134" t="str">
        <f t="shared" si="24"/>
        <v/>
      </c>
      <c r="G548" s="135" t="e">
        <f>IF(A548&lt;&gt;"",IF(AND(#REF!="Padrão",$H$4=#REF!),BDI!$B$17,IF(AND(#REF!="Padrão",$H$4=#REF!),BDI!#REF!,IF(AND(#REF!="Diferenciado",$H$4=#REF!),BDI!$E$17,IF(AND(#REF!="Diferenciado",$H$4=#REF!),BDI!#REF!,IF(#REF!="ZERO",0))))),"")</f>
        <v>#REF!</v>
      </c>
      <c r="H548" s="136" t="str">
        <f t="shared" si="25"/>
        <v/>
      </c>
      <c r="I548" s="134" t="str">
        <f t="shared" si="26"/>
        <v/>
      </c>
      <c r="J548" s="226"/>
    </row>
    <row r="549" spans="1:10" hidden="1" x14ac:dyDescent="0.25">
      <c r="A549" s="112" t="s">
        <v>2132</v>
      </c>
      <c r="B549" s="113" t="s">
        <v>2133</v>
      </c>
      <c r="C549" s="114" t="s">
        <v>92</v>
      </c>
      <c r="D549" s="114">
        <v>0</v>
      </c>
      <c r="E549" s="133" t="s">
        <v>514</v>
      </c>
      <c r="F549" s="134" t="str">
        <f t="shared" si="24"/>
        <v/>
      </c>
      <c r="G549" s="135" t="e">
        <f>IF(A549&lt;&gt;"",IF(AND(#REF!="Padrão",$H$4=#REF!),BDI!$B$17,IF(AND(#REF!="Padrão",$H$4=#REF!),BDI!#REF!,IF(AND(#REF!="Diferenciado",$H$4=#REF!),BDI!$E$17,IF(AND(#REF!="Diferenciado",$H$4=#REF!),BDI!#REF!,IF(#REF!="ZERO",0))))),"")</f>
        <v>#REF!</v>
      </c>
      <c r="H549" s="136" t="str">
        <f t="shared" si="25"/>
        <v/>
      </c>
      <c r="I549" s="134" t="str">
        <f t="shared" si="26"/>
        <v/>
      </c>
      <c r="J549" s="226"/>
    </row>
    <row r="550" spans="1:10" hidden="1" x14ac:dyDescent="0.25">
      <c r="A550" s="112" t="s">
        <v>2134</v>
      </c>
      <c r="B550" s="113" t="s">
        <v>2135</v>
      </c>
      <c r="C550" s="114" t="s">
        <v>92</v>
      </c>
      <c r="D550" s="114">
        <v>0</v>
      </c>
      <c r="E550" s="133" t="s">
        <v>514</v>
      </c>
      <c r="F550" s="134" t="str">
        <f t="shared" si="24"/>
        <v/>
      </c>
      <c r="G550" s="135" t="e">
        <f>IF(A550&lt;&gt;"",IF(AND(#REF!="Padrão",$H$4=#REF!),BDI!$B$17,IF(AND(#REF!="Padrão",$H$4=#REF!),BDI!#REF!,IF(AND(#REF!="Diferenciado",$H$4=#REF!),BDI!$E$17,IF(AND(#REF!="Diferenciado",$H$4=#REF!),BDI!#REF!,IF(#REF!="ZERO",0))))),"")</f>
        <v>#REF!</v>
      </c>
      <c r="H550" s="136" t="str">
        <f t="shared" si="25"/>
        <v/>
      </c>
      <c r="I550" s="134" t="str">
        <f t="shared" si="26"/>
        <v/>
      </c>
      <c r="J550" s="226"/>
    </row>
    <row r="551" spans="1:10" hidden="1" x14ac:dyDescent="0.25">
      <c r="A551" s="112" t="s">
        <v>2136</v>
      </c>
      <c r="B551" s="113" t="s">
        <v>2137</v>
      </c>
      <c r="C551" s="114" t="s">
        <v>92</v>
      </c>
      <c r="D551" s="114">
        <v>0</v>
      </c>
      <c r="E551" s="133" t="s">
        <v>514</v>
      </c>
      <c r="F551" s="134" t="str">
        <f t="shared" si="24"/>
        <v/>
      </c>
      <c r="G551" s="135" t="e">
        <f>IF(A551&lt;&gt;"",IF(AND(#REF!="Padrão",$H$4=#REF!),BDI!$B$17,IF(AND(#REF!="Padrão",$H$4=#REF!),BDI!#REF!,IF(AND(#REF!="Diferenciado",$H$4=#REF!),BDI!$E$17,IF(AND(#REF!="Diferenciado",$H$4=#REF!),BDI!#REF!,IF(#REF!="ZERO",0))))),"")</f>
        <v>#REF!</v>
      </c>
      <c r="H551" s="136" t="str">
        <f t="shared" si="25"/>
        <v/>
      </c>
      <c r="I551" s="134" t="str">
        <f t="shared" si="26"/>
        <v/>
      </c>
      <c r="J551" s="226"/>
    </row>
    <row r="552" spans="1:10" hidden="1" x14ac:dyDescent="0.25">
      <c r="A552" s="112" t="s">
        <v>2138</v>
      </c>
      <c r="B552" s="113" t="s">
        <v>2139</v>
      </c>
      <c r="C552" s="114" t="s">
        <v>92</v>
      </c>
      <c r="D552" s="114">
        <v>0</v>
      </c>
      <c r="E552" s="133" t="s">
        <v>514</v>
      </c>
      <c r="F552" s="134" t="str">
        <f t="shared" si="24"/>
        <v/>
      </c>
      <c r="G552" s="135" t="e">
        <f>IF(A552&lt;&gt;"",IF(AND(#REF!="Padrão",$H$4=#REF!),BDI!$B$17,IF(AND(#REF!="Padrão",$H$4=#REF!),BDI!#REF!,IF(AND(#REF!="Diferenciado",$H$4=#REF!),BDI!$E$17,IF(AND(#REF!="Diferenciado",$H$4=#REF!),BDI!#REF!,IF(#REF!="ZERO",0))))),"")</f>
        <v>#REF!</v>
      </c>
      <c r="H552" s="136" t="str">
        <f t="shared" si="25"/>
        <v/>
      </c>
      <c r="I552" s="134" t="str">
        <f t="shared" si="26"/>
        <v/>
      </c>
      <c r="J552" s="226"/>
    </row>
    <row r="553" spans="1:10" hidden="1" x14ac:dyDescent="0.25">
      <c r="A553" s="112" t="s">
        <v>2140</v>
      </c>
      <c r="B553" s="113" t="s">
        <v>2141</v>
      </c>
      <c r="C553" s="114" t="s">
        <v>92</v>
      </c>
      <c r="D553" s="114">
        <v>0</v>
      </c>
      <c r="E553" s="133" t="s">
        <v>514</v>
      </c>
      <c r="F553" s="134" t="str">
        <f t="shared" si="24"/>
        <v/>
      </c>
      <c r="G553" s="135" t="e">
        <f>IF(A553&lt;&gt;"",IF(AND(#REF!="Padrão",$H$4=#REF!),BDI!$B$17,IF(AND(#REF!="Padrão",$H$4=#REF!),BDI!#REF!,IF(AND(#REF!="Diferenciado",$H$4=#REF!),BDI!$E$17,IF(AND(#REF!="Diferenciado",$H$4=#REF!),BDI!#REF!,IF(#REF!="ZERO",0))))),"")</f>
        <v>#REF!</v>
      </c>
      <c r="H553" s="136" t="str">
        <f t="shared" si="25"/>
        <v/>
      </c>
      <c r="I553" s="134" t="str">
        <f t="shared" si="26"/>
        <v/>
      </c>
      <c r="J553" s="226"/>
    </row>
    <row r="554" spans="1:10" hidden="1" x14ac:dyDescent="0.25">
      <c r="A554" s="112" t="s">
        <v>2142</v>
      </c>
      <c r="B554" s="113" t="s">
        <v>2143</v>
      </c>
      <c r="C554" s="114" t="s">
        <v>92</v>
      </c>
      <c r="D554" s="114">
        <v>0</v>
      </c>
      <c r="E554" s="133" t="s">
        <v>514</v>
      </c>
      <c r="F554" s="134" t="str">
        <f t="shared" si="24"/>
        <v/>
      </c>
      <c r="G554" s="135" t="e">
        <f>IF(A554&lt;&gt;"",IF(AND(#REF!="Padrão",$H$4=#REF!),BDI!$B$17,IF(AND(#REF!="Padrão",$H$4=#REF!),BDI!#REF!,IF(AND(#REF!="Diferenciado",$H$4=#REF!),BDI!$E$17,IF(AND(#REF!="Diferenciado",$H$4=#REF!),BDI!#REF!,IF(#REF!="ZERO",0))))),"")</f>
        <v>#REF!</v>
      </c>
      <c r="H554" s="136" t="str">
        <f t="shared" si="25"/>
        <v/>
      </c>
      <c r="I554" s="134" t="str">
        <f t="shared" si="26"/>
        <v/>
      </c>
      <c r="J554" s="226"/>
    </row>
    <row r="555" spans="1:10" hidden="1" x14ac:dyDescent="0.25">
      <c r="A555" s="112" t="s">
        <v>2144</v>
      </c>
      <c r="B555" s="113" t="s">
        <v>2145</v>
      </c>
      <c r="C555" s="114" t="s">
        <v>92</v>
      </c>
      <c r="D555" s="114">
        <v>0</v>
      </c>
      <c r="E555" s="133" t="s">
        <v>514</v>
      </c>
      <c r="F555" s="134" t="str">
        <f t="shared" si="24"/>
        <v/>
      </c>
      <c r="G555" s="135" t="e">
        <f>IF(A555&lt;&gt;"",IF(AND(#REF!="Padrão",$H$4=#REF!),BDI!$B$17,IF(AND(#REF!="Padrão",$H$4=#REF!),BDI!#REF!,IF(AND(#REF!="Diferenciado",$H$4=#REF!),BDI!$E$17,IF(AND(#REF!="Diferenciado",$H$4=#REF!),BDI!#REF!,IF(#REF!="ZERO",0))))),"")</f>
        <v>#REF!</v>
      </c>
      <c r="H555" s="136" t="str">
        <f t="shared" si="25"/>
        <v/>
      </c>
      <c r="I555" s="134" t="str">
        <f t="shared" si="26"/>
        <v/>
      </c>
      <c r="J555" s="226"/>
    </row>
    <row r="556" spans="1:10" hidden="1" x14ac:dyDescent="0.25">
      <c r="A556" s="112" t="s">
        <v>2146</v>
      </c>
      <c r="B556" s="113" t="s">
        <v>2147</v>
      </c>
      <c r="C556" s="114" t="s">
        <v>92</v>
      </c>
      <c r="D556" s="114">
        <v>0</v>
      </c>
      <c r="E556" s="133" t="s">
        <v>514</v>
      </c>
      <c r="F556" s="134" t="str">
        <f t="shared" si="24"/>
        <v/>
      </c>
      <c r="G556" s="135" t="e">
        <f>IF(A556&lt;&gt;"",IF(AND(#REF!="Padrão",$H$4=#REF!),BDI!$B$17,IF(AND(#REF!="Padrão",$H$4=#REF!),BDI!#REF!,IF(AND(#REF!="Diferenciado",$H$4=#REF!),BDI!$E$17,IF(AND(#REF!="Diferenciado",$H$4=#REF!),BDI!#REF!,IF(#REF!="ZERO",0))))),"")</f>
        <v>#REF!</v>
      </c>
      <c r="H556" s="136" t="str">
        <f t="shared" si="25"/>
        <v/>
      </c>
      <c r="I556" s="134" t="str">
        <f t="shared" si="26"/>
        <v/>
      </c>
      <c r="J556" s="226"/>
    </row>
    <row r="557" spans="1:10" hidden="1" x14ac:dyDescent="0.25">
      <c r="A557" s="112" t="s">
        <v>2148</v>
      </c>
      <c r="B557" s="113" t="s">
        <v>2149</v>
      </c>
      <c r="C557" s="114" t="s">
        <v>92</v>
      </c>
      <c r="D557" s="114">
        <v>0</v>
      </c>
      <c r="E557" s="133" t="s">
        <v>514</v>
      </c>
      <c r="F557" s="134" t="str">
        <f t="shared" si="24"/>
        <v/>
      </c>
      <c r="G557" s="135" t="e">
        <f>IF(A557&lt;&gt;"",IF(AND(#REF!="Padrão",$H$4=#REF!),BDI!$B$17,IF(AND(#REF!="Padrão",$H$4=#REF!),BDI!#REF!,IF(AND(#REF!="Diferenciado",$H$4=#REF!),BDI!$E$17,IF(AND(#REF!="Diferenciado",$H$4=#REF!),BDI!#REF!,IF(#REF!="ZERO",0))))),"")</f>
        <v>#REF!</v>
      </c>
      <c r="H557" s="136" t="str">
        <f t="shared" si="25"/>
        <v/>
      </c>
      <c r="I557" s="134" t="str">
        <f t="shared" si="26"/>
        <v/>
      </c>
      <c r="J557" s="226"/>
    </row>
    <row r="558" spans="1:10" hidden="1" x14ac:dyDescent="0.25">
      <c r="A558" s="112" t="s">
        <v>2150</v>
      </c>
      <c r="B558" s="113" t="s">
        <v>2151</v>
      </c>
      <c r="C558" s="114" t="s">
        <v>92</v>
      </c>
      <c r="D558" s="114">
        <v>0</v>
      </c>
      <c r="E558" s="133" t="s">
        <v>514</v>
      </c>
      <c r="F558" s="134" t="str">
        <f t="shared" si="24"/>
        <v/>
      </c>
      <c r="G558" s="135" t="e">
        <f>IF(A558&lt;&gt;"",IF(AND(#REF!="Padrão",$H$4=#REF!),BDI!$B$17,IF(AND(#REF!="Padrão",$H$4=#REF!),BDI!#REF!,IF(AND(#REF!="Diferenciado",$H$4=#REF!),BDI!$E$17,IF(AND(#REF!="Diferenciado",$H$4=#REF!),BDI!#REF!,IF(#REF!="ZERO",0))))),"")</f>
        <v>#REF!</v>
      </c>
      <c r="H558" s="136" t="str">
        <f t="shared" si="25"/>
        <v/>
      </c>
      <c r="I558" s="134" t="str">
        <f t="shared" si="26"/>
        <v/>
      </c>
      <c r="J558" s="226"/>
    </row>
    <row r="559" spans="1:10" hidden="1" x14ac:dyDescent="0.25">
      <c r="A559" s="112" t="s">
        <v>2152</v>
      </c>
      <c r="B559" s="113" t="s">
        <v>2153</v>
      </c>
      <c r="C559" s="114" t="s">
        <v>92</v>
      </c>
      <c r="D559" s="114">
        <v>0</v>
      </c>
      <c r="E559" s="133" t="s">
        <v>514</v>
      </c>
      <c r="F559" s="134" t="str">
        <f t="shared" si="24"/>
        <v/>
      </c>
      <c r="G559" s="135" t="e">
        <f>IF(A559&lt;&gt;"",IF(AND(#REF!="Padrão",$H$4=#REF!),BDI!$B$17,IF(AND(#REF!="Padrão",$H$4=#REF!),BDI!#REF!,IF(AND(#REF!="Diferenciado",$H$4=#REF!),BDI!$E$17,IF(AND(#REF!="Diferenciado",$H$4=#REF!),BDI!#REF!,IF(#REF!="ZERO",0))))),"")</f>
        <v>#REF!</v>
      </c>
      <c r="H559" s="136" t="str">
        <f t="shared" si="25"/>
        <v/>
      </c>
      <c r="I559" s="134" t="str">
        <f t="shared" si="26"/>
        <v/>
      </c>
      <c r="J559" s="226"/>
    </row>
    <row r="560" spans="1:10" hidden="1" x14ac:dyDescent="0.25">
      <c r="A560" s="112" t="s">
        <v>2154</v>
      </c>
      <c r="B560" s="113" t="s">
        <v>2155</v>
      </c>
      <c r="C560" s="114" t="s">
        <v>92</v>
      </c>
      <c r="D560" s="114">
        <v>0</v>
      </c>
      <c r="E560" s="133" t="s">
        <v>514</v>
      </c>
      <c r="F560" s="134" t="str">
        <f t="shared" si="24"/>
        <v/>
      </c>
      <c r="G560" s="135" t="e">
        <f>IF(A560&lt;&gt;"",IF(AND(#REF!="Padrão",$H$4=#REF!),BDI!$B$17,IF(AND(#REF!="Padrão",$H$4=#REF!),BDI!#REF!,IF(AND(#REF!="Diferenciado",$H$4=#REF!),BDI!$E$17,IF(AND(#REF!="Diferenciado",$H$4=#REF!),BDI!#REF!,IF(#REF!="ZERO",0))))),"")</f>
        <v>#REF!</v>
      </c>
      <c r="H560" s="136" t="str">
        <f t="shared" si="25"/>
        <v/>
      </c>
      <c r="I560" s="134" t="str">
        <f t="shared" si="26"/>
        <v/>
      </c>
      <c r="J560" s="226"/>
    </row>
    <row r="561" spans="1:10" hidden="1" x14ac:dyDescent="0.25">
      <c r="A561" s="112" t="s">
        <v>2156</v>
      </c>
      <c r="B561" s="113" t="s">
        <v>2157</v>
      </c>
      <c r="C561" s="114" t="s">
        <v>2158</v>
      </c>
      <c r="D561" s="114">
        <v>0</v>
      </c>
      <c r="E561" s="133" t="s">
        <v>514</v>
      </c>
      <c r="F561" s="134" t="str">
        <f t="shared" si="24"/>
        <v/>
      </c>
      <c r="G561" s="135" t="e">
        <f>IF(A561&lt;&gt;"",IF(AND(#REF!="Padrão",$H$4=#REF!),BDI!$B$17,IF(AND(#REF!="Padrão",$H$4=#REF!),BDI!#REF!,IF(AND(#REF!="Diferenciado",$H$4=#REF!),BDI!$E$17,IF(AND(#REF!="Diferenciado",$H$4=#REF!),BDI!#REF!,IF(#REF!="ZERO",0))))),"")</f>
        <v>#REF!</v>
      </c>
      <c r="H561" s="136" t="str">
        <f t="shared" si="25"/>
        <v/>
      </c>
      <c r="I561" s="134" t="str">
        <f t="shared" si="26"/>
        <v/>
      </c>
      <c r="J561" s="226"/>
    </row>
    <row r="562" spans="1:10" hidden="1" x14ac:dyDescent="0.25">
      <c r="A562" s="112" t="s">
        <v>2159</v>
      </c>
      <c r="B562" s="113" t="s">
        <v>2160</v>
      </c>
      <c r="C562" s="114" t="s">
        <v>94</v>
      </c>
      <c r="D562" s="114">
        <v>0</v>
      </c>
      <c r="E562" s="133">
        <f ca="1">OFFSET(INDEX(Composições!A:J,MATCH(Orçamentária!A562,Composições!A:A,0),8),2,0)</f>
        <v>6.1084999999999994</v>
      </c>
      <c r="F562" s="134">
        <f t="shared" ca="1" si="24"/>
        <v>0</v>
      </c>
      <c r="G562" s="135" t="e">
        <f>IF(A562&lt;&gt;"",IF(AND(#REF!="Padrão",$H$4=#REF!),BDI!$B$17,IF(AND(#REF!="Padrão",$H$4=#REF!),BDI!#REF!,IF(AND(#REF!="Diferenciado",$H$4=#REF!),BDI!$E$17,IF(AND(#REF!="Diferenciado",$H$4=#REF!),BDI!#REF!,IF(#REF!="ZERO",0))))),"")</f>
        <v>#REF!</v>
      </c>
      <c r="H562" s="136" t="e">
        <f t="shared" ca="1" si="25"/>
        <v>#REF!</v>
      </c>
      <c r="I562" s="134" t="e">
        <f t="shared" ca="1" si="26"/>
        <v>#REF!</v>
      </c>
      <c r="J562" s="226"/>
    </row>
    <row r="563" spans="1:10" hidden="1" x14ac:dyDescent="0.25">
      <c r="A563" s="112" t="s">
        <v>2161</v>
      </c>
      <c r="B563" s="113" t="s">
        <v>2162</v>
      </c>
      <c r="C563" s="114" t="s">
        <v>94</v>
      </c>
      <c r="D563" s="114">
        <v>0</v>
      </c>
      <c r="E563" s="133" t="s">
        <v>514</v>
      </c>
      <c r="F563" s="134" t="str">
        <f t="shared" si="24"/>
        <v/>
      </c>
      <c r="G563" s="135" t="e">
        <f>IF(A563&lt;&gt;"",IF(AND(#REF!="Padrão",$H$4=#REF!),BDI!$B$17,IF(AND(#REF!="Padrão",$H$4=#REF!),BDI!#REF!,IF(AND(#REF!="Diferenciado",$H$4=#REF!),BDI!$E$17,IF(AND(#REF!="Diferenciado",$H$4=#REF!),BDI!#REF!,IF(#REF!="ZERO",0))))),"")</f>
        <v>#REF!</v>
      </c>
      <c r="H563" s="136" t="str">
        <f t="shared" si="25"/>
        <v/>
      </c>
      <c r="I563" s="134" t="str">
        <f t="shared" si="26"/>
        <v/>
      </c>
      <c r="J563" s="226"/>
    </row>
    <row r="564" spans="1:10" hidden="1" x14ac:dyDescent="0.25">
      <c r="A564" s="112" t="s">
        <v>2163</v>
      </c>
      <c r="B564" s="113" t="s">
        <v>2164</v>
      </c>
      <c r="C564" s="114" t="s">
        <v>42</v>
      </c>
      <c r="D564" s="114">
        <v>0</v>
      </c>
      <c r="E564" s="133">
        <f ca="1">OFFSET(INDEX(Composições!A:J,MATCH(Orçamentária!A564,Composições!A:A,0),8),2,0)</f>
        <v>29.393000000000001</v>
      </c>
      <c r="F564" s="134">
        <f t="shared" ca="1" si="24"/>
        <v>0</v>
      </c>
      <c r="G564" s="135" t="e">
        <f>IF(A564&lt;&gt;"",IF(AND(#REF!="Padrão",$H$4=#REF!),BDI!$B$17,IF(AND(#REF!="Padrão",$H$4=#REF!),BDI!#REF!,IF(AND(#REF!="Diferenciado",$H$4=#REF!),BDI!$E$17,IF(AND(#REF!="Diferenciado",$H$4=#REF!),BDI!#REF!,IF(#REF!="ZERO",0))))),"")</f>
        <v>#REF!</v>
      </c>
      <c r="H564" s="136" t="e">
        <f t="shared" ca="1" si="25"/>
        <v>#REF!</v>
      </c>
      <c r="I564" s="134" t="e">
        <f t="shared" ca="1" si="26"/>
        <v>#REF!</v>
      </c>
      <c r="J564" s="226"/>
    </row>
    <row r="565" spans="1:10" hidden="1" x14ac:dyDescent="0.25">
      <c r="A565" s="112" t="s">
        <v>2165</v>
      </c>
      <c r="B565" s="113" t="s">
        <v>2166</v>
      </c>
      <c r="C565" s="114" t="s">
        <v>42</v>
      </c>
      <c r="D565" s="114">
        <v>0</v>
      </c>
      <c r="E565" s="133" t="s">
        <v>514</v>
      </c>
      <c r="F565" s="134" t="str">
        <f t="shared" si="24"/>
        <v/>
      </c>
      <c r="G565" s="135" t="e">
        <f>IF(A565&lt;&gt;"",IF(AND(#REF!="Padrão",$H$4=#REF!),BDI!$B$17,IF(AND(#REF!="Padrão",$H$4=#REF!),BDI!#REF!,IF(AND(#REF!="Diferenciado",$H$4=#REF!),BDI!$E$17,IF(AND(#REF!="Diferenciado",$H$4=#REF!),BDI!#REF!,IF(#REF!="ZERO",0))))),"")</f>
        <v>#REF!</v>
      </c>
      <c r="H565" s="136" t="str">
        <f t="shared" si="25"/>
        <v/>
      </c>
      <c r="I565" s="134" t="str">
        <f t="shared" si="26"/>
        <v/>
      </c>
      <c r="J565" s="226"/>
    </row>
    <row r="566" spans="1:10" hidden="1" x14ac:dyDescent="0.25">
      <c r="A566" s="112" t="s">
        <v>2167</v>
      </c>
      <c r="B566" s="113" t="s">
        <v>2168</v>
      </c>
      <c r="C566" s="114" t="s">
        <v>94</v>
      </c>
      <c r="D566" s="114">
        <v>0</v>
      </c>
      <c r="E566" s="133">
        <f ca="1">OFFSET(INDEX(Composições!A:J,MATCH(Orçamentária!A566,Composições!A:A,0),8),2,0)</f>
        <v>43.462499999999999</v>
      </c>
      <c r="F566" s="134">
        <f t="shared" ca="1" si="24"/>
        <v>0</v>
      </c>
      <c r="G566" s="135" t="e">
        <f>IF(A566&lt;&gt;"",IF(AND(#REF!="Padrão",$H$4=#REF!),BDI!$B$17,IF(AND(#REF!="Padrão",$H$4=#REF!),BDI!#REF!,IF(AND(#REF!="Diferenciado",$H$4=#REF!),BDI!$E$17,IF(AND(#REF!="Diferenciado",$H$4=#REF!),BDI!#REF!,IF(#REF!="ZERO",0))))),"")</f>
        <v>#REF!</v>
      </c>
      <c r="H566" s="136" t="e">
        <f t="shared" ca="1" si="25"/>
        <v>#REF!</v>
      </c>
      <c r="I566" s="134" t="e">
        <f t="shared" ca="1" si="26"/>
        <v>#REF!</v>
      </c>
      <c r="J566" s="226"/>
    </row>
    <row r="567" spans="1:10" hidden="1" x14ac:dyDescent="0.25">
      <c r="A567" s="112" t="s">
        <v>2169</v>
      </c>
      <c r="B567" s="113" t="s">
        <v>2170</v>
      </c>
      <c r="C567" s="114" t="s">
        <v>20</v>
      </c>
      <c r="D567" s="114">
        <v>0</v>
      </c>
      <c r="E567" s="133">
        <f ca="1">OFFSET(INDEX(Composições!A:J,MATCH(Orçamentária!A567,Composições!A:A,0),8),2,0)</f>
        <v>13.102399999999998</v>
      </c>
      <c r="F567" s="134">
        <f t="shared" ca="1" si="24"/>
        <v>0</v>
      </c>
      <c r="G567" s="135" t="e">
        <f>IF(A567&lt;&gt;"",IF(AND(#REF!="Padrão",$H$4=#REF!),BDI!$B$17,IF(AND(#REF!="Padrão",$H$4=#REF!),BDI!#REF!,IF(AND(#REF!="Diferenciado",$H$4=#REF!),BDI!$E$17,IF(AND(#REF!="Diferenciado",$H$4=#REF!),BDI!#REF!,IF(#REF!="ZERO",0))))),"")</f>
        <v>#REF!</v>
      </c>
      <c r="H567" s="136" t="e">
        <f t="shared" ca="1" si="25"/>
        <v>#REF!</v>
      </c>
      <c r="I567" s="134" t="e">
        <f t="shared" ca="1" si="26"/>
        <v>#REF!</v>
      </c>
      <c r="J567" s="226"/>
    </row>
    <row r="568" spans="1:10" hidden="1" x14ac:dyDescent="0.25">
      <c r="A568" s="112" t="s">
        <v>735</v>
      </c>
      <c r="B568" s="113" t="s">
        <v>2171</v>
      </c>
      <c r="C568" s="114" t="s">
        <v>2172</v>
      </c>
      <c r="D568" s="114">
        <v>0</v>
      </c>
      <c r="E568" s="133">
        <f ca="1">OFFSET(INDEX(Composições!A:J,MATCH(Orçamentária!A568,Composições!A:A,0),8),2,0)</f>
        <v>21.66</v>
      </c>
      <c r="F568" s="134">
        <f t="shared" ca="1" si="24"/>
        <v>0</v>
      </c>
      <c r="G568" s="135" t="e">
        <f>IF(A568&lt;&gt;"",IF(AND(#REF!="Padrão",$H$4=#REF!),BDI!$B$17,IF(AND(#REF!="Padrão",$H$4=#REF!),BDI!#REF!,IF(AND(#REF!="Diferenciado",$H$4=#REF!),BDI!$E$17,IF(AND(#REF!="Diferenciado",$H$4=#REF!),BDI!#REF!,IF(#REF!="ZERO",0))))),"")</f>
        <v>#REF!</v>
      </c>
      <c r="H568" s="136" t="e">
        <f t="shared" ca="1" si="25"/>
        <v>#REF!</v>
      </c>
      <c r="I568" s="134" t="e">
        <f t="shared" ca="1" si="26"/>
        <v>#REF!</v>
      </c>
      <c r="J568" s="226"/>
    </row>
    <row r="569" spans="1:10" hidden="1" x14ac:dyDescent="0.25">
      <c r="A569" s="112" t="s">
        <v>737</v>
      </c>
      <c r="B569" s="113" t="s">
        <v>2173</v>
      </c>
      <c r="C569" s="114" t="s">
        <v>2172</v>
      </c>
      <c r="D569" s="114">
        <v>0</v>
      </c>
      <c r="E569" s="133">
        <f ca="1">OFFSET(INDEX(Composições!A:J,MATCH(Orçamentária!A569,Composições!A:A,0),8),2,0)</f>
        <v>22.799999999999997</v>
      </c>
      <c r="F569" s="134">
        <f t="shared" ca="1" si="24"/>
        <v>0</v>
      </c>
      <c r="G569" s="135" t="e">
        <f>IF(A569&lt;&gt;"",IF(AND(#REF!="Padrão",$H$4=#REF!),BDI!$B$17,IF(AND(#REF!="Padrão",$H$4=#REF!),BDI!#REF!,IF(AND(#REF!="Diferenciado",$H$4=#REF!),BDI!$E$17,IF(AND(#REF!="Diferenciado",$H$4=#REF!),BDI!#REF!,IF(#REF!="ZERO",0))))),"")</f>
        <v>#REF!</v>
      </c>
      <c r="H569" s="136" t="e">
        <f t="shared" ca="1" si="25"/>
        <v>#REF!</v>
      </c>
      <c r="I569" s="134" t="e">
        <f t="shared" ca="1" si="26"/>
        <v>#REF!</v>
      </c>
      <c r="J569" s="226"/>
    </row>
    <row r="570" spans="1:10" hidden="1" x14ac:dyDescent="0.25">
      <c r="A570" s="112" t="s">
        <v>739</v>
      </c>
      <c r="B570" s="113" t="s">
        <v>2174</v>
      </c>
      <c r="C570" s="114" t="s">
        <v>2175</v>
      </c>
      <c r="D570" s="114">
        <v>0</v>
      </c>
      <c r="E570" s="133">
        <f ca="1">OFFSET(INDEX(Composições!A:J,MATCH(Orçamentária!A570,Composições!A:A,0),8),2,0)</f>
        <v>31.35</v>
      </c>
      <c r="F570" s="134">
        <f t="shared" ca="1" si="24"/>
        <v>0</v>
      </c>
      <c r="G570" s="135" t="e">
        <f>IF(A570&lt;&gt;"",IF(AND(#REF!="Padrão",$H$4=#REF!),BDI!$B$17,IF(AND(#REF!="Padrão",$H$4=#REF!),BDI!#REF!,IF(AND(#REF!="Diferenciado",$H$4=#REF!),BDI!$E$17,IF(AND(#REF!="Diferenciado",$H$4=#REF!),BDI!#REF!,IF(#REF!="ZERO",0))))),"")</f>
        <v>#REF!</v>
      </c>
      <c r="H570" s="136" t="e">
        <f t="shared" ca="1" si="25"/>
        <v>#REF!</v>
      </c>
      <c r="I570" s="134" t="e">
        <f t="shared" ca="1" si="26"/>
        <v>#REF!</v>
      </c>
      <c r="J570" s="226"/>
    </row>
    <row r="571" spans="1:10" hidden="1" x14ac:dyDescent="0.25">
      <c r="A571" s="112" t="s">
        <v>741</v>
      </c>
      <c r="B571" s="113" t="s">
        <v>2176</v>
      </c>
      <c r="C571" s="114" t="s">
        <v>2177</v>
      </c>
      <c r="D571" s="114">
        <v>0</v>
      </c>
      <c r="E571" s="133">
        <f ca="1">OFFSET(INDEX(Composições!A:J,MATCH(Orçamentária!A571,Composições!A:A,0),8),2,0)</f>
        <v>32.11</v>
      </c>
      <c r="F571" s="134">
        <f t="shared" ca="1" si="24"/>
        <v>0</v>
      </c>
      <c r="G571" s="135" t="e">
        <f>IF(A571&lt;&gt;"",IF(AND(#REF!="Padrão",$H$4=#REF!),BDI!$B$17,IF(AND(#REF!="Padrão",$H$4=#REF!),BDI!#REF!,IF(AND(#REF!="Diferenciado",$H$4=#REF!),BDI!$E$17,IF(AND(#REF!="Diferenciado",$H$4=#REF!),BDI!#REF!,IF(#REF!="ZERO",0))))),"")</f>
        <v>#REF!</v>
      </c>
      <c r="H571" s="136" t="e">
        <f t="shared" ca="1" si="25"/>
        <v>#REF!</v>
      </c>
      <c r="I571" s="134" t="e">
        <f t="shared" ca="1" si="26"/>
        <v>#REF!</v>
      </c>
      <c r="J571" s="226"/>
    </row>
    <row r="572" spans="1:10" hidden="1" x14ac:dyDescent="0.25">
      <c r="A572" s="112" t="s">
        <v>742</v>
      </c>
      <c r="B572" s="113" t="s">
        <v>2178</v>
      </c>
      <c r="C572" s="114" t="s">
        <v>2172</v>
      </c>
      <c r="D572" s="114">
        <v>0</v>
      </c>
      <c r="E572" s="133">
        <f ca="1">OFFSET(INDEX(Composições!A:J,MATCH(Orçamentária!A572,Composições!A:A,0),8),2,0)</f>
        <v>27.36</v>
      </c>
      <c r="F572" s="134">
        <f t="shared" ca="1" si="24"/>
        <v>0</v>
      </c>
      <c r="G572" s="135" t="e">
        <f>IF(A572&lt;&gt;"",IF(AND(#REF!="Padrão",$H$4=#REF!),BDI!$B$17,IF(AND(#REF!="Padrão",$H$4=#REF!),BDI!#REF!,IF(AND(#REF!="Diferenciado",$H$4=#REF!),BDI!$E$17,IF(AND(#REF!="Diferenciado",$H$4=#REF!),BDI!#REF!,IF(#REF!="ZERO",0))))),"")</f>
        <v>#REF!</v>
      </c>
      <c r="H572" s="136" t="e">
        <f t="shared" ca="1" si="25"/>
        <v>#REF!</v>
      </c>
      <c r="I572" s="134" t="e">
        <f t="shared" ca="1" si="26"/>
        <v>#REF!</v>
      </c>
      <c r="J572" s="226"/>
    </row>
    <row r="573" spans="1:10" hidden="1" x14ac:dyDescent="0.25">
      <c r="A573" s="112" t="s">
        <v>743</v>
      </c>
      <c r="B573" s="113" t="s">
        <v>2179</v>
      </c>
      <c r="C573" s="114" t="s">
        <v>108</v>
      </c>
      <c r="D573" s="114">
        <v>0</v>
      </c>
      <c r="E573" s="133">
        <f ca="1">OFFSET(INDEX(Composições!A:J,MATCH(Orçamentária!A573,Composições!A:A,0),8),2,0)</f>
        <v>228.52985204999999</v>
      </c>
      <c r="F573" s="134">
        <f t="shared" ca="1" si="24"/>
        <v>0</v>
      </c>
      <c r="G573" s="135" t="e">
        <f>IF(A573&lt;&gt;"",IF(AND(#REF!="Padrão",$H$4=#REF!),BDI!$B$17,IF(AND(#REF!="Padrão",$H$4=#REF!),BDI!#REF!,IF(AND(#REF!="Diferenciado",$H$4=#REF!),BDI!$E$17,IF(AND(#REF!="Diferenciado",$H$4=#REF!),BDI!#REF!,IF(#REF!="ZERO",0))))),"")</f>
        <v>#REF!</v>
      </c>
      <c r="H573" s="136" t="e">
        <f t="shared" ca="1" si="25"/>
        <v>#REF!</v>
      </c>
      <c r="I573" s="134" t="e">
        <f t="shared" ca="1" si="26"/>
        <v>#REF!</v>
      </c>
      <c r="J573" s="226"/>
    </row>
    <row r="574" spans="1:10" hidden="1" x14ac:dyDescent="0.25">
      <c r="A574" s="112" t="s">
        <v>748</v>
      </c>
      <c r="B574" s="113" t="s">
        <v>2180</v>
      </c>
      <c r="C574" s="114" t="s">
        <v>108</v>
      </c>
      <c r="D574" s="114">
        <v>0</v>
      </c>
      <c r="E574" s="133">
        <f ca="1">OFFSET(INDEX(Composições!A:J,MATCH(Orçamentária!A574,Composições!A:A,0),8),2,0)</f>
        <v>217.42435204999998</v>
      </c>
      <c r="F574" s="134">
        <f t="shared" ca="1" si="24"/>
        <v>0</v>
      </c>
      <c r="G574" s="135" t="e">
        <f>IF(A574&lt;&gt;"",IF(AND(#REF!="Padrão",$H$4=#REF!),BDI!$B$17,IF(AND(#REF!="Padrão",$H$4=#REF!),BDI!#REF!,IF(AND(#REF!="Diferenciado",$H$4=#REF!),BDI!$E$17,IF(AND(#REF!="Diferenciado",$H$4=#REF!),BDI!#REF!,IF(#REF!="ZERO",0))))),"")</f>
        <v>#REF!</v>
      </c>
      <c r="H574" s="136" t="e">
        <f t="shared" ca="1" si="25"/>
        <v>#REF!</v>
      </c>
      <c r="I574" s="134" t="e">
        <f t="shared" ca="1" si="26"/>
        <v>#REF!</v>
      </c>
      <c r="J574" s="226"/>
    </row>
    <row r="575" spans="1:10" hidden="1" x14ac:dyDescent="0.25">
      <c r="A575" s="112" t="s">
        <v>751</v>
      </c>
      <c r="B575" s="113" t="s">
        <v>2181</v>
      </c>
      <c r="C575" s="114" t="s">
        <v>108</v>
      </c>
      <c r="D575" s="114">
        <v>0</v>
      </c>
      <c r="E575" s="133">
        <f ca="1">OFFSET(INDEX(Composições!A:J,MATCH(Orçamentária!A575,Composições!A:A,0),8),2,0)</f>
        <v>194.06385204999998</v>
      </c>
      <c r="F575" s="134">
        <f t="shared" ca="1" si="24"/>
        <v>0</v>
      </c>
      <c r="G575" s="135" t="e">
        <f>IF(A575&lt;&gt;"",IF(AND(#REF!="Padrão",$H$4=#REF!),BDI!$B$17,IF(AND(#REF!="Padrão",$H$4=#REF!),BDI!#REF!,IF(AND(#REF!="Diferenciado",$H$4=#REF!),BDI!$E$17,IF(AND(#REF!="Diferenciado",$H$4=#REF!),BDI!#REF!,IF(#REF!="ZERO",0))))),"")</f>
        <v>#REF!</v>
      </c>
      <c r="H575" s="136" t="e">
        <f t="shared" ca="1" si="25"/>
        <v>#REF!</v>
      </c>
      <c r="I575" s="134" t="e">
        <f t="shared" ca="1" si="26"/>
        <v>#REF!</v>
      </c>
      <c r="J575" s="226"/>
    </row>
    <row r="576" spans="1:10" hidden="1" x14ac:dyDescent="0.25">
      <c r="A576" s="112" t="s">
        <v>753</v>
      </c>
      <c r="B576" s="113" t="s">
        <v>2182</v>
      </c>
      <c r="C576" s="114" t="s">
        <v>20</v>
      </c>
      <c r="D576" s="114">
        <v>0</v>
      </c>
      <c r="E576" s="133">
        <f ca="1">OFFSET(INDEX(Composições!A:J,MATCH(Orçamentária!A576,Composições!A:A,0),8),2,0)</f>
        <v>0.76</v>
      </c>
      <c r="F576" s="134">
        <f t="shared" ca="1" si="24"/>
        <v>0</v>
      </c>
      <c r="G576" s="135" t="e">
        <f>IF(A576&lt;&gt;"",IF(AND(#REF!="Padrão",$H$4=#REF!),BDI!$B$17,IF(AND(#REF!="Padrão",$H$4=#REF!),BDI!#REF!,IF(AND(#REF!="Diferenciado",$H$4=#REF!),BDI!$E$17,IF(AND(#REF!="Diferenciado",$H$4=#REF!),BDI!#REF!,IF(#REF!="ZERO",0))))),"")</f>
        <v>#REF!</v>
      </c>
      <c r="H576" s="136" t="e">
        <f t="shared" ca="1" si="25"/>
        <v>#REF!</v>
      </c>
      <c r="I576" s="134" t="e">
        <f t="shared" ca="1" si="26"/>
        <v>#REF!</v>
      </c>
      <c r="J576" s="226"/>
    </row>
    <row r="577" spans="1:10" hidden="1" x14ac:dyDescent="0.25">
      <c r="A577" s="112" t="s">
        <v>754</v>
      </c>
      <c r="B577" s="113" t="s">
        <v>2183</v>
      </c>
      <c r="C577" s="114" t="s">
        <v>20</v>
      </c>
      <c r="D577" s="114">
        <v>0</v>
      </c>
      <c r="E577" s="133">
        <f ca="1">OFFSET(INDEX(Composições!A:J,MATCH(Orçamentária!A577,Composições!A:A,0),8),2,0)</f>
        <v>0.64600000000000002</v>
      </c>
      <c r="F577" s="134">
        <f t="shared" ca="1" si="24"/>
        <v>0</v>
      </c>
      <c r="G577" s="135" t="e">
        <f>IF(A577&lt;&gt;"",IF(AND(#REF!="Padrão",$H$4=#REF!),BDI!$B$17,IF(AND(#REF!="Padrão",$H$4=#REF!),BDI!#REF!,IF(AND(#REF!="Diferenciado",$H$4=#REF!),BDI!$E$17,IF(AND(#REF!="Diferenciado",$H$4=#REF!),BDI!#REF!,IF(#REF!="ZERO",0))))),"")</f>
        <v>#REF!</v>
      </c>
      <c r="H577" s="136" t="e">
        <f t="shared" ca="1" si="25"/>
        <v>#REF!</v>
      </c>
      <c r="I577" s="134" t="e">
        <f t="shared" ca="1" si="26"/>
        <v>#REF!</v>
      </c>
      <c r="J577" s="226"/>
    </row>
    <row r="578" spans="1:10" hidden="1" x14ac:dyDescent="0.25">
      <c r="A578" s="112" t="s">
        <v>755</v>
      </c>
      <c r="B578" s="113" t="s">
        <v>2184</v>
      </c>
      <c r="C578" s="114" t="s">
        <v>20</v>
      </c>
      <c r="D578" s="114">
        <v>0</v>
      </c>
      <c r="E578" s="133">
        <f ca="1">OFFSET(INDEX(Composições!A:J,MATCH(Orçamentária!A578,Composições!A:A,0),8),2,0)</f>
        <v>4.1514999999999995</v>
      </c>
      <c r="F578" s="134">
        <f t="shared" ca="1" si="24"/>
        <v>0</v>
      </c>
      <c r="G578" s="135" t="e">
        <f>IF(A578&lt;&gt;"",IF(AND(#REF!="Padrão",$H$4=#REF!),BDI!$B$17,IF(AND(#REF!="Padrão",$H$4=#REF!),BDI!#REF!,IF(AND(#REF!="Diferenciado",$H$4=#REF!),BDI!$E$17,IF(AND(#REF!="Diferenciado",$H$4=#REF!),BDI!#REF!,IF(#REF!="ZERO",0))))),"")</f>
        <v>#REF!</v>
      </c>
      <c r="H578" s="136" t="e">
        <f t="shared" ca="1" si="25"/>
        <v>#REF!</v>
      </c>
      <c r="I578" s="134" t="e">
        <f t="shared" ca="1" si="26"/>
        <v>#REF!</v>
      </c>
      <c r="J578" s="226"/>
    </row>
    <row r="579" spans="1:10" hidden="1" x14ac:dyDescent="0.25">
      <c r="A579" s="112" t="s">
        <v>756</v>
      </c>
      <c r="B579" s="113" t="s">
        <v>2185</v>
      </c>
      <c r="C579" s="114" t="s">
        <v>20</v>
      </c>
      <c r="D579" s="114">
        <v>0</v>
      </c>
      <c r="E579" s="133">
        <f ca="1">OFFSET(INDEX(Composições!A:J,MATCH(Orçamentária!A579,Composições!A:A,0),8),2,0)</f>
        <v>0</v>
      </c>
      <c r="F579" s="134">
        <f t="shared" ca="1" si="24"/>
        <v>0</v>
      </c>
      <c r="G579" s="135" t="e">
        <f>IF(A579&lt;&gt;"",IF(AND(#REF!="Padrão",$H$4=#REF!),BDI!$B$17,IF(AND(#REF!="Padrão",$H$4=#REF!),BDI!#REF!,IF(AND(#REF!="Diferenciado",$H$4=#REF!),BDI!$E$17,IF(AND(#REF!="Diferenciado",$H$4=#REF!),BDI!#REF!,IF(#REF!="ZERO",0))))),"")</f>
        <v>#REF!</v>
      </c>
      <c r="H579" s="136" t="e">
        <f t="shared" ca="1" si="25"/>
        <v>#REF!</v>
      </c>
      <c r="I579" s="134" t="e">
        <f t="shared" ca="1" si="26"/>
        <v>#REF!</v>
      </c>
      <c r="J579" s="226"/>
    </row>
    <row r="580" spans="1:10" hidden="1" x14ac:dyDescent="0.25">
      <c r="A580" s="112" t="s">
        <v>757</v>
      </c>
      <c r="B580" s="113" t="s">
        <v>2186</v>
      </c>
      <c r="C580" s="114" t="s">
        <v>92</v>
      </c>
      <c r="D580" s="114">
        <v>0</v>
      </c>
      <c r="E580" s="133">
        <f ca="1">OFFSET(INDEX(Composições!A:J,MATCH(Orçamentária!A580,Composições!A:A,0),8),2,0)</f>
        <v>1.482019</v>
      </c>
      <c r="F580" s="134">
        <f t="shared" ca="1" si="24"/>
        <v>0</v>
      </c>
      <c r="G580" s="135" t="e">
        <f>IF(A580&lt;&gt;"",IF(AND(#REF!="Padrão",$H$4=#REF!),BDI!$B$17,IF(AND(#REF!="Padrão",$H$4=#REF!),BDI!#REF!,IF(AND(#REF!="Diferenciado",$H$4=#REF!),BDI!$E$17,IF(AND(#REF!="Diferenciado",$H$4=#REF!),BDI!#REF!,IF(#REF!="ZERO",0))))),"")</f>
        <v>#REF!</v>
      </c>
      <c r="H580" s="136" t="e">
        <f t="shared" ca="1" si="25"/>
        <v>#REF!</v>
      </c>
      <c r="I580" s="134" t="e">
        <f t="shared" ca="1" si="26"/>
        <v>#REF!</v>
      </c>
      <c r="J580" s="226"/>
    </row>
    <row r="581" spans="1:10" hidden="1" x14ac:dyDescent="0.25">
      <c r="A581" s="112" t="s">
        <v>758</v>
      </c>
      <c r="B581" s="113" t="s">
        <v>2187</v>
      </c>
      <c r="C581" s="114" t="s">
        <v>92</v>
      </c>
      <c r="D581" s="114">
        <v>0</v>
      </c>
      <c r="E581" s="133">
        <f ca="1">OFFSET(INDEX(Composições!A:J,MATCH(Orçamentária!A581,Composições!A:A,0),8),2,0)</f>
        <v>2.6277474999999995</v>
      </c>
      <c r="F581" s="134">
        <f t="shared" ca="1" si="24"/>
        <v>0</v>
      </c>
      <c r="G581" s="135" t="e">
        <f>IF(A581&lt;&gt;"",IF(AND(#REF!="Padrão",$H$4=#REF!),BDI!$B$17,IF(AND(#REF!="Padrão",$H$4=#REF!),BDI!#REF!,IF(AND(#REF!="Diferenciado",$H$4=#REF!),BDI!$E$17,IF(AND(#REF!="Diferenciado",$H$4=#REF!),BDI!#REF!,IF(#REF!="ZERO",0))))),"")</f>
        <v>#REF!</v>
      </c>
      <c r="H581" s="136" t="e">
        <f t="shared" ca="1" si="25"/>
        <v>#REF!</v>
      </c>
      <c r="I581" s="134" t="e">
        <f t="shared" ca="1" si="26"/>
        <v>#REF!</v>
      </c>
      <c r="J581" s="226"/>
    </row>
    <row r="582" spans="1:10" hidden="1" x14ac:dyDescent="0.25">
      <c r="A582" s="112" t="s">
        <v>760</v>
      </c>
      <c r="B582" s="113" t="s">
        <v>2188</v>
      </c>
      <c r="C582" s="114" t="s">
        <v>92</v>
      </c>
      <c r="D582" s="114">
        <v>0</v>
      </c>
      <c r="E582" s="133">
        <f ca="1">OFFSET(INDEX(Composições!A:J,MATCH(Orçamentária!A582,Composições!A:A,0),8),2,0)</f>
        <v>4.2590874999999997</v>
      </c>
      <c r="F582" s="134">
        <f t="shared" ca="1" si="24"/>
        <v>0</v>
      </c>
      <c r="G582" s="135" t="e">
        <f>IF(A582&lt;&gt;"",IF(AND(#REF!="Padrão",$H$4=#REF!),BDI!$B$17,IF(AND(#REF!="Padrão",$H$4=#REF!),BDI!#REF!,IF(AND(#REF!="Diferenciado",$H$4=#REF!),BDI!$E$17,IF(AND(#REF!="Diferenciado",$H$4=#REF!),BDI!#REF!,IF(#REF!="ZERO",0))))),"")</f>
        <v>#REF!</v>
      </c>
      <c r="H582" s="136" t="e">
        <f t="shared" ca="1" si="25"/>
        <v>#REF!</v>
      </c>
      <c r="I582" s="134" t="e">
        <f t="shared" ca="1" si="26"/>
        <v>#REF!</v>
      </c>
      <c r="J582" s="226"/>
    </row>
    <row r="583" spans="1:10" hidden="1" x14ac:dyDescent="0.25">
      <c r="A583" s="112" t="s">
        <v>762</v>
      </c>
      <c r="B583" s="113" t="s">
        <v>2189</v>
      </c>
      <c r="C583" s="114" t="s">
        <v>92</v>
      </c>
      <c r="D583" s="114">
        <v>0</v>
      </c>
      <c r="E583" s="133">
        <f ca="1">OFFSET(INDEX(Composições!A:J,MATCH(Orçamentária!A583,Composições!A:A,0),8),2,0)</f>
        <v>6.2718049999999996</v>
      </c>
      <c r="F583" s="134">
        <f t="shared" ref="F583:F646" ca="1" si="27">IF(ISNUMBER(E583),D583*E583,"")</f>
        <v>0</v>
      </c>
      <c r="G583" s="135" t="e">
        <f>IF(A583&lt;&gt;"",IF(AND(#REF!="Padrão",$H$4=#REF!),BDI!$B$17,IF(AND(#REF!="Padrão",$H$4=#REF!),BDI!#REF!,IF(AND(#REF!="Diferenciado",$H$4=#REF!),BDI!$E$17,IF(AND(#REF!="Diferenciado",$H$4=#REF!),BDI!#REF!,IF(#REF!="ZERO",0))))),"")</f>
        <v>#REF!</v>
      </c>
      <c r="H583" s="136" t="e">
        <f t="shared" ref="H583:H646" ca="1" si="28">IF(ISNUMBER(E583),ROUND(E583*(1+G583),2),"")</f>
        <v>#REF!</v>
      </c>
      <c r="I583" s="134" t="e">
        <f t="shared" ref="I583:I646" ca="1" si="29">IF(ISNUMBER(E583),ROUND(H583*D583,2),"")</f>
        <v>#REF!</v>
      </c>
      <c r="J583" s="226"/>
    </row>
    <row r="584" spans="1:10" hidden="1" x14ac:dyDescent="0.25">
      <c r="A584" s="112" t="s">
        <v>764</v>
      </c>
      <c r="B584" s="113" t="s">
        <v>2190</v>
      </c>
      <c r="C584" s="114" t="s">
        <v>92</v>
      </c>
      <c r="D584" s="114">
        <v>0</v>
      </c>
      <c r="E584" s="133">
        <f ca="1">OFFSET(INDEX(Composições!A:J,MATCH(Orçamentária!A584,Composições!A:A,0),8),2,0)</f>
        <v>8.4806594999999998</v>
      </c>
      <c r="F584" s="134">
        <f t="shared" ca="1" si="27"/>
        <v>0</v>
      </c>
      <c r="G584" s="135" t="e">
        <f>IF(A584&lt;&gt;"",IF(AND(#REF!="Padrão",$H$4=#REF!),BDI!$B$17,IF(AND(#REF!="Padrão",$H$4=#REF!),BDI!#REF!,IF(AND(#REF!="Diferenciado",$H$4=#REF!),BDI!$E$17,IF(AND(#REF!="Diferenciado",$H$4=#REF!),BDI!#REF!,IF(#REF!="ZERO",0))))),"")</f>
        <v>#REF!</v>
      </c>
      <c r="H584" s="136" t="e">
        <f t="shared" ca="1" si="28"/>
        <v>#REF!</v>
      </c>
      <c r="I584" s="134" t="e">
        <f t="shared" ca="1" si="29"/>
        <v>#REF!</v>
      </c>
      <c r="J584" s="226"/>
    </row>
    <row r="585" spans="1:10" hidden="1" x14ac:dyDescent="0.25">
      <c r="A585" s="112" t="s">
        <v>766</v>
      </c>
      <c r="B585" s="113" t="s">
        <v>2191</v>
      </c>
      <c r="C585" s="114" t="s">
        <v>42</v>
      </c>
      <c r="D585" s="114">
        <v>0</v>
      </c>
      <c r="E585" s="133">
        <f ca="1">OFFSET(INDEX(Composições!A:J,MATCH(Orçamentária!A585,Composições!A:A,0),8),2,0)</f>
        <v>22.363</v>
      </c>
      <c r="F585" s="134">
        <f t="shared" ca="1" si="27"/>
        <v>0</v>
      </c>
      <c r="G585" s="135" t="e">
        <f>IF(A585&lt;&gt;"",IF(AND(#REF!="Padrão",$H$4=#REF!),BDI!$B$17,IF(AND(#REF!="Padrão",$H$4=#REF!),BDI!#REF!,IF(AND(#REF!="Diferenciado",$H$4=#REF!),BDI!$E$17,IF(AND(#REF!="Diferenciado",$H$4=#REF!),BDI!#REF!,IF(#REF!="ZERO",0))))),"")</f>
        <v>#REF!</v>
      </c>
      <c r="H585" s="136" t="e">
        <f t="shared" ca="1" si="28"/>
        <v>#REF!</v>
      </c>
      <c r="I585" s="134" t="e">
        <f t="shared" ca="1" si="29"/>
        <v>#REF!</v>
      </c>
      <c r="J585" s="226"/>
    </row>
    <row r="586" spans="1:10" hidden="1" x14ac:dyDescent="0.25">
      <c r="A586" s="112" t="s">
        <v>767</v>
      </c>
      <c r="B586" s="113" t="s">
        <v>2192</v>
      </c>
      <c r="C586" s="114" t="s">
        <v>42</v>
      </c>
      <c r="D586" s="114">
        <v>0</v>
      </c>
      <c r="E586" s="133">
        <f ca="1">OFFSET(INDEX(Composições!A:J,MATCH(Orçamentária!A586,Composições!A:A,0),8),2,0)</f>
        <v>57.104499999999994</v>
      </c>
      <c r="F586" s="134">
        <f t="shared" ca="1" si="27"/>
        <v>0</v>
      </c>
      <c r="G586" s="135" t="e">
        <f>IF(A586&lt;&gt;"",IF(AND(#REF!="Padrão",$H$4=#REF!),BDI!$B$17,IF(AND(#REF!="Padrão",$H$4=#REF!),BDI!#REF!,IF(AND(#REF!="Diferenciado",$H$4=#REF!),BDI!$E$17,IF(AND(#REF!="Diferenciado",$H$4=#REF!),BDI!#REF!,IF(#REF!="ZERO",0))))),"")</f>
        <v>#REF!</v>
      </c>
      <c r="H586" s="136" t="e">
        <f t="shared" ca="1" si="28"/>
        <v>#REF!</v>
      </c>
      <c r="I586" s="134" t="e">
        <f t="shared" ca="1" si="29"/>
        <v>#REF!</v>
      </c>
      <c r="J586" s="226"/>
    </row>
    <row r="587" spans="1:10" hidden="1" x14ac:dyDescent="0.25">
      <c r="A587" s="112" t="s">
        <v>2193</v>
      </c>
      <c r="B587" s="113" t="s">
        <v>2194</v>
      </c>
      <c r="C587" s="114" t="s">
        <v>20</v>
      </c>
      <c r="D587" s="114">
        <v>0</v>
      </c>
      <c r="E587" s="133">
        <f ca="1">OFFSET(INDEX(Composições!A:J,MATCH(Orçamentária!A587,Composições!A:A,0),8),2,0)</f>
        <v>36.945499999999996</v>
      </c>
      <c r="F587" s="134">
        <f t="shared" ca="1" si="27"/>
        <v>0</v>
      </c>
      <c r="G587" s="135" t="e">
        <f>IF(A587&lt;&gt;"",IF(AND(#REF!="Padrão",$H$4=#REF!),BDI!$B$17,IF(AND(#REF!="Padrão",$H$4=#REF!),BDI!#REF!,IF(AND(#REF!="Diferenciado",$H$4=#REF!),BDI!$E$17,IF(AND(#REF!="Diferenciado",$H$4=#REF!),BDI!#REF!,IF(#REF!="ZERO",0))))),"")</f>
        <v>#REF!</v>
      </c>
      <c r="H587" s="136" t="e">
        <f t="shared" ca="1" si="28"/>
        <v>#REF!</v>
      </c>
      <c r="I587" s="134" t="e">
        <f t="shared" ca="1" si="29"/>
        <v>#REF!</v>
      </c>
      <c r="J587" s="226"/>
    </row>
    <row r="588" spans="1:10" hidden="1" x14ac:dyDescent="0.25">
      <c r="A588" s="112" t="s">
        <v>2195</v>
      </c>
      <c r="B588" s="113" t="s">
        <v>2196</v>
      </c>
      <c r="C588" s="114" t="s">
        <v>20</v>
      </c>
      <c r="D588" s="114">
        <v>0</v>
      </c>
      <c r="E588" s="133">
        <f ca="1">OFFSET(INDEX(Composições!A:J,MATCH(Orçamentária!A588,Composições!A:A,0),8),2,0)</f>
        <v>24.414999999999999</v>
      </c>
      <c r="F588" s="134">
        <f t="shared" ca="1" si="27"/>
        <v>0</v>
      </c>
      <c r="G588" s="135" t="e">
        <f>IF(A588&lt;&gt;"",IF(AND(#REF!="Padrão",$H$4=#REF!),BDI!$B$17,IF(AND(#REF!="Padrão",$H$4=#REF!),BDI!#REF!,IF(AND(#REF!="Diferenciado",$H$4=#REF!),BDI!$E$17,IF(AND(#REF!="Diferenciado",$H$4=#REF!),BDI!#REF!,IF(#REF!="ZERO",0))))),"")</f>
        <v>#REF!</v>
      </c>
      <c r="H588" s="136" t="e">
        <f t="shared" ca="1" si="28"/>
        <v>#REF!</v>
      </c>
      <c r="I588" s="134" t="e">
        <f t="shared" ca="1" si="29"/>
        <v>#REF!</v>
      </c>
      <c r="J588" s="226"/>
    </row>
    <row r="589" spans="1:10" hidden="1" x14ac:dyDescent="0.25">
      <c r="A589" s="112" t="s">
        <v>2197</v>
      </c>
      <c r="B589" s="113" t="s">
        <v>2198</v>
      </c>
      <c r="C589" s="114" t="s">
        <v>92</v>
      </c>
      <c r="D589" s="114">
        <v>0</v>
      </c>
      <c r="E589" s="133" t="s">
        <v>514</v>
      </c>
      <c r="F589" s="134" t="str">
        <f t="shared" si="27"/>
        <v/>
      </c>
      <c r="G589" s="135" t="e">
        <f>IF(A589&lt;&gt;"",IF(AND(#REF!="Padrão",$H$4=#REF!),BDI!$B$17,IF(AND(#REF!="Padrão",$H$4=#REF!),BDI!#REF!,IF(AND(#REF!="Diferenciado",$H$4=#REF!),BDI!$E$17,IF(AND(#REF!="Diferenciado",$H$4=#REF!),BDI!#REF!,IF(#REF!="ZERO",0))))),"")</f>
        <v>#REF!</v>
      </c>
      <c r="H589" s="136" t="str">
        <f t="shared" si="28"/>
        <v/>
      </c>
      <c r="I589" s="134" t="str">
        <f t="shared" si="29"/>
        <v/>
      </c>
      <c r="J589" s="226"/>
    </row>
    <row r="590" spans="1:10" hidden="1" x14ac:dyDescent="0.25">
      <c r="A590" s="112" t="s">
        <v>2199</v>
      </c>
      <c r="B590" s="113" t="s">
        <v>2200</v>
      </c>
      <c r="C590" s="114" t="s">
        <v>92</v>
      </c>
      <c r="D590" s="114">
        <v>0</v>
      </c>
      <c r="E590" s="133" t="s">
        <v>514</v>
      </c>
      <c r="F590" s="134" t="str">
        <f t="shared" si="27"/>
        <v/>
      </c>
      <c r="G590" s="135" t="e">
        <f>IF(A590&lt;&gt;"",IF(AND(#REF!="Padrão",$H$4=#REF!),BDI!$B$17,IF(AND(#REF!="Padrão",$H$4=#REF!),BDI!#REF!,IF(AND(#REF!="Diferenciado",$H$4=#REF!),BDI!$E$17,IF(AND(#REF!="Diferenciado",$H$4=#REF!),BDI!#REF!,IF(#REF!="ZERO",0))))),"")</f>
        <v>#REF!</v>
      </c>
      <c r="H590" s="136" t="str">
        <f t="shared" si="28"/>
        <v/>
      </c>
      <c r="I590" s="134" t="str">
        <f t="shared" si="29"/>
        <v/>
      </c>
      <c r="J590" s="226"/>
    </row>
    <row r="591" spans="1:10" hidden="1" x14ac:dyDescent="0.25">
      <c r="A591" s="112" t="s">
        <v>2201</v>
      </c>
      <c r="B591" s="113" t="s">
        <v>2202</v>
      </c>
      <c r="C591" s="114" t="s">
        <v>42</v>
      </c>
      <c r="D591" s="114">
        <v>0</v>
      </c>
      <c r="E591" s="133" t="s">
        <v>514</v>
      </c>
      <c r="F591" s="134" t="str">
        <f t="shared" si="27"/>
        <v/>
      </c>
      <c r="G591" s="135" t="e">
        <f>IF(A591&lt;&gt;"",IF(AND(#REF!="Padrão",$H$4=#REF!),BDI!$B$17,IF(AND(#REF!="Padrão",$H$4=#REF!),BDI!#REF!,IF(AND(#REF!="Diferenciado",$H$4=#REF!),BDI!$E$17,IF(AND(#REF!="Diferenciado",$H$4=#REF!),BDI!#REF!,IF(#REF!="ZERO",0))))),"")</f>
        <v>#REF!</v>
      </c>
      <c r="H591" s="136" t="str">
        <f t="shared" si="28"/>
        <v/>
      </c>
      <c r="I591" s="134" t="str">
        <f t="shared" si="29"/>
        <v/>
      </c>
      <c r="J591" s="226"/>
    </row>
    <row r="592" spans="1:10" hidden="1" x14ac:dyDescent="0.25">
      <c r="A592" s="112" t="s">
        <v>2203</v>
      </c>
      <c r="B592" s="113" t="s">
        <v>2204</v>
      </c>
      <c r="C592" s="114" t="s">
        <v>101</v>
      </c>
      <c r="D592" s="114">
        <v>0</v>
      </c>
      <c r="E592" s="133" t="s">
        <v>514</v>
      </c>
      <c r="F592" s="134" t="str">
        <f t="shared" si="27"/>
        <v/>
      </c>
      <c r="G592" s="135" t="e">
        <f>IF(A592&lt;&gt;"",IF(AND(#REF!="Padrão",$H$4=#REF!),BDI!$B$17,IF(AND(#REF!="Padrão",$H$4=#REF!),BDI!#REF!,IF(AND(#REF!="Diferenciado",$H$4=#REF!),BDI!$E$17,IF(AND(#REF!="Diferenciado",$H$4=#REF!),BDI!#REF!,IF(#REF!="ZERO",0))))),"")</f>
        <v>#REF!</v>
      </c>
      <c r="H592" s="136" t="str">
        <f t="shared" si="28"/>
        <v/>
      </c>
      <c r="I592" s="134" t="str">
        <f t="shared" si="29"/>
        <v/>
      </c>
      <c r="J592" s="226"/>
    </row>
    <row r="593" spans="1:10" hidden="1" x14ac:dyDescent="0.25">
      <c r="A593" s="112" t="s">
        <v>769</v>
      </c>
      <c r="B593" s="113" t="s">
        <v>2205</v>
      </c>
      <c r="C593" s="114" t="s">
        <v>101</v>
      </c>
      <c r="D593" s="114">
        <v>0</v>
      </c>
      <c r="E593" s="133">
        <f ca="1">OFFSET(INDEX(Composições!A:J,MATCH(Orçamentária!A593,Composições!A:A,0),8),2,0)</f>
        <v>7.7044999999999995</v>
      </c>
      <c r="F593" s="134">
        <f t="shared" ca="1" si="27"/>
        <v>0</v>
      </c>
      <c r="G593" s="135" t="e">
        <f>IF(A593&lt;&gt;"",IF(AND(#REF!="Padrão",$H$4=#REF!),BDI!$B$17,IF(AND(#REF!="Padrão",$H$4=#REF!),BDI!#REF!,IF(AND(#REF!="Diferenciado",$H$4=#REF!),BDI!$E$17,IF(AND(#REF!="Diferenciado",$H$4=#REF!),BDI!#REF!,IF(#REF!="ZERO",0))))),"")</f>
        <v>#REF!</v>
      </c>
      <c r="H593" s="136" t="e">
        <f t="shared" ca="1" si="28"/>
        <v>#REF!</v>
      </c>
      <c r="I593" s="134" t="e">
        <f t="shared" ca="1" si="29"/>
        <v>#REF!</v>
      </c>
      <c r="J593" s="226"/>
    </row>
    <row r="594" spans="1:10" hidden="1" x14ac:dyDescent="0.25">
      <c r="A594" s="112" t="s">
        <v>2206</v>
      </c>
      <c r="B594" s="113" t="s">
        <v>2207</v>
      </c>
      <c r="C594" s="114" t="s">
        <v>101</v>
      </c>
      <c r="D594" s="114">
        <v>0</v>
      </c>
      <c r="E594" s="133" t="s">
        <v>514</v>
      </c>
      <c r="F594" s="134" t="str">
        <f t="shared" si="27"/>
        <v/>
      </c>
      <c r="G594" s="135" t="e">
        <f>IF(A594&lt;&gt;"",IF(AND(#REF!="Padrão",$H$4=#REF!),BDI!$B$17,IF(AND(#REF!="Padrão",$H$4=#REF!),BDI!#REF!,IF(AND(#REF!="Diferenciado",$H$4=#REF!),BDI!$E$17,IF(AND(#REF!="Diferenciado",$H$4=#REF!),BDI!#REF!,IF(#REF!="ZERO",0))))),"")</f>
        <v>#REF!</v>
      </c>
      <c r="H594" s="136" t="str">
        <f t="shared" si="28"/>
        <v/>
      </c>
      <c r="I594" s="134" t="str">
        <f t="shared" si="29"/>
        <v/>
      </c>
      <c r="J594" s="226"/>
    </row>
    <row r="595" spans="1:10" hidden="1" x14ac:dyDescent="0.25">
      <c r="A595" s="112" t="s">
        <v>2208</v>
      </c>
      <c r="B595" s="113" t="s">
        <v>2209</v>
      </c>
      <c r="C595" s="114" t="s">
        <v>92</v>
      </c>
      <c r="D595" s="114">
        <v>0</v>
      </c>
      <c r="E595" s="133" t="s">
        <v>514</v>
      </c>
      <c r="F595" s="134" t="str">
        <f t="shared" si="27"/>
        <v/>
      </c>
      <c r="G595" s="135" t="e">
        <f>IF(A595&lt;&gt;"",IF(AND(#REF!="Padrão",$H$4=#REF!),BDI!$B$17,IF(AND(#REF!="Padrão",$H$4=#REF!),BDI!#REF!,IF(AND(#REF!="Diferenciado",$H$4=#REF!),BDI!$E$17,IF(AND(#REF!="Diferenciado",$H$4=#REF!),BDI!#REF!,IF(#REF!="ZERO",0))))),"")</f>
        <v>#REF!</v>
      </c>
      <c r="H595" s="136" t="str">
        <f t="shared" si="28"/>
        <v/>
      </c>
      <c r="I595" s="134" t="str">
        <f t="shared" si="29"/>
        <v/>
      </c>
      <c r="J595" s="226"/>
    </row>
    <row r="596" spans="1:10" hidden="1" x14ac:dyDescent="0.25">
      <c r="A596" s="112" t="s">
        <v>2210</v>
      </c>
      <c r="B596" s="113" t="s">
        <v>2211</v>
      </c>
      <c r="C596" s="114" t="s">
        <v>92</v>
      </c>
      <c r="D596" s="114">
        <v>0</v>
      </c>
      <c r="E596" s="133" t="s">
        <v>514</v>
      </c>
      <c r="F596" s="134" t="str">
        <f t="shared" si="27"/>
        <v/>
      </c>
      <c r="G596" s="135" t="e">
        <f>IF(A596&lt;&gt;"",IF(AND(#REF!="Padrão",$H$4=#REF!),BDI!$B$17,IF(AND(#REF!="Padrão",$H$4=#REF!),BDI!#REF!,IF(AND(#REF!="Diferenciado",$H$4=#REF!),BDI!$E$17,IF(AND(#REF!="Diferenciado",$H$4=#REF!),BDI!#REF!,IF(#REF!="ZERO",0))))),"")</f>
        <v>#REF!</v>
      </c>
      <c r="H596" s="136" t="str">
        <f t="shared" si="28"/>
        <v/>
      </c>
      <c r="I596" s="134" t="str">
        <f t="shared" si="29"/>
        <v/>
      </c>
      <c r="J596" s="226"/>
    </row>
    <row r="597" spans="1:10" hidden="1" x14ac:dyDescent="0.25">
      <c r="A597" s="112" t="s">
        <v>2212</v>
      </c>
      <c r="B597" s="113" t="s">
        <v>2213</v>
      </c>
      <c r="C597" s="114" t="s">
        <v>94</v>
      </c>
      <c r="D597" s="114">
        <v>0</v>
      </c>
      <c r="E597" s="133">
        <f ca="1">OFFSET(INDEX(Composições!A:J,MATCH(Orçamentária!A597,Composições!A:A,0),8),2,0)</f>
        <v>2.3180000000000001</v>
      </c>
      <c r="F597" s="134">
        <f t="shared" ca="1" si="27"/>
        <v>0</v>
      </c>
      <c r="G597" s="135" t="e">
        <f>IF(A597&lt;&gt;"",IF(AND(#REF!="Padrão",$H$4=#REF!),BDI!$B$17,IF(AND(#REF!="Padrão",$H$4=#REF!),BDI!#REF!,IF(AND(#REF!="Diferenciado",$H$4=#REF!),BDI!$E$17,IF(AND(#REF!="Diferenciado",$H$4=#REF!),BDI!#REF!,IF(#REF!="ZERO",0))))),"")</f>
        <v>#REF!</v>
      </c>
      <c r="H597" s="136" t="e">
        <f t="shared" ca="1" si="28"/>
        <v>#REF!</v>
      </c>
      <c r="I597" s="134" t="e">
        <f t="shared" ca="1" si="29"/>
        <v>#REF!</v>
      </c>
      <c r="J597" s="226"/>
    </row>
    <row r="598" spans="1:10" hidden="1" x14ac:dyDescent="0.25">
      <c r="A598" s="112" t="s">
        <v>2214</v>
      </c>
      <c r="B598" s="113" t="s">
        <v>2215</v>
      </c>
      <c r="C598" s="114" t="s">
        <v>20</v>
      </c>
      <c r="D598" s="114">
        <v>0</v>
      </c>
      <c r="E598" s="133" t="s">
        <v>514</v>
      </c>
      <c r="F598" s="134" t="str">
        <f t="shared" si="27"/>
        <v/>
      </c>
      <c r="G598" s="135" t="e">
        <f>IF(A598&lt;&gt;"",IF(AND(#REF!="Padrão",$H$4=#REF!),BDI!$B$17,IF(AND(#REF!="Padrão",$H$4=#REF!),BDI!#REF!,IF(AND(#REF!="Diferenciado",$H$4=#REF!),BDI!$E$17,IF(AND(#REF!="Diferenciado",$H$4=#REF!),BDI!#REF!,IF(#REF!="ZERO",0))))),"")</f>
        <v>#REF!</v>
      </c>
      <c r="H598" s="136" t="str">
        <f t="shared" si="28"/>
        <v/>
      </c>
      <c r="I598" s="134" t="str">
        <f t="shared" si="29"/>
        <v/>
      </c>
      <c r="J598" s="226"/>
    </row>
    <row r="599" spans="1:10" hidden="1" x14ac:dyDescent="0.25">
      <c r="A599" s="112" t="s">
        <v>2216</v>
      </c>
      <c r="B599" s="113" t="s">
        <v>2217</v>
      </c>
      <c r="C599" s="114" t="s">
        <v>20</v>
      </c>
      <c r="D599" s="114">
        <v>0</v>
      </c>
      <c r="E599" s="133" t="s">
        <v>514</v>
      </c>
      <c r="F599" s="134" t="str">
        <f t="shared" si="27"/>
        <v/>
      </c>
      <c r="G599" s="135" t="e">
        <f>IF(A599&lt;&gt;"",IF(AND(#REF!="Padrão",$H$4=#REF!),BDI!$B$17,IF(AND(#REF!="Padrão",$H$4=#REF!),BDI!#REF!,IF(AND(#REF!="Diferenciado",$H$4=#REF!),BDI!$E$17,IF(AND(#REF!="Diferenciado",$H$4=#REF!),BDI!#REF!,IF(#REF!="ZERO",0))))),"")</f>
        <v>#REF!</v>
      </c>
      <c r="H599" s="136" t="str">
        <f t="shared" si="28"/>
        <v/>
      </c>
      <c r="I599" s="134" t="str">
        <f t="shared" si="29"/>
        <v/>
      </c>
      <c r="J599" s="226"/>
    </row>
    <row r="600" spans="1:10" hidden="1" x14ac:dyDescent="0.25">
      <c r="A600" s="112" t="s">
        <v>2218</v>
      </c>
      <c r="B600" s="113" t="s">
        <v>2219</v>
      </c>
      <c r="C600" s="114" t="s">
        <v>20</v>
      </c>
      <c r="D600" s="114">
        <v>0</v>
      </c>
      <c r="E600" s="133" t="s">
        <v>514</v>
      </c>
      <c r="F600" s="134" t="str">
        <f t="shared" si="27"/>
        <v/>
      </c>
      <c r="G600" s="135" t="e">
        <f>IF(A600&lt;&gt;"",IF(AND(#REF!="Padrão",$H$4=#REF!),BDI!$B$17,IF(AND(#REF!="Padrão",$H$4=#REF!),BDI!#REF!,IF(AND(#REF!="Diferenciado",$H$4=#REF!),BDI!$E$17,IF(AND(#REF!="Diferenciado",$H$4=#REF!),BDI!#REF!,IF(#REF!="ZERO",0))))),"")</f>
        <v>#REF!</v>
      </c>
      <c r="H600" s="136" t="str">
        <f t="shared" si="28"/>
        <v/>
      </c>
      <c r="I600" s="134" t="str">
        <f t="shared" si="29"/>
        <v/>
      </c>
      <c r="J600" s="226"/>
    </row>
    <row r="601" spans="1:10" hidden="1" x14ac:dyDescent="0.25">
      <c r="A601" s="112" t="s">
        <v>2220</v>
      </c>
      <c r="B601" s="113" t="s">
        <v>2221</v>
      </c>
      <c r="C601" s="114" t="s">
        <v>20</v>
      </c>
      <c r="D601" s="114">
        <v>0</v>
      </c>
      <c r="E601" s="133" t="s">
        <v>514</v>
      </c>
      <c r="F601" s="134" t="str">
        <f t="shared" si="27"/>
        <v/>
      </c>
      <c r="G601" s="135" t="e">
        <f>IF(A601&lt;&gt;"",IF(AND(#REF!="Padrão",$H$4=#REF!),BDI!$B$17,IF(AND(#REF!="Padrão",$H$4=#REF!),BDI!#REF!,IF(AND(#REF!="Diferenciado",$H$4=#REF!),BDI!$E$17,IF(AND(#REF!="Diferenciado",$H$4=#REF!),BDI!#REF!,IF(#REF!="ZERO",0))))),"")</f>
        <v>#REF!</v>
      </c>
      <c r="H601" s="136" t="str">
        <f t="shared" si="28"/>
        <v/>
      </c>
      <c r="I601" s="134" t="str">
        <f t="shared" si="29"/>
        <v/>
      </c>
      <c r="J601" s="226"/>
    </row>
    <row r="602" spans="1:10" hidden="1" x14ac:dyDescent="0.25">
      <c r="A602" s="112" t="s">
        <v>2222</v>
      </c>
      <c r="B602" s="113" t="s">
        <v>2223</v>
      </c>
      <c r="C602" s="114" t="s">
        <v>20</v>
      </c>
      <c r="D602" s="114">
        <v>0</v>
      </c>
      <c r="E602" s="133" t="s">
        <v>514</v>
      </c>
      <c r="F602" s="134" t="str">
        <f t="shared" si="27"/>
        <v/>
      </c>
      <c r="G602" s="135" t="e">
        <f>IF(A602&lt;&gt;"",IF(AND(#REF!="Padrão",$H$4=#REF!),BDI!$B$17,IF(AND(#REF!="Padrão",$H$4=#REF!),BDI!#REF!,IF(AND(#REF!="Diferenciado",$H$4=#REF!),BDI!$E$17,IF(AND(#REF!="Diferenciado",$H$4=#REF!),BDI!#REF!,IF(#REF!="ZERO",0))))),"")</f>
        <v>#REF!</v>
      </c>
      <c r="H602" s="136" t="str">
        <f t="shared" si="28"/>
        <v/>
      </c>
      <c r="I602" s="134" t="str">
        <f t="shared" si="29"/>
        <v/>
      </c>
      <c r="J602" s="226"/>
    </row>
    <row r="603" spans="1:10" hidden="1" x14ac:dyDescent="0.25">
      <c r="A603" s="112" t="s">
        <v>2224</v>
      </c>
      <c r="B603" s="113" t="s">
        <v>2225</v>
      </c>
      <c r="C603" s="114" t="s">
        <v>20</v>
      </c>
      <c r="D603" s="114">
        <v>0</v>
      </c>
      <c r="E603" s="133" t="s">
        <v>514</v>
      </c>
      <c r="F603" s="134" t="str">
        <f t="shared" si="27"/>
        <v/>
      </c>
      <c r="G603" s="135" t="e">
        <f>IF(A603&lt;&gt;"",IF(AND(#REF!="Padrão",$H$4=#REF!),BDI!$B$17,IF(AND(#REF!="Padrão",$H$4=#REF!),BDI!#REF!,IF(AND(#REF!="Diferenciado",$H$4=#REF!),BDI!$E$17,IF(AND(#REF!="Diferenciado",$H$4=#REF!),BDI!#REF!,IF(#REF!="ZERO",0))))),"")</f>
        <v>#REF!</v>
      </c>
      <c r="H603" s="136" t="str">
        <f t="shared" si="28"/>
        <v/>
      </c>
      <c r="I603" s="134" t="str">
        <f t="shared" si="29"/>
        <v/>
      </c>
      <c r="J603" s="226"/>
    </row>
    <row r="604" spans="1:10" hidden="1" x14ac:dyDescent="0.25">
      <c r="A604" s="112" t="s">
        <v>2226</v>
      </c>
      <c r="B604" s="113" t="s">
        <v>2227</v>
      </c>
      <c r="C604" s="114" t="s">
        <v>20</v>
      </c>
      <c r="D604" s="114">
        <v>0</v>
      </c>
      <c r="E604" s="133" t="s">
        <v>514</v>
      </c>
      <c r="F604" s="134" t="str">
        <f t="shared" si="27"/>
        <v/>
      </c>
      <c r="G604" s="135" t="e">
        <f>IF(A604&lt;&gt;"",IF(AND(#REF!="Padrão",$H$4=#REF!),BDI!$B$17,IF(AND(#REF!="Padrão",$H$4=#REF!),BDI!#REF!,IF(AND(#REF!="Diferenciado",$H$4=#REF!),BDI!$E$17,IF(AND(#REF!="Diferenciado",$H$4=#REF!),BDI!#REF!,IF(#REF!="ZERO",0))))),"")</f>
        <v>#REF!</v>
      </c>
      <c r="H604" s="136" t="str">
        <f t="shared" si="28"/>
        <v/>
      </c>
      <c r="I604" s="134" t="str">
        <f t="shared" si="29"/>
        <v/>
      </c>
      <c r="J604" s="226"/>
    </row>
    <row r="605" spans="1:10" hidden="1" x14ac:dyDescent="0.25">
      <c r="A605" s="112" t="s">
        <v>2228</v>
      </c>
      <c r="B605" s="113" t="s">
        <v>2229</v>
      </c>
      <c r="C605" s="114" t="s">
        <v>20</v>
      </c>
      <c r="D605" s="114">
        <v>0</v>
      </c>
      <c r="E605" s="133" t="s">
        <v>514</v>
      </c>
      <c r="F605" s="134" t="str">
        <f t="shared" si="27"/>
        <v/>
      </c>
      <c r="G605" s="135" t="e">
        <f>IF(A605&lt;&gt;"",IF(AND(#REF!="Padrão",$H$4=#REF!),BDI!$B$17,IF(AND(#REF!="Padrão",$H$4=#REF!),BDI!#REF!,IF(AND(#REF!="Diferenciado",$H$4=#REF!),BDI!$E$17,IF(AND(#REF!="Diferenciado",$H$4=#REF!),BDI!#REF!,IF(#REF!="ZERO",0))))),"")</f>
        <v>#REF!</v>
      </c>
      <c r="H605" s="136" t="str">
        <f t="shared" si="28"/>
        <v/>
      </c>
      <c r="I605" s="134" t="str">
        <f t="shared" si="29"/>
        <v/>
      </c>
      <c r="J605" s="226"/>
    </row>
    <row r="606" spans="1:10" hidden="1" x14ac:dyDescent="0.25">
      <c r="A606" s="112" t="s">
        <v>2230</v>
      </c>
      <c r="B606" s="113" t="s">
        <v>2231</v>
      </c>
      <c r="C606" s="114" t="s">
        <v>20</v>
      </c>
      <c r="D606" s="114">
        <v>0</v>
      </c>
      <c r="E606" s="133" t="s">
        <v>514</v>
      </c>
      <c r="F606" s="134" t="str">
        <f t="shared" si="27"/>
        <v/>
      </c>
      <c r="G606" s="135" t="e">
        <f>IF(A606&lt;&gt;"",IF(AND(#REF!="Padrão",$H$4=#REF!),BDI!$B$17,IF(AND(#REF!="Padrão",$H$4=#REF!),BDI!#REF!,IF(AND(#REF!="Diferenciado",$H$4=#REF!),BDI!$E$17,IF(AND(#REF!="Diferenciado",$H$4=#REF!),BDI!#REF!,IF(#REF!="ZERO",0))))),"")</f>
        <v>#REF!</v>
      </c>
      <c r="H606" s="136" t="str">
        <f t="shared" si="28"/>
        <v/>
      </c>
      <c r="I606" s="134" t="str">
        <f t="shared" si="29"/>
        <v/>
      </c>
      <c r="J606" s="226"/>
    </row>
    <row r="607" spans="1:10" hidden="1" x14ac:dyDescent="0.25">
      <c r="A607" s="112" t="s">
        <v>2232</v>
      </c>
      <c r="B607" s="113" t="s">
        <v>2233</v>
      </c>
      <c r="C607" s="114" t="s">
        <v>20</v>
      </c>
      <c r="D607" s="114">
        <v>0</v>
      </c>
      <c r="E607" s="133" t="s">
        <v>514</v>
      </c>
      <c r="F607" s="134" t="str">
        <f t="shared" si="27"/>
        <v/>
      </c>
      <c r="G607" s="135" t="e">
        <f>IF(A607&lt;&gt;"",IF(AND(#REF!="Padrão",$H$4=#REF!),BDI!$B$17,IF(AND(#REF!="Padrão",$H$4=#REF!),BDI!#REF!,IF(AND(#REF!="Diferenciado",$H$4=#REF!),BDI!$E$17,IF(AND(#REF!="Diferenciado",$H$4=#REF!),BDI!#REF!,IF(#REF!="ZERO",0))))),"")</f>
        <v>#REF!</v>
      </c>
      <c r="H607" s="136" t="str">
        <f t="shared" si="28"/>
        <v/>
      </c>
      <c r="I607" s="134" t="str">
        <f t="shared" si="29"/>
        <v/>
      </c>
      <c r="J607" s="226"/>
    </row>
    <row r="608" spans="1:10" hidden="1" x14ac:dyDescent="0.25">
      <c r="A608" s="112" t="s">
        <v>2234</v>
      </c>
      <c r="B608" s="113" t="s">
        <v>2235</v>
      </c>
      <c r="C608" s="114" t="s">
        <v>20</v>
      </c>
      <c r="D608" s="114">
        <v>0</v>
      </c>
      <c r="E608" s="133" t="s">
        <v>514</v>
      </c>
      <c r="F608" s="134" t="str">
        <f t="shared" si="27"/>
        <v/>
      </c>
      <c r="G608" s="135" t="e">
        <f>IF(A608&lt;&gt;"",IF(AND(#REF!="Padrão",$H$4=#REF!),BDI!$B$17,IF(AND(#REF!="Padrão",$H$4=#REF!),BDI!#REF!,IF(AND(#REF!="Diferenciado",$H$4=#REF!),BDI!$E$17,IF(AND(#REF!="Diferenciado",$H$4=#REF!),BDI!#REF!,IF(#REF!="ZERO",0))))),"")</f>
        <v>#REF!</v>
      </c>
      <c r="H608" s="136" t="str">
        <f t="shared" si="28"/>
        <v/>
      </c>
      <c r="I608" s="134" t="str">
        <f t="shared" si="29"/>
        <v/>
      </c>
      <c r="J608" s="226"/>
    </row>
    <row r="609" spans="1:10" hidden="1" x14ac:dyDescent="0.25">
      <c r="A609" s="112" t="s">
        <v>2236</v>
      </c>
      <c r="B609" s="113" t="s">
        <v>2237</v>
      </c>
      <c r="C609" s="114" t="s">
        <v>20</v>
      </c>
      <c r="D609" s="114">
        <v>0</v>
      </c>
      <c r="E609" s="133" t="s">
        <v>514</v>
      </c>
      <c r="F609" s="134" t="str">
        <f t="shared" si="27"/>
        <v/>
      </c>
      <c r="G609" s="135" t="e">
        <f>IF(A609&lt;&gt;"",IF(AND(#REF!="Padrão",$H$4=#REF!),BDI!$B$17,IF(AND(#REF!="Padrão",$H$4=#REF!),BDI!#REF!,IF(AND(#REF!="Diferenciado",$H$4=#REF!),BDI!$E$17,IF(AND(#REF!="Diferenciado",$H$4=#REF!),BDI!#REF!,IF(#REF!="ZERO",0))))),"")</f>
        <v>#REF!</v>
      </c>
      <c r="H609" s="136" t="str">
        <f t="shared" si="28"/>
        <v/>
      </c>
      <c r="I609" s="134" t="str">
        <f t="shared" si="29"/>
        <v/>
      </c>
      <c r="J609" s="226"/>
    </row>
    <row r="610" spans="1:10" hidden="1" x14ac:dyDescent="0.25">
      <c r="A610" s="112" t="s">
        <v>2238</v>
      </c>
      <c r="B610" s="113" t="s">
        <v>2239</v>
      </c>
      <c r="C610" s="114" t="s">
        <v>20</v>
      </c>
      <c r="D610" s="114">
        <v>0</v>
      </c>
      <c r="E610" s="133" t="s">
        <v>514</v>
      </c>
      <c r="F610" s="134" t="str">
        <f t="shared" si="27"/>
        <v/>
      </c>
      <c r="G610" s="135" t="e">
        <f>IF(A610&lt;&gt;"",IF(AND(#REF!="Padrão",$H$4=#REF!),BDI!$B$17,IF(AND(#REF!="Padrão",$H$4=#REF!),BDI!#REF!,IF(AND(#REF!="Diferenciado",$H$4=#REF!),BDI!$E$17,IF(AND(#REF!="Diferenciado",$H$4=#REF!),BDI!#REF!,IF(#REF!="ZERO",0))))),"")</f>
        <v>#REF!</v>
      </c>
      <c r="H610" s="136" t="str">
        <f t="shared" si="28"/>
        <v/>
      </c>
      <c r="I610" s="134" t="str">
        <f t="shared" si="29"/>
        <v/>
      </c>
      <c r="J610" s="226"/>
    </row>
    <row r="611" spans="1:10" hidden="1" x14ac:dyDescent="0.25">
      <c r="A611" s="112" t="s">
        <v>2240</v>
      </c>
      <c r="B611" s="113" t="s">
        <v>2241</v>
      </c>
      <c r="C611" s="114" t="s">
        <v>20</v>
      </c>
      <c r="D611" s="114">
        <v>0</v>
      </c>
      <c r="E611" s="133" t="s">
        <v>514</v>
      </c>
      <c r="F611" s="134" t="str">
        <f t="shared" si="27"/>
        <v/>
      </c>
      <c r="G611" s="135" t="e">
        <f>IF(A611&lt;&gt;"",IF(AND(#REF!="Padrão",$H$4=#REF!),BDI!$B$17,IF(AND(#REF!="Padrão",$H$4=#REF!),BDI!#REF!,IF(AND(#REF!="Diferenciado",$H$4=#REF!),BDI!$E$17,IF(AND(#REF!="Diferenciado",$H$4=#REF!),BDI!#REF!,IF(#REF!="ZERO",0))))),"")</f>
        <v>#REF!</v>
      </c>
      <c r="H611" s="136" t="str">
        <f t="shared" si="28"/>
        <v/>
      </c>
      <c r="I611" s="134" t="str">
        <f t="shared" si="29"/>
        <v/>
      </c>
      <c r="J611" s="226"/>
    </row>
    <row r="612" spans="1:10" hidden="1" x14ac:dyDescent="0.25">
      <c r="A612" s="112" t="s">
        <v>2242</v>
      </c>
      <c r="B612" s="113" t="s">
        <v>2243</v>
      </c>
      <c r="C612" s="114" t="s">
        <v>20</v>
      </c>
      <c r="D612" s="114">
        <v>0</v>
      </c>
      <c r="E612" s="133" t="s">
        <v>514</v>
      </c>
      <c r="F612" s="134" t="str">
        <f t="shared" si="27"/>
        <v/>
      </c>
      <c r="G612" s="135" t="e">
        <f>IF(A612&lt;&gt;"",IF(AND(#REF!="Padrão",$H$4=#REF!),BDI!$B$17,IF(AND(#REF!="Padrão",$H$4=#REF!),BDI!#REF!,IF(AND(#REF!="Diferenciado",$H$4=#REF!),BDI!$E$17,IF(AND(#REF!="Diferenciado",$H$4=#REF!),BDI!#REF!,IF(#REF!="ZERO",0))))),"")</f>
        <v>#REF!</v>
      </c>
      <c r="H612" s="136" t="str">
        <f t="shared" si="28"/>
        <v/>
      </c>
      <c r="I612" s="134" t="str">
        <f t="shared" si="29"/>
        <v/>
      </c>
      <c r="J612" s="226"/>
    </row>
    <row r="613" spans="1:10" hidden="1" x14ac:dyDescent="0.25">
      <c r="A613" s="112" t="s">
        <v>2244</v>
      </c>
      <c r="B613" s="113" t="s">
        <v>2245</v>
      </c>
      <c r="C613" s="114" t="s">
        <v>20</v>
      </c>
      <c r="D613" s="114">
        <v>0</v>
      </c>
      <c r="E613" s="133" t="s">
        <v>514</v>
      </c>
      <c r="F613" s="134" t="str">
        <f t="shared" si="27"/>
        <v/>
      </c>
      <c r="G613" s="135" t="e">
        <f>IF(A613&lt;&gt;"",IF(AND(#REF!="Padrão",$H$4=#REF!),BDI!$B$17,IF(AND(#REF!="Padrão",$H$4=#REF!),BDI!#REF!,IF(AND(#REF!="Diferenciado",$H$4=#REF!),BDI!$E$17,IF(AND(#REF!="Diferenciado",$H$4=#REF!),BDI!#REF!,IF(#REF!="ZERO",0))))),"")</f>
        <v>#REF!</v>
      </c>
      <c r="H613" s="136" t="str">
        <f t="shared" si="28"/>
        <v/>
      </c>
      <c r="I613" s="134" t="str">
        <f t="shared" si="29"/>
        <v/>
      </c>
      <c r="J613" s="226"/>
    </row>
    <row r="614" spans="1:10" hidden="1" x14ac:dyDescent="0.25">
      <c r="A614" s="112" t="s">
        <v>2246</v>
      </c>
      <c r="B614" s="113" t="s">
        <v>2247</v>
      </c>
      <c r="C614" s="114" t="s">
        <v>20</v>
      </c>
      <c r="D614" s="114">
        <v>0</v>
      </c>
      <c r="E614" s="133" t="s">
        <v>514</v>
      </c>
      <c r="F614" s="134" t="str">
        <f t="shared" si="27"/>
        <v/>
      </c>
      <c r="G614" s="135" t="e">
        <f>IF(A614&lt;&gt;"",IF(AND(#REF!="Padrão",$H$4=#REF!),BDI!$B$17,IF(AND(#REF!="Padrão",$H$4=#REF!),BDI!#REF!,IF(AND(#REF!="Diferenciado",$H$4=#REF!),BDI!$E$17,IF(AND(#REF!="Diferenciado",$H$4=#REF!),BDI!#REF!,IF(#REF!="ZERO",0))))),"")</f>
        <v>#REF!</v>
      </c>
      <c r="H614" s="136" t="str">
        <f t="shared" si="28"/>
        <v/>
      </c>
      <c r="I614" s="134" t="str">
        <f t="shared" si="29"/>
        <v/>
      </c>
      <c r="J614" s="226"/>
    </row>
    <row r="615" spans="1:10" hidden="1" x14ac:dyDescent="0.25">
      <c r="A615" s="112" t="s">
        <v>2248</v>
      </c>
      <c r="B615" s="113" t="s">
        <v>2249</v>
      </c>
      <c r="C615" s="114" t="s">
        <v>20</v>
      </c>
      <c r="D615" s="114">
        <v>0</v>
      </c>
      <c r="E615" s="133" t="s">
        <v>514</v>
      </c>
      <c r="F615" s="134" t="str">
        <f t="shared" si="27"/>
        <v/>
      </c>
      <c r="G615" s="135" t="e">
        <f>IF(A615&lt;&gt;"",IF(AND(#REF!="Padrão",$H$4=#REF!),BDI!$B$17,IF(AND(#REF!="Padrão",$H$4=#REF!),BDI!#REF!,IF(AND(#REF!="Diferenciado",$H$4=#REF!),BDI!$E$17,IF(AND(#REF!="Diferenciado",$H$4=#REF!),BDI!#REF!,IF(#REF!="ZERO",0))))),"")</f>
        <v>#REF!</v>
      </c>
      <c r="H615" s="136" t="str">
        <f t="shared" si="28"/>
        <v/>
      </c>
      <c r="I615" s="134" t="str">
        <f t="shared" si="29"/>
        <v/>
      </c>
      <c r="J615" s="226"/>
    </row>
    <row r="616" spans="1:10" hidden="1" x14ac:dyDescent="0.25">
      <c r="A616" s="112" t="s">
        <v>2250</v>
      </c>
      <c r="B616" s="113" t="s">
        <v>2251</v>
      </c>
      <c r="C616" s="114" t="s">
        <v>20</v>
      </c>
      <c r="D616" s="114">
        <v>0</v>
      </c>
      <c r="E616" s="133" t="s">
        <v>514</v>
      </c>
      <c r="F616" s="134" t="str">
        <f t="shared" si="27"/>
        <v/>
      </c>
      <c r="G616" s="135" t="e">
        <f>IF(A616&lt;&gt;"",IF(AND(#REF!="Padrão",$H$4=#REF!),BDI!$B$17,IF(AND(#REF!="Padrão",$H$4=#REF!),BDI!#REF!,IF(AND(#REF!="Diferenciado",$H$4=#REF!),BDI!$E$17,IF(AND(#REF!="Diferenciado",$H$4=#REF!),BDI!#REF!,IF(#REF!="ZERO",0))))),"")</f>
        <v>#REF!</v>
      </c>
      <c r="H616" s="136" t="str">
        <f t="shared" si="28"/>
        <v/>
      </c>
      <c r="I616" s="134" t="str">
        <f t="shared" si="29"/>
        <v/>
      </c>
      <c r="J616" s="226"/>
    </row>
    <row r="617" spans="1:10" hidden="1" x14ac:dyDescent="0.25">
      <c r="A617" s="112" t="s">
        <v>2252</v>
      </c>
      <c r="B617" s="113" t="s">
        <v>2253</v>
      </c>
      <c r="C617" s="114" t="s">
        <v>20</v>
      </c>
      <c r="D617" s="114">
        <v>0</v>
      </c>
      <c r="E617" s="133" t="s">
        <v>514</v>
      </c>
      <c r="F617" s="134" t="str">
        <f t="shared" si="27"/>
        <v/>
      </c>
      <c r="G617" s="135" t="e">
        <f>IF(A617&lt;&gt;"",IF(AND(#REF!="Padrão",$H$4=#REF!),BDI!$B$17,IF(AND(#REF!="Padrão",$H$4=#REF!),BDI!#REF!,IF(AND(#REF!="Diferenciado",$H$4=#REF!),BDI!$E$17,IF(AND(#REF!="Diferenciado",$H$4=#REF!),BDI!#REF!,IF(#REF!="ZERO",0))))),"")</f>
        <v>#REF!</v>
      </c>
      <c r="H617" s="136" t="str">
        <f t="shared" si="28"/>
        <v/>
      </c>
      <c r="I617" s="134" t="str">
        <f t="shared" si="29"/>
        <v/>
      </c>
      <c r="J617" s="226"/>
    </row>
    <row r="618" spans="1:10" hidden="1" x14ac:dyDescent="0.25">
      <c r="A618" s="112" t="s">
        <v>2254</v>
      </c>
      <c r="B618" s="113" t="s">
        <v>2255</v>
      </c>
      <c r="C618" s="114" t="s">
        <v>20</v>
      </c>
      <c r="D618" s="114">
        <v>0</v>
      </c>
      <c r="E618" s="133" t="s">
        <v>514</v>
      </c>
      <c r="F618" s="134" t="str">
        <f t="shared" si="27"/>
        <v/>
      </c>
      <c r="G618" s="135" t="e">
        <f>IF(A618&lt;&gt;"",IF(AND(#REF!="Padrão",$H$4=#REF!),BDI!$B$17,IF(AND(#REF!="Padrão",$H$4=#REF!),BDI!#REF!,IF(AND(#REF!="Diferenciado",$H$4=#REF!),BDI!$E$17,IF(AND(#REF!="Diferenciado",$H$4=#REF!),BDI!#REF!,IF(#REF!="ZERO",0))))),"")</f>
        <v>#REF!</v>
      </c>
      <c r="H618" s="136" t="str">
        <f t="shared" si="28"/>
        <v/>
      </c>
      <c r="I618" s="134" t="str">
        <f t="shared" si="29"/>
        <v/>
      </c>
      <c r="J618" s="226"/>
    </row>
    <row r="619" spans="1:10" hidden="1" x14ac:dyDescent="0.25">
      <c r="A619" s="112" t="s">
        <v>2256</v>
      </c>
      <c r="B619" s="113" t="s">
        <v>2257</v>
      </c>
      <c r="C619" s="114" t="s">
        <v>20</v>
      </c>
      <c r="D619" s="114">
        <v>0</v>
      </c>
      <c r="E619" s="133" t="s">
        <v>514</v>
      </c>
      <c r="F619" s="134" t="str">
        <f t="shared" si="27"/>
        <v/>
      </c>
      <c r="G619" s="135" t="e">
        <f>IF(A619&lt;&gt;"",IF(AND(#REF!="Padrão",$H$4=#REF!),BDI!$B$17,IF(AND(#REF!="Padrão",$H$4=#REF!),BDI!#REF!,IF(AND(#REF!="Diferenciado",$H$4=#REF!),BDI!$E$17,IF(AND(#REF!="Diferenciado",$H$4=#REF!),BDI!#REF!,IF(#REF!="ZERO",0))))),"")</f>
        <v>#REF!</v>
      </c>
      <c r="H619" s="136" t="str">
        <f t="shared" si="28"/>
        <v/>
      </c>
      <c r="I619" s="134" t="str">
        <f t="shared" si="29"/>
        <v/>
      </c>
      <c r="J619" s="226"/>
    </row>
    <row r="620" spans="1:10" hidden="1" x14ac:dyDescent="0.25">
      <c r="A620" s="112" t="s">
        <v>2258</v>
      </c>
      <c r="B620" s="113" t="s">
        <v>2259</v>
      </c>
      <c r="C620" s="114" t="s">
        <v>20</v>
      </c>
      <c r="D620" s="114">
        <v>0</v>
      </c>
      <c r="E620" s="133" t="s">
        <v>514</v>
      </c>
      <c r="F620" s="134" t="str">
        <f t="shared" si="27"/>
        <v/>
      </c>
      <c r="G620" s="135" t="e">
        <f>IF(A620&lt;&gt;"",IF(AND(#REF!="Padrão",$H$4=#REF!),BDI!$B$17,IF(AND(#REF!="Padrão",$H$4=#REF!),BDI!#REF!,IF(AND(#REF!="Diferenciado",$H$4=#REF!),BDI!$E$17,IF(AND(#REF!="Diferenciado",$H$4=#REF!),BDI!#REF!,IF(#REF!="ZERO",0))))),"")</f>
        <v>#REF!</v>
      </c>
      <c r="H620" s="136" t="str">
        <f t="shared" si="28"/>
        <v/>
      </c>
      <c r="I620" s="134" t="str">
        <f t="shared" si="29"/>
        <v/>
      </c>
      <c r="J620" s="226"/>
    </row>
    <row r="621" spans="1:10" hidden="1" x14ac:dyDescent="0.25">
      <c r="A621" s="112" t="s">
        <v>2260</v>
      </c>
      <c r="B621" s="113" t="s">
        <v>2261</v>
      </c>
      <c r="C621" s="114" t="s">
        <v>20</v>
      </c>
      <c r="D621" s="114">
        <v>0</v>
      </c>
      <c r="E621" s="133" t="s">
        <v>514</v>
      </c>
      <c r="F621" s="134" t="str">
        <f t="shared" si="27"/>
        <v/>
      </c>
      <c r="G621" s="135" t="e">
        <f>IF(A621&lt;&gt;"",IF(AND(#REF!="Padrão",$H$4=#REF!),BDI!$B$17,IF(AND(#REF!="Padrão",$H$4=#REF!),BDI!#REF!,IF(AND(#REF!="Diferenciado",$H$4=#REF!),BDI!$E$17,IF(AND(#REF!="Diferenciado",$H$4=#REF!),BDI!#REF!,IF(#REF!="ZERO",0))))),"")</f>
        <v>#REF!</v>
      </c>
      <c r="H621" s="136" t="str">
        <f t="shared" si="28"/>
        <v/>
      </c>
      <c r="I621" s="134" t="str">
        <f t="shared" si="29"/>
        <v/>
      </c>
      <c r="J621" s="226"/>
    </row>
    <row r="622" spans="1:10" hidden="1" x14ac:dyDescent="0.25">
      <c r="A622" s="112" t="s">
        <v>2262</v>
      </c>
      <c r="B622" s="113" t="s">
        <v>2263</v>
      </c>
      <c r="C622" s="114" t="s">
        <v>20</v>
      </c>
      <c r="D622" s="114">
        <v>0</v>
      </c>
      <c r="E622" s="133" t="s">
        <v>514</v>
      </c>
      <c r="F622" s="134" t="str">
        <f t="shared" si="27"/>
        <v/>
      </c>
      <c r="G622" s="135" t="e">
        <f>IF(A622&lt;&gt;"",IF(AND(#REF!="Padrão",$H$4=#REF!),BDI!$B$17,IF(AND(#REF!="Padrão",$H$4=#REF!),BDI!#REF!,IF(AND(#REF!="Diferenciado",$H$4=#REF!),BDI!$E$17,IF(AND(#REF!="Diferenciado",$H$4=#REF!),BDI!#REF!,IF(#REF!="ZERO",0))))),"")</f>
        <v>#REF!</v>
      </c>
      <c r="H622" s="136" t="str">
        <f t="shared" si="28"/>
        <v/>
      </c>
      <c r="I622" s="134" t="str">
        <f t="shared" si="29"/>
        <v/>
      </c>
      <c r="J622" s="226"/>
    </row>
    <row r="623" spans="1:10" hidden="1" x14ac:dyDescent="0.25">
      <c r="A623" s="112" t="s">
        <v>2264</v>
      </c>
      <c r="B623" s="113" t="s">
        <v>2265</v>
      </c>
      <c r="C623" s="114" t="s">
        <v>20</v>
      </c>
      <c r="D623" s="114">
        <v>0</v>
      </c>
      <c r="E623" s="133" t="s">
        <v>514</v>
      </c>
      <c r="F623" s="134" t="str">
        <f t="shared" si="27"/>
        <v/>
      </c>
      <c r="G623" s="135" t="e">
        <f>IF(A623&lt;&gt;"",IF(AND(#REF!="Padrão",$H$4=#REF!),BDI!$B$17,IF(AND(#REF!="Padrão",$H$4=#REF!),BDI!#REF!,IF(AND(#REF!="Diferenciado",$H$4=#REF!),BDI!$E$17,IF(AND(#REF!="Diferenciado",$H$4=#REF!),BDI!#REF!,IF(#REF!="ZERO",0))))),"")</f>
        <v>#REF!</v>
      </c>
      <c r="H623" s="136" t="str">
        <f t="shared" si="28"/>
        <v/>
      </c>
      <c r="I623" s="134" t="str">
        <f t="shared" si="29"/>
        <v/>
      </c>
      <c r="J623" s="226"/>
    </row>
    <row r="624" spans="1:10" hidden="1" x14ac:dyDescent="0.25">
      <c r="A624" s="112" t="s">
        <v>2266</v>
      </c>
      <c r="B624" s="113" t="s">
        <v>2267</v>
      </c>
      <c r="C624" s="114" t="s">
        <v>20</v>
      </c>
      <c r="D624" s="114">
        <v>0</v>
      </c>
      <c r="E624" s="133" t="s">
        <v>514</v>
      </c>
      <c r="F624" s="134" t="str">
        <f t="shared" si="27"/>
        <v/>
      </c>
      <c r="G624" s="135" t="e">
        <f>IF(A624&lt;&gt;"",IF(AND(#REF!="Padrão",$H$4=#REF!),BDI!$B$17,IF(AND(#REF!="Padrão",$H$4=#REF!),BDI!#REF!,IF(AND(#REF!="Diferenciado",$H$4=#REF!),BDI!$E$17,IF(AND(#REF!="Diferenciado",$H$4=#REF!),BDI!#REF!,IF(#REF!="ZERO",0))))),"")</f>
        <v>#REF!</v>
      </c>
      <c r="H624" s="136" t="str">
        <f t="shared" si="28"/>
        <v/>
      </c>
      <c r="I624" s="134" t="str">
        <f t="shared" si="29"/>
        <v/>
      </c>
      <c r="J624" s="226"/>
    </row>
    <row r="625" spans="1:10" hidden="1" x14ac:dyDescent="0.25">
      <c r="A625" s="112" t="s">
        <v>2268</v>
      </c>
      <c r="B625" s="113" t="s">
        <v>2269</v>
      </c>
      <c r="C625" s="114" t="s">
        <v>20</v>
      </c>
      <c r="D625" s="114">
        <v>0</v>
      </c>
      <c r="E625" s="133" t="s">
        <v>514</v>
      </c>
      <c r="F625" s="134" t="str">
        <f t="shared" si="27"/>
        <v/>
      </c>
      <c r="G625" s="135" t="e">
        <f>IF(A625&lt;&gt;"",IF(AND(#REF!="Padrão",$H$4=#REF!),BDI!$B$17,IF(AND(#REF!="Padrão",$H$4=#REF!),BDI!#REF!,IF(AND(#REF!="Diferenciado",$H$4=#REF!),BDI!$E$17,IF(AND(#REF!="Diferenciado",$H$4=#REF!),BDI!#REF!,IF(#REF!="ZERO",0))))),"")</f>
        <v>#REF!</v>
      </c>
      <c r="H625" s="136" t="str">
        <f t="shared" si="28"/>
        <v/>
      </c>
      <c r="I625" s="134" t="str">
        <f t="shared" si="29"/>
        <v/>
      </c>
      <c r="J625" s="226"/>
    </row>
    <row r="626" spans="1:10" hidden="1" x14ac:dyDescent="0.25">
      <c r="A626" s="112" t="s">
        <v>2270</v>
      </c>
      <c r="B626" s="113" t="s">
        <v>2271</v>
      </c>
      <c r="C626" s="114" t="s">
        <v>20</v>
      </c>
      <c r="D626" s="114">
        <v>0</v>
      </c>
      <c r="E626" s="133" t="s">
        <v>514</v>
      </c>
      <c r="F626" s="134" t="str">
        <f t="shared" si="27"/>
        <v/>
      </c>
      <c r="G626" s="135" t="e">
        <f>IF(A626&lt;&gt;"",IF(AND(#REF!="Padrão",$H$4=#REF!),BDI!$B$17,IF(AND(#REF!="Padrão",$H$4=#REF!),BDI!#REF!,IF(AND(#REF!="Diferenciado",$H$4=#REF!),BDI!$E$17,IF(AND(#REF!="Diferenciado",$H$4=#REF!),BDI!#REF!,IF(#REF!="ZERO",0))))),"")</f>
        <v>#REF!</v>
      </c>
      <c r="H626" s="136" t="str">
        <f t="shared" si="28"/>
        <v/>
      </c>
      <c r="I626" s="134" t="str">
        <f t="shared" si="29"/>
        <v/>
      </c>
      <c r="J626" s="226"/>
    </row>
    <row r="627" spans="1:10" hidden="1" x14ac:dyDescent="0.25">
      <c r="A627" s="112" t="s">
        <v>2272</v>
      </c>
      <c r="B627" s="113" t="s">
        <v>2273</v>
      </c>
      <c r="C627" s="114" t="s">
        <v>20</v>
      </c>
      <c r="D627" s="114">
        <v>0</v>
      </c>
      <c r="E627" s="133" t="s">
        <v>514</v>
      </c>
      <c r="F627" s="134" t="str">
        <f t="shared" si="27"/>
        <v/>
      </c>
      <c r="G627" s="135" t="e">
        <f>IF(A627&lt;&gt;"",IF(AND(#REF!="Padrão",$H$4=#REF!),BDI!$B$17,IF(AND(#REF!="Padrão",$H$4=#REF!),BDI!#REF!,IF(AND(#REF!="Diferenciado",$H$4=#REF!),BDI!$E$17,IF(AND(#REF!="Diferenciado",$H$4=#REF!),BDI!#REF!,IF(#REF!="ZERO",0))))),"")</f>
        <v>#REF!</v>
      </c>
      <c r="H627" s="136" t="str">
        <f t="shared" si="28"/>
        <v/>
      </c>
      <c r="I627" s="134" t="str">
        <f t="shared" si="29"/>
        <v/>
      </c>
      <c r="J627" s="226"/>
    </row>
    <row r="628" spans="1:10" hidden="1" x14ac:dyDescent="0.25">
      <c r="A628" s="112" t="s">
        <v>2274</v>
      </c>
      <c r="B628" s="113" t="s">
        <v>2275</v>
      </c>
      <c r="C628" s="114" t="s">
        <v>20</v>
      </c>
      <c r="D628" s="114">
        <v>0</v>
      </c>
      <c r="E628" s="133" t="s">
        <v>514</v>
      </c>
      <c r="F628" s="134" t="str">
        <f t="shared" si="27"/>
        <v/>
      </c>
      <c r="G628" s="135" t="e">
        <f>IF(A628&lt;&gt;"",IF(AND(#REF!="Padrão",$H$4=#REF!),BDI!$B$17,IF(AND(#REF!="Padrão",$H$4=#REF!),BDI!#REF!,IF(AND(#REF!="Diferenciado",$H$4=#REF!),BDI!$E$17,IF(AND(#REF!="Diferenciado",$H$4=#REF!),BDI!#REF!,IF(#REF!="ZERO",0))))),"")</f>
        <v>#REF!</v>
      </c>
      <c r="H628" s="136" t="str">
        <f t="shared" si="28"/>
        <v/>
      </c>
      <c r="I628" s="134" t="str">
        <f t="shared" si="29"/>
        <v/>
      </c>
      <c r="J628" s="226"/>
    </row>
    <row r="629" spans="1:10" hidden="1" x14ac:dyDescent="0.25">
      <c r="A629" s="112" t="s">
        <v>2276</v>
      </c>
      <c r="B629" s="113" t="s">
        <v>2277</v>
      </c>
      <c r="C629" s="114" t="s">
        <v>20</v>
      </c>
      <c r="D629" s="114">
        <v>0</v>
      </c>
      <c r="E629" s="133" t="s">
        <v>514</v>
      </c>
      <c r="F629" s="134" t="str">
        <f t="shared" si="27"/>
        <v/>
      </c>
      <c r="G629" s="135" t="e">
        <f>IF(A629&lt;&gt;"",IF(AND(#REF!="Padrão",$H$4=#REF!),BDI!$B$17,IF(AND(#REF!="Padrão",$H$4=#REF!),BDI!#REF!,IF(AND(#REF!="Diferenciado",$H$4=#REF!),BDI!$E$17,IF(AND(#REF!="Diferenciado",$H$4=#REF!),BDI!#REF!,IF(#REF!="ZERO",0))))),"")</f>
        <v>#REF!</v>
      </c>
      <c r="H629" s="136" t="str">
        <f t="shared" si="28"/>
        <v/>
      </c>
      <c r="I629" s="134" t="str">
        <f t="shared" si="29"/>
        <v/>
      </c>
      <c r="J629" s="226"/>
    </row>
    <row r="630" spans="1:10" hidden="1" x14ac:dyDescent="0.25">
      <c r="A630" s="112" t="s">
        <v>2278</v>
      </c>
      <c r="B630" s="113" t="s">
        <v>2279</v>
      </c>
      <c r="C630" s="114" t="s">
        <v>20</v>
      </c>
      <c r="D630" s="114">
        <v>0</v>
      </c>
      <c r="E630" s="133" t="s">
        <v>514</v>
      </c>
      <c r="F630" s="134" t="str">
        <f t="shared" si="27"/>
        <v/>
      </c>
      <c r="G630" s="135" t="e">
        <f>IF(A630&lt;&gt;"",IF(AND(#REF!="Padrão",$H$4=#REF!),BDI!$B$17,IF(AND(#REF!="Padrão",$H$4=#REF!),BDI!#REF!,IF(AND(#REF!="Diferenciado",$H$4=#REF!),BDI!$E$17,IF(AND(#REF!="Diferenciado",$H$4=#REF!),BDI!#REF!,IF(#REF!="ZERO",0))))),"")</f>
        <v>#REF!</v>
      </c>
      <c r="H630" s="136" t="str">
        <f t="shared" si="28"/>
        <v/>
      </c>
      <c r="I630" s="134" t="str">
        <f t="shared" si="29"/>
        <v/>
      </c>
      <c r="J630" s="226"/>
    </row>
    <row r="631" spans="1:10" hidden="1" x14ac:dyDescent="0.25">
      <c r="A631" s="112" t="s">
        <v>2280</v>
      </c>
      <c r="B631" s="113" t="s">
        <v>2281</v>
      </c>
      <c r="C631" s="114" t="s">
        <v>20</v>
      </c>
      <c r="D631" s="114">
        <v>0</v>
      </c>
      <c r="E631" s="133" t="s">
        <v>514</v>
      </c>
      <c r="F631" s="134" t="str">
        <f t="shared" si="27"/>
        <v/>
      </c>
      <c r="G631" s="135" t="e">
        <f>IF(A631&lt;&gt;"",IF(AND(#REF!="Padrão",$H$4=#REF!),BDI!$B$17,IF(AND(#REF!="Padrão",$H$4=#REF!),BDI!#REF!,IF(AND(#REF!="Diferenciado",$H$4=#REF!),BDI!$E$17,IF(AND(#REF!="Diferenciado",$H$4=#REF!),BDI!#REF!,IF(#REF!="ZERO",0))))),"")</f>
        <v>#REF!</v>
      </c>
      <c r="H631" s="136" t="str">
        <f t="shared" si="28"/>
        <v/>
      </c>
      <c r="I631" s="134" t="str">
        <f t="shared" si="29"/>
        <v/>
      </c>
      <c r="J631" s="226"/>
    </row>
    <row r="632" spans="1:10" hidden="1" x14ac:dyDescent="0.25">
      <c r="A632" s="112" t="s">
        <v>2282</v>
      </c>
      <c r="B632" s="113" t="s">
        <v>2283</v>
      </c>
      <c r="C632" s="114" t="s">
        <v>20</v>
      </c>
      <c r="D632" s="114">
        <v>0</v>
      </c>
      <c r="E632" s="133" t="s">
        <v>514</v>
      </c>
      <c r="F632" s="134" t="str">
        <f t="shared" si="27"/>
        <v/>
      </c>
      <c r="G632" s="135" t="e">
        <f>IF(A632&lt;&gt;"",IF(AND(#REF!="Padrão",$H$4=#REF!),BDI!$B$17,IF(AND(#REF!="Padrão",$H$4=#REF!),BDI!#REF!,IF(AND(#REF!="Diferenciado",$H$4=#REF!),BDI!$E$17,IF(AND(#REF!="Diferenciado",$H$4=#REF!),BDI!#REF!,IF(#REF!="ZERO",0))))),"")</f>
        <v>#REF!</v>
      </c>
      <c r="H632" s="136" t="str">
        <f t="shared" si="28"/>
        <v/>
      </c>
      <c r="I632" s="134" t="str">
        <f t="shared" si="29"/>
        <v/>
      </c>
      <c r="J632" s="226"/>
    </row>
    <row r="633" spans="1:10" hidden="1" x14ac:dyDescent="0.25">
      <c r="A633" s="112" t="s">
        <v>2284</v>
      </c>
      <c r="B633" s="113" t="s">
        <v>2285</v>
      </c>
      <c r="C633" s="114" t="s">
        <v>20</v>
      </c>
      <c r="D633" s="114">
        <v>0</v>
      </c>
      <c r="E633" s="133" t="s">
        <v>514</v>
      </c>
      <c r="F633" s="134" t="str">
        <f t="shared" si="27"/>
        <v/>
      </c>
      <c r="G633" s="135" t="e">
        <f>IF(A633&lt;&gt;"",IF(AND(#REF!="Padrão",$H$4=#REF!),BDI!$B$17,IF(AND(#REF!="Padrão",$H$4=#REF!),BDI!#REF!,IF(AND(#REF!="Diferenciado",$H$4=#REF!),BDI!$E$17,IF(AND(#REF!="Diferenciado",$H$4=#REF!),BDI!#REF!,IF(#REF!="ZERO",0))))),"")</f>
        <v>#REF!</v>
      </c>
      <c r="H633" s="136" t="str">
        <f t="shared" si="28"/>
        <v/>
      </c>
      <c r="I633" s="134" t="str">
        <f t="shared" si="29"/>
        <v/>
      </c>
      <c r="J633" s="226"/>
    </row>
    <row r="634" spans="1:10" hidden="1" x14ac:dyDescent="0.25">
      <c r="A634" s="112" t="s">
        <v>2286</v>
      </c>
      <c r="B634" s="113" t="s">
        <v>2287</v>
      </c>
      <c r="C634" s="114" t="s">
        <v>20</v>
      </c>
      <c r="D634" s="114">
        <v>0</v>
      </c>
      <c r="E634" s="133" t="s">
        <v>514</v>
      </c>
      <c r="F634" s="134" t="str">
        <f t="shared" si="27"/>
        <v/>
      </c>
      <c r="G634" s="135" t="e">
        <f>IF(A634&lt;&gt;"",IF(AND(#REF!="Padrão",$H$4=#REF!),BDI!$B$17,IF(AND(#REF!="Padrão",$H$4=#REF!),BDI!#REF!,IF(AND(#REF!="Diferenciado",$H$4=#REF!),BDI!$E$17,IF(AND(#REF!="Diferenciado",$H$4=#REF!),BDI!#REF!,IF(#REF!="ZERO",0))))),"")</f>
        <v>#REF!</v>
      </c>
      <c r="H634" s="136" t="str">
        <f t="shared" si="28"/>
        <v/>
      </c>
      <c r="I634" s="134" t="str">
        <f t="shared" si="29"/>
        <v/>
      </c>
      <c r="J634" s="226"/>
    </row>
    <row r="635" spans="1:10" hidden="1" x14ac:dyDescent="0.25">
      <c r="A635" s="112" t="s">
        <v>2288</v>
      </c>
      <c r="B635" s="113" t="s">
        <v>2289</v>
      </c>
      <c r="C635" s="114" t="s">
        <v>20</v>
      </c>
      <c r="D635" s="114">
        <v>0</v>
      </c>
      <c r="E635" s="133" t="s">
        <v>514</v>
      </c>
      <c r="F635" s="134" t="str">
        <f t="shared" si="27"/>
        <v/>
      </c>
      <c r="G635" s="135" t="e">
        <f>IF(A635&lt;&gt;"",IF(AND(#REF!="Padrão",$H$4=#REF!),BDI!$B$17,IF(AND(#REF!="Padrão",$H$4=#REF!),BDI!#REF!,IF(AND(#REF!="Diferenciado",$H$4=#REF!),BDI!$E$17,IF(AND(#REF!="Diferenciado",$H$4=#REF!),BDI!#REF!,IF(#REF!="ZERO",0))))),"")</f>
        <v>#REF!</v>
      </c>
      <c r="H635" s="136" t="str">
        <f t="shared" si="28"/>
        <v/>
      </c>
      <c r="I635" s="134" t="str">
        <f t="shared" si="29"/>
        <v/>
      </c>
      <c r="J635" s="226"/>
    </row>
    <row r="636" spans="1:10" hidden="1" x14ac:dyDescent="0.25">
      <c r="A636" s="112" t="s">
        <v>2290</v>
      </c>
      <c r="B636" s="113" t="s">
        <v>2291</v>
      </c>
      <c r="C636" s="114" t="s">
        <v>20</v>
      </c>
      <c r="D636" s="114">
        <v>0</v>
      </c>
      <c r="E636" s="133" t="s">
        <v>514</v>
      </c>
      <c r="F636" s="134" t="str">
        <f t="shared" si="27"/>
        <v/>
      </c>
      <c r="G636" s="135" t="e">
        <f>IF(A636&lt;&gt;"",IF(AND(#REF!="Padrão",$H$4=#REF!),BDI!$B$17,IF(AND(#REF!="Padrão",$H$4=#REF!),BDI!#REF!,IF(AND(#REF!="Diferenciado",$H$4=#REF!),BDI!$E$17,IF(AND(#REF!="Diferenciado",$H$4=#REF!),BDI!#REF!,IF(#REF!="ZERO",0))))),"")</f>
        <v>#REF!</v>
      </c>
      <c r="H636" s="136" t="str">
        <f t="shared" si="28"/>
        <v/>
      </c>
      <c r="I636" s="134" t="str">
        <f t="shared" si="29"/>
        <v/>
      </c>
      <c r="J636" s="226"/>
    </row>
    <row r="637" spans="1:10" hidden="1" x14ac:dyDescent="0.25">
      <c r="A637" s="112" t="s">
        <v>2292</v>
      </c>
      <c r="B637" s="113" t="s">
        <v>2293</v>
      </c>
      <c r="C637" s="114" t="s">
        <v>20</v>
      </c>
      <c r="D637" s="114">
        <v>0</v>
      </c>
      <c r="E637" s="133" t="s">
        <v>514</v>
      </c>
      <c r="F637" s="134" t="str">
        <f t="shared" si="27"/>
        <v/>
      </c>
      <c r="G637" s="135" t="e">
        <f>IF(A637&lt;&gt;"",IF(AND(#REF!="Padrão",$H$4=#REF!),BDI!$B$17,IF(AND(#REF!="Padrão",$H$4=#REF!),BDI!#REF!,IF(AND(#REF!="Diferenciado",$H$4=#REF!),BDI!$E$17,IF(AND(#REF!="Diferenciado",$H$4=#REF!),BDI!#REF!,IF(#REF!="ZERO",0))))),"")</f>
        <v>#REF!</v>
      </c>
      <c r="H637" s="136" t="str">
        <f t="shared" si="28"/>
        <v/>
      </c>
      <c r="I637" s="134" t="str">
        <f t="shared" si="29"/>
        <v/>
      </c>
      <c r="J637" s="226"/>
    </row>
    <row r="638" spans="1:10" hidden="1" x14ac:dyDescent="0.25">
      <c r="A638" s="112" t="s">
        <v>2294</v>
      </c>
      <c r="B638" s="113" t="s">
        <v>2295</v>
      </c>
      <c r="C638" s="114" t="s">
        <v>20</v>
      </c>
      <c r="D638" s="114">
        <v>0</v>
      </c>
      <c r="E638" s="133" t="s">
        <v>514</v>
      </c>
      <c r="F638" s="134" t="str">
        <f t="shared" si="27"/>
        <v/>
      </c>
      <c r="G638" s="135" t="e">
        <f>IF(A638&lt;&gt;"",IF(AND(#REF!="Padrão",$H$4=#REF!),BDI!$B$17,IF(AND(#REF!="Padrão",$H$4=#REF!),BDI!#REF!,IF(AND(#REF!="Diferenciado",$H$4=#REF!),BDI!$E$17,IF(AND(#REF!="Diferenciado",$H$4=#REF!),BDI!#REF!,IF(#REF!="ZERO",0))))),"")</f>
        <v>#REF!</v>
      </c>
      <c r="H638" s="136" t="str">
        <f t="shared" si="28"/>
        <v/>
      </c>
      <c r="I638" s="134" t="str">
        <f t="shared" si="29"/>
        <v/>
      </c>
      <c r="J638" s="226"/>
    </row>
    <row r="639" spans="1:10" hidden="1" x14ac:dyDescent="0.25">
      <c r="A639" s="112" t="s">
        <v>2296</v>
      </c>
      <c r="B639" s="113" t="s">
        <v>2297</v>
      </c>
      <c r="C639" s="114" t="s">
        <v>20</v>
      </c>
      <c r="D639" s="114">
        <v>0</v>
      </c>
      <c r="E639" s="133" t="s">
        <v>514</v>
      </c>
      <c r="F639" s="134" t="str">
        <f t="shared" si="27"/>
        <v/>
      </c>
      <c r="G639" s="135" t="e">
        <f>IF(A639&lt;&gt;"",IF(AND(#REF!="Padrão",$H$4=#REF!),BDI!$B$17,IF(AND(#REF!="Padrão",$H$4=#REF!),BDI!#REF!,IF(AND(#REF!="Diferenciado",$H$4=#REF!),BDI!$E$17,IF(AND(#REF!="Diferenciado",$H$4=#REF!),BDI!#REF!,IF(#REF!="ZERO",0))))),"")</f>
        <v>#REF!</v>
      </c>
      <c r="H639" s="136" t="str">
        <f t="shared" si="28"/>
        <v/>
      </c>
      <c r="I639" s="134" t="str">
        <f t="shared" si="29"/>
        <v/>
      </c>
      <c r="J639" s="226"/>
    </row>
    <row r="640" spans="1:10" hidden="1" x14ac:dyDescent="0.25">
      <c r="A640" s="112" t="s">
        <v>2298</v>
      </c>
      <c r="B640" s="113" t="s">
        <v>2299</v>
      </c>
      <c r="C640" s="114" t="s">
        <v>20</v>
      </c>
      <c r="D640" s="114">
        <v>0</v>
      </c>
      <c r="E640" s="133" t="s">
        <v>514</v>
      </c>
      <c r="F640" s="134" t="str">
        <f t="shared" si="27"/>
        <v/>
      </c>
      <c r="G640" s="135" t="e">
        <f>IF(A640&lt;&gt;"",IF(AND(#REF!="Padrão",$H$4=#REF!),BDI!$B$17,IF(AND(#REF!="Padrão",$H$4=#REF!),BDI!#REF!,IF(AND(#REF!="Diferenciado",$H$4=#REF!),BDI!$E$17,IF(AND(#REF!="Diferenciado",$H$4=#REF!),BDI!#REF!,IF(#REF!="ZERO",0))))),"")</f>
        <v>#REF!</v>
      </c>
      <c r="H640" s="136" t="str">
        <f t="shared" si="28"/>
        <v/>
      </c>
      <c r="I640" s="134" t="str">
        <f t="shared" si="29"/>
        <v/>
      </c>
      <c r="J640" s="226"/>
    </row>
    <row r="641" spans="1:10" hidden="1" x14ac:dyDescent="0.25">
      <c r="A641" s="112" t="s">
        <v>2300</v>
      </c>
      <c r="B641" s="113" t="s">
        <v>2301</v>
      </c>
      <c r="C641" s="114" t="s">
        <v>20</v>
      </c>
      <c r="D641" s="114">
        <v>0</v>
      </c>
      <c r="E641" s="133" t="s">
        <v>514</v>
      </c>
      <c r="F641" s="134" t="str">
        <f t="shared" si="27"/>
        <v/>
      </c>
      <c r="G641" s="135" t="e">
        <f>IF(A641&lt;&gt;"",IF(AND(#REF!="Padrão",$H$4=#REF!),BDI!$B$17,IF(AND(#REF!="Padrão",$H$4=#REF!),BDI!#REF!,IF(AND(#REF!="Diferenciado",$H$4=#REF!),BDI!$E$17,IF(AND(#REF!="Diferenciado",$H$4=#REF!),BDI!#REF!,IF(#REF!="ZERO",0))))),"")</f>
        <v>#REF!</v>
      </c>
      <c r="H641" s="136" t="str">
        <f t="shared" si="28"/>
        <v/>
      </c>
      <c r="I641" s="134" t="str">
        <f t="shared" si="29"/>
        <v/>
      </c>
      <c r="J641" s="226"/>
    </row>
    <row r="642" spans="1:10" hidden="1" x14ac:dyDescent="0.25">
      <c r="A642" s="112" t="s">
        <v>2302</v>
      </c>
      <c r="B642" s="113" t="s">
        <v>2303</v>
      </c>
      <c r="C642" s="114" t="s">
        <v>20</v>
      </c>
      <c r="D642" s="114">
        <v>0</v>
      </c>
      <c r="E642" s="133" t="s">
        <v>514</v>
      </c>
      <c r="F642" s="134" t="str">
        <f t="shared" si="27"/>
        <v/>
      </c>
      <c r="G642" s="135" t="e">
        <f>IF(A642&lt;&gt;"",IF(AND(#REF!="Padrão",$H$4=#REF!),BDI!$B$17,IF(AND(#REF!="Padrão",$H$4=#REF!),BDI!#REF!,IF(AND(#REF!="Diferenciado",$H$4=#REF!),BDI!$E$17,IF(AND(#REF!="Diferenciado",$H$4=#REF!),BDI!#REF!,IF(#REF!="ZERO",0))))),"")</f>
        <v>#REF!</v>
      </c>
      <c r="H642" s="136" t="str">
        <f t="shared" si="28"/>
        <v/>
      </c>
      <c r="I642" s="134" t="str">
        <f t="shared" si="29"/>
        <v/>
      </c>
      <c r="J642" s="226"/>
    </row>
    <row r="643" spans="1:10" hidden="1" x14ac:dyDescent="0.25">
      <c r="A643" s="112" t="s">
        <v>2304</v>
      </c>
      <c r="B643" s="113" t="s">
        <v>2305</v>
      </c>
      <c r="C643" s="114" t="s">
        <v>20</v>
      </c>
      <c r="D643" s="114">
        <v>0</v>
      </c>
      <c r="E643" s="133" t="s">
        <v>514</v>
      </c>
      <c r="F643" s="134" t="str">
        <f t="shared" si="27"/>
        <v/>
      </c>
      <c r="G643" s="135" t="e">
        <f>IF(A643&lt;&gt;"",IF(AND(#REF!="Padrão",$H$4=#REF!),BDI!$B$17,IF(AND(#REF!="Padrão",$H$4=#REF!),BDI!#REF!,IF(AND(#REF!="Diferenciado",$H$4=#REF!),BDI!$E$17,IF(AND(#REF!="Diferenciado",$H$4=#REF!),BDI!#REF!,IF(#REF!="ZERO",0))))),"")</f>
        <v>#REF!</v>
      </c>
      <c r="H643" s="136" t="str">
        <f t="shared" si="28"/>
        <v/>
      </c>
      <c r="I643" s="134" t="str">
        <f t="shared" si="29"/>
        <v/>
      </c>
      <c r="J643" s="226"/>
    </row>
    <row r="644" spans="1:10" hidden="1" x14ac:dyDescent="0.25">
      <c r="A644" s="112" t="s">
        <v>2306</v>
      </c>
      <c r="B644" s="113" t="s">
        <v>2307</v>
      </c>
      <c r="C644" s="114" t="s">
        <v>20</v>
      </c>
      <c r="D644" s="114">
        <v>0</v>
      </c>
      <c r="E644" s="133" t="s">
        <v>514</v>
      </c>
      <c r="F644" s="134" t="str">
        <f t="shared" si="27"/>
        <v/>
      </c>
      <c r="G644" s="135" t="e">
        <f>IF(A644&lt;&gt;"",IF(AND(#REF!="Padrão",$H$4=#REF!),BDI!$B$17,IF(AND(#REF!="Padrão",$H$4=#REF!),BDI!#REF!,IF(AND(#REF!="Diferenciado",$H$4=#REF!),BDI!$E$17,IF(AND(#REF!="Diferenciado",$H$4=#REF!),BDI!#REF!,IF(#REF!="ZERO",0))))),"")</f>
        <v>#REF!</v>
      </c>
      <c r="H644" s="136" t="str">
        <f t="shared" si="28"/>
        <v/>
      </c>
      <c r="I644" s="134" t="str">
        <f t="shared" si="29"/>
        <v/>
      </c>
      <c r="J644" s="226"/>
    </row>
    <row r="645" spans="1:10" hidden="1" x14ac:dyDescent="0.25">
      <c r="A645" s="112" t="s">
        <v>2308</v>
      </c>
      <c r="B645" s="113" t="s">
        <v>2309</v>
      </c>
      <c r="C645" s="114" t="s">
        <v>20</v>
      </c>
      <c r="D645" s="114">
        <v>0</v>
      </c>
      <c r="E645" s="133" t="s">
        <v>514</v>
      </c>
      <c r="F645" s="134" t="str">
        <f t="shared" si="27"/>
        <v/>
      </c>
      <c r="G645" s="135" t="e">
        <f>IF(A645&lt;&gt;"",IF(AND(#REF!="Padrão",$H$4=#REF!),BDI!$B$17,IF(AND(#REF!="Padrão",$H$4=#REF!),BDI!#REF!,IF(AND(#REF!="Diferenciado",$H$4=#REF!),BDI!$E$17,IF(AND(#REF!="Diferenciado",$H$4=#REF!),BDI!#REF!,IF(#REF!="ZERO",0))))),"")</f>
        <v>#REF!</v>
      </c>
      <c r="H645" s="136" t="str">
        <f t="shared" si="28"/>
        <v/>
      </c>
      <c r="I645" s="134" t="str">
        <f t="shared" si="29"/>
        <v/>
      </c>
      <c r="J645" s="226"/>
    </row>
    <row r="646" spans="1:10" hidden="1" x14ac:dyDescent="0.25">
      <c r="A646" s="112" t="s">
        <v>2310</v>
      </c>
      <c r="B646" s="113" t="s">
        <v>2311</v>
      </c>
      <c r="C646" s="114" t="s">
        <v>20</v>
      </c>
      <c r="D646" s="114">
        <v>0</v>
      </c>
      <c r="E646" s="133" t="s">
        <v>514</v>
      </c>
      <c r="F646" s="134" t="str">
        <f t="shared" si="27"/>
        <v/>
      </c>
      <c r="G646" s="135" t="e">
        <f>IF(A646&lt;&gt;"",IF(AND(#REF!="Padrão",$H$4=#REF!),BDI!$B$17,IF(AND(#REF!="Padrão",$H$4=#REF!),BDI!#REF!,IF(AND(#REF!="Diferenciado",$H$4=#REF!),BDI!$E$17,IF(AND(#REF!="Diferenciado",$H$4=#REF!),BDI!#REF!,IF(#REF!="ZERO",0))))),"")</f>
        <v>#REF!</v>
      </c>
      <c r="H646" s="136" t="str">
        <f t="shared" si="28"/>
        <v/>
      </c>
      <c r="I646" s="134" t="str">
        <f t="shared" si="29"/>
        <v/>
      </c>
      <c r="J646" s="226"/>
    </row>
    <row r="647" spans="1:10" hidden="1" x14ac:dyDescent="0.25">
      <c r="A647" s="112" t="s">
        <v>2312</v>
      </c>
      <c r="B647" s="113" t="s">
        <v>2313</v>
      </c>
      <c r="C647" s="114" t="s">
        <v>20</v>
      </c>
      <c r="D647" s="114">
        <v>0</v>
      </c>
      <c r="E647" s="133" t="s">
        <v>514</v>
      </c>
      <c r="F647" s="134" t="str">
        <f t="shared" ref="F647:F710" si="30">IF(ISNUMBER(E647),D647*E647,"")</f>
        <v/>
      </c>
      <c r="G647" s="135" t="e">
        <f>IF(A647&lt;&gt;"",IF(AND(#REF!="Padrão",$H$4=#REF!),BDI!$B$17,IF(AND(#REF!="Padrão",$H$4=#REF!),BDI!#REF!,IF(AND(#REF!="Diferenciado",$H$4=#REF!),BDI!$E$17,IF(AND(#REF!="Diferenciado",$H$4=#REF!),BDI!#REF!,IF(#REF!="ZERO",0))))),"")</f>
        <v>#REF!</v>
      </c>
      <c r="H647" s="136" t="str">
        <f t="shared" ref="H647:H710" si="31">IF(ISNUMBER(E647),ROUND(E647*(1+G647),2),"")</f>
        <v/>
      </c>
      <c r="I647" s="134" t="str">
        <f t="shared" ref="I647:I710" si="32">IF(ISNUMBER(E647),ROUND(H647*D647,2),"")</f>
        <v/>
      </c>
      <c r="J647" s="226"/>
    </row>
    <row r="648" spans="1:10" hidden="1" x14ac:dyDescent="0.25">
      <c r="A648" s="112" t="s">
        <v>2314</v>
      </c>
      <c r="B648" s="113" t="s">
        <v>2315</v>
      </c>
      <c r="C648" s="114" t="s">
        <v>20</v>
      </c>
      <c r="D648" s="114">
        <v>0</v>
      </c>
      <c r="E648" s="133" t="s">
        <v>514</v>
      </c>
      <c r="F648" s="134" t="str">
        <f t="shared" si="30"/>
        <v/>
      </c>
      <c r="G648" s="135" t="e">
        <f>IF(A648&lt;&gt;"",IF(AND(#REF!="Padrão",$H$4=#REF!),BDI!$B$17,IF(AND(#REF!="Padrão",$H$4=#REF!),BDI!#REF!,IF(AND(#REF!="Diferenciado",$H$4=#REF!),BDI!$E$17,IF(AND(#REF!="Diferenciado",$H$4=#REF!),BDI!#REF!,IF(#REF!="ZERO",0))))),"")</f>
        <v>#REF!</v>
      </c>
      <c r="H648" s="136" t="str">
        <f t="shared" si="31"/>
        <v/>
      </c>
      <c r="I648" s="134" t="str">
        <f t="shared" si="32"/>
        <v/>
      </c>
      <c r="J648" s="226"/>
    </row>
    <row r="649" spans="1:10" hidden="1" x14ac:dyDescent="0.25">
      <c r="A649" s="112" t="s">
        <v>2316</v>
      </c>
      <c r="B649" s="113" t="s">
        <v>2317</v>
      </c>
      <c r="C649" s="114" t="s">
        <v>42</v>
      </c>
      <c r="D649" s="114">
        <v>0</v>
      </c>
      <c r="E649" s="133" t="s">
        <v>514</v>
      </c>
      <c r="F649" s="134" t="str">
        <f t="shared" si="30"/>
        <v/>
      </c>
      <c r="G649" s="135" t="e">
        <f>IF(A649&lt;&gt;"",IF(AND(#REF!="Padrão",$H$4=#REF!),BDI!$B$17,IF(AND(#REF!="Padrão",$H$4=#REF!),BDI!#REF!,IF(AND(#REF!="Diferenciado",$H$4=#REF!),BDI!$E$17,IF(AND(#REF!="Diferenciado",$H$4=#REF!),BDI!#REF!,IF(#REF!="ZERO",0))))),"")</f>
        <v>#REF!</v>
      </c>
      <c r="H649" s="136" t="str">
        <f t="shared" si="31"/>
        <v/>
      </c>
      <c r="I649" s="134" t="str">
        <f t="shared" si="32"/>
        <v/>
      </c>
      <c r="J649" s="226"/>
    </row>
    <row r="650" spans="1:10" hidden="1" x14ac:dyDescent="0.25">
      <c r="A650" s="112" t="s">
        <v>2318</v>
      </c>
      <c r="B650" s="113" t="s">
        <v>2319</v>
      </c>
      <c r="C650" s="114" t="s">
        <v>101</v>
      </c>
      <c r="D650" s="114">
        <v>0</v>
      </c>
      <c r="E650" s="133" t="s">
        <v>514</v>
      </c>
      <c r="F650" s="134" t="str">
        <f t="shared" si="30"/>
        <v/>
      </c>
      <c r="G650" s="135" t="e">
        <f>IF(A650&lt;&gt;"",IF(AND(#REF!="Padrão",$H$4=#REF!),BDI!$B$17,IF(AND(#REF!="Padrão",$H$4=#REF!),BDI!#REF!,IF(AND(#REF!="Diferenciado",$H$4=#REF!),BDI!$E$17,IF(AND(#REF!="Diferenciado",$H$4=#REF!),BDI!#REF!,IF(#REF!="ZERO",0))))),"")</f>
        <v>#REF!</v>
      </c>
      <c r="H650" s="136" t="str">
        <f t="shared" si="31"/>
        <v/>
      </c>
      <c r="I650" s="134" t="str">
        <f t="shared" si="32"/>
        <v/>
      </c>
      <c r="J650" s="226"/>
    </row>
    <row r="651" spans="1:10" hidden="1" x14ac:dyDescent="0.25">
      <c r="A651" s="112" t="s">
        <v>2320</v>
      </c>
      <c r="B651" s="113" t="s">
        <v>2321</v>
      </c>
      <c r="C651" s="114" t="s">
        <v>101</v>
      </c>
      <c r="D651" s="114">
        <v>0</v>
      </c>
      <c r="E651" s="133" t="s">
        <v>514</v>
      </c>
      <c r="F651" s="134" t="str">
        <f t="shared" si="30"/>
        <v/>
      </c>
      <c r="G651" s="135" t="e">
        <f>IF(A651&lt;&gt;"",IF(AND(#REF!="Padrão",$H$4=#REF!),BDI!$B$17,IF(AND(#REF!="Padrão",$H$4=#REF!),BDI!#REF!,IF(AND(#REF!="Diferenciado",$H$4=#REF!),BDI!$E$17,IF(AND(#REF!="Diferenciado",$H$4=#REF!),BDI!#REF!,IF(#REF!="ZERO",0))))),"")</f>
        <v>#REF!</v>
      </c>
      <c r="H651" s="136" t="str">
        <f t="shared" si="31"/>
        <v/>
      </c>
      <c r="I651" s="134" t="str">
        <f t="shared" si="32"/>
        <v/>
      </c>
      <c r="J651" s="226"/>
    </row>
    <row r="652" spans="1:10" hidden="1" x14ac:dyDescent="0.25">
      <c r="A652" s="112" t="s">
        <v>2322</v>
      </c>
      <c r="B652" s="113" t="s">
        <v>2323</v>
      </c>
      <c r="C652" s="114" t="s">
        <v>101</v>
      </c>
      <c r="D652" s="114">
        <v>0</v>
      </c>
      <c r="E652" s="133" t="s">
        <v>514</v>
      </c>
      <c r="F652" s="134" t="str">
        <f t="shared" si="30"/>
        <v/>
      </c>
      <c r="G652" s="135" t="e">
        <f>IF(A652&lt;&gt;"",IF(AND(#REF!="Padrão",$H$4=#REF!),BDI!$B$17,IF(AND(#REF!="Padrão",$H$4=#REF!),BDI!#REF!,IF(AND(#REF!="Diferenciado",$H$4=#REF!),BDI!$E$17,IF(AND(#REF!="Diferenciado",$H$4=#REF!),BDI!#REF!,IF(#REF!="ZERO",0))))),"")</f>
        <v>#REF!</v>
      </c>
      <c r="H652" s="136" t="str">
        <f t="shared" si="31"/>
        <v/>
      </c>
      <c r="I652" s="134" t="str">
        <f t="shared" si="32"/>
        <v/>
      </c>
      <c r="J652" s="226"/>
    </row>
    <row r="653" spans="1:10" hidden="1" x14ac:dyDescent="0.25">
      <c r="A653" s="112" t="s">
        <v>2324</v>
      </c>
      <c r="B653" s="113" t="s">
        <v>2325</v>
      </c>
      <c r="C653" s="114" t="s">
        <v>101</v>
      </c>
      <c r="D653" s="114">
        <v>0</v>
      </c>
      <c r="E653" s="133" t="s">
        <v>514</v>
      </c>
      <c r="F653" s="134" t="str">
        <f t="shared" si="30"/>
        <v/>
      </c>
      <c r="G653" s="135" t="e">
        <f>IF(A653&lt;&gt;"",IF(AND(#REF!="Padrão",$H$4=#REF!),BDI!$B$17,IF(AND(#REF!="Padrão",$H$4=#REF!),BDI!#REF!,IF(AND(#REF!="Diferenciado",$H$4=#REF!),BDI!$E$17,IF(AND(#REF!="Diferenciado",$H$4=#REF!),BDI!#REF!,IF(#REF!="ZERO",0))))),"")</f>
        <v>#REF!</v>
      </c>
      <c r="H653" s="136" t="str">
        <f t="shared" si="31"/>
        <v/>
      </c>
      <c r="I653" s="134" t="str">
        <f t="shared" si="32"/>
        <v/>
      </c>
      <c r="J653" s="226"/>
    </row>
    <row r="654" spans="1:10" hidden="1" x14ac:dyDescent="0.25">
      <c r="A654" s="112" t="s">
        <v>2326</v>
      </c>
      <c r="B654" s="113" t="s">
        <v>2327</v>
      </c>
      <c r="C654" s="114" t="s">
        <v>101</v>
      </c>
      <c r="D654" s="114">
        <v>0</v>
      </c>
      <c r="E654" s="133" t="s">
        <v>514</v>
      </c>
      <c r="F654" s="134" t="str">
        <f t="shared" si="30"/>
        <v/>
      </c>
      <c r="G654" s="135" t="e">
        <f>IF(A654&lt;&gt;"",IF(AND(#REF!="Padrão",$H$4=#REF!),BDI!$B$17,IF(AND(#REF!="Padrão",$H$4=#REF!),BDI!#REF!,IF(AND(#REF!="Diferenciado",$H$4=#REF!),BDI!$E$17,IF(AND(#REF!="Diferenciado",$H$4=#REF!),BDI!#REF!,IF(#REF!="ZERO",0))))),"")</f>
        <v>#REF!</v>
      </c>
      <c r="H654" s="136" t="str">
        <f t="shared" si="31"/>
        <v/>
      </c>
      <c r="I654" s="134" t="str">
        <f t="shared" si="32"/>
        <v/>
      </c>
      <c r="J654" s="226"/>
    </row>
    <row r="655" spans="1:10" hidden="1" x14ac:dyDescent="0.25">
      <c r="A655" s="112" t="s">
        <v>2328</v>
      </c>
      <c r="B655" s="113" t="s">
        <v>6336</v>
      </c>
      <c r="C655" s="114" t="s">
        <v>20</v>
      </c>
      <c r="D655" s="114">
        <v>0</v>
      </c>
      <c r="E655" s="133" t="s">
        <v>514</v>
      </c>
      <c r="F655" s="134" t="str">
        <f t="shared" si="30"/>
        <v/>
      </c>
      <c r="G655" s="135" t="e">
        <f>IF(A655&lt;&gt;"",IF(AND(#REF!="Padrão",$H$4=#REF!),BDI!$B$17,IF(AND(#REF!="Padrão",$H$4=#REF!),BDI!#REF!,IF(AND(#REF!="Diferenciado",$H$4=#REF!),BDI!$E$17,IF(AND(#REF!="Diferenciado",$H$4=#REF!),BDI!#REF!,IF(#REF!="ZERO",0))))),"")</f>
        <v>#REF!</v>
      </c>
      <c r="H655" s="136" t="str">
        <f t="shared" si="31"/>
        <v/>
      </c>
      <c r="I655" s="134" t="str">
        <f t="shared" si="32"/>
        <v/>
      </c>
      <c r="J655" s="226"/>
    </row>
    <row r="656" spans="1:10" hidden="1" x14ac:dyDescent="0.25">
      <c r="A656" s="112" t="s">
        <v>2329</v>
      </c>
      <c r="B656" s="113" t="s">
        <v>2330</v>
      </c>
      <c r="C656" s="114" t="s">
        <v>42</v>
      </c>
      <c r="D656" s="114">
        <v>0</v>
      </c>
      <c r="E656" s="133" t="s">
        <v>514</v>
      </c>
      <c r="F656" s="134" t="str">
        <f t="shared" si="30"/>
        <v/>
      </c>
      <c r="G656" s="135" t="e">
        <f>IF(A656&lt;&gt;"",IF(AND(#REF!="Padrão",$H$4=#REF!),BDI!$B$17,IF(AND(#REF!="Padrão",$H$4=#REF!),BDI!#REF!,IF(AND(#REF!="Diferenciado",$H$4=#REF!),BDI!$E$17,IF(AND(#REF!="Diferenciado",$H$4=#REF!),BDI!#REF!,IF(#REF!="ZERO",0))))),"")</f>
        <v>#REF!</v>
      </c>
      <c r="H656" s="136" t="str">
        <f t="shared" si="31"/>
        <v/>
      </c>
      <c r="I656" s="134" t="str">
        <f t="shared" si="32"/>
        <v/>
      </c>
      <c r="J656" s="226"/>
    </row>
    <row r="657" spans="1:10" hidden="1" x14ac:dyDescent="0.25">
      <c r="A657" s="112" t="s">
        <v>2331</v>
      </c>
      <c r="B657" s="113" t="s">
        <v>2332</v>
      </c>
      <c r="C657" s="114" t="s">
        <v>20</v>
      </c>
      <c r="D657" s="114">
        <v>0</v>
      </c>
      <c r="E657" s="133" t="s">
        <v>514</v>
      </c>
      <c r="F657" s="134" t="str">
        <f t="shared" si="30"/>
        <v/>
      </c>
      <c r="G657" s="135" t="e">
        <f>IF(A657&lt;&gt;"",IF(AND(#REF!="Padrão",$H$4=#REF!),BDI!$B$17,IF(AND(#REF!="Padrão",$H$4=#REF!),BDI!#REF!,IF(AND(#REF!="Diferenciado",$H$4=#REF!),BDI!$E$17,IF(AND(#REF!="Diferenciado",$H$4=#REF!),BDI!#REF!,IF(#REF!="ZERO",0))))),"")</f>
        <v>#REF!</v>
      </c>
      <c r="H657" s="136" t="str">
        <f t="shared" si="31"/>
        <v/>
      </c>
      <c r="I657" s="134" t="str">
        <f t="shared" si="32"/>
        <v/>
      </c>
      <c r="J657" s="226"/>
    </row>
    <row r="658" spans="1:10" hidden="1" x14ac:dyDescent="0.25">
      <c r="A658" s="112" t="s">
        <v>2333</v>
      </c>
      <c r="B658" s="113" t="s">
        <v>2334</v>
      </c>
      <c r="C658" s="114" t="s">
        <v>20</v>
      </c>
      <c r="D658" s="114">
        <v>0</v>
      </c>
      <c r="E658" s="133" t="s">
        <v>514</v>
      </c>
      <c r="F658" s="134" t="str">
        <f t="shared" si="30"/>
        <v/>
      </c>
      <c r="G658" s="135" t="e">
        <f>IF(A658&lt;&gt;"",IF(AND(#REF!="Padrão",$H$4=#REF!),BDI!$B$17,IF(AND(#REF!="Padrão",$H$4=#REF!),BDI!#REF!,IF(AND(#REF!="Diferenciado",$H$4=#REF!),BDI!$E$17,IF(AND(#REF!="Diferenciado",$H$4=#REF!),BDI!#REF!,IF(#REF!="ZERO",0))))),"")</f>
        <v>#REF!</v>
      </c>
      <c r="H658" s="136" t="str">
        <f t="shared" si="31"/>
        <v/>
      </c>
      <c r="I658" s="134" t="str">
        <f t="shared" si="32"/>
        <v/>
      </c>
      <c r="J658" s="226"/>
    </row>
    <row r="659" spans="1:10" hidden="1" x14ac:dyDescent="0.25">
      <c r="A659" s="112" t="s">
        <v>2335</v>
      </c>
      <c r="B659" s="113" t="s">
        <v>2336</v>
      </c>
      <c r="C659" s="114" t="s">
        <v>20</v>
      </c>
      <c r="D659" s="114">
        <v>0</v>
      </c>
      <c r="E659" s="133" t="s">
        <v>514</v>
      </c>
      <c r="F659" s="134" t="str">
        <f t="shared" si="30"/>
        <v/>
      </c>
      <c r="G659" s="135" t="e">
        <f>IF(A659&lt;&gt;"",IF(AND(#REF!="Padrão",$H$4=#REF!),BDI!$B$17,IF(AND(#REF!="Padrão",$H$4=#REF!),BDI!#REF!,IF(AND(#REF!="Diferenciado",$H$4=#REF!),BDI!$E$17,IF(AND(#REF!="Diferenciado",$H$4=#REF!),BDI!#REF!,IF(#REF!="ZERO",0))))),"")</f>
        <v>#REF!</v>
      </c>
      <c r="H659" s="136" t="str">
        <f t="shared" si="31"/>
        <v/>
      </c>
      <c r="I659" s="134" t="str">
        <f t="shared" si="32"/>
        <v/>
      </c>
      <c r="J659" s="226"/>
    </row>
    <row r="660" spans="1:10" hidden="1" x14ac:dyDescent="0.25">
      <c r="A660" s="112" t="s">
        <v>2337</v>
      </c>
      <c r="B660" s="113" t="s">
        <v>2338</v>
      </c>
      <c r="C660" s="114" t="s">
        <v>20</v>
      </c>
      <c r="D660" s="114">
        <v>0</v>
      </c>
      <c r="E660" s="133" t="s">
        <v>514</v>
      </c>
      <c r="F660" s="134" t="str">
        <f t="shared" si="30"/>
        <v/>
      </c>
      <c r="G660" s="135" t="e">
        <f>IF(A660&lt;&gt;"",IF(AND(#REF!="Padrão",$H$4=#REF!),BDI!$B$17,IF(AND(#REF!="Padrão",$H$4=#REF!),BDI!#REF!,IF(AND(#REF!="Diferenciado",$H$4=#REF!),BDI!$E$17,IF(AND(#REF!="Diferenciado",$H$4=#REF!),BDI!#REF!,IF(#REF!="ZERO",0))))),"")</f>
        <v>#REF!</v>
      </c>
      <c r="H660" s="136" t="str">
        <f t="shared" si="31"/>
        <v/>
      </c>
      <c r="I660" s="134" t="str">
        <f t="shared" si="32"/>
        <v/>
      </c>
      <c r="J660" s="226"/>
    </row>
    <row r="661" spans="1:10" hidden="1" x14ac:dyDescent="0.25">
      <c r="A661" s="112" t="s">
        <v>2339</v>
      </c>
      <c r="B661" s="113" t="s">
        <v>2340</v>
      </c>
      <c r="C661" s="114" t="s">
        <v>20</v>
      </c>
      <c r="D661" s="114">
        <v>0</v>
      </c>
      <c r="E661" s="133" t="s">
        <v>514</v>
      </c>
      <c r="F661" s="134" t="str">
        <f t="shared" si="30"/>
        <v/>
      </c>
      <c r="G661" s="135" t="e">
        <f>IF(A661&lt;&gt;"",IF(AND(#REF!="Padrão",$H$4=#REF!),BDI!$B$17,IF(AND(#REF!="Padrão",$H$4=#REF!),BDI!#REF!,IF(AND(#REF!="Diferenciado",$H$4=#REF!),BDI!$E$17,IF(AND(#REF!="Diferenciado",$H$4=#REF!),BDI!#REF!,IF(#REF!="ZERO",0))))),"")</f>
        <v>#REF!</v>
      </c>
      <c r="H661" s="136" t="str">
        <f t="shared" si="31"/>
        <v/>
      </c>
      <c r="I661" s="134" t="str">
        <f t="shared" si="32"/>
        <v/>
      </c>
      <c r="J661" s="226"/>
    </row>
    <row r="662" spans="1:10" hidden="1" x14ac:dyDescent="0.25">
      <c r="A662" s="112" t="s">
        <v>2341</v>
      </c>
      <c r="B662" s="113" t="s">
        <v>2342</v>
      </c>
      <c r="C662" s="114" t="s">
        <v>20</v>
      </c>
      <c r="D662" s="114">
        <v>0</v>
      </c>
      <c r="E662" s="133" t="s">
        <v>514</v>
      </c>
      <c r="F662" s="134" t="str">
        <f t="shared" si="30"/>
        <v/>
      </c>
      <c r="G662" s="135" t="e">
        <f>IF(A662&lt;&gt;"",IF(AND(#REF!="Padrão",$H$4=#REF!),BDI!$B$17,IF(AND(#REF!="Padrão",$H$4=#REF!),BDI!#REF!,IF(AND(#REF!="Diferenciado",$H$4=#REF!),BDI!$E$17,IF(AND(#REF!="Diferenciado",$H$4=#REF!),BDI!#REF!,IF(#REF!="ZERO",0))))),"")</f>
        <v>#REF!</v>
      </c>
      <c r="H662" s="136" t="str">
        <f t="shared" si="31"/>
        <v/>
      </c>
      <c r="I662" s="134" t="str">
        <f t="shared" si="32"/>
        <v/>
      </c>
      <c r="J662" s="226"/>
    </row>
    <row r="663" spans="1:10" hidden="1" x14ac:dyDescent="0.25">
      <c r="A663" s="112" t="s">
        <v>2343</v>
      </c>
      <c r="B663" s="113" t="s">
        <v>2344</v>
      </c>
      <c r="C663" s="114" t="s">
        <v>20</v>
      </c>
      <c r="D663" s="114">
        <v>0</v>
      </c>
      <c r="E663" s="133" t="s">
        <v>514</v>
      </c>
      <c r="F663" s="134" t="str">
        <f t="shared" si="30"/>
        <v/>
      </c>
      <c r="G663" s="135" t="e">
        <f>IF(A663&lt;&gt;"",IF(AND(#REF!="Padrão",$H$4=#REF!),BDI!$B$17,IF(AND(#REF!="Padrão",$H$4=#REF!),BDI!#REF!,IF(AND(#REF!="Diferenciado",$H$4=#REF!),BDI!$E$17,IF(AND(#REF!="Diferenciado",$H$4=#REF!),BDI!#REF!,IF(#REF!="ZERO",0))))),"")</f>
        <v>#REF!</v>
      </c>
      <c r="H663" s="136" t="str">
        <f t="shared" si="31"/>
        <v/>
      </c>
      <c r="I663" s="134" t="str">
        <f t="shared" si="32"/>
        <v/>
      </c>
      <c r="J663" s="226"/>
    </row>
    <row r="664" spans="1:10" hidden="1" x14ac:dyDescent="0.25">
      <c r="A664" s="112" t="s">
        <v>2345</v>
      </c>
      <c r="B664" s="113" t="s">
        <v>2346</v>
      </c>
      <c r="C664" s="114" t="s">
        <v>20</v>
      </c>
      <c r="D664" s="114">
        <v>0</v>
      </c>
      <c r="E664" s="133" t="s">
        <v>514</v>
      </c>
      <c r="F664" s="134" t="str">
        <f t="shared" si="30"/>
        <v/>
      </c>
      <c r="G664" s="135" t="e">
        <f>IF(A664&lt;&gt;"",IF(AND(#REF!="Padrão",$H$4=#REF!),BDI!$B$17,IF(AND(#REF!="Padrão",$H$4=#REF!),BDI!#REF!,IF(AND(#REF!="Diferenciado",$H$4=#REF!),BDI!$E$17,IF(AND(#REF!="Diferenciado",$H$4=#REF!),BDI!#REF!,IF(#REF!="ZERO",0))))),"")</f>
        <v>#REF!</v>
      </c>
      <c r="H664" s="136" t="str">
        <f t="shared" si="31"/>
        <v/>
      </c>
      <c r="I664" s="134" t="str">
        <f t="shared" si="32"/>
        <v/>
      </c>
      <c r="J664" s="226"/>
    </row>
    <row r="665" spans="1:10" hidden="1" x14ac:dyDescent="0.25">
      <c r="A665" s="112" t="s">
        <v>2347</v>
      </c>
      <c r="B665" s="113" t="s">
        <v>2348</v>
      </c>
      <c r="C665" s="114" t="s">
        <v>20</v>
      </c>
      <c r="D665" s="114">
        <v>0</v>
      </c>
      <c r="E665" s="133" t="s">
        <v>514</v>
      </c>
      <c r="F665" s="134" t="str">
        <f t="shared" si="30"/>
        <v/>
      </c>
      <c r="G665" s="135" t="e">
        <f>IF(A665&lt;&gt;"",IF(AND(#REF!="Padrão",$H$4=#REF!),BDI!$B$17,IF(AND(#REF!="Padrão",$H$4=#REF!),BDI!#REF!,IF(AND(#REF!="Diferenciado",$H$4=#REF!),BDI!$E$17,IF(AND(#REF!="Diferenciado",$H$4=#REF!),BDI!#REF!,IF(#REF!="ZERO",0))))),"")</f>
        <v>#REF!</v>
      </c>
      <c r="H665" s="136" t="str">
        <f t="shared" si="31"/>
        <v/>
      </c>
      <c r="I665" s="134" t="str">
        <f t="shared" si="32"/>
        <v/>
      </c>
      <c r="J665" s="226"/>
    </row>
    <row r="666" spans="1:10" hidden="1" x14ac:dyDescent="0.25">
      <c r="A666" s="112" t="s">
        <v>2349</v>
      </c>
      <c r="B666" s="113" t="s">
        <v>2350</v>
      </c>
      <c r="C666" s="114" t="s">
        <v>20</v>
      </c>
      <c r="D666" s="114">
        <v>0</v>
      </c>
      <c r="E666" s="133" t="s">
        <v>514</v>
      </c>
      <c r="F666" s="134" t="str">
        <f t="shared" si="30"/>
        <v/>
      </c>
      <c r="G666" s="135" t="e">
        <f>IF(A666&lt;&gt;"",IF(AND(#REF!="Padrão",$H$4=#REF!),BDI!$B$17,IF(AND(#REF!="Padrão",$H$4=#REF!),BDI!#REF!,IF(AND(#REF!="Diferenciado",$H$4=#REF!),BDI!$E$17,IF(AND(#REF!="Diferenciado",$H$4=#REF!),BDI!#REF!,IF(#REF!="ZERO",0))))),"")</f>
        <v>#REF!</v>
      </c>
      <c r="H666" s="136" t="str">
        <f t="shared" si="31"/>
        <v/>
      </c>
      <c r="I666" s="134" t="str">
        <f t="shared" si="32"/>
        <v/>
      </c>
      <c r="J666" s="226"/>
    </row>
    <row r="667" spans="1:10" hidden="1" x14ac:dyDescent="0.25">
      <c r="A667" s="112" t="s">
        <v>2351</v>
      </c>
      <c r="B667" s="113" t="s">
        <v>2352</v>
      </c>
      <c r="C667" s="114" t="s">
        <v>20</v>
      </c>
      <c r="D667" s="114">
        <v>0</v>
      </c>
      <c r="E667" s="133" t="s">
        <v>514</v>
      </c>
      <c r="F667" s="134" t="str">
        <f t="shared" si="30"/>
        <v/>
      </c>
      <c r="G667" s="135" t="e">
        <f>IF(A667&lt;&gt;"",IF(AND(#REF!="Padrão",$H$4=#REF!),BDI!$B$17,IF(AND(#REF!="Padrão",$H$4=#REF!),BDI!#REF!,IF(AND(#REF!="Diferenciado",$H$4=#REF!),BDI!$E$17,IF(AND(#REF!="Diferenciado",$H$4=#REF!),BDI!#REF!,IF(#REF!="ZERO",0))))),"")</f>
        <v>#REF!</v>
      </c>
      <c r="H667" s="136" t="str">
        <f t="shared" si="31"/>
        <v/>
      </c>
      <c r="I667" s="134" t="str">
        <f t="shared" si="32"/>
        <v/>
      </c>
      <c r="J667" s="226"/>
    </row>
    <row r="668" spans="1:10" hidden="1" x14ac:dyDescent="0.25">
      <c r="A668" s="112" t="s">
        <v>2353</v>
      </c>
      <c r="B668" s="113" t="s">
        <v>2354</v>
      </c>
      <c r="C668" s="114" t="s">
        <v>20</v>
      </c>
      <c r="D668" s="114">
        <v>0</v>
      </c>
      <c r="E668" s="133" t="s">
        <v>514</v>
      </c>
      <c r="F668" s="134" t="str">
        <f t="shared" si="30"/>
        <v/>
      </c>
      <c r="G668" s="135" t="e">
        <f>IF(A668&lt;&gt;"",IF(AND(#REF!="Padrão",$H$4=#REF!),BDI!$B$17,IF(AND(#REF!="Padrão",$H$4=#REF!),BDI!#REF!,IF(AND(#REF!="Diferenciado",$H$4=#REF!),BDI!$E$17,IF(AND(#REF!="Diferenciado",$H$4=#REF!),BDI!#REF!,IF(#REF!="ZERO",0))))),"")</f>
        <v>#REF!</v>
      </c>
      <c r="H668" s="136" t="str">
        <f t="shared" si="31"/>
        <v/>
      </c>
      <c r="I668" s="134" t="str">
        <f t="shared" si="32"/>
        <v/>
      </c>
      <c r="J668" s="226"/>
    </row>
    <row r="669" spans="1:10" hidden="1" x14ac:dyDescent="0.25">
      <c r="A669" s="112" t="s">
        <v>2355</v>
      </c>
      <c r="B669" s="113" t="s">
        <v>2356</v>
      </c>
      <c r="C669" s="114" t="s">
        <v>20</v>
      </c>
      <c r="D669" s="114">
        <v>0</v>
      </c>
      <c r="E669" s="133" t="s">
        <v>514</v>
      </c>
      <c r="F669" s="134" t="str">
        <f t="shared" si="30"/>
        <v/>
      </c>
      <c r="G669" s="135" t="e">
        <f>IF(A669&lt;&gt;"",IF(AND(#REF!="Padrão",$H$4=#REF!),BDI!$B$17,IF(AND(#REF!="Padrão",$H$4=#REF!),BDI!#REF!,IF(AND(#REF!="Diferenciado",$H$4=#REF!),BDI!$E$17,IF(AND(#REF!="Diferenciado",$H$4=#REF!),BDI!#REF!,IF(#REF!="ZERO",0))))),"")</f>
        <v>#REF!</v>
      </c>
      <c r="H669" s="136" t="str">
        <f t="shared" si="31"/>
        <v/>
      </c>
      <c r="I669" s="134" t="str">
        <f t="shared" si="32"/>
        <v/>
      </c>
      <c r="J669" s="226"/>
    </row>
    <row r="670" spans="1:10" hidden="1" x14ac:dyDescent="0.25">
      <c r="A670" s="112" t="s">
        <v>2357</v>
      </c>
      <c r="B670" s="113" t="s">
        <v>2358</v>
      </c>
      <c r="C670" s="114" t="s">
        <v>20</v>
      </c>
      <c r="D670" s="114">
        <v>0</v>
      </c>
      <c r="E670" s="133" t="s">
        <v>514</v>
      </c>
      <c r="F670" s="134" t="str">
        <f t="shared" si="30"/>
        <v/>
      </c>
      <c r="G670" s="135" t="e">
        <f>IF(A670&lt;&gt;"",IF(AND(#REF!="Padrão",$H$4=#REF!),BDI!$B$17,IF(AND(#REF!="Padrão",$H$4=#REF!),BDI!#REF!,IF(AND(#REF!="Diferenciado",$H$4=#REF!),BDI!$E$17,IF(AND(#REF!="Diferenciado",$H$4=#REF!),BDI!#REF!,IF(#REF!="ZERO",0))))),"")</f>
        <v>#REF!</v>
      </c>
      <c r="H670" s="136" t="str">
        <f t="shared" si="31"/>
        <v/>
      </c>
      <c r="I670" s="134" t="str">
        <f t="shared" si="32"/>
        <v/>
      </c>
      <c r="J670" s="226"/>
    </row>
    <row r="671" spans="1:10" hidden="1" x14ac:dyDescent="0.25">
      <c r="A671" s="112" t="s">
        <v>2359</v>
      </c>
      <c r="B671" s="113" t="s">
        <v>2360</v>
      </c>
      <c r="C671" s="114" t="s">
        <v>101</v>
      </c>
      <c r="D671" s="114">
        <v>0</v>
      </c>
      <c r="E671" s="133" t="s">
        <v>514</v>
      </c>
      <c r="F671" s="134" t="str">
        <f t="shared" si="30"/>
        <v/>
      </c>
      <c r="G671" s="135" t="e">
        <f>IF(A671&lt;&gt;"",IF(AND(#REF!="Padrão",$H$4=#REF!),BDI!$B$17,IF(AND(#REF!="Padrão",$H$4=#REF!),BDI!#REF!,IF(AND(#REF!="Diferenciado",$H$4=#REF!),BDI!$E$17,IF(AND(#REF!="Diferenciado",$H$4=#REF!),BDI!#REF!,IF(#REF!="ZERO",0))))),"")</f>
        <v>#REF!</v>
      </c>
      <c r="H671" s="136" t="str">
        <f t="shared" si="31"/>
        <v/>
      </c>
      <c r="I671" s="134" t="str">
        <f t="shared" si="32"/>
        <v/>
      </c>
      <c r="J671" s="226"/>
    </row>
    <row r="672" spans="1:10" hidden="1" x14ac:dyDescent="0.25">
      <c r="A672" s="112" t="s">
        <v>2361</v>
      </c>
      <c r="B672" s="113" t="s">
        <v>2362</v>
      </c>
      <c r="C672" s="114" t="s">
        <v>20</v>
      </c>
      <c r="D672" s="114">
        <v>0</v>
      </c>
      <c r="E672" s="133" t="s">
        <v>514</v>
      </c>
      <c r="F672" s="134" t="str">
        <f t="shared" si="30"/>
        <v/>
      </c>
      <c r="G672" s="135" t="e">
        <f>IF(A672&lt;&gt;"",IF(AND(#REF!="Padrão",$H$4=#REF!),BDI!$B$17,IF(AND(#REF!="Padrão",$H$4=#REF!),BDI!#REF!,IF(AND(#REF!="Diferenciado",$H$4=#REF!),BDI!$E$17,IF(AND(#REF!="Diferenciado",$H$4=#REF!),BDI!#REF!,IF(#REF!="ZERO",0))))),"")</f>
        <v>#REF!</v>
      </c>
      <c r="H672" s="136" t="str">
        <f t="shared" si="31"/>
        <v/>
      </c>
      <c r="I672" s="134" t="str">
        <f t="shared" si="32"/>
        <v/>
      </c>
      <c r="J672" s="226"/>
    </row>
    <row r="673" spans="1:10" hidden="1" x14ac:dyDescent="0.25">
      <c r="A673" s="112" t="s">
        <v>2363</v>
      </c>
      <c r="B673" s="113" t="s">
        <v>2364</v>
      </c>
      <c r="C673" s="114" t="s">
        <v>20</v>
      </c>
      <c r="D673" s="114">
        <v>0</v>
      </c>
      <c r="E673" s="133" t="s">
        <v>514</v>
      </c>
      <c r="F673" s="134" t="str">
        <f t="shared" si="30"/>
        <v/>
      </c>
      <c r="G673" s="135" t="e">
        <f>IF(A673&lt;&gt;"",IF(AND(#REF!="Padrão",$H$4=#REF!),BDI!$B$17,IF(AND(#REF!="Padrão",$H$4=#REF!),BDI!#REF!,IF(AND(#REF!="Diferenciado",$H$4=#REF!),BDI!$E$17,IF(AND(#REF!="Diferenciado",$H$4=#REF!),BDI!#REF!,IF(#REF!="ZERO",0))))),"")</f>
        <v>#REF!</v>
      </c>
      <c r="H673" s="136" t="str">
        <f t="shared" si="31"/>
        <v/>
      </c>
      <c r="I673" s="134" t="str">
        <f t="shared" si="32"/>
        <v/>
      </c>
      <c r="J673" s="226"/>
    </row>
    <row r="674" spans="1:10" hidden="1" x14ac:dyDescent="0.25">
      <c r="A674" s="112" t="s">
        <v>2365</v>
      </c>
      <c r="B674" s="113" t="s">
        <v>2366</v>
      </c>
      <c r="C674" s="114" t="s">
        <v>20</v>
      </c>
      <c r="D674" s="114">
        <v>0</v>
      </c>
      <c r="E674" s="133" t="s">
        <v>514</v>
      </c>
      <c r="F674" s="134" t="str">
        <f t="shared" si="30"/>
        <v/>
      </c>
      <c r="G674" s="135" t="e">
        <f>IF(A674&lt;&gt;"",IF(AND(#REF!="Padrão",$H$4=#REF!),BDI!$B$17,IF(AND(#REF!="Padrão",$H$4=#REF!),BDI!#REF!,IF(AND(#REF!="Diferenciado",$H$4=#REF!),BDI!$E$17,IF(AND(#REF!="Diferenciado",$H$4=#REF!),BDI!#REF!,IF(#REF!="ZERO",0))))),"")</f>
        <v>#REF!</v>
      </c>
      <c r="H674" s="136" t="str">
        <f t="shared" si="31"/>
        <v/>
      </c>
      <c r="I674" s="134" t="str">
        <f t="shared" si="32"/>
        <v/>
      </c>
      <c r="J674" s="226"/>
    </row>
    <row r="675" spans="1:10" hidden="1" x14ac:dyDescent="0.25">
      <c r="A675" s="112" t="s">
        <v>2367</v>
      </c>
      <c r="B675" s="113" t="s">
        <v>2368</v>
      </c>
      <c r="C675" s="114" t="s">
        <v>20</v>
      </c>
      <c r="D675" s="114">
        <v>0</v>
      </c>
      <c r="E675" s="133" t="s">
        <v>514</v>
      </c>
      <c r="F675" s="134" t="str">
        <f t="shared" si="30"/>
        <v/>
      </c>
      <c r="G675" s="135" t="e">
        <f>IF(A675&lt;&gt;"",IF(AND(#REF!="Padrão",$H$4=#REF!),BDI!$B$17,IF(AND(#REF!="Padrão",$H$4=#REF!),BDI!#REF!,IF(AND(#REF!="Diferenciado",$H$4=#REF!),BDI!$E$17,IF(AND(#REF!="Diferenciado",$H$4=#REF!),BDI!#REF!,IF(#REF!="ZERO",0))))),"")</f>
        <v>#REF!</v>
      </c>
      <c r="H675" s="136" t="str">
        <f t="shared" si="31"/>
        <v/>
      </c>
      <c r="I675" s="134" t="str">
        <f t="shared" si="32"/>
        <v/>
      </c>
      <c r="J675" s="226"/>
    </row>
    <row r="676" spans="1:10" hidden="1" x14ac:dyDescent="0.25">
      <c r="A676" s="112" t="s">
        <v>2369</v>
      </c>
      <c r="B676" s="113" t="s">
        <v>2370</v>
      </c>
      <c r="C676" s="114" t="s">
        <v>20</v>
      </c>
      <c r="D676" s="114">
        <v>0</v>
      </c>
      <c r="E676" s="133" t="s">
        <v>514</v>
      </c>
      <c r="F676" s="134" t="str">
        <f t="shared" si="30"/>
        <v/>
      </c>
      <c r="G676" s="135" t="e">
        <f>IF(A676&lt;&gt;"",IF(AND(#REF!="Padrão",$H$4=#REF!),BDI!$B$17,IF(AND(#REF!="Padrão",$H$4=#REF!),BDI!#REF!,IF(AND(#REF!="Diferenciado",$H$4=#REF!),BDI!$E$17,IF(AND(#REF!="Diferenciado",$H$4=#REF!),BDI!#REF!,IF(#REF!="ZERO",0))))),"")</f>
        <v>#REF!</v>
      </c>
      <c r="H676" s="136" t="str">
        <f t="shared" si="31"/>
        <v/>
      </c>
      <c r="I676" s="134" t="str">
        <f t="shared" si="32"/>
        <v/>
      </c>
      <c r="J676" s="226"/>
    </row>
    <row r="677" spans="1:10" hidden="1" x14ac:dyDescent="0.25">
      <c r="A677" s="112" t="s">
        <v>2371</v>
      </c>
      <c r="B677" s="113" t="s">
        <v>2372</v>
      </c>
      <c r="C677" s="114" t="s">
        <v>20</v>
      </c>
      <c r="D677" s="114">
        <v>0</v>
      </c>
      <c r="E677" s="133" t="s">
        <v>514</v>
      </c>
      <c r="F677" s="134" t="str">
        <f t="shared" si="30"/>
        <v/>
      </c>
      <c r="G677" s="135" t="e">
        <f>IF(A677&lt;&gt;"",IF(AND(#REF!="Padrão",$H$4=#REF!),BDI!$B$17,IF(AND(#REF!="Padrão",$H$4=#REF!),BDI!#REF!,IF(AND(#REF!="Diferenciado",$H$4=#REF!),BDI!$E$17,IF(AND(#REF!="Diferenciado",$H$4=#REF!),BDI!#REF!,IF(#REF!="ZERO",0))))),"")</f>
        <v>#REF!</v>
      </c>
      <c r="H677" s="136" t="str">
        <f t="shared" si="31"/>
        <v/>
      </c>
      <c r="I677" s="134" t="str">
        <f t="shared" si="32"/>
        <v/>
      </c>
      <c r="J677" s="226"/>
    </row>
    <row r="678" spans="1:10" hidden="1" x14ac:dyDescent="0.25">
      <c r="A678" s="112" t="s">
        <v>2373</v>
      </c>
      <c r="B678" s="113" t="s">
        <v>2374</v>
      </c>
      <c r="C678" s="114" t="s">
        <v>20</v>
      </c>
      <c r="D678" s="114">
        <v>0</v>
      </c>
      <c r="E678" s="133" t="s">
        <v>514</v>
      </c>
      <c r="F678" s="134" t="str">
        <f t="shared" si="30"/>
        <v/>
      </c>
      <c r="G678" s="135" t="e">
        <f>IF(A678&lt;&gt;"",IF(AND(#REF!="Padrão",$H$4=#REF!),BDI!$B$17,IF(AND(#REF!="Padrão",$H$4=#REF!),BDI!#REF!,IF(AND(#REF!="Diferenciado",$H$4=#REF!),BDI!$E$17,IF(AND(#REF!="Diferenciado",$H$4=#REF!),BDI!#REF!,IF(#REF!="ZERO",0))))),"")</f>
        <v>#REF!</v>
      </c>
      <c r="H678" s="136" t="str">
        <f t="shared" si="31"/>
        <v/>
      </c>
      <c r="I678" s="134" t="str">
        <f t="shared" si="32"/>
        <v/>
      </c>
      <c r="J678" s="226"/>
    </row>
    <row r="679" spans="1:10" hidden="1" x14ac:dyDescent="0.25">
      <c r="A679" s="112" t="s">
        <v>2375</v>
      </c>
      <c r="B679" s="113" t="s">
        <v>2376</v>
      </c>
      <c r="C679" s="114" t="s">
        <v>20</v>
      </c>
      <c r="D679" s="114">
        <v>0</v>
      </c>
      <c r="E679" s="133" t="s">
        <v>514</v>
      </c>
      <c r="F679" s="134" t="str">
        <f t="shared" si="30"/>
        <v/>
      </c>
      <c r="G679" s="135" t="e">
        <f>IF(A679&lt;&gt;"",IF(AND(#REF!="Padrão",$H$4=#REF!),BDI!$B$17,IF(AND(#REF!="Padrão",$H$4=#REF!),BDI!#REF!,IF(AND(#REF!="Diferenciado",$H$4=#REF!),BDI!$E$17,IF(AND(#REF!="Diferenciado",$H$4=#REF!),BDI!#REF!,IF(#REF!="ZERO",0))))),"")</f>
        <v>#REF!</v>
      </c>
      <c r="H679" s="136" t="str">
        <f t="shared" si="31"/>
        <v/>
      </c>
      <c r="I679" s="134" t="str">
        <f t="shared" si="32"/>
        <v/>
      </c>
      <c r="J679" s="226"/>
    </row>
    <row r="680" spans="1:10" hidden="1" x14ac:dyDescent="0.25">
      <c r="A680" s="112" t="s">
        <v>2377</v>
      </c>
      <c r="B680" s="113" t="s">
        <v>2378</v>
      </c>
      <c r="C680" s="114" t="s">
        <v>20</v>
      </c>
      <c r="D680" s="114">
        <v>0</v>
      </c>
      <c r="E680" s="133" t="s">
        <v>514</v>
      </c>
      <c r="F680" s="134" t="str">
        <f t="shared" si="30"/>
        <v/>
      </c>
      <c r="G680" s="135" t="e">
        <f>IF(A680&lt;&gt;"",IF(AND(#REF!="Padrão",$H$4=#REF!),BDI!$B$17,IF(AND(#REF!="Padrão",$H$4=#REF!),BDI!#REF!,IF(AND(#REF!="Diferenciado",$H$4=#REF!),BDI!$E$17,IF(AND(#REF!="Diferenciado",$H$4=#REF!),BDI!#REF!,IF(#REF!="ZERO",0))))),"")</f>
        <v>#REF!</v>
      </c>
      <c r="H680" s="136" t="str">
        <f t="shared" si="31"/>
        <v/>
      </c>
      <c r="I680" s="134" t="str">
        <f t="shared" si="32"/>
        <v/>
      </c>
      <c r="J680" s="226"/>
    </row>
    <row r="681" spans="1:10" hidden="1" x14ac:dyDescent="0.25">
      <c r="A681" s="112" t="s">
        <v>2379</v>
      </c>
      <c r="B681" s="113" t="s">
        <v>2380</v>
      </c>
      <c r="C681" s="114" t="s">
        <v>20</v>
      </c>
      <c r="D681" s="114">
        <v>0</v>
      </c>
      <c r="E681" s="133" t="s">
        <v>514</v>
      </c>
      <c r="F681" s="134" t="str">
        <f t="shared" si="30"/>
        <v/>
      </c>
      <c r="G681" s="135" t="e">
        <f>IF(A681&lt;&gt;"",IF(AND(#REF!="Padrão",$H$4=#REF!),BDI!$B$17,IF(AND(#REF!="Padrão",$H$4=#REF!),BDI!#REF!,IF(AND(#REF!="Diferenciado",$H$4=#REF!),BDI!$E$17,IF(AND(#REF!="Diferenciado",$H$4=#REF!),BDI!#REF!,IF(#REF!="ZERO",0))))),"")</f>
        <v>#REF!</v>
      </c>
      <c r="H681" s="136" t="str">
        <f t="shared" si="31"/>
        <v/>
      </c>
      <c r="I681" s="134" t="str">
        <f t="shared" si="32"/>
        <v/>
      </c>
      <c r="J681" s="226"/>
    </row>
    <row r="682" spans="1:10" hidden="1" x14ac:dyDescent="0.25">
      <c r="A682" s="112" t="s">
        <v>2381</v>
      </c>
      <c r="B682" s="113" t="s">
        <v>2382</v>
      </c>
      <c r="C682" s="114" t="s">
        <v>20</v>
      </c>
      <c r="D682" s="114">
        <v>0</v>
      </c>
      <c r="E682" s="133" t="s">
        <v>514</v>
      </c>
      <c r="F682" s="134" t="str">
        <f t="shared" si="30"/>
        <v/>
      </c>
      <c r="G682" s="135" t="e">
        <f>IF(A682&lt;&gt;"",IF(AND(#REF!="Padrão",$H$4=#REF!),BDI!$B$17,IF(AND(#REF!="Padrão",$H$4=#REF!),BDI!#REF!,IF(AND(#REF!="Diferenciado",$H$4=#REF!),BDI!$E$17,IF(AND(#REF!="Diferenciado",$H$4=#REF!),BDI!#REF!,IF(#REF!="ZERO",0))))),"")</f>
        <v>#REF!</v>
      </c>
      <c r="H682" s="136" t="str">
        <f t="shared" si="31"/>
        <v/>
      </c>
      <c r="I682" s="134" t="str">
        <f t="shared" si="32"/>
        <v/>
      </c>
      <c r="J682" s="226"/>
    </row>
    <row r="683" spans="1:10" hidden="1" x14ac:dyDescent="0.25">
      <c r="A683" s="112" t="s">
        <v>2383</v>
      </c>
      <c r="B683" s="113" t="s">
        <v>2384</v>
      </c>
      <c r="C683" s="114" t="s">
        <v>20</v>
      </c>
      <c r="D683" s="114">
        <v>0</v>
      </c>
      <c r="E683" s="133" t="s">
        <v>514</v>
      </c>
      <c r="F683" s="134" t="str">
        <f t="shared" si="30"/>
        <v/>
      </c>
      <c r="G683" s="135" t="e">
        <f>IF(A683&lt;&gt;"",IF(AND(#REF!="Padrão",$H$4=#REF!),BDI!$B$17,IF(AND(#REF!="Padrão",$H$4=#REF!),BDI!#REF!,IF(AND(#REF!="Diferenciado",$H$4=#REF!),BDI!$E$17,IF(AND(#REF!="Diferenciado",$H$4=#REF!),BDI!#REF!,IF(#REF!="ZERO",0))))),"")</f>
        <v>#REF!</v>
      </c>
      <c r="H683" s="136" t="str">
        <f t="shared" si="31"/>
        <v/>
      </c>
      <c r="I683" s="134" t="str">
        <f t="shared" si="32"/>
        <v/>
      </c>
      <c r="J683" s="226"/>
    </row>
    <row r="684" spans="1:10" hidden="1" x14ac:dyDescent="0.25">
      <c r="A684" s="112" t="s">
        <v>2385</v>
      </c>
      <c r="B684" s="113" t="s">
        <v>2386</v>
      </c>
      <c r="C684" s="114" t="s">
        <v>20</v>
      </c>
      <c r="D684" s="114">
        <v>0</v>
      </c>
      <c r="E684" s="133" t="s">
        <v>514</v>
      </c>
      <c r="F684" s="134" t="str">
        <f t="shared" si="30"/>
        <v/>
      </c>
      <c r="G684" s="135" t="e">
        <f>IF(A684&lt;&gt;"",IF(AND(#REF!="Padrão",$H$4=#REF!),BDI!$B$17,IF(AND(#REF!="Padrão",$H$4=#REF!),BDI!#REF!,IF(AND(#REF!="Diferenciado",$H$4=#REF!),BDI!$E$17,IF(AND(#REF!="Diferenciado",$H$4=#REF!),BDI!#REF!,IF(#REF!="ZERO",0))))),"")</f>
        <v>#REF!</v>
      </c>
      <c r="H684" s="136" t="str">
        <f t="shared" si="31"/>
        <v/>
      </c>
      <c r="I684" s="134" t="str">
        <f t="shared" si="32"/>
        <v/>
      </c>
      <c r="J684" s="226"/>
    </row>
    <row r="685" spans="1:10" hidden="1" x14ac:dyDescent="0.25">
      <c r="A685" s="112" t="s">
        <v>2387</v>
      </c>
      <c r="B685" s="113" t="s">
        <v>2388</v>
      </c>
      <c r="C685" s="114" t="s">
        <v>20</v>
      </c>
      <c r="D685" s="114">
        <v>0</v>
      </c>
      <c r="E685" s="133" t="s">
        <v>514</v>
      </c>
      <c r="F685" s="134" t="str">
        <f t="shared" si="30"/>
        <v/>
      </c>
      <c r="G685" s="135" t="e">
        <f>IF(A685&lt;&gt;"",IF(AND(#REF!="Padrão",$H$4=#REF!),BDI!$B$17,IF(AND(#REF!="Padrão",$H$4=#REF!),BDI!#REF!,IF(AND(#REF!="Diferenciado",$H$4=#REF!),BDI!$E$17,IF(AND(#REF!="Diferenciado",$H$4=#REF!),BDI!#REF!,IF(#REF!="ZERO",0))))),"")</f>
        <v>#REF!</v>
      </c>
      <c r="H685" s="136" t="str">
        <f t="shared" si="31"/>
        <v/>
      </c>
      <c r="I685" s="134" t="str">
        <f t="shared" si="32"/>
        <v/>
      </c>
      <c r="J685" s="226"/>
    </row>
    <row r="686" spans="1:10" hidden="1" x14ac:dyDescent="0.25">
      <c r="A686" s="112" t="s">
        <v>2389</v>
      </c>
      <c r="B686" s="113" t="s">
        <v>2390</v>
      </c>
      <c r="C686" s="114" t="s">
        <v>20</v>
      </c>
      <c r="D686" s="114">
        <v>0</v>
      </c>
      <c r="E686" s="133" t="s">
        <v>514</v>
      </c>
      <c r="F686" s="134" t="str">
        <f t="shared" si="30"/>
        <v/>
      </c>
      <c r="G686" s="135" t="e">
        <f>IF(A686&lt;&gt;"",IF(AND(#REF!="Padrão",$H$4=#REF!),BDI!$B$17,IF(AND(#REF!="Padrão",$H$4=#REF!),BDI!#REF!,IF(AND(#REF!="Diferenciado",$H$4=#REF!),BDI!$E$17,IF(AND(#REF!="Diferenciado",$H$4=#REF!),BDI!#REF!,IF(#REF!="ZERO",0))))),"")</f>
        <v>#REF!</v>
      </c>
      <c r="H686" s="136" t="str">
        <f t="shared" si="31"/>
        <v/>
      </c>
      <c r="I686" s="134" t="str">
        <f t="shared" si="32"/>
        <v/>
      </c>
      <c r="J686" s="226"/>
    </row>
    <row r="687" spans="1:10" hidden="1" x14ac:dyDescent="0.25">
      <c r="A687" s="112" t="s">
        <v>2391</v>
      </c>
      <c r="B687" s="113" t="s">
        <v>2392</v>
      </c>
      <c r="C687" s="114" t="s">
        <v>20</v>
      </c>
      <c r="D687" s="114">
        <v>0</v>
      </c>
      <c r="E687" s="133" t="s">
        <v>514</v>
      </c>
      <c r="F687" s="134" t="str">
        <f t="shared" si="30"/>
        <v/>
      </c>
      <c r="G687" s="135" t="e">
        <f>IF(A687&lt;&gt;"",IF(AND(#REF!="Padrão",$H$4=#REF!),BDI!$B$17,IF(AND(#REF!="Padrão",$H$4=#REF!),BDI!#REF!,IF(AND(#REF!="Diferenciado",$H$4=#REF!),BDI!$E$17,IF(AND(#REF!="Diferenciado",$H$4=#REF!),BDI!#REF!,IF(#REF!="ZERO",0))))),"")</f>
        <v>#REF!</v>
      </c>
      <c r="H687" s="136" t="str">
        <f t="shared" si="31"/>
        <v/>
      </c>
      <c r="I687" s="134" t="str">
        <f t="shared" si="32"/>
        <v/>
      </c>
      <c r="J687" s="226"/>
    </row>
    <row r="688" spans="1:10" hidden="1" x14ac:dyDescent="0.25">
      <c r="A688" s="112" t="s">
        <v>2393</v>
      </c>
      <c r="B688" s="113" t="s">
        <v>2394</v>
      </c>
      <c r="C688" s="114" t="s">
        <v>20</v>
      </c>
      <c r="D688" s="114">
        <v>0</v>
      </c>
      <c r="E688" s="133" t="s">
        <v>514</v>
      </c>
      <c r="F688" s="134" t="str">
        <f t="shared" si="30"/>
        <v/>
      </c>
      <c r="G688" s="135" t="e">
        <f>IF(A688&lt;&gt;"",IF(AND(#REF!="Padrão",$H$4=#REF!),BDI!$B$17,IF(AND(#REF!="Padrão",$H$4=#REF!),BDI!#REF!,IF(AND(#REF!="Diferenciado",$H$4=#REF!),BDI!$E$17,IF(AND(#REF!="Diferenciado",$H$4=#REF!),BDI!#REF!,IF(#REF!="ZERO",0))))),"")</f>
        <v>#REF!</v>
      </c>
      <c r="H688" s="136" t="str">
        <f t="shared" si="31"/>
        <v/>
      </c>
      <c r="I688" s="134" t="str">
        <f t="shared" si="32"/>
        <v/>
      </c>
      <c r="J688" s="226"/>
    </row>
    <row r="689" spans="1:10" hidden="1" x14ac:dyDescent="0.25">
      <c r="A689" s="112" t="s">
        <v>2395</v>
      </c>
      <c r="B689" s="113" t="s">
        <v>2396</v>
      </c>
      <c r="C689" s="114" t="s">
        <v>20</v>
      </c>
      <c r="D689" s="114">
        <v>0</v>
      </c>
      <c r="E689" s="133" t="s">
        <v>514</v>
      </c>
      <c r="F689" s="134" t="str">
        <f t="shared" si="30"/>
        <v/>
      </c>
      <c r="G689" s="135" t="e">
        <f>IF(A689&lt;&gt;"",IF(AND(#REF!="Padrão",$H$4=#REF!),BDI!$B$17,IF(AND(#REF!="Padrão",$H$4=#REF!),BDI!#REF!,IF(AND(#REF!="Diferenciado",$H$4=#REF!),BDI!$E$17,IF(AND(#REF!="Diferenciado",$H$4=#REF!),BDI!#REF!,IF(#REF!="ZERO",0))))),"")</f>
        <v>#REF!</v>
      </c>
      <c r="H689" s="136" t="str">
        <f t="shared" si="31"/>
        <v/>
      </c>
      <c r="I689" s="134" t="str">
        <f t="shared" si="32"/>
        <v/>
      </c>
      <c r="J689" s="226"/>
    </row>
    <row r="690" spans="1:10" hidden="1" x14ac:dyDescent="0.25">
      <c r="A690" s="112" t="s">
        <v>2397</v>
      </c>
      <c r="B690" s="113" t="s">
        <v>2398</v>
      </c>
      <c r="C690" s="114" t="s">
        <v>20</v>
      </c>
      <c r="D690" s="114">
        <v>0</v>
      </c>
      <c r="E690" s="133" t="s">
        <v>514</v>
      </c>
      <c r="F690" s="134" t="str">
        <f t="shared" si="30"/>
        <v/>
      </c>
      <c r="G690" s="135" t="e">
        <f>IF(A690&lt;&gt;"",IF(AND(#REF!="Padrão",$H$4=#REF!),BDI!$B$17,IF(AND(#REF!="Padrão",$H$4=#REF!),BDI!#REF!,IF(AND(#REF!="Diferenciado",$H$4=#REF!),BDI!$E$17,IF(AND(#REF!="Diferenciado",$H$4=#REF!),BDI!#REF!,IF(#REF!="ZERO",0))))),"")</f>
        <v>#REF!</v>
      </c>
      <c r="H690" s="136" t="str">
        <f t="shared" si="31"/>
        <v/>
      </c>
      <c r="I690" s="134" t="str">
        <f t="shared" si="32"/>
        <v/>
      </c>
      <c r="J690" s="226"/>
    </row>
    <row r="691" spans="1:10" hidden="1" x14ac:dyDescent="0.25">
      <c r="A691" s="112" t="s">
        <v>2399</v>
      </c>
      <c r="B691" s="113" t="s">
        <v>2400</v>
      </c>
      <c r="C691" s="114" t="s">
        <v>20</v>
      </c>
      <c r="D691" s="114">
        <v>0</v>
      </c>
      <c r="E691" s="133" t="s">
        <v>514</v>
      </c>
      <c r="F691" s="134" t="str">
        <f t="shared" si="30"/>
        <v/>
      </c>
      <c r="G691" s="135" t="e">
        <f>IF(A691&lt;&gt;"",IF(AND(#REF!="Padrão",$H$4=#REF!),BDI!$B$17,IF(AND(#REF!="Padrão",$H$4=#REF!),BDI!#REF!,IF(AND(#REF!="Diferenciado",$H$4=#REF!),BDI!$E$17,IF(AND(#REF!="Diferenciado",$H$4=#REF!),BDI!#REF!,IF(#REF!="ZERO",0))))),"")</f>
        <v>#REF!</v>
      </c>
      <c r="H691" s="136" t="str">
        <f t="shared" si="31"/>
        <v/>
      </c>
      <c r="I691" s="134" t="str">
        <f t="shared" si="32"/>
        <v/>
      </c>
      <c r="J691" s="226"/>
    </row>
    <row r="692" spans="1:10" hidden="1" x14ac:dyDescent="0.25">
      <c r="A692" s="112" t="s">
        <v>2401</v>
      </c>
      <c r="B692" s="113" t="s">
        <v>2402</v>
      </c>
      <c r="C692" s="114" t="s">
        <v>20</v>
      </c>
      <c r="D692" s="114">
        <v>0</v>
      </c>
      <c r="E692" s="133" t="s">
        <v>514</v>
      </c>
      <c r="F692" s="134" t="str">
        <f t="shared" si="30"/>
        <v/>
      </c>
      <c r="G692" s="135" t="e">
        <f>IF(A692&lt;&gt;"",IF(AND(#REF!="Padrão",$H$4=#REF!),BDI!$B$17,IF(AND(#REF!="Padrão",$H$4=#REF!),BDI!#REF!,IF(AND(#REF!="Diferenciado",$H$4=#REF!),BDI!$E$17,IF(AND(#REF!="Diferenciado",$H$4=#REF!),BDI!#REF!,IF(#REF!="ZERO",0))))),"")</f>
        <v>#REF!</v>
      </c>
      <c r="H692" s="136" t="str">
        <f t="shared" si="31"/>
        <v/>
      </c>
      <c r="I692" s="134" t="str">
        <f t="shared" si="32"/>
        <v/>
      </c>
      <c r="J692" s="226"/>
    </row>
    <row r="693" spans="1:10" hidden="1" x14ac:dyDescent="0.25">
      <c r="A693" s="112" t="s">
        <v>2403</v>
      </c>
      <c r="B693" s="113" t="s">
        <v>2404</v>
      </c>
      <c r="C693" s="114" t="s">
        <v>20</v>
      </c>
      <c r="D693" s="114">
        <v>0</v>
      </c>
      <c r="E693" s="133" t="s">
        <v>514</v>
      </c>
      <c r="F693" s="134" t="str">
        <f t="shared" si="30"/>
        <v/>
      </c>
      <c r="G693" s="135" t="e">
        <f>IF(A693&lt;&gt;"",IF(AND(#REF!="Padrão",$H$4=#REF!),BDI!$B$17,IF(AND(#REF!="Padrão",$H$4=#REF!),BDI!#REF!,IF(AND(#REF!="Diferenciado",$H$4=#REF!),BDI!$E$17,IF(AND(#REF!="Diferenciado",$H$4=#REF!),BDI!#REF!,IF(#REF!="ZERO",0))))),"")</f>
        <v>#REF!</v>
      </c>
      <c r="H693" s="136" t="str">
        <f t="shared" si="31"/>
        <v/>
      </c>
      <c r="I693" s="134" t="str">
        <f t="shared" si="32"/>
        <v/>
      </c>
      <c r="J693" s="226"/>
    </row>
    <row r="694" spans="1:10" hidden="1" x14ac:dyDescent="0.25">
      <c r="A694" s="112" t="s">
        <v>2405</v>
      </c>
      <c r="B694" s="113" t="s">
        <v>2406</v>
      </c>
      <c r="C694" s="114" t="s">
        <v>20</v>
      </c>
      <c r="D694" s="114">
        <v>0</v>
      </c>
      <c r="E694" s="133" t="s">
        <v>514</v>
      </c>
      <c r="F694" s="134" t="str">
        <f t="shared" si="30"/>
        <v/>
      </c>
      <c r="G694" s="135" t="e">
        <f>IF(A694&lt;&gt;"",IF(AND(#REF!="Padrão",$H$4=#REF!),BDI!$B$17,IF(AND(#REF!="Padrão",$H$4=#REF!),BDI!#REF!,IF(AND(#REF!="Diferenciado",$H$4=#REF!),BDI!$E$17,IF(AND(#REF!="Diferenciado",$H$4=#REF!),BDI!#REF!,IF(#REF!="ZERO",0))))),"")</f>
        <v>#REF!</v>
      </c>
      <c r="H694" s="136" t="str">
        <f t="shared" si="31"/>
        <v/>
      </c>
      <c r="I694" s="134" t="str">
        <f t="shared" si="32"/>
        <v/>
      </c>
      <c r="J694" s="226"/>
    </row>
    <row r="695" spans="1:10" hidden="1" x14ac:dyDescent="0.25">
      <c r="A695" s="112" t="s">
        <v>2407</v>
      </c>
      <c r="B695" s="113" t="s">
        <v>2408</v>
      </c>
      <c r="C695" s="114" t="s">
        <v>20</v>
      </c>
      <c r="D695" s="114">
        <v>0</v>
      </c>
      <c r="E695" s="133" t="s">
        <v>514</v>
      </c>
      <c r="F695" s="134" t="str">
        <f t="shared" si="30"/>
        <v/>
      </c>
      <c r="G695" s="135" t="e">
        <f>IF(A695&lt;&gt;"",IF(AND(#REF!="Padrão",$H$4=#REF!),BDI!$B$17,IF(AND(#REF!="Padrão",$H$4=#REF!),BDI!#REF!,IF(AND(#REF!="Diferenciado",$H$4=#REF!),BDI!$E$17,IF(AND(#REF!="Diferenciado",$H$4=#REF!),BDI!#REF!,IF(#REF!="ZERO",0))))),"")</f>
        <v>#REF!</v>
      </c>
      <c r="H695" s="136" t="str">
        <f t="shared" si="31"/>
        <v/>
      </c>
      <c r="I695" s="134" t="str">
        <f t="shared" si="32"/>
        <v/>
      </c>
      <c r="J695" s="226"/>
    </row>
    <row r="696" spans="1:10" hidden="1" x14ac:dyDescent="0.25">
      <c r="A696" s="112" t="s">
        <v>2409</v>
      </c>
      <c r="B696" s="113" t="s">
        <v>2410</v>
      </c>
      <c r="C696" s="114" t="s">
        <v>20</v>
      </c>
      <c r="D696" s="114">
        <v>0</v>
      </c>
      <c r="E696" s="133" t="s">
        <v>514</v>
      </c>
      <c r="F696" s="134" t="str">
        <f t="shared" si="30"/>
        <v/>
      </c>
      <c r="G696" s="135" t="e">
        <f>IF(A696&lt;&gt;"",IF(AND(#REF!="Padrão",$H$4=#REF!),BDI!$B$17,IF(AND(#REF!="Padrão",$H$4=#REF!),BDI!#REF!,IF(AND(#REF!="Diferenciado",$H$4=#REF!),BDI!$E$17,IF(AND(#REF!="Diferenciado",$H$4=#REF!),BDI!#REF!,IF(#REF!="ZERO",0))))),"")</f>
        <v>#REF!</v>
      </c>
      <c r="H696" s="136" t="str">
        <f t="shared" si="31"/>
        <v/>
      </c>
      <c r="I696" s="134" t="str">
        <f t="shared" si="32"/>
        <v/>
      </c>
      <c r="J696" s="226"/>
    </row>
    <row r="697" spans="1:10" hidden="1" x14ac:dyDescent="0.25">
      <c r="A697" s="112" t="s">
        <v>2411</v>
      </c>
      <c r="B697" s="113" t="s">
        <v>2412</v>
      </c>
      <c r="C697" s="114" t="s">
        <v>20</v>
      </c>
      <c r="D697" s="114">
        <v>0</v>
      </c>
      <c r="E697" s="133" t="s">
        <v>514</v>
      </c>
      <c r="F697" s="134" t="str">
        <f t="shared" si="30"/>
        <v/>
      </c>
      <c r="G697" s="135" t="e">
        <f>IF(A697&lt;&gt;"",IF(AND(#REF!="Padrão",$H$4=#REF!),BDI!$B$17,IF(AND(#REF!="Padrão",$H$4=#REF!),BDI!#REF!,IF(AND(#REF!="Diferenciado",$H$4=#REF!),BDI!$E$17,IF(AND(#REF!="Diferenciado",$H$4=#REF!),BDI!#REF!,IF(#REF!="ZERO",0))))),"")</f>
        <v>#REF!</v>
      </c>
      <c r="H697" s="136" t="str">
        <f t="shared" si="31"/>
        <v/>
      </c>
      <c r="I697" s="134" t="str">
        <f t="shared" si="32"/>
        <v/>
      </c>
      <c r="J697" s="226"/>
    </row>
    <row r="698" spans="1:10" hidden="1" x14ac:dyDescent="0.25">
      <c r="A698" s="112" t="s">
        <v>2413</v>
      </c>
      <c r="B698" s="113" t="s">
        <v>2414</v>
      </c>
      <c r="C698" s="114" t="s">
        <v>20</v>
      </c>
      <c r="D698" s="114">
        <v>0</v>
      </c>
      <c r="E698" s="133" t="s">
        <v>514</v>
      </c>
      <c r="F698" s="134" t="str">
        <f t="shared" si="30"/>
        <v/>
      </c>
      <c r="G698" s="135" t="e">
        <f>IF(A698&lt;&gt;"",IF(AND(#REF!="Padrão",$H$4=#REF!),BDI!$B$17,IF(AND(#REF!="Padrão",$H$4=#REF!),BDI!#REF!,IF(AND(#REF!="Diferenciado",$H$4=#REF!),BDI!$E$17,IF(AND(#REF!="Diferenciado",$H$4=#REF!),BDI!#REF!,IF(#REF!="ZERO",0))))),"")</f>
        <v>#REF!</v>
      </c>
      <c r="H698" s="136" t="str">
        <f t="shared" si="31"/>
        <v/>
      </c>
      <c r="I698" s="134" t="str">
        <f t="shared" si="32"/>
        <v/>
      </c>
      <c r="J698" s="226"/>
    </row>
    <row r="699" spans="1:10" hidden="1" x14ac:dyDescent="0.25">
      <c r="A699" s="112" t="s">
        <v>2415</v>
      </c>
      <c r="B699" s="113" t="s">
        <v>2416</v>
      </c>
      <c r="C699" s="114" t="s">
        <v>20</v>
      </c>
      <c r="D699" s="114">
        <v>0</v>
      </c>
      <c r="E699" s="133" t="s">
        <v>514</v>
      </c>
      <c r="F699" s="134" t="str">
        <f t="shared" si="30"/>
        <v/>
      </c>
      <c r="G699" s="135" t="e">
        <f>IF(A699&lt;&gt;"",IF(AND(#REF!="Padrão",$H$4=#REF!),BDI!$B$17,IF(AND(#REF!="Padrão",$H$4=#REF!),BDI!#REF!,IF(AND(#REF!="Diferenciado",$H$4=#REF!),BDI!$E$17,IF(AND(#REF!="Diferenciado",$H$4=#REF!),BDI!#REF!,IF(#REF!="ZERO",0))))),"")</f>
        <v>#REF!</v>
      </c>
      <c r="H699" s="136" t="str">
        <f t="shared" si="31"/>
        <v/>
      </c>
      <c r="I699" s="134" t="str">
        <f t="shared" si="32"/>
        <v/>
      </c>
      <c r="J699" s="226"/>
    </row>
    <row r="700" spans="1:10" hidden="1" x14ac:dyDescent="0.25">
      <c r="A700" s="112" t="s">
        <v>2417</v>
      </c>
      <c r="B700" s="113" t="s">
        <v>2418</v>
      </c>
      <c r="C700" s="114" t="s">
        <v>20</v>
      </c>
      <c r="D700" s="114">
        <v>0</v>
      </c>
      <c r="E700" s="133" t="s">
        <v>514</v>
      </c>
      <c r="F700" s="134" t="str">
        <f t="shared" si="30"/>
        <v/>
      </c>
      <c r="G700" s="135" t="e">
        <f>IF(A700&lt;&gt;"",IF(AND(#REF!="Padrão",$H$4=#REF!),BDI!$B$17,IF(AND(#REF!="Padrão",$H$4=#REF!),BDI!#REF!,IF(AND(#REF!="Diferenciado",$H$4=#REF!),BDI!$E$17,IF(AND(#REF!="Diferenciado",$H$4=#REF!),BDI!#REF!,IF(#REF!="ZERO",0))))),"")</f>
        <v>#REF!</v>
      </c>
      <c r="H700" s="136" t="str">
        <f t="shared" si="31"/>
        <v/>
      </c>
      <c r="I700" s="134" t="str">
        <f t="shared" si="32"/>
        <v/>
      </c>
      <c r="J700" s="226"/>
    </row>
    <row r="701" spans="1:10" hidden="1" x14ac:dyDescent="0.25">
      <c r="A701" s="112" t="s">
        <v>2419</v>
      </c>
      <c r="B701" s="113" t="s">
        <v>2420</v>
      </c>
      <c r="C701" s="114" t="s">
        <v>20</v>
      </c>
      <c r="D701" s="114">
        <v>0</v>
      </c>
      <c r="E701" s="133" t="s">
        <v>514</v>
      </c>
      <c r="F701" s="134" t="str">
        <f t="shared" si="30"/>
        <v/>
      </c>
      <c r="G701" s="135" t="e">
        <f>IF(A701&lt;&gt;"",IF(AND(#REF!="Padrão",$H$4=#REF!),BDI!$B$17,IF(AND(#REF!="Padrão",$H$4=#REF!),BDI!#REF!,IF(AND(#REF!="Diferenciado",$H$4=#REF!),BDI!$E$17,IF(AND(#REF!="Diferenciado",$H$4=#REF!),BDI!#REF!,IF(#REF!="ZERO",0))))),"")</f>
        <v>#REF!</v>
      </c>
      <c r="H701" s="136" t="str">
        <f t="shared" si="31"/>
        <v/>
      </c>
      <c r="I701" s="134" t="str">
        <f t="shared" si="32"/>
        <v/>
      </c>
      <c r="J701" s="226"/>
    </row>
    <row r="702" spans="1:10" hidden="1" x14ac:dyDescent="0.25">
      <c r="A702" s="112" t="s">
        <v>2421</v>
      </c>
      <c r="B702" s="113" t="s">
        <v>2422</v>
      </c>
      <c r="C702" s="114" t="s">
        <v>20</v>
      </c>
      <c r="D702" s="114">
        <v>0</v>
      </c>
      <c r="E702" s="133" t="s">
        <v>514</v>
      </c>
      <c r="F702" s="134" t="str">
        <f t="shared" si="30"/>
        <v/>
      </c>
      <c r="G702" s="135" t="e">
        <f>IF(A702&lt;&gt;"",IF(AND(#REF!="Padrão",$H$4=#REF!),BDI!$B$17,IF(AND(#REF!="Padrão",$H$4=#REF!),BDI!#REF!,IF(AND(#REF!="Diferenciado",$H$4=#REF!),BDI!$E$17,IF(AND(#REF!="Diferenciado",$H$4=#REF!),BDI!#REF!,IF(#REF!="ZERO",0))))),"")</f>
        <v>#REF!</v>
      </c>
      <c r="H702" s="136" t="str">
        <f t="shared" si="31"/>
        <v/>
      </c>
      <c r="I702" s="134" t="str">
        <f t="shared" si="32"/>
        <v/>
      </c>
      <c r="J702" s="226"/>
    </row>
    <row r="703" spans="1:10" hidden="1" x14ac:dyDescent="0.25">
      <c r="A703" s="112" t="s">
        <v>2423</v>
      </c>
      <c r="B703" s="113" t="s">
        <v>2424</v>
      </c>
      <c r="C703" s="114" t="s">
        <v>20</v>
      </c>
      <c r="D703" s="114">
        <v>0</v>
      </c>
      <c r="E703" s="133" t="s">
        <v>514</v>
      </c>
      <c r="F703" s="134" t="str">
        <f t="shared" si="30"/>
        <v/>
      </c>
      <c r="G703" s="135" t="e">
        <f>IF(A703&lt;&gt;"",IF(AND(#REF!="Padrão",$H$4=#REF!),BDI!$B$17,IF(AND(#REF!="Padrão",$H$4=#REF!),BDI!#REF!,IF(AND(#REF!="Diferenciado",$H$4=#REF!),BDI!$E$17,IF(AND(#REF!="Diferenciado",$H$4=#REF!),BDI!#REF!,IF(#REF!="ZERO",0))))),"")</f>
        <v>#REF!</v>
      </c>
      <c r="H703" s="136" t="str">
        <f t="shared" si="31"/>
        <v/>
      </c>
      <c r="I703" s="134" t="str">
        <f t="shared" si="32"/>
        <v/>
      </c>
      <c r="J703" s="226"/>
    </row>
    <row r="704" spans="1:10" hidden="1" x14ac:dyDescent="0.25">
      <c r="A704" s="112" t="s">
        <v>2425</v>
      </c>
      <c r="B704" s="113" t="s">
        <v>2426</v>
      </c>
      <c r="C704" s="114" t="s">
        <v>20</v>
      </c>
      <c r="D704" s="114">
        <v>0</v>
      </c>
      <c r="E704" s="133" t="s">
        <v>514</v>
      </c>
      <c r="F704" s="134" t="str">
        <f t="shared" si="30"/>
        <v/>
      </c>
      <c r="G704" s="135" t="e">
        <f>IF(A704&lt;&gt;"",IF(AND(#REF!="Padrão",$H$4=#REF!),BDI!$B$17,IF(AND(#REF!="Padrão",$H$4=#REF!),BDI!#REF!,IF(AND(#REF!="Diferenciado",$H$4=#REF!),BDI!$E$17,IF(AND(#REF!="Diferenciado",$H$4=#REF!),BDI!#REF!,IF(#REF!="ZERO",0))))),"")</f>
        <v>#REF!</v>
      </c>
      <c r="H704" s="136" t="str">
        <f t="shared" si="31"/>
        <v/>
      </c>
      <c r="I704" s="134" t="str">
        <f t="shared" si="32"/>
        <v/>
      </c>
      <c r="J704" s="226"/>
    </row>
    <row r="705" spans="1:10" hidden="1" x14ac:dyDescent="0.25">
      <c r="A705" s="112" t="s">
        <v>2427</v>
      </c>
      <c r="B705" s="113" t="s">
        <v>2428</v>
      </c>
      <c r="C705" s="114" t="s">
        <v>20</v>
      </c>
      <c r="D705" s="114">
        <v>0</v>
      </c>
      <c r="E705" s="133" t="s">
        <v>514</v>
      </c>
      <c r="F705" s="134" t="str">
        <f t="shared" si="30"/>
        <v/>
      </c>
      <c r="G705" s="135" t="e">
        <f>IF(A705&lt;&gt;"",IF(AND(#REF!="Padrão",$H$4=#REF!),BDI!$B$17,IF(AND(#REF!="Padrão",$H$4=#REF!),BDI!#REF!,IF(AND(#REF!="Diferenciado",$H$4=#REF!),BDI!$E$17,IF(AND(#REF!="Diferenciado",$H$4=#REF!),BDI!#REF!,IF(#REF!="ZERO",0))))),"")</f>
        <v>#REF!</v>
      </c>
      <c r="H705" s="136" t="str">
        <f t="shared" si="31"/>
        <v/>
      </c>
      <c r="I705" s="134" t="str">
        <f t="shared" si="32"/>
        <v/>
      </c>
      <c r="J705" s="226"/>
    </row>
    <row r="706" spans="1:10" hidden="1" x14ac:dyDescent="0.25">
      <c r="A706" s="112" t="s">
        <v>2429</v>
      </c>
      <c r="B706" s="113" t="s">
        <v>2430</v>
      </c>
      <c r="C706" s="114" t="s">
        <v>20</v>
      </c>
      <c r="D706" s="114">
        <v>0</v>
      </c>
      <c r="E706" s="133" t="s">
        <v>514</v>
      </c>
      <c r="F706" s="134" t="str">
        <f t="shared" si="30"/>
        <v/>
      </c>
      <c r="G706" s="135" t="e">
        <f>IF(A706&lt;&gt;"",IF(AND(#REF!="Padrão",$H$4=#REF!),BDI!$B$17,IF(AND(#REF!="Padrão",$H$4=#REF!),BDI!#REF!,IF(AND(#REF!="Diferenciado",$H$4=#REF!),BDI!$E$17,IF(AND(#REF!="Diferenciado",$H$4=#REF!),BDI!#REF!,IF(#REF!="ZERO",0))))),"")</f>
        <v>#REF!</v>
      </c>
      <c r="H706" s="136" t="str">
        <f t="shared" si="31"/>
        <v/>
      </c>
      <c r="I706" s="134" t="str">
        <f t="shared" si="32"/>
        <v/>
      </c>
      <c r="J706" s="226"/>
    </row>
    <row r="707" spans="1:10" hidden="1" x14ac:dyDescent="0.25">
      <c r="A707" s="112" t="s">
        <v>2431</v>
      </c>
      <c r="B707" s="113" t="s">
        <v>2432</v>
      </c>
      <c r="C707" s="114" t="s">
        <v>20</v>
      </c>
      <c r="D707" s="114">
        <v>0</v>
      </c>
      <c r="E707" s="133" t="s">
        <v>514</v>
      </c>
      <c r="F707" s="134" t="str">
        <f t="shared" si="30"/>
        <v/>
      </c>
      <c r="G707" s="135" t="e">
        <f>IF(A707&lt;&gt;"",IF(AND(#REF!="Padrão",$H$4=#REF!),BDI!$B$17,IF(AND(#REF!="Padrão",$H$4=#REF!),BDI!#REF!,IF(AND(#REF!="Diferenciado",$H$4=#REF!),BDI!$E$17,IF(AND(#REF!="Diferenciado",$H$4=#REF!),BDI!#REF!,IF(#REF!="ZERO",0))))),"")</f>
        <v>#REF!</v>
      </c>
      <c r="H707" s="136" t="str">
        <f t="shared" si="31"/>
        <v/>
      </c>
      <c r="I707" s="134" t="str">
        <f t="shared" si="32"/>
        <v/>
      </c>
      <c r="J707" s="226"/>
    </row>
    <row r="708" spans="1:10" hidden="1" x14ac:dyDescent="0.25">
      <c r="A708" s="112" t="s">
        <v>2433</v>
      </c>
      <c r="B708" s="113" t="s">
        <v>2434</v>
      </c>
      <c r="C708" s="114" t="s">
        <v>20</v>
      </c>
      <c r="D708" s="114">
        <v>0</v>
      </c>
      <c r="E708" s="133" t="s">
        <v>514</v>
      </c>
      <c r="F708" s="134" t="str">
        <f t="shared" si="30"/>
        <v/>
      </c>
      <c r="G708" s="135" t="e">
        <f>IF(A708&lt;&gt;"",IF(AND(#REF!="Padrão",$H$4=#REF!),BDI!$B$17,IF(AND(#REF!="Padrão",$H$4=#REF!),BDI!#REF!,IF(AND(#REF!="Diferenciado",$H$4=#REF!),BDI!$E$17,IF(AND(#REF!="Diferenciado",$H$4=#REF!),BDI!#REF!,IF(#REF!="ZERO",0))))),"")</f>
        <v>#REF!</v>
      </c>
      <c r="H708" s="136" t="str">
        <f t="shared" si="31"/>
        <v/>
      </c>
      <c r="I708" s="134" t="str">
        <f t="shared" si="32"/>
        <v/>
      </c>
      <c r="J708" s="226"/>
    </row>
    <row r="709" spans="1:10" hidden="1" x14ac:dyDescent="0.25">
      <c r="A709" s="112" t="s">
        <v>2435</v>
      </c>
      <c r="B709" s="113" t="s">
        <v>2436</v>
      </c>
      <c r="C709" s="114" t="s">
        <v>20</v>
      </c>
      <c r="D709" s="114">
        <v>0</v>
      </c>
      <c r="E709" s="133" t="s">
        <v>514</v>
      </c>
      <c r="F709" s="134" t="str">
        <f t="shared" si="30"/>
        <v/>
      </c>
      <c r="G709" s="135" t="e">
        <f>IF(A709&lt;&gt;"",IF(AND(#REF!="Padrão",$H$4=#REF!),BDI!$B$17,IF(AND(#REF!="Padrão",$H$4=#REF!),BDI!#REF!,IF(AND(#REF!="Diferenciado",$H$4=#REF!),BDI!$E$17,IF(AND(#REF!="Diferenciado",$H$4=#REF!),BDI!#REF!,IF(#REF!="ZERO",0))))),"")</f>
        <v>#REF!</v>
      </c>
      <c r="H709" s="136" t="str">
        <f t="shared" si="31"/>
        <v/>
      </c>
      <c r="I709" s="134" t="str">
        <f t="shared" si="32"/>
        <v/>
      </c>
      <c r="J709" s="226"/>
    </row>
    <row r="710" spans="1:10" hidden="1" x14ac:dyDescent="0.25">
      <c r="A710" s="112" t="s">
        <v>2437</v>
      </c>
      <c r="B710" s="113" t="s">
        <v>2438</v>
      </c>
      <c r="C710" s="114" t="s">
        <v>20</v>
      </c>
      <c r="D710" s="114">
        <v>0</v>
      </c>
      <c r="E710" s="133" t="s">
        <v>514</v>
      </c>
      <c r="F710" s="134" t="str">
        <f t="shared" si="30"/>
        <v/>
      </c>
      <c r="G710" s="135" t="e">
        <f>IF(A710&lt;&gt;"",IF(AND(#REF!="Padrão",$H$4=#REF!),BDI!$B$17,IF(AND(#REF!="Padrão",$H$4=#REF!),BDI!#REF!,IF(AND(#REF!="Diferenciado",$H$4=#REF!),BDI!$E$17,IF(AND(#REF!="Diferenciado",$H$4=#REF!),BDI!#REF!,IF(#REF!="ZERO",0))))),"")</f>
        <v>#REF!</v>
      </c>
      <c r="H710" s="136" t="str">
        <f t="shared" si="31"/>
        <v/>
      </c>
      <c r="I710" s="134" t="str">
        <f t="shared" si="32"/>
        <v/>
      </c>
      <c r="J710" s="226"/>
    </row>
    <row r="711" spans="1:10" hidden="1" x14ac:dyDescent="0.25">
      <c r="A711" s="112" t="s">
        <v>2439</v>
      </c>
      <c r="B711" s="113" t="s">
        <v>2440</v>
      </c>
      <c r="C711" s="114" t="s">
        <v>20</v>
      </c>
      <c r="D711" s="114">
        <v>0</v>
      </c>
      <c r="E711" s="133" t="s">
        <v>514</v>
      </c>
      <c r="F711" s="134" t="str">
        <f t="shared" ref="F711:F774" si="33">IF(ISNUMBER(E711),D711*E711,"")</f>
        <v/>
      </c>
      <c r="G711" s="135" t="e">
        <f>IF(A711&lt;&gt;"",IF(AND(#REF!="Padrão",$H$4=#REF!),BDI!$B$17,IF(AND(#REF!="Padrão",$H$4=#REF!),BDI!#REF!,IF(AND(#REF!="Diferenciado",$H$4=#REF!),BDI!$E$17,IF(AND(#REF!="Diferenciado",$H$4=#REF!),BDI!#REF!,IF(#REF!="ZERO",0))))),"")</f>
        <v>#REF!</v>
      </c>
      <c r="H711" s="136" t="str">
        <f t="shared" ref="H711:H774" si="34">IF(ISNUMBER(E711),ROUND(E711*(1+G711),2),"")</f>
        <v/>
      </c>
      <c r="I711" s="134" t="str">
        <f t="shared" ref="I711:I774" si="35">IF(ISNUMBER(E711),ROUND(H711*D711,2),"")</f>
        <v/>
      </c>
      <c r="J711" s="226"/>
    </row>
    <row r="712" spans="1:10" hidden="1" x14ac:dyDescent="0.25">
      <c r="A712" s="112" t="s">
        <v>2441</v>
      </c>
      <c r="B712" s="113" t="s">
        <v>2442</v>
      </c>
      <c r="C712" s="114" t="s">
        <v>20</v>
      </c>
      <c r="D712" s="114">
        <v>0</v>
      </c>
      <c r="E712" s="133" t="s">
        <v>514</v>
      </c>
      <c r="F712" s="134" t="str">
        <f t="shared" si="33"/>
        <v/>
      </c>
      <c r="G712" s="135" t="e">
        <f>IF(A712&lt;&gt;"",IF(AND(#REF!="Padrão",$H$4=#REF!),BDI!$B$17,IF(AND(#REF!="Padrão",$H$4=#REF!),BDI!#REF!,IF(AND(#REF!="Diferenciado",$H$4=#REF!),BDI!$E$17,IF(AND(#REF!="Diferenciado",$H$4=#REF!),BDI!#REF!,IF(#REF!="ZERO",0))))),"")</f>
        <v>#REF!</v>
      </c>
      <c r="H712" s="136" t="str">
        <f t="shared" si="34"/>
        <v/>
      </c>
      <c r="I712" s="134" t="str">
        <f t="shared" si="35"/>
        <v/>
      </c>
      <c r="J712" s="226"/>
    </row>
    <row r="713" spans="1:10" hidden="1" x14ac:dyDescent="0.25">
      <c r="A713" s="112" t="s">
        <v>771</v>
      </c>
      <c r="B713" s="113" t="s">
        <v>2443</v>
      </c>
      <c r="C713" s="114" t="s">
        <v>2444</v>
      </c>
      <c r="D713" s="114">
        <v>0</v>
      </c>
      <c r="E713" s="133">
        <f ca="1">OFFSET(INDEX(Composições!A:J,MATCH(Orçamentária!A713,Composições!A:A,0),8),2,0)</f>
        <v>11425.6770256</v>
      </c>
      <c r="F713" s="134">
        <f t="shared" ca="1" si="33"/>
        <v>0</v>
      </c>
      <c r="G713" s="135" t="e">
        <f>IF(A713&lt;&gt;"",IF(AND(#REF!="Padrão",$H$4=#REF!),BDI!$B$17,IF(AND(#REF!="Padrão",$H$4=#REF!),BDI!#REF!,IF(AND(#REF!="Diferenciado",$H$4=#REF!),BDI!$E$17,IF(AND(#REF!="Diferenciado",$H$4=#REF!),BDI!#REF!,IF(#REF!="ZERO",0))))),"")</f>
        <v>#REF!</v>
      </c>
      <c r="H713" s="136" t="e">
        <f t="shared" ca="1" si="34"/>
        <v>#REF!</v>
      </c>
      <c r="I713" s="134" t="e">
        <f t="shared" ca="1" si="35"/>
        <v>#REF!</v>
      </c>
      <c r="J713" s="226"/>
    </row>
    <row r="714" spans="1:10" hidden="1" x14ac:dyDescent="0.25">
      <c r="A714" s="112" t="s">
        <v>774</v>
      </c>
      <c r="B714" s="113" t="s">
        <v>2445</v>
      </c>
      <c r="C714" s="114" t="s">
        <v>2444</v>
      </c>
      <c r="D714" s="114">
        <v>0</v>
      </c>
      <c r="E714" s="133">
        <f ca="1">OFFSET(INDEX(Composições!A:J,MATCH(Orçamentária!A714,Composições!A:A,0),8),2,0)</f>
        <v>3093.1280944999999</v>
      </c>
      <c r="F714" s="134">
        <f t="shared" ca="1" si="33"/>
        <v>0</v>
      </c>
      <c r="G714" s="135" t="e">
        <f>IF(A714&lt;&gt;"",IF(AND(#REF!="Padrão",$H$4=#REF!),BDI!$B$17,IF(AND(#REF!="Padrão",$H$4=#REF!),BDI!#REF!,IF(AND(#REF!="Diferenciado",$H$4=#REF!),BDI!$E$17,IF(AND(#REF!="Diferenciado",$H$4=#REF!),BDI!#REF!,IF(#REF!="ZERO",0))))),"")</f>
        <v>#REF!</v>
      </c>
      <c r="H714" s="136" t="e">
        <f t="shared" ca="1" si="34"/>
        <v>#REF!</v>
      </c>
      <c r="I714" s="134" t="e">
        <f t="shared" ca="1" si="35"/>
        <v>#REF!</v>
      </c>
      <c r="J714" s="226"/>
    </row>
    <row r="715" spans="1:10" hidden="1" x14ac:dyDescent="0.25">
      <c r="A715" s="112" t="s">
        <v>776</v>
      </c>
      <c r="B715" s="113" t="s">
        <v>2446</v>
      </c>
      <c r="C715" s="114" t="s">
        <v>2444</v>
      </c>
      <c r="D715" s="114">
        <v>0</v>
      </c>
      <c r="E715" s="133">
        <f ca="1">OFFSET(INDEX(Composições!A:J,MATCH(Orçamentária!A715,Composições!A:A,0),8),2,0)</f>
        <v>1928.4808280499999</v>
      </c>
      <c r="F715" s="134">
        <f t="shared" ca="1" si="33"/>
        <v>0</v>
      </c>
      <c r="G715" s="135" t="e">
        <f>IF(A715&lt;&gt;"",IF(AND(#REF!="Padrão",$H$4=#REF!),BDI!$B$17,IF(AND(#REF!="Padrão",$H$4=#REF!),BDI!#REF!,IF(AND(#REF!="Diferenciado",$H$4=#REF!),BDI!$E$17,IF(AND(#REF!="Diferenciado",$H$4=#REF!),BDI!#REF!,IF(#REF!="ZERO",0))))),"")</f>
        <v>#REF!</v>
      </c>
      <c r="H715" s="136" t="e">
        <f t="shared" ca="1" si="34"/>
        <v>#REF!</v>
      </c>
      <c r="I715" s="134" t="e">
        <f t="shared" ca="1" si="35"/>
        <v>#REF!</v>
      </c>
      <c r="J715" s="226"/>
    </row>
    <row r="716" spans="1:10" hidden="1" x14ac:dyDescent="0.25">
      <c r="A716" s="112" t="s">
        <v>777</v>
      </c>
      <c r="B716" s="113" t="s">
        <v>2447</v>
      </c>
      <c r="C716" s="114" t="s">
        <v>2444</v>
      </c>
      <c r="D716" s="114">
        <v>0</v>
      </c>
      <c r="E716" s="133">
        <f ca="1">OFFSET(INDEX(Composições!A:J,MATCH(Orçamentária!A716,Composições!A:A,0),8),2,0)</f>
        <v>2040.8677974</v>
      </c>
      <c r="F716" s="134">
        <f t="shared" ca="1" si="33"/>
        <v>0</v>
      </c>
      <c r="G716" s="135" t="e">
        <f>IF(A716&lt;&gt;"",IF(AND(#REF!="Padrão",$H$4=#REF!),BDI!$B$17,IF(AND(#REF!="Padrão",$H$4=#REF!),BDI!#REF!,IF(AND(#REF!="Diferenciado",$H$4=#REF!),BDI!$E$17,IF(AND(#REF!="Diferenciado",$H$4=#REF!),BDI!#REF!,IF(#REF!="ZERO",0))))),"")</f>
        <v>#REF!</v>
      </c>
      <c r="H716" s="136" t="e">
        <f t="shared" ca="1" si="34"/>
        <v>#REF!</v>
      </c>
      <c r="I716" s="134" t="e">
        <f t="shared" ca="1" si="35"/>
        <v>#REF!</v>
      </c>
      <c r="J716" s="226"/>
    </row>
    <row r="717" spans="1:10" hidden="1" x14ac:dyDescent="0.25">
      <c r="A717" s="112" t="s">
        <v>779</v>
      </c>
      <c r="B717" s="113" t="s">
        <v>2448</v>
      </c>
      <c r="C717" s="114" t="s">
        <v>2444</v>
      </c>
      <c r="D717" s="114">
        <v>0</v>
      </c>
      <c r="E717" s="133">
        <f ca="1">OFFSET(INDEX(Composições!A:J,MATCH(Orçamentária!A717,Composições!A:A,0),8),2,0)</f>
        <v>2050.8135468999999</v>
      </c>
      <c r="F717" s="134">
        <f t="shared" ca="1" si="33"/>
        <v>0</v>
      </c>
      <c r="G717" s="135" t="e">
        <f>IF(A717&lt;&gt;"",IF(AND(#REF!="Padrão",$H$4=#REF!),BDI!$B$17,IF(AND(#REF!="Padrão",$H$4=#REF!),BDI!#REF!,IF(AND(#REF!="Diferenciado",$H$4=#REF!),BDI!$E$17,IF(AND(#REF!="Diferenciado",$H$4=#REF!),BDI!#REF!,IF(#REF!="ZERO",0))))),"")</f>
        <v>#REF!</v>
      </c>
      <c r="H717" s="136" t="e">
        <f t="shared" ca="1" si="34"/>
        <v>#REF!</v>
      </c>
      <c r="I717" s="134" t="e">
        <f t="shared" ca="1" si="35"/>
        <v>#REF!</v>
      </c>
      <c r="J717" s="226"/>
    </row>
    <row r="718" spans="1:10" hidden="1" x14ac:dyDescent="0.25">
      <c r="A718" s="112" t="s">
        <v>781</v>
      </c>
      <c r="B718" s="113" t="s">
        <v>2449</v>
      </c>
      <c r="C718" s="114" t="s">
        <v>2444</v>
      </c>
      <c r="D718" s="114">
        <v>0</v>
      </c>
      <c r="E718" s="133">
        <f ca="1">OFFSET(INDEX(Composições!A:J,MATCH(Orçamentária!A718,Composições!A:A,0),8),2,0)</f>
        <v>2442.6760771999998</v>
      </c>
      <c r="F718" s="134">
        <f t="shared" ca="1" si="33"/>
        <v>0</v>
      </c>
      <c r="G718" s="135" t="e">
        <f>IF(A718&lt;&gt;"",IF(AND(#REF!="Padrão",$H$4=#REF!),BDI!$B$17,IF(AND(#REF!="Padrão",$H$4=#REF!),BDI!#REF!,IF(AND(#REF!="Diferenciado",$H$4=#REF!),BDI!$E$17,IF(AND(#REF!="Diferenciado",$H$4=#REF!),BDI!#REF!,IF(#REF!="ZERO",0))))),"")</f>
        <v>#REF!</v>
      </c>
      <c r="H718" s="136" t="e">
        <f t="shared" ca="1" si="34"/>
        <v>#REF!</v>
      </c>
      <c r="I718" s="134" t="e">
        <f t="shared" ca="1" si="35"/>
        <v>#REF!</v>
      </c>
      <c r="J718" s="226"/>
    </row>
    <row r="719" spans="1:10" hidden="1" x14ac:dyDescent="0.25">
      <c r="A719" s="112" t="s">
        <v>782</v>
      </c>
      <c r="B719" s="113" t="s">
        <v>2450</v>
      </c>
      <c r="C719" s="114" t="s">
        <v>2444</v>
      </c>
      <c r="D719" s="114">
        <v>0</v>
      </c>
      <c r="E719" s="133">
        <f ca="1">OFFSET(INDEX(Composições!A:J,MATCH(Orçamentária!A719,Composições!A:A,0),8),2,0)</f>
        <v>2442.6760771999998</v>
      </c>
      <c r="F719" s="134">
        <f t="shared" ca="1" si="33"/>
        <v>0</v>
      </c>
      <c r="G719" s="135" t="e">
        <f>IF(A719&lt;&gt;"",IF(AND(#REF!="Padrão",$H$4=#REF!),BDI!$B$17,IF(AND(#REF!="Padrão",$H$4=#REF!),BDI!#REF!,IF(AND(#REF!="Diferenciado",$H$4=#REF!),BDI!$E$17,IF(AND(#REF!="Diferenciado",$H$4=#REF!),BDI!#REF!,IF(#REF!="ZERO",0))))),"")</f>
        <v>#REF!</v>
      </c>
      <c r="H719" s="136" t="e">
        <f t="shared" ca="1" si="34"/>
        <v>#REF!</v>
      </c>
      <c r="I719" s="134" t="e">
        <f t="shared" ca="1" si="35"/>
        <v>#REF!</v>
      </c>
      <c r="J719" s="226"/>
    </row>
    <row r="720" spans="1:10" hidden="1" x14ac:dyDescent="0.25">
      <c r="A720" s="112" t="s">
        <v>783</v>
      </c>
      <c r="B720" s="113" t="s">
        <v>2451</v>
      </c>
      <c r="C720" s="114" t="s">
        <v>2444</v>
      </c>
      <c r="D720" s="114">
        <v>0</v>
      </c>
      <c r="E720" s="133">
        <f ca="1">OFFSET(INDEX(Composições!A:J,MATCH(Orçamentária!A720,Composições!A:A,0),8),2,0)</f>
        <v>2590.8677447499999</v>
      </c>
      <c r="F720" s="134">
        <f t="shared" ca="1" si="33"/>
        <v>0</v>
      </c>
      <c r="G720" s="135" t="e">
        <f>IF(A720&lt;&gt;"",IF(AND(#REF!="Padrão",$H$4=#REF!),BDI!$B$17,IF(AND(#REF!="Padrão",$H$4=#REF!),BDI!#REF!,IF(AND(#REF!="Diferenciado",$H$4=#REF!),BDI!$E$17,IF(AND(#REF!="Diferenciado",$H$4=#REF!),BDI!#REF!,IF(#REF!="ZERO",0))))),"")</f>
        <v>#REF!</v>
      </c>
      <c r="H720" s="136" t="e">
        <f t="shared" ca="1" si="34"/>
        <v>#REF!</v>
      </c>
      <c r="I720" s="134" t="e">
        <f t="shared" ca="1" si="35"/>
        <v>#REF!</v>
      </c>
      <c r="J720" s="226"/>
    </row>
    <row r="721" spans="1:10" hidden="1" x14ac:dyDescent="0.25">
      <c r="A721" s="112" t="s">
        <v>784</v>
      </c>
      <c r="B721" s="113" t="s">
        <v>2452</v>
      </c>
      <c r="C721" s="114" t="s">
        <v>2444</v>
      </c>
      <c r="D721" s="114">
        <v>0</v>
      </c>
      <c r="E721" s="133">
        <f ca="1">OFFSET(INDEX(Composições!A:J,MATCH(Orçamentária!A721,Composições!A:A,0),8),2,0)</f>
        <v>4344.3033815999997</v>
      </c>
      <c r="F721" s="134">
        <f t="shared" ca="1" si="33"/>
        <v>0</v>
      </c>
      <c r="G721" s="135" t="e">
        <f>IF(A721&lt;&gt;"",IF(AND(#REF!="Padrão",$H$4=#REF!),BDI!$B$17,IF(AND(#REF!="Padrão",$H$4=#REF!),BDI!#REF!,IF(AND(#REF!="Diferenciado",$H$4=#REF!),BDI!$E$17,IF(AND(#REF!="Diferenciado",$H$4=#REF!),BDI!#REF!,IF(#REF!="ZERO",0))))),"")</f>
        <v>#REF!</v>
      </c>
      <c r="H721" s="136" t="e">
        <f t="shared" ca="1" si="34"/>
        <v>#REF!</v>
      </c>
      <c r="I721" s="134" t="e">
        <f t="shared" ca="1" si="35"/>
        <v>#REF!</v>
      </c>
      <c r="J721" s="226"/>
    </row>
    <row r="722" spans="1:10" hidden="1" x14ac:dyDescent="0.25">
      <c r="A722" s="112" t="s">
        <v>785</v>
      </c>
      <c r="B722" s="113" t="s">
        <v>2453</v>
      </c>
      <c r="C722" s="114" t="s">
        <v>2444</v>
      </c>
      <c r="D722" s="114">
        <v>0</v>
      </c>
      <c r="E722" s="133">
        <f ca="1">OFFSET(INDEX(Composições!A:J,MATCH(Orçamentária!A722,Composições!A:A,0),8),2,0)</f>
        <v>2605.7863689999995</v>
      </c>
      <c r="F722" s="134">
        <f t="shared" ca="1" si="33"/>
        <v>0</v>
      </c>
      <c r="G722" s="135" t="e">
        <f>IF(A722&lt;&gt;"",IF(AND(#REF!="Padrão",$H$4=#REF!),BDI!$B$17,IF(AND(#REF!="Padrão",$H$4=#REF!),BDI!#REF!,IF(AND(#REF!="Diferenciado",$H$4=#REF!),BDI!$E$17,IF(AND(#REF!="Diferenciado",$H$4=#REF!),BDI!#REF!,IF(#REF!="ZERO",0))))),"")</f>
        <v>#REF!</v>
      </c>
      <c r="H722" s="136" t="e">
        <f t="shared" ca="1" si="34"/>
        <v>#REF!</v>
      </c>
      <c r="I722" s="134" t="e">
        <f t="shared" ca="1" si="35"/>
        <v>#REF!</v>
      </c>
      <c r="J722" s="226"/>
    </row>
    <row r="723" spans="1:10" hidden="1" x14ac:dyDescent="0.25">
      <c r="A723" s="112" t="s">
        <v>2454</v>
      </c>
      <c r="B723" s="113" t="s">
        <v>2455</v>
      </c>
      <c r="C723" s="114" t="s">
        <v>20</v>
      </c>
      <c r="D723" s="114">
        <v>0</v>
      </c>
      <c r="E723" s="133">
        <f ca="1">OFFSET(INDEX(Composições!A:J,MATCH(Orçamentária!A723,Composições!A:A,0),8),2,0)</f>
        <v>47.823</v>
      </c>
      <c r="F723" s="134">
        <f t="shared" ca="1" si="33"/>
        <v>0</v>
      </c>
      <c r="G723" s="135" t="e">
        <f>IF(A723&lt;&gt;"",IF(AND(#REF!="Padrão",$H$4=#REF!),BDI!$B$17,IF(AND(#REF!="Padrão",$H$4=#REF!),BDI!#REF!,IF(AND(#REF!="Diferenciado",$H$4=#REF!),BDI!$E$17,IF(AND(#REF!="Diferenciado",$H$4=#REF!),BDI!#REF!,IF(#REF!="ZERO",0))))),"")</f>
        <v>#REF!</v>
      </c>
      <c r="H723" s="136" t="e">
        <f t="shared" ca="1" si="34"/>
        <v>#REF!</v>
      </c>
      <c r="I723" s="134" t="e">
        <f t="shared" ca="1" si="35"/>
        <v>#REF!</v>
      </c>
      <c r="J723" s="226"/>
    </row>
    <row r="724" spans="1:10" hidden="1" x14ac:dyDescent="0.25">
      <c r="A724" s="112" t="s">
        <v>2456</v>
      </c>
      <c r="B724" s="113" t="s">
        <v>2457</v>
      </c>
      <c r="C724" s="114" t="s">
        <v>20</v>
      </c>
      <c r="D724" s="114">
        <v>0</v>
      </c>
      <c r="E724" s="133" t="s">
        <v>514</v>
      </c>
      <c r="F724" s="134" t="str">
        <f t="shared" si="33"/>
        <v/>
      </c>
      <c r="G724" s="135" t="e">
        <f>IF(A724&lt;&gt;"",IF(AND(#REF!="Padrão",$H$4=#REF!),BDI!$B$17,IF(AND(#REF!="Padrão",$H$4=#REF!),BDI!#REF!,IF(AND(#REF!="Diferenciado",$H$4=#REF!),BDI!$E$17,IF(AND(#REF!="Diferenciado",$H$4=#REF!),BDI!#REF!,IF(#REF!="ZERO",0))))),"")</f>
        <v>#REF!</v>
      </c>
      <c r="H724" s="136" t="str">
        <f t="shared" si="34"/>
        <v/>
      </c>
      <c r="I724" s="134" t="str">
        <f t="shared" si="35"/>
        <v/>
      </c>
      <c r="J724" s="226"/>
    </row>
    <row r="725" spans="1:10" hidden="1" x14ac:dyDescent="0.25">
      <c r="A725" s="112" t="s">
        <v>2458</v>
      </c>
      <c r="B725" s="113" t="s">
        <v>2459</v>
      </c>
      <c r="C725" s="114" t="s">
        <v>20</v>
      </c>
      <c r="D725" s="114">
        <v>0</v>
      </c>
      <c r="E725" s="133" t="s">
        <v>514</v>
      </c>
      <c r="F725" s="134" t="str">
        <f t="shared" si="33"/>
        <v/>
      </c>
      <c r="G725" s="135" t="e">
        <f>IF(A725&lt;&gt;"",IF(AND(#REF!="Padrão",$H$4=#REF!),BDI!$B$17,IF(AND(#REF!="Padrão",$H$4=#REF!),BDI!#REF!,IF(AND(#REF!="Diferenciado",$H$4=#REF!),BDI!$E$17,IF(AND(#REF!="Diferenciado",$H$4=#REF!),BDI!#REF!,IF(#REF!="ZERO",0))))),"")</f>
        <v>#REF!</v>
      </c>
      <c r="H725" s="136" t="str">
        <f t="shared" si="34"/>
        <v/>
      </c>
      <c r="I725" s="134" t="str">
        <f t="shared" si="35"/>
        <v/>
      </c>
      <c r="J725" s="226"/>
    </row>
    <row r="726" spans="1:10" hidden="1" x14ac:dyDescent="0.25">
      <c r="A726" s="112" t="s">
        <v>2460</v>
      </c>
      <c r="B726" s="113" t="s">
        <v>3373</v>
      </c>
      <c r="C726" s="114" t="s">
        <v>20</v>
      </c>
      <c r="D726" s="114">
        <v>0</v>
      </c>
      <c r="E726" s="133" t="s">
        <v>514</v>
      </c>
      <c r="F726" s="134" t="str">
        <f t="shared" si="33"/>
        <v/>
      </c>
      <c r="G726" s="135" t="e">
        <f>IF(A726&lt;&gt;"",IF(AND(#REF!="Padrão",$H$4=#REF!),BDI!$B$17,IF(AND(#REF!="Padrão",$H$4=#REF!),BDI!#REF!,IF(AND(#REF!="Diferenciado",$H$4=#REF!),BDI!$E$17,IF(AND(#REF!="Diferenciado",$H$4=#REF!),BDI!#REF!,IF(#REF!="ZERO",0))))),"")</f>
        <v>#REF!</v>
      </c>
      <c r="H726" s="136" t="str">
        <f t="shared" si="34"/>
        <v/>
      </c>
      <c r="I726" s="134" t="str">
        <f t="shared" si="35"/>
        <v/>
      </c>
      <c r="J726" s="226"/>
    </row>
    <row r="727" spans="1:10" hidden="1" x14ac:dyDescent="0.25">
      <c r="A727" s="112" t="s">
        <v>2461</v>
      </c>
      <c r="B727" s="113" t="s">
        <v>2462</v>
      </c>
      <c r="C727" s="114" t="s">
        <v>20</v>
      </c>
      <c r="D727" s="114">
        <v>0</v>
      </c>
      <c r="E727" s="133" t="s">
        <v>514</v>
      </c>
      <c r="F727" s="134" t="str">
        <f t="shared" si="33"/>
        <v/>
      </c>
      <c r="G727" s="135" t="e">
        <f>IF(A727&lt;&gt;"",IF(AND(#REF!="Padrão",$H$4=#REF!),BDI!$B$17,IF(AND(#REF!="Padrão",$H$4=#REF!),BDI!#REF!,IF(AND(#REF!="Diferenciado",$H$4=#REF!),BDI!$E$17,IF(AND(#REF!="Diferenciado",$H$4=#REF!),BDI!#REF!,IF(#REF!="ZERO",0))))),"")</f>
        <v>#REF!</v>
      </c>
      <c r="H727" s="136" t="str">
        <f t="shared" si="34"/>
        <v/>
      </c>
      <c r="I727" s="134" t="str">
        <f t="shared" si="35"/>
        <v/>
      </c>
      <c r="J727" s="226"/>
    </row>
    <row r="728" spans="1:10" hidden="1" x14ac:dyDescent="0.25">
      <c r="A728" s="112" t="s">
        <v>2463</v>
      </c>
      <c r="B728" s="113" t="s">
        <v>2464</v>
      </c>
      <c r="C728" s="114" t="s">
        <v>20</v>
      </c>
      <c r="D728" s="114">
        <v>0</v>
      </c>
      <c r="E728" s="133" t="s">
        <v>514</v>
      </c>
      <c r="F728" s="134" t="str">
        <f t="shared" si="33"/>
        <v/>
      </c>
      <c r="G728" s="135" t="e">
        <f>IF(A728&lt;&gt;"",IF(AND(#REF!="Padrão",$H$4=#REF!),BDI!$B$17,IF(AND(#REF!="Padrão",$H$4=#REF!),BDI!#REF!,IF(AND(#REF!="Diferenciado",$H$4=#REF!),BDI!$E$17,IF(AND(#REF!="Diferenciado",$H$4=#REF!),BDI!#REF!,IF(#REF!="ZERO",0))))),"")</f>
        <v>#REF!</v>
      </c>
      <c r="H728" s="136" t="str">
        <f t="shared" si="34"/>
        <v/>
      </c>
      <c r="I728" s="134" t="str">
        <f t="shared" si="35"/>
        <v/>
      </c>
      <c r="J728" s="226"/>
    </row>
    <row r="729" spans="1:10" hidden="1" x14ac:dyDescent="0.25">
      <c r="A729" s="112" t="s">
        <v>2465</v>
      </c>
      <c r="B729" s="113" t="s">
        <v>2466</v>
      </c>
      <c r="C729" s="114" t="s">
        <v>20</v>
      </c>
      <c r="D729" s="114">
        <v>0</v>
      </c>
      <c r="E729" s="133" t="s">
        <v>514</v>
      </c>
      <c r="F729" s="134" t="str">
        <f t="shared" si="33"/>
        <v/>
      </c>
      <c r="G729" s="135" t="e">
        <f>IF(A729&lt;&gt;"",IF(AND(#REF!="Padrão",$H$4=#REF!),BDI!$B$17,IF(AND(#REF!="Padrão",$H$4=#REF!),BDI!#REF!,IF(AND(#REF!="Diferenciado",$H$4=#REF!),BDI!$E$17,IF(AND(#REF!="Diferenciado",$H$4=#REF!),BDI!#REF!,IF(#REF!="ZERO",0))))),"")</f>
        <v>#REF!</v>
      </c>
      <c r="H729" s="136" t="str">
        <f t="shared" si="34"/>
        <v/>
      </c>
      <c r="I729" s="134" t="str">
        <f t="shared" si="35"/>
        <v/>
      </c>
      <c r="J729" s="226"/>
    </row>
    <row r="730" spans="1:10" hidden="1" x14ac:dyDescent="0.25">
      <c r="A730" s="112" t="s">
        <v>2467</v>
      </c>
      <c r="B730" s="113" t="s">
        <v>6269</v>
      </c>
      <c r="C730" s="114" t="s">
        <v>20</v>
      </c>
      <c r="D730" s="114">
        <v>0</v>
      </c>
      <c r="E730" s="133" t="s">
        <v>514</v>
      </c>
      <c r="F730" s="134" t="str">
        <f t="shared" si="33"/>
        <v/>
      </c>
      <c r="G730" s="135" t="e">
        <f>IF(A730&lt;&gt;"",IF(AND(#REF!="Padrão",$H$4=#REF!),BDI!$B$17,IF(AND(#REF!="Padrão",$H$4=#REF!),BDI!#REF!,IF(AND(#REF!="Diferenciado",$H$4=#REF!),BDI!$E$17,IF(AND(#REF!="Diferenciado",$H$4=#REF!),BDI!#REF!,IF(#REF!="ZERO",0))))),"")</f>
        <v>#REF!</v>
      </c>
      <c r="H730" s="136" t="str">
        <f t="shared" si="34"/>
        <v/>
      </c>
      <c r="I730" s="134" t="str">
        <f t="shared" si="35"/>
        <v/>
      </c>
      <c r="J730" s="226"/>
    </row>
    <row r="731" spans="1:10" hidden="1" x14ac:dyDescent="0.25">
      <c r="A731" s="112" t="s">
        <v>2468</v>
      </c>
      <c r="B731" s="113" t="s">
        <v>2469</v>
      </c>
      <c r="C731" s="114" t="s">
        <v>20</v>
      </c>
      <c r="D731" s="114">
        <v>0</v>
      </c>
      <c r="E731" s="133" t="s">
        <v>514</v>
      </c>
      <c r="F731" s="134" t="str">
        <f t="shared" si="33"/>
        <v/>
      </c>
      <c r="G731" s="135" t="e">
        <f>IF(A731&lt;&gt;"",IF(AND(#REF!="Padrão",$H$4=#REF!),BDI!$B$17,IF(AND(#REF!="Padrão",$H$4=#REF!),BDI!#REF!,IF(AND(#REF!="Diferenciado",$H$4=#REF!),BDI!$E$17,IF(AND(#REF!="Diferenciado",$H$4=#REF!),BDI!#REF!,IF(#REF!="ZERO",0))))),"")</f>
        <v>#REF!</v>
      </c>
      <c r="H731" s="136" t="str">
        <f t="shared" si="34"/>
        <v/>
      </c>
      <c r="I731" s="134" t="str">
        <f t="shared" si="35"/>
        <v/>
      </c>
      <c r="J731" s="226"/>
    </row>
    <row r="732" spans="1:10" hidden="1" x14ac:dyDescent="0.25">
      <c r="A732" s="112" t="s">
        <v>2470</v>
      </c>
      <c r="B732" s="113" t="s">
        <v>2471</v>
      </c>
      <c r="C732" s="114" t="s">
        <v>20</v>
      </c>
      <c r="D732" s="114">
        <v>0</v>
      </c>
      <c r="E732" s="133" t="s">
        <v>514</v>
      </c>
      <c r="F732" s="134" t="str">
        <f t="shared" si="33"/>
        <v/>
      </c>
      <c r="G732" s="135" t="e">
        <f>IF(A732&lt;&gt;"",IF(AND(#REF!="Padrão",$H$4=#REF!),BDI!$B$17,IF(AND(#REF!="Padrão",$H$4=#REF!),BDI!#REF!,IF(AND(#REF!="Diferenciado",$H$4=#REF!),BDI!$E$17,IF(AND(#REF!="Diferenciado",$H$4=#REF!),BDI!#REF!,IF(#REF!="ZERO",0))))),"")</f>
        <v>#REF!</v>
      </c>
      <c r="H732" s="136" t="str">
        <f t="shared" si="34"/>
        <v/>
      </c>
      <c r="I732" s="134" t="str">
        <f t="shared" si="35"/>
        <v/>
      </c>
      <c r="J732" s="226"/>
    </row>
    <row r="733" spans="1:10" hidden="1" x14ac:dyDescent="0.25">
      <c r="A733" s="112" t="s">
        <v>2472</v>
      </c>
      <c r="B733" s="113" t="s">
        <v>2473</v>
      </c>
      <c r="C733" s="114" t="s">
        <v>20</v>
      </c>
      <c r="D733" s="114">
        <v>0</v>
      </c>
      <c r="E733" s="133">
        <f ca="1">OFFSET(INDEX(Composições!A:J,MATCH(Orçamentária!A733,Composições!A:A,0),8),2,0)</f>
        <v>245.1</v>
      </c>
      <c r="F733" s="134">
        <f t="shared" ca="1" si="33"/>
        <v>0</v>
      </c>
      <c r="G733" s="135" t="e">
        <f>IF(A733&lt;&gt;"",IF(AND(#REF!="Padrão",$H$4=#REF!),BDI!$B$17,IF(AND(#REF!="Padrão",$H$4=#REF!),BDI!#REF!,IF(AND(#REF!="Diferenciado",$H$4=#REF!),BDI!$E$17,IF(AND(#REF!="Diferenciado",$H$4=#REF!),BDI!#REF!,IF(#REF!="ZERO",0))))),"")</f>
        <v>#REF!</v>
      </c>
      <c r="H733" s="136" t="e">
        <f t="shared" ca="1" si="34"/>
        <v>#REF!</v>
      </c>
      <c r="I733" s="134" t="e">
        <f t="shared" ca="1" si="35"/>
        <v>#REF!</v>
      </c>
      <c r="J733" s="226"/>
    </row>
    <row r="734" spans="1:10" hidden="1" x14ac:dyDescent="0.25">
      <c r="A734" s="112" t="s">
        <v>2474</v>
      </c>
      <c r="B734" s="113" t="s">
        <v>2475</v>
      </c>
      <c r="C734" s="114" t="s">
        <v>20</v>
      </c>
      <c r="D734" s="114">
        <v>0</v>
      </c>
      <c r="E734" s="133" t="s">
        <v>514</v>
      </c>
      <c r="F734" s="134" t="str">
        <f t="shared" si="33"/>
        <v/>
      </c>
      <c r="G734" s="135" t="e">
        <f>IF(A734&lt;&gt;"",IF(AND(#REF!="Padrão",$H$4=#REF!),BDI!$B$17,IF(AND(#REF!="Padrão",$H$4=#REF!),BDI!#REF!,IF(AND(#REF!="Diferenciado",$H$4=#REF!),BDI!$E$17,IF(AND(#REF!="Diferenciado",$H$4=#REF!),BDI!#REF!,IF(#REF!="ZERO",0))))),"")</f>
        <v>#REF!</v>
      </c>
      <c r="H734" s="136" t="str">
        <f t="shared" si="34"/>
        <v/>
      </c>
      <c r="I734" s="134" t="str">
        <f t="shared" si="35"/>
        <v/>
      </c>
      <c r="J734" s="226"/>
    </row>
    <row r="735" spans="1:10" hidden="1" x14ac:dyDescent="0.25">
      <c r="A735" s="112" t="s">
        <v>2476</v>
      </c>
      <c r="B735" s="113" t="s">
        <v>2477</v>
      </c>
      <c r="C735" s="114" t="s">
        <v>20</v>
      </c>
      <c r="D735" s="114">
        <v>0</v>
      </c>
      <c r="E735" s="133" t="s">
        <v>514</v>
      </c>
      <c r="F735" s="134" t="str">
        <f t="shared" si="33"/>
        <v/>
      </c>
      <c r="G735" s="135" t="e">
        <f>IF(A735&lt;&gt;"",IF(AND(#REF!="Padrão",$H$4=#REF!),BDI!$B$17,IF(AND(#REF!="Padrão",$H$4=#REF!),BDI!#REF!,IF(AND(#REF!="Diferenciado",$H$4=#REF!),BDI!$E$17,IF(AND(#REF!="Diferenciado",$H$4=#REF!),BDI!#REF!,IF(#REF!="ZERO",0))))),"")</f>
        <v>#REF!</v>
      </c>
      <c r="H735" s="136" t="str">
        <f t="shared" si="34"/>
        <v/>
      </c>
      <c r="I735" s="134" t="str">
        <f t="shared" si="35"/>
        <v/>
      </c>
      <c r="J735" s="226"/>
    </row>
    <row r="736" spans="1:10" hidden="1" x14ac:dyDescent="0.25">
      <c r="A736" s="112" t="s">
        <v>2478</v>
      </c>
      <c r="B736" s="113" t="s">
        <v>6270</v>
      </c>
      <c r="C736" s="114" t="s">
        <v>20</v>
      </c>
      <c r="D736" s="114">
        <v>0</v>
      </c>
      <c r="E736" s="133" t="s">
        <v>514</v>
      </c>
      <c r="F736" s="134" t="str">
        <f t="shared" si="33"/>
        <v/>
      </c>
      <c r="G736" s="135" t="e">
        <f>IF(A736&lt;&gt;"",IF(AND(#REF!="Padrão",$H$4=#REF!),BDI!$B$17,IF(AND(#REF!="Padrão",$H$4=#REF!),BDI!#REF!,IF(AND(#REF!="Diferenciado",$H$4=#REF!),BDI!$E$17,IF(AND(#REF!="Diferenciado",$H$4=#REF!),BDI!#REF!,IF(#REF!="ZERO",0))))),"")</f>
        <v>#REF!</v>
      </c>
      <c r="H736" s="136" t="str">
        <f t="shared" si="34"/>
        <v/>
      </c>
      <c r="I736" s="134" t="str">
        <f t="shared" si="35"/>
        <v/>
      </c>
      <c r="J736" s="226"/>
    </row>
    <row r="737" spans="1:10" hidden="1" x14ac:dyDescent="0.25">
      <c r="A737" s="112" t="s">
        <v>2479</v>
      </c>
      <c r="B737" s="113" t="s">
        <v>2480</v>
      </c>
      <c r="C737" s="114" t="s">
        <v>20</v>
      </c>
      <c r="D737" s="114">
        <v>0</v>
      </c>
      <c r="E737" s="133" t="s">
        <v>514</v>
      </c>
      <c r="F737" s="134" t="str">
        <f t="shared" si="33"/>
        <v/>
      </c>
      <c r="G737" s="135" t="e">
        <f>IF(A737&lt;&gt;"",IF(AND(#REF!="Padrão",$H$4=#REF!),BDI!$B$17,IF(AND(#REF!="Padrão",$H$4=#REF!),BDI!#REF!,IF(AND(#REF!="Diferenciado",$H$4=#REF!),BDI!$E$17,IF(AND(#REF!="Diferenciado",$H$4=#REF!),BDI!#REF!,IF(#REF!="ZERO",0))))),"")</f>
        <v>#REF!</v>
      </c>
      <c r="H737" s="136" t="str">
        <f t="shared" si="34"/>
        <v/>
      </c>
      <c r="I737" s="134" t="str">
        <f t="shared" si="35"/>
        <v/>
      </c>
      <c r="J737" s="226"/>
    </row>
    <row r="738" spans="1:10" hidden="1" x14ac:dyDescent="0.25">
      <c r="A738" s="112" t="s">
        <v>2481</v>
      </c>
      <c r="B738" s="113" t="s">
        <v>2482</v>
      </c>
      <c r="C738" s="114" t="s">
        <v>20</v>
      </c>
      <c r="D738" s="114">
        <v>0</v>
      </c>
      <c r="E738" s="133" t="s">
        <v>514</v>
      </c>
      <c r="F738" s="134" t="str">
        <f t="shared" si="33"/>
        <v/>
      </c>
      <c r="G738" s="135" t="e">
        <f>IF(A738&lt;&gt;"",IF(AND(#REF!="Padrão",$H$4=#REF!),BDI!$B$17,IF(AND(#REF!="Padrão",$H$4=#REF!),BDI!#REF!,IF(AND(#REF!="Diferenciado",$H$4=#REF!),BDI!$E$17,IF(AND(#REF!="Diferenciado",$H$4=#REF!),BDI!#REF!,IF(#REF!="ZERO",0))))),"")</f>
        <v>#REF!</v>
      </c>
      <c r="H738" s="136" t="str">
        <f t="shared" si="34"/>
        <v/>
      </c>
      <c r="I738" s="134" t="str">
        <f t="shared" si="35"/>
        <v/>
      </c>
      <c r="J738" s="226"/>
    </row>
    <row r="739" spans="1:10" hidden="1" x14ac:dyDescent="0.25">
      <c r="A739" s="112" t="s">
        <v>2483</v>
      </c>
      <c r="B739" s="113" t="s">
        <v>2484</v>
      </c>
      <c r="C739" s="114" t="s">
        <v>20</v>
      </c>
      <c r="D739" s="114">
        <v>0</v>
      </c>
      <c r="E739" s="133" t="s">
        <v>514</v>
      </c>
      <c r="F739" s="134" t="str">
        <f t="shared" si="33"/>
        <v/>
      </c>
      <c r="G739" s="135" t="e">
        <f>IF(A739&lt;&gt;"",IF(AND(#REF!="Padrão",$H$4=#REF!),BDI!$B$17,IF(AND(#REF!="Padrão",$H$4=#REF!),BDI!#REF!,IF(AND(#REF!="Diferenciado",$H$4=#REF!),BDI!$E$17,IF(AND(#REF!="Diferenciado",$H$4=#REF!),BDI!#REF!,IF(#REF!="ZERO",0))))),"")</f>
        <v>#REF!</v>
      </c>
      <c r="H739" s="136" t="str">
        <f t="shared" si="34"/>
        <v/>
      </c>
      <c r="I739" s="134" t="str">
        <f t="shared" si="35"/>
        <v/>
      </c>
      <c r="J739" s="226"/>
    </row>
    <row r="740" spans="1:10" hidden="1" x14ac:dyDescent="0.25">
      <c r="A740" s="112" t="s">
        <v>2485</v>
      </c>
      <c r="B740" s="113" t="s">
        <v>6337</v>
      </c>
      <c r="C740" s="114" t="s">
        <v>20</v>
      </c>
      <c r="D740" s="114">
        <v>0</v>
      </c>
      <c r="E740" s="133" t="s">
        <v>514</v>
      </c>
      <c r="F740" s="134" t="str">
        <f t="shared" si="33"/>
        <v/>
      </c>
      <c r="G740" s="135" t="e">
        <f>IF(A740&lt;&gt;"",IF(AND(#REF!="Padrão",$H$4=#REF!),BDI!$B$17,IF(AND(#REF!="Padrão",$H$4=#REF!),BDI!#REF!,IF(AND(#REF!="Diferenciado",$H$4=#REF!),BDI!$E$17,IF(AND(#REF!="Diferenciado",$H$4=#REF!),BDI!#REF!,IF(#REF!="ZERO",0))))),"")</f>
        <v>#REF!</v>
      </c>
      <c r="H740" s="136" t="str">
        <f t="shared" si="34"/>
        <v/>
      </c>
      <c r="I740" s="134" t="str">
        <f t="shared" si="35"/>
        <v/>
      </c>
      <c r="J740" s="226"/>
    </row>
    <row r="741" spans="1:10" hidden="1" x14ac:dyDescent="0.25">
      <c r="A741" s="112" t="s">
        <v>2486</v>
      </c>
      <c r="B741" s="113" t="s">
        <v>2487</v>
      </c>
      <c r="C741" s="114" t="s">
        <v>20</v>
      </c>
      <c r="D741" s="114">
        <v>0</v>
      </c>
      <c r="E741" s="133" t="s">
        <v>514</v>
      </c>
      <c r="F741" s="134" t="str">
        <f t="shared" si="33"/>
        <v/>
      </c>
      <c r="G741" s="135" t="e">
        <f>IF(A741&lt;&gt;"",IF(AND(#REF!="Padrão",$H$4=#REF!),BDI!$B$17,IF(AND(#REF!="Padrão",$H$4=#REF!),BDI!#REF!,IF(AND(#REF!="Diferenciado",$H$4=#REF!),BDI!$E$17,IF(AND(#REF!="Diferenciado",$H$4=#REF!),BDI!#REF!,IF(#REF!="ZERO",0))))),"")</f>
        <v>#REF!</v>
      </c>
      <c r="H741" s="136" t="str">
        <f t="shared" si="34"/>
        <v/>
      </c>
      <c r="I741" s="134" t="str">
        <f t="shared" si="35"/>
        <v/>
      </c>
      <c r="J741" s="226"/>
    </row>
    <row r="742" spans="1:10" hidden="1" x14ac:dyDescent="0.25">
      <c r="A742" s="112" t="s">
        <v>2488</v>
      </c>
      <c r="B742" s="113" t="s">
        <v>2489</v>
      </c>
      <c r="C742" s="114" t="s">
        <v>20</v>
      </c>
      <c r="D742" s="114">
        <v>0</v>
      </c>
      <c r="E742" s="133">
        <f ca="1">OFFSET(INDEX(Composições!A:J,MATCH(Orçamentária!A742,Composições!A:A,0),8),2,0)</f>
        <v>60.714499999999994</v>
      </c>
      <c r="F742" s="134">
        <f t="shared" ca="1" si="33"/>
        <v>0</v>
      </c>
      <c r="G742" s="135" t="e">
        <f>IF(A742&lt;&gt;"",IF(AND(#REF!="Padrão",$H$4=#REF!),BDI!$B$17,IF(AND(#REF!="Padrão",$H$4=#REF!),BDI!#REF!,IF(AND(#REF!="Diferenciado",$H$4=#REF!),BDI!$E$17,IF(AND(#REF!="Diferenciado",$H$4=#REF!),BDI!#REF!,IF(#REF!="ZERO",0))))),"")</f>
        <v>#REF!</v>
      </c>
      <c r="H742" s="136" t="e">
        <f t="shared" ca="1" si="34"/>
        <v>#REF!</v>
      </c>
      <c r="I742" s="134" t="e">
        <f t="shared" ca="1" si="35"/>
        <v>#REF!</v>
      </c>
      <c r="J742" s="226"/>
    </row>
    <row r="743" spans="1:10" hidden="1" x14ac:dyDescent="0.25">
      <c r="A743" s="112" t="s">
        <v>2490</v>
      </c>
      <c r="B743" s="113" t="s">
        <v>6271</v>
      </c>
      <c r="C743" s="114" t="s">
        <v>20</v>
      </c>
      <c r="D743" s="114">
        <v>0</v>
      </c>
      <c r="E743" s="133" t="s">
        <v>514</v>
      </c>
      <c r="F743" s="134" t="str">
        <f t="shared" si="33"/>
        <v/>
      </c>
      <c r="G743" s="135" t="e">
        <f>IF(A743&lt;&gt;"",IF(AND(#REF!="Padrão",$H$4=#REF!),BDI!$B$17,IF(AND(#REF!="Padrão",$H$4=#REF!),BDI!#REF!,IF(AND(#REF!="Diferenciado",$H$4=#REF!),BDI!$E$17,IF(AND(#REF!="Diferenciado",$H$4=#REF!),BDI!#REF!,IF(#REF!="ZERO",0))))),"")</f>
        <v>#REF!</v>
      </c>
      <c r="H743" s="136" t="str">
        <f t="shared" si="34"/>
        <v/>
      </c>
      <c r="I743" s="134" t="str">
        <f t="shared" si="35"/>
        <v/>
      </c>
      <c r="J743" s="226"/>
    </row>
    <row r="744" spans="1:10" hidden="1" x14ac:dyDescent="0.25">
      <c r="A744" s="112" t="s">
        <v>2491</v>
      </c>
      <c r="B744" s="113" t="s">
        <v>2492</v>
      </c>
      <c r="C744" s="114" t="s">
        <v>20</v>
      </c>
      <c r="D744" s="114">
        <v>0</v>
      </c>
      <c r="E744" s="133" t="s">
        <v>514</v>
      </c>
      <c r="F744" s="134" t="str">
        <f t="shared" si="33"/>
        <v/>
      </c>
      <c r="G744" s="135" t="e">
        <f>IF(A744&lt;&gt;"",IF(AND(#REF!="Padrão",$H$4=#REF!),BDI!$B$17,IF(AND(#REF!="Padrão",$H$4=#REF!),BDI!#REF!,IF(AND(#REF!="Diferenciado",$H$4=#REF!),BDI!$E$17,IF(AND(#REF!="Diferenciado",$H$4=#REF!),BDI!#REF!,IF(#REF!="ZERO",0))))),"")</f>
        <v>#REF!</v>
      </c>
      <c r="H744" s="136" t="str">
        <f t="shared" si="34"/>
        <v/>
      </c>
      <c r="I744" s="134" t="str">
        <f t="shared" si="35"/>
        <v/>
      </c>
      <c r="J744" s="226"/>
    </row>
    <row r="745" spans="1:10" hidden="1" x14ac:dyDescent="0.25">
      <c r="A745" s="112" t="s">
        <v>2493</v>
      </c>
      <c r="B745" s="113" t="s">
        <v>2494</v>
      </c>
      <c r="C745" s="114" t="s">
        <v>20</v>
      </c>
      <c r="D745" s="114">
        <v>0</v>
      </c>
      <c r="E745" s="133" t="s">
        <v>514</v>
      </c>
      <c r="F745" s="134" t="str">
        <f t="shared" si="33"/>
        <v/>
      </c>
      <c r="G745" s="135" t="e">
        <f>IF(A745&lt;&gt;"",IF(AND(#REF!="Padrão",$H$4=#REF!),BDI!$B$17,IF(AND(#REF!="Padrão",$H$4=#REF!),BDI!#REF!,IF(AND(#REF!="Diferenciado",$H$4=#REF!),BDI!$E$17,IF(AND(#REF!="Diferenciado",$H$4=#REF!),BDI!#REF!,IF(#REF!="ZERO",0))))),"")</f>
        <v>#REF!</v>
      </c>
      <c r="H745" s="136" t="str">
        <f t="shared" si="34"/>
        <v/>
      </c>
      <c r="I745" s="134" t="str">
        <f t="shared" si="35"/>
        <v/>
      </c>
      <c r="J745" s="226"/>
    </row>
    <row r="746" spans="1:10" hidden="1" x14ac:dyDescent="0.25">
      <c r="A746" s="112" t="s">
        <v>2495</v>
      </c>
      <c r="B746" s="113" t="s">
        <v>2496</v>
      </c>
      <c r="C746" s="114" t="s">
        <v>20</v>
      </c>
      <c r="D746" s="114">
        <v>0</v>
      </c>
      <c r="E746" s="133" t="s">
        <v>514</v>
      </c>
      <c r="F746" s="134" t="str">
        <f t="shared" si="33"/>
        <v/>
      </c>
      <c r="G746" s="135" t="e">
        <f>IF(A746&lt;&gt;"",IF(AND(#REF!="Padrão",$H$4=#REF!),BDI!$B$17,IF(AND(#REF!="Padrão",$H$4=#REF!),BDI!#REF!,IF(AND(#REF!="Diferenciado",$H$4=#REF!),BDI!$E$17,IF(AND(#REF!="Diferenciado",$H$4=#REF!),BDI!#REF!,IF(#REF!="ZERO",0))))),"")</f>
        <v>#REF!</v>
      </c>
      <c r="H746" s="136" t="str">
        <f t="shared" si="34"/>
        <v/>
      </c>
      <c r="I746" s="134" t="str">
        <f t="shared" si="35"/>
        <v/>
      </c>
      <c r="J746" s="226"/>
    </row>
    <row r="747" spans="1:10" hidden="1" x14ac:dyDescent="0.25">
      <c r="A747" s="112" t="s">
        <v>2497</v>
      </c>
      <c r="B747" s="113" t="s">
        <v>2498</v>
      </c>
      <c r="C747" s="114" t="s">
        <v>20</v>
      </c>
      <c r="D747" s="114">
        <v>0</v>
      </c>
      <c r="E747" s="133" t="s">
        <v>514</v>
      </c>
      <c r="F747" s="134" t="str">
        <f t="shared" si="33"/>
        <v/>
      </c>
      <c r="G747" s="135" t="e">
        <f>IF(A747&lt;&gt;"",IF(AND(#REF!="Padrão",$H$4=#REF!),BDI!$B$17,IF(AND(#REF!="Padrão",$H$4=#REF!),BDI!#REF!,IF(AND(#REF!="Diferenciado",$H$4=#REF!),BDI!$E$17,IF(AND(#REF!="Diferenciado",$H$4=#REF!),BDI!#REF!,IF(#REF!="ZERO",0))))),"")</f>
        <v>#REF!</v>
      </c>
      <c r="H747" s="136" t="str">
        <f t="shared" si="34"/>
        <v/>
      </c>
      <c r="I747" s="134" t="str">
        <f t="shared" si="35"/>
        <v/>
      </c>
      <c r="J747" s="226"/>
    </row>
    <row r="748" spans="1:10" hidden="1" x14ac:dyDescent="0.25">
      <c r="A748" s="112" t="s">
        <v>2499</v>
      </c>
      <c r="B748" s="113" t="s">
        <v>2500</v>
      </c>
      <c r="C748" s="114" t="s">
        <v>20</v>
      </c>
      <c r="D748" s="114">
        <v>0</v>
      </c>
      <c r="E748" s="133" t="s">
        <v>514</v>
      </c>
      <c r="F748" s="134" t="str">
        <f t="shared" si="33"/>
        <v/>
      </c>
      <c r="G748" s="135" t="e">
        <f>IF(A748&lt;&gt;"",IF(AND(#REF!="Padrão",$H$4=#REF!),BDI!$B$17,IF(AND(#REF!="Padrão",$H$4=#REF!),BDI!#REF!,IF(AND(#REF!="Diferenciado",$H$4=#REF!),BDI!$E$17,IF(AND(#REF!="Diferenciado",$H$4=#REF!),BDI!#REF!,IF(#REF!="ZERO",0))))),"")</f>
        <v>#REF!</v>
      </c>
      <c r="H748" s="136" t="str">
        <f t="shared" si="34"/>
        <v/>
      </c>
      <c r="I748" s="134" t="str">
        <f t="shared" si="35"/>
        <v/>
      </c>
      <c r="J748" s="226"/>
    </row>
    <row r="749" spans="1:10" hidden="1" x14ac:dyDescent="0.25">
      <c r="A749" s="112" t="s">
        <v>2501</v>
      </c>
      <c r="B749" s="113" t="s">
        <v>2502</v>
      </c>
      <c r="C749" s="114" t="s">
        <v>20</v>
      </c>
      <c r="D749" s="114">
        <v>0</v>
      </c>
      <c r="E749" s="133" t="s">
        <v>514</v>
      </c>
      <c r="F749" s="134" t="str">
        <f t="shared" si="33"/>
        <v/>
      </c>
      <c r="G749" s="135" t="e">
        <f>IF(A749&lt;&gt;"",IF(AND(#REF!="Padrão",$H$4=#REF!),BDI!$B$17,IF(AND(#REF!="Padrão",$H$4=#REF!),BDI!#REF!,IF(AND(#REF!="Diferenciado",$H$4=#REF!),BDI!$E$17,IF(AND(#REF!="Diferenciado",$H$4=#REF!),BDI!#REF!,IF(#REF!="ZERO",0))))),"")</f>
        <v>#REF!</v>
      </c>
      <c r="H749" s="136" t="str">
        <f t="shared" si="34"/>
        <v/>
      </c>
      <c r="I749" s="134" t="str">
        <f t="shared" si="35"/>
        <v/>
      </c>
      <c r="J749" s="226"/>
    </row>
    <row r="750" spans="1:10" hidden="1" x14ac:dyDescent="0.25">
      <c r="A750" s="112" t="s">
        <v>2503</v>
      </c>
      <c r="B750" s="113" t="s">
        <v>2504</v>
      </c>
      <c r="C750" s="114" t="s">
        <v>20</v>
      </c>
      <c r="D750" s="114">
        <v>0</v>
      </c>
      <c r="E750" s="133">
        <f ca="1">OFFSET(INDEX(Composições!A:J,MATCH(Orçamentária!A750,Composições!A:A,0),8),2,0)</f>
        <v>24.519499999999997</v>
      </c>
      <c r="F750" s="134">
        <f t="shared" ca="1" si="33"/>
        <v>0</v>
      </c>
      <c r="G750" s="135" t="e">
        <f>IF(A750&lt;&gt;"",IF(AND(#REF!="Padrão",$H$4=#REF!),BDI!$B$17,IF(AND(#REF!="Padrão",$H$4=#REF!),BDI!#REF!,IF(AND(#REF!="Diferenciado",$H$4=#REF!),BDI!$E$17,IF(AND(#REF!="Diferenciado",$H$4=#REF!),BDI!#REF!,IF(#REF!="ZERO",0))))),"")</f>
        <v>#REF!</v>
      </c>
      <c r="H750" s="136" t="e">
        <f t="shared" ca="1" si="34"/>
        <v>#REF!</v>
      </c>
      <c r="I750" s="134" t="e">
        <f t="shared" ca="1" si="35"/>
        <v>#REF!</v>
      </c>
      <c r="J750" s="226"/>
    </row>
    <row r="751" spans="1:10" hidden="1" x14ac:dyDescent="0.25">
      <c r="A751" s="112" t="s">
        <v>2505</v>
      </c>
      <c r="B751" s="113" t="s">
        <v>6272</v>
      </c>
      <c r="C751" s="114" t="s">
        <v>20</v>
      </c>
      <c r="D751" s="114">
        <v>0</v>
      </c>
      <c r="E751" s="133">
        <f ca="1">OFFSET(INDEX(Composições!A:J,MATCH(Orçamentária!A751,Composições!A:A,0),8),2,0)</f>
        <v>38.959499999999998</v>
      </c>
      <c r="F751" s="134">
        <f t="shared" ca="1" si="33"/>
        <v>0</v>
      </c>
      <c r="G751" s="135" t="e">
        <f>IF(A751&lt;&gt;"",IF(AND(#REF!="Padrão",$H$4=#REF!),BDI!$B$17,IF(AND(#REF!="Padrão",$H$4=#REF!),BDI!#REF!,IF(AND(#REF!="Diferenciado",$H$4=#REF!),BDI!$E$17,IF(AND(#REF!="Diferenciado",$H$4=#REF!),BDI!#REF!,IF(#REF!="ZERO",0))))),"")</f>
        <v>#REF!</v>
      </c>
      <c r="H751" s="136" t="e">
        <f t="shared" ca="1" si="34"/>
        <v>#REF!</v>
      </c>
      <c r="I751" s="134" t="e">
        <f t="shared" ca="1" si="35"/>
        <v>#REF!</v>
      </c>
      <c r="J751" s="226"/>
    </row>
    <row r="752" spans="1:10" hidden="1" x14ac:dyDescent="0.25">
      <c r="A752" s="112" t="s">
        <v>2506</v>
      </c>
      <c r="B752" s="113" t="s">
        <v>2507</v>
      </c>
      <c r="C752" s="114" t="s">
        <v>20</v>
      </c>
      <c r="D752" s="114">
        <v>0</v>
      </c>
      <c r="E752" s="133" t="s">
        <v>514</v>
      </c>
      <c r="F752" s="134" t="str">
        <f t="shared" si="33"/>
        <v/>
      </c>
      <c r="G752" s="135" t="e">
        <f>IF(A752&lt;&gt;"",IF(AND(#REF!="Padrão",$H$4=#REF!),BDI!$B$17,IF(AND(#REF!="Padrão",$H$4=#REF!),BDI!#REF!,IF(AND(#REF!="Diferenciado",$H$4=#REF!),BDI!$E$17,IF(AND(#REF!="Diferenciado",$H$4=#REF!),BDI!#REF!,IF(#REF!="ZERO",0))))),"")</f>
        <v>#REF!</v>
      </c>
      <c r="H752" s="136" t="str">
        <f t="shared" si="34"/>
        <v/>
      </c>
      <c r="I752" s="134" t="str">
        <f t="shared" si="35"/>
        <v/>
      </c>
      <c r="J752" s="226"/>
    </row>
    <row r="753" spans="1:10" hidden="1" x14ac:dyDescent="0.25">
      <c r="A753" s="112" t="s">
        <v>2508</v>
      </c>
      <c r="B753" s="113" t="s">
        <v>2509</v>
      </c>
      <c r="C753" s="114" t="s">
        <v>20</v>
      </c>
      <c r="D753" s="114">
        <v>0</v>
      </c>
      <c r="E753" s="133" t="s">
        <v>514</v>
      </c>
      <c r="F753" s="134" t="str">
        <f t="shared" si="33"/>
        <v/>
      </c>
      <c r="G753" s="135" t="e">
        <f>IF(A753&lt;&gt;"",IF(AND(#REF!="Padrão",$H$4=#REF!),BDI!$B$17,IF(AND(#REF!="Padrão",$H$4=#REF!),BDI!#REF!,IF(AND(#REF!="Diferenciado",$H$4=#REF!),BDI!$E$17,IF(AND(#REF!="Diferenciado",$H$4=#REF!),BDI!#REF!,IF(#REF!="ZERO",0))))),"")</f>
        <v>#REF!</v>
      </c>
      <c r="H753" s="136" t="str">
        <f t="shared" si="34"/>
        <v/>
      </c>
      <c r="I753" s="134" t="str">
        <f t="shared" si="35"/>
        <v/>
      </c>
      <c r="J753" s="226"/>
    </row>
    <row r="754" spans="1:10" hidden="1" x14ac:dyDescent="0.25">
      <c r="A754" s="112" t="s">
        <v>2510</v>
      </c>
      <c r="B754" s="113" t="s">
        <v>2511</v>
      </c>
      <c r="C754" s="114" t="s">
        <v>20</v>
      </c>
      <c r="D754" s="114">
        <v>0</v>
      </c>
      <c r="E754" s="133" t="s">
        <v>514</v>
      </c>
      <c r="F754" s="134" t="str">
        <f t="shared" si="33"/>
        <v/>
      </c>
      <c r="G754" s="135" t="e">
        <f>IF(A754&lt;&gt;"",IF(AND(#REF!="Padrão",$H$4=#REF!),BDI!$B$17,IF(AND(#REF!="Padrão",$H$4=#REF!),BDI!#REF!,IF(AND(#REF!="Diferenciado",$H$4=#REF!),BDI!$E$17,IF(AND(#REF!="Diferenciado",$H$4=#REF!),BDI!#REF!,IF(#REF!="ZERO",0))))),"")</f>
        <v>#REF!</v>
      </c>
      <c r="H754" s="136" t="str">
        <f t="shared" si="34"/>
        <v/>
      </c>
      <c r="I754" s="134" t="str">
        <f t="shared" si="35"/>
        <v/>
      </c>
      <c r="J754" s="226"/>
    </row>
    <row r="755" spans="1:10" hidden="1" x14ac:dyDescent="0.25">
      <c r="A755" s="112" t="s">
        <v>2512</v>
      </c>
      <c r="B755" s="113" t="s">
        <v>2513</v>
      </c>
      <c r="C755" s="114" t="s">
        <v>20</v>
      </c>
      <c r="D755" s="114">
        <v>0</v>
      </c>
      <c r="E755" s="133" t="s">
        <v>514</v>
      </c>
      <c r="F755" s="134" t="str">
        <f t="shared" si="33"/>
        <v/>
      </c>
      <c r="G755" s="135" t="e">
        <f>IF(A755&lt;&gt;"",IF(AND(#REF!="Padrão",$H$4=#REF!),BDI!$B$17,IF(AND(#REF!="Padrão",$H$4=#REF!),BDI!#REF!,IF(AND(#REF!="Diferenciado",$H$4=#REF!),BDI!$E$17,IF(AND(#REF!="Diferenciado",$H$4=#REF!),BDI!#REF!,IF(#REF!="ZERO",0))))),"")</f>
        <v>#REF!</v>
      </c>
      <c r="H755" s="136" t="str">
        <f t="shared" si="34"/>
        <v/>
      </c>
      <c r="I755" s="134" t="str">
        <f t="shared" si="35"/>
        <v/>
      </c>
      <c r="J755" s="226"/>
    </row>
    <row r="756" spans="1:10" hidden="1" x14ac:dyDescent="0.25">
      <c r="A756" s="112" t="s">
        <v>2514</v>
      </c>
      <c r="B756" s="113" t="s">
        <v>2515</v>
      </c>
      <c r="C756" s="114" t="s">
        <v>20</v>
      </c>
      <c r="D756" s="114">
        <v>0</v>
      </c>
      <c r="E756" s="133" t="s">
        <v>514</v>
      </c>
      <c r="F756" s="134" t="str">
        <f t="shared" si="33"/>
        <v/>
      </c>
      <c r="G756" s="135" t="e">
        <f>IF(A756&lt;&gt;"",IF(AND(#REF!="Padrão",$H$4=#REF!),BDI!$B$17,IF(AND(#REF!="Padrão",$H$4=#REF!),BDI!#REF!,IF(AND(#REF!="Diferenciado",$H$4=#REF!),BDI!$E$17,IF(AND(#REF!="Diferenciado",$H$4=#REF!),BDI!#REF!,IF(#REF!="ZERO",0))))),"")</f>
        <v>#REF!</v>
      </c>
      <c r="H756" s="136" t="str">
        <f t="shared" si="34"/>
        <v/>
      </c>
      <c r="I756" s="134" t="str">
        <f t="shared" si="35"/>
        <v/>
      </c>
      <c r="J756" s="226"/>
    </row>
    <row r="757" spans="1:10" hidden="1" x14ac:dyDescent="0.25">
      <c r="A757" s="112" t="s">
        <v>2516</v>
      </c>
      <c r="B757" s="113" t="s">
        <v>2517</v>
      </c>
      <c r="C757" s="114" t="s">
        <v>20</v>
      </c>
      <c r="D757" s="114">
        <v>0</v>
      </c>
      <c r="E757" s="133" t="s">
        <v>514</v>
      </c>
      <c r="F757" s="134" t="str">
        <f t="shared" si="33"/>
        <v/>
      </c>
      <c r="G757" s="135" t="e">
        <f>IF(A757&lt;&gt;"",IF(AND(#REF!="Padrão",$H$4=#REF!),BDI!$B$17,IF(AND(#REF!="Padrão",$H$4=#REF!),BDI!#REF!,IF(AND(#REF!="Diferenciado",$H$4=#REF!),BDI!$E$17,IF(AND(#REF!="Diferenciado",$H$4=#REF!),BDI!#REF!,IF(#REF!="ZERO",0))))),"")</f>
        <v>#REF!</v>
      </c>
      <c r="H757" s="136" t="str">
        <f t="shared" si="34"/>
        <v/>
      </c>
      <c r="I757" s="134" t="str">
        <f t="shared" si="35"/>
        <v/>
      </c>
      <c r="J757" s="226"/>
    </row>
    <row r="758" spans="1:10" hidden="1" x14ac:dyDescent="0.25">
      <c r="A758" s="112" t="s">
        <v>2518</v>
      </c>
      <c r="B758" s="113" t="s">
        <v>2519</v>
      </c>
      <c r="C758" s="114" t="s">
        <v>20</v>
      </c>
      <c r="D758" s="114">
        <v>0</v>
      </c>
      <c r="E758" s="133" t="s">
        <v>514</v>
      </c>
      <c r="F758" s="134" t="str">
        <f t="shared" si="33"/>
        <v/>
      </c>
      <c r="G758" s="135" t="e">
        <f>IF(A758&lt;&gt;"",IF(AND(#REF!="Padrão",$H$4=#REF!),BDI!$B$17,IF(AND(#REF!="Padrão",$H$4=#REF!),BDI!#REF!,IF(AND(#REF!="Diferenciado",$H$4=#REF!),BDI!$E$17,IF(AND(#REF!="Diferenciado",$H$4=#REF!),BDI!#REF!,IF(#REF!="ZERO",0))))),"")</f>
        <v>#REF!</v>
      </c>
      <c r="H758" s="136" t="str">
        <f t="shared" si="34"/>
        <v/>
      </c>
      <c r="I758" s="134" t="str">
        <f t="shared" si="35"/>
        <v/>
      </c>
      <c r="J758" s="226"/>
    </row>
    <row r="759" spans="1:10" hidden="1" x14ac:dyDescent="0.25">
      <c r="A759" s="112" t="s">
        <v>2520</v>
      </c>
      <c r="B759" s="113" t="s">
        <v>2521</v>
      </c>
      <c r="C759" s="114" t="s">
        <v>20</v>
      </c>
      <c r="D759" s="114">
        <v>0</v>
      </c>
      <c r="E759" s="133" t="s">
        <v>514</v>
      </c>
      <c r="F759" s="134" t="str">
        <f t="shared" si="33"/>
        <v/>
      </c>
      <c r="G759" s="135" t="e">
        <f>IF(A759&lt;&gt;"",IF(AND(#REF!="Padrão",$H$4=#REF!),BDI!$B$17,IF(AND(#REF!="Padrão",$H$4=#REF!),BDI!#REF!,IF(AND(#REF!="Diferenciado",$H$4=#REF!),BDI!$E$17,IF(AND(#REF!="Diferenciado",$H$4=#REF!),BDI!#REF!,IF(#REF!="ZERO",0))))),"")</f>
        <v>#REF!</v>
      </c>
      <c r="H759" s="136" t="str">
        <f t="shared" si="34"/>
        <v/>
      </c>
      <c r="I759" s="134" t="str">
        <f t="shared" si="35"/>
        <v/>
      </c>
      <c r="J759" s="226"/>
    </row>
    <row r="760" spans="1:10" hidden="1" x14ac:dyDescent="0.25">
      <c r="A760" s="112" t="s">
        <v>2522</v>
      </c>
      <c r="B760" s="113" t="s">
        <v>2523</v>
      </c>
      <c r="C760" s="114" t="s">
        <v>20</v>
      </c>
      <c r="D760" s="114">
        <v>0</v>
      </c>
      <c r="E760" s="133" t="s">
        <v>514</v>
      </c>
      <c r="F760" s="134" t="str">
        <f t="shared" si="33"/>
        <v/>
      </c>
      <c r="G760" s="135" t="e">
        <f>IF(A760&lt;&gt;"",IF(AND(#REF!="Padrão",$H$4=#REF!),BDI!$B$17,IF(AND(#REF!="Padrão",$H$4=#REF!),BDI!#REF!,IF(AND(#REF!="Diferenciado",$H$4=#REF!),BDI!$E$17,IF(AND(#REF!="Diferenciado",$H$4=#REF!),BDI!#REF!,IF(#REF!="ZERO",0))))),"")</f>
        <v>#REF!</v>
      </c>
      <c r="H760" s="136" t="str">
        <f t="shared" si="34"/>
        <v/>
      </c>
      <c r="I760" s="134" t="str">
        <f t="shared" si="35"/>
        <v/>
      </c>
      <c r="J760" s="226"/>
    </row>
    <row r="761" spans="1:10" hidden="1" x14ac:dyDescent="0.25">
      <c r="A761" s="112" t="s">
        <v>2524</v>
      </c>
      <c r="B761" s="113" t="s">
        <v>2525</v>
      </c>
      <c r="C761" s="114" t="s">
        <v>20</v>
      </c>
      <c r="D761" s="114">
        <v>0</v>
      </c>
      <c r="E761" s="133" t="s">
        <v>514</v>
      </c>
      <c r="F761" s="134" t="str">
        <f t="shared" si="33"/>
        <v/>
      </c>
      <c r="G761" s="135" t="e">
        <f>IF(A761&lt;&gt;"",IF(AND(#REF!="Padrão",$H$4=#REF!),BDI!$B$17,IF(AND(#REF!="Padrão",$H$4=#REF!),BDI!#REF!,IF(AND(#REF!="Diferenciado",$H$4=#REF!),BDI!$E$17,IF(AND(#REF!="Diferenciado",$H$4=#REF!),BDI!#REF!,IF(#REF!="ZERO",0))))),"")</f>
        <v>#REF!</v>
      </c>
      <c r="H761" s="136" t="str">
        <f t="shared" si="34"/>
        <v/>
      </c>
      <c r="I761" s="134" t="str">
        <f t="shared" si="35"/>
        <v/>
      </c>
      <c r="J761" s="226"/>
    </row>
    <row r="762" spans="1:10" hidden="1" x14ac:dyDescent="0.25">
      <c r="A762" s="112" t="s">
        <v>2526</v>
      </c>
      <c r="B762" s="113" t="s">
        <v>2527</v>
      </c>
      <c r="C762" s="114" t="s">
        <v>20</v>
      </c>
      <c r="D762" s="114">
        <v>0</v>
      </c>
      <c r="E762" s="133" t="s">
        <v>514</v>
      </c>
      <c r="F762" s="134" t="str">
        <f t="shared" si="33"/>
        <v/>
      </c>
      <c r="G762" s="135" t="e">
        <f>IF(A762&lt;&gt;"",IF(AND(#REF!="Padrão",$H$4=#REF!),BDI!$B$17,IF(AND(#REF!="Padrão",$H$4=#REF!),BDI!#REF!,IF(AND(#REF!="Diferenciado",$H$4=#REF!),BDI!$E$17,IF(AND(#REF!="Diferenciado",$H$4=#REF!),BDI!#REF!,IF(#REF!="ZERO",0))))),"")</f>
        <v>#REF!</v>
      </c>
      <c r="H762" s="136" t="str">
        <f t="shared" si="34"/>
        <v/>
      </c>
      <c r="I762" s="134" t="str">
        <f t="shared" si="35"/>
        <v/>
      </c>
      <c r="J762" s="226"/>
    </row>
    <row r="763" spans="1:10" hidden="1" x14ac:dyDescent="0.25">
      <c r="A763" s="112" t="s">
        <v>2528</v>
      </c>
      <c r="B763" s="113" t="s">
        <v>2529</v>
      </c>
      <c r="C763" s="114" t="s">
        <v>20</v>
      </c>
      <c r="D763" s="114">
        <v>0</v>
      </c>
      <c r="E763" s="133" t="s">
        <v>514</v>
      </c>
      <c r="F763" s="134" t="str">
        <f t="shared" si="33"/>
        <v/>
      </c>
      <c r="G763" s="135" t="e">
        <f>IF(A763&lt;&gt;"",IF(AND(#REF!="Padrão",$H$4=#REF!),BDI!$B$17,IF(AND(#REF!="Padrão",$H$4=#REF!),BDI!#REF!,IF(AND(#REF!="Diferenciado",$H$4=#REF!),BDI!$E$17,IF(AND(#REF!="Diferenciado",$H$4=#REF!),BDI!#REF!,IF(#REF!="ZERO",0))))),"")</f>
        <v>#REF!</v>
      </c>
      <c r="H763" s="136" t="str">
        <f t="shared" si="34"/>
        <v/>
      </c>
      <c r="I763" s="134" t="str">
        <f t="shared" si="35"/>
        <v/>
      </c>
      <c r="J763" s="226"/>
    </row>
    <row r="764" spans="1:10" hidden="1" x14ac:dyDescent="0.25">
      <c r="A764" s="112" t="s">
        <v>2530</v>
      </c>
      <c r="B764" s="113" t="s">
        <v>2531</v>
      </c>
      <c r="C764" s="114" t="s">
        <v>20</v>
      </c>
      <c r="D764" s="114">
        <v>0</v>
      </c>
      <c r="E764" s="133" t="s">
        <v>514</v>
      </c>
      <c r="F764" s="134" t="str">
        <f t="shared" si="33"/>
        <v/>
      </c>
      <c r="G764" s="135" t="e">
        <f>IF(A764&lt;&gt;"",IF(AND(#REF!="Padrão",$H$4=#REF!),BDI!$B$17,IF(AND(#REF!="Padrão",$H$4=#REF!),BDI!#REF!,IF(AND(#REF!="Diferenciado",$H$4=#REF!),BDI!$E$17,IF(AND(#REF!="Diferenciado",$H$4=#REF!),BDI!#REF!,IF(#REF!="ZERO",0))))),"")</f>
        <v>#REF!</v>
      </c>
      <c r="H764" s="136" t="str">
        <f t="shared" si="34"/>
        <v/>
      </c>
      <c r="I764" s="134" t="str">
        <f t="shared" si="35"/>
        <v/>
      </c>
      <c r="J764" s="226"/>
    </row>
    <row r="765" spans="1:10" hidden="1" x14ac:dyDescent="0.25">
      <c r="A765" s="112" t="s">
        <v>2532</v>
      </c>
      <c r="B765" s="113" t="s">
        <v>6273</v>
      </c>
      <c r="C765" s="114" t="s">
        <v>20</v>
      </c>
      <c r="D765" s="114">
        <v>0</v>
      </c>
      <c r="E765" s="133" t="s">
        <v>514</v>
      </c>
      <c r="F765" s="134" t="str">
        <f t="shared" si="33"/>
        <v/>
      </c>
      <c r="G765" s="135" t="e">
        <f>IF(A765&lt;&gt;"",IF(AND(#REF!="Padrão",$H$4=#REF!),BDI!$B$17,IF(AND(#REF!="Padrão",$H$4=#REF!),BDI!#REF!,IF(AND(#REF!="Diferenciado",$H$4=#REF!),BDI!$E$17,IF(AND(#REF!="Diferenciado",$H$4=#REF!),BDI!#REF!,IF(#REF!="ZERO",0))))),"")</f>
        <v>#REF!</v>
      </c>
      <c r="H765" s="136" t="str">
        <f t="shared" si="34"/>
        <v/>
      </c>
      <c r="I765" s="134" t="str">
        <f t="shared" si="35"/>
        <v/>
      </c>
      <c r="J765" s="226"/>
    </row>
    <row r="766" spans="1:10" hidden="1" x14ac:dyDescent="0.25">
      <c r="A766" s="112" t="s">
        <v>2533</v>
      </c>
      <c r="B766" s="113" t="s">
        <v>2534</v>
      </c>
      <c r="C766" s="114" t="s">
        <v>20</v>
      </c>
      <c r="D766" s="114">
        <v>0</v>
      </c>
      <c r="E766" s="133" t="s">
        <v>514</v>
      </c>
      <c r="F766" s="134" t="str">
        <f t="shared" si="33"/>
        <v/>
      </c>
      <c r="G766" s="135" t="e">
        <f>IF(A766&lt;&gt;"",IF(AND(#REF!="Padrão",$H$4=#REF!),BDI!$B$17,IF(AND(#REF!="Padrão",$H$4=#REF!),BDI!#REF!,IF(AND(#REF!="Diferenciado",$H$4=#REF!),BDI!$E$17,IF(AND(#REF!="Diferenciado",$H$4=#REF!),BDI!#REF!,IF(#REF!="ZERO",0))))),"")</f>
        <v>#REF!</v>
      </c>
      <c r="H766" s="136" t="str">
        <f t="shared" si="34"/>
        <v/>
      </c>
      <c r="I766" s="134" t="str">
        <f t="shared" si="35"/>
        <v/>
      </c>
      <c r="J766" s="226"/>
    </row>
    <row r="767" spans="1:10" hidden="1" x14ac:dyDescent="0.25">
      <c r="A767" s="112" t="s">
        <v>2535</v>
      </c>
      <c r="B767" s="113" t="s">
        <v>2536</v>
      </c>
      <c r="C767" s="114" t="s">
        <v>20</v>
      </c>
      <c r="D767" s="114">
        <v>0</v>
      </c>
      <c r="E767" s="133" t="s">
        <v>514</v>
      </c>
      <c r="F767" s="134" t="str">
        <f t="shared" si="33"/>
        <v/>
      </c>
      <c r="G767" s="135" t="e">
        <f>IF(A767&lt;&gt;"",IF(AND(#REF!="Padrão",$H$4=#REF!),BDI!$B$17,IF(AND(#REF!="Padrão",$H$4=#REF!),BDI!#REF!,IF(AND(#REF!="Diferenciado",$H$4=#REF!),BDI!$E$17,IF(AND(#REF!="Diferenciado",$H$4=#REF!),BDI!#REF!,IF(#REF!="ZERO",0))))),"")</f>
        <v>#REF!</v>
      </c>
      <c r="H767" s="136" t="str">
        <f t="shared" si="34"/>
        <v/>
      </c>
      <c r="I767" s="134" t="str">
        <f t="shared" si="35"/>
        <v/>
      </c>
      <c r="J767" s="226"/>
    </row>
    <row r="768" spans="1:10" hidden="1" x14ac:dyDescent="0.25">
      <c r="A768" s="112" t="s">
        <v>2537</v>
      </c>
      <c r="B768" s="113" t="s">
        <v>2538</v>
      </c>
      <c r="C768" s="114" t="s">
        <v>20</v>
      </c>
      <c r="D768" s="114">
        <v>0</v>
      </c>
      <c r="E768" s="133" t="s">
        <v>514</v>
      </c>
      <c r="F768" s="134" t="str">
        <f t="shared" si="33"/>
        <v/>
      </c>
      <c r="G768" s="135" t="e">
        <f>IF(A768&lt;&gt;"",IF(AND(#REF!="Padrão",$H$4=#REF!),BDI!$B$17,IF(AND(#REF!="Padrão",$H$4=#REF!),BDI!#REF!,IF(AND(#REF!="Diferenciado",$H$4=#REF!),BDI!$E$17,IF(AND(#REF!="Diferenciado",$H$4=#REF!),BDI!#REF!,IF(#REF!="ZERO",0))))),"")</f>
        <v>#REF!</v>
      </c>
      <c r="H768" s="136" t="str">
        <f t="shared" si="34"/>
        <v/>
      </c>
      <c r="I768" s="134" t="str">
        <f t="shared" si="35"/>
        <v/>
      </c>
      <c r="J768" s="226"/>
    </row>
    <row r="769" spans="1:10" hidden="1" x14ac:dyDescent="0.25">
      <c r="A769" s="112" t="s">
        <v>2539</v>
      </c>
      <c r="B769" s="113" t="s">
        <v>2540</v>
      </c>
      <c r="C769" s="114" t="s">
        <v>20</v>
      </c>
      <c r="D769" s="114">
        <v>0</v>
      </c>
      <c r="E769" s="133" t="s">
        <v>514</v>
      </c>
      <c r="F769" s="134" t="str">
        <f t="shared" si="33"/>
        <v/>
      </c>
      <c r="G769" s="135" t="e">
        <f>IF(A769&lt;&gt;"",IF(AND(#REF!="Padrão",$H$4=#REF!),BDI!$B$17,IF(AND(#REF!="Padrão",$H$4=#REF!),BDI!#REF!,IF(AND(#REF!="Diferenciado",$H$4=#REF!),BDI!$E$17,IF(AND(#REF!="Diferenciado",$H$4=#REF!),BDI!#REF!,IF(#REF!="ZERO",0))))),"")</f>
        <v>#REF!</v>
      </c>
      <c r="H769" s="136" t="str">
        <f t="shared" si="34"/>
        <v/>
      </c>
      <c r="I769" s="134" t="str">
        <f t="shared" si="35"/>
        <v/>
      </c>
      <c r="J769" s="226"/>
    </row>
    <row r="770" spans="1:10" hidden="1" x14ac:dyDescent="0.25">
      <c r="A770" s="112" t="s">
        <v>2541</v>
      </c>
      <c r="B770" s="113" t="s">
        <v>2542</v>
      </c>
      <c r="C770" s="114" t="s">
        <v>20</v>
      </c>
      <c r="D770" s="114">
        <v>0</v>
      </c>
      <c r="E770" s="133" t="s">
        <v>514</v>
      </c>
      <c r="F770" s="134" t="str">
        <f t="shared" si="33"/>
        <v/>
      </c>
      <c r="G770" s="135" t="e">
        <f>IF(A770&lt;&gt;"",IF(AND(#REF!="Padrão",$H$4=#REF!),BDI!$B$17,IF(AND(#REF!="Padrão",$H$4=#REF!),BDI!#REF!,IF(AND(#REF!="Diferenciado",$H$4=#REF!),BDI!$E$17,IF(AND(#REF!="Diferenciado",$H$4=#REF!),BDI!#REF!,IF(#REF!="ZERO",0))))),"")</f>
        <v>#REF!</v>
      </c>
      <c r="H770" s="136" t="str">
        <f t="shared" si="34"/>
        <v/>
      </c>
      <c r="I770" s="134" t="str">
        <f t="shared" si="35"/>
        <v/>
      </c>
      <c r="J770" s="226"/>
    </row>
    <row r="771" spans="1:10" hidden="1" x14ac:dyDescent="0.25">
      <c r="A771" s="112" t="s">
        <v>2543</v>
      </c>
      <c r="B771" s="113" t="s">
        <v>2544</v>
      </c>
      <c r="C771" s="114" t="s">
        <v>20</v>
      </c>
      <c r="D771" s="114">
        <v>0</v>
      </c>
      <c r="E771" s="133" t="s">
        <v>514</v>
      </c>
      <c r="F771" s="134" t="str">
        <f t="shared" si="33"/>
        <v/>
      </c>
      <c r="G771" s="135" t="e">
        <f>IF(A771&lt;&gt;"",IF(AND(#REF!="Padrão",$H$4=#REF!),BDI!$B$17,IF(AND(#REF!="Padrão",$H$4=#REF!),BDI!#REF!,IF(AND(#REF!="Diferenciado",$H$4=#REF!),BDI!$E$17,IF(AND(#REF!="Diferenciado",$H$4=#REF!),BDI!#REF!,IF(#REF!="ZERO",0))))),"")</f>
        <v>#REF!</v>
      </c>
      <c r="H771" s="136" t="str">
        <f t="shared" si="34"/>
        <v/>
      </c>
      <c r="I771" s="134" t="str">
        <f t="shared" si="35"/>
        <v/>
      </c>
      <c r="J771" s="226"/>
    </row>
    <row r="772" spans="1:10" hidden="1" x14ac:dyDescent="0.25">
      <c r="A772" s="112" t="s">
        <v>2545</v>
      </c>
      <c r="B772" s="113" t="s">
        <v>2546</v>
      </c>
      <c r="C772" s="114" t="s">
        <v>20</v>
      </c>
      <c r="D772" s="114">
        <v>0</v>
      </c>
      <c r="E772" s="133" t="s">
        <v>514</v>
      </c>
      <c r="F772" s="134" t="str">
        <f t="shared" si="33"/>
        <v/>
      </c>
      <c r="G772" s="135" t="e">
        <f>IF(A772&lt;&gt;"",IF(AND(#REF!="Padrão",$H$4=#REF!),BDI!$B$17,IF(AND(#REF!="Padrão",$H$4=#REF!),BDI!#REF!,IF(AND(#REF!="Diferenciado",$H$4=#REF!),BDI!$E$17,IF(AND(#REF!="Diferenciado",$H$4=#REF!),BDI!#REF!,IF(#REF!="ZERO",0))))),"")</f>
        <v>#REF!</v>
      </c>
      <c r="H772" s="136" t="str">
        <f t="shared" si="34"/>
        <v/>
      </c>
      <c r="I772" s="134" t="str">
        <f t="shared" si="35"/>
        <v/>
      </c>
      <c r="J772" s="226"/>
    </row>
    <row r="773" spans="1:10" hidden="1" x14ac:dyDescent="0.25">
      <c r="A773" s="112" t="s">
        <v>2547</v>
      </c>
      <c r="B773" s="113" t="s">
        <v>2548</v>
      </c>
      <c r="C773" s="114" t="s">
        <v>20</v>
      </c>
      <c r="D773" s="114">
        <v>0</v>
      </c>
      <c r="E773" s="133" t="s">
        <v>514</v>
      </c>
      <c r="F773" s="134" t="str">
        <f t="shared" si="33"/>
        <v/>
      </c>
      <c r="G773" s="135" t="e">
        <f>IF(A773&lt;&gt;"",IF(AND(#REF!="Padrão",$H$4=#REF!),BDI!$B$17,IF(AND(#REF!="Padrão",$H$4=#REF!),BDI!#REF!,IF(AND(#REF!="Diferenciado",$H$4=#REF!),BDI!$E$17,IF(AND(#REF!="Diferenciado",$H$4=#REF!),BDI!#REF!,IF(#REF!="ZERO",0))))),"")</f>
        <v>#REF!</v>
      </c>
      <c r="H773" s="136" t="str">
        <f t="shared" si="34"/>
        <v/>
      </c>
      <c r="I773" s="134" t="str">
        <f t="shared" si="35"/>
        <v/>
      </c>
      <c r="J773" s="226"/>
    </row>
    <row r="774" spans="1:10" hidden="1" x14ac:dyDescent="0.25">
      <c r="A774" s="112" t="s">
        <v>2549</v>
      </c>
      <c r="B774" s="113" t="s">
        <v>2550</v>
      </c>
      <c r="C774" s="114" t="s">
        <v>20</v>
      </c>
      <c r="D774" s="114">
        <v>0</v>
      </c>
      <c r="E774" s="133">
        <f ca="1">OFFSET(INDEX(Composições!A:J,MATCH(Orçamentária!A774,Composições!A:A,0),8),2,0)</f>
        <v>49.276499999999999</v>
      </c>
      <c r="F774" s="134">
        <f t="shared" ca="1" si="33"/>
        <v>0</v>
      </c>
      <c r="G774" s="135" t="e">
        <f>IF(A774&lt;&gt;"",IF(AND(#REF!="Padrão",$H$4=#REF!),BDI!$B$17,IF(AND(#REF!="Padrão",$H$4=#REF!),BDI!#REF!,IF(AND(#REF!="Diferenciado",$H$4=#REF!),BDI!$E$17,IF(AND(#REF!="Diferenciado",$H$4=#REF!),BDI!#REF!,IF(#REF!="ZERO",0))))),"")</f>
        <v>#REF!</v>
      </c>
      <c r="H774" s="136" t="e">
        <f t="shared" ca="1" si="34"/>
        <v>#REF!</v>
      </c>
      <c r="I774" s="134" t="e">
        <f t="shared" ca="1" si="35"/>
        <v>#REF!</v>
      </c>
      <c r="J774" s="226"/>
    </row>
    <row r="775" spans="1:10" hidden="1" x14ac:dyDescent="0.25">
      <c r="A775" s="112" t="s">
        <v>2551</v>
      </c>
      <c r="B775" s="113" t="s">
        <v>2552</v>
      </c>
      <c r="C775" s="114" t="s">
        <v>20</v>
      </c>
      <c r="D775" s="114">
        <v>0</v>
      </c>
      <c r="E775" s="133">
        <f ca="1">OFFSET(INDEX(Composições!A:J,MATCH(Orçamentária!A775,Composições!A:A,0),8),2,0)</f>
        <v>56.183</v>
      </c>
      <c r="F775" s="134">
        <f t="shared" ref="F775:F838" ca="1" si="36">IF(ISNUMBER(E775),D775*E775,"")</f>
        <v>0</v>
      </c>
      <c r="G775" s="135" t="e">
        <f>IF(A775&lt;&gt;"",IF(AND(#REF!="Padrão",$H$4=#REF!),BDI!$B$17,IF(AND(#REF!="Padrão",$H$4=#REF!),BDI!#REF!,IF(AND(#REF!="Diferenciado",$H$4=#REF!),BDI!$E$17,IF(AND(#REF!="Diferenciado",$H$4=#REF!),BDI!#REF!,IF(#REF!="ZERO",0))))),"")</f>
        <v>#REF!</v>
      </c>
      <c r="H775" s="136" t="e">
        <f t="shared" ref="H775:H838" ca="1" si="37">IF(ISNUMBER(E775),ROUND(E775*(1+G775),2),"")</f>
        <v>#REF!</v>
      </c>
      <c r="I775" s="134" t="e">
        <f t="shared" ref="I775:I838" ca="1" si="38">IF(ISNUMBER(E775),ROUND(H775*D775,2),"")</f>
        <v>#REF!</v>
      </c>
      <c r="J775" s="226"/>
    </row>
    <row r="776" spans="1:10" hidden="1" x14ac:dyDescent="0.25">
      <c r="A776" s="112" t="s">
        <v>2553</v>
      </c>
      <c r="B776" s="113" t="s">
        <v>6274</v>
      </c>
      <c r="C776" s="114" t="s">
        <v>20</v>
      </c>
      <c r="D776" s="114">
        <v>0</v>
      </c>
      <c r="E776" s="133" t="s">
        <v>514</v>
      </c>
      <c r="F776" s="134" t="str">
        <f t="shared" si="36"/>
        <v/>
      </c>
      <c r="G776" s="135" t="e">
        <f>IF(A776&lt;&gt;"",IF(AND(#REF!="Padrão",$H$4=#REF!),BDI!$B$17,IF(AND(#REF!="Padrão",$H$4=#REF!),BDI!#REF!,IF(AND(#REF!="Diferenciado",$H$4=#REF!),BDI!$E$17,IF(AND(#REF!="Diferenciado",$H$4=#REF!),BDI!#REF!,IF(#REF!="ZERO",0))))),"")</f>
        <v>#REF!</v>
      </c>
      <c r="H776" s="136" t="str">
        <f t="shared" si="37"/>
        <v/>
      </c>
      <c r="I776" s="134" t="str">
        <f t="shared" si="38"/>
        <v/>
      </c>
      <c r="J776" s="226"/>
    </row>
    <row r="777" spans="1:10" hidden="1" x14ac:dyDescent="0.25">
      <c r="A777" s="112" t="s">
        <v>2554</v>
      </c>
      <c r="B777" s="113" t="s">
        <v>2555</v>
      </c>
      <c r="C777" s="114" t="s">
        <v>20</v>
      </c>
      <c r="D777" s="114">
        <v>0</v>
      </c>
      <c r="E777" s="133">
        <f ca="1">OFFSET(INDEX(Composições!A:J,MATCH(Orçamentária!A777,Composições!A:A,0),8),2,0)</f>
        <v>131.84100000000001</v>
      </c>
      <c r="F777" s="134">
        <f t="shared" ca="1" si="36"/>
        <v>0</v>
      </c>
      <c r="G777" s="135" t="e">
        <f>IF(A777&lt;&gt;"",IF(AND(#REF!="Padrão",$H$4=#REF!),BDI!$B$17,IF(AND(#REF!="Padrão",$H$4=#REF!),BDI!#REF!,IF(AND(#REF!="Diferenciado",$H$4=#REF!),BDI!$E$17,IF(AND(#REF!="Diferenciado",$H$4=#REF!),BDI!#REF!,IF(#REF!="ZERO",0))))),"")</f>
        <v>#REF!</v>
      </c>
      <c r="H777" s="136" t="e">
        <f t="shared" ca="1" si="37"/>
        <v>#REF!</v>
      </c>
      <c r="I777" s="134" t="e">
        <f t="shared" ca="1" si="38"/>
        <v>#REF!</v>
      </c>
      <c r="J777" s="226"/>
    </row>
    <row r="778" spans="1:10" hidden="1" x14ac:dyDescent="0.25">
      <c r="A778" s="112" t="s">
        <v>2556</v>
      </c>
      <c r="B778" s="113" t="s">
        <v>6338</v>
      </c>
      <c r="C778" s="114" t="s">
        <v>20</v>
      </c>
      <c r="D778" s="114">
        <v>0</v>
      </c>
      <c r="E778" s="133" t="s">
        <v>514</v>
      </c>
      <c r="F778" s="134" t="str">
        <f t="shared" si="36"/>
        <v/>
      </c>
      <c r="G778" s="135" t="e">
        <f>IF(A778&lt;&gt;"",IF(AND(#REF!="Padrão",$H$4=#REF!),BDI!$B$17,IF(AND(#REF!="Padrão",$H$4=#REF!),BDI!#REF!,IF(AND(#REF!="Diferenciado",$H$4=#REF!),BDI!$E$17,IF(AND(#REF!="Diferenciado",$H$4=#REF!),BDI!#REF!,IF(#REF!="ZERO",0))))),"")</f>
        <v>#REF!</v>
      </c>
      <c r="H778" s="136" t="str">
        <f t="shared" si="37"/>
        <v/>
      </c>
      <c r="I778" s="134" t="str">
        <f t="shared" si="38"/>
        <v/>
      </c>
      <c r="J778" s="226"/>
    </row>
    <row r="779" spans="1:10" hidden="1" x14ac:dyDescent="0.25">
      <c r="A779" s="112" t="s">
        <v>2557</v>
      </c>
      <c r="B779" s="113" t="s">
        <v>2558</v>
      </c>
      <c r="C779" s="114" t="s">
        <v>20</v>
      </c>
      <c r="D779" s="114">
        <v>0</v>
      </c>
      <c r="E779" s="133" t="s">
        <v>514</v>
      </c>
      <c r="F779" s="134" t="str">
        <f t="shared" si="36"/>
        <v/>
      </c>
      <c r="G779" s="135" t="e">
        <f>IF(A779&lt;&gt;"",IF(AND(#REF!="Padrão",$H$4=#REF!),BDI!$B$17,IF(AND(#REF!="Padrão",$H$4=#REF!),BDI!#REF!,IF(AND(#REF!="Diferenciado",$H$4=#REF!),BDI!$E$17,IF(AND(#REF!="Diferenciado",$H$4=#REF!),BDI!#REF!,IF(#REF!="ZERO",0))))),"")</f>
        <v>#REF!</v>
      </c>
      <c r="H779" s="136" t="str">
        <f t="shared" si="37"/>
        <v/>
      </c>
      <c r="I779" s="134" t="str">
        <f t="shared" si="38"/>
        <v/>
      </c>
      <c r="J779" s="226"/>
    </row>
    <row r="780" spans="1:10" hidden="1" x14ac:dyDescent="0.25">
      <c r="A780" s="112" t="s">
        <v>2559</v>
      </c>
      <c r="B780" s="113" t="s">
        <v>6275</v>
      </c>
      <c r="C780" s="114" t="s">
        <v>20</v>
      </c>
      <c r="D780" s="114">
        <v>0</v>
      </c>
      <c r="E780" s="133" t="s">
        <v>514</v>
      </c>
      <c r="F780" s="134" t="str">
        <f t="shared" si="36"/>
        <v/>
      </c>
      <c r="G780" s="135" t="e">
        <f>IF(A780&lt;&gt;"",IF(AND(#REF!="Padrão",$H$4=#REF!),BDI!$B$17,IF(AND(#REF!="Padrão",$H$4=#REF!),BDI!#REF!,IF(AND(#REF!="Diferenciado",$H$4=#REF!),BDI!$E$17,IF(AND(#REF!="Diferenciado",$H$4=#REF!),BDI!#REF!,IF(#REF!="ZERO",0))))),"")</f>
        <v>#REF!</v>
      </c>
      <c r="H780" s="136" t="str">
        <f t="shared" si="37"/>
        <v/>
      </c>
      <c r="I780" s="134" t="str">
        <f t="shared" si="38"/>
        <v/>
      </c>
      <c r="J780" s="226"/>
    </row>
    <row r="781" spans="1:10" hidden="1" x14ac:dyDescent="0.25">
      <c r="A781" s="112" t="s">
        <v>2560</v>
      </c>
      <c r="B781" s="113" t="s">
        <v>2561</v>
      </c>
      <c r="C781" s="114" t="s">
        <v>20</v>
      </c>
      <c r="D781" s="114">
        <v>0</v>
      </c>
      <c r="E781" s="133" t="s">
        <v>514</v>
      </c>
      <c r="F781" s="134" t="str">
        <f t="shared" si="36"/>
        <v/>
      </c>
      <c r="G781" s="135" t="e">
        <f>IF(A781&lt;&gt;"",IF(AND(#REF!="Padrão",$H$4=#REF!),BDI!$B$17,IF(AND(#REF!="Padrão",$H$4=#REF!),BDI!#REF!,IF(AND(#REF!="Diferenciado",$H$4=#REF!),BDI!$E$17,IF(AND(#REF!="Diferenciado",$H$4=#REF!),BDI!#REF!,IF(#REF!="ZERO",0))))),"")</f>
        <v>#REF!</v>
      </c>
      <c r="H781" s="136" t="str">
        <f t="shared" si="37"/>
        <v/>
      </c>
      <c r="I781" s="134" t="str">
        <f t="shared" si="38"/>
        <v/>
      </c>
      <c r="J781" s="226"/>
    </row>
    <row r="782" spans="1:10" hidden="1" x14ac:dyDescent="0.25">
      <c r="A782" s="112" t="s">
        <v>2562</v>
      </c>
      <c r="B782" s="113" t="s">
        <v>6339</v>
      </c>
      <c r="C782" s="114" t="s">
        <v>20</v>
      </c>
      <c r="D782" s="114">
        <v>0</v>
      </c>
      <c r="E782" s="133" t="s">
        <v>514</v>
      </c>
      <c r="F782" s="134" t="str">
        <f t="shared" si="36"/>
        <v/>
      </c>
      <c r="G782" s="135" t="e">
        <f>IF(A782&lt;&gt;"",IF(AND(#REF!="Padrão",$H$4=#REF!),BDI!$B$17,IF(AND(#REF!="Padrão",$H$4=#REF!),BDI!#REF!,IF(AND(#REF!="Diferenciado",$H$4=#REF!),BDI!$E$17,IF(AND(#REF!="Diferenciado",$H$4=#REF!),BDI!#REF!,IF(#REF!="ZERO",0))))),"")</f>
        <v>#REF!</v>
      </c>
      <c r="H782" s="136" t="str">
        <f t="shared" si="37"/>
        <v/>
      </c>
      <c r="I782" s="134" t="str">
        <f t="shared" si="38"/>
        <v/>
      </c>
      <c r="J782" s="226"/>
    </row>
    <row r="783" spans="1:10" hidden="1" x14ac:dyDescent="0.25">
      <c r="A783" s="112" t="s">
        <v>2563</v>
      </c>
      <c r="B783" s="113" t="s">
        <v>2564</v>
      </c>
      <c r="C783" s="114" t="s">
        <v>20</v>
      </c>
      <c r="D783" s="114">
        <v>0</v>
      </c>
      <c r="E783" s="133" t="s">
        <v>514</v>
      </c>
      <c r="F783" s="134" t="str">
        <f t="shared" si="36"/>
        <v/>
      </c>
      <c r="G783" s="135" t="e">
        <f>IF(A783&lt;&gt;"",IF(AND(#REF!="Padrão",$H$4=#REF!),BDI!$B$17,IF(AND(#REF!="Padrão",$H$4=#REF!),BDI!#REF!,IF(AND(#REF!="Diferenciado",$H$4=#REF!),BDI!$E$17,IF(AND(#REF!="Diferenciado",$H$4=#REF!),BDI!#REF!,IF(#REF!="ZERO",0))))),"")</f>
        <v>#REF!</v>
      </c>
      <c r="H783" s="136" t="str">
        <f t="shared" si="37"/>
        <v/>
      </c>
      <c r="I783" s="134" t="str">
        <f t="shared" si="38"/>
        <v/>
      </c>
      <c r="J783" s="226"/>
    </row>
    <row r="784" spans="1:10" hidden="1" x14ac:dyDescent="0.25">
      <c r="A784" s="112" t="s">
        <v>2565</v>
      </c>
      <c r="B784" s="113" t="s">
        <v>2566</v>
      </c>
      <c r="C784" s="114" t="s">
        <v>20</v>
      </c>
      <c r="D784" s="114">
        <v>0</v>
      </c>
      <c r="E784" s="133" t="s">
        <v>514</v>
      </c>
      <c r="F784" s="134" t="str">
        <f t="shared" si="36"/>
        <v/>
      </c>
      <c r="G784" s="135" t="e">
        <f>IF(A784&lt;&gt;"",IF(AND(#REF!="Padrão",$H$4=#REF!),BDI!$B$17,IF(AND(#REF!="Padrão",$H$4=#REF!),BDI!#REF!,IF(AND(#REF!="Diferenciado",$H$4=#REF!),BDI!$E$17,IF(AND(#REF!="Diferenciado",$H$4=#REF!),BDI!#REF!,IF(#REF!="ZERO",0))))),"")</f>
        <v>#REF!</v>
      </c>
      <c r="H784" s="136" t="str">
        <f t="shared" si="37"/>
        <v/>
      </c>
      <c r="I784" s="134" t="str">
        <f t="shared" si="38"/>
        <v/>
      </c>
      <c r="J784" s="226"/>
    </row>
    <row r="785" spans="1:10" hidden="1" x14ac:dyDescent="0.25">
      <c r="A785" s="112" t="s">
        <v>2567</v>
      </c>
      <c r="B785" s="113" t="s">
        <v>2568</v>
      </c>
      <c r="C785" s="114" t="s">
        <v>20</v>
      </c>
      <c r="D785" s="114">
        <v>0</v>
      </c>
      <c r="E785" s="133" t="s">
        <v>514</v>
      </c>
      <c r="F785" s="134" t="str">
        <f t="shared" si="36"/>
        <v/>
      </c>
      <c r="G785" s="135" t="e">
        <f>IF(A785&lt;&gt;"",IF(AND(#REF!="Padrão",$H$4=#REF!),BDI!$B$17,IF(AND(#REF!="Padrão",$H$4=#REF!),BDI!#REF!,IF(AND(#REF!="Diferenciado",$H$4=#REF!),BDI!$E$17,IF(AND(#REF!="Diferenciado",$H$4=#REF!),BDI!#REF!,IF(#REF!="ZERO",0))))),"")</f>
        <v>#REF!</v>
      </c>
      <c r="H785" s="136" t="str">
        <f t="shared" si="37"/>
        <v/>
      </c>
      <c r="I785" s="134" t="str">
        <f t="shared" si="38"/>
        <v/>
      </c>
      <c r="J785" s="226"/>
    </row>
    <row r="786" spans="1:10" hidden="1" x14ac:dyDescent="0.25">
      <c r="A786" s="112" t="s">
        <v>2569</v>
      </c>
      <c r="B786" s="113" t="s">
        <v>2570</v>
      </c>
      <c r="C786" s="114" t="s">
        <v>20</v>
      </c>
      <c r="D786" s="114">
        <v>0</v>
      </c>
      <c r="E786" s="133" t="s">
        <v>514</v>
      </c>
      <c r="F786" s="134" t="str">
        <f t="shared" si="36"/>
        <v/>
      </c>
      <c r="G786" s="135" t="e">
        <f>IF(A786&lt;&gt;"",IF(AND(#REF!="Padrão",$H$4=#REF!),BDI!$B$17,IF(AND(#REF!="Padrão",$H$4=#REF!),BDI!#REF!,IF(AND(#REF!="Diferenciado",$H$4=#REF!),BDI!$E$17,IF(AND(#REF!="Diferenciado",$H$4=#REF!),BDI!#REF!,IF(#REF!="ZERO",0))))),"")</f>
        <v>#REF!</v>
      </c>
      <c r="H786" s="136" t="str">
        <f t="shared" si="37"/>
        <v/>
      </c>
      <c r="I786" s="134" t="str">
        <f t="shared" si="38"/>
        <v/>
      </c>
      <c r="J786" s="226"/>
    </row>
    <row r="787" spans="1:10" hidden="1" x14ac:dyDescent="0.25">
      <c r="A787" s="112" t="s">
        <v>2571</v>
      </c>
      <c r="B787" s="113" t="s">
        <v>2572</v>
      </c>
      <c r="C787" s="114" t="s">
        <v>20</v>
      </c>
      <c r="D787" s="114">
        <v>0</v>
      </c>
      <c r="E787" s="133" t="s">
        <v>514</v>
      </c>
      <c r="F787" s="134" t="str">
        <f t="shared" si="36"/>
        <v/>
      </c>
      <c r="G787" s="135" t="e">
        <f>IF(A787&lt;&gt;"",IF(AND(#REF!="Padrão",$H$4=#REF!),BDI!$B$17,IF(AND(#REF!="Padrão",$H$4=#REF!),BDI!#REF!,IF(AND(#REF!="Diferenciado",$H$4=#REF!),BDI!$E$17,IF(AND(#REF!="Diferenciado",$H$4=#REF!),BDI!#REF!,IF(#REF!="ZERO",0))))),"")</f>
        <v>#REF!</v>
      </c>
      <c r="H787" s="136" t="str">
        <f t="shared" si="37"/>
        <v/>
      </c>
      <c r="I787" s="134" t="str">
        <f t="shared" si="38"/>
        <v/>
      </c>
      <c r="J787" s="226"/>
    </row>
    <row r="788" spans="1:10" hidden="1" x14ac:dyDescent="0.25">
      <c r="A788" s="112" t="s">
        <v>2573</v>
      </c>
      <c r="B788" s="113" t="s">
        <v>2574</v>
      </c>
      <c r="C788" s="114" t="s">
        <v>20</v>
      </c>
      <c r="D788" s="114">
        <v>0</v>
      </c>
      <c r="E788" s="133" t="s">
        <v>514</v>
      </c>
      <c r="F788" s="134" t="str">
        <f t="shared" si="36"/>
        <v/>
      </c>
      <c r="G788" s="135" t="e">
        <f>IF(A788&lt;&gt;"",IF(AND(#REF!="Padrão",$H$4=#REF!),BDI!$B$17,IF(AND(#REF!="Padrão",$H$4=#REF!),BDI!#REF!,IF(AND(#REF!="Diferenciado",$H$4=#REF!),BDI!$E$17,IF(AND(#REF!="Diferenciado",$H$4=#REF!),BDI!#REF!,IF(#REF!="ZERO",0))))),"")</f>
        <v>#REF!</v>
      </c>
      <c r="H788" s="136" t="str">
        <f t="shared" si="37"/>
        <v/>
      </c>
      <c r="I788" s="134" t="str">
        <f t="shared" si="38"/>
        <v/>
      </c>
      <c r="J788" s="226"/>
    </row>
    <row r="789" spans="1:10" hidden="1" x14ac:dyDescent="0.25">
      <c r="A789" s="112" t="s">
        <v>2575</v>
      </c>
      <c r="B789" s="113" t="s">
        <v>2576</v>
      </c>
      <c r="C789" s="114" t="s">
        <v>20</v>
      </c>
      <c r="D789" s="114">
        <v>0</v>
      </c>
      <c r="E789" s="133" t="s">
        <v>514</v>
      </c>
      <c r="F789" s="134" t="str">
        <f t="shared" si="36"/>
        <v/>
      </c>
      <c r="G789" s="135" t="e">
        <f>IF(A789&lt;&gt;"",IF(AND(#REF!="Padrão",$H$4=#REF!),BDI!$B$17,IF(AND(#REF!="Padrão",$H$4=#REF!),BDI!#REF!,IF(AND(#REF!="Diferenciado",$H$4=#REF!),BDI!$E$17,IF(AND(#REF!="Diferenciado",$H$4=#REF!),BDI!#REF!,IF(#REF!="ZERO",0))))),"")</f>
        <v>#REF!</v>
      </c>
      <c r="H789" s="136" t="str">
        <f t="shared" si="37"/>
        <v/>
      </c>
      <c r="I789" s="134" t="str">
        <f t="shared" si="38"/>
        <v/>
      </c>
      <c r="J789" s="226"/>
    </row>
    <row r="790" spans="1:10" hidden="1" x14ac:dyDescent="0.25">
      <c r="A790" s="112" t="s">
        <v>2577</v>
      </c>
      <c r="B790" s="113" t="s">
        <v>2578</v>
      </c>
      <c r="C790" s="114" t="s">
        <v>20</v>
      </c>
      <c r="D790" s="114">
        <v>0</v>
      </c>
      <c r="E790" s="133" t="s">
        <v>514</v>
      </c>
      <c r="F790" s="134" t="str">
        <f t="shared" si="36"/>
        <v/>
      </c>
      <c r="G790" s="135" t="e">
        <f>IF(A790&lt;&gt;"",IF(AND(#REF!="Padrão",$H$4=#REF!),BDI!$B$17,IF(AND(#REF!="Padrão",$H$4=#REF!),BDI!#REF!,IF(AND(#REF!="Diferenciado",$H$4=#REF!),BDI!$E$17,IF(AND(#REF!="Diferenciado",$H$4=#REF!),BDI!#REF!,IF(#REF!="ZERO",0))))),"")</f>
        <v>#REF!</v>
      </c>
      <c r="H790" s="136" t="str">
        <f t="shared" si="37"/>
        <v/>
      </c>
      <c r="I790" s="134" t="str">
        <f t="shared" si="38"/>
        <v/>
      </c>
      <c r="J790" s="226"/>
    </row>
    <row r="791" spans="1:10" hidden="1" x14ac:dyDescent="0.25">
      <c r="A791" s="112" t="s">
        <v>2579</v>
      </c>
      <c r="B791" s="113" t="s">
        <v>2580</v>
      </c>
      <c r="C791" s="114" t="s">
        <v>20</v>
      </c>
      <c r="D791" s="114">
        <v>0</v>
      </c>
      <c r="E791" s="133" t="s">
        <v>514</v>
      </c>
      <c r="F791" s="134" t="str">
        <f t="shared" si="36"/>
        <v/>
      </c>
      <c r="G791" s="135" t="e">
        <f>IF(A791&lt;&gt;"",IF(AND(#REF!="Padrão",$H$4=#REF!),BDI!$B$17,IF(AND(#REF!="Padrão",$H$4=#REF!),BDI!#REF!,IF(AND(#REF!="Diferenciado",$H$4=#REF!),BDI!$E$17,IF(AND(#REF!="Diferenciado",$H$4=#REF!),BDI!#REF!,IF(#REF!="ZERO",0))))),"")</f>
        <v>#REF!</v>
      </c>
      <c r="H791" s="136" t="str">
        <f t="shared" si="37"/>
        <v/>
      </c>
      <c r="I791" s="134" t="str">
        <f t="shared" si="38"/>
        <v/>
      </c>
      <c r="J791" s="226"/>
    </row>
    <row r="792" spans="1:10" hidden="1" x14ac:dyDescent="0.25">
      <c r="A792" s="112" t="s">
        <v>2581</v>
      </c>
      <c r="B792" s="113" t="s">
        <v>2582</v>
      </c>
      <c r="C792" s="114" t="s">
        <v>20</v>
      </c>
      <c r="D792" s="114">
        <v>0</v>
      </c>
      <c r="E792" s="133" t="s">
        <v>514</v>
      </c>
      <c r="F792" s="134" t="str">
        <f t="shared" si="36"/>
        <v/>
      </c>
      <c r="G792" s="135" t="e">
        <f>IF(A792&lt;&gt;"",IF(AND(#REF!="Padrão",$H$4=#REF!),BDI!$B$17,IF(AND(#REF!="Padrão",$H$4=#REF!),BDI!#REF!,IF(AND(#REF!="Diferenciado",$H$4=#REF!),BDI!$E$17,IF(AND(#REF!="Diferenciado",$H$4=#REF!),BDI!#REF!,IF(#REF!="ZERO",0))))),"")</f>
        <v>#REF!</v>
      </c>
      <c r="H792" s="136" t="str">
        <f t="shared" si="37"/>
        <v/>
      </c>
      <c r="I792" s="134" t="str">
        <f t="shared" si="38"/>
        <v/>
      </c>
      <c r="J792" s="226"/>
    </row>
    <row r="793" spans="1:10" hidden="1" x14ac:dyDescent="0.25">
      <c r="A793" s="112" t="s">
        <v>2583</v>
      </c>
      <c r="B793" s="113" t="s">
        <v>2584</v>
      </c>
      <c r="C793" s="114" t="s">
        <v>20</v>
      </c>
      <c r="D793" s="114">
        <v>0</v>
      </c>
      <c r="E793" s="133" t="s">
        <v>514</v>
      </c>
      <c r="F793" s="134" t="str">
        <f t="shared" si="36"/>
        <v/>
      </c>
      <c r="G793" s="135" t="e">
        <f>IF(A793&lt;&gt;"",IF(AND(#REF!="Padrão",$H$4=#REF!),BDI!$B$17,IF(AND(#REF!="Padrão",$H$4=#REF!),BDI!#REF!,IF(AND(#REF!="Diferenciado",$H$4=#REF!),BDI!$E$17,IF(AND(#REF!="Diferenciado",$H$4=#REF!),BDI!#REF!,IF(#REF!="ZERO",0))))),"")</f>
        <v>#REF!</v>
      </c>
      <c r="H793" s="136" t="str">
        <f t="shared" si="37"/>
        <v/>
      </c>
      <c r="I793" s="134" t="str">
        <f t="shared" si="38"/>
        <v/>
      </c>
      <c r="J793" s="226"/>
    </row>
    <row r="794" spans="1:10" hidden="1" x14ac:dyDescent="0.25">
      <c r="A794" s="112" t="s">
        <v>2585</v>
      </c>
      <c r="B794" s="113" t="s">
        <v>2586</v>
      </c>
      <c r="C794" s="114" t="s">
        <v>20</v>
      </c>
      <c r="D794" s="114">
        <v>0</v>
      </c>
      <c r="E794" s="133" t="s">
        <v>514</v>
      </c>
      <c r="F794" s="134" t="str">
        <f t="shared" si="36"/>
        <v/>
      </c>
      <c r="G794" s="135" t="e">
        <f>IF(A794&lt;&gt;"",IF(AND(#REF!="Padrão",$H$4=#REF!),BDI!$B$17,IF(AND(#REF!="Padrão",$H$4=#REF!),BDI!#REF!,IF(AND(#REF!="Diferenciado",$H$4=#REF!),BDI!$E$17,IF(AND(#REF!="Diferenciado",$H$4=#REF!),BDI!#REF!,IF(#REF!="ZERO",0))))),"")</f>
        <v>#REF!</v>
      </c>
      <c r="H794" s="136" t="str">
        <f t="shared" si="37"/>
        <v/>
      </c>
      <c r="I794" s="134" t="str">
        <f t="shared" si="38"/>
        <v/>
      </c>
      <c r="J794" s="226"/>
    </row>
    <row r="795" spans="1:10" hidden="1" x14ac:dyDescent="0.25">
      <c r="A795" s="112" t="s">
        <v>2587</v>
      </c>
      <c r="B795" s="113" t="s">
        <v>2588</v>
      </c>
      <c r="C795" s="114" t="s">
        <v>20</v>
      </c>
      <c r="D795" s="114">
        <v>0</v>
      </c>
      <c r="E795" s="133" t="s">
        <v>514</v>
      </c>
      <c r="F795" s="134" t="str">
        <f t="shared" si="36"/>
        <v/>
      </c>
      <c r="G795" s="135" t="e">
        <f>IF(A795&lt;&gt;"",IF(AND(#REF!="Padrão",$H$4=#REF!),BDI!$B$17,IF(AND(#REF!="Padrão",$H$4=#REF!),BDI!#REF!,IF(AND(#REF!="Diferenciado",$H$4=#REF!),BDI!$E$17,IF(AND(#REF!="Diferenciado",$H$4=#REF!),BDI!#REF!,IF(#REF!="ZERO",0))))),"")</f>
        <v>#REF!</v>
      </c>
      <c r="H795" s="136" t="str">
        <f t="shared" si="37"/>
        <v/>
      </c>
      <c r="I795" s="134" t="str">
        <f t="shared" si="38"/>
        <v/>
      </c>
      <c r="J795" s="226"/>
    </row>
    <row r="796" spans="1:10" hidden="1" x14ac:dyDescent="0.25">
      <c r="A796" s="112" t="s">
        <v>2589</v>
      </c>
      <c r="B796" s="113" t="s">
        <v>2590</v>
      </c>
      <c r="C796" s="114" t="s">
        <v>20</v>
      </c>
      <c r="D796" s="114">
        <v>0</v>
      </c>
      <c r="E796" s="133" t="s">
        <v>514</v>
      </c>
      <c r="F796" s="134" t="str">
        <f t="shared" si="36"/>
        <v/>
      </c>
      <c r="G796" s="135" t="e">
        <f>IF(A796&lt;&gt;"",IF(AND(#REF!="Padrão",$H$4=#REF!),BDI!$B$17,IF(AND(#REF!="Padrão",$H$4=#REF!),BDI!#REF!,IF(AND(#REF!="Diferenciado",$H$4=#REF!),BDI!$E$17,IF(AND(#REF!="Diferenciado",$H$4=#REF!),BDI!#REF!,IF(#REF!="ZERO",0))))),"")</f>
        <v>#REF!</v>
      </c>
      <c r="H796" s="136" t="str">
        <f t="shared" si="37"/>
        <v/>
      </c>
      <c r="I796" s="134" t="str">
        <f t="shared" si="38"/>
        <v/>
      </c>
      <c r="J796" s="226"/>
    </row>
    <row r="797" spans="1:10" hidden="1" x14ac:dyDescent="0.25">
      <c r="A797" s="112" t="s">
        <v>2591</v>
      </c>
      <c r="B797" s="113" t="s">
        <v>2592</v>
      </c>
      <c r="C797" s="114" t="s">
        <v>20</v>
      </c>
      <c r="D797" s="114">
        <v>0</v>
      </c>
      <c r="E797" s="133" t="s">
        <v>514</v>
      </c>
      <c r="F797" s="134" t="str">
        <f t="shared" si="36"/>
        <v/>
      </c>
      <c r="G797" s="135" t="e">
        <f>IF(A797&lt;&gt;"",IF(AND(#REF!="Padrão",$H$4=#REF!),BDI!$B$17,IF(AND(#REF!="Padrão",$H$4=#REF!),BDI!#REF!,IF(AND(#REF!="Diferenciado",$H$4=#REF!),BDI!$E$17,IF(AND(#REF!="Diferenciado",$H$4=#REF!),BDI!#REF!,IF(#REF!="ZERO",0))))),"")</f>
        <v>#REF!</v>
      </c>
      <c r="H797" s="136" t="str">
        <f t="shared" si="37"/>
        <v/>
      </c>
      <c r="I797" s="134" t="str">
        <f t="shared" si="38"/>
        <v/>
      </c>
      <c r="J797" s="226"/>
    </row>
    <row r="798" spans="1:10" hidden="1" x14ac:dyDescent="0.25">
      <c r="A798" s="112" t="s">
        <v>2593</v>
      </c>
      <c r="B798" s="113" t="s">
        <v>2594</v>
      </c>
      <c r="C798" s="114" t="s">
        <v>20</v>
      </c>
      <c r="D798" s="114">
        <v>0</v>
      </c>
      <c r="E798" s="133" t="s">
        <v>514</v>
      </c>
      <c r="F798" s="134" t="str">
        <f t="shared" si="36"/>
        <v/>
      </c>
      <c r="G798" s="135" t="e">
        <f>IF(A798&lt;&gt;"",IF(AND(#REF!="Padrão",$H$4=#REF!),BDI!$B$17,IF(AND(#REF!="Padrão",$H$4=#REF!),BDI!#REF!,IF(AND(#REF!="Diferenciado",$H$4=#REF!),BDI!$E$17,IF(AND(#REF!="Diferenciado",$H$4=#REF!),BDI!#REF!,IF(#REF!="ZERO",0))))),"")</f>
        <v>#REF!</v>
      </c>
      <c r="H798" s="136" t="str">
        <f t="shared" si="37"/>
        <v/>
      </c>
      <c r="I798" s="134" t="str">
        <f t="shared" si="38"/>
        <v/>
      </c>
      <c r="J798" s="226"/>
    </row>
    <row r="799" spans="1:10" hidden="1" x14ac:dyDescent="0.25">
      <c r="A799" s="112" t="s">
        <v>2595</v>
      </c>
      <c r="B799" s="113" t="s">
        <v>2596</v>
      </c>
      <c r="C799" s="114" t="s">
        <v>20</v>
      </c>
      <c r="D799" s="114">
        <v>0</v>
      </c>
      <c r="E799" s="133" t="s">
        <v>514</v>
      </c>
      <c r="F799" s="134" t="str">
        <f t="shared" si="36"/>
        <v/>
      </c>
      <c r="G799" s="135" t="e">
        <f>IF(A799&lt;&gt;"",IF(AND(#REF!="Padrão",$H$4=#REF!),BDI!$B$17,IF(AND(#REF!="Padrão",$H$4=#REF!),BDI!#REF!,IF(AND(#REF!="Diferenciado",$H$4=#REF!),BDI!$E$17,IF(AND(#REF!="Diferenciado",$H$4=#REF!),BDI!#REF!,IF(#REF!="ZERO",0))))),"")</f>
        <v>#REF!</v>
      </c>
      <c r="H799" s="136" t="str">
        <f t="shared" si="37"/>
        <v/>
      </c>
      <c r="I799" s="134" t="str">
        <f t="shared" si="38"/>
        <v/>
      </c>
      <c r="J799" s="226"/>
    </row>
    <row r="800" spans="1:10" hidden="1" x14ac:dyDescent="0.25">
      <c r="A800" s="112" t="s">
        <v>2597</v>
      </c>
      <c r="B800" s="113" t="s">
        <v>2598</v>
      </c>
      <c r="C800" s="114" t="s">
        <v>20</v>
      </c>
      <c r="D800" s="114">
        <v>0</v>
      </c>
      <c r="E800" s="133" t="s">
        <v>514</v>
      </c>
      <c r="F800" s="134" t="str">
        <f t="shared" si="36"/>
        <v/>
      </c>
      <c r="G800" s="135" t="e">
        <f>IF(A800&lt;&gt;"",IF(AND(#REF!="Padrão",$H$4=#REF!),BDI!$B$17,IF(AND(#REF!="Padrão",$H$4=#REF!),BDI!#REF!,IF(AND(#REF!="Diferenciado",$H$4=#REF!),BDI!$E$17,IF(AND(#REF!="Diferenciado",$H$4=#REF!),BDI!#REF!,IF(#REF!="ZERO",0))))),"")</f>
        <v>#REF!</v>
      </c>
      <c r="H800" s="136" t="str">
        <f t="shared" si="37"/>
        <v/>
      </c>
      <c r="I800" s="134" t="str">
        <f t="shared" si="38"/>
        <v/>
      </c>
      <c r="J800" s="226"/>
    </row>
    <row r="801" spans="1:10" hidden="1" x14ac:dyDescent="0.25">
      <c r="A801" s="112" t="s">
        <v>2599</v>
      </c>
      <c r="B801" s="113" t="s">
        <v>2600</v>
      </c>
      <c r="C801" s="114" t="s">
        <v>20</v>
      </c>
      <c r="D801" s="114">
        <v>0</v>
      </c>
      <c r="E801" s="133" t="s">
        <v>514</v>
      </c>
      <c r="F801" s="134" t="str">
        <f t="shared" si="36"/>
        <v/>
      </c>
      <c r="G801" s="135" t="e">
        <f>IF(A801&lt;&gt;"",IF(AND(#REF!="Padrão",$H$4=#REF!),BDI!$B$17,IF(AND(#REF!="Padrão",$H$4=#REF!),BDI!#REF!,IF(AND(#REF!="Diferenciado",$H$4=#REF!),BDI!$E$17,IF(AND(#REF!="Diferenciado",$H$4=#REF!),BDI!#REF!,IF(#REF!="ZERO",0))))),"")</f>
        <v>#REF!</v>
      </c>
      <c r="H801" s="136" t="str">
        <f t="shared" si="37"/>
        <v/>
      </c>
      <c r="I801" s="134" t="str">
        <f t="shared" si="38"/>
        <v/>
      </c>
      <c r="J801" s="226"/>
    </row>
    <row r="802" spans="1:10" hidden="1" x14ac:dyDescent="0.25">
      <c r="A802" s="112" t="s">
        <v>2601</v>
      </c>
      <c r="B802" s="113" t="s">
        <v>2602</v>
      </c>
      <c r="C802" s="114" t="s">
        <v>20</v>
      </c>
      <c r="D802" s="114">
        <v>0</v>
      </c>
      <c r="E802" s="133" t="s">
        <v>514</v>
      </c>
      <c r="F802" s="134" t="str">
        <f t="shared" si="36"/>
        <v/>
      </c>
      <c r="G802" s="135" t="e">
        <f>IF(A802&lt;&gt;"",IF(AND(#REF!="Padrão",$H$4=#REF!),BDI!$B$17,IF(AND(#REF!="Padrão",$H$4=#REF!),BDI!#REF!,IF(AND(#REF!="Diferenciado",$H$4=#REF!),BDI!$E$17,IF(AND(#REF!="Diferenciado",$H$4=#REF!),BDI!#REF!,IF(#REF!="ZERO",0))))),"")</f>
        <v>#REF!</v>
      </c>
      <c r="H802" s="136" t="str">
        <f t="shared" si="37"/>
        <v/>
      </c>
      <c r="I802" s="134" t="str">
        <f t="shared" si="38"/>
        <v/>
      </c>
      <c r="J802" s="226"/>
    </row>
    <row r="803" spans="1:10" hidden="1" x14ac:dyDescent="0.25">
      <c r="A803" s="112" t="s">
        <v>2603</v>
      </c>
      <c r="B803" s="113" t="s">
        <v>2604</v>
      </c>
      <c r="C803" s="114" t="s">
        <v>20</v>
      </c>
      <c r="D803" s="114">
        <v>0</v>
      </c>
      <c r="E803" s="133" t="s">
        <v>514</v>
      </c>
      <c r="F803" s="134" t="str">
        <f t="shared" si="36"/>
        <v/>
      </c>
      <c r="G803" s="135" t="e">
        <f>IF(A803&lt;&gt;"",IF(AND(#REF!="Padrão",$H$4=#REF!),BDI!$B$17,IF(AND(#REF!="Padrão",$H$4=#REF!),BDI!#REF!,IF(AND(#REF!="Diferenciado",$H$4=#REF!),BDI!$E$17,IF(AND(#REF!="Diferenciado",$H$4=#REF!),BDI!#REF!,IF(#REF!="ZERO",0))))),"")</f>
        <v>#REF!</v>
      </c>
      <c r="H803" s="136" t="str">
        <f t="shared" si="37"/>
        <v/>
      </c>
      <c r="I803" s="134" t="str">
        <f t="shared" si="38"/>
        <v/>
      </c>
      <c r="J803" s="226"/>
    </row>
    <row r="804" spans="1:10" hidden="1" x14ac:dyDescent="0.25">
      <c r="A804" s="112" t="s">
        <v>2605</v>
      </c>
      <c r="B804" s="113" t="s">
        <v>2606</v>
      </c>
      <c r="C804" s="114" t="s">
        <v>20</v>
      </c>
      <c r="D804" s="114">
        <v>0</v>
      </c>
      <c r="E804" s="133" t="s">
        <v>514</v>
      </c>
      <c r="F804" s="134" t="str">
        <f t="shared" si="36"/>
        <v/>
      </c>
      <c r="G804" s="135" t="e">
        <f>IF(A804&lt;&gt;"",IF(AND(#REF!="Padrão",$H$4=#REF!),BDI!$B$17,IF(AND(#REF!="Padrão",$H$4=#REF!),BDI!#REF!,IF(AND(#REF!="Diferenciado",$H$4=#REF!),BDI!$E$17,IF(AND(#REF!="Diferenciado",$H$4=#REF!),BDI!#REF!,IF(#REF!="ZERO",0))))),"")</f>
        <v>#REF!</v>
      </c>
      <c r="H804" s="136" t="str">
        <f t="shared" si="37"/>
        <v/>
      </c>
      <c r="I804" s="134" t="str">
        <f t="shared" si="38"/>
        <v/>
      </c>
      <c r="J804" s="226"/>
    </row>
    <row r="805" spans="1:10" hidden="1" x14ac:dyDescent="0.25">
      <c r="A805" s="112" t="s">
        <v>2607</v>
      </c>
      <c r="B805" s="113" t="s">
        <v>2608</v>
      </c>
      <c r="C805" s="114" t="s">
        <v>20</v>
      </c>
      <c r="D805" s="114">
        <v>0</v>
      </c>
      <c r="E805" s="133" t="s">
        <v>514</v>
      </c>
      <c r="F805" s="134" t="str">
        <f t="shared" si="36"/>
        <v/>
      </c>
      <c r="G805" s="135" t="e">
        <f>IF(A805&lt;&gt;"",IF(AND(#REF!="Padrão",$H$4=#REF!),BDI!$B$17,IF(AND(#REF!="Padrão",$H$4=#REF!),BDI!#REF!,IF(AND(#REF!="Diferenciado",$H$4=#REF!),BDI!$E$17,IF(AND(#REF!="Diferenciado",$H$4=#REF!),BDI!#REF!,IF(#REF!="ZERO",0))))),"")</f>
        <v>#REF!</v>
      </c>
      <c r="H805" s="136" t="str">
        <f t="shared" si="37"/>
        <v/>
      </c>
      <c r="I805" s="134" t="str">
        <f t="shared" si="38"/>
        <v/>
      </c>
      <c r="J805" s="226"/>
    </row>
    <row r="806" spans="1:10" hidden="1" x14ac:dyDescent="0.25">
      <c r="A806" s="112" t="s">
        <v>2609</v>
      </c>
      <c r="B806" s="113" t="s">
        <v>2610</v>
      </c>
      <c r="C806" s="114" t="s">
        <v>20</v>
      </c>
      <c r="D806" s="114">
        <v>0</v>
      </c>
      <c r="E806" s="133" t="s">
        <v>514</v>
      </c>
      <c r="F806" s="134" t="str">
        <f t="shared" si="36"/>
        <v/>
      </c>
      <c r="G806" s="135" t="e">
        <f>IF(A806&lt;&gt;"",IF(AND(#REF!="Padrão",$H$4=#REF!),BDI!$B$17,IF(AND(#REF!="Padrão",$H$4=#REF!),BDI!#REF!,IF(AND(#REF!="Diferenciado",$H$4=#REF!),BDI!$E$17,IF(AND(#REF!="Diferenciado",$H$4=#REF!),BDI!#REF!,IF(#REF!="ZERO",0))))),"")</f>
        <v>#REF!</v>
      </c>
      <c r="H806" s="136" t="str">
        <f t="shared" si="37"/>
        <v/>
      </c>
      <c r="I806" s="134" t="str">
        <f t="shared" si="38"/>
        <v/>
      </c>
      <c r="J806" s="226"/>
    </row>
    <row r="807" spans="1:10" hidden="1" x14ac:dyDescent="0.25">
      <c r="A807" s="112" t="s">
        <v>2611</v>
      </c>
      <c r="B807" s="113" t="s">
        <v>2612</v>
      </c>
      <c r="C807" s="114" t="s">
        <v>20</v>
      </c>
      <c r="D807" s="114">
        <v>0</v>
      </c>
      <c r="E807" s="133" t="s">
        <v>514</v>
      </c>
      <c r="F807" s="134" t="str">
        <f t="shared" si="36"/>
        <v/>
      </c>
      <c r="G807" s="135" t="e">
        <f>IF(A807&lt;&gt;"",IF(AND(#REF!="Padrão",$H$4=#REF!),BDI!$B$17,IF(AND(#REF!="Padrão",$H$4=#REF!),BDI!#REF!,IF(AND(#REF!="Diferenciado",$H$4=#REF!),BDI!$E$17,IF(AND(#REF!="Diferenciado",$H$4=#REF!),BDI!#REF!,IF(#REF!="ZERO",0))))),"")</f>
        <v>#REF!</v>
      </c>
      <c r="H807" s="136" t="str">
        <f t="shared" si="37"/>
        <v/>
      </c>
      <c r="I807" s="134" t="str">
        <f t="shared" si="38"/>
        <v/>
      </c>
      <c r="J807" s="226"/>
    </row>
    <row r="808" spans="1:10" hidden="1" x14ac:dyDescent="0.25">
      <c r="A808" s="112" t="s">
        <v>2613</v>
      </c>
      <c r="B808" s="113" t="s">
        <v>2614</v>
      </c>
      <c r="C808" s="114" t="s">
        <v>20</v>
      </c>
      <c r="D808" s="114">
        <v>0</v>
      </c>
      <c r="E808" s="133" t="s">
        <v>514</v>
      </c>
      <c r="F808" s="134" t="str">
        <f t="shared" si="36"/>
        <v/>
      </c>
      <c r="G808" s="135" t="e">
        <f>IF(A808&lt;&gt;"",IF(AND(#REF!="Padrão",$H$4=#REF!),BDI!$B$17,IF(AND(#REF!="Padrão",$H$4=#REF!),BDI!#REF!,IF(AND(#REF!="Diferenciado",$H$4=#REF!),BDI!$E$17,IF(AND(#REF!="Diferenciado",$H$4=#REF!),BDI!#REF!,IF(#REF!="ZERO",0))))),"")</f>
        <v>#REF!</v>
      </c>
      <c r="H808" s="136" t="str">
        <f t="shared" si="37"/>
        <v/>
      </c>
      <c r="I808" s="134" t="str">
        <f t="shared" si="38"/>
        <v/>
      </c>
      <c r="J808" s="226"/>
    </row>
    <row r="809" spans="1:10" hidden="1" x14ac:dyDescent="0.25">
      <c r="A809" s="112" t="s">
        <v>2615</v>
      </c>
      <c r="B809" s="113" t="s">
        <v>2616</v>
      </c>
      <c r="C809" s="114" t="s">
        <v>20</v>
      </c>
      <c r="D809" s="114">
        <v>0</v>
      </c>
      <c r="E809" s="133" t="s">
        <v>514</v>
      </c>
      <c r="F809" s="134" t="str">
        <f t="shared" si="36"/>
        <v/>
      </c>
      <c r="G809" s="135" t="e">
        <f>IF(A809&lt;&gt;"",IF(AND(#REF!="Padrão",$H$4=#REF!),BDI!$B$17,IF(AND(#REF!="Padrão",$H$4=#REF!),BDI!#REF!,IF(AND(#REF!="Diferenciado",$H$4=#REF!),BDI!$E$17,IF(AND(#REF!="Diferenciado",$H$4=#REF!),BDI!#REF!,IF(#REF!="ZERO",0))))),"")</f>
        <v>#REF!</v>
      </c>
      <c r="H809" s="136" t="str">
        <f t="shared" si="37"/>
        <v/>
      </c>
      <c r="I809" s="134" t="str">
        <f t="shared" si="38"/>
        <v/>
      </c>
      <c r="J809" s="226"/>
    </row>
    <row r="810" spans="1:10" hidden="1" x14ac:dyDescent="0.25">
      <c r="A810" s="112" t="s">
        <v>2617</v>
      </c>
      <c r="B810" s="113" t="s">
        <v>2618</v>
      </c>
      <c r="C810" s="114" t="s">
        <v>20</v>
      </c>
      <c r="D810" s="114">
        <v>0</v>
      </c>
      <c r="E810" s="133" t="s">
        <v>514</v>
      </c>
      <c r="F810" s="134" t="str">
        <f t="shared" si="36"/>
        <v/>
      </c>
      <c r="G810" s="135" t="e">
        <f>IF(A810&lt;&gt;"",IF(AND(#REF!="Padrão",$H$4=#REF!),BDI!$B$17,IF(AND(#REF!="Padrão",$H$4=#REF!),BDI!#REF!,IF(AND(#REF!="Diferenciado",$H$4=#REF!),BDI!$E$17,IF(AND(#REF!="Diferenciado",$H$4=#REF!),BDI!#REF!,IF(#REF!="ZERO",0))))),"")</f>
        <v>#REF!</v>
      </c>
      <c r="H810" s="136" t="str">
        <f t="shared" si="37"/>
        <v/>
      </c>
      <c r="I810" s="134" t="str">
        <f t="shared" si="38"/>
        <v/>
      </c>
      <c r="J810" s="226"/>
    </row>
    <row r="811" spans="1:10" hidden="1" x14ac:dyDescent="0.25">
      <c r="A811" s="112" t="s">
        <v>2619</v>
      </c>
      <c r="B811" s="113" t="s">
        <v>2620</v>
      </c>
      <c r="C811" s="114" t="s">
        <v>20</v>
      </c>
      <c r="D811" s="114">
        <v>0</v>
      </c>
      <c r="E811" s="133" t="s">
        <v>514</v>
      </c>
      <c r="F811" s="134" t="str">
        <f t="shared" si="36"/>
        <v/>
      </c>
      <c r="G811" s="135" t="e">
        <f>IF(A811&lt;&gt;"",IF(AND(#REF!="Padrão",$H$4=#REF!),BDI!$B$17,IF(AND(#REF!="Padrão",$H$4=#REF!),BDI!#REF!,IF(AND(#REF!="Diferenciado",$H$4=#REF!),BDI!$E$17,IF(AND(#REF!="Diferenciado",$H$4=#REF!),BDI!#REF!,IF(#REF!="ZERO",0))))),"")</f>
        <v>#REF!</v>
      </c>
      <c r="H811" s="136" t="str">
        <f t="shared" si="37"/>
        <v/>
      </c>
      <c r="I811" s="134" t="str">
        <f t="shared" si="38"/>
        <v/>
      </c>
      <c r="J811" s="226"/>
    </row>
    <row r="812" spans="1:10" hidden="1" x14ac:dyDescent="0.25">
      <c r="A812" s="112" t="s">
        <v>2621</v>
      </c>
      <c r="B812" s="113" t="s">
        <v>2622</v>
      </c>
      <c r="C812" s="114" t="s">
        <v>20</v>
      </c>
      <c r="D812" s="114">
        <v>0</v>
      </c>
      <c r="E812" s="133" t="s">
        <v>514</v>
      </c>
      <c r="F812" s="134" t="str">
        <f t="shared" si="36"/>
        <v/>
      </c>
      <c r="G812" s="135" t="e">
        <f>IF(A812&lt;&gt;"",IF(AND(#REF!="Padrão",$H$4=#REF!),BDI!$B$17,IF(AND(#REF!="Padrão",$H$4=#REF!),BDI!#REF!,IF(AND(#REF!="Diferenciado",$H$4=#REF!),BDI!$E$17,IF(AND(#REF!="Diferenciado",$H$4=#REF!),BDI!#REF!,IF(#REF!="ZERO",0))))),"")</f>
        <v>#REF!</v>
      </c>
      <c r="H812" s="136" t="str">
        <f t="shared" si="37"/>
        <v/>
      </c>
      <c r="I812" s="134" t="str">
        <f t="shared" si="38"/>
        <v/>
      </c>
      <c r="J812" s="226"/>
    </row>
    <row r="813" spans="1:10" hidden="1" x14ac:dyDescent="0.25">
      <c r="A813" s="112" t="s">
        <v>2623</v>
      </c>
      <c r="B813" s="113" t="s">
        <v>2624</v>
      </c>
      <c r="C813" s="114" t="s">
        <v>20</v>
      </c>
      <c r="D813" s="114">
        <v>0</v>
      </c>
      <c r="E813" s="133" t="s">
        <v>514</v>
      </c>
      <c r="F813" s="134" t="str">
        <f t="shared" si="36"/>
        <v/>
      </c>
      <c r="G813" s="135" t="e">
        <f>IF(A813&lt;&gt;"",IF(AND(#REF!="Padrão",$H$4=#REF!),BDI!$B$17,IF(AND(#REF!="Padrão",$H$4=#REF!),BDI!#REF!,IF(AND(#REF!="Diferenciado",$H$4=#REF!),BDI!$E$17,IF(AND(#REF!="Diferenciado",$H$4=#REF!),BDI!#REF!,IF(#REF!="ZERO",0))))),"")</f>
        <v>#REF!</v>
      </c>
      <c r="H813" s="136" t="str">
        <f t="shared" si="37"/>
        <v/>
      </c>
      <c r="I813" s="134" t="str">
        <f t="shared" si="38"/>
        <v/>
      </c>
      <c r="J813" s="226"/>
    </row>
    <row r="814" spans="1:10" hidden="1" x14ac:dyDescent="0.25">
      <c r="A814" s="112" t="s">
        <v>2625</v>
      </c>
      <c r="B814" s="113" t="s">
        <v>2626</v>
      </c>
      <c r="C814" s="114" t="s">
        <v>20</v>
      </c>
      <c r="D814" s="114">
        <v>0</v>
      </c>
      <c r="E814" s="133" t="s">
        <v>514</v>
      </c>
      <c r="F814" s="134" t="str">
        <f t="shared" si="36"/>
        <v/>
      </c>
      <c r="G814" s="135" t="e">
        <f>IF(A814&lt;&gt;"",IF(AND(#REF!="Padrão",$H$4=#REF!),BDI!$B$17,IF(AND(#REF!="Padrão",$H$4=#REF!),BDI!#REF!,IF(AND(#REF!="Diferenciado",$H$4=#REF!),BDI!$E$17,IF(AND(#REF!="Diferenciado",$H$4=#REF!),BDI!#REF!,IF(#REF!="ZERO",0))))),"")</f>
        <v>#REF!</v>
      </c>
      <c r="H814" s="136" t="str">
        <f t="shared" si="37"/>
        <v/>
      </c>
      <c r="I814" s="134" t="str">
        <f t="shared" si="38"/>
        <v/>
      </c>
      <c r="J814" s="226"/>
    </row>
    <row r="815" spans="1:10" hidden="1" x14ac:dyDescent="0.25">
      <c r="A815" s="112" t="s">
        <v>2627</v>
      </c>
      <c r="B815" s="113" t="s">
        <v>2628</v>
      </c>
      <c r="C815" s="114" t="s">
        <v>20</v>
      </c>
      <c r="D815" s="114">
        <v>0</v>
      </c>
      <c r="E815" s="133" t="s">
        <v>514</v>
      </c>
      <c r="F815" s="134" t="str">
        <f t="shared" si="36"/>
        <v/>
      </c>
      <c r="G815" s="135" t="e">
        <f>IF(A815&lt;&gt;"",IF(AND(#REF!="Padrão",$H$4=#REF!),BDI!$B$17,IF(AND(#REF!="Padrão",$H$4=#REF!),BDI!#REF!,IF(AND(#REF!="Diferenciado",$H$4=#REF!),BDI!$E$17,IF(AND(#REF!="Diferenciado",$H$4=#REF!),BDI!#REF!,IF(#REF!="ZERO",0))))),"")</f>
        <v>#REF!</v>
      </c>
      <c r="H815" s="136" t="str">
        <f t="shared" si="37"/>
        <v/>
      </c>
      <c r="I815" s="134" t="str">
        <f t="shared" si="38"/>
        <v/>
      </c>
      <c r="J815" s="226"/>
    </row>
    <row r="816" spans="1:10" hidden="1" x14ac:dyDescent="0.25">
      <c r="A816" s="112" t="s">
        <v>2629</v>
      </c>
      <c r="B816" s="113" t="s">
        <v>2630</v>
      </c>
      <c r="C816" s="114" t="s">
        <v>20</v>
      </c>
      <c r="D816" s="114">
        <v>0</v>
      </c>
      <c r="E816" s="133" t="s">
        <v>514</v>
      </c>
      <c r="F816" s="134" t="str">
        <f t="shared" si="36"/>
        <v/>
      </c>
      <c r="G816" s="135" t="e">
        <f>IF(A816&lt;&gt;"",IF(AND(#REF!="Padrão",$H$4=#REF!),BDI!$B$17,IF(AND(#REF!="Padrão",$H$4=#REF!),BDI!#REF!,IF(AND(#REF!="Diferenciado",$H$4=#REF!),BDI!$E$17,IF(AND(#REF!="Diferenciado",$H$4=#REF!),BDI!#REF!,IF(#REF!="ZERO",0))))),"")</f>
        <v>#REF!</v>
      </c>
      <c r="H816" s="136" t="str">
        <f t="shared" si="37"/>
        <v/>
      </c>
      <c r="I816" s="134" t="str">
        <f t="shared" si="38"/>
        <v/>
      </c>
      <c r="J816" s="226"/>
    </row>
    <row r="817" spans="1:10" hidden="1" x14ac:dyDescent="0.25">
      <c r="A817" s="112" t="s">
        <v>2631</v>
      </c>
      <c r="B817" s="113" t="s">
        <v>2632</v>
      </c>
      <c r="C817" s="114" t="s">
        <v>20</v>
      </c>
      <c r="D817" s="114">
        <v>0</v>
      </c>
      <c r="E817" s="133" t="s">
        <v>514</v>
      </c>
      <c r="F817" s="134" t="str">
        <f t="shared" si="36"/>
        <v/>
      </c>
      <c r="G817" s="135" t="e">
        <f>IF(A817&lt;&gt;"",IF(AND(#REF!="Padrão",$H$4=#REF!),BDI!$B$17,IF(AND(#REF!="Padrão",$H$4=#REF!),BDI!#REF!,IF(AND(#REF!="Diferenciado",$H$4=#REF!),BDI!$E$17,IF(AND(#REF!="Diferenciado",$H$4=#REF!),BDI!#REF!,IF(#REF!="ZERO",0))))),"")</f>
        <v>#REF!</v>
      </c>
      <c r="H817" s="136" t="str">
        <f t="shared" si="37"/>
        <v/>
      </c>
      <c r="I817" s="134" t="str">
        <f t="shared" si="38"/>
        <v/>
      </c>
      <c r="J817" s="226"/>
    </row>
    <row r="818" spans="1:10" hidden="1" x14ac:dyDescent="0.25">
      <c r="A818" s="112" t="s">
        <v>2633</v>
      </c>
      <c r="B818" s="113" t="s">
        <v>2634</v>
      </c>
      <c r="C818" s="114" t="s">
        <v>20</v>
      </c>
      <c r="D818" s="114">
        <v>0</v>
      </c>
      <c r="E818" s="133" t="s">
        <v>514</v>
      </c>
      <c r="F818" s="134" t="str">
        <f t="shared" si="36"/>
        <v/>
      </c>
      <c r="G818" s="135" t="e">
        <f>IF(A818&lt;&gt;"",IF(AND(#REF!="Padrão",$H$4=#REF!),BDI!$B$17,IF(AND(#REF!="Padrão",$H$4=#REF!),BDI!#REF!,IF(AND(#REF!="Diferenciado",$H$4=#REF!),BDI!$E$17,IF(AND(#REF!="Diferenciado",$H$4=#REF!),BDI!#REF!,IF(#REF!="ZERO",0))))),"")</f>
        <v>#REF!</v>
      </c>
      <c r="H818" s="136" t="str">
        <f t="shared" si="37"/>
        <v/>
      </c>
      <c r="I818" s="134" t="str">
        <f t="shared" si="38"/>
        <v/>
      </c>
      <c r="J818" s="226"/>
    </row>
    <row r="819" spans="1:10" hidden="1" x14ac:dyDescent="0.25">
      <c r="A819" s="112" t="s">
        <v>2635</v>
      </c>
      <c r="B819" s="113" t="s">
        <v>2636</v>
      </c>
      <c r="C819" s="114" t="s">
        <v>20</v>
      </c>
      <c r="D819" s="114">
        <v>0</v>
      </c>
      <c r="E819" s="133">
        <f ca="1">OFFSET(INDEX(Composições!A:J,MATCH(Orçamentária!A819,Composições!A:A,0),8),2,0)</f>
        <v>24.529</v>
      </c>
      <c r="F819" s="134">
        <f t="shared" ca="1" si="36"/>
        <v>0</v>
      </c>
      <c r="G819" s="135" t="e">
        <f>IF(A819&lt;&gt;"",IF(AND(#REF!="Padrão",$H$4=#REF!),BDI!$B$17,IF(AND(#REF!="Padrão",$H$4=#REF!),BDI!#REF!,IF(AND(#REF!="Diferenciado",$H$4=#REF!),BDI!$E$17,IF(AND(#REF!="Diferenciado",$H$4=#REF!),BDI!#REF!,IF(#REF!="ZERO",0))))),"")</f>
        <v>#REF!</v>
      </c>
      <c r="H819" s="136" t="e">
        <f t="shared" ca="1" si="37"/>
        <v>#REF!</v>
      </c>
      <c r="I819" s="134" t="e">
        <f t="shared" ca="1" si="38"/>
        <v>#REF!</v>
      </c>
      <c r="J819" s="226"/>
    </row>
    <row r="820" spans="1:10" hidden="1" x14ac:dyDescent="0.25">
      <c r="A820" s="112" t="s">
        <v>2637</v>
      </c>
      <c r="B820" s="113" t="s">
        <v>2638</v>
      </c>
      <c r="C820" s="114" t="s">
        <v>20</v>
      </c>
      <c r="D820" s="114">
        <v>0</v>
      </c>
      <c r="E820" s="133">
        <f ca="1">OFFSET(INDEX(Composições!A:J,MATCH(Orçamentária!A820,Composições!A:A,0),8),2,0)</f>
        <v>18.6295</v>
      </c>
      <c r="F820" s="134">
        <f t="shared" ca="1" si="36"/>
        <v>0</v>
      </c>
      <c r="G820" s="135" t="e">
        <f>IF(A820&lt;&gt;"",IF(AND(#REF!="Padrão",$H$4=#REF!),BDI!$B$17,IF(AND(#REF!="Padrão",$H$4=#REF!),BDI!#REF!,IF(AND(#REF!="Diferenciado",$H$4=#REF!),BDI!$E$17,IF(AND(#REF!="Diferenciado",$H$4=#REF!),BDI!#REF!,IF(#REF!="ZERO",0))))),"")</f>
        <v>#REF!</v>
      </c>
      <c r="H820" s="136" t="e">
        <f t="shared" ca="1" si="37"/>
        <v>#REF!</v>
      </c>
      <c r="I820" s="134" t="e">
        <f t="shared" ca="1" si="38"/>
        <v>#REF!</v>
      </c>
      <c r="J820" s="226"/>
    </row>
    <row r="821" spans="1:10" hidden="1" x14ac:dyDescent="0.25">
      <c r="A821" s="112" t="s">
        <v>2639</v>
      </c>
      <c r="B821" s="113" t="s">
        <v>2640</v>
      </c>
      <c r="C821" s="114" t="s">
        <v>20</v>
      </c>
      <c r="D821" s="114">
        <v>0</v>
      </c>
      <c r="E821" s="133" t="s">
        <v>514</v>
      </c>
      <c r="F821" s="134" t="str">
        <f t="shared" si="36"/>
        <v/>
      </c>
      <c r="G821" s="135" t="e">
        <f>IF(A821&lt;&gt;"",IF(AND(#REF!="Padrão",$H$4=#REF!),BDI!$B$17,IF(AND(#REF!="Padrão",$H$4=#REF!),BDI!#REF!,IF(AND(#REF!="Diferenciado",$H$4=#REF!),BDI!$E$17,IF(AND(#REF!="Diferenciado",$H$4=#REF!),BDI!#REF!,IF(#REF!="ZERO",0))))),"")</f>
        <v>#REF!</v>
      </c>
      <c r="H821" s="136" t="str">
        <f t="shared" si="37"/>
        <v/>
      </c>
      <c r="I821" s="134" t="str">
        <f t="shared" si="38"/>
        <v/>
      </c>
      <c r="J821" s="226"/>
    </row>
    <row r="822" spans="1:10" hidden="1" x14ac:dyDescent="0.25">
      <c r="A822" s="112" t="s">
        <v>2641</v>
      </c>
      <c r="B822" s="113" t="s">
        <v>2642</v>
      </c>
      <c r="C822" s="114" t="s">
        <v>20</v>
      </c>
      <c r="D822" s="114">
        <v>0</v>
      </c>
      <c r="E822" s="133" t="s">
        <v>514</v>
      </c>
      <c r="F822" s="134" t="str">
        <f t="shared" si="36"/>
        <v/>
      </c>
      <c r="G822" s="135" t="e">
        <f>IF(A822&lt;&gt;"",IF(AND(#REF!="Padrão",$H$4=#REF!),BDI!$B$17,IF(AND(#REF!="Padrão",$H$4=#REF!),BDI!#REF!,IF(AND(#REF!="Diferenciado",$H$4=#REF!),BDI!$E$17,IF(AND(#REF!="Diferenciado",$H$4=#REF!),BDI!#REF!,IF(#REF!="ZERO",0))))),"")</f>
        <v>#REF!</v>
      </c>
      <c r="H822" s="136" t="str">
        <f t="shared" si="37"/>
        <v/>
      </c>
      <c r="I822" s="134" t="str">
        <f t="shared" si="38"/>
        <v/>
      </c>
      <c r="J822" s="226"/>
    </row>
    <row r="823" spans="1:10" hidden="1" x14ac:dyDescent="0.25">
      <c r="A823" s="112" t="s">
        <v>2643</v>
      </c>
      <c r="B823" s="113" t="s">
        <v>2644</v>
      </c>
      <c r="C823" s="114" t="s">
        <v>20</v>
      </c>
      <c r="D823" s="114">
        <v>0</v>
      </c>
      <c r="E823" s="133" t="s">
        <v>514</v>
      </c>
      <c r="F823" s="134" t="str">
        <f t="shared" si="36"/>
        <v/>
      </c>
      <c r="G823" s="135" t="e">
        <f>IF(A823&lt;&gt;"",IF(AND(#REF!="Padrão",$H$4=#REF!),BDI!$B$17,IF(AND(#REF!="Padrão",$H$4=#REF!),BDI!#REF!,IF(AND(#REF!="Diferenciado",$H$4=#REF!),BDI!$E$17,IF(AND(#REF!="Diferenciado",$H$4=#REF!),BDI!#REF!,IF(#REF!="ZERO",0))))),"")</f>
        <v>#REF!</v>
      </c>
      <c r="H823" s="136" t="str">
        <f t="shared" si="37"/>
        <v/>
      </c>
      <c r="I823" s="134" t="str">
        <f t="shared" si="38"/>
        <v/>
      </c>
      <c r="J823" s="226"/>
    </row>
    <row r="824" spans="1:10" hidden="1" x14ac:dyDescent="0.25">
      <c r="A824" s="112" t="s">
        <v>2645</v>
      </c>
      <c r="B824" s="113" t="s">
        <v>2646</v>
      </c>
      <c r="C824" s="114" t="s">
        <v>20</v>
      </c>
      <c r="D824" s="114">
        <v>0</v>
      </c>
      <c r="E824" s="133" t="s">
        <v>514</v>
      </c>
      <c r="F824" s="134" t="str">
        <f t="shared" si="36"/>
        <v/>
      </c>
      <c r="G824" s="135" t="e">
        <f>IF(A824&lt;&gt;"",IF(AND(#REF!="Padrão",$H$4=#REF!),BDI!$B$17,IF(AND(#REF!="Padrão",$H$4=#REF!),BDI!#REF!,IF(AND(#REF!="Diferenciado",$H$4=#REF!),BDI!$E$17,IF(AND(#REF!="Diferenciado",$H$4=#REF!),BDI!#REF!,IF(#REF!="ZERO",0))))),"")</f>
        <v>#REF!</v>
      </c>
      <c r="H824" s="136" t="str">
        <f t="shared" si="37"/>
        <v/>
      </c>
      <c r="I824" s="134" t="str">
        <f t="shared" si="38"/>
        <v/>
      </c>
      <c r="J824" s="226"/>
    </row>
    <row r="825" spans="1:10" hidden="1" x14ac:dyDescent="0.25">
      <c r="A825" s="112" t="s">
        <v>2647</v>
      </c>
      <c r="B825" s="113" t="s">
        <v>2648</v>
      </c>
      <c r="C825" s="114" t="s">
        <v>20</v>
      </c>
      <c r="D825" s="114">
        <v>0</v>
      </c>
      <c r="E825" s="133" t="s">
        <v>514</v>
      </c>
      <c r="F825" s="134" t="str">
        <f t="shared" si="36"/>
        <v/>
      </c>
      <c r="G825" s="135" t="e">
        <f>IF(A825&lt;&gt;"",IF(AND(#REF!="Padrão",$H$4=#REF!),BDI!$B$17,IF(AND(#REF!="Padrão",$H$4=#REF!),BDI!#REF!,IF(AND(#REF!="Diferenciado",$H$4=#REF!),BDI!$E$17,IF(AND(#REF!="Diferenciado",$H$4=#REF!),BDI!#REF!,IF(#REF!="ZERO",0))))),"")</f>
        <v>#REF!</v>
      </c>
      <c r="H825" s="136" t="str">
        <f t="shared" si="37"/>
        <v/>
      </c>
      <c r="I825" s="134" t="str">
        <f t="shared" si="38"/>
        <v/>
      </c>
      <c r="J825" s="226"/>
    </row>
    <row r="826" spans="1:10" hidden="1" x14ac:dyDescent="0.25">
      <c r="A826" s="112" t="s">
        <v>2649</v>
      </c>
      <c r="B826" s="113" t="s">
        <v>2650</v>
      </c>
      <c r="C826" s="114" t="s">
        <v>2651</v>
      </c>
      <c r="D826" s="114">
        <v>0</v>
      </c>
      <c r="E826" s="133" t="s">
        <v>514</v>
      </c>
      <c r="F826" s="134" t="str">
        <f t="shared" si="36"/>
        <v/>
      </c>
      <c r="G826" s="135" t="e">
        <f>IF(A826&lt;&gt;"",IF(AND(#REF!="Padrão",$H$4=#REF!),BDI!$B$17,IF(AND(#REF!="Padrão",$H$4=#REF!),BDI!#REF!,IF(AND(#REF!="Diferenciado",$H$4=#REF!),BDI!$E$17,IF(AND(#REF!="Diferenciado",$H$4=#REF!),BDI!#REF!,IF(#REF!="ZERO",0))))),"")</f>
        <v>#REF!</v>
      </c>
      <c r="H826" s="136" t="str">
        <f t="shared" si="37"/>
        <v/>
      </c>
      <c r="I826" s="134" t="str">
        <f t="shared" si="38"/>
        <v/>
      </c>
      <c r="J826" s="226"/>
    </row>
    <row r="827" spans="1:10" hidden="1" x14ac:dyDescent="0.25">
      <c r="A827" s="112" t="s">
        <v>2652</v>
      </c>
      <c r="B827" s="113" t="s">
        <v>6276</v>
      </c>
      <c r="C827" s="114" t="s">
        <v>20</v>
      </c>
      <c r="D827" s="114">
        <v>0</v>
      </c>
      <c r="E827" s="133" t="s">
        <v>514</v>
      </c>
      <c r="F827" s="134" t="str">
        <f t="shared" si="36"/>
        <v/>
      </c>
      <c r="G827" s="135" t="e">
        <f>IF(A827&lt;&gt;"",IF(AND(#REF!="Padrão",$H$4=#REF!),BDI!$B$17,IF(AND(#REF!="Padrão",$H$4=#REF!),BDI!#REF!,IF(AND(#REF!="Diferenciado",$H$4=#REF!),BDI!$E$17,IF(AND(#REF!="Diferenciado",$H$4=#REF!),BDI!#REF!,IF(#REF!="ZERO",0))))),"")</f>
        <v>#REF!</v>
      </c>
      <c r="H827" s="136" t="str">
        <f t="shared" si="37"/>
        <v/>
      </c>
      <c r="I827" s="134" t="str">
        <f t="shared" si="38"/>
        <v/>
      </c>
      <c r="J827" s="226"/>
    </row>
    <row r="828" spans="1:10" hidden="1" x14ac:dyDescent="0.25">
      <c r="A828" s="112" t="s">
        <v>2653</v>
      </c>
      <c r="B828" s="113" t="s">
        <v>2654</v>
      </c>
      <c r="C828" s="114" t="s">
        <v>2655</v>
      </c>
      <c r="D828" s="114">
        <v>0</v>
      </c>
      <c r="E828" s="133" t="s">
        <v>514</v>
      </c>
      <c r="F828" s="134" t="str">
        <f t="shared" si="36"/>
        <v/>
      </c>
      <c r="G828" s="135" t="e">
        <f>IF(A828&lt;&gt;"",IF(AND(#REF!="Padrão",$H$4=#REF!),BDI!$B$17,IF(AND(#REF!="Padrão",$H$4=#REF!),BDI!#REF!,IF(AND(#REF!="Diferenciado",$H$4=#REF!),BDI!$E$17,IF(AND(#REF!="Diferenciado",$H$4=#REF!),BDI!#REF!,IF(#REF!="ZERO",0))))),"")</f>
        <v>#REF!</v>
      </c>
      <c r="H828" s="136" t="str">
        <f t="shared" si="37"/>
        <v/>
      </c>
      <c r="I828" s="134" t="str">
        <f t="shared" si="38"/>
        <v/>
      </c>
      <c r="J828" s="226"/>
    </row>
    <row r="829" spans="1:10" hidden="1" x14ac:dyDescent="0.25">
      <c r="A829" s="112" t="s">
        <v>2656</v>
      </c>
      <c r="B829" s="113" t="s">
        <v>2657</v>
      </c>
      <c r="C829" s="114" t="s">
        <v>2655</v>
      </c>
      <c r="D829" s="114">
        <v>0</v>
      </c>
      <c r="E829" s="133" t="s">
        <v>514</v>
      </c>
      <c r="F829" s="134" t="str">
        <f t="shared" si="36"/>
        <v/>
      </c>
      <c r="G829" s="135" t="e">
        <f>IF(A829&lt;&gt;"",IF(AND(#REF!="Padrão",$H$4=#REF!),BDI!$B$17,IF(AND(#REF!="Padrão",$H$4=#REF!),BDI!#REF!,IF(AND(#REF!="Diferenciado",$H$4=#REF!),BDI!$E$17,IF(AND(#REF!="Diferenciado",$H$4=#REF!),BDI!#REF!,IF(#REF!="ZERO",0))))),"")</f>
        <v>#REF!</v>
      </c>
      <c r="H829" s="136" t="str">
        <f t="shared" si="37"/>
        <v/>
      </c>
      <c r="I829" s="134" t="str">
        <f t="shared" si="38"/>
        <v/>
      </c>
      <c r="J829" s="226"/>
    </row>
    <row r="830" spans="1:10" hidden="1" x14ac:dyDescent="0.25">
      <c r="A830" s="112" t="s">
        <v>2658</v>
      </c>
      <c r="B830" s="113" t="s">
        <v>6277</v>
      </c>
      <c r="C830" s="114" t="s">
        <v>20</v>
      </c>
      <c r="D830" s="114">
        <v>0</v>
      </c>
      <c r="E830" s="133" t="s">
        <v>514</v>
      </c>
      <c r="F830" s="134" t="str">
        <f t="shared" si="36"/>
        <v/>
      </c>
      <c r="G830" s="135" t="e">
        <f>IF(A830&lt;&gt;"",IF(AND(#REF!="Padrão",$H$4=#REF!),BDI!$B$17,IF(AND(#REF!="Padrão",$H$4=#REF!),BDI!#REF!,IF(AND(#REF!="Diferenciado",$H$4=#REF!),BDI!$E$17,IF(AND(#REF!="Diferenciado",$H$4=#REF!),BDI!#REF!,IF(#REF!="ZERO",0))))),"")</f>
        <v>#REF!</v>
      </c>
      <c r="H830" s="136" t="str">
        <f t="shared" si="37"/>
        <v/>
      </c>
      <c r="I830" s="134" t="str">
        <f t="shared" si="38"/>
        <v/>
      </c>
      <c r="J830" s="226"/>
    </row>
    <row r="831" spans="1:10" hidden="1" x14ac:dyDescent="0.25">
      <c r="A831" s="112" t="s">
        <v>2659</v>
      </c>
      <c r="B831" s="113" t="s">
        <v>2660</v>
      </c>
      <c r="C831" s="114" t="s">
        <v>2655</v>
      </c>
      <c r="D831" s="114">
        <v>0</v>
      </c>
      <c r="E831" s="133" t="s">
        <v>514</v>
      </c>
      <c r="F831" s="134" t="str">
        <f t="shared" si="36"/>
        <v/>
      </c>
      <c r="G831" s="135" t="e">
        <f>IF(A831&lt;&gt;"",IF(AND(#REF!="Padrão",$H$4=#REF!),BDI!$B$17,IF(AND(#REF!="Padrão",$H$4=#REF!),BDI!#REF!,IF(AND(#REF!="Diferenciado",$H$4=#REF!),BDI!$E$17,IF(AND(#REF!="Diferenciado",$H$4=#REF!),BDI!#REF!,IF(#REF!="ZERO",0))))),"")</f>
        <v>#REF!</v>
      </c>
      <c r="H831" s="136" t="str">
        <f t="shared" si="37"/>
        <v/>
      </c>
      <c r="I831" s="134" t="str">
        <f t="shared" si="38"/>
        <v/>
      </c>
      <c r="J831" s="226"/>
    </row>
    <row r="832" spans="1:10" hidden="1" x14ac:dyDescent="0.25">
      <c r="A832" s="112" t="s">
        <v>2661</v>
      </c>
      <c r="B832" s="113" t="s">
        <v>6278</v>
      </c>
      <c r="C832" s="114" t="s">
        <v>1905</v>
      </c>
      <c r="D832" s="114">
        <v>0</v>
      </c>
      <c r="E832" s="133" t="s">
        <v>514</v>
      </c>
      <c r="F832" s="134" t="str">
        <f t="shared" si="36"/>
        <v/>
      </c>
      <c r="G832" s="135" t="e">
        <f>IF(A832&lt;&gt;"",IF(AND(#REF!="Padrão",$H$4=#REF!),BDI!$B$17,IF(AND(#REF!="Padrão",$H$4=#REF!),BDI!#REF!,IF(AND(#REF!="Diferenciado",$H$4=#REF!),BDI!$E$17,IF(AND(#REF!="Diferenciado",$H$4=#REF!),BDI!#REF!,IF(#REF!="ZERO",0))))),"")</f>
        <v>#REF!</v>
      </c>
      <c r="H832" s="136" t="str">
        <f t="shared" si="37"/>
        <v/>
      </c>
      <c r="I832" s="134" t="str">
        <f t="shared" si="38"/>
        <v/>
      </c>
      <c r="J832" s="226"/>
    </row>
    <row r="833" spans="1:10" hidden="1" x14ac:dyDescent="0.25">
      <c r="A833" s="112" t="s">
        <v>2662</v>
      </c>
      <c r="B833" s="113" t="s">
        <v>6279</v>
      </c>
      <c r="C833" s="114" t="s">
        <v>1905</v>
      </c>
      <c r="D833" s="114">
        <v>0</v>
      </c>
      <c r="E833" s="133">
        <f ca="1">OFFSET(INDEX(Composições!A:J,MATCH(Orçamentária!A833,Composições!A:A,0),8),2,0)</f>
        <v>40.925999999999995</v>
      </c>
      <c r="F833" s="134">
        <f t="shared" ca="1" si="36"/>
        <v>0</v>
      </c>
      <c r="G833" s="135" t="e">
        <f>IF(A833&lt;&gt;"",IF(AND(#REF!="Padrão",$H$4=#REF!),BDI!$B$17,IF(AND(#REF!="Padrão",$H$4=#REF!),BDI!#REF!,IF(AND(#REF!="Diferenciado",$H$4=#REF!),BDI!$E$17,IF(AND(#REF!="Diferenciado",$H$4=#REF!),BDI!#REF!,IF(#REF!="ZERO",0))))),"")</f>
        <v>#REF!</v>
      </c>
      <c r="H833" s="136" t="e">
        <f t="shared" ca="1" si="37"/>
        <v>#REF!</v>
      </c>
      <c r="I833" s="134" t="e">
        <f t="shared" ca="1" si="38"/>
        <v>#REF!</v>
      </c>
      <c r="J833" s="226"/>
    </row>
    <row r="834" spans="1:10" hidden="1" x14ac:dyDescent="0.25">
      <c r="A834" s="112" t="s">
        <v>2663</v>
      </c>
      <c r="B834" s="113" t="s">
        <v>2664</v>
      </c>
      <c r="C834" s="114" t="s">
        <v>20</v>
      </c>
      <c r="D834" s="114">
        <v>0</v>
      </c>
      <c r="E834" s="133">
        <f ca="1">OFFSET(INDEX(Composições!A:J,MATCH(Orçamentária!A834,Composições!A:A,0),8),2,0)</f>
        <v>18.468</v>
      </c>
      <c r="F834" s="134">
        <f t="shared" ca="1" si="36"/>
        <v>0</v>
      </c>
      <c r="G834" s="135" t="e">
        <f>IF(A834&lt;&gt;"",IF(AND(#REF!="Padrão",$H$4=#REF!),BDI!$B$17,IF(AND(#REF!="Padrão",$H$4=#REF!),BDI!#REF!,IF(AND(#REF!="Diferenciado",$H$4=#REF!),BDI!$E$17,IF(AND(#REF!="Diferenciado",$H$4=#REF!),BDI!#REF!,IF(#REF!="ZERO",0))))),"")</f>
        <v>#REF!</v>
      </c>
      <c r="H834" s="136" t="e">
        <f t="shared" ca="1" si="37"/>
        <v>#REF!</v>
      </c>
      <c r="I834" s="134" t="e">
        <f t="shared" ca="1" si="38"/>
        <v>#REF!</v>
      </c>
      <c r="J834" s="226"/>
    </row>
    <row r="835" spans="1:10" hidden="1" x14ac:dyDescent="0.25">
      <c r="A835" s="112" t="s">
        <v>2665</v>
      </c>
      <c r="B835" s="113" t="s">
        <v>2666</v>
      </c>
      <c r="C835" s="114" t="s">
        <v>20</v>
      </c>
      <c r="D835" s="114">
        <v>0</v>
      </c>
      <c r="E835" s="133" t="s">
        <v>514</v>
      </c>
      <c r="F835" s="134" t="str">
        <f t="shared" si="36"/>
        <v/>
      </c>
      <c r="G835" s="135" t="e">
        <f>IF(A835&lt;&gt;"",IF(AND(#REF!="Padrão",$H$4=#REF!),BDI!$B$17,IF(AND(#REF!="Padrão",$H$4=#REF!),BDI!#REF!,IF(AND(#REF!="Diferenciado",$H$4=#REF!),BDI!$E$17,IF(AND(#REF!="Diferenciado",$H$4=#REF!),BDI!#REF!,IF(#REF!="ZERO",0))))),"")</f>
        <v>#REF!</v>
      </c>
      <c r="H835" s="136" t="str">
        <f t="shared" si="37"/>
        <v/>
      </c>
      <c r="I835" s="134" t="str">
        <f t="shared" si="38"/>
        <v/>
      </c>
      <c r="J835" s="226"/>
    </row>
    <row r="836" spans="1:10" hidden="1" x14ac:dyDescent="0.25">
      <c r="A836" s="112" t="s">
        <v>2667</v>
      </c>
      <c r="B836" s="113" t="s">
        <v>2668</v>
      </c>
      <c r="C836" s="114" t="s">
        <v>20</v>
      </c>
      <c r="D836" s="114">
        <v>0</v>
      </c>
      <c r="E836" s="133" t="s">
        <v>514</v>
      </c>
      <c r="F836" s="134" t="str">
        <f t="shared" si="36"/>
        <v/>
      </c>
      <c r="G836" s="135" t="e">
        <f>IF(A836&lt;&gt;"",IF(AND(#REF!="Padrão",$H$4=#REF!),BDI!$B$17,IF(AND(#REF!="Padrão",$H$4=#REF!),BDI!#REF!,IF(AND(#REF!="Diferenciado",$H$4=#REF!),BDI!$E$17,IF(AND(#REF!="Diferenciado",$H$4=#REF!),BDI!#REF!,IF(#REF!="ZERO",0))))),"")</f>
        <v>#REF!</v>
      </c>
      <c r="H836" s="136" t="str">
        <f t="shared" si="37"/>
        <v/>
      </c>
      <c r="I836" s="134" t="str">
        <f t="shared" si="38"/>
        <v/>
      </c>
      <c r="J836" s="226"/>
    </row>
    <row r="837" spans="1:10" hidden="1" x14ac:dyDescent="0.25">
      <c r="A837" s="112" t="s">
        <v>2669</v>
      </c>
      <c r="B837" s="113" t="s">
        <v>2670</v>
      </c>
      <c r="C837" s="114" t="s">
        <v>2655</v>
      </c>
      <c r="D837" s="114">
        <v>0</v>
      </c>
      <c r="E837" s="133" t="s">
        <v>514</v>
      </c>
      <c r="F837" s="134" t="str">
        <f t="shared" si="36"/>
        <v/>
      </c>
      <c r="G837" s="135" t="e">
        <f>IF(A837&lt;&gt;"",IF(AND(#REF!="Padrão",$H$4=#REF!),BDI!$B$17,IF(AND(#REF!="Padrão",$H$4=#REF!),BDI!#REF!,IF(AND(#REF!="Diferenciado",$H$4=#REF!),BDI!$E$17,IF(AND(#REF!="Diferenciado",$H$4=#REF!),BDI!#REF!,IF(#REF!="ZERO",0))))),"")</f>
        <v>#REF!</v>
      </c>
      <c r="H837" s="136" t="str">
        <f t="shared" si="37"/>
        <v/>
      </c>
      <c r="I837" s="134" t="str">
        <f t="shared" si="38"/>
        <v/>
      </c>
      <c r="J837" s="226"/>
    </row>
    <row r="838" spans="1:10" hidden="1" x14ac:dyDescent="0.25">
      <c r="A838" s="112" t="s">
        <v>2671</v>
      </c>
      <c r="B838" s="113" t="s">
        <v>2672</v>
      </c>
      <c r="C838" s="114" t="s">
        <v>2655</v>
      </c>
      <c r="D838" s="114">
        <v>0</v>
      </c>
      <c r="E838" s="133" t="s">
        <v>514</v>
      </c>
      <c r="F838" s="134" t="str">
        <f t="shared" si="36"/>
        <v/>
      </c>
      <c r="G838" s="135" t="e">
        <f>IF(A838&lt;&gt;"",IF(AND(#REF!="Padrão",$H$4=#REF!),BDI!$B$17,IF(AND(#REF!="Padrão",$H$4=#REF!),BDI!#REF!,IF(AND(#REF!="Diferenciado",$H$4=#REF!),BDI!$E$17,IF(AND(#REF!="Diferenciado",$H$4=#REF!),BDI!#REF!,IF(#REF!="ZERO",0))))),"")</f>
        <v>#REF!</v>
      </c>
      <c r="H838" s="136" t="str">
        <f t="shared" si="37"/>
        <v/>
      </c>
      <c r="I838" s="134" t="str">
        <f t="shared" si="38"/>
        <v/>
      </c>
      <c r="J838" s="226"/>
    </row>
    <row r="839" spans="1:10" hidden="1" x14ac:dyDescent="0.25">
      <c r="A839" s="112" t="s">
        <v>2673</v>
      </c>
      <c r="B839" s="113" t="s">
        <v>2674</v>
      </c>
      <c r="C839" s="114" t="s">
        <v>1905</v>
      </c>
      <c r="D839" s="114">
        <v>0</v>
      </c>
      <c r="E839" s="133" t="s">
        <v>514</v>
      </c>
      <c r="F839" s="134" t="str">
        <f t="shared" ref="F839:F902" si="39">IF(ISNUMBER(E839),D839*E839,"")</f>
        <v/>
      </c>
      <c r="G839" s="135" t="e">
        <f>IF(A839&lt;&gt;"",IF(AND(#REF!="Padrão",$H$4=#REF!),BDI!$B$17,IF(AND(#REF!="Padrão",$H$4=#REF!),BDI!#REF!,IF(AND(#REF!="Diferenciado",$H$4=#REF!),BDI!$E$17,IF(AND(#REF!="Diferenciado",$H$4=#REF!),BDI!#REF!,IF(#REF!="ZERO",0))))),"")</f>
        <v>#REF!</v>
      </c>
      <c r="H839" s="136" t="str">
        <f t="shared" ref="H839:H902" si="40">IF(ISNUMBER(E839),ROUND(E839*(1+G839),2),"")</f>
        <v/>
      </c>
      <c r="I839" s="134" t="str">
        <f t="shared" ref="I839:I902" si="41">IF(ISNUMBER(E839),ROUND(H839*D839,2),"")</f>
        <v/>
      </c>
      <c r="J839" s="226"/>
    </row>
    <row r="840" spans="1:10" hidden="1" x14ac:dyDescent="0.25">
      <c r="A840" s="112" t="s">
        <v>2675</v>
      </c>
      <c r="B840" s="113" t="s">
        <v>2676</v>
      </c>
      <c r="C840" s="114" t="s">
        <v>2655</v>
      </c>
      <c r="D840" s="114">
        <v>0</v>
      </c>
      <c r="E840" s="133" t="s">
        <v>514</v>
      </c>
      <c r="F840" s="134" t="str">
        <f t="shared" si="39"/>
        <v/>
      </c>
      <c r="G840" s="135" t="e">
        <f>IF(A840&lt;&gt;"",IF(AND(#REF!="Padrão",$H$4=#REF!),BDI!$B$17,IF(AND(#REF!="Padrão",$H$4=#REF!),BDI!#REF!,IF(AND(#REF!="Diferenciado",$H$4=#REF!),BDI!$E$17,IF(AND(#REF!="Diferenciado",$H$4=#REF!),BDI!#REF!,IF(#REF!="ZERO",0))))),"")</f>
        <v>#REF!</v>
      </c>
      <c r="H840" s="136" t="str">
        <f t="shared" si="40"/>
        <v/>
      </c>
      <c r="I840" s="134" t="str">
        <f t="shared" si="41"/>
        <v/>
      </c>
      <c r="J840" s="226"/>
    </row>
    <row r="841" spans="1:10" hidden="1" x14ac:dyDescent="0.25">
      <c r="A841" s="112" t="s">
        <v>2677</v>
      </c>
      <c r="B841" s="113" t="s">
        <v>6280</v>
      </c>
      <c r="C841" s="114" t="s">
        <v>20</v>
      </c>
      <c r="D841" s="114">
        <v>0</v>
      </c>
      <c r="E841" s="133" t="s">
        <v>514</v>
      </c>
      <c r="F841" s="134" t="str">
        <f t="shared" si="39"/>
        <v/>
      </c>
      <c r="G841" s="135" t="e">
        <f>IF(A841&lt;&gt;"",IF(AND(#REF!="Padrão",$H$4=#REF!),BDI!$B$17,IF(AND(#REF!="Padrão",$H$4=#REF!),BDI!#REF!,IF(AND(#REF!="Diferenciado",$H$4=#REF!),BDI!$E$17,IF(AND(#REF!="Diferenciado",$H$4=#REF!),BDI!#REF!,IF(#REF!="ZERO",0))))),"")</f>
        <v>#REF!</v>
      </c>
      <c r="H841" s="136" t="str">
        <f t="shared" si="40"/>
        <v/>
      </c>
      <c r="I841" s="134" t="str">
        <f t="shared" si="41"/>
        <v/>
      </c>
      <c r="J841" s="226"/>
    </row>
    <row r="842" spans="1:10" hidden="1" x14ac:dyDescent="0.25">
      <c r="A842" s="112" t="s">
        <v>2678</v>
      </c>
      <c r="B842" s="113" t="s">
        <v>6340</v>
      </c>
      <c r="C842" s="114" t="s">
        <v>20</v>
      </c>
      <c r="D842" s="114">
        <v>0</v>
      </c>
      <c r="E842" s="133" t="s">
        <v>514</v>
      </c>
      <c r="F842" s="134" t="str">
        <f t="shared" si="39"/>
        <v/>
      </c>
      <c r="G842" s="135" t="e">
        <f>IF(A842&lt;&gt;"",IF(AND(#REF!="Padrão",$H$4=#REF!),BDI!$B$17,IF(AND(#REF!="Padrão",$H$4=#REF!),BDI!#REF!,IF(AND(#REF!="Diferenciado",$H$4=#REF!),BDI!$E$17,IF(AND(#REF!="Diferenciado",$H$4=#REF!),BDI!#REF!,IF(#REF!="ZERO",0))))),"")</f>
        <v>#REF!</v>
      </c>
      <c r="H842" s="136" t="str">
        <f t="shared" si="40"/>
        <v/>
      </c>
      <c r="I842" s="134" t="str">
        <f t="shared" si="41"/>
        <v/>
      </c>
      <c r="J842" s="226"/>
    </row>
    <row r="843" spans="1:10" hidden="1" x14ac:dyDescent="0.25">
      <c r="A843" s="112" t="s">
        <v>2679</v>
      </c>
      <c r="B843" s="113" t="s">
        <v>2680</v>
      </c>
      <c r="C843" s="114" t="s">
        <v>20</v>
      </c>
      <c r="D843" s="114">
        <v>0</v>
      </c>
      <c r="E843" s="133" t="s">
        <v>514</v>
      </c>
      <c r="F843" s="134" t="str">
        <f t="shared" si="39"/>
        <v/>
      </c>
      <c r="G843" s="135" t="e">
        <f>IF(A843&lt;&gt;"",IF(AND(#REF!="Padrão",$H$4=#REF!),BDI!$B$17,IF(AND(#REF!="Padrão",$H$4=#REF!),BDI!#REF!,IF(AND(#REF!="Diferenciado",$H$4=#REF!),BDI!$E$17,IF(AND(#REF!="Diferenciado",$H$4=#REF!),BDI!#REF!,IF(#REF!="ZERO",0))))),"")</f>
        <v>#REF!</v>
      </c>
      <c r="H843" s="136" t="str">
        <f t="shared" si="40"/>
        <v/>
      </c>
      <c r="I843" s="134" t="str">
        <f t="shared" si="41"/>
        <v/>
      </c>
      <c r="J843" s="226"/>
    </row>
    <row r="844" spans="1:10" hidden="1" x14ac:dyDescent="0.25">
      <c r="A844" s="112" t="s">
        <v>2681</v>
      </c>
      <c r="B844" s="113" t="s">
        <v>6341</v>
      </c>
      <c r="C844" s="114" t="s">
        <v>20</v>
      </c>
      <c r="D844" s="114">
        <v>0</v>
      </c>
      <c r="E844" s="133" t="s">
        <v>514</v>
      </c>
      <c r="F844" s="134" t="str">
        <f t="shared" si="39"/>
        <v/>
      </c>
      <c r="G844" s="135" t="e">
        <f>IF(A844&lt;&gt;"",IF(AND(#REF!="Padrão",$H$4=#REF!),BDI!$B$17,IF(AND(#REF!="Padrão",$H$4=#REF!),BDI!#REF!,IF(AND(#REF!="Diferenciado",$H$4=#REF!),BDI!$E$17,IF(AND(#REF!="Diferenciado",$H$4=#REF!),BDI!#REF!,IF(#REF!="ZERO",0))))),"")</f>
        <v>#REF!</v>
      </c>
      <c r="H844" s="136" t="str">
        <f t="shared" si="40"/>
        <v/>
      </c>
      <c r="I844" s="134" t="str">
        <f t="shared" si="41"/>
        <v/>
      </c>
      <c r="J844" s="226"/>
    </row>
    <row r="845" spans="1:10" hidden="1" x14ac:dyDescent="0.25">
      <c r="A845" s="112" t="s">
        <v>2682</v>
      </c>
      <c r="B845" s="113" t="s">
        <v>2683</v>
      </c>
      <c r="C845" s="114" t="s">
        <v>20</v>
      </c>
      <c r="D845" s="114">
        <v>0</v>
      </c>
      <c r="E845" s="133">
        <f ca="1">OFFSET(INDEX(Composições!A:J,MATCH(Orçamentária!A845,Composições!A:A,0),8),2,0)</f>
        <v>190.0855</v>
      </c>
      <c r="F845" s="134">
        <f t="shared" ca="1" si="39"/>
        <v>0</v>
      </c>
      <c r="G845" s="135" t="e">
        <f>IF(A845&lt;&gt;"",IF(AND(#REF!="Padrão",$H$4=#REF!),BDI!$B$17,IF(AND(#REF!="Padrão",$H$4=#REF!),BDI!#REF!,IF(AND(#REF!="Diferenciado",$H$4=#REF!),BDI!$E$17,IF(AND(#REF!="Diferenciado",$H$4=#REF!),BDI!#REF!,IF(#REF!="ZERO",0))))),"")</f>
        <v>#REF!</v>
      </c>
      <c r="H845" s="136" t="e">
        <f t="shared" ca="1" si="40"/>
        <v>#REF!</v>
      </c>
      <c r="I845" s="134" t="e">
        <f t="shared" ca="1" si="41"/>
        <v>#REF!</v>
      </c>
      <c r="J845" s="226"/>
    </row>
    <row r="846" spans="1:10" hidden="1" x14ac:dyDescent="0.25">
      <c r="A846" s="112" t="s">
        <v>2684</v>
      </c>
      <c r="B846" s="113" t="s">
        <v>6342</v>
      </c>
      <c r="C846" s="114" t="s">
        <v>20</v>
      </c>
      <c r="D846" s="114">
        <v>0</v>
      </c>
      <c r="E846" s="133">
        <f ca="1">OFFSET(INDEX(Composições!A:J,MATCH(Orçamentária!A846,Composições!A:A,0),8),2,0)</f>
        <v>166.99099999999999</v>
      </c>
      <c r="F846" s="134">
        <f t="shared" ca="1" si="39"/>
        <v>0</v>
      </c>
      <c r="G846" s="135" t="e">
        <f>IF(A846&lt;&gt;"",IF(AND(#REF!="Padrão",$H$4=#REF!),BDI!$B$17,IF(AND(#REF!="Padrão",$H$4=#REF!),BDI!#REF!,IF(AND(#REF!="Diferenciado",$H$4=#REF!),BDI!$E$17,IF(AND(#REF!="Diferenciado",$H$4=#REF!),BDI!#REF!,IF(#REF!="ZERO",0))))),"")</f>
        <v>#REF!</v>
      </c>
      <c r="H846" s="136" t="e">
        <f t="shared" ca="1" si="40"/>
        <v>#REF!</v>
      </c>
      <c r="I846" s="134" t="e">
        <f t="shared" ca="1" si="41"/>
        <v>#REF!</v>
      </c>
      <c r="J846" s="226"/>
    </row>
    <row r="847" spans="1:10" hidden="1" x14ac:dyDescent="0.25">
      <c r="A847" s="112" t="s">
        <v>2685</v>
      </c>
      <c r="B847" s="113" t="s">
        <v>6343</v>
      </c>
      <c r="C847" s="114" t="s">
        <v>20</v>
      </c>
      <c r="D847" s="114">
        <v>0</v>
      </c>
      <c r="E847" s="133" t="s">
        <v>514</v>
      </c>
      <c r="F847" s="134" t="str">
        <f t="shared" si="39"/>
        <v/>
      </c>
      <c r="G847" s="135" t="e">
        <f>IF(A847&lt;&gt;"",IF(AND(#REF!="Padrão",$H$4=#REF!),BDI!$B$17,IF(AND(#REF!="Padrão",$H$4=#REF!),BDI!#REF!,IF(AND(#REF!="Diferenciado",$H$4=#REF!),BDI!$E$17,IF(AND(#REF!="Diferenciado",$H$4=#REF!),BDI!#REF!,IF(#REF!="ZERO",0))))),"")</f>
        <v>#REF!</v>
      </c>
      <c r="H847" s="136" t="str">
        <f t="shared" si="40"/>
        <v/>
      </c>
      <c r="I847" s="134" t="str">
        <f t="shared" si="41"/>
        <v/>
      </c>
      <c r="J847" s="226"/>
    </row>
    <row r="848" spans="1:10" hidden="1" x14ac:dyDescent="0.25">
      <c r="A848" s="112" t="s">
        <v>2686</v>
      </c>
      <c r="B848" s="113" t="s">
        <v>2687</v>
      </c>
      <c r="C848" s="114" t="s">
        <v>2655</v>
      </c>
      <c r="D848" s="114">
        <v>0</v>
      </c>
      <c r="E848" s="133" t="s">
        <v>514</v>
      </c>
      <c r="F848" s="134" t="str">
        <f t="shared" si="39"/>
        <v/>
      </c>
      <c r="G848" s="135" t="e">
        <f>IF(A848&lt;&gt;"",IF(AND(#REF!="Padrão",$H$4=#REF!),BDI!$B$17,IF(AND(#REF!="Padrão",$H$4=#REF!),BDI!#REF!,IF(AND(#REF!="Diferenciado",$H$4=#REF!),BDI!$E$17,IF(AND(#REF!="Diferenciado",$H$4=#REF!),BDI!#REF!,IF(#REF!="ZERO",0))))),"")</f>
        <v>#REF!</v>
      </c>
      <c r="H848" s="136" t="str">
        <f t="shared" si="40"/>
        <v/>
      </c>
      <c r="I848" s="134" t="str">
        <f t="shared" si="41"/>
        <v/>
      </c>
      <c r="J848" s="226"/>
    </row>
    <row r="849" spans="1:11" hidden="1" x14ac:dyDescent="0.25">
      <c r="A849" s="112" t="s">
        <v>786</v>
      </c>
      <c r="B849" s="113" t="s">
        <v>2688</v>
      </c>
      <c r="C849" s="114" t="s">
        <v>94</v>
      </c>
      <c r="D849" s="114">
        <v>0</v>
      </c>
      <c r="E849" s="133">
        <f ca="1">OFFSET(INDEX(Composições!A:J,MATCH(Orçamentária!A849,Composições!A:A,0),8),2,0)</f>
        <v>34.608499999999999</v>
      </c>
      <c r="F849" s="134">
        <f t="shared" ca="1" si="39"/>
        <v>0</v>
      </c>
      <c r="G849" s="135" t="e">
        <f>IF(A849&lt;&gt;"",IF(AND(#REF!="Padrão",$H$4=#REF!),BDI!$B$17,IF(AND(#REF!="Padrão",$H$4=#REF!),BDI!#REF!,IF(AND(#REF!="Diferenciado",$H$4=#REF!),BDI!$E$17,IF(AND(#REF!="Diferenciado",$H$4=#REF!),BDI!#REF!,IF(#REF!="ZERO",0))))),"")</f>
        <v>#REF!</v>
      </c>
      <c r="H849" s="136" t="e">
        <f t="shared" ca="1" si="40"/>
        <v>#REF!</v>
      </c>
      <c r="I849" s="134" t="e">
        <f t="shared" ca="1" si="41"/>
        <v>#REF!</v>
      </c>
      <c r="J849" s="226"/>
    </row>
    <row r="850" spans="1:11" hidden="1" x14ac:dyDescent="0.25">
      <c r="A850" s="112" t="s">
        <v>788</v>
      </c>
      <c r="B850" s="113" t="s">
        <v>2689</v>
      </c>
      <c r="C850" s="114" t="s">
        <v>94</v>
      </c>
      <c r="D850" s="114">
        <v>0</v>
      </c>
      <c r="E850" s="133">
        <f ca="1">OFFSET(INDEX(Composições!A:J,MATCH(Orçamentária!A850,Composições!A:A,0),8),2,0)</f>
        <v>266.25958750000001</v>
      </c>
      <c r="F850" s="134">
        <f t="shared" ca="1" si="39"/>
        <v>0</v>
      </c>
      <c r="G850" s="135" t="e">
        <f>IF(A850&lt;&gt;"",IF(AND(#REF!="Padrão",$H$4=#REF!),BDI!$B$17,IF(AND(#REF!="Padrão",$H$4=#REF!),BDI!#REF!,IF(AND(#REF!="Diferenciado",$H$4=#REF!),BDI!$E$17,IF(AND(#REF!="Diferenciado",$H$4=#REF!),BDI!#REF!,IF(#REF!="ZERO",0))))),"")</f>
        <v>#REF!</v>
      </c>
      <c r="H850" s="136" t="e">
        <f t="shared" ca="1" si="40"/>
        <v>#REF!</v>
      </c>
      <c r="I850" s="134" t="e">
        <f t="shared" ca="1" si="41"/>
        <v>#REF!</v>
      </c>
      <c r="J850" s="226"/>
    </row>
    <row r="851" spans="1:11" hidden="1" x14ac:dyDescent="0.25">
      <c r="A851" s="112" t="s">
        <v>790</v>
      </c>
      <c r="B851" s="113" t="s">
        <v>2690</v>
      </c>
      <c r="C851" s="114" t="s">
        <v>94</v>
      </c>
      <c r="D851" s="114">
        <v>0</v>
      </c>
      <c r="E851" s="133">
        <f ca="1">OFFSET(INDEX(Composições!A:J,MATCH(Orçamentária!A851,Composições!A:A,0),8),2,0)</f>
        <v>141.607</v>
      </c>
      <c r="F851" s="134">
        <f t="shared" ca="1" si="39"/>
        <v>0</v>
      </c>
      <c r="G851" s="135" t="e">
        <f>IF(A851&lt;&gt;"",IF(AND(#REF!="Padrão",$H$4=#REF!),BDI!$B$17,IF(AND(#REF!="Padrão",$H$4=#REF!),BDI!#REF!,IF(AND(#REF!="Diferenciado",$H$4=#REF!),BDI!$E$17,IF(AND(#REF!="Diferenciado",$H$4=#REF!),BDI!#REF!,IF(#REF!="ZERO",0))))),"")</f>
        <v>#REF!</v>
      </c>
      <c r="H851" s="136" t="e">
        <f t="shared" ca="1" si="40"/>
        <v>#REF!</v>
      </c>
      <c r="I851" s="134" t="e">
        <f t="shared" ca="1" si="41"/>
        <v>#REF!</v>
      </c>
      <c r="J851" s="226"/>
    </row>
    <row r="852" spans="1:11" s="161" customFormat="1" hidden="1" x14ac:dyDescent="0.25">
      <c r="A852" s="162" t="s">
        <v>2691</v>
      </c>
      <c r="B852" s="163" t="s">
        <v>2692</v>
      </c>
      <c r="C852" s="164" t="s">
        <v>92</v>
      </c>
      <c r="D852" s="164">
        <v>20</v>
      </c>
      <c r="E852" s="133">
        <f ca="1">OFFSET(INDEX(Composições!A:J,MATCH(Orçamentária!A852,Composições!A:A,0),8),2,0)</f>
        <v>20.691000000000003</v>
      </c>
      <c r="F852" s="134">
        <f t="shared" ca="1" si="39"/>
        <v>413.82000000000005</v>
      </c>
      <c r="G852" s="135">
        <f>BDI!$B$17</f>
        <v>0.191</v>
      </c>
      <c r="H852" s="136">
        <f t="shared" ca="1" si="40"/>
        <v>24.64</v>
      </c>
      <c r="I852" s="182">
        <f t="shared" ca="1" si="41"/>
        <v>492.8</v>
      </c>
      <c r="J852" s="226"/>
      <c r="K852" s="224" t="s">
        <v>8074</v>
      </c>
    </row>
    <row r="853" spans="1:11" hidden="1" x14ac:dyDescent="0.25">
      <c r="A853" s="112" t="s">
        <v>2693</v>
      </c>
      <c r="B853" s="113" t="s">
        <v>2694</v>
      </c>
      <c r="C853" s="114" t="s">
        <v>92</v>
      </c>
      <c r="D853" s="114">
        <v>0</v>
      </c>
      <c r="E853" s="133">
        <f ca="1">OFFSET(INDEX(Composições!A:J,MATCH(Orçamentária!A853,Composições!A:A,0),8),2,0)</f>
        <v>31.0365</v>
      </c>
      <c r="F853" s="134">
        <f t="shared" ca="1" si="39"/>
        <v>0</v>
      </c>
      <c r="G853" s="135" t="e">
        <f>IF(A853&lt;&gt;"",IF(AND(#REF!="Padrão",$H$4=#REF!),BDI!$B$17,IF(AND(#REF!="Padrão",$H$4=#REF!),BDI!#REF!,IF(AND(#REF!="Diferenciado",$H$4=#REF!),BDI!$E$17,IF(AND(#REF!="Diferenciado",$H$4=#REF!),BDI!#REF!,IF(#REF!="ZERO",0))))),"")</f>
        <v>#REF!</v>
      </c>
      <c r="H853" s="136" t="e">
        <f t="shared" ca="1" si="40"/>
        <v>#REF!</v>
      </c>
      <c r="I853" s="134" t="e">
        <f t="shared" ca="1" si="41"/>
        <v>#REF!</v>
      </c>
      <c r="J853" s="226"/>
    </row>
    <row r="854" spans="1:11" hidden="1" x14ac:dyDescent="0.25">
      <c r="A854" s="112" t="s">
        <v>792</v>
      </c>
      <c r="B854" s="113" t="s">
        <v>2695</v>
      </c>
      <c r="C854" s="114" t="s">
        <v>94</v>
      </c>
      <c r="D854" s="114">
        <v>0</v>
      </c>
      <c r="E854" s="133">
        <f ca="1">OFFSET(INDEX(Composições!A:J,MATCH(Orçamentária!A854,Composições!A:A,0),8),2,0)</f>
        <v>303.83638149999996</v>
      </c>
      <c r="F854" s="134">
        <f t="shared" ca="1" si="39"/>
        <v>0</v>
      </c>
      <c r="G854" s="135" t="e">
        <f>IF(A854&lt;&gt;"",IF(AND(#REF!="Padrão",$H$4=#REF!),BDI!$B$17,IF(AND(#REF!="Padrão",$H$4=#REF!),BDI!#REF!,IF(AND(#REF!="Diferenciado",$H$4=#REF!),BDI!$E$17,IF(AND(#REF!="Diferenciado",$H$4=#REF!),BDI!#REF!,IF(#REF!="ZERO",0))))),"")</f>
        <v>#REF!</v>
      </c>
      <c r="H854" s="136" t="e">
        <f t="shared" ca="1" si="40"/>
        <v>#REF!</v>
      </c>
      <c r="I854" s="134" t="e">
        <f t="shared" ca="1" si="41"/>
        <v>#REF!</v>
      </c>
      <c r="J854" s="226"/>
    </row>
    <row r="855" spans="1:11" hidden="1" x14ac:dyDescent="0.25">
      <c r="A855" s="112" t="s">
        <v>794</v>
      </c>
      <c r="B855" s="113" t="s">
        <v>2696</v>
      </c>
      <c r="C855" s="114" t="s">
        <v>20</v>
      </c>
      <c r="D855" s="114">
        <v>0</v>
      </c>
      <c r="E855" s="133">
        <f ca="1">OFFSET(INDEX(Composições!A:J,MATCH(Orçamentária!A855,Composições!A:A,0),8),2,0)</f>
        <v>3.4442249999999999</v>
      </c>
      <c r="F855" s="134">
        <f t="shared" ca="1" si="39"/>
        <v>0</v>
      </c>
      <c r="G855" s="135" t="e">
        <f>IF(A855&lt;&gt;"",IF(AND(#REF!="Padrão",$H$4=#REF!),BDI!$B$17,IF(AND(#REF!="Padrão",$H$4=#REF!),BDI!#REF!,IF(AND(#REF!="Diferenciado",$H$4=#REF!),BDI!$E$17,IF(AND(#REF!="Diferenciado",$H$4=#REF!),BDI!#REF!,IF(#REF!="ZERO",0))))),"")</f>
        <v>#REF!</v>
      </c>
      <c r="H855" s="136" t="e">
        <f t="shared" ca="1" si="40"/>
        <v>#REF!</v>
      </c>
      <c r="I855" s="134" t="e">
        <f t="shared" ca="1" si="41"/>
        <v>#REF!</v>
      </c>
      <c r="J855" s="226"/>
    </row>
    <row r="856" spans="1:11" hidden="1" x14ac:dyDescent="0.25">
      <c r="A856" s="112" t="s">
        <v>796</v>
      </c>
      <c r="B856" s="113" t="s">
        <v>2697</v>
      </c>
      <c r="C856" s="114" t="s">
        <v>20</v>
      </c>
      <c r="D856" s="114">
        <v>0</v>
      </c>
      <c r="E856" s="133">
        <f ca="1">OFFSET(INDEX(Composições!A:J,MATCH(Orçamentária!A856,Composições!A:A,0),8),2,0)</f>
        <v>6.8884499999999997</v>
      </c>
      <c r="F856" s="134">
        <f t="shared" ca="1" si="39"/>
        <v>0</v>
      </c>
      <c r="G856" s="135" t="e">
        <f>IF(A856&lt;&gt;"",IF(AND(#REF!="Padrão",$H$4=#REF!),BDI!$B$17,IF(AND(#REF!="Padrão",$H$4=#REF!),BDI!#REF!,IF(AND(#REF!="Diferenciado",$H$4=#REF!),BDI!$E$17,IF(AND(#REF!="Diferenciado",$H$4=#REF!),BDI!#REF!,IF(#REF!="ZERO",0))))),"")</f>
        <v>#REF!</v>
      </c>
      <c r="H856" s="136" t="e">
        <f t="shared" ca="1" si="40"/>
        <v>#REF!</v>
      </c>
      <c r="I856" s="134" t="e">
        <f t="shared" ca="1" si="41"/>
        <v>#REF!</v>
      </c>
      <c r="J856" s="226"/>
    </row>
    <row r="857" spans="1:11" hidden="1" x14ac:dyDescent="0.25">
      <c r="A857" s="112" t="s">
        <v>798</v>
      </c>
      <c r="B857" s="113" t="s">
        <v>2698</v>
      </c>
      <c r="C857" s="114" t="s">
        <v>20</v>
      </c>
      <c r="D857" s="114">
        <v>0</v>
      </c>
      <c r="E857" s="133">
        <f ca="1">OFFSET(INDEX(Composições!A:J,MATCH(Orçamentária!A857,Composições!A:A,0),8),2,0)</f>
        <v>4.3942249999999996</v>
      </c>
      <c r="F857" s="134">
        <f t="shared" ca="1" si="39"/>
        <v>0</v>
      </c>
      <c r="G857" s="135" t="e">
        <f>IF(A857&lt;&gt;"",IF(AND(#REF!="Padrão",$H$4=#REF!),BDI!$B$17,IF(AND(#REF!="Padrão",$H$4=#REF!),BDI!#REF!,IF(AND(#REF!="Diferenciado",$H$4=#REF!),BDI!$E$17,IF(AND(#REF!="Diferenciado",$H$4=#REF!),BDI!#REF!,IF(#REF!="ZERO",0))))),"")</f>
        <v>#REF!</v>
      </c>
      <c r="H857" s="136" t="e">
        <f t="shared" ca="1" si="40"/>
        <v>#REF!</v>
      </c>
      <c r="I857" s="134" t="e">
        <f t="shared" ca="1" si="41"/>
        <v>#REF!</v>
      </c>
      <c r="J857" s="226"/>
    </row>
    <row r="858" spans="1:11" hidden="1" x14ac:dyDescent="0.25">
      <c r="A858" s="112" t="s">
        <v>800</v>
      </c>
      <c r="B858" s="113" t="s">
        <v>2699</v>
      </c>
      <c r="C858" s="114" t="s">
        <v>20</v>
      </c>
      <c r="D858" s="114">
        <v>0</v>
      </c>
      <c r="E858" s="133">
        <f ca="1">OFFSET(INDEX(Composições!A:J,MATCH(Orçamentária!A858,Composições!A:A,0),8),2,0)</f>
        <v>6.8884499999999997</v>
      </c>
      <c r="F858" s="134">
        <f t="shared" ca="1" si="39"/>
        <v>0</v>
      </c>
      <c r="G858" s="135" t="e">
        <f>IF(A858&lt;&gt;"",IF(AND(#REF!="Padrão",$H$4=#REF!),BDI!$B$17,IF(AND(#REF!="Padrão",$H$4=#REF!),BDI!#REF!,IF(AND(#REF!="Diferenciado",$H$4=#REF!),BDI!$E$17,IF(AND(#REF!="Diferenciado",$H$4=#REF!),BDI!#REF!,IF(#REF!="ZERO",0))))),"")</f>
        <v>#REF!</v>
      </c>
      <c r="H858" s="136" t="e">
        <f t="shared" ca="1" si="40"/>
        <v>#REF!</v>
      </c>
      <c r="I858" s="134" t="e">
        <f t="shared" ca="1" si="41"/>
        <v>#REF!</v>
      </c>
      <c r="J858" s="226"/>
    </row>
    <row r="859" spans="1:11" hidden="1" x14ac:dyDescent="0.25">
      <c r="A859" s="112" t="s">
        <v>803</v>
      </c>
      <c r="B859" s="113" t="s">
        <v>2700</v>
      </c>
      <c r="C859" s="114" t="s">
        <v>20</v>
      </c>
      <c r="D859" s="114">
        <v>0</v>
      </c>
      <c r="E859" s="133">
        <f ca="1">OFFSET(INDEX(Composições!A:J,MATCH(Orçamentária!A859,Composições!A:A,0),8),2,0)</f>
        <v>3.4442249999999999</v>
      </c>
      <c r="F859" s="134">
        <f t="shared" ca="1" si="39"/>
        <v>0</v>
      </c>
      <c r="G859" s="135" t="e">
        <f>IF(A859&lt;&gt;"",IF(AND(#REF!="Padrão",$H$4=#REF!),BDI!$B$17,IF(AND(#REF!="Padrão",$H$4=#REF!),BDI!#REF!,IF(AND(#REF!="Diferenciado",$H$4=#REF!),BDI!$E$17,IF(AND(#REF!="Diferenciado",$H$4=#REF!),BDI!#REF!,IF(#REF!="ZERO",0))))),"")</f>
        <v>#REF!</v>
      </c>
      <c r="H859" s="136" t="e">
        <f t="shared" ca="1" si="40"/>
        <v>#REF!</v>
      </c>
      <c r="I859" s="134" t="e">
        <f t="shared" ca="1" si="41"/>
        <v>#REF!</v>
      </c>
      <c r="J859" s="226"/>
    </row>
    <row r="860" spans="1:11" hidden="1" x14ac:dyDescent="0.25">
      <c r="A860" s="112" t="s">
        <v>805</v>
      </c>
      <c r="B860" s="113" t="s">
        <v>2701</v>
      </c>
      <c r="C860" s="114" t="s">
        <v>20</v>
      </c>
      <c r="D860" s="114">
        <v>0</v>
      </c>
      <c r="E860" s="133">
        <f ca="1">OFFSET(INDEX(Composições!A:J,MATCH(Orçamentária!A860,Composições!A:A,0),8),2,0)</f>
        <v>9.1846000000000014</v>
      </c>
      <c r="F860" s="134">
        <f t="shared" ca="1" si="39"/>
        <v>0</v>
      </c>
      <c r="G860" s="135" t="e">
        <f>IF(A860&lt;&gt;"",IF(AND(#REF!="Padrão",$H$4=#REF!),BDI!$B$17,IF(AND(#REF!="Padrão",$H$4=#REF!),BDI!#REF!,IF(AND(#REF!="Diferenciado",$H$4=#REF!),BDI!$E$17,IF(AND(#REF!="Diferenciado",$H$4=#REF!),BDI!#REF!,IF(#REF!="ZERO",0))))),"")</f>
        <v>#REF!</v>
      </c>
      <c r="H860" s="136" t="e">
        <f t="shared" ca="1" si="40"/>
        <v>#REF!</v>
      </c>
      <c r="I860" s="134" t="e">
        <f t="shared" ca="1" si="41"/>
        <v>#REF!</v>
      </c>
      <c r="J860" s="226"/>
    </row>
    <row r="861" spans="1:11" hidden="1" x14ac:dyDescent="0.25">
      <c r="A861" s="112" t="s">
        <v>807</v>
      </c>
      <c r="B861" s="113" t="s">
        <v>2702</v>
      </c>
      <c r="C861" s="114" t="s">
        <v>20</v>
      </c>
      <c r="D861" s="114">
        <v>0</v>
      </c>
      <c r="E861" s="133">
        <f ca="1">OFFSET(INDEX(Composições!A:J,MATCH(Orçamentária!A861,Composições!A:A,0),8),2,0)</f>
        <v>9.1846000000000014</v>
      </c>
      <c r="F861" s="134">
        <f t="shared" ca="1" si="39"/>
        <v>0</v>
      </c>
      <c r="G861" s="135" t="e">
        <f>IF(A861&lt;&gt;"",IF(AND(#REF!="Padrão",$H$4=#REF!),BDI!$B$17,IF(AND(#REF!="Padrão",$H$4=#REF!),BDI!#REF!,IF(AND(#REF!="Diferenciado",$H$4=#REF!),BDI!$E$17,IF(AND(#REF!="Diferenciado",$H$4=#REF!),BDI!#REF!,IF(#REF!="ZERO",0))))),"")</f>
        <v>#REF!</v>
      </c>
      <c r="H861" s="136" t="e">
        <f t="shared" ca="1" si="40"/>
        <v>#REF!</v>
      </c>
      <c r="I861" s="134" t="e">
        <f t="shared" ca="1" si="41"/>
        <v>#REF!</v>
      </c>
      <c r="J861" s="226"/>
    </row>
    <row r="862" spans="1:11" hidden="1" x14ac:dyDescent="0.25">
      <c r="A862" s="112" t="s">
        <v>809</v>
      </c>
      <c r="B862" s="113" t="s">
        <v>2703</v>
      </c>
      <c r="C862" s="114" t="s">
        <v>20</v>
      </c>
      <c r="D862" s="114">
        <v>0</v>
      </c>
      <c r="E862" s="133">
        <f ca="1">OFFSET(INDEX(Composições!A:J,MATCH(Orçamentária!A862,Composições!A:A,0),8),2,0)</f>
        <v>9.1846000000000014</v>
      </c>
      <c r="F862" s="134">
        <f t="shared" ca="1" si="39"/>
        <v>0</v>
      </c>
      <c r="G862" s="135" t="e">
        <f>IF(A862&lt;&gt;"",IF(AND(#REF!="Padrão",$H$4=#REF!),BDI!$B$17,IF(AND(#REF!="Padrão",$H$4=#REF!),BDI!#REF!,IF(AND(#REF!="Diferenciado",$H$4=#REF!),BDI!$E$17,IF(AND(#REF!="Diferenciado",$H$4=#REF!),BDI!#REF!,IF(#REF!="ZERO",0))))),"")</f>
        <v>#REF!</v>
      </c>
      <c r="H862" s="136" t="e">
        <f t="shared" ca="1" si="40"/>
        <v>#REF!</v>
      </c>
      <c r="I862" s="134" t="e">
        <f t="shared" ca="1" si="41"/>
        <v>#REF!</v>
      </c>
      <c r="J862" s="226"/>
    </row>
    <row r="863" spans="1:11" hidden="1" x14ac:dyDescent="0.25">
      <c r="A863" s="112" t="s">
        <v>811</v>
      </c>
      <c r="B863" s="113" t="s">
        <v>2704</v>
      </c>
      <c r="C863" s="114" t="s">
        <v>20</v>
      </c>
      <c r="D863" s="114">
        <v>0</v>
      </c>
      <c r="E863" s="133">
        <f ca="1">OFFSET(INDEX(Composições!A:J,MATCH(Orçamentária!A863,Composições!A:A,0),8),2,0)</f>
        <v>5.7403750000000002</v>
      </c>
      <c r="F863" s="134">
        <f t="shared" ca="1" si="39"/>
        <v>0</v>
      </c>
      <c r="G863" s="135" t="e">
        <f>IF(A863&lt;&gt;"",IF(AND(#REF!="Padrão",$H$4=#REF!),BDI!$B$17,IF(AND(#REF!="Padrão",$H$4=#REF!),BDI!#REF!,IF(AND(#REF!="Diferenciado",$H$4=#REF!),BDI!$E$17,IF(AND(#REF!="Diferenciado",$H$4=#REF!),BDI!#REF!,IF(#REF!="ZERO",0))))),"")</f>
        <v>#REF!</v>
      </c>
      <c r="H863" s="136" t="e">
        <f t="shared" ca="1" si="40"/>
        <v>#REF!</v>
      </c>
      <c r="I863" s="134" t="e">
        <f t="shared" ca="1" si="41"/>
        <v>#REF!</v>
      </c>
      <c r="J863" s="226"/>
    </row>
    <row r="864" spans="1:11" hidden="1" x14ac:dyDescent="0.25">
      <c r="A864" s="112" t="s">
        <v>813</v>
      </c>
      <c r="B864" s="113" t="s">
        <v>2705</v>
      </c>
      <c r="C864" s="114" t="s">
        <v>20</v>
      </c>
      <c r="D864" s="114">
        <v>0</v>
      </c>
      <c r="E864" s="133">
        <f ca="1">OFFSET(INDEX(Composições!A:J,MATCH(Orçamentária!A864,Composições!A:A,0),8),2,0)</f>
        <v>5.7403750000000002</v>
      </c>
      <c r="F864" s="134">
        <f t="shared" ca="1" si="39"/>
        <v>0</v>
      </c>
      <c r="G864" s="135" t="e">
        <f>IF(A864&lt;&gt;"",IF(AND(#REF!="Padrão",$H$4=#REF!),BDI!$B$17,IF(AND(#REF!="Padrão",$H$4=#REF!),BDI!#REF!,IF(AND(#REF!="Diferenciado",$H$4=#REF!),BDI!$E$17,IF(AND(#REF!="Diferenciado",$H$4=#REF!),BDI!#REF!,IF(#REF!="ZERO",0))))),"")</f>
        <v>#REF!</v>
      </c>
      <c r="H864" s="136" t="e">
        <f t="shared" ca="1" si="40"/>
        <v>#REF!</v>
      </c>
      <c r="I864" s="134" t="e">
        <f t="shared" ca="1" si="41"/>
        <v>#REF!</v>
      </c>
      <c r="J864" s="226"/>
    </row>
    <row r="865" spans="1:10" hidden="1" x14ac:dyDescent="0.25">
      <c r="A865" s="112" t="s">
        <v>815</v>
      </c>
      <c r="B865" s="113" t="s">
        <v>2706</v>
      </c>
      <c r="C865" s="114" t="s">
        <v>20</v>
      </c>
      <c r="D865" s="114">
        <v>0</v>
      </c>
      <c r="E865" s="133">
        <f ca="1">OFFSET(INDEX(Composições!A:J,MATCH(Orçamentária!A865,Composições!A:A,0),8),2,0)</f>
        <v>5.7403750000000002</v>
      </c>
      <c r="F865" s="134">
        <f t="shared" ca="1" si="39"/>
        <v>0</v>
      </c>
      <c r="G865" s="135" t="e">
        <f>IF(A865&lt;&gt;"",IF(AND(#REF!="Padrão",$H$4=#REF!),BDI!$B$17,IF(AND(#REF!="Padrão",$H$4=#REF!),BDI!#REF!,IF(AND(#REF!="Diferenciado",$H$4=#REF!),BDI!$E$17,IF(AND(#REF!="Diferenciado",$H$4=#REF!),BDI!#REF!,IF(#REF!="ZERO",0))))),"")</f>
        <v>#REF!</v>
      </c>
      <c r="H865" s="136" t="e">
        <f t="shared" ca="1" si="40"/>
        <v>#REF!</v>
      </c>
      <c r="I865" s="134" t="e">
        <f t="shared" ca="1" si="41"/>
        <v>#REF!</v>
      </c>
      <c r="J865" s="226"/>
    </row>
    <row r="866" spans="1:10" hidden="1" x14ac:dyDescent="0.25">
      <c r="A866" s="112" t="s">
        <v>817</v>
      </c>
      <c r="B866" s="113" t="s">
        <v>2707</v>
      </c>
      <c r="C866" s="114" t="s">
        <v>20</v>
      </c>
      <c r="D866" s="114">
        <v>0</v>
      </c>
      <c r="E866" s="133">
        <f ca="1">OFFSET(INDEX(Composições!A:J,MATCH(Orçamentária!A866,Composições!A:A,0),8),2,0)</f>
        <v>5.7403750000000002</v>
      </c>
      <c r="F866" s="134">
        <f t="shared" ca="1" si="39"/>
        <v>0</v>
      </c>
      <c r="G866" s="135" t="e">
        <f>IF(A866&lt;&gt;"",IF(AND(#REF!="Padrão",$H$4=#REF!),BDI!$B$17,IF(AND(#REF!="Padrão",$H$4=#REF!),BDI!#REF!,IF(AND(#REF!="Diferenciado",$H$4=#REF!),BDI!$E$17,IF(AND(#REF!="Diferenciado",$H$4=#REF!),BDI!#REF!,IF(#REF!="ZERO",0))))),"")</f>
        <v>#REF!</v>
      </c>
      <c r="H866" s="136" t="e">
        <f t="shared" ca="1" si="40"/>
        <v>#REF!</v>
      </c>
      <c r="I866" s="134" t="e">
        <f t="shared" ca="1" si="41"/>
        <v>#REF!</v>
      </c>
      <c r="J866" s="226"/>
    </row>
    <row r="867" spans="1:10" hidden="1" x14ac:dyDescent="0.25">
      <c r="A867" s="112" t="s">
        <v>819</v>
      </c>
      <c r="B867" s="113" t="s">
        <v>2708</v>
      </c>
      <c r="C867" s="114" t="s">
        <v>20</v>
      </c>
      <c r="D867" s="114">
        <v>0</v>
      </c>
      <c r="E867" s="133">
        <f ca="1">OFFSET(INDEX(Composições!A:J,MATCH(Orçamentária!A867,Composições!A:A,0),8),2,0)</f>
        <v>1018.7730305</v>
      </c>
      <c r="F867" s="134">
        <f t="shared" ca="1" si="39"/>
        <v>0</v>
      </c>
      <c r="G867" s="135" t="e">
        <f>IF(A867&lt;&gt;"",IF(AND(#REF!="Padrão",$H$4=#REF!),BDI!$B$17,IF(AND(#REF!="Padrão",$H$4=#REF!),BDI!#REF!,IF(AND(#REF!="Diferenciado",$H$4=#REF!),BDI!$E$17,IF(AND(#REF!="Diferenciado",$H$4=#REF!),BDI!#REF!,IF(#REF!="ZERO",0))))),"")</f>
        <v>#REF!</v>
      </c>
      <c r="H867" s="136" t="e">
        <f t="shared" ca="1" si="40"/>
        <v>#REF!</v>
      </c>
      <c r="I867" s="134" t="e">
        <f t="shared" ca="1" si="41"/>
        <v>#REF!</v>
      </c>
      <c r="J867" s="226"/>
    </row>
    <row r="868" spans="1:10" hidden="1" x14ac:dyDescent="0.25">
      <c r="A868" s="112" t="s">
        <v>820</v>
      </c>
      <c r="B868" s="113" t="s">
        <v>2709</v>
      </c>
      <c r="C868" s="114" t="s">
        <v>20</v>
      </c>
      <c r="D868" s="114">
        <v>0</v>
      </c>
      <c r="E868" s="133">
        <f ca="1">OFFSET(INDEX(Composições!A:J,MATCH(Orçamentária!A868,Composições!A:A,0),8),2,0)</f>
        <v>4.5923000000000007</v>
      </c>
      <c r="F868" s="134">
        <f t="shared" ca="1" si="39"/>
        <v>0</v>
      </c>
      <c r="G868" s="135" t="e">
        <f>IF(A868&lt;&gt;"",IF(AND(#REF!="Padrão",$H$4=#REF!),BDI!$B$17,IF(AND(#REF!="Padrão",$H$4=#REF!),BDI!#REF!,IF(AND(#REF!="Diferenciado",$H$4=#REF!),BDI!$E$17,IF(AND(#REF!="Diferenciado",$H$4=#REF!),BDI!#REF!,IF(#REF!="ZERO",0))))),"")</f>
        <v>#REF!</v>
      </c>
      <c r="H868" s="136" t="e">
        <f t="shared" ca="1" si="40"/>
        <v>#REF!</v>
      </c>
      <c r="I868" s="134" t="e">
        <f t="shared" ca="1" si="41"/>
        <v>#REF!</v>
      </c>
      <c r="J868" s="226"/>
    </row>
    <row r="869" spans="1:10" hidden="1" x14ac:dyDescent="0.25">
      <c r="A869" s="112" t="s">
        <v>822</v>
      </c>
      <c r="B869" s="113" t="s">
        <v>2710</v>
      </c>
      <c r="C869" s="114" t="s">
        <v>20</v>
      </c>
      <c r="D869" s="114">
        <v>0</v>
      </c>
      <c r="E869" s="133">
        <f ca="1">OFFSET(INDEX(Composições!A:J,MATCH(Orçamentária!A869,Composições!A:A,0),8),2,0)</f>
        <v>9.1846000000000014</v>
      </c>
      <c r="F869" s="134">
        <f t="shared" ca="1" si="39"/>
        <v>0</v>
      </c>
      <c r="G869" s="135" t="e">
        <f>IF(A869&lt;&gt;"",IF(AND(#REF!="Padrão",$H$4=#REF!),BDI!$B$17,IF(AND(#REF!="Padrão",$H$4=#REF!),BDI!#REF!,IF(AND(#REF!="Diferenciado",$H$4=#REF!),BDI!$E$17,IF(AND(#REF!="Diferenciado",$H$4=#REF!),BDI!#REF!,IF(#REF!="ZERO",0))))),"")</f>
        <v>#REF!</v>
      </c>
      <c r="H869" s="136" t="e">
        <f t="shared" ca="1" si="40"/>
        <v>#REF!</v>
      </c>
      <c r="I869" s="134" t="e">
        <f t="shared" ca="1" si="41"/>
        <v>#REF!</v>
      </c>
      <c r="J869" s="226"/>
    </row>
    <row r="870" spans="1:10" hidden="1" x14ac:dyDescent="0.25">
      <c r="A870" s="112" t="s">
        <v>824</v>
      </c>
      <c r="B870" s="113" t="s">
        <v>2711</v>
      </c>
      <c r="C870" s="114" t="s">
        <v>20</v>
      </c>
      <c r="D870" s="114">
        <v>0</v>
      </c>
      <c r="E870" s="133">
        <f ca="1">OFFSET(INDEX(Composições!A:J,MATCH(Orçamentária!A870,Composições!A:A,0),8),2,0)</f>
        <v>6.8884499999999997</v>
      </c>
      <c r="F870" s="134">
        <f t="shared" ca="1" si="39"/>
        <v>0</v>
      </c>
      <c r="G870" s="135" t="e">
        <f>IF(A870&lt;&gt;"",IF(AND(#REF!="Padrão",$H$4=#REF!),BDI!$B$17,IF(AND(#REF!="Padrão",$H$4=#REF!),BDI!#REF!,IF(AND(#REF!="Diferenciado",$H$4=#REF!),BDI!$E$17,IF(AND(#REF!="Diferenciado",$H$4=#REF!),BDI!#REF!,IF(#REF!="ZERO",0))))),"")</f>
        <v>#REF!</v>
      </c>
      <c r="H870" s="136" t="e">
        <f t="shared" ca="1" si="40"/>
        <v>#REF!</v>
      </c>
      <c r="I870" s="134" t="e">
        <f t="shared" ca="1" si="41"/>
        <v>#REF!</v>
      </c>
      <c r="J870" s="226"/>
    </row>
    <row r="871" spans="1:10" hidden="1" x14ac:dyDescent="0.25">
      <c r="A871" s="112" t="s">
        <v>826</v>
      </c>
      <c r="B871" s="113" t="s">
        <v>2712</v>
      </c>
      <c r="C871" s="114" t="s">
        <v>92</v>
      </c>
      <c r="D871" s="114">
        <v>0</v>
      </c>
      <c r="E871" s="133">
        <f ca="1">OFFSET(INDEX(Composições!A:J,MATCH(Orçamentária!A871,Composições!A:A,0),8),2,0)</f>
        <v>12.012655000000001</v>
      </c>
      <c r="F871" s="134">
        <f t="shared" ca="1" si="39"/>
        <v>0</v>
      </c>
      <c r="G871" s="135" t="e">
        <f>IF(A871&lt;&gt;"",IF(AND(#REF!="Padrão",$H$4=#REF!),BDI!$B$17,IF(AND(#REF!="Padrão",$H$4=#REF!),BDI!#REF!,IF(AND(#REF!="Diferenciado",$H$4=#REF!),BDI!$E$17,IF(AND(#REF!="Diferenciado",$H$4=#REF!),BDI!#REF!,IF(#REF!="ZERO",0))))),"")</f>
        <v>#REF!</v>
      </c>
      <c r="H871" s="136" t="e">
        <f t="shared" ca="1" si="40"/>
        <v>#REF!</v>
      </c>
      <c r="I871" s="134" t="e">
        <f t="shared" ca="1" si="41"/>
        <v>#REF!</v>
      </c>
      <c r="J871" s="226"/>
    </row>
    <row r="872" spans="1:10" hidden="1" x14ac:dyDescent="0.25">
      <c r="A872" s="112" t="s">
        <v>830</v>
      </c>
      <c r="B872" s="113" t="s">
        <v>2713</v>
      </c>
      <c r="C872" s="114" t="s">
        <v>92</v>
      </c>
      <c r="D872" s="114">
        <v>0</v>
      </c>
      <c r="E872" s="133">
        <f ca="1">OFFSET(INDEX(Composições!A:J,MATCH(Orçamentária!A872,Composições!A:A,0),8),2,0)</f>
        <v>37.077578500000001</v>
      </c>
      <c r="F872" s="134">
        <f t="shared" ca="1" si="39"/>
        <v>0</v>
      </c>
      <c r="G872" s="135" t="e">
        <f>IF(A872&lt;&gt;"",IF(AND(#REF!="Padrão",$H$4=#REF!),BDI!$B$17,IF(AND(#REF!="Padrão",$H$4=#REF!),BDI!#REF!,IF(AND(#REF!="Diferenciado",$H$4=#REF!),BDI!$E$17,IF(AND(#REF!="Diferenciado",$H$4=#REF!),BDI!#REF!,IF(#REF!="ZERO",0))))),"")</f>
        <v>#REF!</v>
      </c>
      <c r="H872" s="136" t="e">
        <f t="shared" ca="1" si="40"/>
        <v>#REF!</v>
      </c>
      <c r="I872" s="134" t="e">
        <f t="shared" ca="1" si="41"/>
        <v>#REF!</v>
      </c>
      <c r="J872" s="226"/>
    </row>
    <row r="873" spans="1:10" hidden="1" x14ac:dyDescent="0.25">
      <c r="A873" s="112" t="s">
        <v>833</v>
      </c>
      <c r="B873" s="113" t="s">
        <v>2714</v>
      </c>
      <c r="C873" s="114" t="s">
        <v>92</v>
      </c>
      <c r="D873" s="114">
        <v>0</v>
      </c>
      <c r="E873" s="133">
        <f ca="1">OFFSET(INDEX(Composições!A:J,MATCH(Orçamentária!A873,Composições!A:A,0),8),2,0)</f>
        <v>15.5666145</v>
      </c>
      <c r="F873" s="134">
        <f t="shared" ca="1" si="39"/>
        <v>0</v>
      </c>
      <c r="G873" s="135" t="e">
        <f>IF(A873&lt;&gt;"",IF(AND(#REF!="Padrão",$H$4=#REF!),BDI!$B$17,IF(AND(#REF!="Padrão",$H$4=#REF!),BDI!#REF!,IF(AND(#REF!="Diferenciado",$H$4=#REF!),BDI!$E$17,IF(AND(#REF!="Diferenciado",$H$4=#REF!),BDI!#REF!,IF(#REF!="ZERO",0))))),"")</f>
        <v>#REF!</v>
      </c>
      <c r="H873" s="136" t="e">
        <f t="shared" ca="1" si="40"/>
        <v>#REF!</v>
      </c>
      <c r="I873" s="134" t="e">
        <f t="shared" ca="1" si="41"/>
        <v>#REF!</v>
      </c>
      <c r="J873" s="226"/>
    </row>
    <row r="874" spans="1:10" hidden="1" x14ac:dyDescent="0.25">
      <c r="A874" s="112" t="s">
        <v>835</v>
      </c>
      <c r="B874" s="113" t="s">
        <v>2715</v>
      </c>
      <c r="C874" s="114" t="s">
        <v>92</v>
      </c>
      <c r="D874" s="114">
        <v>0</v>
      </c>
      <c r="E874" s="133">
        <f ca="1">OFFSET(INDEX(Composições!A:J,MATCH(Orçamentária!A874,Composições!A:A,0),8),2,0)</f>
        <v>24.502029499999999</v>
      </c>
      <c r="F874" s="134">
        <f t="shared" ca="1" si="39"/>
        <v>0</v>
      </c>
      <c r="G874" s="135" t="e">
        <f>IF(A874&lt;&gt;"",IF(AND(#REF!="Padrão",$H$4=#REF!),BDI!$B$17,IF(AND(#REF!="Padrão",$H$4=#REF!),BDI!#REF!,IF(AND(#REF!="Diferenciado",$H$4=#REF!),BDI!$E$17,IF(AND(#REF!="Diferenciado",$H$4=#REF!),BDI!#REF!,IF(#REF!="ZERO",0))))),"")</f>
        <v>#REF!</v>
      </c>
      <c r="H874" s="136" t="e">
        <f t="shared" ca="1" si="40"/>
        <v>#REF!</v>
      </c>
      <c r="I874" s="134" t="e">
        <f t="shared" ca="1" si="41"/>
        <v>#REF!</v>
      </c>
      <c r="J874" s="226"/>
    </row>
    <row r="875" spans="1:10" hidden="1" x14ac:dyDescent="0.25">
      <c r="A875" s="112" t="s">
        <v>836</v>
      </c>
      <c r="B875" s="113" t="s">
        <v>2716</v>
      </c>
      <c r="C875" s="114" t="s">
        <v>92</v>
      </c>
      <c r="D875" s="114">
        <v>0</v>
      </c>
      <c r="E875" s="133">
        <f ca="1">OFFSET(INDEX(Composições!A:J,MATCH(Orçamentária!A875,Composições!A:A,0),8),2,0)</f>
        <v>7.740219999999999</v>
      </c>
      <c r="F875" s="134">
        <f t="shared" ca="1" si="39"/>
        <v>0</v>
      </c>
      <c r="G875" s="135" t="e">
        <f>IF(A875&lt;&gt;"",IF(AND(#REF!="Padrão",$H$4=#REF!),BDI!$B$17,IF(AND(#REF!="Padrão",$H$4=#REF!),BDI!#REF!,IF(AND(#REF!="Diferenciado",$H$4=#REF!),BDI!$E$17,IF(AND(#REF!="Diferenciado",$H$4=#REF!),BDI!#REF!,IF(#REF!="ZERO",0))))),"")</f>
        <v>#REF!</v>
      </c>
      <c r="H875" s="136" t="e">
        <f t="shared" ca="1" si="40"/>
        <v>#REF!</v>
      </c>
      <c r="I875" s="134" t="e">
        <f t="shared" ca="1" si="41"/>
        <v>#REF!</v>
      </c>
      <c r="J875" s="226"/>
    </row>
    <row r="876" spans="1:10" hidden="1" x14ac:dyDescent="0.25">
      <c r="A876" s="112" t="s">
        <v>838</v>
      </c>
      <c r="B876" s="113" t="s">
        <v>2717</v>
      </c>
      <c r="C876" s="114" t="s">
        <v>20</v>
      </c>
      <c r="D876" s="114">
        <v>0</v>
      </c>
      <c r="E876" s="133">
        <f ca="1">OFFSET(INDEX(Composições!A:J,MATCH(Orçamentária!A876,Composições!A:A,0),8),2,0)</f>
        <v>6.8884499999999997</v>
      </c>
      <c r="F876" s="134">
        <f t="shared" ca="1" si="39"/>
        <v>0</v>
      </c>
      <c r="G876" s="135" t="e">
        <f>IF(A876&lt;&gt;"",IF(AND(#REF!="Padrão",$H$4=#REF!),BDI!$B$17,IF(AND(#REF!="Padrão",$H$4=#REF!),BDI!#REF!,IF(AND(#REF!="Diferenciado",$H$4=#REF!),BDI!$E$17,IF(AND(#REF!="Diferenciado",$H$4=#REF!),BDI!#REF!,IF(#REF!="ZERO",0))))),"")</f>
        <v>#REF!</v>
      </c>
      <c r="H876" s="136" t="e">
        <f t="shared" ca="1" si="40"/>
        <v>#REF!</v>
      </c>
      <c r="I876" s="134" t="e">
        <f t="shared" ca="1" si="41"/>
        <v>#REF!</v>
      </c>
      <c r="J876" s="226"/>
    </row>
    <row r="877" spans="1:10" hidden="1" x14ac:dyDescent="0.25">
      <c r="A877" s="112" t="s">
        <v>840</v>
      </c>
      <c r="B877" s="113" t="s">
        <v>2718</v>
      </c>
      <c r="C877" s="114" t="s">
        <v>92</v>
      </c>
      <c r="D877" s="114">
        <v>0</v>
      </c>
      <c r="E877" s="133">
        <f ca="1">OFFSET(INDEX(Composições!A:J,MATCH(Orçamentária!A877,Composições!A:A,0),8),2,0)</f>
        <v>6.8884499999999997</v>
      </c>
      <c r="F877" s="134">
        <f t="shared" ca="1" si="39"/>
        <v>0</v>
      </c>
      <c r="G877" s="135" t="e">
        <f>IF(A877&lt;&gt;"",IF(AND(#REF!="Padrão",$H$4=#REF!),BDI!$B$17,IF(AND(#REF!="Padrão",$H$4=#REF!),BDI!#REF!,IF(AND(#REF!="Diferenciado",$H$4=#REF!),BDI!$E$17,IF(AND(#REF!="Diferenciado",$H$4=#REF!),BDI!#REF!,IF(#REF!="ZERO",0))))),"")</f>
        <v>#REF!</v>
      </c>
      <c r="H877" s="136" t="e">
        <f t="shared" ca="1" si="40"/>
        <v>#REF!</v>
      </c>
      <c r="I877" s="134" t="e">
        <f t="shared" ca="1" si="41"/>
        <v>#REF!</v>
      </c>
      <c r="J877" s="226"/>
    </row>
    <row r="878" spans="1:10" hidden="1" x14ac:dyDescent="0.25">
      <c r="A878" s="112" t="s">
        <v>842</v>
      </c>
      <c r="B878" s="113" t="s">
        <v>2719</v>
      </c>
      <c r="C878" s="114" t="s">
        <v>20</v>
      </c>
      <c r="D878" s="114">
        <v>0</v>
      </c>
      <c r="E878" s="133">
        <f ca="1">OFFSET(INDEX(Composições!A:J,MATCH(Orçamentária!A878,Composições!A:A,0),8),2,0)</f>
        <v>3.4442249999999999</v>
      </c>
      <c r="F878" s="134">
        <f t="shared" ca="1" si="39"/>
        <v>0</v>
      </c>
      <c r="G878" s="135" t="e">
        <f>IF(A878&lt;&gt;"",IF(AND(#REF!="Padrão",$H$4=#REF!),BDI!$B$17,IF(AND(#REF!="Padrão",$H$4=#REF!),BDI!#REF!,IF(AND(#REF!="Diferenciado",$H$4=#REF!),BDI!$E$17,IF(AND(#REF!="Diferenciado",$H$4=#REF!),BDI!#REF!,IF(#REF!="ZERO",0))))),"")</f>
        <v>#REF!</v>
      </c>
      <c r="H878" s="136" t="e">
        <f t="shared" ca="1" si="40"/>
        <v>#REF!</v>
      </c>
      <c r="I878" s="134" t="e">
        <f t="shared" ca="1" si="41"/>
        <v>#REF!</v>
      </c>
      <c r="J878" s="226"/>
    </row>
    <row r="879" spans="1:10" hidden="1" x14ac:dyDescent="0.25">
      <c r="A879" s="112" t="s">
        <v>844</v>
      </c>
      <c r="B879" s="113" t="s">
        <v>2720</v>
      </c>
      <c r="C879" s="114" t="s">
        <v>20</v>
      </c>
      <c r="D879" s="114">
        <v>0</v>
      </c>
      <c r="E879" s="133">
        <f ca="1">OFFSET(INDEX(Composições!A:J,MATCH(Orçamentária!A879,Composições!A:A,0),8),2,0)</f>
        <v>3.4442249999999999</v>
      </c>
      <c r="F879" s="134">
        <f t="shared" ca="1" si="39"/>
        <v>0</v>
      </c>
      <c r="G879" s="135" t="e">
        <f>IF(A879&lt;&gt;"",IF(AND(#REF!="Padrão",$H$4=#REF!),BDI!$B$17,IF(AND(#REF!="Padrão",$H$4=#REF!),BDI!#REF!,IF(AND(#REF!="Diferenciado",$H$4=#REF!),BDI!$E$17,IF(AND(#REF!="Diferenciado",$H$4=#REF!),BDI!#REF!,IF(#REF!="ZERO",0))))),"")</f>
        <v>#REF!</v>
      </c>
      <c r="H879" s="136" t="e">
        <f t="shared" ca="1" si="40"/>
        <v>#REF!</v>
      </c>
      <c r="I879" s="134" t="e">
        <f t="shared" ca="1" si="41"/>
        <v>#REF!</v>
      </c>
      <c r="J879" s="226"/>
    </row>
    <row r="880" spans="1:10" hidden="1" x14ac:dyDescent="0.25">
      <c r="A880" s="112" t="s">
        <v>846</v>
      </c>
      <c r="B880" s="113" t="s">
        <v>2721</v>
      </c>
      <c r="C880" s="114" t="s">
        <v>20</v>
      </c>
      <c r="D880" s="114">
        <v>0</v>
      </c>
      <c r="E880" s="133">
        <f ca="1">OFFSET(INDEX(Composições!A:J,MATCH(Orçamentária!A880,Composições!A:A,0),8),2,0)</f>
        <v>2.2961500000000004</v>
      </c>
      <c r="F880" s="134">
        <f t="shared" ca="1" si="39"/>
        <v>0</v>
      </c>
      <c r="G880" s="135" t="e">
        <f>IF(A880&lt;&gt;"",IF(AND(#REF!="Padrão",$H$4=#REF!),BDI!$B$17,IF(AND(#REF!="Padrão",$H$4=#REF!),BDI!#REF!,IF(AND(#REF!="Diferenciado",$H$4=#REF!),BDI!$E$17,IF(AND(#REF!="Diferenciado",$H$4=#REF!),BDI!#REF!,IF(#REF!="ZERO",0))))),"")</f>
        <v>#REF!</v>
      </c>
      <c r="H880" s="136" t="e">
        <f t="shared" ca="1" si="40"/>
        <v>#REF!</v>
      </c>
      <c r="I880" s="134" t="e">
        <f t="shared" ca="1" si="41"/>
        <v>#REF!</v>
      </c>
      <c r="J880" s="226"/>
    </row>
    <row r="881" spans="1:10" hidden="1" x14ac:dyDescent="0.25">
      <c r="A881" s="112" t="s">
        <v>848</v>
      </c>
      <c r="B881" s="113" t="s">
        <v>2722</v>
      </c>
      <c r="C881" s="114" t="s">
        <v>20</v>
      </c>
      <c r="D881" s="114">
        <v>0</v>
      </c>
      <c r="E881" s="133">
        <f ca="1">OFFSET(INDEX(Composições!A:J,MATCH(Orçamentária!A881,Composições!A:A,0),8),2,0)</f>
        <v>9.1846000000000014</v>
      </c>
      <c r="F881" s="134">
        <f t="shared" ca="1" si="39"/>
        <v>0</v>
      </c>
      <c r="G881" s="135" t="e">
        <f>IF(A881&lt;&gt;"",IF(AND(#REF!="Padrão",$H$4=#REF!),BDI!$B$17,IF(AND(#REF!="Padrão",$H$4=#REF!),BDI!#REF!,IF(AND(#REF!="Diferenciado",$H$4=#REF!),BDI!$E$17,IF(AND(#REF!="Diferenciado",$H$4=#REF!),BDI!#REF!,IF(#REF!="ZERO",0))))),"")</f>
        <v>#REF!</v>
      </c>
      <c r="H881" s="136" t="e">
        <f t="shared" ca="1" si="40"/>
        <v>#REF!</v>
      </c>
      <c r="I881" s="134" t="e">
        <f t="shared" ca="1" si="41"/>
        <v>#REF!</v>
      </c>
      <c r="J881" s="226"/>
    </row>
    <row r="882" spans="1:10" hidden="1" x14ac:dyDescent="0.25">
      <c r="A882" s="112" t="s">
        <v>850</v>
      </c>
      <c r="B882" s="113" t="s">
        <v>2723</v>
      </c>
      <c r="C882" s="114" t="s">
        <v>20</v>
      </c>
      <c r="D882" s="114">
        <v>0</v>
      </c>
      <c r="E882" s="133">
        <f ca="1">OFFSET(INDEX(Composições!A:J,MATCH(Orçamentária!A882,Composições!A:A,0),8),2,0)</f>
        <v>9.1846000000000014</v>
      </c>
      <c r="F882" s="134">
        <f t="shared" ca="1" si="39"/>
        <v>0</v>
      </c>
      <c r="G882" s="135" t="e">
        <f>IF(A882&lt;&gt;"",IF(AND(#REF!="Padrão",$H$4=#REF!),BDI!$B$17,IF(AND(#REF!="Padrão",$H$4=#REF!),BDI!#REF!,IF(AND(#REF!="Diferenciado",$H$4=#REF!),BDI!$E$17,IF(AND(#REF!="Diferenciado",$H$4=#REF!),BDI!#REF!,IF(#REF!="ZERO",0))))),"")</f>
        <v>#REF!</v>
      </c>
      <c r="H882" s="136" t="e">
        <f t="shared" ca="1" si="40"/>
        <v>#REF!</v>
      </c>
      <c r="I882" s="134" t="e">
        <f t="shared" ca="1" si="41"/>
        <v>#REF!</v>
      </c>
      <c r="J882" s="226"/>
    </row>
    <row r="883" spans="1:10" hidden="1" x14ac:dyDescent="0.25">
      <c r="A883" s="112" t="s">
        <v>852</v>
      </c>
      <c r="B883" s="113" t="s">
        <v>2724</v>
      </c>
      <c r="C883" s="114" t="s">
        <v>20</v>
      </c>
      <c r="D883" s="114">
        <v>0</v>
      </c>
      <c r="E883" s="133">
        <f ca="1">OFFSET(INDEX(Composições!A:J,MATCH(Orçamentária!A883,Composições!A:A,0),8),2,0)</f>
        <v>6.8884499999999997</v>
      </c>
      <c r="F883" s="134">
        <f t="shared" ca="1" si="39"/>
        <v>0</v>
      </c>
      <c r="G883" s="135" t="e">
        <f>IF(A883&lt;&gt;"",IF(AND(#REF!="Padrão",$H$4=#REF!),BDI!$B$17,IF(AND(#REF!="Padrão",$H$4=#REF!),BDI!#REF!,IF(AND(#REF!="Diferenciado",$H$4=#REF!),BDI!$E$17,IF(AND(#REF!="Diferenciado",$H$4=#REF!),BDI!#REF!,IF(#REF!="ZERO",0))))),"")</f>
        <v>#REF!</v>
      </c>
      <c r="H883" s="136" t="e">
        <f t="shared" ca="1" si="40"/>
        <v>#REF!</v>
      </c>
      <c r="I883" s="134" t="e">
        <f t="shared" ca="1" si="41"/>
        <v>#REF!</v>
      </c>
      <c r="J883" s="226"/>
    </row>
    <row r="884" spans="1:10" hidden="1" x14ac:dyDescent="0.25">
      <c r="A884" s="112" t="s">
        <v>854</v>
      </c>
      <c r="B884" s="113" t="s">
        <v>2725</v>
      </c>
      <c r="C884" s="114" t="s">
        <v>20</v>
      </c>
      <c r="D884" s="114">
        <v>0</v>
      </c>
      <c r="E884" s="133">
        <f ca="1">OFFSET(INDEX(Composições!A:J,MATCH(Orçamentária!A884,Composições!A:A,0),8),2,0)</f>
        <v>4.5923000000000007</v>
      </c>
      <c r="F884" s="134">
        <f t="shared" ca="1" si="39"/>
        <v>0</v>
      </c>
      <c r="G884" s="135" t="e">
        <f>IF(A884&lt;&gt;"",IF(AND(#REF!="Padrão",$H$4=#REF!),BDI!$B$17,IF(AND(#REF!="Padrão",$H$4=#REF!),BDI!#REF!,IF(AND(#REF!="Diferenciado",$H$4=#REF!),BDI!$E$17,IF(AND(#REF!="Diferenciado",$H$4=#REF!),BDI!#REF!,IF(#REF!="ZERO",0))))),"")</f>
        <v>#REF!</v>
      </c>
      <c r="H884" s="136" t="e">
        <f t="shared" ca="1" si="40"/>
        <v>#REF!</v>
      </c>
      <c r="I884" s="134" t="e">
        <f t="shared" ca="1" si="41"/>
        <v>#REF!</v>
      </c>
      <c r="J884" s="226"/>
    </row>
    <row r="885" spans="1:10" hidden="1" x14ac:dyDescent="0.25">
      <c r="A885" s="112" t="s">
        <v>856</v>
      </c>
      <c r="B885" s="113" t="s">
        <v>2726</v>
      </c>
      <c r="C885" s="114" t="s">
        <v>20</v>
      </c>
      <c r="D885" s="114">
        <v>0</v>
      </c>
      <c r="E885" s="133">
        <f ca="1">OFFSET(INDEX(Composições!A:J,MATCH(Orçamentária!A885,Composições!A:A,0),8),2,0)</f>
        <v>4.5923000000000007</v>
      </c>
      <c r="F885" s="134">
        <f t="shared" ca="1" si="39"/>
        <v>0</v>
      </c>
      <c r="G885" s="135" t="e">
        <f>IF(A885&lt;&gt;"",IF(AND(#REF!="Padrão",$H$4=#REF!),BDI!$B$17,IF(AND(#REF!="Padrão",$H$4=#REF!),BDI!#REF!,IF(AND(#REF!="Diferenciado",$H$4=#REF!),BDI!$E$17,IF(AND(#REF!="Diferenciado",$H$4=#REF!),BDI!#REF!,IF(#REF!="ZERO",0))))),"")</f>
        <v>#REF!</v>
      </c>
      <c r="H885" s="136" t="e">
        <f t="shared" ca="1" si="40"/>
        <v>#REF!</v>
      </c>
      <c r="I885" s="134" t="e">
        <f t="shared" ca="1" si="41"/>
        <v>#REF!</v>
      </c>
      <c r="J885" s="226"/>
    </row>
    <row r="886" spans="1:10" hidden="1" x14ac:dyDescent="0.25">
      <c r="A886" s="112" t="s">
        <v>858</v>
      </c>
      <c r="B886" s="113" t="s">
        <v>859</v>
      </c>
      <c r="C886" s="114" t="s">
        <v>94</v>
      </c>
      <c r="D886" s="114">
        <v>0</v>
      </c>
      <c r="E886" s="133">
        <f ca="1">OFFSET(INDEX(Composições!A:J,MATCH(Orçamentária!A886,Composições!A:A,0),8),2,0)</f>
        <v>601.46380050000005</v>
      </c>
      <c r="F886" s="134">
        <f t="shared" ca="1" si="39"/>
        <v>0</v>
      </c>
      <c r="G886" s="135" t="e">
        <f>IF(A886&lt;&gt;"",IF(AND(#REF!="Padrão",$H$4=#REF!),BDI!$B$17,IF(AND(#REF!="Padrão",$H$4=#REF!),BDI!#REF!,IF(AND(#REF!="Diferenciado",$H$4=#REF!),BDI!$E$17,IF(AND(#REF!="Diferenciado",$H$4=#REF!),BDI!#REF!,IF(#REF!="ZERO",0))))),"")</f>
        <v>#REF!</v>
      </c>
      <c r="H886" s="136" t="e">
        <f t="shared" ca="1" si="40"/>
        <v>#REF!</v>
      </c>
      <c r="I886" s="134" t="e">
        <f t="shared" ca="1" si="41"/>
        <v>#REF!</v>
      </c>
      <c r="J886" s="226"/>
    </row>
    <row r="887" spans="1:10" hidden="1" x14ac:dyDescent="0.25">
      <c r="A887" s="112" t="s">
        <v>2727</v>
      </c>
      <c r="B887" s="113" t="s">
        <v>2728</v>
      </c>
      <c r="C887" s="114" t="s">
        <v>20</v>
      </c>
      <c r="D887" s="114">
        <v>0</v>
      </c>
      <c r="E887" s="133" t="s">
        <v>514</v>
      </c>
      <c r="F887" s="134" t="str">
        <f t="shared" si="39"/>
        <v/>
      </c>
      <c r="G887" s="135" t="e">
        <f>IF(A887&lt;&gt;"",IF(AND(#REF!="Padrão",$H$4=#REF!),BDI!$B$17,IF(AND(#REF!="Padrão",$H$4=#REF!),BDI!#REF!,IF(AND(#REF!="Diferenciado",$H$4=#REF!),BDI!$E$17,IF(AND(#REF!="Diferenciado",$H$4=#REF!),BDI!#REF!,IF(#REF!="ZERO",0))))),"")</f>
        <v>#REF!</v>
      </c>
      <c r="H887" s="136" t="str">
        <f t="shared" si="40"/>
        <v/>
      </c>
      <c r="I887" s="134" t="str">
        <f t="shared" si="41"/>
        <v/>
      </c>
      <c r="J887" s="226"/>
    </row>
    <row r="888" spans="1:10" hidden="1" x14ac:dyDescent="0.25">
      <c r="A888" s="112" t="s">
        <v>860</v>
      </c>
      <c r="B888" s="113" t="s">
        <v>6281</v>
      </c>
      <c r="C888" s="114" t="s">
        <v>20</v>
      </c>
      <c r="D888" s="114">
        <v>0</v>
      </c>
      <c r="E888" s="133">
        <f ca="1">OFFSET(INDEX(Composições!A:J,MATCH(Orçamentária!A888,Composições!A:A,0),8),2,0)</f>
        <v>4.5923000000000007</v>
      </c>
      <c r="F888" s="134">
        <f t="shared" ca="1" si="39"/>
        <v>0</v>
      </c>
      <c r="G888" s="135" t="e">
        <f>IF(A888&lt;&gt;"",IF(AND(#REF!="Padrão",$H$4=#REF!),BDI!$B$17,IF(AND(#REF!="Padrão",$H$4=#REF!),BDI!#REF!,IF(AND(#REF!="Diferenciado",$H$4=#REF!),BDI!$E$17,IF(AND(#REF!="Diferenciado",$H$4=#REF!),BDI!#REF!,IF(#REF!="ZERO",0))))),"")</f>
        <v>#REF!</v>
      </c>
      <c r="H888" s="136" t="e">
        <f t="shared" ca="1" si="40"/>
        <v>#REF!</v>
      </c>
      <c r="I888" s="134" t="e">
        <f t="shared" ca="1" si="41"/>
        <v>#REF!</v>
      </c>
      <c r="J888" s="226"/>
    </row>
    <row r="889" spans="1:10" hidden="1" x14ac:dyDescent="0.25">
      <c r="A889" s="112" t="s">
        <v>862</v>
      </c>
      <c r="B889" s="113" t="s">
        <v>2729</v>
      </c>
      <c r="C889" s="114" t="s">
        <v>20</v>
      </c>
      <c r="D889" s="114">
        <v>0</v>
      </c>
      <c r="E889" s="133">
        <f ca="1">OFFSET(INDEX(Composições!A:J,MATCH(Orçamentária!A889,Composições!A:A,0),8),2,0)</f>
        <v>4.5923000000000007</v>
      </c>
      <c r="F889" s="134">
        <f t="shared" ca="1" si="39"/>
        <v>0</v>
      </c>
      <c r="G889" s="135" t="e">
        <f>IF(A889&lt;&gt;"",IF(AND(#REF!="Padrão",$H$4=#REF!),BDI!$B$17,IF(AND(#REF!="Padrão",$H$4=#REF!),BDI!#REF!,IF(AND(#REF!="Diferenciado",$H$4=#REF!),BDI!$E$17,IF(AND(#REF!="Diferenciado",$H$4=#REF!),BDI!#REF!,IF(#REF!="ZERO",0))))),"")</f>
        <v>#REF!</v>
      </c>
      <c r="H889" s="136" t="e">
        <f t="shared" ca="1" si="40"/>
        <v>#REF!</v>
      </c>
      <c r="I889" s="134" t="e">
        <f t="shared" ca="1" si="41"/>
        <v>#REF!</v>
      </c>
      <c r="J889" s="226"/>
    </row>
    <row r="890" spans="1:10" hidden="1" x14ac:dyDescent="0.25">
      <c r="A890" s="112" t="s">
        <v>864</v>
      </c>
      <c r="B890" s="113" t="s">
        <v>2730</v>
      </c>
      <c r="C890" s="114" t="s">
        <v>20</v>
      </c>
      <c r="D890" s="114">
        <v>0</v>
      </c>
      <c r="E890" s="133">
        <f ca="1">OFFSET(INDEX(Composições!A:J,MATCH(Orçamentária!A890,Composições!A:A,0),8),2,0)</f>
        <v>4.5923000000000007</v>
      </c>
      <c r="F890" s="134">
        <f t="shared" ca="1" si="39"/>
        <v>0</v>
      </c>
      <c r="G890" s="135" t="e">
        <f>IF(A890&lt;&gt;"",IF(AND(#REF!="Padrão",$H$4=#REF!),BDI!$B$17,IF(AND(#REF!="Padrão",$H$4=#REF!),BDI!#REF!,IF(AND(#REF!="Diferenciado",$H$4=#REF!),BDI!$E$17,IF(AND(#REF!="Diferenciado",$H$4=#REF!),BDI!#REF!,IF(#REF!="ZERO",0))))),"")</f>
        <v>#REF!</v>
      </c>
      <c r="H890" s="136" t="e">
        <f t="shared" ca="1" si="40"/>
        <v>#REF!</v>
      </c>
      <c r="I890" s="134" t="e">
        <f t="shared" ca="1" si="41"/>
        <v>#REF!</v>
      </c>
      <c r="J890" s="226"/>
    </row>
    <row r="891" spans="1:10" hidden="1" x14ac:dyDescent="0.25">
      <c r="A891" s="112" t="s">
        <v>866</v>
      </c>
      <c r="B891" s="113" t="s">
        <v>2731</v>
      </c>
      <c r="C891" s="114" t="s">
        <v>20</v>
      </c>
      <c r="D891" s="114">
        <v>0</v>
      </c>
      <c r="E891" s="133">
        <f ca="1">OFFSET(INDEX(Composições!A:J,MATCH(Orçamentária!A891,Composições!A:A,0),8),2,0)</f>
        <v>34.442250000000001</v>
      </c>
      <c r="F891" s="134">
        <f t="shared" ca="1" si="39"/>
        <v>0</v>
      </c>
      <c r="G891" s="135" t="e">
        <f>IF(A891&lt;&gt;"",IF(AND(#REF!="Padrão",$H$4=#REF!),BDI!$B$17,IF(AND(#REF!="Padrão",$H$4=#REF!),BDI!#REF!,IF(AND(#REF!="Diferenciado",$H$4=#REF!),BDI!$E$17,IF(AND(#REF!="Diferenciado",$H$4=#REF!),BDI!#REF!,IF(#REF!="ZERO",0))))),"")</f>
        <v>#REF!</v>
      </c>
      <c r="H891" s="136" t="e">
        <f t="shared" ca="1" si="40"/>
        <v>#REF!</v>
      </c>
      <c r="I891" s="134" t="e">
        <f t="shared" ca="1" si="41"/>
        <v>#REF!</v>
      </c>
      <c r="J891" s="226"/>
    </row>
    <row r="892" spans="1:10" hidden="1" x14ac:dyDescent="0.25">
      <c r="A892" s="112" t="s">
        <v>868</v>
      </c>
      <c r="B892" s="113" t="s">
        <v>2732</v>
      </c>
      <c r="C892" s="114" t="s">
        <v>20</v>
      </c>
      <c r="D892" s="114">
        <v>0</v>
      </c>
      <c r="E892" s="133">
        <f ca="1">OFFSET(INDEX(Composições!A:J,MATCH(Orçamentária!A892,Composições!A:A,0),8),2,0)</f>
        <v>34.442250000000001</v>
      </c>
      <c r="F892" s="134">
        <f t="shared" ca="1" si="39"/>
        <v>0</v>
      </c>
      <c r="G892" s="135" t="e">
        <f>IF(A892&lt;&gt;"",IF(AND(#REF!="Padrão",$H$4=#REF!),BDI!$B$17,IF(AND(#REF!="Padrão",$H$4=#REF!),BDI!#REF!,IF(AND(#REF!="Diferenciado",$H$4=#REF!),BDI!$E$17,IF(AND(#REF!="Diferenciado",$H$4=#REF!),BDI!#REF!,IF(#REF!="ZERO",0))))),"")</f>
        <v>#REF!</v>
      </c>
      <c r="H892" s="136" t="e">
        <f t="shared" ca="1" si="40"/>
        <v>#REF!</v>
      </c>
      <c r="I892" s="134" t="e">
        <f t="shared" ca="1" si="41"/>
        <v>#REF!</v>
      </c>
      <c r="J892" s="226"/>
    </row>
    <row r="893" spans="1:10" hidden="1" x14ac:dyDescent="0.25">
      <c r="A893" s="112" t="s">
        <v>870</v>
      </c>
      <c r="B893" s="113" t="s">
        <v>2733</v>
      </c>
      <c r="C893" s="114" t="s">
        <v>20</v>
      </c>
      <c r="D893" s="114">
        <v>0</v>
      </c>
      <c r="E893" s="133">
        <f ca="1">OFFSET(INDEX(Composições!A:J,MATCH(Orçamentária!A893,Composições!A:A,0),8),2,0)</f>
        <v>22.961500000000001</v>
      </c>
      <c r="F893" s="134">
        <f t="shared" ca="1" si="39"/>
        <v>0</v>
      </c>
      <c r="G893" s="135" t="e">
        <f>IF(A893&lt;&gt;"",IF(AND(#REF!="Padrão",$H$4=#REF!),BDI!$B$17,IF(AND(#REF!="Padrão",$H$4=#REF!),BDI!#REF!,IF(AND(#REF!="Diferenciado",$H$4=#REF!),BDI!$E$17,IF(AND(#REF!="Diferenciado",$H$4=#REF!),BDI!#REF!,IF(#REF!="ZERO",0))))),"")</f>
        <v>#REF!</v>
      </c>
      <c r="H893" s="136" t="e">
        <f t="shared" ca="1" si="40"/>
        <v>#REF!</v>
      </c>
      <c r="I893" s="134" t="e">
        <f t="shared" ca="1" si="41"/>
        <v>#REF!</v>
      </c>
      <c r="J893" s="226"/>
    </row>
    <row r="894" spans="1:10" hidden="1" x14ac:dyDescent="0.25">
      <c r="A894" s="112" t="s">
        <v>872</v>
      </c>
      <c r="B894" s="113" t="s">
        <v>2734</v>
      </c>
      <c r="C894" s="114" t="s">
        <v>20</v>
      </c>
      <c r="D894" s="114">
        <v>0</v>
      </c>
      <c r="E894" s="133">
        <f ca="1">OFFSET(INDEX(Composições!A:J,MATCH(Orçamentária!A894,Composições!A:A,0),8),2,0)</f>
        <v>2.2961500000000004</v>
      </c>
      <c r="F894" s="134">
        <f t="shared" ca="1" si="39"/>
        <v>0</v>
      </c>
      <c r="G894" s="135" t="e">
        <f>IF(A894&lt;&gt;"",IF(AND(#REF!="Padrão",$H$4=#REF!),BDI!$B$17,IF(AND(#REF!="Padrão",$H$4=#REF!),BDI!#REF!,IF(AND(#REF!="Diferenciado",$H$4=#REF!),BDI!$E$17,IF(AND(#REF!="Diferenciado",$H$4=#REF!),BDI!#REF!,IF(#REF!="ZERO",0))))),"")</f>
        <v>#REF!</v>
      </c>
      <c r="H894" s="136" t="e">
        <f t="shared" ca="1" si="40"/>
        <v>#REF!</v>
      </c>
      <c r="I894" s="134" t="e">
        <f t="shared" ca="1" si="41"/>
        <v>#REF!</v>
      </c>
      <c r="J894" s="226"/>
    </row>
    <row r="895" spans="1:10" hidden="1" x14ac:dyDescent="0.25">
      <c r="A895" s="112" t="s">
        <v>874</v>
      </c>
      <c r="B895" s="113" t="s">
        <v>6282</v>
      </c>
      <c r="C895" s="114" t="s">
        <v>20</v>
      </c>
      <c r="D895" s="114">
        <v>0</v>
      </c>
      <c r="E895" s="133">
        <f ca="1">OFFSET(INDEX(Composições!A:J,MATCH(Orçamentária!A895,Composições!A:A,0),8),2,0)</f>
        <v>4.5923000000000007</v>
      </c>
      <c r="F895" s="134">
        <f t="shared" ca="1" si="39"/>
        <v>0</v>
      </c>
      <c r="G895" s="135" t="e">
        <f>IF(A895&lt;&gt;"",IF(AND(#REF!="Padrão",$H$4=#REF!),BDI!$B$17,IF(AND(#REF!="Padrão",$H$4=#REF!),BDI!#REF!,IF(AND(#REF!="Diferenciado",$H$4=#REF!),BDI!$E$17,IF(AND(#REF!="Diferenciado",$H$4=#REF!),BDI!#REF!,IF(#REF!="ZERO",0))))),"")</f>
        <v>#REF!</v>
      </c>
      <c r="H895" s="136" t="e">
        <f t="shared" ca="1" si="40"/>
        <v>#REF!</v>
      </c>
      <c r="I895" s="134" t="e">
        <f t="shared" ca="1" si="41"/>
        <v>#REF!</v>
      </c>
      <c r="J895" s="226"/>
    </row>
    <row r="896" spans="1:10" hidden="1" x14ac:dyDescent="0.25">
      <c r="A896" s="112" t="s">
        <v>876</v>
      </c>
      <c r="B896" s="113" t="s">
        <v>2735</v>
      </c>
      <c r="C896" s="114" t="s">
        <v>20</v>
      </c>
      <c r="D896" s="114">
        <v>0</v>
      </c>
      <c r="E896" s="133">
        <f ca="1">OFFSET(INDEX(Composições!A:J,MATCH(Orçamentária!A896,Composições!A:A,0),8),2,0)</f>
        <v>4.5923000000000007</v>
      </c>
      <c r="F896" s="134">
        <f t="shared" ca="1" si="39"/>
        <v>0</v>
      </c>
      <c r="G896" s="135" t="e">
        <f>IF(A896&lt;&gt;"",IF(AND(#REF!="Padrão",$H$4=#REF!),BDI!$B$17,IF(AND(#REF!="Padrão",$H$4=#REF!),BDI!#REF!,IF(AND(#REF!="Diferenciado",$H$4=#REF!),BDI!$E$17,IF(AND(#REF!="Diferenciado",$H$4=#REF!),BDI!#REF!,IF(#REF!="ZERO",0))))),"")</f>
        <v>#REF!</v>
      </c>
      <c r="H896" s="136" t="e">
        <f t="shared" ca="1" si="40"/>
        <v>#REF!</v>
      </c>
      <c r="I896" s="134" t="e">
        <f t="shared" ca="1" si="41"/>
        <v>#REF!</v>
      </c>
      <c r="J896" s="226"/>
    </row>
    <row r="897" spans="1:11" hidden="1" x14ac:dyDescent="0.25">
      <c r="A897" s="112" t="s">
        <v>878</v>
      </c>
      <c r="B897" s="113" t="s">
        <v>2736</v>
      </c>
      <c r="C897" s="114" t="s">
        <v>92</v>
      </c>
      <c r="D897" s="114">
        <v>0</v>
      </c>
      <c r="E897" s="133">
        <f ca="1">OFFSET(INDEX(Composições!A:J,MATCH(Orçamentária!A897,Composições!A:A,0),8),2,0)</f>
        <v>39.053863499999999</v>
      </c>
      <c r="F897" s="134">
        <f t="shared" ca="1" si="39"/>
        <v>0</v>
      </c>
      <c r="G897" s="135" t="e">
        <f>IF(A897&lt;&gt;"",IF(AND(#REF!="Padrão",$H$4=#REF!),BDI!$B$17,IF(AND(#REF!="Padrão",$H$4=#REF!),BDI!#REF!,IF(AND(#REF!="Diferenciado",$H$4=#REF!),BDI!$E$17,IF(AND(#REF!="Diferenciado",$H$4=#REF!),BDI!#REF!,IF(#REF!="ZERO",0))))),"")</f>
        <v>#REF!</v>
      </c>
      <c r="H897" s="136" t="e">
        <f t="shared" ca="1" si="40"/>
        <v>#REF!</v>
      </c>
      <c r="I897" s="134" t="e">
        <f t="shared" ca="1" si="41"/>
        <v>#REF!</v>
      </c>
      <c r="J897" s="226"/>
    </row>
    <row r="898" spans="1:11" hidden="1" x14ac:dyDescent="0.25">
      <c r="A898" s="112" t="s">
        <v>880</v>
      </c>
      <c r="B898" s="113" t="s">
        <v>2737</v>
      </c>
      <c r="C898" s="114" t="s">
        <v>92</v>
      </c>
      <c r="D898" s="114">
        <v>0</v>
      </c>
      <c r="E898" s="133">
        <f ca="1">OFFSET(INDEX(Composições!A:J,MATCH(Orçamentária!A898,Composições!A:A,0),8),2,0)</f>
        <v>4.5923000000000007</v>
      </c>
      <c r="F898" s="134">
        <f t="shared" ca="1" si="39"/>
        <v>0</v>
      </c>
      <c r="G898" s="135" t="e">
        <f>IF(A898&lt;&gt;"",IF(AND(#REF!="Padrão",$H$4=#REF!),BDI!$B$17,IF(AND(#REF!="Padrão",$H$4=#REF!),BDI!#REF!,IF(AND(#REF!="Diferenciado",$H$4=#REF!),BDI!$E$17,IF(AND(#REF!="Diferenciado",$H$4=#REF!),BDI!#REF!,IF(#REF!="ZERO",0))))),"")</f>
        <v>#REF!</v>
      </c>
      <c r="H898" s="136" t="e">
        <f t="shared" ca="1" si="40"/>
        <v>#REF!</v>
      </c>
      <c r="I898" s="134" t="e">
        <f t="shared" ca="1" si="41"/>
        <v>#REF!</v>
      </c>
      <c r="J898" s="226"/>
    </row>
    <row r="899" spans="1:11" hidden="1" x14ac:dyDescent="0.25">
      <c r="A899" s="112" t="s">
        <v>882</v>
      </c>
      <c r="B899" s="113" t="s">
        <v>2738</v>
      </c>
      <c r="C899" s="114" t="s">
        <v>92</v>
      </c>
      <c r="D899" s="114">
        <v>0</v>
      </c>
      <c r="E899" s="133">
        <f ca="1">OFFSET(INDEX(Composições!A:J,MATCH(Orçamentária!A899,Composições!A:A,0),8),2,0)</f>
        <v>11.535935499999999</v>
      </c>
      <c r="F899" s="134">
        <f t="shared" ca="1" si="39"/>
        <v>0</v>
      </c>
      <c r="G899" s="135" t="e">
        <f>IF(A899&lt;&gt;"",IF(AND(#REF!="Padrão",$H$4=#REF!),BDI!$B$17,IF(AND(#REF!="Padrão",$H$4=#REF!),BDI!#REF!,IF(AND(#REF!="Diferenciado",$H$4=#REF!),BDI!$E$17,IF(AND(#REF!="Diferenciado",$H$4=#REF!),BDI!#REF!,IF(#REF!="ZERO",0))))),"")</f>
        <v>#REF!</v>
      </c>
      <c r="H899" s="136" t="e">
        <f t="shared" ca="1" si="40"/>
        <v>#REF!</v>
      </c>
      <c r="I899" s="134" t="e">
        <f t="shared" ca="1" si="41"/>
        <v>#REF!</v>
      </c>
      <c r="J899" s="226"/>
    </row>
    <row r="900" spans="1:11" hidden="1" x14ac:dyDescent="0.25">
      <c r="A900" s="112" t="s">
        <v>885</v>
      </c>
      <c r="B900" s="113" t="s">
        <v>2739</v>
      </c>
      <c r="C900" s="114" t="s">
        <v>20</v>
      </c>
      <c r="D900" s="114">
        <v>0</v>
      </c>
      <c r="E900" s="133">
        <f ca="1">OFFSET(INDEX(Composições!A:J,MATCH(Orçamentária!A900,Composições!A:A,0),8),2,0)</f>
        <v>34.442250000000001</v>
      </c>
      <c r="F900" s="134">
        <f t="shared" ca="1" si="39"/>
        <v>0</v>
      </c>
      <c r="G900" s="135" t="e">
        <f>IF(A900&lt;&gt;"",IF(AND(#REF!="Padrão",$H$4=#REF!),BDI!$B$17,IF(AND(#REF!="Padrão",$H$4=#REF!),BDI!#REF!,IF(AND(#REF!="Diferenciado",$H$4=#REF!),BDI!$E$17,IF(AND(#REF!="Diferenciado",$H$4=#REF!),BDI!#REF!,IF(#REF!="ZERO",0))))),"")</f>
        <v>#REF!</v>
      </c>
      <c r="H900" s="136" t="e">
        <f t="shared" ca="1" si="40"/>
        <v>#REF!</v>
      </c>
      <c r="I900" s="134" t="e">
        <f t="shared" ca="1" si="41"/>
        <v>#REF!</v>
      </c>
      <c r="J900" s="226"/>
    </row>
    <row r="901" spans="1:11" hidden="1" x14ac:dyDescent="0.25">
      <c r="A901" s="112" t="s">
        <v>886</v>
      </c>
      <c r="B901" s="113" t="s">
        <v>2740</v>
      </c>
      <c r="C901" s="114" t="s">
        <v>94</v>
      </c>
      <c r="D901" s="114">
        <v>0</v>
      </c>
      <c r="E901" s="133">
        <f ca="1">OFFSET(INDEX(Composições!A:J,MATCH(Orçamentária!A901,Composições!A:A,0),8),2,0)</f>
        <v>94.961287499999997</v>
      </c>
      <c r="F901" s="134">
        <f t="shared" ca="1" si="39"/>
        <v>0</v>
      </c>
      <c r="G901" s="135" t="e">
        <f>IF(A901&lt;&gt;"",IF(AND(#REF!="Padrão",$H$4=#REF!),BDI!$B$17,IF(AND(#REF!="Padrão",$H$4=#REF!),BDI!#REF!,IF(AND(#REF!="Diferenciado",$H$4=#REF!),BDI!$E$17,IF(AND(#REF!="Diferenciado",$H$4=#REF!),BDI!#REF!,IF(#REF!="ZERO",0))))),"")</f>
        <v>#REF!</v>
      </c>
      <c r="H901" s="136" t="e">
        <f t="shared" ca="1" si="40"/>
        <v>#REF!</v>
      </c>
      <c r="I901" s="134" t="e">
        <f t="shared" ca="1" si="41"/>
        <v>#REF!</v>
      </c>
      <c r="J901" s="226"/>
    </row>
    <row r="902" spans="1:11" hidden="1" x14ac:dyDescent="0.25">
      <c r="A902" s="112" t="s">
        <v>888</v>
      </c>
      <c r="B902" s="113" t="s">
        <v>2741</v>
      </c>
      <c r="C902" s="114" t="s">
        <v>20</v>
      </c>
      <c r="D902" s="114">
        <v>0</v>
      </c>
      <c r="E902" s="133">
        <f ca="1">OFFSET(INDEX(Composições!A:J,MATCH(Orçamentária!A902,Composições!A:A,0),8),2,0)</f>
        <v>9.1846000000000014</v>
      </c>
      <c r="F902" s="134">
        <f t="shared" ca="1" si="39"/>
        <v>0</v>
      </c>
      <c r="G902" s="135" t="e">
        <f>IF(A902&lt;&gt;"",IF(AND(#REF!="Padrão",$H$4=#REF!),BDI!$B$17,IF(AND(#REF!="Padrão",$H$4=#REF!),BDI!#REF!,IF(AND(#REF!="Diferenciado",$H$4=#REF!),BDI!$E$17,IF(AND(#REF!="Diferenciado",$H$4=#REF!),BDI!#REF!,IF(#REF!="ZERO",0))))),"")</f>
        <v>#REF!</v>
      </c>
      <c r="H902" s="136" t="e">
        <f t="shared" ca="1" si="40"/>
        <v>#REF!</v>
      </c>
      <c r="I902" s="134" t="e">
        <f t="shared" ca="1" si="41"/>
        <v>#REF!</v>
      </c>
      <c r="J902" s="226"/>
    </row>
    <row r="903" spans="1:11" s="161" customFormat="1" hidden="1" x14ac:dyDescent="0.25">
      <c r="A903" s="162" t="s">
        <v>890</v>
      </c>
      <c r="B903" s="163" t="s">
        <v>2742</v>
      </c>
      <c r="C903" s="164" t="s">
        <v>42</v>
      </c>
      <c r="D903" s="164">
        <v>100</v>
      </c>
      <c r="E903" s="133">
        <f ca="1">OFFSET(INDEX(Composições!A:J,MATCH(Orçamentária!A903,Composições!A:A,0),8),2,0)</f>
        <v>14.689094750000001</v>
      </c>
      <c r="F903" s="134">
        <f t="shared" ref="F903:F966" ca="1" si="42">IF(ISNUMBER(E903),D903*E903,"")</f>
        <v>1468.9094750000002</v>
      </c>
      <c r="G903" s="135">
        <f>BDI!$B$17</f>
        <v>0.191</v>
      </c>
      <c r="H903" s="136">
        <f t="shared" ref="H903:H966" ca="1" si="43">IF(ISNUMBER(E903),ROUND(E903*(1+G903),2),"")</f>
        <v>17.489999999999998</v>
      </c>
      <c r="I903" s="182">
        <f t="shared" ref="I903:I966" ca="1" si="44">IF(ISNUMBER(E903),ROUND(H903*D903,2),"")</f>
        <v>1749</v>
      </c>
      <c r="J903" s="226"/>
      <c r="K903" s="224" t="s">
        <v>8074</v>
      </c>
    </row>
    <row r="904" spans="1:11" hidden="1" x14ac:dyDescent="0.25">
      <c r="A904" s="112" t="s">
        <v>895</v>
      </c>
      <c r="B904" s="113" t="s">
        <v>2743</v>
      </c>
      <c r="C904" s="114" t="s">
        <v>20</v>
      </c>
      <c r="D904" s="114">
        <v>0</v>
      </c>
      <c r="E904" s="133">
        <f ca="1">OFFSET(INDEX(Composições!A:J,MATCH(Orçamentária!A904,Composições!A:A,0),8),2,0)</f>
        <v>4.5923000000000007</v>
      </c>
      <c r="F904" s="134">
        <f t="shared" ca="1" si="42"/>
        <v>0</v>
      </c>
      <c r="G904" s="135" t="e">
        <f>IF(A904&lt;&gt;"",IF(AND(#REF!="Padrão",$H$4=#REF!),BDI!$B$17,IF(AND(#REF!="Padrão",$H$4=#REF!),BDI!#REF!,IF(AND(#REF!="Diferenciado",$H$4=#REF!),BDI!$E$17,IF(AND(#REF!="Diferenciado",$H$4=#REF!),BDI!#REF!,IF(#REF!="ZERO",0))))),"")</f>
        <v>#REF!</v>
      </c>
      <c r="H904" s="136" t="e">
        <f t="shared" ca="1" si="43"/>
        <v>#REF!</v>
      </c>
      <c r="I904" s="134" t="e">
        <f t="shared" ca="1" si="44"/>
        <v>#REF!</v>
      </c>
      <c r="J904" s="226"/>
    </row>
    <row r="905" spans="1:11" hidden="1" x14ac:dyDescent="0.25">
      <c r="A905" s="112" t="s">
        <v>897</v>
      </c>
      <c r="B905" s="113" t="s">
        <v>2744</v>
      </c>
      <c r="C905" s="114" t="s">
        <v>20</v>
      </c>
      <c r="D905" s="114">
        <v>0</v>
      </c>
      <c r="E905" s="133">
        <f ca="1">OFFSET(INDEX(Composições!A:J,MATCH(Orçamentária!A905,Composições!A:A,0),8),2,0)</f>
        <v>6.8884499999999997</v>
      </c>
      <c r="F905" s="134">
        <f t="shared" ca="1" si="42"/>
        <v>0</v>
      </c>
      <c r="G905" s="135" t="e">
        <f>IF(A905&lt;&gt;"",IF(AND(#REF!="Padrão",$H$4=#REF!),BDI!$B$17,IF(AND(#REF!="Padrão",$H$4=#REF!),BDI!#REF!,IF(AND(#REF!="Diferenciado",$H$4=#REF!),BDI!$E$17,IF(AND(#REF!="Diferenciado",$H$4=#REF!),BDI!#REF!,IF(#REF!="ZERO",0))))),"")</f>
        <v>#REF!</v>
      </c>
      <c r="H905" s="136" t="e">
        <f t="shared" ca="1" si="43"/>
        <v>#REF!</v>
      </c>
      <c r="I905" s="134" t="e">
        <f t="shared" ca="1" si="44"/>
        <v>#REF!</v>
      </c>
      <c r="J905" s="226"/>
    </row>
    <row r="906" spans="1:11" hidden="1" x14ac:dyDescent="0.25">
      <c r="A906" s="112" t="s">
        <v>899</v>
      </c>
      <c r="B906" s="113" t="s">
        <v>2745</v>
      </c>
      <c r="C906" s="114" t="s">
        <v>20</v>
      </c>
      <c r="D906" s="114">
        <v>0</v>
      </c>
      <c r="E906" s="133">
        <f ca="1">OFFSET(INDEX(Composições!A:J,MATCH(Orçamentária!A906,Composições!A:A,0),8),2,0)</f>
        <v>6.8884499999999997</v>
      </c>
      <c r="F906" s="134">
        <f t="shared" ca="1" si="42"/>
        <v>0</v>
      </c>
      <c r="G906" s="135" t="e">
        <f>IF(A906&lt;&gt;"",IF(AND(#REF!="Padrão",$H$4=#REF!),BDI!$B$17,IF(AND(#REF!="Padrão",$H$4=#REF!),BDI!#REF!,IF(AND(#REF!="Diferenciado",$H$4=#REF!),BDI!$E$17,IF(AND(#REF!="Diferenciado",$H$4=#REF!),BDI!#REF!,IF(#REF!="ZERO",0))))),"")</f>
        <v>#REF!</v>
      </c>
      <c r="H906" s="136" t="e">
        <f t="shared" ca="1" si="43"/>
        <v>#REF!</v>
      </c>
      <c r="I906" s="134" t="e">
        <f t="shared" ca="1" si="44"/>
        <v>#REF!</v>
      </c>
      <c r="J906" s="226"/>
    </row>
    <row r="907" spans="1:11" hidden="1" x14ac:dyDescent="0.25">
      <c r="A907" s="112" t="s">
        <v>901</v>
      </c>
      <c r="B907" s="113" t="s">
        <v>2746</v>
      </c>
      <c r="C907" s="114" t="s">
        <v>20</v>
      </c>
      <c r="D907" s="114">
        <v>0</v>
      </c>
      <c r="E907" s="133">
        <f ca="1">OFFSET(INDEX(Composições!A:J,MATCH(Orçamentária!A907,Composições!A:A,0),8),2,0)</f>
        <v>6.8884499999999997</v>
      </c>
      <c r="F907" s="134">
        <f t="shared" ca="1" si="42"/>
        <v>0</v>
      </c>
      <c r="G907" s="135" t="e">
        <f>IF(A907&lt;&gt;"",IF(AND(#REF!="Padrão",$H$4=#REF!),BDI!$B$17,IF(AND(#REF!="Padrão",$H$4=#REF!),BDI!#REF!,IF(AND(#REF!="Diferenciado",$H$4=#REF!),BDI!$E$17,IF(AND(#REF!="Diferenciado",$H$4=#REF!),BDI!#REF!,IF(#REF!="ZERO",0))))),"")</f>
        <v>#REF!</v>
      </c>
      <c r="H907" s="136" t="e">
        <f t="shared" ca="1" si="43"/>
        <v>#REF!</v>
      </c>
      <c r="I907" s="134" t="e">
        <f t="shared" ca="1" si="44"/>
        <v>#REF!</v>
      </c>
      <c r="J907" s="226"/>
    </row>
    <row r="908" spans="1:11" hidden="1" x14ac:dyDescent="0.25">
      <c r="A908" s="112" t="s">
        <v>903</v>
      </c>
      <c r="B908" s="113" t="s">
        <v>2747</v>
      </c>
      <c r="C908" s="114" t="s">
        <v>20</v>
      </c>
      <c r="D908" s="114">
        <v>0</v>
      </c>
      <c r="E908" s="133">
        <f ca="1">OFFSET(INDEX(Composições!A:J,MATCH(Orçamentária!A908,Composições!A:A,0),8),2,0)</f>
        <v>3.4442249999999999</v>
      </c>
      <c r="F908" s="134">
        <f t="shared" ca="1" si="42"/>
        <v>0</v>
      </c>
      <c r="G908" s="135" t="e">
        <f>IF(A908&lt;&gt;"",IF(AND(#REF!="Padrão",$H$4=#REF!),BDI!$B$17,IF(AND(#REF!="Padrão",$H$4=#REF!),BDI!#REF!,IF(AND(#REF!="Diferenciado",$H$4=#REF!),BDI!$E$17,IF(AND(#REF!="Diferenciado",$H$4=#REF!),BDI!#REF!,IF(#REF!="ZERO",0))))),"")</f>
        <v>#REF!</v>
      </c>
      <c r="H908" s="136" t="e">
        <f t="shared" ca="1" si="43"/>
        <v>#REF!</v>
      </c>
      <c r="I908" s="134" t="e">
        <f t="shared" ca="1" si="44"/>
        <v>#REF!</v>
      </c>
      <c r="J908" s="226"/>
    </row>
    <row r="909" spans="1:11" hidden="1" x14ac:dyDescent="0.25">
      <c r="A909" s="112" t="s">
        <v>905</v>
      </c>
      <c r="B909" s="113" t="s">
        <v>2748</v>
      </c>
      <c r="C909" s="114" t="s">
        <v>20</v>
      </c>
      <c r="D909" s="114">
        <v>0</v>
      </c>
      <c r="E909" s="133">
        <f ca="1">OFFSET(INDEX(Composições!A:J,MATCH(Orçamentária!A909,Composições!A:A,0),8),2,0)</f>
        <v>3.4442249999999999</v>
      </c>
      <c r="F909" s="134">
        <f t="shared" ca="1" si="42"/>
        <v>0</v>
      </c>
      <c r="G909" s="135" t="e">
        <f>IF(A909&lt;&gt;"",IF(AND(#REF!="Padrão",$H$4=#REF!),BDI!$B$17,IF(AND(#REF!="Padrão",$H$4=#REF!),BDI!#REF!,IF(AND(#REF!="Diferenciado",$H$4=#REF!),BDI!$E$17,IF(AND(#REF!="Diferenciado",$H$4=#REF!),BDI!#REF!,IF(#REF!="ZERO",0))))),"")</f>
        <v>#REF!</v>
      </c>
      <c r="H909" s="136" t="e">
        <f t="shared" ca="1" si="43"/>
        <v>#REF!</v>
      </c>
      <c r="I909" s="134" t="e">
        <f t="shared" ca="1" si="44"/>
        <v>#REF!</v>
      </c>
      <c r="J909" s="226"/>
    </row>
    <row r="910" spans="1:11" hidden="1" x14ac:dyDescent="0.25">
      <c r="A910" s="112" t="s">
        <v>907</v>
      </c>
      <c r="B910" s="113" t="s">
        <v>2749</v>
      </c>
      <c r="C910" s="114" t="s">
        <v>20</v>
      </c>
      <c r="D910" s="114">
        <v>0</v>
      </c>
      <c r="E910" s="133">
        <f ca="1">OFFSET(INDEX(Composições!A:J,MATCH(Orçamentária!A910,Composições!A:A,0),8),2,0)</f>
        <v>3.4442249999999999</v>
      </c>
      <c r="F910" s="134">
        <f t="shared" ca="1" si="42"/>
        <v>0</v>
      </c>
      <c r="G910" s="135" t="e">
        <f>IF(A910&lt;&gt;"",IF(AND(#REF!="Padrão",$H$4=#REF!),BDI!$B$17,IF(AND(#REF!="Padrão",$H$4=#REF!),BDI!#REF!,IF(AND(#REF!="Diferenciado",$H$4=#REF!),BDI!$E$17,IF(AND(#REF!="Diferenciado",$H$4=#REF!),BDI!#REF!,IF(#REF!="ZERO",0))))),"")</f>
        <v>#REF!</v>
      </c>
      <c r="H910" s="136" t="e">
        <f t="shared" ca="1" si="43"/>
        <v>#REF!</v>
      </c>
      <c r="I910" s="134" t="e">
        <f t="shared" ca="1" si="44"/>
        <v>#REF!</v>
      </c>
      <c r="J910" s="226"/>
    </row>
    <row r="911" spans="1:11" hidden="1" x14ac:dyDescent="0.25">
      <c r="A911" s="112" t="s">
        <v>909</v>
      </c>
      <c r="B911" s="113" t="s">
        <v>2750</v>
      </c>
      <c r="C911" s="114" t="s">
        <v>20</v>
      </c>
      <c r="D911" s="114">
        <v>0</v>
      </c>
      <c r="E911" s="133">
        <f ca="1">OFFSET(INDEX(Composições!A:J,MATCH(Orçamentária!A911,Composições!A:A,0),8),2,0)</f>
        <v>3.4442249999999999</v>
      </c>
      <c r="F911" s="134">
        <f t="shared" ca="1" si="42"/>
        <v>0</v>
      </c>
      <c r="G911" s="135" t="e">
        <f>IF(A911&lt;&gt;"",IF(AND(#REF!="Padrão",$H$4=#REF!),BDI!$B$17,IF(AND(#REF!="Padrão",$H$4=#REF!),BDI!#REF!,IF(AND(#REF!="Diferenciado",$H$4=#REF!),BDI!$E$17,IF(AND(#REF!="Diferenciado",$H$4=#REF!),BDI!#REF!,IF(#REF!="ZERO",0))))),"")</f>
        <v>#REF!</v>
      </c>
      <c r="H911" s="136" t="e">
        <f t="shared" ca="1" si="43"/>
        <v>#REF!</v>
      </c>
      <c r="I911" s="134" t="e">
        <f t="shared" ca="1" si="44"/>
        <v>#REF!</v>
      </c>
      <c r="J911" s="226"/>
    </row>
    <row r="912" spans="1:11" hidden="1" x14ac:dyDescent="0.25">
      <c r="A912" s="112" t="s">
        <v>911</v>
      </c>
      <c r="B912" s="113" t="s">
        <v>2751</v>
      </c>
      <c r="C912" s="114" t="s">
        <v>20</v>
      </c>
      <c r="D912" s="114">
        <v>0</v>
      </c>
      <c r="E912" s="133">
        <f ca="1">OFFSET(INDEX(Composições!A:J,MATCH(Orçamentária!A912,Composições!A:A,0),8),2,0)</f>
        <v>9.1846000000000014</v>
      </c>
      <c r="F912" s="134">
        <f t="shared" ca="1" si="42"/>
        <v>0</v>
      </c>
      <c r="G912" s="135" t="e">
        <f>IF(A912&lt;&gt;"",IF(AND(#REF!="Padrão",$H$4=#REF!),BDI!$B$17,IF(AND(#REF!="Padrão",$H$4=#REF!),BDI!#REF!,IF(AND(#REF!="Diferenciado",$H$4=#REF!),BDI!$E$17,IF(AND(#REF!="Diferenciado",$H$4=#REF!),BDI!#REF!,IF(#REF!="ZERO",0))))),"")</f>
        <v>#REF!</v>
      </c>
      <c r="H912" s="136" t="e">
        <f t="shared" ca="1" si="43"/>
        <v>#REF!</v>
      </c>
      <c r="I912" s="134" t="e">
        <f t="shared" ca="1" si="44"/>
        <v>#REF!</v>
      </c>
      <c r="J912" s="226"/>
    </row>
    <row r="913" spans="1:11" hidden="1" x14ac:dyDescent="0.25">
      <c r="A913" s="112" t="s">
        <v>913</v>
      </c>
      <c r="B913" s="113" t="s">
        <v>2752</v>
      </c>
      <c r="C913" s="114" t="s">
        <v>2753</v>
      </c>
      <c r="D913" s="114">
        <v>0</v>
      </c>
      <c r="E913" s="133">
        <f ca="1">OFFSET(INDEX(Composições!A:J,MATCH(Orçamentária!A913,Composições!A:A,0),8),2,0)</f>
        <v>53.8062805</v>
      </c>
      <c r="F913" s="134">
        <f t="shared" ca="1" si="42"/>
        <v>0</v>
      </c>
      <c r="G913" s="135" t="e">
        <f>IF(A913&lt;&gt;"",IF(AND(#REF!="Padrão",$H$4=#REF!),BDI!$B$17,IF(AND(#REF!="Padrão",$H$4=#REF!),BDI!#REF!,IF(AND(#REF!="Diferenciado",$H$4=#REF!),BDI!$E$17,IF(AND(#REF!="Diferenciado",$H$4=#REF!),BDI!#REF!,IF(#REF!="ZERO",0))))),"")</f>
        <v>#REF!</v>
      </c>
      <c r="H913" s="136" t="e">
        <f t="shared" ca="1" si="43"/>
        <v>#REF!</v>
      </c>
      <c r="I913" s="134" t="e">
        <f t="shared" ca="1" si="44"/>
        <v>#REF!</v>
      </c>
      <c r="J913" s="226"/>
    </row>
    <row r="914" spans="1:11" hidden="1" x14ac:dyDescent="0.25">
      <c r="A914" s="112" t="s">
        <v>914</v>
      </c>
      <c r="B914" s="113" t="s">
        <v>2754</v>
      </c>
      <c r="C914" s="114" t="s">
        <v>94</v>
      </c>
      <c r="D914" s="114">
        <v>0</v>
      </c>
      <c r="E914" s="133">
        <f ca="1">OFFSET(INDEX(Composições!A:J,MATCH(Orçamentária!A914,Composições!A:A,0),8),2,0)</f>
        <v>129.29025000000001</v>
      </c>
      <c r="F914" s="134">
        <f t="shared" ca="1" si="42"/>
        <v>0</v>
      </c>
      <c r="G914" s="135" t="e">
        <f>IF(A914&lt;&gt;"",IF(AND(#REF!="Padrão",$H$4=#REF!),BDI!$B$17,IF(AND(#REF!="Padrão",$H$4=#REF!),BDI!#REF!,IF(AND(#REF!="Diferenciado",$H$4=#REF!),BDI!$E$17,IF(AND(#REF!="Diferenciado",$H$4=#REF!),BDI!#REF!,IF(#REF!="ZERO",0))))),"")</f>
        <v>#REF!</v>
      </c>
      <c r="H914" s="136" t="e">
        <f t="shared" ca="1" si="43"/>
        <v>#REF!</v>
      </c>
      <c r="I914" s="134" t="e">
        <f t="shared" ca="1" si="44"/>
        <v>#REF!</v>
      </c>
      <c r="J914" s="226"/>
    </row>
    <row r="915" spans="1:11" hidden="1" x14ac:dyDescent="0.25">
      <c r="A915" s="112" t="s">
        <v>916</v>
      </c>
      <c r="B915" s="113" t="s">
        <v>2755</v>
      </c>
      <c r="C915" s="114" t="s">
        <v>94</v>
      </c>
      <c r="D915" s="114">
        <v>0</v>
      </c>
      <c r="E915" s="133">
        <f ca="1">OFFSET(INDEX(Composições!A:J,MATCH(Orçamentária!A915,Composições!A:A,0),8),2,0)</f>
        <v>184.86524999999997</v>
      </c>
      <c r="F915" s="134">
        <f t="shared" ca="1" si="42"/>
        <v>0</v>
      </c>
      <c r="G915" s="135" t="e">
        <f>IF(A915&lt;&gt;"",IF(AND(#REF!="Padrão",$H$4=#REF!),BDI!$B$17,IF(AND(#REF!="Padrão",$H$4=#REF!),BDI!#REF!,IF(AND(#REF!="Diferenciado",$H$4=#REF!),BDI!$E$17,IF(AND(#REF!="Diferenciado",$H$4=#REF!),BDI!#REF!,IF(#REF!="ZERO",0))))),"")</f>
        <v>#REF!</v>
      </c>
      <c r="H915" s="136" t="e">
        <f t="shared" ca="1" si="43"/>
        <v>#REF!</v>
      </c>
      <c r="I915" s="134" t="e">
        <f t="shared" ca="1" si="44"/>
        <v>#REF!</v>
      </c>
      <c r="J915" s="226"/>
    </row>
    <row r="916" spans="1:11" hidden="1" x14ac:dyDescent="0.25">
      <c r="A916" s="112" t="s">
        <v>918</v>
      </c>
      <c r="B916" s="113" t="s">
        <v>2756</v>
      </c>
      <c r="C916" s="114" t="s">
        <v>92</v>
      </c>
      <c r="D916" s="114">
        <v>0</v>
      </c>
      <c r="E916" s="133">
        <f ca="1">OFFSET(INDEX(Composições!A:J,MATCH(Orçamentária!A916,Composições!A:A,0),8),2,0)</f>
        <v>27.732875</v>
      </c>
      <c r="F916" s="134">
        <f t="shared" ca="1" si="42"/>
        <v>0</v>
      </c>
      <c r="G916" s="135" t="e">
        <f>IF(A916&lt;&gt;"",IF(AND(#REF!="Padrão",$H$4=#REF!),BDI!$B$17,IF(AND(#REF!="Padrão",$H$4=#REF!),BDI!#REF!,IF(AND(#REF!="Diferenciado",$H$4=#REF!),BDI!$E$17,IF(AND(#REF!="Diferenciado",$H$4=#REF!),BDI!#REF!,IF(#REF!="ZERO",0))))),"")</f>
        <v>#REF!</v>
      </c>
      <c r="H916" s="136" t="e">
        <f t="shared" ca="1" si="43"/>
        <v>#REF!</v>
      </c>
      <c r="I916" s="134" t="e">
        <f t="shared" ca="1" si="44"/>
        <v>#REF!</v>
      </c>
      <c r="J916" s="226"/>
    </row>
    <row r="917" spans="1:11" hidden="1" x14ac:dyDescent="0.25">
      <c r="A917" s="112" t="s">
        <v>919</v>
      </c>
      <c r="B917" s="113" t="s">
        <v>2757</v>
      </c>
      <c r="C917" s="114" t="s">
        <v>94</v>
      </c>
      <c r="D917" s="114">
        <v>0</v>
      </c>
      <c r="E917" s="133">
        <f ca="1">OFFSET(INDEX(Composições!A:J,MATCH(Orçamentária!A917,Composições!A:A,0),8),2,0)</f>
        <v>52.862750000000005</v>
      </c>
      <c r="F917" s="134">
        <f t="shared" ca="1" si="42"/>
        <v>0</v>
      </c>
      <c r="G917" s="135" t="e">
        <f>IF(A917&lt;&gt;"",IF(AND(#REF!="Padrão",$H$4=#REF!),BDI!$B$17,IF(AND(#REF!="Padrão",$H$4=#REF!),BDI!#REF!,IF(AND(#REF!="Diferenciado",$H$4=#REF!),BDI!$E$17,IF(AND(#REF!="Diferenciado",$H$4=#REF!),BDI!#REF!,IF(#REF!="ZERO",0))))),"")</f>
        <v>#REF!</v>
      </c>
      <c r="H917" s="136" t="e">
        <f t="shared" ca="1" si="43"/>
        <v>#REF!</v>
      </c>
      <c r="I917" s="134" t="e">
        <f t="shared" ca="1" si="44"/>
        <v>#REF!</v>
      </c>
      <c r="J917" s="226"/>
    </row>
    <row r="918" spans="1:11" hidden="1" x14ac:dyDescent="0.25">
      <c r="A918" s="112" t="s">
        <v>921</v>
      </c>
      <c r="B918" s="113" t="s">
        <v>922</v>
      </c>
      <c r="C918" s="114" t="s">
        <v>94</v>
      </c>
      <c r="D918" s="114">
        <v>0</v>
      </c>
      <c r="E918" s="133">
        <f ca="1">OFFSET(INDEX(Composições!A:J,MATCH(Orçamentária!A918,Composições!A:A,0),8),2,0)</f>
        <v>52.862750000000005</v>
      </c>
      <c r="F918" s="134">
        <f t="shared" ca="1" si="42"/>
        <v>0</v>
      </c>
      <c r="G918" s="135" t="e">
        <f>IF(A918&lt;&gt;"",IF(AND(#REF!="Padrão",$H$4=#REF!),BDI!$B$17,IF(AND(#REF!="Padrão",$H$4=#REF!),BDI!#REF!,IF(AND(#REF!="Diferenciado",$H$4=#REF!),BDI!$E$17,IF(AND(#REF!="Diferenciado",$H$4=#REF!),BDI!#REF!,IF(#REF!="ZERO",0))))),"")</f>
        <v>#REF!</v>
      </c>
      <c r="H918" s="136" t="e">
        <f t="shared" ca="1" si="43"/>
        <v>#REF!</v>
      </c>
      <c r="I918" s="134" t="e">
        <f t="shared" ca="1" si="44"/>
        <v>#REF!</v>
      </c>
      <c r="J918" s="226"/>
    </row>
    <row r="919" spans="1:11" hidden="1" x14ac:dyDescent="0.25">
      <c r="A919" s="112" t="s">
        <v>923</v>
      </c>
      <c r="B919" s="113" t="s">
        <v>2758</v>
      </c>
      <c r="C919" s="114" t="s">
        <v>20</v>
      </c>
      <c r="D919" s="114">
        <v>0</v>
      </c>
      <c r="E919" s="133">
        <f ca="1">OFFSET(INDEX(Composições!A:J,MATCH(Orçamentária!A919,Composições!A:A,0),8),2,0)</f>
        <v>7.597150000000001</v>
      </c>
      <c r="F919" s="134">
        <f t="shared" ca="1" si="42"/>
        <v>0</v>
      </c>
      <c r="G919" s="135" t="e">
        <f>IF(A919&lt;&gt;"",IF(AND(#REF!="Padrão",$H$4=#REF!),BDI!$B$17,IF(AND(#REF!="Padrão",$H$4=#REF!),BDI!#REF!,IF(AND(#REF!="Diferenciado",$H$4=#REF!),BDI!$E$17,IF(AND(#REF!="Diferenciado",$H$4=#REF!),BDI!#REF!,IF(#REF!="ZERO",0))))),"")</f>
        <v>#REF!</v>
      </c>
      <c r="H919" s="136" t="e">
        <f t="shared" ca="1" si="43"/>
        <v>#REF!</v>
      </c>
      <c r="I919" s="134" t="e">
        <f t="shared" ca="1" si="44"/>
        <v>#REF!</v>
      </c>
      <c r="J919" s="226"/>
    </row>
    <row r="920" spans="1:11" s="161" customFormat="1" hidden="1" x14ac:dyDescent="0.25">
      <c r="A920" s="162" t="s">
        <v>924</v>
      </c>
      <c r="B920" s="163" t="s">
        <v>6283</v>
      </c>
      <c r="C920" s="164" t="s">
        <v>108</v>
      </c>
      <c r="D920" s="164">
        <v>1</v>
      </c>
      <c r="E920" s="133">
        <f ca="1">OFFSET(INDEX(Composições!A:J,MATCH(Orçamentária!A920,Composições!A:A,0),8),2,0)</f>
        <v>4172.06150265</v>
      </c>
      <c r="F920" s="134">
        <f t="shared" ca="1" si="42"/>
        <v>4172.06150265</v>
      </c>
      <c r="G920" s="135">
        <f>BDI!$B$17</f>
        <v>0.191</v>
      </c>
      <c r="H920" s="136">
        <f t="shared" ca="1" si="43"/>
        <v>4968.93</v>
      </c>
      <c r="I920" s="182">
        <f t="shared" ca="1" si="44"/>
        <v>4968.93</v>
      </c>
      <c r="J920" s="226"/>
      <c r="K920" s="224" t="s">
        <v>8074</v>
      </c>
    </row>
    <row r="921" spans="1:11" s="161" customFormat="1" hidden="1" x14ac:dyDescent="0.25">
      <c r="A921" s="162" t="s">
        <v>926</v>
      </c>
      <c r="B921" s="163" t="s">
        <v>6346</v>
      </c>
      <c r="C921" s="164" t="s">
        <v>42</v>
      </c>
      <c r="D921" s="164">
        <v>100</v>
      </c>
      <c r="E921" s="133">
        <f ca="1">OFFSET(INDEX(Composições!A:J,MATCH(Orçamentária!A921,Composições!A:A,0),8),2,0)</f>
        <v>11.25770425</v>
      </c>
      <c r="F921" s="134">
        <f t="shared" ca="1" si="42"/>
        <v>1125.7704249999999</v>
      </c>
      <c r="G921" s="135">
        <f>BDI!$B$17</f>
        <v>0.191</v>
      </c>
      <c r="H921" s="136">
        <f t="shared" ca="1" si="43"/>
        <v>13.41</v>
      </c>
      <c r="I921" s="182">
        <f t="shared" ca="1" si="44"/>
        <v>1341</v>
      </c>
      <c r="J921" s="226"/>
      <c r="K921" s="224" t="s">
        <v>8074</v>
      </c>
    </row>
    <row r="922" spans="1:11" s="161" customFormat="1" hidden="1" x14ac:dyDescent="0.25">
      <c r="A922" s="162" t="s">
        <v>927</v>
      </c>
      <c r="B922" s="163" t="s">
        <v>6347</v>
      </c>
      <c r="C922" s="164" t="s">
        <v>42</v>
      </c>
      <c r="D922" s="164">
        <v>100</v>
      </c>
      <c r="E922" s="133">
        <f ca="1">OFFSET(INDEX(Composições!A:J,MATCH(Orçamentária!A922,Composições!A:A,0),8),2,0)</f>
        <v>10.97939225</v>
      </c>
      <c r="F922" s="134">
        <f t="shared" ca="1" si="42"/>
        <v>1097.9392250000001</v>
      </c>
      <c r="G922" s="135">
        <f>BDI!$B$17</f>
        <v>0.191</v>
      </c>
      <c r="H922" s="136">
        <f t="shared" ca="1" si="43"/>
        <v>13.08</v>
      </c>
      <c r="I922" s="182">
        <f t="shared" ca="1" si="44"/>
        <v>1308</v>
      </c>
      <c r="J922" s="226"/>
      <c r="K922" s="224" t="s">
        <v>8074</v>
      </c>
    </row>
    <row r="923" spans="1:11" s="161" customFormat="1" hidden="1" x14ac:dyDescent="0.25">
      <c r="A923" s="162" t="s">
        <v>928</v>
      </c>
      <c r="B923" s="163" t="s">
        <v>2759</v>
      </c>
      <c r="C923" s="164" t="s">
        <v>20</v>
      </c>
      <c r="D923" s="164">
        <v>15</v>
      </c>
      <c r="E923" s="133">
        <f ca="1">OFFSET(INDEX(Composições!A:J,MATCH(Orçamentária!A923,Composições!A:A,0),8),2,0)</f>
        <v>22.760100000000001</v>
      </c>
      <c r="F923" s="134">
        <f t="shared" ca="1" si="42"/>
        <v>341.4015</v>
      </c>
      <c r="G923" s="135">
        <f>BDI!$B$17</f>
        <v>0.191</v>
      </c>
      <c r="H923" s="136">
        <f t="shared" ca="1" si="43"/>
        <v>27.11</v>
      </c>
      <c r="I923" s="182">
        <f t="shared" ca="1" si="44"/>
        <v>406.65</v>
      </c>
      <c r="J923" s="226"/>
      <c r="K923" s="224" t="s">
        <v>8074</v>
      </c>
    </row>
    <row r="924" spans="1:11" s="161" customFormat="1" hidden="1" x14ac:dyDescent="0.25">
      <c r="A924" s="162" t="s">
        <v>929</v>
      </c>
      <c r="B924" s="163" t="s">
        <v>2760</v>
      </c>
      <c r="C924" s="164" t="s">
        <v>108</v>
      </c>
      <c r="D924" s="164">
        <v>15</v>
      </c>
      <c r="E924" s="133">
        <f ca="1">OFFSET(INDEX(Composições!A:J,MATCH(Orçamentária!A924,Composições!A:A,0),8),2,0)</f>
        <v>72.871498000000003</v>
      </c>
      <c r="F924" s="134">
        <f t="shared" ca="1" si="42"/>
        <v>1093.0724700000001</v>
      </c>
      <c r="G924" s="135">
        <f>BDI!$B$17</f>
        <v>0.191</v>
      </c>
      <c r="H924" s="136">
        <f t="shared" ca="1" si="43"/>
        <v>86.79</v>
      </c>
      <c r="I924" s="182">
        <f t="shared" ca="1" si="44"/>
        <v>1301.8499999999999</v>
      </c>
      <c r="J924" s="226"/>
      <c r="K924" s="224" t="s">
        <v>8074</v>
      </c>
    </row>
    <row r="925" spans="1:11" s="161" customFormat="1" hidden="1" x14ac:dyDescent="0.25">
      <c r="A925" s="162" t="s">
        <v>930</v>
      </c>
      <c r="B925" s="163" t="s">
        <v>2761</v>
      </c>
      <c r="C925" s="164" t="s">
        <v>108</v>
      </c>
      <c r="D925" s="164">
        <v>15</v>
      </c>
      <c r="E925" s="133">
        <f ca="1">OFFSET(INDEX(Composições!A:J,MATCH(Orçamentária!A925,Composições!A:A,0),8),2,0)</f>
        <v>26.565856999999998</v>
      </c>
      <c r="F925" s="134">
        <f t="shared" ca="1" si="42"/>
        <v>398.48785499999997</v>
      </c>
      <c r="G925" s="135">
        <f>BDI!$B$17</f>
        <v>0.191</v>
      </c>
      <c r="H925" s="136">
        <f t="shared" ca="1" si="43"/>
        <v>31.64</v>
      </c>
      <c r="I925" s="182">
        <f t="shared" ca="1" si="44"/>
        <v>474.6</v>
      </c>
      <c r="J925" s="226"/>
      <c r="K925" s="224" t="s">
        <v>8074</v>
      </c>
    </row>
    <row r="926" spans="1:11" s="161" customFormat="1" hidden="1" x14ac:dyDescent="0.25">
      <c r="A926" s="162" t="s">
        <v>936</v>
      </c>
      <c r="B926" s="163" t="s">
        <v>2762</v>
      </c>
      <c r="C926" s="164" t="s">
        <v>108</v>
      </c>
      <c r="D926" s="164">
        <v>15</v>
      </c>
      <c r="E926" s="133">
        <f ca="1">OFFSET(INDEX(Composições!A:J,MATCH(Orçamentária!A926,Composições!A:A,0),8),2,0)</f>
        <v>188.5833920625</v>
      </c>
      <c r="F926" s="134">
        <f t="shared" ca="1" si="42"/>
        <v>2828.7508809374999</v>
      </c>
      <c r="G926" s="135">
        <f>BDI!$B$17</f>
        <v>0.191</v>
      </c>
      <c r="H926" s="136">
        <f t="shared" ca="1" si="43"/>
        <v>224.6</v>
      </c>
      <c r="I926" s="182">
        <f t="shared" ca="1" si="44"/>
        <v>3369</v>
      </c>
      <c r="J926" s="226"/>
      <c r="K926" s="224" t="s">
        <v>8074</v>
      </c>
    </row>
    <row r="927" spans="1:11" s="161" customFormat="1" hidden="1" x14ac:dyDescent="0.25">
      <c r="A927" s="162" t="s">
        <v>941</v>
      </c>
      <c r="B927" s="163" t="s">
        <v>6344</v>
      </c>
      <c r="C927" s="164" t="s">
        <v>92</v>
      </c>
      <c r="D927" s="164">
        <v>10</v>
      </c>
      <c r="E927" s="133">
        <f ca="1">OFFSET(INDEX(Composições!A:J,MATCH(Orçamentária!A927,Composições!A:A,0),8),2,0)</f>
        <v>63.520480799999987</v>
      </c>
      <c r="F927" s="134">
        <f t="shared" ca="1" si="42"/>
        <v>635.20480799999984</v>
      </c>
      <c r="G927" s="135">
        <f>BDI!$B$17</f>
        <v>0.191</v>
      </c>
      <c r="H927" s="136">
        <f t="shared" ca="1" si="43"/>
        <v>75.650000000000006</v>
      </c>
      <c r="I927" s="182">
        <f t="shared" ca="1" si="44"/>
        <v>756.5</v>
      </c>
      <c r="J927" s="226"/>
      <c r="K927" s="224" t="s">
        <v>8074</v>
      </c>
    </row>
    <row r="928" spans="1:11" s="161" customFormat="1" hidden="1" x14ac:dyDescent="0.25">
      <c r="A928" s="162" t="s">
        <v>945</v>
      </c>
      <c r="B928" s="163" t="s">
        <v>2763</v>
      </c>
      <c r="C928" s="164" t="s">
        <v>92</v>
      </c>
      <c r="D928" s="164">
        <v>10</v>
      </c>
      <c r="E928" s="133">
        <f ca="1">OFFSET(INDEX(Composições!A:J,MATCH(Orçamentária!A928,Composições!A:A,0),8),2,0)</f>
        <v>79.628831849999997</v>
      </c>
      <c r="F928" s="134">
        <f t="shared" ca="1" si="42"/>
        <v>796.28831849999995</v>
      </c>
      <c r="G928" s="135">
        <f>BDI!$B$17</f>
        <v>0.191</v>
      </c>
      <c r="H928" s="136">
        <f t="shared" ca="1" si="43"/>
        <v>94.84</v>
      </c>
      <c r="I928" s="182">
        <f t="shared" ca="1" si="44"/>
        <v>948.4</v>
      </c>
      <c r="J928" s="226"/>
      <c r="K928" s="224" t="s">
        <v>8074</v>
      </c>
    </row>
    <row r="929" spans="1:11" s="161" customFormat="1" hidden="1" x14ac:dyDescent="0.25">
      <c r="A929" s="162" t="s">
        <v>947</v>
      </c>
      <c r="B929" s="163" t="s">
        <v>6345</v>
      </c>
      <c r="C929" s="164" t="s">
        <v>92</v>
      </c>
      <c r="D929" s="164">
        <v>10</v>
      </c>
      <c r="E929" s="133">
        <f ca="1">OFFSET(INDEX(Composições!A:J,MATCH(Orçamentária!A929,Composições!A:A,0),8),2,0)</f>
        <v>145.82680784999999</v>
      </c>
      <c r="F929" s="134">
        <f t="shared" ca="1" si="42"/>
        <v>1458.2680785</v>
      </c>
      <c r="G929" s="135">
        <f>BDI!$B$17</f>
        <v>0.191</v>
      </c>
      <c r="H929" s="136">
        <f t="shared" ca="1" si="43"/>
        <v>173.68</v>
      </c>
      <c r="I929" s="182">
        <f t="shared" ca="1" si="44"/>
        <v>1736.8</v>
      </c>
      <c r="J929" s="226"/>
      <c r="K929" s="224" t="s">
        <v>8074</v>
      </c>
    </row>
    <row r="930" spans="1:11" s="161" customFormat="1" hidden="1" x14ac:dyDescent="0.25">
      <c r="A930" s="162" t="s">
        <v>949</v>
      </c>
      <c r="B930" s="163" t="s">
        <v>6348</v>
      </c>
      <c r="C930" s="164" t="s">
        <v>20</v>
      </c>
      <c r="D930" s="164">
        <v>5</v>
      </c>
      <c r="E930" s="133">
        <f ca="1">OFFSET(INDEX(Composições!A:J,MATCH(Orçamentária!A930,Composições!A:A,0),8),2,0)</f>
        <v>799.90529614999991</v>
      </c>
      <c r="F930" s="134">
        <f t="shared" ca="1" si="42"/>
        <v>3999.5264807499998</v>
      </c>
      <c r="G930" s="135">
        <f>BDI!$B$17</f>
        <v>0.191</v>
      </c>
      <c r="H930" s="136">
        <f t="shared" ca="1" si="43"/>
        <v>952.69</v>
      </c>
      <c r="I930" s="182">
        <f t="shared" ca="1" si="44"/>
        <v>4763.45</v>
      </c>
      <c r="J930" s="226"/>
      <c r="K930" s="224" t="s">
        <v>8074</v>
      </c>
    </row>
    <row r="931" spans="1:11" s="161" customFormat="1" hidden="1" x14ac:dyDescent="0.25">
      <c r="A931" s="162" t="s">
        <v>951</v>
      </c>
      <c r="B931" s="163" t="s">
        <v>2764</v>
      </c>
      <c r="C931" s="164" t="s">
        <v>20</v>
      </c>
      <c r="D931" s="164">
        <v>20</v>
      </c>
      <c r="E931" s="133">
        <f ca="1">OFFSET(INDEX(Composições!A:J,MATCH(Orçamentária!A931,Composições!A:A,0),8),2,0)</f>
        <v>1273.6220499999999</v>
      </c>
      <c r="F931" s="134">
        <f t="shared" ca="1" si="42"/>
        <v>25472.440999999999</v>
      </c>
      <c r="G931" s="135">
        <f>BDI!$B$17</f>
        <v>0.191</v>
      </c>
      <c r="H931" s="136">
        <f t="shared" ca="1" si="43"/>
        <v>1516.88</v>
      </c>
      <c r="I931" s="182">
        <f t="shared" ca="1" si="44"/>
        <v>30337.599999999999</v>
      </c>
      <c r="J931" s="226"/>
      <c r="K931" s="224" t="s">
        <v>8074</v>
      </c>
    </row>
    <row r="932" spans="1:11" s="161" customFormat="1" hidden="1" x14ac:dyDescent="0.25">
      <c r="A932" s="162" t="s">
        <v>954</v>
      </c>
      <c r="B932" s="163" t="s">
        <v>2765</v>
      </c>
      <c r="C932" s="164" t="s">
        <v>20</v>
      </c>
      <c r="D932" s="164">
        <v>10</v>
      </c>
      <c r="E932" s="133">
        <f ca="1">OFFSET(INDEX(Composições!A:J,MATCH(Orçamentária!A932,Composições!A:A,0),8),2,0)</f>
        <v>113.7419876</v>
      </c>
      <c r="F932" s="134">
        <f t="shared" ca="1" si="42"/>
        <v>1137.4198759999999</v>
      </c>
      <c r="G932" s="135">
        <f>BDI!$B$17</f>
        <v>0.191</v>
      </c>
      <c r="H932" s="136">
        <f t="shared" ca="1" si="43"/>
        <v>135.47</v>
      </c>
      <c r="I932" s="182">
        <f t="shared" ca="1" si="44"/>
        <v>1354.7</v>
      </c>
      <c r="J932" s="226"/>
      <c r="K932" s="224" t="s">
        <v>8074</v>
      </c>
    </row>
    <row r="933" spans="1:11" hidden="1" x14ac:dyDescent="0.25">
      <c r="A933" s="112" t="s">
        <v>956</v>
      </c>
      <c r="B933" s="113" t="s">
        <v>4003</v>
      </c>
      <c r="C933" s="114" t="s">
        <v>92</v>
      </c>
      <c r="D933" s="114">
        <v>0</v>
      </c>
      <c r="E933" s="133">
        <f ca="1">OFFSET(INDEX(Composições!A:J,MATCH(Orçamentária!A933,Composições!A:A,0),8),2,0)</f>
        <v>2.8899949999999999</v>
      </c>
      <c r="F933" s="134">
        <f t="shared" ca="1" si="42"/>
        <v>0</v>
      </c>
      <c r="G933" s="135" t="e">
        <f>IF(A933&lt;&gt;"",IF(AND(#REF!="Padrão",$H$4=#REF!),BDI!$B$17,IF(AND(#REF!="Padrão",$H$4=#REF!),BDI!#REF!,IF(AND(#REF!="Diferenciado",$H$4=#REF!),BDI!$E$17,IF(AND(#REF!="Diferenciado",$H$4=#REF!),BDI!#REF!,IF(#REF!="ZERO",0))))),"")</f>
        <v>#REF!</v>
      </c>
      <c r="H933" s="136" t="e">
        <f t="shared" ca="1" si="43"/>
        <v>#REF!</v>
      </c>
      <c r="I933" s="134" t="e">
        <f t="shared" ca="1" si="44"/>
        <v>#REF!</v>
      </c>
      <c r="J933" s="226"/>
    </row>
    <row r="934" spans="1:11" hidden="1" x14ac:dyDescent="0.25">
      <c r="A934" s="112" t="s">
        <v>958</v>
      </c>
      <c r="B934" s="113" t="s">
        <v>4004</v>
      </c>
      <c r="C934" s="114" t="s">
        <v>92</v>
      </c>
      <c r="D934" s="114">
        <v>0</v>
      </c>
      <c r="E934" s="133">
        <f ca="1">OFFSET(INDEX(Composições!A:J,MATCH(Orçamentária!A934,Composições!A:A,0),8),2,0)</f>
        <v>3.2909899999999994</v>
      </c>
      <c r="F934" s="134">
        <f t="shared" ca="1" si="42"/>
        <v>0</v>
      </c>
      <c r="G934" s="135" t="e">
        <f>IF(A934&lt;&gt;"",IF(AND(#REF!="Padrão",$H$4=#REF!),BDI!$B$17,IF(AND(#REF!="Padrão",$H$4=#REF!),BDI!#REF!,IF(AND(#REF!="Diferenciado",$H$4=#REF!),BDI!$E$17,IF(AND(#REF!="Diferenciado",$H$4=#REF!),BDI!#REF!,IF(#REF!="ZERO",0))))),"")</f>
        <v>#REF!</v>
      </c>
      <c r="H934" s="136" t="e">
        <f t="shared" ca="1" si="43"/>
        <v>#REF!</v>
      </c>
      <c r="I934" s="134" t="e">
        <f t="shared" ca="1" si="44"/>
        <v>#REF!</v>
      </c>
      <c r="J934" s="226"/>
    </row>
    <row r="935" spans="1:11" hidden="1" x14ac:dyDescent="0.25">
      <c r="A935" s="112" t="s">
        <v>960</v>
      </c>
      <c r="B935" s="113" t="s">
        <v>4005</v>
      </c>
      <c r="C935" s="114" t="s">
        <v>92</v>
      </c>
      <c r="D935" s="114">
        <v>0</v>
      </c>
      <c r="E935" s="133">
        <f ca="1">OFFSET(INDEX(Composições!A:J,MATCH(Orçamentária!A935,Composições!A:A,0),8),2,0)</f>
        <v>3.9147599999999994</v>
      </c>
      <c r="F935" s="134">
        <f t="shared" ca="1" si="42"/>
        <v>0</v>
      </c>
      <c r="G935" s="135" t="e">
        <f>IF(A935&lt;&gt;"",IF(AND(#REF!="Padrão",$H$4=#REF!),BDI!$B$17,IF(AND(#REF!="Padrão",$H$4=#REF!),BDI!#REF!,IF(AND(#REF!="Diferenciado",$H$4=#REF!),BDI!$E$17,IF(AND(#REF!="Diferenciado",$H$4=#REF!),BDI!#REF!,IF(#REF!="ZERO",0))))),"")</f>
        <v>#REF!</v>
      </c>
      <c r="H935" s="136" t="e">
        <f t="shared" ca="1" si="43"/>
        <v>#REF!</v>
      </c>
      <c r="I935" s="134" t="e">
        <f t="shared" ca="1" si="44"/>
        <v>#REF!</v>
      </c>
      <c r="J935" s="226"/>
    </row>
    <row r="936" spans="1:11" hidden="1" x14ac:dyDescent="0.25">
      <c r="A936" s="112" t="s">
        <v>962</v>
      </c>
      <c r="B936" s="113" t="s">
        <v>4006</v>
      </c>
      <c r="C936" s="114" t="s">
        <v>92</v>
      </c>
      <c r="D936" s="114">
        <v>0</v>
      </c>
      <c r="E936" s="133">
        <f ca="1">OFFSET(INDEX(Composições!A:J,MATCH(Orçamentária!A936,Composições!A:A,0),8),2,0)</f>
        <v>4.7167499999999993</v>
      </c>
      <c r="F936" s="134">
        <f t="shared" ca="1" si="42"/>
        <v>0</v>
      </c>
      <c r="G936" s="135" t="e">
        <f>IF(A936&lt;&gt;"",IF(AND(#REF!="Padrão",$H$4=#REF!),BDI!$B$17,IF(AND(#REF!="Padrão",$H$4=#REF!),BDI!#REF!,IF(AND(#REF!="Diferenciado",$H$4=#REF!),BDI!$E$17,IF(AND(#REF!="Diferenciado",$H$4=#REF!),BDI!#REF!,IF(#REF!="ZERO",0))))),"")</f>
        <v>#REF!</v>
      </c>
      <c r="H936" s="136" t="e">
        <f t="shared" ca="1" si="43"/>
        <v>#REF!</v>
      </c>
      <c r="I936" s="134" t="e">
        <f t="shared" ca="1" si="44"/>
        <v>#REF!</v>
      </c>
      <c r="J936" s="226"/>
    </row>
    <row r="937" spans="1:11" hidden="1" x14ac:dyDescent="0.25">
      <c r="A937" s="112" t="s">
        <v>964</v>
      </c>
      <c r="B937" s="113" t="s">
        <v>4007</v>
      </c>
      <c r="C937" s="114" t="s">
        <v>92</v>
      </c>
      <c r="D937" s="114">
        <v>0</v>
      </c>
      <c r="E937" s="133">
        <f ca="1">OFFSET(INDEX(Composições!A:J,MATCH(Orçamentária!A937,Composições!A:A,0),8),2,0)</f>
        <v>5.7415149999999997</v>
      </c>
      <c r="F937" s="134">
        <f t="shared" ca="1" si="42"/>
        <v>0</v>
      </c>
      <c r="G937" s="135" t="e">
        <f>IF(A937&lt;&gt;"",IF(AND(#REF!="Padrão",$H$4=#REF!),BDI!$B$17,IF(AND(#REF!="Padrão",$H$4=#REF!),BDI!#REF!,IF(AND(#REF!="Diferenciado",$H$4=#REF!),BDI!$E$17,IF(AND(#REF!="Diferenciado",$H$4=#REF!),BDI!#REF!,IF(#REF!="ZERO",0))))),"")</f>
        <v>#REF!</v>
      </c>
      <c r="H937" s="136" t="e">
        <f t="shared" ca="1" si="43"/>
        <v>#REF!</v>
      </c>
      <c r="I937" s="134" t="e">
        <f t="shared" ca="1" si="44"/>
        <v>#REF!</v>
      </c>
      <c r="J937" s="226"/>
    </row>
    <row r="938" spans="1:11" hidden="1" x14ac:dyDescent="0.25">
      <c r="A938" s="112" t="s">
        <v>966</v>
      </c>
      <c r="B938" s="113" t="s">
        <v>4008</v>
      </c>
      <c r="C938" s="114" t="s">
        <v>92</v>
      </c>
      <c r="D938" s="114">
        <v>0</v>
      </c>
      <c r="E938" s="133">
        <f ca="1">OFFSET(INDEX(Composições!A:J,MATCH(Orçamentária!A938,Composições!A:A,0),8),2,0)</f>
        <v>6.8108349999999991</v>
      </c>
      <c r="F938" s="134">
        <f t="shared" ca="1" si="42"/>
        <v>0</v>
      </c>
      <c r="G938" s="135" t="e">
        <f>IF(A938&lt;&gt;"",IF(AND(#REF!="Padrão",$H$4=#REF!),BDI!$B$17,IF(AND(#REF!="Padrão",$H$4=#REF!),BDI!#REF!,IF(AND(#REF!="Diferenciado",$H$4=#REF!),BDI!$E$17,IF(AND(#REF!="Diferenciado",$H$4=#REF!),BDI!#REF!,IF(#REF!="ZERO",0))))),"")</f>
        <v>#REF!</v>
      </c>
      <c r="H938" s="136" t="e">
        <f t="shared" ca="1" si="43"/>
        <v>#REF!</v>
      </c>
      <c r="I938" s="134" t="e">
        <f t="shared" ca="1" si="44"/>
        <v>#REF!</v>
      </c>
      <c r="J938" s="226"/>
    </row>
    <row r="939" spans="1:11" hidden="1" x14ac:dyDescent="0.25">
      <c r="A939" s="112" t="s">
        <v>968</v>
      </c>
      <c r="B939" s="113" t="s">
        <v>4009</v>
      </c>
      <c r="C939" s="114" t="s">
        <v>92</v>
      </c>
      <c r="D939" s="114">
        <v>0</v>
      </c>
      <c r="E939" s="133">
        <f ca="1">OFFSET(INDEX(Composições!A:J,MATCH(Orçamentária!A939,Composições!A:A,0),8),2,0)</f>
        <v>8.0138199999999991</v>
      </c>
      <c r="F939" s="134">
        <f t="shared" ca="1" si="42"/>
        <v>0</v>
      </c>
      <c r="G939" s="135" t="e">
        <f>IF(A939&lt;&gt;"",IF(AND(#REF!="Padrão",$H$4=#REF!),BDI!$B$17,IF(AND(#REF!="Padrão",$H$4=#REF!),BDI!#REF!,IF(AND(#REF!="Diferenciado",$H$4=#REF!),BDI!$E$17,IF(AND(#REF!="Diferenciado",$H$4=#REF!),BDI!#REF!,IF(#REF!="ZERO",0))))),"")</f>
        <v>#REF!</v>
      </c>
      <c r="H939" s="136" t="e">
        <f t="shared" ca="1" si="43"/>
        <v>#REF!</v>
      </c>
      <c r="I939" s="134" t="e">
        <f t="shared" ca="1" si="44"/>
        <v>#REF!</v>
      </c>
      <c r="J939" s="226"/>
    </row>
    <row r="940" spans="1:11" hidden="1" x14ac:dyDescent="0.25">
      <c r="A940" s="112" t="s">
        <v>970</v>
      </c>
      <c r="B940" s="113" t="s">
        <v>4010</v>
      </c>
      <c r="C940" s="114" t="s">
        <v>92</v>
      </c>
      <c r="D940" s="114">
        <v>0</v>
      </c>
      <c r="E940" s="133">
        <f ca="1">OFFSET(INDEX(Composições!A:J,MATCH(Orçamentária!A940,Composições!A:A,0),8),2,0)</f>
        <v>9.4841349999999984</v>
      </c>
      <c r="F940" s="134">
        <f t="shared" ca="1" si="42"/>
        <v>0</v>
      </c>
      <c r="G940" s="135" t="e">
        <f>IF(A940&lt;&gt;"",IF(AND(#REF!="Padrão",$H$4=#REF!),BDI!$B$17,IF(AND(#REF!="Padrão",$H$4=#REF!),BDI!#REF!,IF(AND(#REF!="Diferenciado",$H$4=#REF!),BDI!$E$17,IF(AND(#REF!="Diferenciado",$H$4=#REF!),BDI!#REF!,IF(#REF!="ZERO",0))))),"")</f>
        <v>#REF!</v>
      </c>
      <c r="H940" s="136" t="e">
        <f t="shared" ca="1" si="43"/>
        <v>#REF!</v>
      </c>
      <c r="I940" s="134" t="e">
        <f t="shared" ca="1" si="44"/>
        <v>#REF!</v>
      </c>
      <c r="J940" s="226"/>
    </row>
    <row r="941" spans="1:11" hidden="1" x14ac:dyDescent="0.25">
      <c r="A941" s="112" t="s">
        <v>972</v>
      </c>
      <c r="B941" s="113" t="s">
        <v>4011</v>
      </c>
      <c r="C941" s="114" t="s">
        <v>92</v>
      </c>
      <c r="D941" s="114">
        <v>0</v>
      </c>
      <c r="E941" s="133">
        <f ca="1">OFFSET(INDEX(Composições!A:J,MATCH(Orçamentária!A941,Composições!A:A,0),8),2,0)</f>
        <v>11.75644</v>
      </c>
      <c r="F941" s="134">
        <f t="shared" ca="1" si="42"/>
        <v>0</v>
      </c>
      <c r="G941" s="135" t="e">
        <f>IF(A941&lt;&gt;"",IF(AND(#REF!="Padrão",$H$4=#REF!),BDI!$B$17,IF(AND(#REF!="Padrão",$H$4=#REF!),BDI!#REF!,IF(AND(#REF!="Diferenciado",$H$4=#REF!),BDI!$E$17,IF(AND(#REF!="Diferenciado",$H$4=#REF!),BDI!#REF!,IF(#REF!="ZERO",0))))),"")</f>
        <v>#REF!</v>
      </c>
      <c r="H941" s="136" t="e">
        <f t="shared" ca="1" si="43"/>
        <v>#REF!</v>
      </c>
      <c r="I941" s="134" t="e">
        <f t="shared" ca="1" si="44"/>
        <v>#REF!</v>
      </c>
      <c r="J941" s="226"/>
    </row>
    <row r="942" spans="1:11" s="161" customFormat="1" hidden="1" x14ac:dyDescent="0.25">
      <c r="A942" s="162" t="s">
        <v>974</v>
      </c>
      <c r="B942" s="163" t="s">
        <v>2766</v>
      </c>
      <c r="C942" s="164" t="s">
        <v>94</v>
      </c>
      <c r="D942" s="164">
        <v>265</v>
      </c>
      <c r="E942" s="133">
        <f ca="1">OFFSET(INDEX(Composições!A:J,MATCH(Orçamentária!A942,Composições!A:A,0),8),2,0)</f>
        <v>8.559499785869999</v>
      </c>
      <c r="F942" s="134">
        <f t="shared" ca="1" si="42"/>
        <v>2268.2674432555496</v>
      </c>
      <c r="G942" s="135">
        <f>BDI!$B$17</f>
        <v>0.191</v>
      </c>
      <c r="H942" s="136">
        <f t="shared" ca="1" si="43"/>
        <v>10.19</v>
      </c>
      <c r="I942" s="182">
        <f t="shared" ca="1" si="44"/>
        <v>2700.35</v>
      </c>
      <c r="J942" s="226"/>
      <c r="K942" s="224" t="s">
        <v>8074</v>
      </c>
    </row>
    <row r="943" spans="1:11" s="161" customFormat="1" hidden="1" x14ac:dyDescent="0.25">
      <c r="A943" s="162" t="s">
        <v>978</v>
      </c>
      <c r="B943" s="163" t="s">
        <v>2767</v>
      </c>
      <c r="C943" s="164" t="s">
        <v>92</v>
      </c>
      <c r="D943" s="164">
        <v>55</v>
      </c>
      <c r="E943" s="133">
        <f ca="1">OFFSET(INDEX(Composições!A:J,MATCH(Orçamentária!A943,Composições!A:A,0),8),2,0)</f>
        <v>15.839204083799999</v>
      </c>
      <c r="F943" s="134">
        <f t="shared" ca="1" si="42"/>
        <v>871.15622460899988</v>
      </c>
      <c r="G943" s="135">
        <f>BDI!$B$17</f>
        <v>0.191</v>
      </c>
      <c r="H943" s="136">
        <f t="shared" ca="1" si="43"/>
        <v>18.86</v>
      </c>
      <c r="I943" s="182">
        <f t="shared" ca="1" si="44"/>
        <v>1037.3</v>
      </c>
      <c r="J943" s="226"/>
      <c r="K943" s="224" t="s">
        <v>8074</v>
      </c>
    </row>
    <row r="944" spans="1:11" s="161" customFormat="1" hidden="1" x14ac:dyDescent="0.25">
      <c r="A944" s="162" t="s">
        <v>2768</v>
      </c>
      <c r="B944" s="163" t="s">
        <v>2769</v>
      </c>
      <c r="C944" s="164" t="s">
        <v>20</v>
      </c>
      <c r="D944" s="164">
        <v>4</v>
      </c>
      <c r="E944" s="180">
        <v>1680</v>
      </c>
      <c r="F944" s="134">
        <f t="shared" si="42"/>
        <v>6720</v>
      </c>
      <c r="G944" s="135">
        <f>BDI!$B$17</f>
        <v>0.191</v>
      </c>
      <c r="H944" s="136">
        <f t="shared" si="43"/>
        <v>2000.88</v>
      </c>
      <c r="I944" s="182">
        <f t="shared" si="44"/>
        <v>8003.52</v>
      </c>
      <c r="J944" s="226"/>
      <c r="K944" s="224" t="s">
        <v>8074</v>
      </c>
    </row>
    <row r="945" spans="1:11" s="161" customFormat="1" hidden="1" x14ac:dyDescent="0.25">
      <c r="A945" s="162" t="s">
        <v>979</v>
      </c>
      <c r="B945" s="163" t="s">
        <v>6284</v>
      </c>
      <c r="C945" s="164" t="s">
        <v>1491</v>
      </c>
      <c r="D945" s="164">
        <v>265</v>
      </c>
      <c r="E945" s="133">
        <f ca="1">OFFSET(INDEX(Composições!A:J,MATCH(Orçamentária!A945,Composições!A:A,0),8),2,0)</f>
        <v>4.3353041000000001</v>
      </c>
      <c r="F945" s="134">
        <f t="shared" ca="1" si="42"/>
        <v>1148.8555865000001</v>
      </c>
      <c r="G945" s="135">
        <f>BDI!$B$17</f>
        <v>0.191</v>
      </c>
      <c r="H945" s="136">
        <f t="shared" ca="1" si="43"/>
        <v>5.16</v>
      </c>
      <c r="I945" s="182">
        <f t="shared" ca="1" si="44"/>
        <v>1367.4</v>
      </c>
      <c r="J945" s="226"/>
      <c r="K945" s="224" t="s">
        <v>8074</v>
      </c>
    </row>
    <row r="946" spans="1:11" hidden="1" x14ac:dyDescent="0.25">
      <c r="A946" s="112" t="s">
        <v>2770</v>
      </c>
      <c r="B946" s="113" t="s">
        <v>2771</v>
      </c>
      <c r="C946" s="114" t="s">
        <v>2651</v>
      </c>
      <c r="D946" s="114">
        <v>0</v>
      </c>
      <c r="E946" s="133" t="s">
        <v>514</v>
      </c>
      <c r="F946" s="134" t="str">
        <f t="shared" si="42"/>
        <v/>
      </c>
      <c r="G946" s="135" t="e">
        <f>IF(A946&lt;&gt;"",IF(AND(#REF!="Padrão",$H$4=#REF!),BDI!$B$17,IF(AND(#REF!="Padrão",$H$4=#REF!),BDI!#REF!,IF(AND(#REF!="Diferenciado",$H$4=#REF!),BDI!$E$17,IF(AND(#REF!="Diferenciado",$H$4=#REF!),BDI!#REF!,IF(#REF!="ZERO",0))))),"")</f>
        <v>#REF!</v>
      </c>
      <c r="H946" s="136" t="str">
        <f t="shared" si="43"/>
        <v/>
      </c>
      <c r="I946" s="134" t="str">
        <f t="shared" si="44"/>
        <v/>
      </c>
      <c r="J946" s="226"/>
    </row>
    <row r="947" spans="1:11" hidden="1" x14ac:dyDescent="0.25">
      <c r="A947" s="112" t="s">
        <v>985</v>
      </c>
      <c r="B947" s="113" t="s">
        <v>2772</v>
      </c>
      <c r="C947" s="114" t="s">
        <v>20</v>
      </c>
      <c r="D947" s="114">
        <v>0</v>
      </c>
      <c r="E947" s="133">
        <f ca="1">OFFSET(INDEX(Composições!A:J,MATCH(Orçamentária!A947,Composições!A:A,0),8),2,0)</f>
        <v>159.81375</v>
      </c>
      <c r="F947" s="134">
        <f t="shared" ca="1" si="42"/>
        <v>0</v>
      </c>
      <c r="G947" s="135" t="e">
        <f>IF(A947&lt;&gt;"",IF(AND(#REF!="Padrão",$H$4=#REF!),BDI!$B$17,IF(AND(#REF!="Padrão",$H$4=#REF!),BDI!#REF!,IF(AND(#REF!="Diferenciado",$H$4=#REF!),BDI!$E$17,IF(AND(#REF!="Diferenciado",$H$4=#REF!),BDI!#REF!,IF(#REF!="ZERO",0))))),"")</f>
        <v>#REF!</v>
      </c>
      <c r="H947" s="136" t="e">
        <f t="shared" ca="1" si="43"/>
        <v>#REF!</v>
      </c>
      <c r="I947" s="134" t="e">
        <f t="shared" ca="1" si="44"/>
        <v>#REF!</v>
      </c>
      <c r="J947" s="226"/>
    </row>
    <row r="948" spans="1:11" hidden="1" x14ac:dyDescent="0.25">
      <c r="A948" s="112" t="s">
        <v>986</v>
      </c>
      <c r="B948" s="113" t="s">
        <v>2773</v>
      </c>
      <c r="C948" s="114" t="s">
        <v>20</v>
      </c>
      <c r="D948" s="114">
        <v>0</v>
      </c>
      <c r="E948" s="133">
        <f ca="1">OFFSET(INDEX(Composições!A:J,MATCH(Orçamentária!A948,Composições!A:A,0),8),2,0)</f>
        <v>6.6408077999999993</v>
      </c>
      <c r="F948" s="134">
        <f t="shared" ca="1" si="42"/>
        <v>0</v>
      </c>
      <c r="G948" s="135" t="e">
        <f>IF(A948&lt;&gt;"",IF(AND(#REF!="Padrão",$H$4=#REF!),BDI!$B$17,IF(AND(#REF!="Padrão",$H$4=#REF!),BDI!#REF!,IF(AND(#REF!="Diferenciado",$H$4=#REF!),BDI!$E$17,IF(AND(#REF!="Diferenciado",$H$4=#REF!),BDI!#REF!,IF(#REF!="ZERO",0))))),"")</f>
        <v>#REF!</v>
      </c>
      <c r="H948" s="136" t="e">
        <f t="shared" ca="1" si="43"/>
        <v>#REF!</v>
      </c>
      <c r="I948" s="134" t="e">
        <f t="shared" ca="1" si="44"/>
        <v>#REF!</v>
      </c>
      <c r="J948" s="226"/>
    </row>
    <row r="949" spans="1:11" hidden="1" x14ac:dyDescent="0.25">
      <c r="A949" s="112" t="s">
        <v>988</v>
      </c>
      <c r="B949" s="113" t="s">
        <v>2774</v>
      </c>
      <c r="C949" s="114" t="s">
        <v>20</v>
      </c>
      <c r="D949" s="114">
        <v>0</v>
      </c>
      <c r="E949" s="133">
        <f ca="1">OFFSET(INDEX(Composições!A:J,MATCH(Orçamentária!A949,Composições!A:A,0),8),2,0)</f>
        <v>4.9400361000000004</v>
      </c>
      <c r="F949" s="134">
        <f t="shared" ca="1" si="42"/>
        <v>0</v>
      </c>
      <c r="G949" s="135" t="e">
        <f>IF(A949&lt;&gt;"",IF(AND(#REF!="Padrão",$H$4=#REF!),BDI!$B$17,IF(AND(#REF!="Padrão",$H$4=#REF!),BDI!#REF!,IF(AND(#REF!="Diferenciado",$H$4=#REF!),BDI!$E$17,IF(AND(#REF!="Diferenciado",$H$4=#REF!),BDI!#REF!,IF(#REF!="ZERO",0))))),"")</f>
        <v>#REF!</v>
      </c>
      <c r="H949" s="136" t="e">
        <f t="shared" ca="1" si="43"/>
        <v>#REF!</v>
      </c>
      <c r="I949" s="134" t="e">
        <f t="shared" ca="1" si="44"/>
        <v>#REF!</v>
      </c>
      <c r="J949" s="226"/>
    </row>
    <row r="950" spans="1:11" s="161" customFormat="1" hidden="1" x14ac:dyDescent="0.25">
      <c r="A950" s="162" t="s">
        <v>2775</v>
      </c>
      <c r="B950" s="163" t="s">
        <v>2776</v>
      </c>
      <c r="C950" s="164" t="s">
        <v>20</v>
      </c>
      <c r="D950" s="164">
        <v>20</v>
      </c>
      <c r="E950" s="180">
        <v>769.42</v>
      </c>
      <c r="F950" s="134">
        <f t="shared" si="42"/>
        <v>15388.4</v>
      </c>
      <c r="G950" s="135">
        <f>BDI!$B$17</f>
        <v>0.191</v>
      </c>
      <c r="H950" s="136">
        <f t="shared" si="43"/>
        <v>916.38</v>
      </c>
      <c r="I950" s="182">
        <f t="shared" si="44"/>
        <v>18327.599999999999</v>
      </c>
      <c r="J950" s="226"/>
      <c r="K950" s="224" t="s">
        <v>8074</v>
      </c>
    </row>
    <row r="951" spans="1:11" hidden="1" x14ac:dyDescent="0.25">
      <c r="A951" s="112" t="s">
        <v>990</v>
      </c>
      <c r="B951" s="113" t="s">
        <v>2777</v>
      </c>
      <c r="C951" s="114" t="s">
        <v>20</v>
      </c>
      <c r="D951" s="114">
        <v>0</v>
      </c>
      <c r="E951" s="133">
        <f ca="1">OFFSET(INDEX(Composições!A:J,MATCH(Orçamentária!A951,Composições!A:A,0),8),2,0)</f>
        <v>308.48467098249955</v>
      </c>
      <c r="F951" s="134">
        <f t="shared" ca="1" si="42"/>
        <v>0</v>
      </c>
      <c r="G951" s="135" t="e">
        <f>IF(A951&lt;&gt;"",IF(AND(#REF!="Padrão",$H$4=#REF!),BDI!$B$17,IF(AND(#REF!="Padrão",$H$4=#REF!),BDI!#REF!,IF(AND(#REF!="Diferenciado",$H$4=#REF!),BDI!$E$17,IF(AND(#REF!="Diferenciado",$H$4=#REF!),BDI!#REF!,IF(#REF!="ZERO",0))))),"")</f>
        <v>#REF!</v>
      </c>
      <c r="H951" s="136" t="e">
        <f t="shared" ca="1" si="43"/>
        <v>#REF!</v>
      </c>
      <c r="I951" s="134" t="e">
        <f t="shared" ca="1" si="44"/>
        <v>#REF!</v>
      </c>
      <c r="J951" s="226"/>
    </row>
    <row r="952" spans="1:11" hidden="1" x14ac:dyDescent="0.25">
      <c r="A952" s="112" t="s">
        <v>993</v>
      </c>
      <c r="B952" s="113" t="s">
        <v>2778</v>
      </c>
      <c r="C952" s="114" t="s">
        <v>2779</v>
      </c>
      <c r="D952" s="114">
        <v>0</v>
      </c>
      <c r="E952" s="133">
        <f ca="1">OFFSET(INDEX(Composições!A:J,MATCH(Orçamentária!A952,Composições!A:A,0),8),2,0)</f>
        <v>99.997</v>
      </c>
      <c r="F952" s="134">
        <f t="shared" ca="1" si="42"/>
        <v>0</v>
      </c>
      <c r="G952" s="135" t="e">
        <f>IF(A952&lt;&gt;"",IF(AND(#REF!="Padrão",$H$4=#REF!),BDI!$B$17,IF(AND(#REF!="Padrão",$H$4=#REF!),BDI!#REF!,IF(AND(#REF!="Diferenciado",$H$4=#REF!),BDI!$E$17,IF(AND(#REF!="Diferenciado",$H$4=#REF!),BDI!#REF!,IF(#REF!="ZERO",0))))),"")</f>
        <v>#REF!</v>
      </c>
      <c r="H952" s="136" t="e">
        <f t="shared" ca="1" si="43"/>
        <v>#REF!</v>
      </c>
      <c r="I952" s="134" t="e">
        <f t="shared" ca="1" si="44"/>
        <v>#REF!</v>
      </c>
      <c r="J952" s="226"/>
    </row>
    <row r="953" spans="1:11" hidden="1" x14ac:dyDescent="0.25">
      <c r="A953" s="112" t="s">
        <v>995</v>
      </c>
      <c r="B953" s="113" t="s">
        <v>2780</v>
      </c>
      <c r="C953" s="114" t="s">
        <v>2781</v>
      </c>
      <c r="D953" s="114">
        <v>0</v>
      </c>
      <c r="E953" s="133">
        <f ca="1">OFFSET(INDEX(Composições!A:J,MATCH(Orçamentária!A953,Composições!A:A,0),8),2,0)</f>
        <v>570</v>
      </c>
      <c r="F953" s="134">
        <f t="shared" ca="1" si="42"/>
        <v>0</v>
      </c>
      <c r="G953" s="135" t="e">
        <f>IF(A953&lt;&gt;"",IF(AND(#REF!="Padrão",$H$4=#REF!),BDI!$B$17,IF(AND(#REF!="Padrão",$H$4=#REF!),BDI!#REF!,IF(AND(#REF!="Diferenciado",$H$4=#REF!),BDI!$E$17,IF(AND(#REF!="Diferenciado",$H$4=#REF!),BDI!#REF!,IF(#REF!="ZERO",0))))),"")</f>
        <v>#REF!</v>
      </c>
      <c r="H953" s="136" t="e">
        <f t="shared" ca="1" si="43"/>
        <v>#REF!</v>
      </c>
      <c r="I953" s="134" t="e">
        <f t="shared" ca="1" si="44"/>
        <v>#REF!</v>
      </c>
      <c r="J953" s="226"/>
    </row>
    <row r="954" spans="1:11" hidden="1" x14ac:dyDescent="0.25">
      <c r="A954" s="112" t="s">
        <v>2782</v>
      </c>
      <c r="B954" s="113" t="s">
        <v>2783</v>
      </c>
      <c r="C954" s="114" t="s">
        <v>2781</v>
      </c>
      <c r="D954" s="114">
        <v>0</v>
      </c>
      <c r="E954" s="133" t="s">
        <v>514</v>
      </c>
      <c r="F954" s="134" t="str">
        <f t="shared" si="42"/>
        <v/>
      </c>
      <c r="G954" s="135" t="e">
        <f>IF(A954&lt;&gt;"",IF(AND(#REF!="Padrão",$H$4=#REF!),BDI!$B$17,IF(AND(#REF!="Padrão",$H$4=#REF!),BDI!#REF!,IF(AND(#REF!="Diferenciado",$H$4=#REF!),BDI!$E$17,IF(AND(#REF!="Diferenciado",$H$4=#REF!),BDI!#REF!,IF(#REF!="ZERO",0))))),"")</f>
        <v>#REF!</v>
      </c>
      <c r="H954" s="136" t="str">
        <f t="shared" si="43"/>
        <v/>
      </c>
      <c r="I954" s="134" t="str">
        <f t="shared" si="44"/>
        <v/>
      </c>
      <c r="J954" s="226"/>
    </row>
    <row r="955" spans="1:11" hidden="1" x14ac:dyDescent="0.25">
      <c r="A955" s="112" t="s">
        <v>997</v>
      </c>
      <c r="B955" s="113" t="s">
        <v>2784</v>
      </c>
      <c r="C955" s="114" t="s">
        <v>94</v>
      </c>
      <c r="D955" s="114">
        <v>0</v>
      </c>
      <c r="E955" s="133">
        <f ca="1">OFFSET(INDEX(Composições!A:J,MATCH(Orçamentária!A955,Composições!A:A,0),8),2,0)</f>
        <v>1.680607</v>
      </c>
      <c r="F955" s="134">
        <f t="shared" ca="1" si="42"/>
        <v>0</v>
      </c>
      <c r="G955" s="135" t="e">
        <f>IF(A955&lt;&gt;"",IF(AND(#REF!="Padrão",$H$4=#REF!),BDI!$B$17,IF(AND(#REF!="Padrão",$H$4=#REF!),BDI!#REF!,IF(AND(#REF!="Diferenciado",$H$4=#REF!),BDI!$E$17,IF(AND(#REF!="Diferenciado",$H$4=#REF!),BDI!#REF!,IF(#REF!="ZERO",0))))),"")</f>
        <v>#REF!</v>
      </c>
      <c r="H955" s="136" t="e">
        <f t="shared" ca="1" si="43"/>
        <v>#REF!</v>
      </c>
      <c r="I955" s="134" t="e">
        <f t="shared" ca="1" si="44"/>
        <v>#REF!</v>
      </c>
      <c r="J955" s="226"/>
    </row>
    <row r="956" spans="1:11" hidden="1" x14ac:dyDescent="0.25">
      <c r="A956" s="112" t="s">
        <v>999</v>
      </c>
      <c r="B956" s="113" t="s">
        <v>2785</v>
      </c>
      <c r="C956" s="114" t="s">
        <v>94</v>
      </c>
      <c r="D956" s="114">
        <v>0</v>
      </c>
      <c r="E956" s="133">
        <f ca="1">OFFSET(INDEX(Composições!A:J,MATCH(Orçamentária!A956,Composições!A:A,0),8),2,0)</f>
        <v>6.1987500000000004</v>
      </c>
      <c r="F956" s="134">
        <f t="shared" ca="1" si="42"/>
        <v>0</v>
      </c>
      <c r="G956" s="135" t="e">
        <f>IF(A956&lt;&gt;"",IF(AND(#REF!="Padrão",$H$4=#REF!),BDI!$B$17,IF(AND(#REF!="Padrão",$H$4=#REF!),BDI!#REF!,IF(AND(#REF!="Diferenciado",$H$4=#REF!),BDI!$E$17,IF(AND(#REF!="Diferenciado",$H$4=#REF!),BDI!#REF!,IF(#REF!="ZERO",0))))),"")</f>
        <v>#REF!</v>
      </c>
      <c r="H956" s="136" t="e">
        <f t="shared" ca="1" si="43"/>
        <v>#REF!</v>
      </c>
      <c r="I956" s="134" t="e">
        <f t="shared" ca="1" si="44"/>
        <v>#REF!</v>
      </c>
      <c r="J956" s="226"/>
    </row>
    <row r="957" spans="1:11" hidden="1" x14ac:dyDescent="0.25">
      <c r="A957" s="112" t="s">
        <v>1000</v>
      </c>
      <c r="B957" s="113" t="s">
        <v>2786</v>
      </c>
      <c r="C957" s="114" t="s">
        <v>94</v>
      </c>
      <c r="D957" s="114">
        <v>0</v>
      </c>
      <c r="E957" s="133">
        <f ca="1">OFFSET(INDEX(Composições!A:J,MATCH(Orçamentária!A957,Composições!A:A,0),8),2,0)</f>
        <v>23.025625000000002</v>
      </c>
      <c r="F957" s="134">
        <f t="shared" ca="1" si="42"/>
        <v>0</v>
      </c>
      <c r="G957" s="135" t="e">
        <f>IF(A957&lt;&gt;"",IF(AND(#REF!="Padrão",$H$4=#REF!),BDI!$B$17,IF(AND(#REF!="Padrão",$H$4=#REF!),BDI!#REF!,IF(AND(#REF!="Diferenciado",$H$4=#REF!),BDI!$E$17,IF(AND(#REF!="Diferenciado",$H$4=#REF!),BDI!#REF!,IF(#REF!="ZERO",0))))),"")</f>
        <v>#REF!</v>
      </c>
      <c r="H957" s="136" t="e">
        <f t="shared" ca="1" si="43"/>
        <v>#REF!</v>
      </c>
      <c r="I957" s="134" t="e">
        <f t="shared" ca="1" si="44"/>
        <v>#REF!</v>
      </c>
      <c r="J957" s="226"/>
    </row>
    <row r="958" spans="1:11" hidden="1" x14ac:dyDescent="0.25">
      <c r="A958" s="112" t="s">
        <v>1001</v>
      </c>
      <c r="B958" s="113" t="s">
        <v>2787</v>
      </c>
      <c r="C958" s="114" t="s">
        <v>94</v>
      </c>
      <c r="D958" s="114">
        <v>0</v>
      </c>
      <c r="E958" s="133">
        <f ca="1">OFFSET(INDEX(Composições!A:J,MATCH(Orçamentária!A958,Composições!A:A,0),8),2,0)</f>
        <v>47.353196499999996</v>
      </c>
      <c r="F958" s="134">
        <f t="shared" ca="1" si="42"/>
        <v>0</v>
      </c>
      <c r="G958" s="135" t="e">
        <f>IF(A958&lt;&gt;"",IF(AND(#REF!="Padrão",$H$4=#REF!),BDI!$B$17,IF(AND(#REF!="Padrão",$H$4=#REF!),BDI!#REF!,IF(AND(#REF!="Diferenciado",$H$4=#REF!),BDI!$E$17,IF(AND(#REF!="Diferenciado",$H$4=#REF!),BDI!#REF!,IF(#REF!="ZERO",0))))),"")</f>
        <v>#REF!</v>
      </c>
      <c r="H958" s="136" t="e">
        <f t="shared" ca="1" si="43"/>
        <v>#REF!</v>
      </c>
      <c r="I958" s="134" t="e">
        <f t="shared" ca="1" si="44"/>
        <v>#REF!</v>
      </c>
      <c r="J958" s="226"/>
    </row>
    <row r="959" spans="1:11" hidden="1" x14ac:dyDescent="0.25">
      <c r="A959" s="112" t="s">
        <v>1005</v>
      </c>
      <c r="B959" s="113" t="s">
        <v>2788</v>
      </c>
      <c r="C959" s="114" t="s">
        <v>94</v>
      </c>
      <c r="D959" s="114">
        <v>0</v>
      </c>
      <c r="E959" s="133">
        <f ca="1">OFFSET(INDEX(Composições!A:J,MATCH(Orçamentária!A959,Composições!A:A,0),8),2,0)</f>
        <v>51.560679774375004</v>
      </c>
      <c r="F959" s="134">
        <f t="shared" ca="1" si="42"/>
        <v>0</v>
      </c>
      <c r="G959" s="135" t="e">
        <f>IF(A959&lt;&gt;"",IF(AND(#REF!="Padrão",$H$4=#REF!),BDI!$B$17,IF(AND(#REF!="Padrão",$H$4=#REF!),BDI!#REF!,IF(AND(#REF!="Diferenciado",$H$4=#REF!),BDI!$E$17,IF(AND(#REF!="Diferenciado",$H$4=#REF!),BDI!#REF!,IF(#REF!="ZERO",0))))),"")</f>
        <v>#REF!</v>
      </c>
      <c r="H959" s="136" t="e">
        <f t="shared" ca="1" si="43"/>
        <v>#REF!</v>
      </c>
      <c r="I959" s="134" t="e">
        <f t="shared" ca="1" si="44"/>
        <v>#REF!</v>
      </c>
      <c r="J959" s="226"/>
    </row>
    <row r="960" spans="1:11" hidden="1" x14ac:dyDescent="0.25">
      <c r="A960" s="112" t="s">
        <v>1008</v>
      </c>
      <c r="B960" s="113" t="s">
        <v>2789</v>
      </c>
      <c r="C960" s="114" t="s">
        <v>94</v>
      </c>
      <c r="D960" s="114">
        <v>0</v>
      </c>
      <c r="E960" s="133">
        <f ca="1">OFFSET(INDEX(Composições!A:J,MATCH(Orçamentária!A960,Composições!A:A,0),8),2,0)</f>
        <v>66.420769774375003</v>
      </c>
      <c r="F960" s="134">
        <f t="shared" ca="1" si="42"/>
        <v>0</v>
      </c>
      <c r="G960" s="135" t="e">
        <f>IF(A960&lt;&gt;"",IF(AND(#REF!="Padrão",$H$4=#REF!),BDI!$B$17,IF(AND(#REF!="Padrão",$H$4=#REF!),BDI!#REF!,IF(AND(#REF!="Diferenciado",$H$4=#REF!),BDI!$E$17,IF(AND(#REF!="Diferenciado",$H$4=#REF!),BDI!#REF!,IF(#REF!="ZERO",0))))),"")</f>
        <v>#REF!</v>
      </c>
      <c r="H960" s="136" t="e">
        <f t="shared" ca="1" si="43"/>
        <v>#REF!</v>
      </c>
      <c r="I960" s="134" t="e">
        <f t="shared" ca="1" si="44"/>
        <v>#REF!</v>
      </c>
      <c r="J960" s="226"/>
    </row>
    <row r="961" spans="1:10" hidden="1" x14ac:dyDescent="0.25">
      <c r="A961" s="112" t="s">
        <v>1010</v>
      </c>
      <c r="B961" s="113" t="s">
        <v>2790</v>
      </c>
      <c r="C961" s="114" t="s">
        <v>94</v>
      </c>
      <c r="D961" s="114">
        <v>0</v>
      </c>
      <c r="E961" s="133">
        <f ca="1">OFFSET(INDEX(Composições!A:J,MATCH(Orçamentária!A961,Composições!A:A,0),8),2,0)</f>
        <v>17.286200000000001</v>
      </c>
      <c r="F961" s="134">
        <f t="shared" ca="1" si="42"/>
        <v>0</v>
      </c>
      <c r="G961" s="135" t="e">
        <f>IF(A961&lt;&gt;"",IF(AND(#REF!="Padrão",$H$4=#REF!),BDI!$B$17,IF(AND(#REF!="Padrão",$H$4=#REF!),BDI!#REF!,IF(AND(#REF!="Diferenciado",$H$4=#REF!),BDI!$E$17,IF(AND(#REF!="Diferenciado",$H$4=#REF!),BDI!#REF!,IF(#REF!="ZERO",0))))),"")</f>
        <v>#REF!</v>
      </c>
      <c r="H961" s="136" t="e">
        <f t="shared" ca="1" si="43"/>
        <v>#REF!</v>
      </c>
      <c r="I961" s="134" t="e">
        <f t="shared" ca="1" si="44"/>
        <v>#REF!</v>
      </c>
      <c r="J961" s="226"/>
    </row>
    <row r="962" spans="1:10" hidden="1" x14ac:dyDescent="0.25">
      <c r="A962" s="112" t="s">
        <v>1011</v>
      </c>
      <c r="B962" s="113" t="s">
        <v>2791</v>
      </c>
      <c r="C962" s="114" t="s">
        <v>94</v>
      </c>
      <c r="D962" s="114">
        <v>0</v>
      </c>
      <c r="E962" s="133">
        <f ca="1">OFFSET(INDEX(Composições!A:J,MATCH(Orçamentária!A962,Composições!A:A,0),8),2,0)</f>
        <v>51.858600000000003</v>
      </c>
      <c r="F962" s="134">
        <f t="shared" ca="1" si="42"/>
        <v>0</v>
      </c>
      <c r="G962" s="135" t="e">
        <f>IF(A962&lt;&gt;"",IF(AND(#REF!="Padrão",$H$4=#REF!),BDI!$B$17,IF(AND(#REF!="Padrão",$H$4=#REF!),BDI!#REF!,IF(AND(#REF!="Diferenciado",$H$4=#REF!),BDI!$E$17,IF(AND(#REF!="Diferenciado",$H$4=#REF!),BDI!#REF!,IF(#REF!="ZERO",0))))),"")</f>
        <v>#REF!</v>
      </c>
      <c r="H962" s="136" t="e">
        <f t="shared" ca="1" si="43"/>
        <v>#REF!</v>
      </c>
      <c r="I962" s="134" t="e">
        <f t="shared" ca="1" si="44"/>
        <v>#REF!</v>
      </c>
      <c r="J962" s="226"/>
    </row>
    <row r="963" spans="1:10" hidden="1" x14ac:dyDescent="0.25">
      <c r="A963" s="112" t="s">
        <v>1012</v>
      </c>
      <c r="B963" s="113" t="s">
        <v>2792</v>
      </c>
      <c r="C963" s="114" t="s">
        <v>94</v>
      </c>
      <c r="D963" s="114">
        <v>0</v>
      </c>
      <c r="E963" s="133">
        <f ca="1">OFFSET(INDEX(Composições!A:J,MATCH(Orçamentária!A963,Composições!A:A,0),8),2,0)</f>
        <v>9.2002750000000013</v>
      </c>
      <c r="F963" s="134">
        <f t="shared" ca="1" si="42"/>
        <v>0</v>
      </c>
      <c r="G963" s="135" t="e">
        <f>IF(A963&lt;&gt;"",IF(AND(#REF!="Padrão",$H$4=#REF!),BDI!$B$17,IF(AND(#REF!="Padrão",$H$4=#REF!),BDI!#REF!,IF(AND(#REF!="Diferenciado",$H$4=#REF!),BDI!$E$17,IF(AND(#REF!="Diferenciado",$H$4=#REF!),BDI!#REF!,IF(#REF!="ZERO",0))))),"")</f>
        <v>#REF!</v>
      </c>
      <c r="H963" s="136" t="e">
        <f t="shared" ca="1" si="43"/>
        <v>#REF!</v>
      </c>
      <c r="I963" s="134" t="e">
        <f t="shared" ca="1" si="44"/>
        <v>#REF!</v>
      </c>
      <c r="J963" s="226"/>
    </row>
    <row r="964" spans="1:10" hidden="1" x14ac:dyDescent="0.25">
      <c r="A964" s="112" t="s">
        <v>1014</v>
      </c>
      <c r="B964" s="113" t="s">
        <v>2793</v>
      </c>
      <c r="C964" s="114" t="s">
        <v>94</v>
      </c>
      <c r="D964" s="114">
        <v>0</v>
      </c>
      <c r="E964" s="133">
        <f ca="1">OFFSET(INDEX(Composições!A:J,MATCH(Orçamentária!A964,Composições!A:A,0),8),2,0)</f>
        <v>5.5261500000000003</v>
      </c>
      <c r="F964" s="134">
        <f t="shared" ca="1" si="42"/>
        <v>0</v>
      </c>
      <c r="G964" s="135" t="e">
        <f>IF(A964&lt;&gt;"",IF(AND(#REF!="Padrão",$H$4=#REF!),BDI!$B$17,IF(AND(#REF!="Padrão",$H$4=#REF!),BDI!#REF!,IF(AND(#REF!="Diferenciado",$H$4=#REF!),BDI!$E$17,IF(AND(#REF!="Diferenciado",$H$4=#REF!),BDI!#REF!,IF(#REF!="ZERO",0))))),"")</f>
        <v>#REF!</v>
      </c>
      <c r="H964" s="136" t="e">
        <f t="shared" ca="1" si="43"/>
        <v>#REF!</v>
      </c>
      <c r="I964" s="134" t="e">
        <f t="shared" ca="1" si="44"/>
        <v>#REF!</v>
      </c>
      <c r="J964" s="226"/>
    </row>
    <row r="965" spans="1:10" ht="25.5" hidden="1" x14ac:dyDescent="0.25">
      <c r="A965" s="112" t="s">
        <v>1015</v>
      </c>
      <c r="B965" s="113" t="s">
        <v>2794</v>
      </c>
      <c r="C965" s="114" t="s">
        <v>20</v>
      </c>
      <c r="D965" s="114">
        <v>0</v>
      </c>
      <c r="E965" s="133">
        <f ca="1">OFFSET(INDEX(Composições!A:J,MATCH(Orçamentária!A965,Composições!A:A,0),8),2,0)</f>
        <v>1.8420500000000002</v>
      </c>
      <c r="F965" s="134">
        <f t="shared" ca="1" si="42"/>
        <v>0</v>
      </c>
      <c r="G965" s="135" t="e">
        <f>IF(A965&lt;&gt;"",IF(AND(#REF!="Padrão",$H$4=#REF!),BDI!$B$17,IF(AND(#REF!="Padrão",$H$4=#REF!),BDI!#REF!,IF(AND(#REF!="Diferenciado",$H$4=#REF!),BDI!$E$17,IF(AND(#REF!="Diferenciado",$H$4=#REF!),BDI!#REF!,IF(#REF!="ZERO",0))))),"")</f>
        <v>#REF!</v>
      </c>
      <c r="H965" s="136" t="e">
        <f t="shared" ca="1" si="43"/>
        <v>#REF!</v>
      </c>
      <c r="I965" s="134" t="e">
        <f t="shared" ca="1" si="44"/>
        <v>#REF!</v>
      </c>
      <c r="J965" s="226"/>
    </row>
    <row r="966" spans="1:10" hidden="1" x14ac:dyDescent="0.25">
      <c r="A966" s="112" t="s">
        <v>1016</v>
      </c>
      <c r="B966" s="113" t="s">
        <v>2795</v>
      </c>
      <c r="C966" s="114" t="s">
        <v>20</v>
      </c>
      <c r="D966" s="114">
        <v>0</v>
      </c>
      <c r="E966" s="133">
        <f ca="1">OFFSET(INDEX(Composições!A:J,MATCH(Orçamentária!A966,Composições!A:A,0),8),2,0)</f>
        <v>8.939299933584465</v>
      </c>
      <c r="F966" s="134">
        <f t="shared" ca="1" si="42"/>
        <v>0</v>
      </c>
      <c r="G966" s="135" t="e">
        <f>IF(A966&lt;&gt;"",IF(AND(#REF!="Padrão",$H$4=#REF!),BDI!$B$17,IF(AND(#REF!="Padrão",$H$4=#REF!),BDI!#REF!,IF(AND(#REF!="Diferenciado",$H$4=#REF!),BDI!$E$17,IF(AND(#REF!="Diferenciado",$H$4=#REF!),BDI!#REF!,IF(#REF!="ZERO",0))))),"")</f>
        <v>#REF!</v>
      </c>
      <c r="H966" s="136" t="e">
        <f t="shared" ca="1" si="43"/>
        <v>#REF!</v>
      </c>
      <c r="I966" s="134" t="e">
        <f t="shared" ca="1" si="44"/>
        <v>#REF!</v>
      </c>
      <c r="J966" s="226"/>
    </row>
    <row r="967" spans="1:10" hidden="1" x14ac:dyDescent="0.25">
      <c r="A967" s="112" t="s">
        <v>1022</v>
      </c>
      <c r="B967" s="113" t="s">
        <v>2796</v>
      </c>
      <c r="C967" s="114" t="s">
        <v>20</v>
      </c>
      <c r="D967" s="114">
        <v>0</v>
      </c>
      <c r="E967" s="133">
        <f ca="1">OFFSET(INDEX(Composições!A:J,MATCH(Orçamentária!A967,Composições!A:A,0),8),2,0)</f>
        <v>8.939299933584465</v>
      </c>
      <c r="F967" s="134">
        <f t="shared" ref="F967:F1030" ca="1" si="45">IF(ISNUMBER(E967),D967*E967,"")</f>
        <v>0</v>
      </c>
      <c r="G967" s="135" t="e">
        <f>IF(A967&lt;&gt;"",IF(AND(#REF!="Padrão",$H$4=#REF!),BDI!$B$17,IF(AND(#REF!="Padrão",$H$4=#REF!),BDI!#REF!,IF(AND(#REF!="Diferenciado",$H$4=#REF!),BDI!$E$17,IF(AND(#REF!="Diferenciado",$H$4=#REF!),BDI!#REF!,IF(#REF!="ZERO",0))))),"")</f>
        <v>#REF!</v>
      </c>
      <c r="H967" s="136" t="e">
        <f t="shared" ref="H967:H1030" ca="1" si="46">IF(ISNUMBER(E967),ROUND(E967*(1+G967),2),"")</f>
        <v>#REF!</v>
      </c>
      <c r="I967" s="134" t="e">
        <f t="shared" ref="I967:I1030" ca="1" si="47">IF(ISNUMBER(E967),ROUND(H967*D967,2),"")</f>
        <v>#REF!</v>
      </c>
      <c r="J967" s="226"/>
    </row>
    <row r="968" spans="1:10" hidden="1" x14ac:dyDescent="0.25">
      <c r="A968" s="112" t="s">
        <v>2797</v>
      </c>
      <c r="B968" s="113" t="s">
        <v>2798</v>
      </c>
      <c r="C968" s="114" t="s">
        <v>20</v>
      </c>
      <c r="D968" s="114">
        <v>0</v>
      </c>
      <c r="E968" s="133">
        <f ca="1">OFFSET(INDEX(Composições!A:J,MATCH(Orçamentária!A968,Composições!A:A,0),8),2,0)</f>
        <v>8.939299933584465</v>
      </c>
      <c r="F968" s="134">
        <f t="shared" ca="1" si="45"/>
        <v>0</v>
      </c>
      <c r="G968" s="135" t="e">
        <f>IF(A968&lt;&gt;"",IF(AND(#REF!="Padrão",$H$4=#REF!),BDI!$B$17,IF(AND(#REF!="Padrão",$H$4=#REF!),BDI!#REF!,IF(AND(#REF!="Diferenciado",$H$4=#REF!),BDI!$E$17,IF(AND(#REF!="Diferenciado",$H$4=#REF!),BDI!#REF!,IF(#REF!="ZERO",0))))),"")</f>
        <v>#REF!</v>
      </c>
      <c r="H968" s="136" t="e">
        <f t="shared" ca="1" si="46"/>
        <v>#REF!</v>
      </c>
      <c r="I968" s="134" t="e">
        <f t="shared" ca="1" si="47"/>
        <v>#REF!</v>
      </c>
      <c r="J968" s="226"/>
    </row>
    <row r="969" spans="1:10" hidden="1" x14ac:dyDescent="0.25">
      <c r="A969" s="112" t="s">
        <v>1024</v>
      </c>
      <c r="B969" s="113" t="s">
        <v>6349</v>
      </c>
      <c r="C969" s="114" t="s">
        <v>94</v>
      </c>
      <c r="D969" s="114">
        <v>0</v>
      </c>
      <c r="E969" s="133">
        <f ca="1">OFFSET(INDEX(Composições!A:J,MATCH(Orçamentária!A969,Composições!A:A,0),8),2,0)</f>
        <v>52.668000000000006</v>
      </c>
      <c r="F969" s="134">
        <f t="shared" ca="1" si="45"/>
        <v>0</v>
      </c>
      <c r="G969" s="135" t="e">
        <f>IF(A969&lt;&gt;"",IF(AND(#REF!="Padrão",$H$4=#REF!),BDI!$B$17,IF(AND(#REF!="Padrão",$H$4=#REF!),BDI!#REF!,IF(AND(#REF!="Diferenciado",$H$4=#REF!),BDI!$E$17,IF(AND(#REF!="Diferenciado",$H$4=#REF!),BDI!#REF!,IF(#REF!="ZERO",0))))),"")</f>
        <v>#REF!</v>
      </c>
      <c r="H969" s="136" t="e">
        <f t="shared" ca="1" si="46"/>
        <v>#REF!</v>
      </c>
      <c r="I969" s="134" t="e">
        <f t="shared" ca="1" si="47"/>
        <v>#REF!</v>
      </c>
      <c r="J969" s="226"/>
    </row>
    <row r="970" spans="1:10" hidden="1" x14ac:dyDescent="0.25">
      <c r="A970" s="112" t="s">
        <v>1026</v>
      </c>
      <c r="B970" s="113" t="s">
        <v>6350</v>
      </c>
      <c r="C970" s="114" t="s">
        <v>94</v>
      </c>
      <c r="D970" s="114">
        <v>0</v>
      </c>
      <c r="E970" s="133">
        <f ca="1">OFFSET(INDEX(Composições!A:J,MATCH(Orçamentária!A970,Composições!A:A,0),8),2,0)</f>
        <v>73.27914998339611</v>
      </c>
      <c r="F970" s="134">
        <f t="shared" ca="1" si="45"/>
        <v>0</v>
      </c>
      <c r="G970" s="135" t="e">
        <f>IF(A970&lt;&gt;"",IF(AND(#REF!="Padrão",$H$4=#REF!),BDI!$B$17,IF(AND(#REF!="Padrão",$H$4=#REF!),BDI!#REF!,IF(AND(#REF!="Diferenciado",$H$4=#REF!),BDI!$E$17,IF(AND(#REF!="Diferenciado",$H$4=#REF!),BDI!#REF!,IF(#REF!="ZERO",0))))),"")</f>
        <v>#REF!</v>
      </c>
      <c r="H970" s="136" t="e">
        <f t="shared" ca="1" si="46"/>
        <v>#REF!</v>
      </c>
      <c r="I970" s="134" t="e">
        <f t="shared" ca="1" si="47"/>
        <v>#REF!</v>
      </c>
      <c r="J970" s="226"/>
    </row>
    <row r="971" spans="1:10" hidden="1" x14ac:dyDescent="0.25">
      <c r="A971" s="112" t="s">
        <v>1031</v>
      </c>
      <c r="B971" s="113" t="s">
        <v>6351</v>
      </c>
      <c r="C971" s="114" t="s">
        <v>94</v>
      </c>
      <c r="D971" s="114">
        <v>0</v>
      </c>
      <c r="E971" s="133">
        <f ca="1">OFFSET(INDEX(Composições!A:J,MATCH(Orçamentária!A971,Composições!A:A,0),8),2,0)</f>
        <v>52.668000000000006</v>
      </c>
      <c r="F971" s="134">
        <f t="shared" ca="1" si="45"/>
        <v>0</v>
      </c>
      <c r="G971" s="135" t="e">
        <f>IF(A971&lt;&gt;"",IF(AND(#REF!="Padrão",$H$4=#REF!),BDI!$B$17,IF(AND(#REF!="Padrão",$H$4=#REF!),BDI!#REF!,IF(AND(#REF!="Diferenciado",$H$4=#REF!),BDI!$E$17,IF(AND(#REF!="Diferenciado",$H$4=#REF!),BDI!#REF!,IF(#REF!="ZERO",0))))),"")</f>
        <v>#REF!</v>
      </c>
      <c r="H971" s="136" t="e">
        <f t="shared" ca="1" si="46"/>
        <v>#REF!</v>
      </c>
      <c r="I971" s="134" t="e">
        <f t="shared" ca="1" si="47"/>
        <v>#REF!</v>
      </c>
      <c r="J971" s="226"/>
    </row>
    <row r="972" spans="1:10" hidden="1" x14ac:dyDescent="0.25">
      <c r="A972" s="112" t="s">
        <v>1033</v>
      </c>
      <c r="B972" s="113" t="s">
        <v>6352</v>
      </c>
      <c r="C972" s="114" t="s">
        <v>94</v>
      </c>
      <c r="D972" s="114">
        <v>0</v>
      </c>
      <c r="E972" s="133">
        <f ca="1">OFFSET(INDEX(Composições!A:J,MATCH(Orçamentária!A972,Composições!A:A,0),8),2,0)</f>
        <v>73.27914998339611</v>
      </c>
      <c r="F972" s="134">
        <f t="shared" ca="1" si="45"/>
        <v>0</v>
      </c>
      <c r="G972" s="135" t="e">
        <f>IF(A972&lt;&gt;"",IF(AND(#REF!="Padrão",$H$4=#REF!),BDI!$B$17,IF(AND(#REF!="Padrão",$H$4=#REF!),BDI!#REF!,IF(AND(#REF!="Diferenciado",$H$4=#REF!),BDI!$E$17,IF(AND(#REF!="Diferenciado",$H$4=#REF!),BDI!#REF!,IF(#REF!="ZERO",0))))),"")</f>
        <v>#REF!</v>
      </c>
      <c r="H972" s="136" t="e">
        <f t="shared" ca="1" si="46"/>
        <v>#REF!</v>
      </c>
      <c r="I972" s="134" t="e">
        <f t="shared" ca="1" si="47"/>
        <v>#REF!</v>
      </c>
      <c r="J972" s="226"/>
    </row>
    <row r="973" spans="1:10" hidden="1" x14ac:dyDescent="0.25">
      <c r="A973" s="112" t="s">
        <v>1034</v>
      </c>
      <c r="B973" s="113" t="s">
        <v>6353</v>
      </c>
      <c r="C973" s="114" t="s">
        <v>94</v>
      </c>
      <c r="D973" s="114">
        <v>0</v>
      </c>
      <c r="E973" s="133">
        <f ca="1">OFFSET(INDEX(Composições!A:J,MATCH(Orçamentária!A973,Composições!A:A,0),8),2,0)</f>
        <v>8.0408000000000008</v>
      </c>
      <c r="F973" s="134">
        <f t="shared" ca="1" si="45"/>
        <v>0</v>
      </c>
      <c r="G973" s="135" t="e">
        <f>IF(A973&lt;&gt;"",IF(AND(#REF!="Padrão",$H$4=#REF!),BDI!$B$17,IF(AND(#REF!="Padrão",$H$4=#REF!),BDI!#REF!,IF(AND(#REF!="Diferenciado",$H$4=#REF!),BDI!$E$17,IF(AND(#REF!="Diferenciado",$H$4=#REF!),BDI!#REF!,IF(#REF!="ZERO",0))))),"")</f>
        <v>#REF!</v>
      </c>
      <c r="H973" s="136" t="e">
        <f t="shared" ca="1" si="46"/>
        <v>#REF!</v>
      </c>
      <c r="I973" s="134" t="e">
        <f t="shared" ca="1" si="47"/>
        <v>#REF!</v>
      </c>
      <c r="J973" s="226"/>
    </row>
    <row r="974" spans="1:10" ht="25.5" hidden="1" x14ac:dyDescent="0.25">
      <c r="A974" s="112" t="s">
        <v>2799</v>
      </c>
      <c r="B974" s="113" t="s">
        <v>6354</v>
      </c>
      <c r="C974" s="114" t="s">
        <v>94</v>
      </c>
      <c r="D974" s="114">
        <v>0</v>
      </c>
      <c r="E974" s="133">
        <f ca="1">OFFSET(INDEX(Composições!A:J,MATCH(Orçamentária!A974,Composições!A:A,0),8),2,0)</f>
        <v>8.0408000000000008</v>
      </c>
      <c r="F974" s="134">
        <f t="shared" ca="1" si="45"/>
        <v>0</v>
      </c>
      <c r="G974" s="135" t="e">
        <f>IF(A974&lt;&gt;"",IF(AND(#REF!="Padrão",$H$4=#REF!),BDI!$B$17,IF(AND(#REF!="Padrão",$H$4=#REF!),BDI!#REF!,IF(AND(#REF!="Diferenciado",$H$4=#REF!),BDI!$E$17,IF(AND(#REF!="Diferenciado",$H$4=#REF!),BDI!#REF!,IF(#REF!="ZERO",0))))),"")</f>
        <v>#REF!</v>
      </c>
      <c r="H974" s="136" t="e">
        <f t="shared" ca="1" si="46"/>
        <v>#REF!</v>
      </c>
      <c r="I974" s="134" t="e">
        <f t="shared" ca="1" si="47"/>
        <v>#REF!</v>
      </c>
      <c r="J974" s="226"/>
    </row>
    <row r="975" spans="1:10" hidden="1" x14ac:dyDescent="0.25">
      <c r="A975" s="112" t="s">
        <v>1036</v>
      </c>
      <c r="B975" s="113" t="s">
        <v>2800</v>
      </c>
      <c r="C975" s="114" t="s">
        <v>94</v>
      </c>
      <c r="D975" s="114">
        <v>0</v>
      </c>
      <c r="E975" s="133">
        <f ca="1">OFFSET(INDEX(Composições!A:J,MATCH(Orçamentária!A975,Composições!A:A,0),8),2,0)</f>
        <v>52.668000000000006</v>
      </c>
      <c r="F975" s="134">
        <f t="shared" ca="1" si="45"/>
        <v>0</v>
      </c>
      <c r="G975" s="135" t="e">
        <f>IF(A975&lt;&gt;"",IF(AND(#REF!="Padrão",$H$4=#REF!),BDI!$B$17,IF(AND(#REF!="Padrão",$H$4=#REF!),BDI!#REF!,IF(AND(#REF!="Diferenciado",$H$4=#REF!),BDI!$E$17,IF(AND(#REF!="Diferenciado",$H$4=#REF!),BDI!#REF!,IF(#REF!="ZERO",0))))),"")</f>
        <v>#REF!</v>
      </c>
      <c r="H975" s="136" t="e">
        <f t="shared" ca="1" si="46"/>
        <v>#REF!</v>
      </c>
      <c r="I975" s="134" t="e">
        <f t="shared" ca="1" si="47"/>
        <v>#REF!</v>
      </c>
      <c r="J975" s="226"/>
    </row>
    <row r="976" spans="1:10" hidden="1" x14ac:dyDescent="0.25">
      <c r="A976" s="112" t="s">
        <v>1037</v>
      </c>
      <c r="B976" s="113" t="s">
        <v>2801</v>
      </c>
      <c r="C976" s="114" t="s">
        <v>94</v>
      </c>
      <c r="D976" s="114">
        <v>0</v>
      </c>
      <c r="E976" s="133">
        <f ca="1">OFFSET(INDEX(Composições!A:J,MATCH(Orçamentária!A976,Composições!A:A,0),8),2,0)</f>
        <v>73.27914998339611</v>
      </c>
      <c r="F976" s="134">
        <f t="shared" ca="1" si="45"/>
        <v>0</v>
      </c>
      <c r="G976" s="135" t="e">
        <f>IF(A976&lt;&gt;"",IF(AND(#REF!="Padrão",$H$4=#REF!),BDI!$B$17,IF(AND(#REF!="Padrão",$H$4=#REF!),BDI!#REF!,IF(AND(#REF!="Diferenciado",$H$4=#REF!),BDI!$E$17,IF(AND(#REF!="Diferenciado",$H$4=#REF!),BDI!#REF!,IF(#REF!="ZERO",0))))),"")</f>
        <v>#REF!</v>
      </c>
      <c r="H976" s="136" t="e">
        <f t="shared" ca="1" si="46"/>
        <v>#REF!</v>
      </c>
      <c r="I976" s="134" t="e">
        <f t="shared" ca="1" si="47"/>
        <v>#REF!</v>
      </c>
      <c r="J976" s="226"/>
    </row>
    <row r="977" spans="1:11" hidden="1" x14ac:dyDescent="0.25">
      <c r="A977" s="112" t="s">
        <v>1038</v>
      </c>
      <c r="B977" s="113" t="s">
        <v>2802</v>
      </c>
      <c r="C977" s="114" t="s">
        <v>94</v>
      </c>
      <c r="D977" s="114">
        <v>0</v>
      </c>
      <c r="E977" s="133">
        <f ca="1">OFFSET(INDEX(Composições!A:J,MATCH(Orçamentária!A977,Composições!A:A,0),8),2,0)</f>
        <v>12.425050000000001</v>
      </c>
      <c r="F977" s="134">
        <f t="shared" ca="1" si="45"/>
        <v>0</v>
      </c>
      <c r="G977" s="135" t="e">
        <f>IF(A977&lt;&gt;"",IF(AND(#REF!="Padrão",$H$4=#REF!),BDI!$B$17,IF(AND(#REF!="Padrão",$H$4=#REF!),BDI!#REF!,IF(AND(#REF!="Diferenciado",$H$4=#REF!),BDI!$E$17,IF(AND(#REF!="Diferenciado",$H$4=#REF!),BDI!#REF!,IF(#REF!="ZERO",0))))),"")</f>
        <v>#REF!</v>
      </c>
      <c r="H977" s="136" t="e">
        <f t="shared" ca="1" si="46"/>
        <v>#REF!</v>
      </c>
      <c r="I977" s="134" t="e">
        <f t="shared" ca="1" si="47"/>
        <v>#REF!</v>
      </c>
      <c r="J977" s="226"/>
    </row>
    <row r="978" spans="1:11" hidden="1" x14ac:dyDescent="0.25">
      <c r="A978" s="112" t="s">
        <v>1041</v>
      </c>
      <c r="B978" s="113" t="s">
        <v>2803</v>
      </c>
      <c r="C978" s="114" t="s">
        <v>92</v>
      </c>
      <c r="D978" s="114">
        <v>0</v>
      </c>
      <c r="E978" s="133">
        <f ca="1">OFFSET(INDEX(Composições!A:J,MATCH(Orçamentária!A978,Composições!A:A,0),8),2,0)</f>
        <v>22.245200000000001</v>
      </c>
      <c r="F978" s="134">
        <f t="shared" ca="1" si="45"/>
        <v>0</v>
      </c>
      <c r="G978" s="135" t="e">
        <f>IF(A978&lt;&gt;"",IF(AND(#REF!="Padrão",$H$4=#REF!),BDI!$B$17,IF(AND(#REF!="Padrão",$H$4=#REF!),BDI!#REF!,IF(AND(#REF!="Diferenciado",$H$4=#REF!),BDI!$E$17,IF(AND(#REF!="Diferenciado",$H$4=#REF!),BDI!#REF!,IF(#REF!="ZERO",0))))),"")</f>
        <v>#REF!</v>
      </c>
      <c r="H978" s="136" t="e">
        <f t="shared" ca="1" si="46"/>
        <v>#REF!</v>
      </c>
      <c r="I978" s="134" t="e">
        <f t="shared" ca="1" si="47"/>
        <v>#REF!</v>
      </c>
      <c r="J978" s="226"/>
    </row>
    <row r="979" spans="1:11" hidden="1" x14ac:dyDescent="0.25">
      <c r="A979" s="112" t="s">
        <v>1043</v>
      </c>
      <c r="B979" s="113" t="s">
        <v>2804</v>
      </c>
      <c r="C979" s="114" t="s">
        <v>94</v>
      </c>
      <c r="D979" s="114">
        <v>0</v>
      </c>
      <c r="E979" s="133">
        <f ca="1">OFFSET(INDEX(Composições!A:J,MATCH(Orçamentária!A979,Composições!A:A,0),8),2,0)</f>
        <v>119.26837699999999</v>
      </c>
      <c r="F979" s="134">
        <f t="shared" ca="1" si="45"/>
        <v>0</v>
      </c>
      <c r="G979" s="135" t="e">
        <f>IF(A979&lt;&gt;"",IF(AND(#REF!="Padrão",$H$4=#REF!),BDI!$B$17,IF(AND(#REF!="Padrão",$H$4=#REF!),BDI!#REF!,IF(AND(#REF!="Diferenciado",$H$4=#REF!),BDI!$E$17,IF(AND(#REF!="Diferenciado",$H$4=#REF!),BDI!#REF!,IF(#REF!="ZERO",0))))),"")</f>
        <v>#REF!</v>
      </c>
      <c r="H979" s="136" t="e">
        <f t="shared" ca="1" si="46"/>
        <v>#REF!</v>
      </c>
      <c r="I979" s="134" t="e">
        <f t="shared" ca="1" si="47"/>
        <v>#REF!</v>
      </c>
      <c r="J979" s="226"/>
    </row>
    <row r="980" spans="1:11" hidden="1" x14ac:dyDescent="0.25">
      <c r="A980" s="112" t="s">
        <v>1045</v>
      </c>
      <c r="B980" s="113" t="s">
        <v>2805</v>
      </c>
      <c r="C980" s="114" t="s">
        <v>20</v>
      </c>
      <c r="D980" s="114">
        <v>0</v>
      </c>
      <c r="E980" s="133">
        <f ca="1">OFFSET(INDEX(Composições!A:J,MATCH(Orçamentária!A980,Composições!A:A,0),8),2,0)</f>
        <v>1.0739750000000001</v>
      </c>
      <c r="F980" s="134">
        <f t="shared" ca="1" si="45"/>
        <v>0</v>
      </c>
      <c r="G980" s="135" t="e">
        <f>IF(A980&lt;&gt;"",IF(AND(#REF!="Padrão",$H$4=#REF!),BDI!$B$17,IF(AND(#REF!="Padrão",$H$4=#REF!),BDI!#REF!,IF(AND(#REF!="Diferenciado",$H$4=#REF!),BDI!$E$17,IF(AND(#REF!="Diferenciado",$H$4=#REF!),BDI!#REF!,IF(#REF!="ZERO",0))))),"")</f>
        <v>#REF!</v>
      </c>
      <c r="H980" s="136" t="e">
        <f t="shared" ca="1" si="46"/>
        <v>#REF!</v>
      </c>
      <c r="I980" s="134" t="e">
        <f t="shared" ca="1" si="47"/>
        <v>#REF!</v>
      </c>
      <c r="J980" s="226"/>
    </row>
    <row r="981" spans="1:11" hidden="1" x14ac:dyDescent="0.25">
      <c r="A981" s="112" t="s">
        <v>1049</v>
      </c>
      <c r="B981" s="113" t="s">
        <v>2806</v>
      </c>
      <c r="C981" s="114" t="s">
        <v>94</v>
      </c>
      <c r="D981" s="114">
        <v>0</v>
      </c>
      <c r="E981" s="133">
        <f ca="1">OFFSET(INDEX(Composições!A:J,MATCH(Orçamentária!A981,Composições!A:A,0),8),2,0)</f>
        <v>6.2233359999999998</v>
      </c>
      <c r="F981" s="134">
        <f t="shared" ca="1" si="45"/>
        <v>0</v>
      </c>
      <c r="G981" s="135" t="e">
        <f>IF(A981&lt;&gt;"",IF(AND(#REF!="Padrão",$H$4=#REF!),BDI!$B$17,IF(AND(#REF!="Padrão",$H$4=#REF!),BDI!#REF!,IF(AND(#REF!="Diferenciado",$H$4=#REF!),BDI!$E$17,IF(AND(#REF!="Diferenciado",$H$4=#REF!),BDI!#REF!,IF(#REF!="ZERO",0))))),"")</f>
        <v>#REF!</v>
      </c>
      <c r="H981" s="136" t="e">
        <f t="shared" ca="1" si="46"/>
        <v>#REF!</v>
      </c>
      <c r="I981" s="134" t="e">
        <f t="shared" ca="1" si="47"/>
        <v>#REF!</v>
      </c>
      <c r="J981" s="226"/>
    </row>
    <row r="982" spans="1:11" hidden="1" x14ac:dyDescent="0.25">
      <c r="A982" s="112" t="s">
        <v>1050</v>
      </c>
      <c r="B982" s="113" t="s">
        <v>2807</v>
      </c>
      <c r="C982" s="114" t="s">
        <v>92</v>
      </c>
      <c r="D982" s="114">
        <v>0</v>
      </c>
      <c r="E982" s="133">
        <f ca="1">OFFSET(INDEX(Composições!A:J,MATCH(Orçamentária!A982,Composições!A:A,0),8),2,0)</f>
        <v>27.933677449999998</v>
      </c>
      <c r="F982" s="134">
        <f t="shared" ca="1" si="45"/>
        <v>0</v>
      </c>
      <c r="G982" s="135" t="e">
        <f>IF(A982&lt;&gt;"",IF(AND(#REF!="Padrão",$H$4=#REF!),BDI!$B$17,IF(AND(#REF!="Padrão",$H$4=#REF!),BDI!#REF!,IF(AND(#REF!="Diferenciado",$H$4=#REF!),BDI!$E$17,IF(AND(#REF!="Diferenciado",$H$4=#REF!),BDI!#REF!,IF(#REF!="ZERO",0))))),"")</f>
        <v>#REF!</v>
      </c>
      <c r="H982" s="136" t="e">
        <f t="shared" ca="1" si="46"/>
        <v>#REF!</v>
      </c>
      <c r="I982" s="134" t="e">
        <f t="shared" ca="1" si="47"/>
        <v>#REF!</v>
      </c>
      <c r="J982" s="226"/>
    </row>
    <row r="983" spans="1:11" s="161" customFormat="1" hidden="1" x14ac:dyDescent="0.25">
      <c r="A983" s="162" t="s">
        <v>1055</v>
      </c>
      <c r="B983" s="163" t="s">
        <v>2808</v>
      </c>
      <c r="C983" s="164" t="s">
        <v>92</v>
      </c>
      <c r="D983" s="164">
        <v>20</v>
      </c>
      <c r="E983" s="133">
        <f ca="1">OFFSET(INDEX(Composições!A:J,MATCH(Orçamentária!A983,Composições!A:A,0),8),2,0)</f>
        <v>18.259140599999998</v>
      </c>
      <c r="F983" s="134">
        <f t="shared" ca="1" si="45"/>
        <v>365.18281199999996</v>
      </c>
      <c r="G983" s="135">
        <f>BDI!$B$17</f>
        <v>0.191</v>
      </c>
      <c r="H983" s="136">
        <f t="shared" ca="1" si="46"/>
        <v>21.75</v>
      </c>
      <c r="I983" s="182">
        <f t="shared" ca="1" si="47"/>
        <v>435</v>
      </c>
      <c r="J983" s="226"/>
      <c r="K983" s="224" t="s">
        <v>8074</v>
      </c>
    </row>
    <row r="984" spans="1:11" hidden="1" x14ac:dyDescent="0.25">
      <c r="A984" s="112" t="s">
        <v>2809</v>
      </c>
      <c r="B984" s="113" t="s">
        <v>2810</v>
      </c>
      <c r="C984" s="114" t="s">
        <v>20</v>
      </c>
      <c r="D984" s="114">
        <v>0</v>
      </c>
      <c r="E984" s="133" t="s">
        <v>514</v>
      </c>
      <c r="F984" s="134" t="str">
        <f t="shared" si="45"/>
        <v/>
      </c>
      <c r="G984" s="135" t="e">
        <f>IF(A984&lt;&gt;"",IF(AND(#REF!="Padrão",$H$4=#REF!),BDI!$B$17,IF(AND(#REF!="Padrão",$H$4=#REF!),BDI!#REF!,IF(AND(#REF!="Diferenciado",$H$4=#REF!),BDI!$E$17,IF(AND(#REF!="Diferenciado",$H$4=#REF!),BDI!#REF!,IF(#REF!="ZERO",0))))),"")</f>
        <v>#REF!</v>
      </c>
      <c r="H984" s="136" t="str">
        <f t="shared" si="46"/>
        <v/>
      </c>
      <c r="I984" s="134" t="str">
        <f t="shared" si="47"/>
        <v/>
      </c>
      <c r="J984" s="226"/>
    </row>
    <row r="985" spans="1:11" hidden="1" x14ac:dyDescent="0.25">
      <c r="A985" s="112" t="s">
        <v>1056</v>
      </c>
      <c r="B985" s="113" t="s">
        <v>2811</v>
      </c>
      <c r="C985" s="114" t="s">
        <v>20</v>
      </c>
      <c r="D985" s="114">
        <v>0</v>
      </c>
      <c r="E985" s="133">
        <f ca="1">OFFSET(INDEX(Composições!A:J,MATCH(Orçamentária!A985,Composições!A:A,0),8),2,0)</f>
        <v>81.380808550000012</v>
      </c>
      <c r="F985" s="134">
        <f t="shared" ca="1" si="45"/>
        <v>0</v>
      </c>
      <c r="G985" s="135" t="e">
        <f>IF(A985&lt;&gt;"",IF(AND(#REF!="Padrão",$H$4=#REF!),BDI!$B$17,IF(AND(#REF!="Padrão",$H$4=#REF!),BDI!#REF!,IF(AND(#REF!="Diferenciado",$H$4=#REF!),BDI!$E$17,IF(AND(#REF!="Diferenciado",$H$4=#REF!),BDI!#REF!,IF(#REF!="ZERO",0))))),"")</f>
        <v>#REF!</v>
      </c>
      <c r="H985" s="136" t="e">
        <f t="shared" ca="1" si="46"/>
        <v>#REF!</v>
      </c>
      <c r="I985" s="134" t="e">
        <f t="shared" ca="1" si="47"/>
        <v>#REF!</v>
      </c>
      <c r="J985" s="226"/>
    </row>
    <row r="986" spans="1:11" hidden="1" x14ac:dyDescent="0.25">
      <c r="A986" s="112" t="s">
        <v>1059</v>
      </c>
      <c r="B986" s="113" t="s">
        <v>6285</v>
      </c>
      <c r="C986" s="114" t="s">
        <v>2812</v>
      </c>
      <c r="D986" s="114">
        <v>0</v>
      </c>
      <c r="E986" s="133">
        <f ca="1">OFFSET(INDEX(Composições!A:J,MATCH(Orçamentária!A986,Composições!A:A,0),8),2,0)</f>
        <v>760.59716687992238</v>
      </c>
      <c r="F986" s="134">
        <f t="shared" ca="1" si="45"/>
        <v>0</v>
      </c>
      <c r="G986" s="135" t="e">
        <f>IF(A986&lt;&gt;"",IF(AND(#REF!="Padrão",$H$4=#REF!),BDI!$B$17,IF(AND(#REF!="Padrão",$H$4=#REF!),BDI!#REF!,IF(AND(#REF!="Diferenciado",$H$4=#REF!),BDI!$E$17,IF(AND(#REF!="Diferenciado",$H$4=#REF!),BDI!#REF!,IF(#REF!="ZERO",0))))),"")</f>
        <v>#REF!</v>
      </c>
      <c r="H986" s="136" t="e">
        <f t="shared" ca="1" si="46"/>
        <v>#REF!</v>
      </c>
      <c r="I986" s="134" t="e">
        <f t="shared" ca="1" si="47"/>
        <v>#REF!</v>
      </c>
      <c r="J986" s="226"/>
    </row>
    <row r="987" spans="1:11" hidden="1" x14ac:dyDescent="0.25">
      <c r="A987" s="112" t="s">
        <v>1061</v>
      </c>
      <c r="B987" s="113" t="s">
        <v>2813</v>
      </c>
      <c r="C987" s="114" t="s">
        <v>94</v>
      </c>
      <c r="D987" s="114">
        <v>0</v>
      </c>
      <c r="E987" s="133">
        <f ca="1">OFFSET(INDEX(Composições!A:J,MATCH(Orçamentária!A987,Composições!A:A,0),8),2,0)</f>
        <v>117.52668499999999</v>
      </c>
      <c r="F987" s="134">
        <f t="shared" ca="1" si="45"/>
        <v>0</v>
      </c>
      <c r="G987" s="135" t="e">
        <f>IF(A987&lt;&gt;"",IF(AND(#REF!="Padrão",$H$4=#REF!),BDI!$B$17,IF(AND(#REF!="Padrão",$H$4=#REF!),BDI!#REF!,IF(AND(#REF!="Diferenciado",$H$4=#REF!),BDI!$E$17,IF(AND(#REF!="Diferenciado",$H$4=#REF!),BDI!#REF!,IF(#REF!="ZERO",0))))),"")</f>
        <v>#REF!</v>
      </c>
      <c r="H987" s="136" t="e">
        <f t="shared" ca="1" si="46"/>
        <v>#REF!</v>
      </c>
      <c r="I987" s="134" t="e">
        <f t="shared" ca="1" si="47"/>
        <v>#REF!</v>
      </c>
      <c r="J987" s="226"/>
    </row>
    <row r="988" spans="1:11" hidden="1" x14ac:dyDescent="0.25">
      <c r="A988" s="112" t="s">
        <v>1065</v>
      </c>
      <c r="B988" s="113" t="s">
        <v>2814</v>
      </c>
      <c r="C988" s="114" t="s">
        <v>20</v>
      </c>
      <c r="D988" s="114">
        <v>0</v>
      </c>
      <c r="E988" s="133">
        <f ca="1">OFFSET(INDEX(Composições!A:J,MATCH(Orçamentária!A988,Composições!A:A,0),8),2,0)</f>
        <v>170.886</v>
      </c>
      <c r="F988" s="134">
        <f t="shared" ca="1" si="45"/>
        <v>0</v>
      </c>
      <c r="G988" s="135" t="e">
        <f>IF(A988&lt;&gt;"",IF(AND(#REF!="Padrão",$H$4=#REF!),BDI!$B$17,IF(AND(#REF!="Padrão",$H$4=#REF!),BDI!#REF!,IF(AND(#REF!="Diferenciado",$H$4=#REF!),BDI!$E$17,IF(AND(#REF!="Diferenciado",$H$4=#REF!),BDI!#REF!,IF(#REF!="ZERO",0))))),"")</f>
        <v>#REF!</v>
      </c>
      <c r="H988" s="136" t="e">
        <f t="shared" ca="1" si="46"/>
        <v>#REF!</v>
      </c>
      <c r="I988" s="134" t="e">
        <f t="shared" ca="1" si="47"/>
        <v>#REF!</v>
      </c>
      <c r="J988" s="226"/>
    </row>
    <row r="989" spans="1:11" hidden="1" x14ac:dyDescent="0.25">
      <c r="A989" s="112" t="s">
        <v>1066</v>
      </c>
      <c r="B989" s="113" t="s">
        <v>2815</v>
      </c>
      <c r="C989" s="114" t="s">
        <v>2816</v>
      </c>
      <c r="D989" s="114">
        <v>0</v>
      </c>
      <c r="E989" s="133">
        <f ca="1">OFFSET(INDEX(Composições!A:J,MATCH(Orçamentária!A989,Composições!A:A,0),8),2,0)</f>
        <v>2.6230221999999994</v>
      </c>
      <c r="F989" s="134">
        <f t="shared" ca="1" si="45"/>
        <v>0</v>
      </c>
      <c r="G989" s="135" t="e">
        <f>IF(A989&lt;&gt;"",IF(AND(#REF!="Padrão",$H$4=#REF!),BDI!$B$17,IF(AND(#REF!="Padrão",$H$4=#REF!),BDI!#REF!,IF(AND(#REF!="Diferenciado",$H$4=#REF!),BDI!$E$17,IF(AND(#REF!="Diferenciado",$H$4=#REF!),BDI!#REF!,IF(#REF!="ZERO",0))))),"")</f>
        <v>#REF!</v>
      </c>
      <c r="H989" s="136" t="e">
        <f t="shared" ca="1" si="46"/>
        <v>#REF!</v>
      </c>
      <c r="I989" s="134" t="e">
        <f t="shared" ca="1" si="47"/>
        <v>#REF!</v>
      </c>
      <c r="J989" s="226"/>
    </row>
    <row r="990" spans="1:11" hidden="1" x14ac:dyDescent="0.25">
      <c r="A990" s="112" t="s">
        <v>2817</v>
      </c>
      <c r="B990" s="113" t="s">
        <v>2818</v>
      </c>
      <c r="C990" s="114" t="s">
        <v>2651</v>
      </c>
      <c r="D990" s="114">
        <v>0</v>
      </c>
      <c r="E990" s="133" t="s">
        <v>514</v>
      </c>
      <c r="F990" s="134" t="str">
        <f t="shared" si="45"/>
        <v/>
      </c>
      <c r="G990" s="135" t="e">
        <f>IF(A990&lt;&gt;"",IF(AND(#REF!="Padrão",$H$4=#REF!),BDI!$B$17,IF(AND(#REF!="Padrão",$H$4=#REF!),BDI!#REF!,IF(AND(#REF!="Diferenciado",$H$4=#REF!),BDI!$E$17,IF(AND(#REF!="Diferenciado",$H$4=#REF!),BDI!#REF!,IF(#REF!="ZERO",0))))),"")</f>
        <v>#REF!</v>
      </c>
      <c r="H990" s="136" t="str">
        <f t="shared" si="46"/>
        <v/>
      </c>
      <c r="I990" s="134" t="str">
        <f t="shared" si="47"/>
        <v/>
      </c>
      <c r="J990" s="226"/>
    </row>
    <row r="991" spans="1:11" hidden="1" x14ac:dyDescent="0.25">
      <c r="A991" s="112" t="s">
        <v>1069</v>
      </c>
      <c r="B991" s="113" t="s">
        <v>2819</v>
      </c>
      <c r="C991" s="114" t="s">
        <v>2820</v>
      </c>
      <c r="D991" s="114">
        <v>0</v>
      </c>
      <c r="E991" s="133">
        <f ca="1">OFFSET(INDEX(Composições!A:J,MATCH(Orçamentária!A991,Composições!A:A,0),8),2,0)</f>
        <v>3.5413055</v>
      </c>
      <c r="F991" s="134">
        <f t="shared" ca="1" si="45"/>
        <v>0</v>
      </c>
      <c r="G991" s="135" t="e">
        <f>IF(A991&lt;&gt;"",IF(AND(#REF!="Padrão",$H$4=#REF!),BDI!$B$17,IF(AND(#REF!="Padrão",$H$4=#REF!),BDI!#REF!,IF(AND(#REF!="Diferenciado",$H$4=#REF!),BDI!$E$17,IF(AND(#REF!="Diferenciado",$H$4=#REF!),BDI!#REF!,IF(#REF!="ZERO",0))))),"")</f>
        <v>#REF!</v>
      </c>
      <c r="H991" s="136" t="e">
        <f t="shared" ca="1" si="46"/>
        <v>#REF!</v>
      </c>
      <c r="I991" s="134" t="e">
        <f t="shared" ca="1" si="47"/>
        <v>#REF!</v>
      </c>
      <c r="J991" s="226"/>
    </row>
    <row r="992" spans="1:11" hidden="1" x14ac:dyDescent="0.25">
      <c r="A992" s="112" t="s">
        <v>1072</v>
      </c>
      <c r="B992" s="113" t="s">
        <v>2821</v>
      </c>
      <c r="C992" s="114" t="s">
        <v>2812</v>
      </c>
      <c r="D992" s="114">
        <v>0</v>
      </c>
      <c r="E992" s="133">
        <f ca="1">OFFSET(INDEX(Composições!A:J,MATCH(Orçamentária!A992,Composições!A:A,0),8),2,0)</f>
        <v>79.208150000000003</v>
      </c>
      <c r="F992" s="134">
        <f t="shared" ca="1" si="45"/>
        <v>0</v>
      </c>
      <c r="G992" s="135" t="e">
        <f>IF(A992&lt;&gt;"",IF(AND(#REF!="Padrão",$H$4=#REF!),BDI!$B$17,IF(AND(#REF!="Padrão",$H$4=#REF!),BDI!#REF!,IF(AND(#REF!="Diferenciado",$H$4=#REF!),BDI!$E$17,IF(AND(#REF!="Diferenciado",$H$4=#REF!),BDI!#REF!,IF(#REF!="ZERO",0))))),"")</f>
        <v>#REF!</v>
      </c>
      <c r="H992" s="136" t="e">
        <f t="shared" ca="1" si="46"/>
        <v>#REF!</v>
      </c>
      <c r="I992" s="134" t="e">
        <f t="shared" ca="1" si="47"/>
        <v>#REF!</v>
      </c>
      <c r="J992" s="226"/>
    </row>
    <row r="993" spans="1:10" hidden="1" x14ac:dyDescent="0.25">
      <c r="A993" s="112" t="s">
        <v>1073</v>
      </c>
      <c r="B993" s="113" t="s">
        <v>2822</v>
      </c>
      <c r="C993" s="114" t="s">
        <v>2812</v>
      </c>
      <c r="D993" s="114">
        <v>0</v>
      </c>
      <c r="E993" s="133">
        <f ca="1">OFFSET(INDEX(Composições!A:J,MATCH(Orçamentária!A993,Composições!A:A,0),8),2,0)</f>
        <v>5.9733416000000004</v>
      </c>
      <c r="F993" s="134">
        <f t="shared" ca="1" si="45"/>
        <v>0</v>
      </c>
      <c r="G993" s="135" t="e">
        <f>IF(A993&lt;&gt;"",IF(AND(#REF!="Padrão",$H$4=#REF!),BDI!$B$17,IF(AND(#REF!="Padrão",$H$4=#REF!),BDI!#REF!,IF(AND(#REF!="Diferenciado",$H$4=#REF!),BDI!$E$17,IF(AND(#REF!="Diferenciado",$H$4=#REF!),BDI!#REF!,IF(#REF!="ZERO",0))))),"")</f>
        <v>#REF!</v>
      </c>
      <c r="H993" s="136" t="e">
        <f t="shared" ca="1" si="46"/>
        <v>#REF!</v>
      </c>
      <c r="I993" s="134" t="e">
        <f t="shared" ca="1" si="47"/>
        <v>#REF!</v>
      </c>
      <c r="J993" s="226"/>
    </row>
    <row r="994" spans="1:10" hidden="1" x14ac:dyDescent="0.25">
      <c r="A994" s="112" t="s">
        <v>1074</v>
      </c>
      <c r="B994" s="113" t="s">
        <v>2823</v>
      </c>
      <c r="C994" s="114" t="s">
        <v>94</v>
      </c>
      <c r="D994" s="114">
        <v>0</v>
      </c>
      <c r="E994" s="133">
        <f ca="1">OFFSET(INDEX(Composições!A:J,MATCH(Orçamentária!A994,Composições!A:A,0),8),2,0)</f>
        <v>56.006986709913001</v>
      </c>
      <c r="F994" s="134">
        <f t="shared" ca="1" si="45"/>
        <v>0</v>
      </c>
      <c r="G994" s="135" t="e">
        <f>IF(A994&lt;&gt;"",IF(AND(#REF!="Padrão",$H$4=#REF!),BDI!$B$17,IF(AND(#REF!="Padrão",$H$4=#REF!),BDI!#REF!,IF(AND(#REF!="Diferenciado",$H$4=#REF!),BDI!$E$17,IF(AND(#REF!="Diferenciado",$H$4=#REF!),BDI!#REF!,IF(#REF!="ZERO",0))))),"")</f>
        <v>#REF!</v>
      </c>
      <c r="H994" s="136" t="e">
        <f t="shared" ca="1" si="46"/>
        <v>#REF!</v>
      </c>
      <c r="I994" s="134" t="e">
        <f t="shared" ca="1" si="47"/>
        <v>#REF!</v>
      </c>
      <c r="J994" s="226"/>
    </row>
    <row r="995" spans="1:10" hidden="1" x14ac:dyDescent="0.25">
      <c r="A995" s="112" t="s">
        <v>1083</v>
      </c>
      <c r="B995" s="113" t="s">
        <v>2824</v>
      </c>
      <c r="C995" s="114" t="s">
        <v>92</v>
      </c>
      <c r="D995" s="114">
        <v>0</v>
      </c>
      <c r="E995" s="133">
        <f ca="1">OFFSET(INDEX(Composições!A:J,MATCH(Orçamentária!A995,Composições!A:A,0),8),2,0)</f>
        <v>5.1867378000000004</v>
      </c>
      <c r="F995" s="134">
        <f t="shared" ca="1" si="45"/>
        <v>0</v>
      </c>
      <c r="G995" s="135" t="e">
        <f>IF(A995&lt;&gt;"",IF(AND(#REF!="Padrão",$H$4=#REF!),BDI!$B$17,IF(AND(#REF!="Padrão",$H$4=#REF!),BDI!#REF!,IF(AND(#REF!="Diferenciado",$H$4=#REF!),BDI!$E$17,IF(AND(#REF!="Diferenciado",$H$4=#REF!),BDI!#REF!,IF(#REF!="ZERO",0))))),"")</f>
        <v>#REF!</v>
      </c>
      <c r="H995" s="136" t="e">
        <f t="shared" ca="1" si="46"/>
        <v>#REF!</v>
      </c>
      <c r="I995" s="134" t="e">
        <f t="shared" ca="1" si="47"/>
        <v>#REF!</v>
      </c>
      <c r="J995" s="226"/>
    </row>
    <row r="996" spans="1:10" hidden="1" x14ac:dyDescent="0.25">
      <c r="A996" s="112" t="s">
        <v>1087</v>
      </c>
      <c r="B996" s="113" t="s">
        <v>2825</v>
      </c>
      <c r="C996" s="114" t="s">
        <v>92</v>
      </c>
      <c r="D996" s="114">
        <v>0</v>
      </c>
      <c r="E996" s="133">
        <f ca="1">OFFSET(INDEX(Composições!A:J,MATCH(Orçamentária!A996,Composições!A:A,0),8),2,0)</f>
        <v>51.730755455667996</v>
      </c>
      <c r="F996" s="134">
        <f t="shared" ca="1" si="45"/>
        <v>0</v>
      </c>
      <c r="G996" s="135" t="e">
        <f>IF(A996&lt;&gt;"",IF(AND(#REF!="Padrão",$H$4=#REF!),BDI!$B$17,IF(AND(#REF!="Padrão",$H$4=#REF!),BDI!#REF!,IF(AND(#REF!="Diferenciado",$H$4=#REF!),BDI!$E$17,IF(AND(#REF!="Diferenciado",$H$4=#REF!),BDI!#REF!,IF(#REF!="ZERO",0))))),"")</f>
        <v>#REF!</v>
      </c>
      <c r="H996" s="136" t="e">
        <f t="shared" ca="1" si="46"/>
        <v>#REF!</v>
      </c>
      <c r="I996" s="134" t="e">
        <f t="shared" ca="1" si="47"/>
        <v>#REF!</v>
      </c>
      <c r="J996" s="226"/>
    </row>
    <row r="997" spans="1:10" hidden="1" x14ac:dyDescent="0.25">
      <c r="A997" s="112" t="s">
        <v>1089</v>
      </c>
      <c r="B997" s="113" t="s">
        <v>2826</v>
      </c>
      <c r="C997" s="114" t="s">
        <v>92</v>
      </c>
      <c r="D997" s="114">
        <v>0</v>
      </c>
      <c r="E997" s="133">
        <f ca="1">OFFSET(INDEX(Composições!A:J,MATCH(Orçamentária!A997,Composições!A:A,0),8),2,0)</f>
        <v>142.23973645149999</v>
      </c>
      <c r="F997" s="134">
        <f t="shared" ca="1" si="45"/>
        <v>0</v>
      </c>
      <c r="G997" s="135" t="e">
        <f>IF(A997&lt;&gt;"",IF(AND(#REF!="Padrão",$H$4=#REF!),BDI!$B$17,IF(AND(#REF!="Padrão",$H$4=#REF!),BDI!#REF!,IF(AND(#REF!="Diferenciado",$H$4=#REF!),BDI!$E$17,IF(AND(#REF!="Diferenciado",$H$4=#REF!),BDI!#REF!,IF(#REF!="ZERO",0))))),"")</f>
        <v>#REF!</v>
      </c>
      <c r="H997" s="136" t="e">
        <f t="shared" ca="1" si="46"/>
        <v>#REF!</v>
      </c>
      <c r="I997" s="134" t="e">
        <f t="shared" ca="1" si="47"/>
        <v>#REF!</v>
      </c>
      <c r="J997" s="226"/>
    </row>
    <row r="998" spans="1:10" hidden="1" x14ac:dyDescent="0.25">
      <c r="A998" s="112" t="s">
        <v>2827</v>
      </c>
      <c r="B998" s="113" t="s">
        <v>2828</v>
      </c>
      <c r="C998" s="114" t="s">
        <v>94</v>
      </c>
      <c r="D998" s="114">
        <v>0</v>
      </c>
      <c r="E998" s="133" t="s">
        <v>514</v>
      </c>
      <c r="F998" s="134" t="str">
        <f t="shared" si="45"/>
        <v/>
      </c>
      <c r="G998" s="135" t="e">
        <f>IF(A998&lt;&gt;"",IF(AND(#REF!="Padrão",$H$4=#REF!),BDI!$B$17,IF(AND(#REF!="Padrão",$H$4=#REF!),BDI!#REF!,IF(AND(#REF!="Diferenciado",$H$4=#REF!),BDI!$E$17,IF(AND(#REF!="Diferenciado",$H$4=#REF!),BDI!#REF!,IF(#REF!="ZERO",0))))),"")</f>
        <v>#REF!</v>
      </c>
      <c r="H998" s="136" t="str">
        <f t="shared" si="46"/>
        <v/>
      </c>
      <c r="I998" s="134" t="str">
        <f t="shared" si="47"/>
        <v/>
      </c>
      <c r="J998" s="226"/>
    </row>
    <row r="999" spans="1:10" hidden="1" x14ac:dyDescent="0.25">
      <c r="A999" s="112" t="s">
        <v>1095</v>
      </c>
      <c r="B999" s="113" t="s">
        <v>2829</v>
      </c>
      <c r="C999" s="114" t="s">
        <v>20</v>
      </c>
      <c r="D999" s="114">
        <v>0</v>
      </c>
      <c r="E999" s="133">
        <f ca="1">OFFSET(INDEX(Composições!A:J,MATCH(Orçamentária!A999,Composições!A:A,0),8),2,0)</f>
        <v>8.939299933584465</v>
      </c>
      <c r="F999" s="134">
        <f t="shared" ca="1" si="45"/>
        <v>0</v>
      </c>
      <c r="G999" s="135" t="e">
        <f>IF(A999&lt;&gt;"",IF(AND(#REF!="Padrão",$H$4=#REF!),BDI!$B$17,IF(AND(#REF!="Padrão",$H$4=#REF!),BDI!#REF!,IF(AND(#REF!="Diferenciado",$H$4=#REF!),BDI!$E$17,IF(AND(#REF!="Diferenciado",$H$4=#REF!),BDI!#REF!,IF(#REF!="ZERO",0))))),"")</f>
        <v>#REF!</v>
      </c>
      <c r="H999" s="136" t="e">
        <f t="shared" ca="1" si="46"/>
        <v>#REF!</v>
      </c>
      <c r="I999" s="134" t="e">
        <f t="shared" ca="1" si="47"/>
        <v>#REF!</v>
      </c>
      <c r="J999" s="226"/>
    </row>
    <row r="1000" spans="1:10" hidden="1" x14ac:dyDescent="0.25">
      <c r="A1000" s="112" t="s">
        <v>2830</v>
      </c>
      <c r="B1000" s="113" t="s">
        <v>2831</v>
      </c>
      <c r="C1000" s="114" t="s">
        <v>20</v>
      </c>
      <c r="D1000" s="114">
        <v>0</v>
      </c>
      <c r="E1000" s="133" t="s">
        <v>514</v>
      </c>
      <c r="F1000" s="134" t="str">
        <f t="shared" si="45"/>
        <v/>
      </c>
      <c r="G1000" s="135" t="e">
        <f>IF(A1000&lt;&gt;"",IF(AND(#REF!="Padrão",$H$4=#REF!),BDI!$B$17,IF(AND(#REF!="Padrão",$H$4=#REF!),BDI!#REF!,IF(AND(#REF!="Diferenciado",$H$4=#REF!),BDI!$E$17,IF(AND(#REF!="Diferenciado",$H$4=#REF!),BDI!#REF!,IF(#REF!="ZERO",0))))),"")</f>
        <v>#REF!</v>
      </c>
      <c r="H1000" s="136" t="str">
        <f t="shared" si="46"/>
        <v/>
      </c>
      <c r="I1000" s="134" t="str">
        <f t="shared" si="47"/>
        <v/>
      </c>
      <c r="J1000" s="226"/>
    </row>
    <row r="1001" spans="1:10" hidden="1" x14ac:dyDescent="0.25">
      <c r="A1001" s="112" t="s">
        <v>2832</v>
      </c>
      <c r="B1001" s="113" t="s">
        <v>2833</v>
      </c>
      <c r="C1001" s="114" t="s">
        <v>20</v>
      </c>
      <c r="D1001" s="114">
        <v>0</v>
      </c>
      <c r="E1001" s="133" t="s">
        <v>514</v>
      </c>
      <c r="F1001" s="134" t="str">
        <f t="shared" si="45"/>
        <v/>
      </c>
      <c r="G1001" s="135" t="e">
        <f>IF(A1001&lt;&gt;"",IF(AND(#REF!="Padrão",$H$4=#REF!),BDI!$B$17,IF(AND(#REF!="Padrão",$H$4=#REF!),BDI!#REF!,IF(AND(#REF!="Diferenciado",$H$4=#REF!),BDI!$E$17,IF(AND(#REF!="Diferenciado",$H$4=#REF!),BDI!#REF!,IF(#REF!="ZERO",0))))),"")</f>
        <v>#REF!</v>
      </c>
      <c r="H1001" s="136" t="str">
        <f t="shared" si="46"/>
        <v/>
      </c>
      <c r="I1001" s="134" t="str">
        <f t="shared" si="47"/>
        <v/>
      </c>
      <c r="J1001" s="226"/>
    </row>
    <row r="1002" spans="1:10" hidden="1" x14ac:dyDescent="0.25">
      <c r="A1002" s="112" t="s">
        <v>2834</v>
      </c>
      <c r="B1002" s="113" t="s">
        <v>2835</v>
      </c>
      <c r="C1002" s="114" t="s">
        <v>20</v>
      </c>
      <c r="D1002" s="114">
        <v>0</v>
      </c>
      <c r="E1002" s="133" t="s">
        <v>514</v>
      </c>
      <c r="F1002" s="134" t="str">
        <f t="shared" si="45"/>
        <v/>
      </c>
      <c r="G1002" s="135" t="e">
        <f>IF(A1002&lt;&gt;"",IF(AND(#REF!="Padrão",$H$4=#REF!),BDI!$B$17,IF(AND(#REF!="Padrão",$H$4=#REF!),BDI!#REF!,IF(AND(#REF!="Diferenciado",$H$4=#REF!),BDI!$E$17,IF(AND(#REF!="Diferenciado",$H$4=#REF!),BDI!#REF!,IF(#REF!="ZERO",0))))),"")</f>
        <v>#REF!</v>
      </c>
      <c r="H1002" s="136" t="str">
        <f t="shared" si="46"/>
        <v/>
      </c>
      <c r="I1002" s="134" t="str">
        <f t="shared" si="47"/>
        <v/>
      </c>
      <c r="J1002" s="226"/>
    </row>
    <row r="1003" spans="1:10" hidden="1" x14ac:dyDescent="0.25">
      <c r="A1003" s="112" t="s">
        <v>2836</v>
      </c>
      <c r="B1003" s="113" t="s">
        <v>2837</v>
      </c>
      <c r="C1003" s="114" t="s">
        <v>2838</v>
      </c>
      <c r="D1003" s="114">
        <v>0</v>
      </c>
      <c r="E1003" s="133" t="s">
        <v>514</v>
      </c>
      <c r="F1003" s="134" t="str">
        <f t="shared" si="45"/>
        <v/>
      </c>
      <c r="G1003" s="135" t="e">
        <f>IF(A1003&lt;&gt;"",IF(AND(#REF!="Padrão",$H$4=#REF!),BDI!$B$17,IF(AND(#REF!="Padrão",$H$4=#REF!),BDI!#REF!,IF(AND(#REF!="Diferenciado",$H$4=#REF!),BDI!$E$17,IF(AND(#REF!="Diferenciado",$H$4=#REF!),BDI!#REF!,IF(#REF!="ZERO",0))))),"")</f>
        <v>#REF!</v>
      </c>
      <c r="H1003" s="136" t="str">
        <f t="shared" si="46"/>
        <v/>
      </c>
      <c r="I1003" s="134" t="str">
        <f t="shared" si="47"/>
        <v/>
      </c>
      <c r="J1003" s="226"/>
    </row>
    <row r="1004" spans="1:10" hidden="1" x14ac:dyDescent="0.25">
      <c r="A1004" s="112" t="s">
        <v>2839</v>
      </c>
      <c r="B1004" s="113" t="s">
        <v>2840</v>
      </c>
      <c r="C1004" s="114" t="s">
        <v>20</v>
      </c>
      <c r="D1004" s="114">
        <v>0</v>
      </c>
      <c r="E1004" s="133" t="s">
        <v>514</v>
      </c>
      <c r="F1004" s="134" t="str">
        <f t="shared" si="45"/>
        <v/>
      </c>
      <c r="G1004" s="135" t="e">
        <f>IF(A1004&lt;&gt;"",IF(AND(#REF!="Padrão",$H$4=#REF!),BDI!$B$17,IF(AND(#REF!="Padrão",$H$4=#REF!),BDI!#REF!,IF(AND(#REF!="Diferenciado",$H$4=#REF!),BDI!$E$17,IF(AND(#REF!="Diferenciado",$H$4=#REF!),BDI!#REF!,IF(#REF!="ZERO",0))))),"")</f>
        <v>#REF!</v>
      </c>
      <c r="H1004" s="136" t="str">
        <f t="shared" si="46"/>
        <v/>
      </c>
      <c r="I1004" s="134" t="str">
        <f t="shared" si="47"/>
        <v/>
      </c>
      <c r="J1004" s="226"/>
    </row>
    <row r="1005" spans="1:10" hidden="1" x14ac:dyDescent="0.25">
      <c r="A1005" s="112" t="s">
        <v>2841</v>
      </c>
      <c r="B1005" s="113" t="s">
        <v>2842</v>
      </c>
      <c r="C1005" s="114" t="s">
        <v>92</v>
      </c>
      <c r="D1005" s="114">
        <v>0</v>
      </c>
      <c r="E1005" s="133" t="s">
        <v>514</v>
      </c>
      <c r="F1005" s="134" t="str">
        <f t="shared" si="45"/>
        <v/>
      </c>
      <c r="G1005" s="135" t="e">
        <f>IF(A1005&lt;&gt;"",IF(AND(#REF!="Padrão",$H$4=#REF!),BDI!$B$17,IF(AND(#REF!="Padrão",$H$4=#REF!),BDI!#REF!,IF(AND(#REF!="Diferenciado",$H$4=#REF!),BDI!$E$17,IF(AND(#REF!="Diferenciado",$H$4=#REF!),BDI!#REF!,IF(#REF!="ZERO",0))))),"")</f>
        <v>#REF!</v>
      </c>
      <c r="H1005" s="136" t="str">
        <f t="shared" si="46"/>
        <v/>
      </c>
      <c r="I1005" s="134" t="str">
        <f t="shared" si="47"/>
        <v/>
      </c>
      <c r="J1005" s="226"/>
    </row>
    <row r="1006" spans="1:10" hidden="1" x14ac:dyDescent="0.25">
      <c r="A1006" s="112" t="s">
        <v>1097</v>
      </c>
      <c r="B1006" s="113" t="s">
        <v>2843</v>
      </c>
      <c r="C1006" s="114" t="s">
        <v>2844</v>
      </c>
      <c r="D1006" s="114">
        <v>0</v>
      </c>
      <c r="E1006" s="133">
        <f ca="1">OFFSET(INDEX(Composições!A:J,MATCH(Orçamentária!A1006,Composições!A:A,0),8),2,0)</f>
        <v>1021.25</v>
      </c>
      <c r="F1006" s="134">
        <f t="shared" ca="1" si="45"/>
        <v>0</v>
      </c>
      <c r="G1006" s="135" t="e">
        <f>IF(A1006&lt;&gt;"",IF(AND(#REF!="Padrão",$H$4=#REF!),BDI!$B$17,IF(AND(#REF!="Padrão",$H$4=#REF!),BDI!#REF!,IF(AND(#REF!="Diferenciado",$H$4=#REF!),BDI!$E$17,IF(AND(#REF!="Diferenciado",$H$4=#REF!),BDI!#REF!,IF(#REF!="ZERO",0))))),"")</f>
        <v>#REF!</v>
      </c>
      <c r="H1006" s="136" t="e">
        <f t="shared" ca="1" si="46"/>
        <v>#REF!</v>
      </c>
      <c r="I1006" s="134" t="e">
        <f t="shared" ca="1" si="47"/>
        <v>#REF!</v>
      </c>
      <c r="J1006" s="226"/>
    </row>
    <row r="1007" spans="1:10" hidden="1" x14ac:dyDescent="0.25">
      <c r="A1007" s="112" t="s">
        <v>2845</v>
      </c>
      <c r="B1007" s="113" t="s">
        <v>2846</v>
      </c>
      <c r="C1007" s="114" t="s">
        <v>92</v>
      </c>
      <c r="D1007" s="114">
        <v>0</v>
      </c>
      <c r="E1007" s="133" t="s">
        <v>514</v>
      </c>
      <c r="F1007" s="134" t="str">
        <f t="shared" si="45"/>
        <v/>
      </c>
      <c r="G1007" s="135" t="e">
        <f>IF(A1007&lt;&gt;"",IF(AND(#REF!="Padrão",$H$4=#REF!),BDI!$B$17,IF(AND(#REF!="Padrão",$H$4=#REF!),BDI!#REF!,IF(AND(#REF!="Diferenciado",$H$4=#REF!),BDI!$E$17,IF(AND(#REF!="Diferenciado",$H$4=#REF!),BDI!#REF!,IF(#REF!="ZERO",0))))),"")</f>
        <v>#REF!</v>
      </c>
      <c r="H1007" s="136" t="str">
        <f t="shared" si="46"/>
        <v/>
      </c>
      <c r="I1007" s="134" t="str">
        <f t="shared" si="47"/>
        <v/>
      </c>
      <c r="J1007" s="226"/>
    </row>
    <row r="1008" spans="1:10" hidden="1" x14ac:dyDescent="0.25">
      <c r="A1008" s="112" t="s">
        <v>2847</v>
      </c>
      <c r="B1008" s="113" t="s">
        <v>3728</v>
      </c>
      <c r="C1008" s="114" t="s">
        <v>94</v>
      </c>
      <c r="D1008" s="114">
        <v>0</v>
      </c>
      <c r="E1008" s="133" t="s">
        <v>514</v>
      </c>
      <c r="F1008" s="134" t="str">
        <f t="shared" si="45"/>
        <v/>
      </c>
      <c r="G1008" s="135" t="e">
        <f>IF(A1008&lt;&gt;"",IF(AND(#REF!="Padrão",$H$4=#REF!),BDI!$B$17,IF(AND(#REF!="Padrão",$H$4=#REF!),BDI!#REF!,IF(AND(#REF!="Diferenciado",$H$4=#REF!),BDI!$E$17,IF(AND(#REF!="Diferenciado",$H$4=#REF!),BDI!#REF!,IF(#REF!="ZERO",0))))),"")</f>
        <v>#REF!</v>
      </c>
      <c r="H1008" s="136" t="str">
        <f t="shared" si="46"/>
        <v/>
      </c>
      <c r="I1008" s="134" t="str">
        <f t="shared" si="47"/>
        <v/>
      </c>
      <c r="J1008" s="226"/>
    </row>
    <row r="1009" spans="1:11" hidden="1" x14ac:dyDescent="0.25">
      <c r="A1009" s="112" t="s">
        <v>2848</v>
      </c>
      <c r="B1009" s="113" t="s">
        <v>2849</v>
      </c>
      <c r="C1009" s="114" t="s">
        <v>94</v>
      </c>
      <c r="D1009" s="114">
        <v>0</v>
      </c>
      <c r="E1009" s="133" t="s">
        <v>514</v>
      </c>
      <c r="F1009" s="134" t="str">
        <f t="shared" si="45"/>
        <v/>
      </c>
      <c r="G1009" s="135" t="e">
        <f>IF(A1009&lt;&gt;"",IF(AND(#REF!="Padrão",$H$4=#REF!),BDI!$B$17,IF(AND(#REF!="Padrão",$H$4=#REF!),BDI!#REF!,IF(AND(#REF!="Diferenciado",$H$4=#REF!),BDI!$E$17,IF(AND(#REF!="Diferenciado",$H$4=#REF!),BDI!#REF!,IF(#REF!="ZERO",0))))),"")</f>
        <v>#REF!</v>
      </c>
      <c r="H1009" s="136" t="str">
        <f t="shared" si="46"/>
        <v/>
      </c>
      <c r="I1009" s="134" t="str">
        <f t="shared" si="47"/>
        <v/>
      </c>
      <c r="J1009" s="226"/>
    </row>
    <row r="1010" spans="1:11" hidden="1" x14ac:dyDescent="0.25">
      <c r="A1010" s="112" t="s">
        <v>2850</v>
      </c>
      <c r="B1010" s="113" t="s">
        <v>3729</v>
      </c>
      <c r="C1010" s="114" t="s">
        <v>94</v>
      </c>
      <c r="D1010" s="114">
        <v>0</v>
      </c>
      <c r="E1010" s="133" t="s">
        <v>514</v>
      </c>
      <c r="F1010" s="134" t="str">
        <f t="shared" si="45"/>
        <v/>
      </c>
      <c r="G1010" s="135" t="e">
        <f>IF(A1010&lt;&gt;"",IF(AND(#REF!="Padrão",$H$4=#REF!),BDI!$B$17,IF(AND(#REF!="Padrão",$H$4=#REF!),BDI!#REF!,IF(AND(#REF!="Diferenciado",$H$4=#REF!),BDI!$E$17,IF(AND(#REF!="Diferenciado",$H$4=#REF!),BDI!#REF!,IF(#REF!="ZERO",0))))),"")</f>
        <v>#REF!</v>
      </c>
      <c r="H1010" s="136" t="str">
        <f t="shared" si="46"/>
        <v/>
      </c>
      <c r="I1010" s="134" t="str">
        <f t="shared" si="47"/>
        <v/>
      </c>
      <c r="J1010" s="226"/>
    </row>
    <row r="1011" spans="1:11" hidden="1" x14ac:dyDescent="0.25">
      <c r="A1011" s="112" t="s">
        <v>2851</v>
      </c>
      <c r="B1011" s="113" t="s">
        <v>2852</v>
      </c>
      <c r="C1011" s="114" t="s">
        <v>94</v>
      </c>
      <c r="D1011" s="114">
        <v>0</v>
      </c>
      <c r="E1011" s="133" t="s">
        <v>514</v>
      </c>
      <c r="F1011" s="134" t="str">
        <f t="shared" si="45"/>
        <v/>
      </c>
      <c r="G1011" s="135" t="e">
        <f>IF(A1011&lt;&gt;"",IF(AND(#REF!="Padrão",$H$4=#REF!),BDI!$B$17,IF(AND(#REF!="Padrão",$H$4=#REF!),BDI!#REF!,IF(AND(#REF!="Diferenciado",$H$4=#REF!),BDI!$E$17,IF(AND(#REF!="Diferenciado",$H$4=#REF!),BDI!#REF!,IF(#REF!="ZERO",0))))),"")</f>
        <v>#REF!</v>
      </c>
      <c r="H1011" s="136" t="str">
        <f t="shared" si="46"/>
        <v/>
      </c>
      <c r="I1011" s="134" t="str">
        <f t="shared" si="47"/>
        <v/>
      </c>
      <c r="J1011" s="226"/>
    </row>
    <row r="1012" spans="1:11" hidden="1" x14ac:dyDescent="0.25">
      <c r="A1012" s="112" t="s">
        <v>2853</v>
      </c>
      <c r="B1012" s="113" t="s">
        <v>2854</v>
      </c>
      <c r="C1012" s="114" t="s">
        <v>94</v>
      </c>
      <c r="D1012" s="114">
        <v>0</v>
      </c>
      <c r="E1012" s="133" t="s">
        <v>514</v>
      </c>
      <c r="F1012" s="134" t="str">
        <f t="shared" si="45"/>
        <v/>
      </c>
      <c r="G1012" s="135" t="e">
        <f>IF(A1012&lt;&gt;"",IF(AND(#REF!="Padrão",$H$4=#REF!),BDI!$B$17,IF(AND(#REF!="Padrão",$H$4=#REF!),BDI!#REF!,IF(AND(#REF!="Diferenciado",$H$4=#REF!),BDI!$E$17,IF(AND(#REF!="Diferenciado",$H$4=#REF!),BDI!#REF!,IF(#REF!="ZERO",0))))),"")</f>
        <v>#REF!</v>
      </c>
      <c r="H1012" s="136" t="str">
        <f t="shared" si="46"/>
        <v/>
      </c>
      <c r="I1012" s="134" t="str">
        <f t="shared" si="47"/>
        <v/>
      </c>
      <c r="J1012" s="226"/>
    </row>
    <row r="1013" spans="1:11" hidden="1" x14ac:dyDescent="0.25">
      <c r="A1013" s="112" t="s">
        <v>2855</v>
      </c>
      <c r="B1013" s="113" t="s">
        <v>2856</v>
      </c>
      <c r="C1013" s="114" t="s">
        <v>20</v>
      </c>
      <c r="D1013" s="114">
        <v>0</v>
      </c>
      <c r="E1013" s="133" t="s">
        <v>514</v>
      </c>
      <c r="F1013" s="134" t="str">
        <f t="shared" si="45"/>
        <v/>
      </c>
      <c r="G1013" s="135" t="e">
        <f>IF(A1013&lt;&gt;"",IF(AND(#REF!="Padrão",$H$4=#REF!),BDI!$B$17,IF(AND(#REF!="Padrão",$H$4=#REF!),BDI!#REF!,IF(AND(#REF!="Diferenciado",$H$4=#REF!),BDI!$E$17,IF(AND(#REF!="Diferenciado",$H$4=#REF!),BDI!#REF!,IF(#REF!="ZERO",0))))),"")</f>
        <v>#REF!</v>
      </c>
      <c r="H1013" s="136" t="str">
        <f t="shared" si="46"/>
        <v/>
      </c>
      <c r="I1013" s="134" t="str">
        <f t="shared" si="47"/>
        <v/>
      </c>
      <c r="J1013" s="226"/>
    </row>
    <row r="1014" spans="1:11" hidden="1" x14ac:dyDescent="0.25">
      <c r="A1014" s="112" t="s">
        <v>2857</v>
      </c>
      <c r="B1014" s="113" t="s">
        <v>2858</v>
      </c>
      <c r="C1014" s="114" t="s">
        <v>2820</v>
      </c>
      <c r="D1014" s="114">
        <v>0</v>
      </c>
      <c r="E1014" s="133" t="s">
        <v>514</v>
      </c>
      <c r="F1014" s="134" t="str">
        <f t="shared" si="45"/>
        <v/>
      </c>
      <c r="G1014" s="135" t="e">
        <f>IF(A1014&lt;&gt;"",IF(AND(#REF!="Padrão",$H$4=#REF!),BDI!$B$17,IF(AND(#REF!="Padrão",$H$4=#REF!),BDI!#REF!,IF(AND(#REF!="Diferenciado",$H$4=#REF!),BDI!$E$17,IF(AND(#REF!="Diferenciado",$H$4=#REF!),BDI!#REF!,IF(#REF!="ZERO",0))))),"")</f>
        <v>#REF!</v>
      </c>
      <c r="H1014" s="136" t="str">
        <f t="shared" si="46"/>
        <v/>
      </c>
      <c r="I1014" s="134" t="str">
        <f t="shared" si="47"/>
        <v/>
      </c>
      <c r="J1014" s="226"/>
    </row>
    <row r="1015" spans="1:11" hidden="1" x14ac:dyDescent="0.25">
      <c r="A1015" s="112" t="s">
        <v>2859</v>
      </c>
      <c r="B1015" s="113" t="s">
        <v>2860</v>
      </c>
      <c r="C1015" s="114" t="s">
        <v>20</v>
      </c>
      <c r="D1015" s="114">
        <v>0</v>
      </c>
      <c r="E1015" s="133" t="s">
        <v>514</v>
      </c>
      <c r="F1015" s="134" t="str">
        <f t="shared" si="45"/>
        <v/>
      </c>
      <c r="G1015" s="135" t="e">
        <f>IF(A1015&lt;&gt;"",IF(AND(#REF!="Padrão",$H$4=#REF!),BDI!$B$17,IF(AND(#REF!="Padrão",$H$4=#REF!),BDI!#REF!,IF(AND(#REF!="Diferenciado",$H$4=#REF!),BDI!$E$17,IF(AND(#REF!="Diferenciado",$H$4=#REF!),BDI!#REF!,IF(#REF!="ZERO",0))))),"")</f>
        <v>#REF!</v>
      </c>
      <c r="H1015" s="136" t="str">
        <f t="shared" si="46"/>
        <v/>
      </c>
      <c r="I1015" s="134" t="str">
        <f t="shared" si="47"/>
        <v/>
      </c>
      <c r="J1015" s="226"/>
    </row>
    <row r="1016" spans="1:11" hidden="1" x14ac:dyDescent="0.25">
      <c r="A1016" s="112" t="s">
        <v>1098</v>
      </c>
      <c r="B1016" s="113" t="s">
        <v>2861</v>
      </c>
      <c r="C1016" s="114" t="s">
        <v>92</v>
      </c>
      <c r="D1016" s="114">
        <v>0</v>
      </c>
      <c r="E1016" s="133">
        <f ca="1">OFFSET(INDEX(Composições!A:J,MATCH(Orçamentária!A1016,Composições!A:A,0),8),2,0)</f>
        <v>41.397536537272003</v>
      </c>
      <c r="F1016" s="134">
        <f t="shared" ca="1" si="45"/>
        <v>0</v>
      </c>
      <c r="G1016" s="135" t="e">
        <f>IF(A1016&lt;&gt;"",IF(AND(#REF!="Padrão",$H$4=#REF!),BDI!$B$17,IF(AND(#REF!="Padrão",$H$4=#REF!),BDI!#REF!,IF(AND(#REF!="Diferenciado",$H$4=#REF!),BDI!$E$17,IF(AND(#REF!="Diferenciado",$H$4=#REF!),BDI!#REF!,IF(#REF!="ZERO",0))))),"")</f>
        <v>#REF!</v>
      </c>
      <c r="H1016" s="136" t="e">
        <f t="shared" ca="1" si="46"/>
        <v>#REF!</v>
      </c>
      <c r="I1016" s="134" t="e">
        <f t="shared" ca="1" si="47"/>
        <v>#REF!</v>
      </c>
      <c r="J1016" s="226"/>
    </row>
    <row r="1017" spans="1:11" hidden="1" x14ac:dyDescent="0.25">
      <c r="A1017" s="112" t="s">
        <v>1101</v>
      </c>
      <c r="B1017" s="113" t="s">
        <v>2862</v>
      </c>
      <c r="C1017" s="114" t="s">
        <v>94</v>
      </c>
      <c r="D1017" s="114">
        <v>0</v>
      </c>
      <c r="E1017" s="133">
        <f ca="1">OFFSET(INDEX(Composições!A:J,MATCH(Orçamentária!A1017,Composições!A:A,0),8),2,0)</f>
        <v>10.002531000000001</v>
      </c>
      <c r="F1017" s="134">
        <f t="shared" ca="1" si="45"/>
        <v>0</v>
      </c>
      <c r="G1017" s="135" t="e">
        <f>IF(A1017&lt;&gt;"",IF(AND(#REF!="Padrão",$H$4=#REF!),BDI!$B$17,IF(AND(#REF!="Padrão",$H$4=#REF!),BDI!#REF!,IF(AND(#REF!="Diferenciado",$H$4=#REF!),BDI!$E$17,IF(AND(#REF!="Diferenciado",$H$4=#REF!),BDI!#REF!,IF(#REF!="ZERO",0))))),"")</f>
        <v>#REF!</v>
      </c>
      <c r="H1017" s="136" t="e">
        <f t="shared" ca="1" si="46"/>
        <v>#REF!</v>
      </c>
      <c r="I1017" s="134" t="e">
        <f t="shared" ca="1" si="47"/>
        <v>#REF!</v>
      </c>
      <c r="J1017" s="226"/>
    </row>
    <row r="1018" spans="1:11" hidden="1" x14ac:dyDescent="0.25">
      <c r="A1018" s="112" t="s">
        <v>1102</v>
      </c>
      <c r="B1018" s="113" t="s">
        <v>2863</v>
      </c>
      <c r="C1018" s="114" t="s">
        <v>94</v>
      </c>
      <c r="D1018" s="114">
        <v>0</v>
      </c>
      <c r="E1018" s="133">
        <f ca="1">OFFSET(INDEX(Composições!A:J,MATCH(Orçamentária!A1018,Composições!A:A,0),8),2,0)</f>
        <v>20.460149999999999</v>
      </c>
      <c r="F1018" s="134">
        <f t="shared" ca="1" si="45"/>
        <v>0</v>
      </c>
      <c r="G1018" s="135" t="e">
        <f>IF(A1018&lt;&gt;"",IF(AND(#REF!="Padrão",$H$4=#REF!),BDI!$B$17,IF(AND(#REF!="Padrão",$H$4=#REF!),BDI!#REF!,IF(AND(#REF!="Diferenciado",$H$4=#REF!),BDI!$E$17,IF(AND(#REF!="Diferenciado",$H$4=#REF!),BDI!#REF!,IF(#REF!="ZERO",0))))),"")</f>
        <v>#REF!</v>
      </c>
      <c r="H1018" s="136" t="e">
        <f t="shared" ca="1" si="46"/>
        <v>#REF!</v>
      </c>
      <c r="I1018" s="134" t="e">
        <f t="shared" ca="1" si="47"/>
        <v>#REF!</v>
      </c>
      <c r="J1018" s="226"/>
    </row>
    <row r="1019" spans="1:11" s="161" customFormat="1" hidden="1" x14ac:dyDescent="0.25">
      <c r="A1019" s="162" t="s">
        <v>1106</v>
      </c>
      <c r="B1019" s="163" t="s">
        <v>2864</v>
      </c>
      <c r="C1019" s="164" t="s">
        <v>94</v>
      </c>
      <c r="D1019" s="164">
        <v>300</v>
      </c>
      <c r="E1019" s="133">
        <f ca="1">OFFSET(INDEX(Composições!A:J,MATCH(Orçamentária!A1019,Composições!A:A,0),8),2,0)</f>
        <v>112.3913175</v>
      </c>
      <c r="F1019" s="134">
        <f t="shared" ca="1" si="45"/>
        <v>33717.395250000001</v>
      </c>
      <c r="G1019" s="135">
        <f>BDI!$B$17</f>
        <v>0.191</v>
      </c>
      <c r="H1019" s="136">
        <f t="shared" ca="1" si="46"/>
        <v>133.86000000000001</v>
      </c>
      <c r="I1019" s="182">
        <f t="shared" ca="1" si="47"/>
        <v>40158</v>
      </c>
      <c r="J1019" s="226"/>
      <c r="K1019" s="224" t="s">
        <v>8074</v>
      </c>
    </row>
    <row r="1020" spans="1:11" hidden="1" x14ac:dyDescent="0.25">
      <c r="A1020" s="112" t="s">
        <v>2865</v>
      </c>
      <c r="B1020" s="113" t="s">
        <v>2866</v>
      </c>
      <c r="C1020" s="114" t="s">
        <v>20</v>
      </c>
      <c r="D1020" s="114">
        <v>0</v>
      </c>
      <c r="E1020" s="133" t="s">
        <v>514</v>
      </c>
      <c r="F1020" s="134" t="str">
        <f t="shared" si="45"/>
        <v/>
      </c>
      <c r="G1020" s="135" t="e">
        <f>IF(A1020&lt;&gt;"",IF(AND(#REF!="Padrão",$H$4=#REF!),BDI!$B$17,IF(AND(#REF!="Padrão",$H$4=#REF!),BDI!#REF!,IF(AND(#REF!="Diferenciado",$H$4=#REF!),BDI!$E$17,IF(AND(#REF!="Diferenciado",$H$4=#REF!),BDI!#REF!,IF(#REF!="ZERO",0))))),"")</f>
        <v>#REF!</v>
      </c>
      <c r="H1020" s="136" t="str">
        <f t="shared" si="46"/>
        <v/>
      </c>
      <c r="I1020" s="134" t="str">
        <f t="shared" si="47"/>
        <v/>
      </c>
      <c r="J1020" s="226"/>
    </row>
    <row r="1021" spans="1:11" hidden="1" x14ac:dyDescent="0.25">
      <c r="A1021" s="112" t="s">
        <v>2867</v>
      </c>
      <c r="B1021" s="113" t="s">
        <v>2868</v>
      </c>
      <c r="C1021" s="114" t="s">
        <v>20</v>
      </c>
      <c r="D1021" s="114">
        <v>0</v>
      </c>
      <c r="E1021" s="133" t="s">
        <v>514</v>
      </c>
      <c r="F1021" s="134" t="str">
        <f t="shared" si="45"/>
        <v/>
      </c>
      <c r="G1021" s="135" t="e">
        <f>IF(A1021&lt;&gt;"",IF(AND(#REF!="Padrão",$H$4=#REF!),BDI!$B$17,IF(AND(#REF!="Padrão",$H$4=#REF!),BDI!#REF!,IF(AND(#REF!="Diferenciado",$H$4=#REF!),BDI!$E$17,IF(AND(#REF!="Diferenciado",$H$4=#REF!),BDI!#REF!,IF(#REF!="ZERO",0))))),"")</f>
        <v>#REF!</v>
      </c>
      <c r="H1021" s="136" t="str">
        <f t="shared" si="46"/>
        <v/>
      </c>
      <c r="I1021" s="134" t="str">
        <f t="shared" si="47"/>
        <v/>
      </c>
      <c r="J1021" s="226"/>
    </row>
    <row r="1022" spans="1:11" hidden="1" x14ac:dyDescent="0.25">
      <c r="A1022" s="112" t="s">
        <v>2869</v>
      </c>
      <c r="B1022" s="113" t="s">
        <v>2870</v>
      </c>
      <c r="C1022" s="114" t="s">
        <v>20</v>
      </c>
      <c r="D1022" s="114">
        <v>0</v>
      </c>
      <c r="E1022" s="133" t="s">
        <v>514</v>
      </c>
      <c r="F1022" s="134" t="str">
        <f t="shared" si="45"/>
        <v/>
      </c>
      <c r="G1022" s="135" t="e">
        <f>IF(A1022&lt;&gt;"",IF(AND(#REF!="Padrão",$H$4=#REF!),BDI!$B$17,IF(AND(#REF!="Padrão",$H$4=#REF!),BDI!#REF!,IF(AND(#REF!="Diferenciado",$H$4=#REF!),BDI!$E$17,IF(AND(#REF!="Diferenciado",$H$4=#REF!),BDI!#REF!,IF(#REF!="ZERO",0))))),"")</f>
        <v>#REF!</v>
      </c>
      <c r="H1022" s="136" t="str">
        <f t="shared" si="46"/>
        <v/>
      </c>
      <c r="I1022" s="134" t="str">
        <f t="shared" si="47"/>
        <v/>
      </c>
      <c r="J1022" s="226"/>
    </row>
    <row r="1023" spans="1:11" ht="25.5" hidden="1" x14ac:dyDescent="0.25">
      <c r="A1023" s="112" t="s">
        <v>2871</v>
      </c>
      <c r="B1023" s="113" t="s">
        <v>2872</v>
      </c>
      <c r="C1023" s="114" t="s">
        <v>20</v>
      </c>
      <c r="D1023" s="114">
        <v>0</v>
      </c>
      <c r="E1023" s="133" t="s">
        <v>514</v>
      </c>
      <c r="F1023" s="134" t="str">
        <f t="shared" si="45"/>
        <v/>
      </c>
      <c r="G1023" s="135" t="e">
        <f>IF(A1023&lt;&gt;"",IF(AND(#REF!="Padrão",$H$4=#REF!),BDI!$B$17,IF(AND(#REF!="Padrão",$H$4=#REF!),BDI!#REF!,IF(AND(#REF!="Diferenciado",$H$4=#REF!),BDI!$E$17,IF(AND(#REF!="Diferenciado",$H$4=#REF!),BDI!#REF!,IF(#REF!="ZERO",0))))),"")</f>
        <v>#REF!</v>
      </c>
      <c r="H1023" s="136" t="str">
        <f t="shared" si="46"/>
        <v/>
      </c>
      <c r="I1023" s="134" t="str">
        <f t="shared" si="47"/>
        <v/>
      </c>
      <c r="J1023" s="226"/>
    </row>
    <row r="1024" spans="1:11" ht="25.5" hidden="1" x14ac:dyDescent="0.25">
      <c r="A1024" s="112" t="s">
        <v>2873</v>
      </c>
      <c r="B1024" s="113" t="s">
        <v>2874</v>
      </c>
      <c r="C1024" s="114" t="s">
        <v>20</v>
      </c>
      <c r="D1024" s="114">
        <v>0</v>
      </c>
      <c r="E1024" s="133" t="s">
        <v>514</v>
      </c>
      <c r="F1024" s="134" t="str">
        <f t="shared" si="45"/>
        <v/>
      </c>
      <c r="G1024" s="135" t="e">
        <f>IF(A1024&lt;&gt;"",IF(AND(#REF!="Padrão",$H$4=#REF!),BDI!$B$17,IF(AND(#REF!="Padrão",$H$4=#REF!),BDI!#REF!,IF(AND(#REF!="Diferenciado",$H$4=#REF!),BDI!$E$17,IF(AND(#REF!="Diferenciado",$H$4=#REF!),BDI!#REF!,IF(#REF!="ZERO",0))))),"")</f>
        <v>#REF!</v>
      </c>
      <c r="H1024" s="136" t="str">
        <f t="shared" si="46"/>
        <v/>
      </c>
      <c r="I1024" s="134" t="str">
        <f t="shared" si="47"/>
        <v/>
      </c>
      <c r="J1024" s="226"/>
    </row>
    <row r="1025" spans="1:10" ht="25.5" hidden="1" x14ac:dyDescent="0.25">
      <c r="A1025" s="112" t="s">
        <v>2875</v>
      </c>
      <c r="B1025" s="113" t="s">
        <v>2876</v>
      </c>
      <c r="C1025" s="114" t="s">
        <v>20</v>
      </c>
      <c r="D1025" s="114">
        <v>0</v>
      </c>
      <c r="E1025" s="133" t="s">
        <v>514</v>
      </c>
      <c r="F1025" s="134" t="str">
        <f t="shared" si="45"/>
        <v/>
      </c>
      <c r="G1025" s="135" t="e">
        <f>IF(A1025&lt;&gt;"",IF(AND(#REF!="Padrão",$H$4=#REF!),BDI!$B$17,IF(AND(#REF!="Padrão",$H$4=#REF!),BDI!#REF!,IF(AND(#REF!="Diferenciado",$H$4=#REF!),BDI!$E$17,IF(AND(#REF!="Diferenciado",$H$4=#REF!),BDI!#REF!,IF(#REF!="ZERO",0))))),"")</f>
        <v>#REF!</v>
      </c>
      <c r="H1025" s="136" t="str">
        <f t="shared" si="46"/>
        <v/>
      </c>
      <c r="I1025" s="134" t="str">
        <f t="shared" si="47"/>
        <v/>
      </c>
      <c r="J1025" s="226"/>
    </row>
    <row r="1026" spans="1:10" hidden="1" x14ac:dyDescent="0.25">
      <c r="A1026" s="112" t="s">
        <v>2877</v>
      </c>
      <c r="B1026" s="113" t="s">
        <v>2878</v>
      </c>
      <c r="C1026" s="114" t="s">
        <v>20</v>
      </c>
      <c r="D1026" s="114">
        <v>0</v>
      </c>
      <c r="E1026" s="133" t="s">
        <v>514</v>
      </c>
      <c r="F1026" s="134" t="str">
        <f t="shared" si="45"/>
        <v/>
      </c>
      <c r="G1026" s="135" t="e">
        <f>IF(A1026&lt;&gt;"",IF(AND(#REF!="Padrão",$H$4=#REF!),BDI!$B$17,IF(AND(#REF!="Padrão",$H$4=#REF!),BDI!#REF!,IF(AND(#REF!="Diferenciado",$H$4=#REF!),BDI!$E$17,IF(AND(#REF!="Diferenciado",$H$4=#REF!),BDI!#REF!,IF(#REF!="ZERO",0))))),"")</f>
        <v>#REF!</v>
      </c>
      <c r="H1026" s="136" t="str">
        <f t="shared" si="46"/>
        <v/>
      </c>
      <c r="I1026" s="134" t="str">
        <f t="shared" si="47"/>
        <v/>
      </c>
      <c r="J1026" s="226"/>
    </row>
    <row r="1027" spans="1:10" hidden="1" x14ac:dyDescent="0.25">
      <c r="A1027" s="112" t="s">
        <v>2879</v>
      </c>
      <c r="B1027" s="113" t="s">
        <v>2880</v>
      </c>
      <c r="C1027" s="114" t="s">
        <v>92</v>
      </c>
      <c r="D1027" s="114">
        <v>0</v>
      </c>
      <c r="E1027" s="133" t="s">
        <v>514</v>
      </c>
      <c r="F1027" s="134" t="str">
        <f t="shared" si="45"/>
        <v/>
      </c>
      <c r="G1027" s="135" t="e">
        <f>IF(A1027&lt;&gt;"",IF(AND(#REF!="Padrão",$H$4=#REF!),BDI!$B$17,IF(AND(#REF!="Padrão",$H$4=#REF!),BDI!#REF!,IF(AND(#REF!="Diferenciado",$H$4=#REF!),BDI!$E$17,IF(AND(#REF!="Diferenciado",$H$4=#REF!),BDI!#REF!,IF(#REF!="ZERO",0))))),"")</f>
        <v>#REF!</v>
      </c>
      <c r="H1027" s="136" t="str">
        <f t="shared" si="46"/>
        <v/>
      </c>
      <c r="I1027" s="134" t="str">
        <f t="shared" si="47"/>
        <v/>
      </c>
      <c r="J1027" s="226"/>
    </row>
    <row r="1028" spans="1:10" hidden="1" x14ac:dyDescent="0.25">
      <c r="A1028" s="112" t="s">
        <v>2881</v>
      </c>
      <c r="B1028" s="113" t="s">
        <v>2882</v>
      </c>
      <c r="C1028" s="114" t="s">
        <v>92</v>
      </c>
      <c r="D1028" s="114">
        <v>0</v>
      </c>
      <c r="E1028" s="133" t="s">
        <v>514</v>
      </c>
      <c r="F1028" s="134" t="str">
        <f t="shared" si="45"/>
        <v/>
      </c>
      <c r="G1028" s="135" t="e">
        <f>IF(A1028&lt;&gt;"",IF(AND(#REF!="Padrão",$H$4=#REF!),BDI!$B$17,IF(AND(#REF!="Padrão",$H$4=#REF!),BDI!#REF!,IF(AND(#REF!="Diferenciado",$H$4=#REF!),BDI!$E$17,IF(AND(#REF!="Diferenciado",$H$4=#REF!),BDI!#REF!,IF(#REF!="ZERO",0))))),"")</f>
        <v>#REF!</v>
      </c>
      <c r="H1028" s="136" t="str">
        <f t="shared" si="46"/>
        <v/>
      </c>
      <c r="I1028" s="134" t="str">
        <f t="shared" si="47"/>
        <v/>
      </c>
      <c r="J1028" s="226"/>
    </row>
    <row r="1029" spans="1:10" hidden="1" x14ac:dyDescent="0.25">
      <c r="A1029" s="112" t="s">
        <v>2883</v>
      </c>
      <c r="B1029" s="113" t="s">
        <v>2884</v>
      </c>
      <c r="C1029" s="114" t="s">
        <v>92</v>
      </c>
      <c r="D1029" s="114">
        <v>0</v>
      </c>
      <c r="E1029" s="133" t="s">
        <v>514</v>
      </c>
      <c r="F1029" s="134" t="str">
        <f t="shared" si="45"/>
        <v/>
      </c>
      <c r="G1029" s="135" t="e">
        <f>IF(A1029&lt;&gt;"",IF(AND(#REF!="Padrão",$H$4=#REF!),BDI!$B$17,IF(AND(#REF!="Padrão",$H$4=#REF!),BDI!#REF!,IF(AND(#REF!="Diferenciado",$H$4=#REF!),BDI!$E$17,IF(AND(#REF!="Diferenciado",$H$4=#REF!),BDI!#REF!,IF(#REF!="ZERO",0))))),"")</f>
        <v>#REF!</v>
      </c>
      <c r="H1029" s="136" t="str">
        <f t="shared" si="46"/>
        <v/>
      </c>
      <c r="I1029" s="134" t="str">
        <f t="shared" si="47"/>
        <v/>
      </c>
      <c r="J1029" s="226"/>
    </row>
    <row r="1030" spans="1:10" hidden="1" x14ac:dyDescent="0.25">
      <c r="A1030" s="112" t="s">
        <v>2885</v>
      </c>
      <c r="B1030" s="113" t="s">
        <v>2886</v>
      </c>
      <c r="C1030" s="114" t="s">
        <v>92</v>
      </c>
      <c r="D1030" s="114">
        <v>0</v>
      </c>
      <c r="E1030" s="133" t="s">
        <v>514</v>
      </c>
      <c r="F1030" s="134" t="str">
        <f t="shared" si="45"/>
        <v/>
      </c>
      <c r="G1030" s="135" t="e">
        <f>IF(A1030&lt;&gt;"",IF(AND(#REF!="Padrão",$H$4=#REF!),BDI!$B$17,IF(AND(#REF!="Padrão",$H$4=#REF!),BDI!#REF!,IF(AND(#REF!="Diferenciado",$H$4=#REF!),BDI!$E$17,IF(AND(#REF!="Diferenciado",$H$4=#REF!),BDI!#REF!,IF(#REF!="ZERO",0))))),"")</f>
        <v>#REF!</v>
      </c>
      <c r="H1030" s="136" t="str">
        <f t="shared" si="46"/>
        <v/>
      </c>
      <c r="I1030" s="134" t="str">
        <f t="shared" si="47"/>
        <v/>
      </c>
      <c r="J1030" s="226"/>
    </row>
    <row r="1031" spans="1:10" hidden="1" x14ac:dyDescent="0.25">
      <c r="A1031" s="112" t="s">
        <v>2887</v>
      </c>
      <c r="B1031" s="113" t="s">
        <v>2888</v>
      </c>
      <c r="C1031" s="114" t="s">
        <v>92</v>
      </c>
      <c r="D1031" s="114">
        <v>0</v>
      </c>
      <c r="E1031" s="133" t="s">
        <v>514</v>
      </c>
      <c r="F1031" s="134" t="str">
        <f t="shared" ref="F1031:F1094" si="48">IF(ISNUMBER(E1031),D1031*E1031,"")</f>
        <v/>
      </c>
      <c r="G1031" s="135" t="e">
        <f>IF(A1031&lt;&gt;"",IF(AND(#REF!="Padrão",$H$4=#REF!),BDI!$B$17,IF(AND(#REF!="Padrão",$H$4=#REF!),BDI!#REF!,IF(AND(#REF!="Diferenciado",$H$4=#REF!),BDI!$E$17,IF(AND(#REF!="Diferenciado",$H$4=#REF!),BDI!#REF!,IF(#REF!="ZERO",0))))),"")</f>
        <v>#REF!</v>
      </c>
      <c r="H1031" s="136" t="str">
        <f t="shared" ref="H1031:H1094" si="49">IF(ISNUMBER(E1031),ROUND(E1031*(1+G1031),2),"")</f>
        <v/>
      </c>
      <c r="I1031" s="134" t="str">
        <f t="shared" ref="I1031:I1094" si="50">IF(ISNUMBER(E1031),ROUND(H1031*D1031,2),"")</f>
        <v/>
      </c>
      <c r="J1031" s="226"/>
    </row>
    <row r="1032" spans="1:10" hidden="1" x14ac:dyDescent="0.25">
      <c r="A1032" s="112" t="s">
        <v>2889</v>
      </c>
      <c r="B1032" s="113" t="s">
        <v>2890</v>
      </c>
      <c r="C1032" s="114" t="s">
        <v>92</v>
      </c>
      <c r="D1032" s="114">
        <v>0</v>
      </c>
      <c r="E1032" s="133" t="s">
        <v>514</v>
      </c>
      <c r="F1032" s="134" t="str">
        <f t="shared" si="48"/>
        <v/>
      </c>
      <c r="G1032" s="135" t="e">
        <f>IF(A1032&lt;&gt;"",IF(AND(#REF!="Padrão",$H$4=#REF!),BDI!$B$17,IF(AND(#REF!="Padrão",$H$4=#REF!),BDI!#REF!,IF(AND(#REF!="Diferenciado",$H$4=#REF!),BDI!$E$17,IF(AND(#REF!="Diferenciado",$H$4=#REF!),BDI!#REF!,IF(#REF!="ZERO",0))))),"")</f>
        <v>#REF!</v>
      </c>
      <c r="H1032" s="136" t="str">
        <f t="shared" si="49"/>
        <v/>
      </c>
      <c r="I1032" s="134" t="str">
        <f t="shared" si="50"/>
        <v/>
      </c>
      <c r="J1032" s="226"/>
    </row>
    <row r="1033" spans="1:10" hidden="1" x14ac:dyDescent="0.25">
      <c r="A1033" s="112" t="s">
        <v>2891</v>
      </c>
      <c r="B1033" s="113" t="s">
        <v>2892</v>
      </c>
      <c r="C1033" s="114" t="s">
        <v>92</v>
      </c>
      <c r="D1033" s="114">
        <v>0</v>
      </c>
      <c r="E1033" s="133" t="s">
        <v>514</v>
      </c>
      <c r="F1033" s="134" t="str">
        <f t="shared" si="48"/>
        <v/>
      </c>
      <c r="G1033" s="135" t="e">
        <f>IF(A1033&lt;&gt;"",IF(AND(#REF!="Padrão",$H$4=#REF!),BDI!$B$17,IF(AND(#REF!="Padrão",$H$4=#REF!),BDI!#REF!,IF(AND(#REF!="Diferenciado",$H$4=#REF!),BDI!$E$17,IF(AND(#REF!="Diferenciado",$H$4=#REF!),BDI!#REF!,IF(#REF!="ZERO",0))))),"")</f>
        <v>#REF!</v>
      </c>
      <c r="H1033" s="136" t="str">
        <f t="shared" si="49"/>
        <v/>
      </c>
      <c r="I1033" s="134" t="str">
        <f t="shared" si="50"/>
        <v/>
      </c>
      <c r="J1033" s="226"/>
    </row>
    <row r="1034" spans="1:10" hidden="1" x14ac:dyDescent="0.25">
      <c r="A1034" s="112" t="s">
        <v>1108</v>
      </c>
      <c r="B1034" s="113" t="s">
        <v>2893</v>
      </c>
      <c r="C1034" s="114" t="s">
        <v>2844</v>
      </c>
      <c r="D1034" s="114">
        <v>0</v>
      </c>
      <c r="E1034" s="133">
        <f ca="1">OFFSET(INDEX(Composições!A:J,MATCH(Orçamentária!A1034,Composições!A:A,0),8),2,0)</f>
        <v>1276.5625</v>
      </c>
      <c r="F1034" s="134">
        <f t="shared" ca="1" si="48"/>
        <v>0</v>
      </c>
      <c r="G1034" s="135" t="e">
        <f>IF(A1034&lt;&gt;"",IF(AND(#REF!="Padrão",$H$4=#REF!),BDI!$B$17,IF(AND(#REF!="Padrão",$H$4=#REF!),BDI!#REF!,IF(AND(#REF!="Diferenciado",$H$4=#REF!),BDI!$E$17,IF(AND(#REF!="Diferenciado",$H$4=#REF!),BDI!#REF!,IF(#REF!="ZERO",0))))),"")</f>
        <v>#REF!</v>
      </c>
      <c r="H1034" s="136" t="e">
        <f t="shared" ca="1" si="49"/>
        <v>#REF!</v>
      </c>
      <c r="I1034" s="134" t="e">
        <f t="shared" ca="1" si="50"/>
        <v>#REF!</v>
      </c>
      <c r="J1034" s="226"/>
    </row>
    <row r="1035" spans="1:10" hidden="1" x14ac:dyDescent="0.25">
      <c r="A1035" s="112" t="s">
        <v>1109</v>
      </c>
      <c r="B1035" s="113" t="s">
        <v>2894</v>
      </c>
      <c r="C1035" s="114" t="s">
        <v>2844</v>
      </c>
      <c r="D1035" s="114">
        <v>0</v>
      </c>
      <c r="E1035" s="133">
        <f ca="1">OFFSET(INDEX(Composições!A:J,MATCH(Orçamentária!A1035,Composições!A:A,0),8),2,0)</f>
        <v>797.84799999999996</v>
      </c>
      <c r="F1035" s="134">
        <f t="shared" ca="1" si="48"/>
        <v>0</v>
      </c>
      <c r="G1035" s="135" t="e">
        <f>IF(A1035&lt;&gt;"",IF(AND(#REF!="Padrão",$H$4=#REF!),BDI!$B$17,IF(AND(#REF!="Padrão",$H$4=#REF!),BDI!#REF!,IF(AND(#REF!="Diferenciado",$H$4=#REF!),BDI!$E$17,IF(AND(#REF!="Diferenciado",$H$4=#REF!),BDI!#REF!,IF(#REF!="ZERO",0))))),"")</f>
        <v>#REF!</v>
      </c>
      <c r="H1035" s="136" t="e">
        <f t="shared" ca="1" si="49"/>
        <v>#REF!</v>
      </c>
      <c r="I1035" s="134" t="e">
        <f t="shared" ca="1" si="50"/>
        <v>#REF!</v>
      </c>
      <c r="J1035" s="226"/>
    </row>
    <row r="1036" spans="1:10" hidden="1" x14ac:dyDescent="0.25">
      <c r="A1036" s="112" t="s">
        <v>1110</v>
      </c>
      <c r="B1036" s="113" t="s">
        <v>2895</v>
      </c>
      <c r="C1036" s="114" t="s">
        <v>94</v>
      </c>
      <c r="D1036" s="114">
        <v>0</v>
      </c>
      <c r="E1036" s="133">
        <f ca="1">OFFSET(INDEX(Composições!A:J,MATCH(Orçamentária!A1036,Composições!A:A,0),8),2,0)</f>
        <v>422.75</v>
      </c>
      <c r="F1036" s="134">
        <f t="shared" ca="1" si="48"/>
        <v>0</v>
      </c>
      <c r="G1036" s="135" t="e">
        <f>IF(A1036&lt;&gt;"",IF(AND(#REF!="Padrão",$H$4=#REF!),BDI!$B$17,IF(AND(#REF!="Padrão",$H$4=#REF!),BDI!#REF!,IF(AND(#REF!="Diferenciado",$H$4=#REF!),BDI!$E$17,IF(AND(#REF!="Diferenciado",$H$4=#REF!),BDI!#REF!,IF(#REF!="ZERO",0))))),"")</f>
        <v>#REF!</v>
      </c>
      <c r="H1036" s="136" t="e">
        <f t="shared" ca="1" si="49"/>
        <v>#REF!</v>
      </c>
      <c r="I1036" s="134" t="e">
        <f t="shared" ca="1" si="50"/>
        <v>#REF!</v>
      </c>
      <c r="J1036" s="226"/>
    </row>
    <row r="1037" spans="1:10" hidden="1" x14ac:dyDescent="0.25">
      <c r="A1037" s="112" t="s">
        <v>2896</v>
      </c>
      <c r="B1037" s="113" t="s">
        <v>2897</v>
      </c>
      <c r="C1037" s="114" t="s">
        <v>2444</v>
      </c>
      <c r="D1037" s="114">
        <v>0</v>
      </c>
      <c r="E1037" s="133">
        <f ca="1">OFFSET(INDEX(Composições!A:J,MATCH(Orçamentária!A1037,Composições!A:A,0),8),2,0)</f>
        <v>1677.3699984999998</v>
      </c>
      <c r="F1037" s="134">
        <f t="shared" ca="1" si="48"/>
        <v>0</v>
      </c>
      <c r="G1037" s="135" t="e">
        <f>IF(A1037&lt;&gt;"",IF(AND(#REF!="Padrão",$H$4=#REF!),BDI!$B$17,IF(AND(#REF!="Padrão",$H$4=#REF!),BDI!#REF!,IF(AND(#REF!="Diferenciado",$H$4=#REF!),BDI!$E$17,IF(AND(#REF!="Diferenciado",$H$4=#REF!),BDI!#REF!,IF(#REF!="ZERO",0))))),"")</f>
        <v>#REF!</v>
      </c>
      <c r="H1037" s="136" t="e">
        <f t="shared" ca="1" si="49"/>
        <v>#REF!</v>
      </c>
      <c r="I1037" s="134" t="e">
        <f t="shared" ca="1" si="50"/>
        <v>#REF!</v>
      </c>
      <c r="J1037" s="226"/>
    </row>
    <row r="1038" spans="1:10" hidden="1" x14ac:dyDescent="0.25">
      <c r="A1038" s="112" t="s">
        <v>2898</v>
      </c>
      <c r="B1038" s="113" t="s">
        <v>2899</v>
      </c>
      <c r="C1038" s="114" t="s">
        <v>2444</v>
      </c>
      <c r="D1038" s="114">
        <v>0</v>
      </c>
      <c r="E1038" s="133">
        <f ca="1">OFFSET(INDEX(Composições!A:J,MATCH(Orçamentária!A1038,Composições!A:A,0),8),2,0)</f>
        <v>1677.3699984999998</v>
      </c>
      <c r="F1038" s="134">
        <f t="shared" ca="1" si="48"/>
        <v>0</v>
      </c>
      <c r="G1038" s="135" t="e">
        <f>IF(A1038&lt;&gt;"",IF(AND(#REF!="Padrão",$H$4=#REF!),BDI!$B$17,IF(AND(#REF!="Padrão",$H$4=#REF!),BDI!#REF!,IF(AND(#REF!="Diferenciado",$H$4=#REF!),BDI!$E$17,IF(AND(#REF!="Diferenciado",$H$4=#REF!),BDI!#REF!,IF(#REF!="ZERO",0))))),"")</f>
        <v>#REF!</v>
      </c>
      <c r="H1038" s="136" t="e">
        <f t="shared" ca="1" si="49"/>
        <v>#REF!</v>
      </c>
      <c r="I1038" s="134" t="e">
        <f t="shared" ca="1" si="50"/>
        <v>#REF!</v>
      </c>
      <c r="J1038" s="226"/>
    </row>
    <row r="1039" spans="1:10" hidden="1" x14ac:dyDescent="0.25">
      <c r="A1039" s="112" t="s">
        <v>2900</v>
      </c>
      <c r="B1039" s="113" t="s">
        <v>2901</v>
      </c>
      <c r="C1039" s="114" t="s">
        <v>2444</v>
      </c>
      <c r="D1039" s="114">
        <v>0</v>
      </c>
      <c r="E1039" s="133">
        <f ca="1">OFFSET(INDEX(Composições!A:J,MATCH(Orçamentária!A1039,Composições!A:A,0),8),2,0)</f>
        <v>1677.3699984999998</v>
      </c>
      <c r="F1039" s="134">
        <f t="shared" ca="1" si="48"/>
        <v>0</v>
      </c>
      <c r="G1039" s="135" t="e">
        <f>IF(A1039&lt;&gt;"",IF(AND(#REF!="Padrão",$H$4=#REF!),BDI!$B$17,IF(AND(#REF!="Padrão",$H$4=#REF!),BDI!#REF!,IF(AND(#REF!="Diferenciado",$H$4=#REF!),BDI!$E$17,IF(AND(#REF!="Diferenciado",$H$4=#REF!),BDI!#REF!,IF(#REF!="ZERO",0))))),"")</f>
        <v>#REF!</v>
      </c>
      <c r="H1039" s="136" t="e">
        <f t="shared" ca="1" si="49"/>
        <v>#REF!</v>
      </c>
      <c r="I1039" s="134" t="e">
        <f t="shared" ca="1" si="50"/>
        <v>#REF!</v>
      </c>
      <c r="J1039" s="226"/>
    </row>
    <row r="1040" spans="1:10" hidden="1" x14ac:dyDescent="0.25">
      <c r="A1040" s="112" t="s">
        <v>2902</v>
      </c>
      <c r="B1040" s="113" t="s">
        <v>2903</v>
      </c>
      <c r="C1040" s="114" t="s">
        <v>2444</v>
      </c>
      <c r="D1040" s="114">
        <v>0</v>
      </c>
      <c r="E1040" s="133">
        <f ca="1">OFFSET(INDEX(Composições!A:J,MATCH(Orçamentária!A1040,Composições!A:A,0),8),2,0)</f>
        <v>1677.3699984999998</v>
      </c>
      <c r="F1040" s="134">
        <f t="shared" ca="1" si="48"/>
        <v>0</v>
      </c>
      <c r="G1040" s="135" t="e">
        <f>IF(A1040&lt;&gt;"",IF(AND(#REF!="Padrão",$H$4=#REF!),BDI!$B$17,IF(AND(#REF!="Padrão",$H$4=#REF!),BDI!#REF!,IF(AND(#REF!="Diferenciado",$H$4=#REF!),BDI!$E$17,IF(AND(#REF!="Diferenciado",$H$4=#REF!),BDI!#REF!,IF(#REF!="ZERO",0))))),"")</f>
        <v>#REF!</v>
      </c>
      <c r="H1040" s="136" t="e">
        <f t="shared" ca="1" si="49"/>
        <v>#REF!</v>
      </c>
      <c r="I1040" s="134" t="e">
        <f t="shared" ca="1" si="50"/>
        <v>#REF!</v>
      </c>
      <c r="J1040" s="226"/>
    </row>
    <row r="1041" spans="1:10" hidden="1" x14ac:dyDescent="0.25">
      <c r="A1041" s="112" t="s">
        <v>2904</v>
      </c>
      <c r="B1041" s="113" t="s">
        <v>2905</v>
      </c>
      <c r="C1041" s="114" t="s">
        <v>2444</v>
      </c>
      <c r="D1041" s="114">
        <v>0</v>
      </c>
      <c r="E1041" s="133">
        <f ca="1">OFFSET(INDEX(Composições!A:J,MATCH(Orçamentária!A1041,Composições!A:A,0),8),2,0)</f>
        <v>1677.3699984999998</v>
      </c>
      <c r="F1041" s="134">
        <f t="shared" ca="1" si="48"/>
        <v>0</v>
      </c>
      <c r="G1041" s="135" t="e">
        <f>IF(A1041&lt;&gt;"",IF(AND(#REF!="Padrão",$H$4=#REF!),BDI!$B$17,IF(AND(#REF!="Padrão",$H$4=#REF!),BDI!#REF!,IF(AND(#REF!="Diferenciado",$H$4=#REF!),BDI!$E$17,IF(AND(#REF!="Diferenciado",$H$4=#REF!),BDI!#REF!,IF(#REF!="ZERO",0))))),"")</f>
        <v>#REF!</v>
      </c>
      <c r="H1041" s="136" t="e">
        <f t="shared" ca="1" si="49"/>
        <v>#REF!</v>
      </c>
      <c r="I1041" s="134" t="e">
        <f t="shared" ca="1" si="50"/>
        <v>#REF!</v>
      </c>
      <c r="J1041" s="226"/>
    </row>
    <row r="1042" spans="1:10" hidden="1" x14ac:dyDescent="0.25">
      <c r="A1042" s="112" t="s">
        <v>2906</v>
      </c>
      <c r="B1042" s="113" t="s">
        <v>2907</v>
      </c>
      <c r="C1042" s="114" t="s">
        <v>2444</v>
      </c>
      <c r="D1042" s="114">
        <v>0</v>
      </c>
      <c r="E1042" s="133">
        <f ca="1">OFFSET(INDEX(Composições!A:J,MATCH(Orçamentária!A1042,Composições!A:A,0),8),2,0)</f>
        <v>1677.3699984999998</v>
      </c>
      <c r="F1042" s="134">
        <f t="shared" ca="1" si="48"/>
        <v>0</v>
      </c>
      <c r="G1042" s="135" t="e">
        <f>IF(A1042&lt;&gt;"",IF(AND(#REF!="Padrão",$H$4=#REF!),BDI!$B$17,IF(AND(#REF!="Padrão",$H$4=#REF!),BDI!#REF!,IF(AND(#REF!="Diferenciado",$H$4=#REF!),BDI!$E$17,IF(AND(#REF!="Diferenciado",$H$4=#REF!),BDI!#REF!,IF(#REF!="ZERO",0))))),"")</f>
        <v>#REF!</v>
      </c>
      <c r="H1042" s="136" t="e">
        <f t="shared" ca="1" si="49"/>
        <v>#REF!</v>
      </c>
      <c r="I1042" s="134" t="e">
        <f t="shared" ca="1" si="50"/>
        <v>#REF!</v>
      </c>
      <c r="J1042" s="226"/>
    </row>
    <row r="1043" spans="1:10" hidden="1" x14ac:dyDescent="0.25">
      <c r="A1043" s="112" t="s">
        <v>2908</v>
      </c>
      <c r="B1043" s="113" t="s">
        <v>2909</v>
      </c>
      <c r="C1043" s="114" t="s">
        <v>2444</v>
      </c>
      <c r="D1043" s="114">
        <v>0</v>
      </c>
      <c r="E1043" s="133">
        <f ca="1">OFFSET(INDEX(Composições!A:J,MATCH(Orçamentária!A1043,Composições!A:A,0),8),2,0)</f>
        <v>1677.3699984999998</v>
      </c>
      <c r="F1043" s="134">
        <f t="shared" ca="1" si="48"/>
        <v>0</v>
      </c>
      <c r="G1043" s="135" t="e">
        <f>IF(A1043&lt;&gt;"",IF(AND(#REF!="Padrão",$H$4=#REF!),BDI!$B$17,IF(AND(#REF!="Padrão",$H$4=#REF!),BDI!#REF!,IF(AND(#REF!="Diferenciado",$H$4=#REF!),BDI!$E$17,IF(AND(#REF!="Diferenciado",$H$4=#REF!),BDI!#REF!,IF(#REF!="ZERO",0))))),"")</f>
        <v>#REF!</v>
      </c>
      <c r="H1043" s="136" t="e">
        <f t="shared" ca="1" si="49"/>
        <v>#REF!</v>
      </c>
      <c r="I1043" s="134" t="e">
        <f t="shared" ca="1" si="50"/>
        <v>#REF!</v>
      </c>
      <c r="J1043" s="226"/>
    </row>
    <row r="1044" spans="1:10" hidden="1" x14ac:dyDescent="0.25">
      <c r="A1044" s="112" t="s">
        <v>2910</v>
      </c>
      <c r="B1044" s="113" t="s">
        <v>2911</v>
      </c>
      <c r="C1044" s="114" t="s">
        <v>2444</v>
      </c>
      <c r="D1044" s="114">
        <v>0</v>
      </c>
      <c r="E1044" s="133">
        <f ca="1">OFFSET(INDEX(Composições!A:J,MATCH(Orçamentária!A1044,Composições!A:A,0),8),2,0)</f>
        <v>1677.3699984999998</v>
      </c>
      <c r="F1044" s="134">
        <f t="shared" ca="1" si="48"/>
        <v>0</v>
      </c>
      <c r="G1044" s="135" t="e">
        <f>IF(A1044&lt;&gt;"",IF(AND(#REF!="Padrão",$H$4=#REF!),BDI!$B$17,IF(AND(#REF!="Padrão",$H$4=#REF!),BDI!#REF!,IF(AND(#REF!="Diferenciado",$H$4=#REF!),BDI!$E$17,IF(AND(#REF!="Diferenciado",$H$4=#REF!),BDI!#REF!,IF(#REF!="ZERO",0))))),"")</f>
        <v>#REF!</v>
      </c>
      <c r="H1044" s="136" t="e">
        <f t="shared" ca="1" si="49"/>
        <v>#REF!</v>
      </c>
      <c r="I1044" s="134" t="e">
        <f t="shared" ca="1" si="50"/>
        <v>#REF!</v>
      </c>
      <c r="J1044" s="226"/>
    </row>
    <row r="1045" spans="1:10" hidden="1" x14ac:dyDescent="0.25">
      <c r="A1045" s="112" t="s">
        <v>2912</v>
      </c>
      <c r="B1045" s="113" t="s">
        <v>2913</v>
      </c>
      <c r="C1045" s="114" t="s">
        <v>2444</v>
      </c>
      <c r="D1045" s="114">
        <v>0</v>
      </c>
      <c r="E1045" s="133">
        <f ca="1">OFFSET(INDEX(Composições!A:J,MATCH(Orçamentária!A1045,Composições!A:A,0),8),2,0)</f>
        <v>1677.3699984999998</v>
      </c>
      <c r="F1045" s="134">
        <f t="shared" ca="1" si="48"/>
        <v>0</v>
      </c>
      <c r="G1045" s="135" t="e">
        <f>IF(A1045&lt;&gt;"",IF(AND(#REF!="Padrão",$H$4=#REF!),BDI!$B$17,IF(AND(#REF!="Padrão",$H$4=#REF!),BDI!#REF!,IF(AND(#REF!="Diferenciado",$H$4=#REF!),BDI!$E$17,IF(AND(#REF!="Diferenciado",$H$4=#REF!),BDI!#REF!,IF(#REF!="ZERO",0))))),"")</f>
        <v>#REF!</v>
      </c>
      <c r="H1045" s="136" t="e">
        <f t="shared" ca="1" si="49"/>
        <v>#REF!</v>
      </c>
      <c r="I1045" s="134" t="e">
        <f t="shared" ca="1" si="50"/>
        <v>#REF!</v>
      </c>
      <c r="J1045" s="226"/>
    </row>
    <row r="1046" spans="1:10" hidden="1" x14ac:dyDescent="0.25">
      <c r="A1046" s="112" t="s">
        <v>1111</v>
      </c>
      <c r="B1046" s="113" t="s">
        <v>2914</v>
      </c>
      <c r="C1046" s="114" t="s">
        <v>2444</v>
      </c>
      <c r="D1046" s="114">
        <v>0</v>
      </c>
      <c r="E1046" s="133">
        <f ca="1">OFFSET(INDEX(Composições!A:J,MATCH(Orçamentária!A1046,Composições!A:A,0),8),2,0)</f>
        <v>4287.8816693999997</v>
      </c>
      <c r="F1046" s="134">
        <f t="shared" ca="1" si="48"/>
        <v>0</v>
      </c>
      <c r="G1046" s="135" t="e">
        <f>IF(A1046&lt;&gt;"",IF(AND(#REF!="Padrão",$H$4=#REF!),BDI!$B$17,IF(AND(#REF!="Padrão",$H$4=#REF!),BDI!#REF!,IF(AND(#REF!="Diferenciado",$H$4=#REF!),BDI!$E$17,IF(AND(#REF!="Diferenciado",$H$4=#REF!),BDI!#REF!,IF(#REF!="ZERO",0))))),"")</f>
        <v>#REF!</v>
      </c>
      <c r="H1046" s="136" t="e">
        <f t="shared" ca="1" si="49"/>
        <v>#REF!</v>
      </c>
      <c r="I1046" s="134" t="e">
        <f t="shared" ca="1" si="50"/>
        <v>#REF!</v>
      </c>
      <c r="J1046" s="226"/>
    </row>
    <row r="1047" spans="1:10" hidden="1" x14ac:dyDescent="0.25">
      <c r="A1047" s="112" t="s">
        <v>2915</v>
      </c>
      <c r="B1047" s="113" t="s">
        <v>2916</v>
      </c>
      <c r="C1047" s="114" t="s">
        <v>2655</v>
      </c>
      <c r="D1047" s="114">
        <v>0</v>
      </c>
      <c r="E1047" s="133" t="s">
        <v>514</v>
      </c>
      <c r="F1047" s="134" t="str">
        <f t="shared" si="48"/>
        <v/>
      </c>
      <c r="G1047" s="135" t="e">
        <f>IF(A1047&lt;&gt;"",IF(AND(#REF!="Padrão",$H$4=#REF!),BDI!$B$17,IF(AND(#REF!="Padrão",$H$4=#REF!),BDI!#REF!,IF(AND(#REF!="Diferenciado",$H$4=#REF!),BDI!$E$17,IF(AND(#REF!="Diferenciado",$H$4=#REF!),BDI!#REF!,IF(#REF!="ZERO",0))))),"")</f>
        <v>#REF!</v>
      </c>
      <c r="H1047" s="136" t="str">
        <f t="shared" si="49"/>
        <v/>
      </c>
      <c r="I1047" s="134" t="str">
        <f t="shared" si="50"/>
        <v/>
      </c>
      <c r="J1047" s="226"/>
    </row>
    <row r="1048" spans="1:10" hidden="1" x14ac:dyDescent="0.25">
      <c r="A1048" s="112" t="s">
        <v>2917</v>
      </c>
      <c r="B1048" s="113" t="s">
        <v>2918</v>
      </c>
      <c r="C1048" s="114" t="s">
        <v>2655</v>
      </c>
      <c r="D1048" s="114">
        <v>0</v>
      </c>
      <c r="E1048" s="133" t="s">
        <v>514</v>
      </c>
      <c r="F1048" s="134" t="str">
        <f t="shared" si="48"/>
        <v/>
      </c>
      <c r="G1048" s="135" t="e">
        <f>IF(A1048&lt;&gt;"",IF(AND(#REF!="Padrão",$H$4=#REF!),BDI!$B$17,IF(AND(#REF!="Padrão",$H$4=#REF!),BDI!#REF!,IF(AND(#REF!="Diferenciado",$H$4=#REF!),BDI!$E$17,IF(AND(#REF!="Diferenciado",$H$4=#REF!),BDI!#REF!,IF(#REF!="ZERO",0))))),"")</f>
        <v>#REF!</v>
      </c>
      <c r="H1048" s="136" t="str">
        <f t="shared" si="49"/>
        <v/>
      </c>
      <c r="I1048" s="134" t="str">
        <f t="shared" si="50"/>
        <v/>
      </c>
      <c r="J1048" s="226"/>
    </row>
    <row r="1049" spans="1:10" hidden="1" x14ac:dyDescent="0.25">
      <c r="A1049" s="112" t="s">
        <v>2919</v>
      </c>
      <c r="B1049" s="113" t="s">
        <v>2920</v>
      </c>
      <c r="C1049" s="114" t="s">
        <v>2655</v>
      </c>
      <c r="D1049" s="114">
        <v>0</v>
      </c>
      <c r="E1049" s="133" t="s">
        <v>514</v>
      </c>
      <c r="F1049" s="134" t="str">
        <f t="shared" si="48"/>
        <v/>
      </c>
      <c r="G1049" s="135" t="e">
        <f>IF(A1049&lt;&gt;"",IF(AND(#REF!="Padrão",$H$4=#REF!),BDI!$B$17,IF(AND(#REF!="Padrão",$H$4=#REF!),BDI!#REF!,IF(AND(#REF!="Diferenciado",$H$4=#REF!),BDI!$E$17,IF(AND(#REF!="Diferenciado",$H$4=#REF!),BDI!#REF!,IF(#REF!="ZERO",0))))),"")</f>
        <v>#REF!</v>
      </c>
      <c r="H1049" s="136" t="str">
        <f t="shared" si="49"/>
        <v/>
      </c>
      <c r="I1049" s="134" t="str">
        <f t="shared" si="50"/>
        <v/>
      </c>
      <c r="J1049" s="226"/>
    </row>
    <row r="1050" spans="1:10" hidden="1" x14ac:dyDescent="0.25">
      <c r="A1050" s="112" t="s">
        <v>2921</v>
      </c>
      <c r="B1050" s="113" t="s">
        <v>2922</v>
      </c>
      <c r="C1050" s="114" t="s">
        <v>2655</v>
      </c>
      <c r="D1050" s="114">
        <v>0</v>
      </c>
      <c r="E1050" s="133" t="s">
        <v>514</v>
      </c>
      <c r="F1050" s="134" t="str">
        <f t="shared" si="48"/>
        <v/>
      </c>
      <c r="G1050" s="135" t="e">
        <f>IF(A1050&lt;&gt;"",IF(AND(#REF!="Padrão",$H$4=#REF!),BDI!$B$17,IF(AND(#REF!="Padrão",$H$4=#REF!),BDI!#REF!,IF(AND(#REF!="Diferenciado",$H$4=#REF!),BDI!$E$17,IF(AND(#REF!="Diferenciado",$H$4=#REF!),BDI!#REF!,IF(#REF!="ZERO",0))))),"")</f>
        <v>#REF!</v>
      </c>
      <c r="H1050" s="136" t="str">
        <f t="shared" si="49"/>
        <v/>
      </c>
      <c r="I1050" s="134" t="str">
        <f t="shared" si="50"/>
        <v/>
      </c>
      <c r="J1050" s="226"/>
    </row>
    <row r="1051" spans="1:10" hidden="1" x14ac:dyDescent="0.25">
      <c r="A1051" s="112" t="s">
        <v>2923</v>
      </c>
      <c r="B1051" s="113" t="s">
        <v>2924</v>
      </c>
      <c r="C1051" s="114" t="s">
        <v>20</v>
      </c>
      <c r="D1051" s="114">
        <v>0</v>
      </c>
      <c r="E1051" s="133" t="s">
        <v>514</v>
      </c>
      <c r="F1051" s="134" t="str">
        <f t="shared" si="48"/>
        <v/>
      </c>
      <c r="G1051" s="135" t="e">
        <f>IF(A1051&lt;&gt;"",IF(AND(#REF!="Padrão",$H$4=#REF!),BDI!$B$17,IF(AND(#REF!="Padrão",$H$4=#REF!),BDI!#REF!,IF(AND(#REF!="Diferenciado",$H$4=#REF!),BDI!$E$17,IF(AND(#REF!="Diferenciado",$H$4=#REF!),BDI!#REF!,IF(#REF!="ZERO",0))))),"")</f>
        <v>#REF!</v>
      </c>
      <c r="H1051" s="136" t="str">
        <f t="shared" si="49"/>
        <v/>
      </c>
      <c r="I1051" s="134" t="str">
        <f t="shared" si="50"/>
        <v/>
      </c>
      <c r="J1051" s="226"/>
    </row>
    <row r="1052" spans="1:10" hidden="1" x14ac:dyDescent="0.25">
      <c r="A1052" s="112" t="s">
        <v>2925</v>
      </c>
      <c r="B1052" s="113" t="s">
        <v>2926</v>
      </c>
      <c r="C1052" s="114" t="s">
        <v>570</v>
      </c>
      <c r="D1052" s="114">
        <v>0</v>
      </c>
      <c r="E1052" s="133" t="s">
        <v>514</v>
      </c>
      <c r="F1052" s="134" t="str">
        <f t="shared" si="48"/>
        <v/>
      </c>
      <c r="G1052" s="135" t="e">
        <f>IF(A1052&lt;&gt;"",IF(AND(#REF!="Padrão",$H$4=#REF!),BDI!$B$17,IF(AND(#REF!="Padrão",$H$4=#REF!),BDI!#REF!,IF(AND(#REF!="Diferenciado",$H$4=#REF!),BDI!$E$17,IF(AND(#REF!="Diferenciado",$H$4=#REF!),BDI!#REF!,IF(#REF!="ZERO",0))))),"")</f>
        <v>#REF!</v>
      </c>
      <c r="H1052" s="136" t="str">
        <f t="shared" si="49"/>
        <v/>
      </c>
      <c r="I1052" s="134" t="str">
        <f t="shared" si="50"/>
        <v/>
      </c>
      <c r="J1052" s="226"/>
    </row>
    <row r="1053" spans="1:10" hidden="1" x14ac:dyDescent="0.25">
      <c r="A1053" s="112" t="s">
        <v>2927</v>
      </c>
      <c r="B1053" s="113" t="s">
        <v>2928</v>
      </c>
      <c r="C1053" s="114" t="s">
        <v>570</v>
      </c>
      <c r="D1053" s="114">
        <v>0</v>
      </c>
      <c r="E1053" s="133" t="s">
        <v>514</v>
      </c>
      <c r="F1053" s="134" t="str">
        <f t="shared" si="48"/>
        <v/>
      </c>
      <c r="G1053" s="135" t="e">
        <f>IF(A1053&lt;&gt;"",IF(AND(#REF!="Padrão",$H$4=#REF!),BDI!$B$17,IF(AND(#REF!="Padrão",$H$4=#REF!),BDI!#REF!,IF(AND(#REF!="Diferenciado",$H$4=#REF!),BDI!$E$17,IF(AND(#REF!="Diferenciado",$H$4=#REF!),BDI!#REF!,IF(#REF!="ZERO",0))))),"")</f>
        <v>#REF!</v>
      </c>
      <c r="H1053" s="136" t="str">
        <f t="shared" si="49"/>
        <v/>
      </c>
      <c r="I1053" s="134" t="str">
        <f t="shared" si="50"/>
        <v/>
      </c>
      <c r="J1053" s="226"/>
    </row>
    <row r="1054" spans="1:10" hidden="1" x14ac:dyDescent="0.25">
      <c r="A1054" s="112" t="s">
        <v>2929</v>
      </c>
      <c r="B1054" s="113" t="s">
        <v>2930</v>
      </c>
      <c r="C1054" s="114" t="s">
        <v>2655</v>
      </c>
      <c r="D1054" s="114">
        <v>0</v>
      </c>
      <c r="E1054" s="133" t="s">
        <v>514</v>
      </c>
      <c r="F1054" s="134" t="str">
        <f t="shared" si="48"/>
        <v/>
      </c>
      <c r="G1054" s="135" t="e">
        <f>IF(A1054&lt;&gt;"",IF(AND(#REF!="Padrão",$H$4=#REF!),BDI!$B$17,IF(AND(#REF!="Padrão",$H$4=#REF!),BDI!#REF!,IF(AND(#REF!="Diferenciado",$H$4=#REF!),BDI!$E$17,IF(AND(#REF!="Diferenciado",$H$4=#REF!),BDI!#REF!,IF(#REF!="ZERO",0))))),"")</f>
        <v>#REF!</v>
      </c>
      <c r="H1054" s="136" t="str">
        <f t="shared" si="49"/>
        <v/>
      </c>
      <c r="I1054" s="134" t="str">
        <f t="shared" si="50"/>
        <v/>
      </c>
      <c r="J1054" s="226"/>
    </row>
    <row r="1055" spans="1:10" hidden="1" x14ac:dyDescent="0.25">
      <c r="A1055" s="112" t="s">
        <v>2931</v>
      </c>
      <c r="B1055" s="113" t="s">
        <v>6286</v>
      </c>
      <c r="C1055" s="114" t="s">
        <v>20</v>
      </c>
      <c r="D1055" s="114">
        <v>0</v>
      </c>
      <c r="E1055" s="133" t="s">
        <v>514</v>
      </c>
      <c r="F1055" s="134" t="str">
        <f t="shared" si="48"/>
        <v/>
      </c>
      <c r="G1055" s="135" t="e">
        <f>IF(A1055&lt;&gt;"",IF(AND(#REF!="Padrão",$H$4=#REF!),BDI!$B$17,IF(AND(#REF!="Padrão",$H$4=#REF!),BDI!#REF!,IF(AND(#REF!="Diferenciado",$H$4=#REF!),BDI!$E$17,IF(AND(#REF!="Diferenciado",$H$4=#REF!),BDI!#REF!,IF(#REF!="ZERO",0))))),"")</f>
        <v>#REF!</v>
      </c>
      <c r="H1055" s="136" t="str">
        <f t="shared" si="49"/>
        <v/>
      </c>
      <c r="I1055" s="134" t="str">
        <f t="shared" si="50"/>
        <v/>
      </c>
      <c r="J1055" s="226"/>
    </row>
    <row r="1056" spans="1:10" hidden="1" x14ac:dyDescent="0.25">
      <c r="A1056" s="112" t="s">
        <v>2932</v>
      </c>
      <c r="B1056" s="113" t="s">
        <v>2933</v>
      </c>
      <c r="C1056" s="114" t="s">
        <v>2655</v>
      </c>
      <c r="D1056" s="114">
        <v>0</v>
      </c>
      <c r="E1056" s="133" t="s">
        <v>514</v>
      </c>
      <c r="F1056" s="134" t="str">
        <f t="shared" si="48"/>
        <v/>
      </c>
      <c r="G1056" s="135" t="e">
        <f>IF(A1056&lt;&gt;"",IF(AND(#REF!="Padrão",$H$4=#REF!),BDI!$B$17,IF(AND(#REF!="Padrão",$H$4=#REF!),BDI!#REF!,IF(AND(#REF!="Diferenciado",$H$4=#REF!),BDI!$E$17,IF(AND(#REF!="Diferenciado",$H$4=#REF!),BDI!#REF!,IF(#REF!="ZERO",0))))),"")</f>
        <v>#REF!</v>
      </c>
      <c r="H1056" s="136" t="str">
        <f t="shared" si="49"/>
        <v/>
      </c>
      <c r="I1056" s="134" t="str">
        <f t="shared" si="50"/>
        <v/>
      </c>
      <c r="J1056" s="226"/>
    </row>
    <row r="1057" spans="1:10" hidden="1" x14ac:dyDescent="0.25">
      <c r="A1057" s="112" t="s">
        <v>2934</v>
      </c>
      <c r="B1057" s="113" t="s">
        <v>2935</v>
      </c>
      <c r="C1057" s="114" t="s">
        <v>1905</v>
      </c>
      <c r="D1057" s="114">
        <v>0</v>
      </c>
      <c r="E1057" s="133" t="s">
        <v>514</v>
      </c>
      <c r="F1057" s="134" t="str">
        <f t="shared" si="48"/>
        <v/>
      </c>
      <c r="G1057" s="135" t="e">
        <f>IF(A1057&lt;&gt;"",IF(AND(#REF!="Padrão",$H$4=#REF!),BDI!$B$17,IF(AND(#REF!="Padrão",$H$4=#REF!),BDI!#REF!,IF(AND(#REF!="Diferenciado",$H$4=#REF!),BDI!$E$17,IF(AND(#REF!="Diferenciado",$H$4=#REF!),BDI!#REF!,IF(#REF!="ZERO",0))))),"")</f>
        <v>#REF!</v>
      </c>
      <c r="H1057" s="136" t="str">
        <f t="shared" si="49"/>
        <v/>
      </c>
      <c r="I1057" s="134" t="str">
        <f t="shared" si="50"/>
        <v/>
      </c>
      <c r="J1057" s="226"/>
    </row>
    <row r="1058" spans="1:10" hidden="1" x14ac:dyDescent="0.25">
      <c r="A1058" s="112" t="s">
        <v>1113</v>
      </c>
      <c r="B1058" s="113" t="s">
        <v>2936</v>
      </c>
      <c r="C1058" s="114" t="s">
        <v>6241</v>
      </c>
      <c r="D1058" s="114">
        <v>0</v>
      </c>
      <c r="E1058" s="133">
        <f ca="1">OFFSET(INDEX(Composições!A:J,MATCH(Orçamentária!A1058,Composições!A:A,0),8),2,0)</f>
        <v>0.24795000000000003</v>
      </c>
      <c r="F1058" s="134">
        <f t="shared" ca="1" si="48"/>
        <v>0</v>
      </c>
      <c r="G1058" s="135" t="e">
        <f>IF(A1058&lt;&gt;"",IF(AND(#REF!="Padrão",$H$4=#REF!),BDI!$B$17,IF(AND(#REF!="Padrão",$H$4=#REF!),BDI!#REF!,IF(AND(#REF!="Diferenciado",$H$4=#REF!),BDI!$E$17,IF(AND(#REF!="Diferenciado",$H$4=#REF!),BDI!#REF!,IF(#REF!="ZERO",0))))),"")</f>
        <v>#REF!</v>
      </c>
      <c r="H1058" s="136" t="e">
        <f t="shared" ca="1" si="49"/>
        <v>#REF!</v>
      </c>
      <c r="I1058" s="134" t="e">
        <f t="shared" ca="1" si="50"/>
        <v>#REF!</v>
      </c>
      <c r="J1058" s="226"/>
    </row>
    <row r="1059" spans="1:10" hidden="1" x14ac:dyDescent="0.25">
      <c r="A1059" s="112" t="s">
        <v>1115</v>
      </c>
      <c r="B1059" s="113" t="s">
        <v>2937</v>
      </c>
      <c r="C1059" s="114" t="s">
        <v>92</v>
      </c>
      <c r="D1059" s="114">
        <v>0</v>
      </c>
      <c r="E1059" s="133">
        <f ca="1">OFFSET(INDEX(Composições!A:J,MATCH(Orçamentária!A1059,Composições!A:A,0),8),2,0)</f>
        <v>35.4959020589218</v>
      </c>
      <c r="F1059" s="134">
        <f t="shared" ca="1" si="48"/>
        <v>0</v>
      </c>
      <c r="G1059" s="135" t="e">
        <f>IF(A1059&lt;&gt;"",IF(AND(#REF!="Padrão",$H$4=#REF!),BDI!$B$17,IF(AND(#REF!="Padrão",$H$4=#REF!),BDI!#REF!,IF(AND(#REF!="Diferenciado",$H$4=#REF!),BDI!$E$17,IF(AND(#REF!="Diferenciado",$H$4=#REF!),BDI!#REF!,IF(#REF!="ZERO",0))))),"")</f>
        <v>#REF!</v>
      </c>
      <c r="H1059" s="136" t="e">
        <f t="shared" ca="1" si="49"/>
        <v>#REF!</v>
      </c>
      <c r="I1059" s="134" t="e">
        <f t="shared" ca="1" si="50"/>
        <v>#REF!</v>
      </c>
      <c r="J1059" s="226"/>
    </row>
    <row r="1060" spans="1:10" hidden="1" x14ac:dyDescent="0.25">
      <c r="A1060" s="112" t="s">
        <v>2938</v>
      </c>
      <c r="B1060" s="113" t="s">
        <v>6287</v>
      </c>
      <c r="C1060" s="114" t="s">
        <v>20</v>
      </c>
      <c r="D1060" s="114">
        <v>0</v>
      </c>
      <c r="E1060" s="133" t="s">
        <v>514</v>
      </c>
      <c r="F1060" s="134" t="str">
        <f t="shared" si="48"/>
        <v/>
      </c>
      <c r="G1060" s="135" t="e">
        <f>IF(A1060&lt;&gt;"",IF(AND(#REF!="Padrão",$H$4=#REF!),BDI!$B$17,IF(AND(#REF!="Padrão",$H$4=#REF!),BDI!#REF!,IF(AND(#REF!="Diferenciado",$H$4=#REF!),BDI!$E$17,IF(AND(#REF!="Diferenciado",$H$4=#REF!),BDI!#REF!,IF(#REF!="ZERO",0))))),"")</f>
        <v>#REF!</v>
      </c>
      <c r="H1060" s="136" t="str">
        <f t="shared" si="49"/>
        <v/>
      </c>
      <c r="I1060" s="134" t="str">
        <f t="shared" si="50"/>
        <v/>
      </c>
      <c r="J1060" s="226"/>
    </row>
    <row r="1061" spans="1:10" ht="25.5" hidden="1" x14ac:dyDescent="0.25">
      <c r="A1061" s="112" t="s">
        <v>2939</v>
      </c>
      <c r="B1061" s="113" t="s">
        <v>2940</v>
      </c>
      <c r="C1061" s="114" t="s">
        <v>20</v>
      </c>
      <c r="D1061" s="114">
        <v>0</v>
      </c>
      <c r="E1061" s="133" t="s">
        <v>514</v>
      </c>
      <c r="F1061" s="134" t="str">
        <f t="shared" si="48"/>
        <v/>
      </c>
      <c r="G1061" s="135" t="e">
        <f>IF(A1061&lt;&gt;"",IF(AND(#REF!="Padrão",$H$4=#REF!),BDI!$B$17,IF(AND(#REF!="Padrão",$H$4=#REF!),BDI!#REF!,IF(AND(#REF!="Diferenciado",$H$4=#REF!),BDI!$E$17,IF(AND(#REF!="Diferenciado",$H$4=#REF!),BDI!#REF!,IF(#REF!="ZERO",0))))),"")</f>
        <v>#REF!</v>
      </c>
      <c r="H1061" s="136" t="str">
        <f t="shared" si="49"/>
        <v/>
      </c>
      <c r="I1061" s="134" t="str">
        <f t="shared" si="50"/>
        <v/>
      </c>
      <c r="J1061" s="226"/>
    </row>
    <row r="1062" spans="1:10" hidden="1" x14ac:dyDescent="0.25">
      <c r="A1062" s="112" t="s">
        <v>2941</v>
      </c>
      <c r="B1062" s="113" t="s">
        <v>2942</v>
      </c>
      <c r="C1062" s="114" t="s">
        <v>20</v>
      </c>
      <c r="D1062" s="114">
        <v>0</v>
      </c>
      <c r="E1062" s="133" t="s">
        <v>514</v>
      </c>
      <c r="F1062" s="134" t="str">
        <f t="shared" si="48"/>
        <v/>
      </c>
      <c r="G1062" s="135" t="e">
        <f>IF(A1062&lt;&gt;"",IF(AND(#REF!="Padrão",$H$4=#REF!),BDI!$B$17,IF(AND(#REF!="Padrão",$H$4=#REF!),BDI!#REF!,IF(AND(#REF!="Diferenciado",$H$4=#REF!),BDI!$E$17,IF(AND(#REF!="Diferenciado",$H$4=#REF!),BDI!#REF!,IF(#REF!="ZERO",0))))),"")</f>
        <v>#REF!</v>
      </c>
      <c r="H1062" s="136" t="str">
        <f t="shared" si="49"/>
        <v/>
      </c>
      <c r="I1062" s="134" t="str">
        <f t="shared" si="50"/>
        <v/>
      </c>
      <c r="J1062" s="226"/>
    </row>
    <row r="1063" spans="1:10" hidden="1" x14ac:dyDescent="0.25">
      <c r="A1063" s="112" t="s">
        <v>2943</v>
      </c>
      <c r="B1063" s="113" t="s">
        <v>2944</v>
      </c>
      <c r="C1063" s="114" t="s">
        <v>20</v>
      </c>
      <c r="D1063" s="114">
        <v>0</v>
      </c>
      <c r="E1063" s="133" t="s">
        <v>514</v>
      </c>
      <c r="F1063" s="134" t="str">
        <f t="shared" si="48"/>
        <v/>
      </c>
      <c r="G1063" s="135" t="e">
        <f>IF(A1063&lt;&gt;"",IF(AND(#REF!="Padrão",$H$4=#REF!),BDI!$B$17,IF(AND(#REF!="Padrão",$H$4=#REF!),BDI!#REF!,IF(AND(#REF!="Diferenciado",$H$4=#REF!),BDI!$E$17,IF(AND(#REF!="Diferenciado",$H$4=#REF!),BDI!#REF!,IF(#REF!="ZERO",0))))),"")</f>
        <v>#REF!</v>
      </c>
      <c r="H1063" s="136" t="str">
        <f t="shared" si="49"/>
        <v/>
      </c>
      <c r="I1063" s="134" t="str">
        <f t="shared" si="50"/>
        <v/>
      </c>
      <c r="J1063" s="226"/>
    </row>
    <row r="1064" spans="1:10" hidden="1" x14ac:dyDescent="0.25">
      <c r="A1064" s="112" t="s">
        <v>1119</v>
      </c>
      <c r="B1064" s="113" t="s">
        <v>2945</v>
      </c>
      <c r="C1064" s="114" t="s">
        <v>94</v>
      </c>
      <c r="D1064" s="114">
        <v>0</v>
      </c>
      <c r="E1064" s="133">
        <f ca="1">OFFSET(INDEX(Composições!A:J,MATCH(Orçamentária!A1064,Composições!A:A,0),8),2,0)</f>
        <v>151.69382734999999</v>
      </c>
      <c r="F1064" s="134">
        <f t="shared" ca="1" si="48"/>
        <v>0</v>
      </c>
      <c r="G1064" s="135" t="e">
        <f>IF(A1064&lt;&gt;"",IF(AND(#REF!="Padrão",$H$4=#REF!),BDI!$B$17,IF(AND(#REF!="Padrão",$H$4=#REF!),BDI!#REF!,IF(AND(#REF!="Diferenciado",$H$4=#REF!),BDI!$E$17,IF(AND(#REF!="Diferenciado",$H$4=#REF!),BDI!#REF!,IF(#REF!="ZERO",0))))),"")</f>
        <v>#REF!</v>
      </c>
      <c r="H1064" s="136" t="e">
        <f t="shared" ca="1" si="49"/>
        <v>#REF!</v>
      </c>
      <c r="I1064" s="134" t="e">
        <f t="shared" ca="1" si="50"/>
        <v>#REF!</v>
      </c>
      <c r="J1064" s="226"/>
    </row>
    <row r="1065" spans="1:10" hidden="1" x14ac:dyDescent="0.25">
      <c r="A1065" s="112" t="s">
        <v>1121</v>
      </c>
      <c r="B1065" s="113" t="s">
        <v>2946</v>
      </c>
      <c r="C1065" s="114" t="s">
        <v>94</v>
      </c>
      <c r="D1065" s="114">
        <v>0</v>
      </c>
      <c r="E1065" s="133">
        <f ca="1">OFFSET(INDEX(Composições!A:J,MATCH(Orçamentária!A1065,Composições!A:A,0),8),2,0)</f>
        <v>664.18412574999991</v>
      </c>
      <c r="F1065" s="134">
        <f t="shared" ca="1" si="48"/>
        <v>0</v>
      </c>
      <c r="G1065" s="135" t="e">
        <f>IF(A1065&lt;&gt;"",IF(AND(#REF!="Padrão",$H$4=#REF!),BDI!$B$17,IF(AND(#REF!="Padrão",$H$4=#REF!),BDI!#REF!,IF(AND(#REF!="Diferenciado",$H$4=#REF!),BDI!$E$17,IF(AND(#REF!="Diferenciado",$H$4=#REF!),BDI!#REF!,IF(#REF!="ZERO",0))))),"")</f>
        <v>#REF!</v>
      </c>
      <c r="H1065" s="136" t="e">
        <f t="shared" ca="1" si="49"/>
        <v>#REF!</v>
      </c>
      <c r="I1065" s="134" t="e">
        <f t="shared" ca="1" si="50"/>
        <v>#REF!</v>
      </c>
      <c r="J1065" s="226"/>
    </row>
    <row r="1066" spans="1:10" hidden="1" x14ac:dyDescent="0.25">
      <c r="A1066" s="112" t="s">
        <v>1125</v>
      </c>
      <c r="B1066" s="113" t="s">
        <v>6288</v>
      </c>
      <c r="C1066" s="114" t="s">
        <v>94</v>
      </c>
      <c r="D1066" s="114">
        <v>0</v>
      </c>
      <c r="E1066" s="133">
        <f ca="1">OFFSET(INDEX(Composições!A:J,MATCH(Orçamentária!A1066,Composições!A:A,0),8),2,0)</f>
        <v>700.06279284999982</v>
      </c>
      <c r="F1066" s="134">
        <f t="shared" ca="1" si="48"/>
        <v>0</v>
      </c>
      <c r="G1066" s="135" t="e">
        <f>IF(A1066&lt;&gt;"",IF(AND(#REF!="Padrão",$H$4=#REF!),BDI!$B$17,IF(AND(#REF!="Padrão",$H$4=#REF!),BDI!#REF!,IF(AND(#REF!="Diferenciado",$H$4=#REF!),BDI!$E$17,IF(AND(#REF!="Diferenciado",$H$4=#REF!),BDI!#REF!,IF(#REF!="ZERO",0))))),"")</f>
        <v>#REF!</v>
      </c>
      <c r="H1066" s="136" t="e">
        <f t="shared" ca="1" si="49"/>
        <v>#REF!</v>
      </c>
      <c r="I1066" s="134" t="e">
        <f t="shared" ca="1" si="50"/>
        <v>#REF!</v>
      </c>
      <c r="J1066" s="226"/>
    </row>
    <row r="1067" spans="1:10" hidden="1" x14ac:dyDescent="0.25">
      <c r="A1067" s="112" t="s">
        <v>1127</v>
      </c>
      <c r="B1067" s="113" t="s">
        <v>2947</v>
      </c>
      <c r="C1067" s="114" t="s">
        <v>94</v>
      </c>
      <c r="D1067" s="114">
        <v>0</v>
      </c>
      <c r="E1067" s="133">
        <f ca="1">OFFSET(INDEX(Composições!A:J,MATCH(Orçamentária!A1067,Composições!A:A,0),8),2,0)</f>
        <v>462.19095586464999</v>
      </c>
      <c r="F1067" s="134">
        <f t="shared" ca="1" si="48"/>
        <v>0</v>
      </c>
      <c r="G1067" s="135" t="e">
        <f>IF(A1067&lt;&gt;"",IF(AND(#REF!="Padrão",$H$4=#REF!),BDI!$B$17,IF(AND(#REF!="Padrão",$H$4=#REF!),BDI!#REF!,IF(AND(#REF!="Diferenciado",$H$4=#REF!),BDI!$E$17,IF(AND(#REF!="Diferenciado",$H$4=#REF!),BDI!#REF!,IF(#REF!="ZERO",0))))),"")</f>
        <v>#REF!</v>
      </c>
      <c r="H1067" s="136" t="e">
        <f t="shared" ca="1" si="49"/>
        <v>#REF!</v>
      </c>
      <c r="I1067" s="134" t="e">
        <f t="shared" ca="1" si="50"/>
        <v>#REF!</v>
      </c>
      <c r="J1067" s="226"/>
    </row>
    <row r="1068" spans="1:10" hidden="1" x14ac:dyDescent="0.25">
      <c r="A1068" s="112" t="s">
        <v>1129</v>
      </c>
      <c r="B1068" s="113" t="s">
        <v>2948</v>
      </c>
      <c r="C1068" s="114" t="s">
        <v>20</v>
      </c>
      <c r="D1068" s="114">
        <v>0</v>
      </c>
      <c r="E1068" s="133">
        <f ca="1">OFFSET(INDEX(Composições!A:J,MATCH(Orçamentária!A1068,Composições!A:A,0),8),2,0)</f>
        <v>713.58876839999994</v>
      </c>
      <c r="F1068" s="134">
        <f t="shared" ca="1" si="48"/>
        <v>0</v>
      </c>
      <c r="G1068" s="135" t="e">
        <f>IF(A1068&lt;&gt;"",IF(AND(#REF!="Padrão",$H$4=#REF!),BDI!$B$17,IF(AND(#REF!="Padrão",$H$4=#REF!),BDI!#REF!,IF(AND(#REF!="Diferenciado",$H$4=#REF!),BDI!$E$17,IF(AND(#REF!="Diferenciado",$H$4=#REF!),BDI!#REF!,IF(#REF!="ZERO",0))))),"")</f>
        <v>#REF!</v>
      </c>
      <c r="H1068" s="136" t="e">
        <f t="shared" ca="1" si="49"/>
        <v>#REF!</v>
      </c>
      <c r="I1068" s="134" t="e">
        <f t="shared" ca="1" si="50"/>
        <v>#REF!</v>
      </c>
      <c r="J1068" s="226"/>
    </row>
    <row r="1069" spans="1:10" hidden="1" x14ac:dyDescent="0.25">
      <c r="A1069" s="112" t="s">
        <v>1139</v>
      </c>
      <c r="B1069" s="113" t="s">
        <v>2949</v>
      </c>
      <c r="C1069" s="114" t="s">
        <v>20</v>
      </c>
      <c r="D1069" s="114">
        <v>0</v>
      </c>
      <c r="E1069" s="133">
        <f ca="1">OFFSET(INDEX(Composições!A:J,MATCH(Orçamentária!A1069,Composições!A:A,0),8),2,0)</f>
        <v>4.9400361000000004</v>
      </c>
      <c r="F1069" s="134">
        <f t="shared" ca="1" si="48"/>
        <v>0</v>
      </c>
      <c r="G1069" s="135" t="e">
        <f>IF(A1069&lt;&gt;"",IF(AND(#REF!="Padrão",$H$4=#REF!),BDI!$B$17,IF(AND(#REF!="Padrão",$H$4=#REF!),BDI!#REF!,IF(AND(#REF!="Diferenciado",$H$4=#REF!),BDI!$E$17,IF(AND(#REF!="Diferenciado",$H$4=#REF!),BDI!#REF!,IF(#REF!="ZERO",0))))),"")</f>
        <v>#REF!</v>
      </c>
      <c r="H1069" s="136" t="e">
        <f t="shared" ca="1" si="49"/>
        <v>#REF!</v>
      </c>
      <c r="I1069" s="134" t="e">
        <f t="shared" ca="1" si="50"/>
        <v>#REF!</v>
      </c>
      <c r="J1069" s="226"/>
    </row>
    <row r="1070" spans="1:10" hidden="1" x14ac:dyDescent="0.25">
      <c r="A1070" s="112" t="s">
        <v>1141</v>
      </c>
      <c r="B1070" s="113" t="s">
        <v>2950</v>
      </c>
      <c r="C1070" s="114" t="s">
        <v>108</v>
      </c>
      <c r="D1070" s="114">
        <v>0</v>
      </c>
      <c r="E1070" s="133">
        <f ca="1">OFFSET(INDEX(Composições!A:J,MATCH(Orçamentária!A1070,Composições!A:A,0),8),2,0)</f>
        <v>1593.4366731368411</v>
      </c>
      <c r="F1070" s="134">
        <f t="shared" ca="1" si="48"/>
        <v>0</v>
      </c>
      <c r="G1070" s="135" t="e">
        <f>IF(A1070&lt;&gt;"",IF(AND(#REF!="Padrão",$H$4=#REF!),BDI!$B$17,IF(AND(#REF!="Padrão",$H$4=#REF!),BDI!#REF!,IF(AND(#REF!="Diferenciado",$H$4=#REF!),BDI!$E$17,IF(AND(#REF!="Diferenciado",$H$4=#REF!),BDI!#REF!,IF(#REF!="ZERO",0))))),"")</f>
        <v>#REF!</v>
      </c>
      <c r="H1070" s="136" t="e">
        <f t="shared" ca="1" si="49"/>
        <v>#REF!</v>
      </c>
      <c r="I1070" s="134" t="e">
        <f t="shared" ca="1" si="50"/>
        <v>#REF!</v>
      </c>
      <c r="J1070" s="226"/>
    </row>
    <row r="1071" spans="1:10" hidden="1" x14ac:dyDescent="0.25">
      <c r="A1071" s="112" t="s">
        <v>1149</v>
      </c>
      <c r="B1071" s="113" t="s">
        <v>2951</v>
      </c>
      <c r="C1071" s="114" t="s">
        <v>92</v>
      </c>
      <c r="D1071" s="114">
        <v>0</v>
      </c>
      <c r="E1071" s="133">
        <f ca="1">OFFSET(INDEX(Composições!A:J,MATCH(Orçamentária!A1071,Composições!A:A,0),8),2,0)</f>
        <v>17.035960500000002</v>
      </c>
      <c r="F1071" s="134">
        <f t="shared" ca="1" si="48"/>
        <v>0</v>
      </c>
      <c r="G1071" s="135" t="e">
        <f>IF(A1071&lt;&gt;"",IF(AND(#REF!="Padrão",$H$4=#REF!),BDI!$B$17,IF(AND(#REF!="Padrão",$H$4=#REF!),BDI!#REF!,IF(AND(#REF!="Diferenciado",$H$4=#REF!),BDI!$E$17,IF(AND(#REF!="Diferenciado",$H$4=#REF!),BDI!#REF!,IF(#REF!="ZERO",0))))),"")</f>
        <v>#REF!</v>
      </c>
      <c r="H1071" s="136" t="e">
        <f t="shared" ca="1" si="49"/>
        <v>#REF!</v>
      </c>
      <c r="I1071" s="134" t="e">
        <f t="shared" ca="1" si="50"/>
        <v>#REF!</v>
      </c>
      <c r="J1071" s="226"/>
    </row>
    <row r="1072" spans="1:10" hidden="1" x14ac:dyDescent="0.25">
      <c r="A1072" s="112" t="s">
        <v>2952</v>
      </c>
      <c r="B1072" s="113" t="s">
        <v>2953</v>
      </c>
      <c r="C1072" s="114" t="s">
        <v>20</v>
      </c>
      <c r="D1072" s="114">
        <v>0</v>
      </c>
      <c r="E1072" s="133" t="s">
        <v>514</v>
      </c>
      <c r="F1072" s="134" t="str">
        <f t="shared" si="48"/>
        <v/>
      </c>
      <c r="G1072" s="135" t="e">
        <f>IF(A1072&lt;&gt;"",IF(AND(#REF!="Padrão",$H$4=#REF!),BDI!$B$17,IF(AND(#REF!="Padrão",$H$4=#REF!),BDI!#REF!,IF(AND(#REF!="Diferenciado",$H$4=#REF!),BDI!$E$17,IF(AND(#REF!="Diferenciado",$H$4=#REF!),BDI!#REF!,IF(#REF!="ZERO",0))))),"")</f>
        <v>#REF!</v>
      </c>
      <c r="H1072" s="136" t="str">
        <f t="shared" si="49"/>
        <v/>
      </c>
      <c r="I1072" s="134" t="str">
        <f t="shared" si="50"/>
        <v/>
      </c>
      <c r="J1072" s="226"/>
    </row>
    <row r="1073" spans="1:10" hidden="1" x14ac:dyDescent="0.25">
      <c r="A1073" s="112" t="s">
        <v>1152</v>
      </c>
      <c r="B1073" s="113" t="s">
        <v>2954</v>
      </c>
      <c r="C1073" s="114" t="s">
        <v>92</v>
      </c>
      <c r="D1073" s="114">
        <v>0</v>
      </c>
      <c r="E1073" s="133">
        <f ca="1">OFFSET(INDEX(Composições!A:J,MATCH(Orçamentária!A1073,Composições!A:A,0),8),2,0)</f>
        <v>44.554999999999993</v>
      </c>
      <c r="F1073" s="134">
        <f t="shared" ca="1" si="48"/>
        <v>0</v>
      </c>
      <c r="G1073" s="135" t="e">
        <f>IF(A1073&lt;&gt;"",IF(AND(#REF!="Padrão",$H$4=#REF!),BDI!$B$17,IF(AND(#REF!="Padrão",$H$4=#REF!),BDI!#REF!,IF(AND(#REF!="Diferenciado",$H$4=#REF!),BDI!$E$17,IF(AND(#REF!="Diferenciado",$H$4=#REF!),BDI!#REF!,IF(#REF!="ZERO",0))))),"")</f>
        <v>#REF!</v>
      </c>
      <c r="H1073" s="136" t="e">
        <f t="shared" ca="1" si="49"/>
        <v>#REF!</v>
      </c>
      <c r="I1073" s="134" t="e">
        <f t="shared" ca="1" si="50"/>
        <v>#REF!</v>
      </c>
      <c r="J1073" s="226"/>
    </row>
    <row r="1074" spans="1:10" hidden="1" x14ac:dyDescent="0.25">
      <c r="A1074" s="112" t="s">
        <v>1154</v>
      </c>
      <c r="B1074" s="113" t="s">
        <v>2955</v>
      </c>
      <c r="C1074" s="114" t="s">
        <v>92</v>
      </c>
      <c r="D1074" s="114">
        <v>0</v>
      </c>
      <c r="E1074" s="133">
        <f ca="1">OFFSET(INDEX(Composições!A:J,MATCH(Orçamentária!A1074,Composições!A:A,0),8),2,0)</f>
        <v>29.018034999999998</v>
      </c>
      <c r="F1074" s="134">
        <f t="shared" ca="1" si="48"/>
        <v>0</v>
      </c>
      <c r="G1074" s="135" t="e">
        <f>IF(A1074&lt;&gt;"",IF(AND(#REF!="Padrão",$H$4=#REF!),BDI!$B$17,IF(AND(#REF!="Padrão",$H$4=#REF!),BDI!#REF!,IF(AND(#REF!="Diferenciado",$H$4=#REF!),BDI!$E$17,IF(AND(#REF!="Diferenciado",$H$4=#REF!),BDI!#REF!,IF(#REF!="ZERO",0))))),"")</f>
        <v>#REF!</v>
      </c>
      <c r="H1074" s="136" t="e">
        <f t="shared" ca="1" si="49"/>
        <v>#REF!</v>
      </c>
      <c r="I1074" s="134" t="e">
        <f t="shared" ca="1" si="50"/>
        <v>#REF!</v>
      </c>
      <c r="J1074" s="226"/>
    </row>
    <row r="1075" spans="1:10" hidden="1" x14ac:dyDescent="0.25">
      <c r="A1075" s="112" t="s">
        <v>1156</v>
      </c>
      <c r="B1075" s="113" t="s">
        <v>2956</v>
      </c>
      <c r="C1075" s="114" t="s">
        <v>94</v>
      </c>
      <c r="D1075" s="114">
        <v>0</v>
      </c>
      <c r="E1075" s="133">
        <f ca="1">OFFSET(INDEX(Composições!A:J,MATCH(Orçamentária!A1075,Composições!A:A,0),8),2,0)</f>
        <v>137.75253650000002</v>
      </c>
      <c r="F1075" s="134">
        <f t="shared" ca="1" si="48"/>
        <v>0</v>
      </c>
      <c r="G1075" s="135" t="e">
        <f>IF(A1075&lt;&gt;"",IF(AND(#REF!="Padrão",$H$4=#REF!),BDI!$B$17,IF(AND(#REF!="Padrão",$H$4=#REF!),BDI!#REF!,IF(AND(#REF!="Diferenciado",$H$4=#REF!),BDI!$E$17,IF(AND(#REF!="Diferenciado",$H$4=#REF!),BDI!#REF!,IF(#REF!="ZERO",0))))),"")</f>
        <v>#REF!</v>
      </c>
      <c r="H1075" s="136" t="e">
        <f t="shared" ca="1" si="49"/>
        <v>#REF!</v>
      </c>
      <c r="I1075" s="134" t="e">
        <f t="shared" ca="1" si="50"/>
        <v>#REF!</v>
      </c>
      <c r="J1075" s="226"/>
    </row>
    <row r="1076" spans="1:10" hidden="1" x14ac:dyDescent="0.25">
      <c r="A1076" s="112" t="s">
        <v>1158</v>
      </c>
      <c r="B1076" s="113" t="s">
        <v>2957</v>
      </c>
      <c r="C1076" s="114" t="s">
        <v>20</v>
      </c>
      <c r="D1076" s="114">
        <v>0</v>
      </c>
      <c r="E1076" s="133">
        <f ca="1">OFFSET(INDEX(Composições!A:J,MATCH(Orçamentária!A1076,Composições!A:A,0),8),2,0)</f>
        <v>36.72198015</v>
      </c>
      <c r="F1076" s="134">
        <f t="shared" ca="1" si="48"/>
        <v>0</v>
      </c>
      <c r="G1076" s="135" t="e">
        <f>IF(A1076&lt;&gt;"",IF(AND(#REF!="Padrão",$H$4=#REF!),BDI!$B$17,IF(AND(#REF!="Padrão",$H$4=#REF!),BDI!#REF!,IF(AND(#REF!="Diferenciado",$H$4=#REF!),BDI!$E$17,IF(AND(#REF!="Diferenciado",$H$4=#REF!),BDI!#REF!,IF(#REF!="ZERO",0))))),"")</f>
        <v>#REF!</v>
      </c>
      <c r="H1076" s="136" t="e">
        <f t="shared" ca="1" si="49"/>
        <v>#REF!</v>
      </c>
      <c r="I1076" s="134" t="e">
        <f t="shared" ca="1" si="50"/>
        <v>#REF!</v>
      </c>
      <c r="J1076" s="226"/>
    </row>
    <row r="1077" spans="1:10" hidden="1" x14ac:dyDescent="0.25">
      <c r="A1077" s="112" t="s">
        <v>1160</v>
      </c>
      <c r="B1077" s="113" t="s">
        <v>2958</v>
      </c>
      <c r="C1077" s="114" t="s">
        <v>94</v>
      </c>
      <c r="D1077" s="114">
        <v>0</v>
      </c>
      <c r="E1077" s="133">
        <f ca="1">OFFSET(INDEX(Composições!A:J,MATCH(Orçamentária!A1077,Composições!A:A,0),8),2,0)</f>
        <v>151.84151149999997</v>
      </c>
      <c r="F1077" s="134">
        <f t="shared" ca="1" si="48"/>
        <v>0</v>
      </c>
      <c r="G1077" s="135" t="e">
        <f>IF(A1077&lt;&gt;"",IF(AND(#REF!="Padrão",$H$4=#REF!),BDI!$B$17,IF(AND(#REF!="Padrão",$H$4=#REF!),BDI!#REF!,IF(AND(#REF!="Diferenciado",$H$4=#REF!),BDI!$E$17,IF(AND(#REF!="Diferenciado",$H$4=#REF!),BDI!#REF!,IF(#REF!="ZERO",0))))),"")</f>
        <v>#REF!</v>
      </c>
      <c r="H1077" s="136" t="e">
        <f t="shared" ca="1" si="49"/>
        <v>#REF!</v>
      </c>
      <c r="I1077" s="134" t="e">
        <f t="shared" ca="1" si="50"/>
        <v>#REF!</v>
      </c>
      <c r="J1077" s="226"/>
    </row>
    <row r="1078" spans="1:10" hidden="1" x14ac:dyDescent="0.25">
      <c r="A1078" s="112" t="s">
        <v>1161</v>
      </c>
      <c r="B1078" s="113" t="s">
        <v>2959</v>
      </c>
      <c r="C1078" s="114" t="s">
        <v>94</v>
      </c>
      <c r="D1078" s="114">
        <v>0</v>
      </c>
      <c r="E1078" s="133">
        <f ca="1">OFFSET(INDEX(Composições!A:J,MATCH(Orçamentária!A1078,Composições!A:A,0),8),2,0)</f>
        <v>102.84078700000001</v>
      </c>
      <c r="F1078" s="134">
        <f t="shared" ca="1" si="48"/>
        <v>0</v>
      </c>
      <c r="G1078" s="135" t="e">
        <f>IF(A1078&lt;&gt;"",IF(AND(#REF!="Padrão",$H$4=#REF!),BDI!$B$17,IF(AND(#REF!="Padrão",$H$4=#REF!),BDI!#REF!,IF(AND(#REF!="Diferenciado",$H$4=#REF!),BDI!$E$17,IF(AND(#REF!="Diferenciado",$H$4=#REF!),BDI!#REF!,IF(#REF!="ZERO",0))))),"")</f>
        <v>#REF!</v>
      </c>
      <c r="H1078" s="136" t="e">
        <f t="shared" ca="1" si="49"/>
        <v>#REF!</v>
      </c>
      <c r="I1078" s="134" t="e">
        <f t="shared" ca="1" si="50"/>
        <v>#REF!</v>
      </c>
      <c r="J1078" s="226"/>
    </row>
    <row r="1079" spans="1:10" hidden="1" x14ac:dyDescent="0.25">
      <c r="A1079" s="112" t="s">
        <v>1162</v>
      </c>
      <c r="B1079" s="113" t="s">
        <v>2960</v>
      </c>
      <c r="C1079" s="114" t="s">
        <v>20</v>
      </c>
      <c r="D1079" s="114">
        <v>0</v>
      </c>
      <c r="E1079" s="133">
        <f ca="1">OFFSET(INDEX(Composições!A:J,MATCH(Orçamentária!A1079,Composições!A:A,0),8),2,0)</f>
        <v>148.88467098249959</v>
      </c>
      <c r="F1079" s="134">
        <f t="shared" ca="1" si="48"/>
        <v>0</v>
      </c>
      <c r="G1079" s="135" t="e">
        <f>IF(A1079&lt;&gt;"",IF(AND(#REF!="Padrão",$H$4=#REF!),BDI!$B$17,IF(AND(#REF!="Padrão",$H$4=#REF!),BDI!#REF!,IF(AND(#REF!="Diferenciado",$H$4=#REF!),BDI!$E$17,IF(AND(#REF!="Diferenciado",$H$4=#REF!),BDI!#REF!,IF(#REF!="ZERO",0))))),"")</f>
        <v>#REF!</v>
      </c>
      <c r="H1079" s="136" t="e">
        <f t="shared" ca="1" si="49"/>
        <v>#REF!</v>
      </c>
      <c r="I1079" s="134" t="e">
        <f t="shared" ca="1" si="50"/>
        <v>#REF!</v>
      </c>
      <c r="J1079" s="226"/>
    </row>
    <row r="1080" spans="1:10" hidden="1" x14ac:dyDescent="0.25">
      <c r="A1080" s="112" t="s">
        <v>2961</v>
      </c>
      <c r="B1080" s="113" t="s">
        <v>2962</v>
      </c>
      <c r="C1080" s="114" t="s">
        <v>20</v>
      </c>
      <c r="D1080" s="114">
        <v>0</v>
      </c>
      <c r="E1080" s="133" t="s">
        <v>514</v>
      </c>
      <c r="F1080" s="134" t="str">
        <f t="shared" si="48"/>
        <v/>
      </c>
      <c r="G1080" s="135" t="e">
        <f>IF(A1080&lt;&gt;"",IF(AND(#REF!="Padrão",$H$4=#REF!),BDI!$B$17,IF(AND(#REF!="Padrão",$H$4=#REF!),BDI!#REF!,IF(AND(#REF!="Diferenciado",$H$4=#REF!),BDI!$E$17,IF(AND(#REF!="Diferenciado",$H$4=#REF!),BDI!#REF!,IF(#REF!="ZERO",0))))),"")</f>
        <v>#REF!</v>
      </c>
      <c r="H1080" s="136" t="str">
        <f t="shared" si="49"/>
        <v/>
      </c>
      <c r="I1080" s="134" t="str">
        <f t="shared" si="50"/>
        <v/>
      </c>
      <c r="J1080" s="226"/>
    </row>
    <row r="1081" spans="1:10" hidden="1" x14ac:dyDescent="0.25">
      <c r="A1081" s="112" t="s">
        <v>1164</v>
      </c>
      <c r="B1081" s="113" t="s">
        <v>2963</v>
      </c>
      <c r="C1081" s="114" t="s">
        <v>94</v>
      </c>
      <c r="D1081" s="114">
        <v>0</v>
      </c>
      <c r="E1081" s="133">
        <f ca="1">OFFSET(INDEX(Composições!A:J,MATCH(Orçamentária!A1081,Composições!A:A,0),8),2,0)</f>
        <v>29.618720000000003</v>
      </c>
      <c r="F1081" s="134">
        <f t="shared" ca="1" si="48"/>
        <v>0</v>
      </c>
      <c r="G1081" s="135" t="e">
        <f>IF(A1081&lt;&gt;"",IF(AND(#REF!="Padrão",$H$4=#REF!),BDI!$B$17,IF(AND(#REF!="Padrão",$H$4=#REF!),BDI!#REF!,IF(AND(#REF!="Diferenciado",$H$4=#REF!),BDI!$E$17,IF(AND(#REF!="Diferenciado",$H$4=#REF!),BDI!#REF!,IF(#REF!="ZERO",0))))),"")</f>
        <v>#REF!</v>
      </c>
      <c r="H1081" s="136" t="e">
        <f t="shared" ca="1" si="49"/>
        <v>#REF!</v>
      </c>
      <c r="I1081" s="134" t="e">
        <f t="shared" ca="1" si="50"/>
        <v>#REF!</v>
      </c>
      <c r="J1081" s="226"/>
    </row>
    <row r="1082" spans="1:10" hidden="1" x14ac:dyDescent="0.25">
      <c r="A1082" s="112" t="s">
        <v>1166</v>
      </c>
      <c r="B1082" s="113" t="s">
        <v>2964</v>
      </c>
      <c r="C1082" s="114" t="s">
        <v>108</v>
      </c>
      <c r="D1082" s="114">
        <v>0</v>
      </c>
      <c r="E1082" s="133">
        <f ca="1">OFFSET(INDEX(Composições!A:J,MATCH(Orçamentária!A1082,Composições!A:A,0),8),2,0)</f>
        <v>217.90276706249998</v>
      </c>
      <c r="F1082" s="134">
        <f t="shared" ca="1" si="48"/>
        <v>0</v>
      </c>
      <c r="G1082" s="135" t="e">
        <f>IF(A1082&lt;&gt;"",IF(AND(#REF!="Padrão",$H$4=#REF!),BDI!$B$17,IF(AND(#REF!="Padrão",$H$4=#REF!),BDI!#REF!,IF(AND(#REF!="Diferenciado",$H$4=#REF!),BDI!$E$17,IF(AND(#REF!="Diferenciado",$H$4=#REF!),BDI!#REF!,IF(#REF!="ZERO",0))))),"")</f>
        <v>#REF!</v>
      </c>
      <c r="H1082" s="136" t="e">
        <f t="shared" ca="1" si="49"/>
        <v>#REF!</v>
      </c>
      <c r="I1082" s="134" t="e">
        <f t="shared" ca="1" si="50"/>
        <v>#REF!</v>
      </c>
      <c r="J1082" s="226"/>
    </row>
    <row r="1083" spans="1:10" hidden="1" x14ac:dyDescent="0.25">
      <c r="A1083" s="112" t="s">
        <v>1168</v>
      </c>
      <c r="B1083" s="113" t="s">
        <v>2965</v>
      </c>
      <c r="C1083" s="114" t="s">
        <v>92</v>
      </c>
      <c r="D1083" s="114">
        <v>0</v>
      </c>
      <c r="E1083" s="133">
        <f ca="1">OFFSET(INDEX(Composições!A:J,MATCH(Orçamentária!A1083,Composições!A:A,0),8),2,0)</f>
        <v>799.76571749999982</v>
      </c>
      <c r="F1083" s="134">
        <f t="shared" ca="1" si="48"/>
        <v>0</v>
      </c>
      <c r="G1083" s="135" t="e">
        <f>IF(A1083&lt;&gt;"",IF(AND(#REF!="Padrão",$H$4=#REF!),BDI!$B$17,IF(AND(#REF!="Padrão",$H$4=#REF!),BDI!#REF!,IF(AND(#REF!="Diferenciado",$H$4=#REF!),BDI!$E$17,IF(AND(#REF!="Diferenciado",$H$4=#REF!),BDI!#REF!,IF(#REF!="ZERO",0))))),"")</f>
        <v>#REF!</v>
      </c>
      <c r="H1083" s="136" t="e">
        <f t="shared" ca="1" si="49"/>
        <v>#REF!</v>
      </c>
      <c r="I1083" s="134" t="e">
        <f t="shared" ca="1" si="50"/>
        <v>#REF!</v>
      </c>
      <c r="J1083" s="226"/>
    </row>
    <row r="1084" spans="1:10" hidden="1" x14ac:dyDescent="0.25">
      <c r="A1084" s="112" t="s">
        <v>2966</v>
      </c>
      <c r="B1084" s="113" t="s">
        <v>2967</v>
      </c>
      <c r="C1084" s="114" t="s">
        <v>94</v>
      </c>
      <c r="D1084" s="114">
        <v>0</v>
      </c>
      <c r="E1084" s="133" t="s">
        <v>514</v>
      </c>
      <c r="F1084" s="134" t="str">
        <f t="shared" si="48"/>
        <v/>
      </c>
      <c r="G1084" s="135" t="e">
        <f>IF(A1084&lt;&gt;"",IF(AND(#REF!="Padrão",$H$4=#REF!),BDI!$B$17,IF(AND(#REF!="Padrão",$H$4=#REF!),BDI!#REF!,IF(AND(#REF!="Diferenciado",$H$4=#REF!),BDI!$E$17,IF(AND(#REF!="Diferenciado",$H$4=#REF!),BDI!#REF!,IF(#REF!="ZERO",0))))),"")</f>
        <v>#REF!</v>
      </c>
      <c r="H1084" s="136" t="str">
        <f t="shared" si="49"/>
        <v/>
      </c>
      <c r="I1084" s="134" t="str">
        <f t="shared" si="50"/>
        <v/>
      </c>
      <c r="J1084" s="226"/>
    </row>
    <row r="1085" spans="1:10" hidden="1" x14ac:dyDescent="0.25">
      <c r="A1085" s="112" t="s">
        <v>1175</v>
      </c>
      <c r="B1085" s="113" t="s">
        <v>2968</v>
      </c>
      <c r="C1085" s="114" t="s">
        <v>92</v>
      </c>
      <c r="D1085" s="114">
        <v>0</v>
      </c>
      <c r="E1085" s="133">
        <f ca="1">OFFSET(INDEX(Composições!A:J,MATCH(Orçamentária!A1085,Composições!A:A,0),8),2,0)</f>
        <v>2.2961500000000004</v>
      </c>
      <c r="F1085" s="134">
        <f t="shared" ca="1" si="48"/>
        <v>0</v>
      </c>
      <c r="G1085" s="135" t="e">
        <f>IF(A1085&lt;&gt;"",IF(AND(#REF!="Padrão",$H$4=#REF!),BDI!$B$17,IF(AND(#REF!="Padrão",$H$4=#REF!),BDI!#REF!,IF(AND(#REF!="Diferenciado",$H$4=#REF!),BDI!$E$17,IF(AND(#REF!="Diferenciado",$H$4=#REF!),BDI!#REF!,IF(#REF!="ZERO",0))))),"")</f>
        <v>#REF!</v>
      </c>
      <c r="H1085" s="136" t="e">
        <f t="shared" ca="1" si="49"/>
        <v>#REF!</v>
      </c>
      <c r="I1085" s="134" t="e">
        <f t="shared" ca="1" si="50"/>
        <v>#REF!</v>
      </c>
      <c r="J1085" s="226"/>
    </row>
    <row r="1086" spans="1:10" hidden="1" x14ac:dyDescent="0.25">
      <c r="A1086" s="112" t="s">
        <v>2969</v>
      </c>
      <c r="B1086" s="113" t="s">
        <v>2970</v>
      </c>
      <c r="C1086" s="114" t="s">
        <v>92</v>
      </c>
      <c r="D1086" s="114">
        <v>0</v>
      </c>
      <c r="E1086" s="133" t="s">
        <v>514</v>
      </c>
      <c r="F1086" s="134" t="str">
        <f t="shared" si="48"/>
        <v/>
      </c>
      <c r="G1086" s="135" t="e">
        <f>IF(A1086&lt;&gt;"",IF(AND(#REF!="Padrão",$H$4=#REF!),BDI!$B$17,IF(AND(#REF!="Padrão",$H$4=#REF!),BDI!#REF!,IF(AND(#REF!="Diferenciado",$H$4=#REF!),BDI!$E$17,IF(AND(#REF!="Diferenciado",$H$4=#REF!),BDI!#REF!,IF(#REF!="ZERO",0))))),"")</f>
        <v>#REF!</v>
      </c>
      <c r="H1086" s="136" t="str">
        <f t="shared" si="49"/>
        <v/>
      </c>
      <c r="I1086" s="134" t="str">
        <f t="shared" si="50"/>
        <v/>
      </c>
      <c r="J1086" s="226"/>
    </row>
    <row r="1087" spans="1:10" hidden="1" x14ac:dyDescent="0.25">
      <c r="A1087" s="112" t="s">
        <v>1177</v>
      </c>
      <c r="B1087" s="113" t="s">
        <v>2971</v>
      </c>
      <c r="C1087" s="114" t="s">
        <v>12</v>
      </c>
      <c r="D1087" s="114">
        <v>0</v>
      </c>
      <c r="E1087" s="133">
        <f ca="1">OFFSET(INDEX(Composições!A:J,MATCH(Orçamentária!A1087,Composições!A:A,0),8),2,0)</f>
        <v>2.7075</v>
      </c>
      <c r="F1087" s="134">
        <f t="shared" ca="1" si="48"/>
        <v>0</v>
      </c>
      <c r="G1087" s="135" t="e">
        <f>IF(A1087&lt;&gt;"",IF(AND(#REF!="Padrão",$H$4=#REF!),BDI!$B$17,IF(AND(#REF!="Padrão",$H$4=#REF!),BDI!#REF!,IF(AND(#REF!="Diferenciado",$H$4=#REF!),BDI!$E$17,IF(AND(#REF!="Diferenciado",$H$4=#REF!),BDI!#REF!,IF(#REF!="ZERO",0))))),"")</f>
        <v>#REF!</v>
      </c>
      <c r="H1087" s="136" t="e">
        <f t="shared" ca="1" si="49"/>
        <v>#REF!</v>
      </c>
      <c r="I1087" s="134" t="e">
        <f t="shared" ca="1" si="50"/>
        <v>#REF!</v>
      </c>
      <c r="J1087" s="226"/>
    </row>
    <row r="1088" spans="1:10" hidden="1" x14ac:dyDescent="0.25">
      <c r="A1088" s="112" t="s">
        <v>1179</v>
      </c>
      <c r="B1088" s="113" t="s">
        <v>2972</v>
      </c>
      <c r="C1088" s="114" t="s">
        <v>12</v>
      </c>
      <c r="D1088" s="114">
        <v>0</v>
      </c>
      <c r="E1088" s="133">
        <f ca="1">OFFSET(INDEX(Composições!A:J,MATCH(Orçamentária!A1088,Composições!A:A,0),8),2,0)</f>
        <v>1.3566</v>
      </c>
      <c r="F1088" s="134">
        <f t="shared" ca="1" si="48"/>
        <v>0</v>
      </c>
      <c r="G1088" s="135" t="e">
        <f>IF(A1088&lt;&gt;"",IF(AND(#REF!="Padrão",$H$4=#REF!),BDI!$B$17,IF(AND(#REF!="Padrão",$H$4=#REF!),BDI!#REF!,IF(AND(#REF!="Diferenciado",$H$4=#REF!),BDI!$E$17,IF(AND(#REF!="Diferenciado",$H$4=#REF!),BDI!#REF!,IF(#REF!="ZERO",0))))),"")</f>
        <v>#REF!</v>
      </c>
      <c r="H1088" s="136" t="e">
        <f t="shared" ca="1" si="49"/>
        <v>#REF!</v>
      </c>
      <c r="I1088" s="134" t="e">
        <f t="shared" ca="1" si="50"/>
        <v>#REF!</v>
      </c>
      <c r="J1088" s="226"/>
    </row>
    <row r="1089" spans="1:10" hidden="1" x14ac:dyDescent="0.25">
      <c r="A1089" s="112" t="s">
        <v>2973</v>
      </c>
      <c r="B1089" s="113" t="s">
        <v>2974</v>
      </c>
      <c r="C1089" s="114" t="s">
        <v>20</v>
      </c>
      <c r="D1089" s="114">
        <v>0</v>
      </c>
      <c r="E1089" s="133" t="s">
        <v>514</v>
      </c>
      <c r="F1089" s="134" t="str">
        <f t="shared" si="48"/>
        <v/>
      </c>
      <c r="G1089" s="135" t="e">
        <f>IF(A1089&lt;&gt;"",IF(AND(#REF!="Padrão",$H$4=#REF!),BDI!$B$17,IF(AND(#REF!="Padrão",$H$4=#REF!),BDI!#REF!,IF(AND(#REF!="Diferenciado",$H$4=#REF!),BDI!$E$17,IF(AND(#REF!="Diferenciado",$H$4=#REF!),BDI!#REF!,IF(#REF!="ZERO",0))))),"")</f>
        <v>#REF!</v>
      </c>
      <c r="H1089" s="136" t="str">
        <f t="shared" si="49"/>
        <v/>
      </c>
      <c r="I1089" s="134" t="str">
        <f t="shared" si="50"/>
        <v/>
      </c>
      <c r="J1089" s="226"/>
    </row>
    <row r="1090" spans="1:10" hidden="1" x14ac:dyDescent="0.25">
      <c r="A1090" s="112" t="s">
        <v>2975</v>
      </c>
      <c r="B1090" s="113" t="s">
        <v>2976</v>
      </c>
      <c r="C1090" s="114" t="s">
        <v>20</v>
      </c>
      <c r="D1090" s="114">
        <v>0</v>
      </c>
      <c r="E1090" s="133" t="s">
        <v>514</v>
      </c>
      <c r="F1090" s="134" t="str">
        <f t="shared" si="48"/>
        <v/>
      </c>
      <c r="G1090" s="135" t="e">
        <f>IF(A1090&lt;&gt;"",IF(AND(#REF!="Padrão",$H$4=#REF!),BDI!$B$17,IF(AND(#REF!="Padrão",$H$4=#REF!),BDI!#REF!,IF(AND(#REF!="Diferenciado",$H$4=#REF!),BDI!$E$17,IF(AND(#REF!="Diferenciado",$H$4=#REF!),BDI!#REF!,IF(#REF!="ZERO",0))))),"")</f>
        <v>#REF!</v>
      </c>
      <c r="H1090" s="136" t="str">
        <f t="shared" si="49"/>
        <v/>
      </c>
      <c r="I1090" s="134" t="str">
        <f t="shared" si="50"/>
        <v/>
      </c>
      <c r="J1090" s="226"/>
    </row>
    <row r="1091" spans="1:10" hidden="1" x14ac:dyDescent="0.25">
      <c r="A1091" s="112" t="s">
        <v>2977</v>
      </c>
      <c r="B1091" s="113" t="s">
        <v>2978</v>
      </c>
      <c r="C1091" s="114" t="s">
        <v>20</v>
      </c>
      <c r="D1091" s="114">
        <v>0</v>
      </c>
      <c r="E1091" s="133" t="s">
        <v>514</v>
      </c>
      <c r="F1091" s="134" t="str">
        <f t="shared" si="48"/>
        <v/>
      </c>
      <c r="G1091" s="135" t="e">
        <f>IF(A1091&lt;&gt;"",IF(AND(#REF!="Padrão",$H$4=#REF!),BDI!$B$17,IF(AND(#REF!="Padrão",$H$4=#REF!),BDI!#REF!,IF(AND(#REF!="Diferenciado",$H$4=#REF!),BDI!$E$17,IF(AND(#REF!="Diferenciado",$H$4=#REF!),BDI!#REF!,IF(#REF!="ZERO",0))))),"")</f>
        <v>#REF!</v>
      </c>
      <c r="H1091" s="136" t="str">
        <f t="shared" si="49"/>
        <v/>
      </c>
      <c r="I1091" s="134" t="str">
        <f t="shared" si="50"/>
        <v/>
      </c>
      <c r="J1091" s="226"/>
    </row>
    <row r="1092" spans="1:10" hidden="1" x14ac:dyDescent="0.25">
      <c r="A1092" s="112" t="s">
        <v>2979</v>
      </c>
      <c r="B1092" s="113" t="s">
        <v>2980</v>
      </c>
      <c r="C1092" s="114" t="s">
        <v>1905</v>
      </c>
      <c r="D1092" s="114">
        <v>0</v>
      </c>
      <c r="E1092" s="133" t="s">
        <v>514</v>
      </c>
      <c r="F1092" s="134" t="str">
        <f t="shared" si="48"/>
        <v/>
      </c>
      <c r="G1092" s="135" t="e">
        <f>IF(A1092&lt;&gt;"",IF(AND(#REF!="Padrão",$H$4=#REF!),BDI!$B$17,IF(AND(#REF!="Padrão",$H$4=#REF!),BDI!#REF!,IF(AND(#REF!="Diferenciado",$H$4=#REF!),BDI!$E$17,IF(AND(#REF!="Diferenciado",$H$4=#REF!),BDI!#REF!,IF(#REF!="ZERO",0))))),"")</f>
        <v>#REF!</v>
      </c>
      <c r="H1092" s="136" t="str">
        <f t="shared" si="49"/>
        <v/>
      </c>
      <c r="I1092" s="134" t="str">
        <f t="shared" si="50"/>
        <v/>
      </c>
      <c r="J1092" s="226"/>
    </row>
    <row r="1093" spans="1:10" hidden="1" x14ac:dyDescent="0.25">
      <c r="A1093" s="112" t="s">
        <v>1181</v>
      </c>
      <c r="B1093" s="113" t="s">
        <v>6289</v>
      </c>
      <c r="C1093" s="114" t="s">
        <v>20</v>
      </c>
      <c r="D1093" s="114">
        <v>0</v>
      </c>
      <c r="E1093" s="133">
        <f ca="1">OFFSET(INDEX(Composições!A:J,MATCH(Orçamentária!A1093,Composições!A:A,0),8),2,0)</f>
        <v>50.867810800000001</v>
      </c>
      <c r="F1093" s="134">
        <f t="shared" ca="1" si="48"/>
        <v>0</v>
      </c>
      <c r="G1093" s="135" t="e">
        <f>IF(A1093&lt;&gt;"",IF(AND(#REF!="Padrão",$H$4=#REF!),BDI!$B$17,IF(AND(#REF!="Padrão",$H$4=#REF!),BDI!#REF!,IF(AND(#REF!="Diferenciado",$H$4=#REF!),BDI!$E$17,IF(AND(#REF!="Diferenciado",$H$4=#REF!),BDI!#REF!,IF(#REF!="ZERO",0))))),"")</f>
        <v>#REF!</v>
      </c>
      <c r="H1093" s="136" t="e">
        <f t="shared" ca="1" si="49"/>
        <v>#REF!</v>
      </c>
      <c r="I1093" s="134" t="e">
        <f t="shared" ca="1" si="50"/>
        <v>#REF!</v>
      </c>
      <c r="J1093" s="226"/>
    </row>
    <row r="1094" spans="1:10" hidden="1" x14ac:dyDescent="0.25">
      <c r="A1094" s="112" t="s">
        <v>1186</v>
      </c>
      <c r="B1094" s="113" t="s">
        <v>6290</v>
      </c>
      <c r="C1094" s="114" t="s">
        <v>20</v>
      </c>
      <c r="D1094" s="114">
        <v>0</v>
      </c>
      <c r="E1094" s="133">
        <f ca="1">OFFSET(INDEX(Composições!A:J,MATCH(Orçamentária!A1094,Composições!A:A,0),8),2,0)</f>
        <v>77.6342432</v>
      </c>
      <c r="F1094" s="134">
        <f t="shared" ca="1" si="48"/>
        <v>0</v>
      </c>
      <c r="G1094" s="135" t="e">
        <f>IF(A1094&lt;&gt;"",IF(AND(#REF!="Padrão",$H$4=#REF!),BDI!$B$17,IF(AND(#REF!="Padrão",$H$4=#REF!),BDI!#REF!,IF(AND(#REF!="Diferenciado",$H$4=#REF!),BDI!$E$17,IF(AND(#REF!="Diferenciado",$H$4=#REF!),BDI!#REF!,IF(#REF!="ZERO",0))))),"")</f>
        <v>#REF!</v>
      </c>
      <c r="H1094" s="136" t="e">
        <f t="shared" ca="1" si="49"/>
        <v>#REF!</v>
      </c>
      <c r="I1094" s="134" t="e">
        <f t="shared" ca="1" si="50"/>
        <v>#REF!</v>
      </c>
      <c r="J1094" s="226"/>
    </row>
    <row r="1095" spans="1:10" hidden="1" x14ac:dyDescent="0.25">
      <c r="A1095" s="112" t="s">
        <v>1188</v>
      </c>
      <c r="B1095" s="113" t="s">
        <v>6291</v>
      </c>
      <c r="C1095" s="114" t="s">
        <v>20</v>
      </c>
      <c r="D1095" s="114">
        <v>0</v>
      </c>
      <c r="E1095" s="133">
        <f ca="1">OFFSET(INDEX(Composições!A:J,MATCH(Orçamentária!A1095,Composições!A:A,0),8),2,0)</f>
        <v>18.4481374</v>
      </c>
      <c r="F1095" s="134">
        <f t="shared" ref="F1095:F1158" ca="1" si="51">IF(ISNUMBER(E1095),D1095*E1095,"")</f>
        <v>0</v>
      </c>
      <c r="G1095" s="135" t="e">
        <f>IF(A1095&lt;&gt;"",IF(AND(#REF!="Padrão",$H$4=#REF!),BDI!$B$17,IF(AND(#REF!="Padrão",$H$4=#REF!),BDI!#REF!,IF(AND(#REF!="Diferenciado",$H$4=#REF!),BDI!$E$17,IF(AND(#REF!="Diferenciado",$H$4=#REF!),BDI!#REF!,IF(#REF!="ZERO",0))))),"")</f>
        <v>#REF!</v>
      </c>
      <c r="H1095" s="136" t="e">
        <f t="shared" ref="H1095:H1158" ca="1" si="52">IF(ISNUMBER(E1095),ROUND(E1095*(1+G1095),2),"")</f>
        <v>#REF!</v>
      </c>
      <c r="I1095" s="134" t="e">
        <f t="shared" ref="I1095:I1158" ca="1" si="53">IF(ISNUMBER(E1095),ROUND(H1095*D1095,2),"")</f>
        <v>#REF!</v>
      </c>
      <c r="J1095" s="226"/>
    </row>
    <row r="1096" spans="1:10" hidden="1" x14ac:dyDescent="0.25">
      <c r="A1096" s="112" t="s">
        <v>2981</v>
      </c>
      <c r="B1096" s="113" t="s">
        <v>2982</v>
      </c>
      <c r="C1096" s="114" t="s">
        <v>20</v>
      </c>
      <c r="D1096" s="114">
        <v>0</v>
      </c>
      <c r="E1096" s="133" t="s">
        <v>514</v>
      </c>
      <c r="F1096" s="134" t="str">
        <f t="shared" si="51"/>
        <v/>
      </c>
      <c r="G1096" s="135" t="e">
        <f>IF(A1096&lt;&gt;"",IF(AND(#REF!="Padrão",$H$4=#REF!),BDI!$B$17,IF(AND(#REF!="Padrão",$H$4=#REF!),BDI!#REF!,IF(AND(#REF!="Diferenciado",$H$4=#REF!),BDI!$E$17,IF(AND(#REF!="Diferenciado",$H$4=#REF!),BDI!#REF!,IF(#REF!="ZERO",0))))),"")</f>
        <v>#REF!</v>
      </c>
      <c r="H1096" s="136" t="str">
        <f t="shared" si="52"/>
        <v/>
      </c>
      <c r="I1096" s="134" t="str">
        <f t="shared" si="53"/>
        <v/>
      </c>
      <c r="J1096" s="226"/>
    </row>
    <row r="1097" spans="1:10" hidden="1" x14ac:dyDescent="0.25">
      <c r="A1097" s="112" t="s">
        <v>1190</v>
      </c>
      <c r="B1097" s="113" t="s">
        <v>6292</v>
      </c>
      <c r="C1097" s="114" t="s">
        <v>20</v>
      </c>
      <c r="D1097" s="114">
        <v>0</v>
      </c>
      <c r="E1097" s="133">
        <f ca="1">OFFSET(INDEX(Composições!A:J,MATCH(Orçamentária!A1097,Composições!A:A,0),8),2,0)</f>
        <v>33.106990799999998</v>
      </c>
      <c r="F1097" s="134">
        <f t="shared" ca="1" si="51"/>
        <v>0</v>
      </c>
      <c r="G1097" s="135" t="e">
        <f>IF(A1097&lt;&gt;"",IF(AND(#REF!="Padrão",$H$4=#REF!),BDI!$B$17,IF(AND(#REF!="Padrão",$H$4=#REF!),BDI!#REF!,IF(AND(#REF!="Diferenciado",$H$4=#REF!),BDI!$E$17,IF(AND(#REF!="Diferenciado",$H$4=#REF!),BDI!#REF!,IF(#REF!="ZERO",0))))),"")</f>
        <v>#REF!</v>
      </c>
      <c r="H1097" s="136" t="e">
        <f t="shared" ca="1" si="52"/>
        <v>#REF!</v>
      </c>
      <c r="I1097" s="134" t="e">
        <f t="shared" ca="1" si="53"/>
        <v>#REF!</v>
      </c>
      <c r="J1097" s="226"/>
    </row>
    <row r="1098" spans="1:10" hidden="1" x14ac:dyDescent="0.25">
      <c r="A1098" s="112" t="s">
        <v>1192</v>
      </c>
      <c r="B1098" s="113" t="s">
        <v>6293</v>
      </c>
      <c r="C1098" s="114" t="s">
        <v>20</v>
      </c>
      <c r="D1098" s="114">
        <v>0</v>
      </c>
      <c r="E1098" s="133">
        <f ca="1">OFFSET(INDEX(Composições!A:J,MATCH(Orçamentária!A1098,Composições!A:A,0),8),2,0)</f>
        <v>44.208151200000003</v>
      </c>
      <c r="F1098" s="134">
        <f t="shared" ca="1" si="51"/>
        <v>0</v>
      </c>
      <c r="G1098" s="135" t="e">
        <f>IF(A1098&lt;&gt;"",IF(AND(#REF!="Padrão",$H$4=#REF!),BDI!$B$17,IF(AND(#REF!="Padrão",$H$4=#REF!),BDI!#REF!,IF(AND(#REF!="Diferenciado",$H$4=#REF!),BDI!$E$17,IF(AND(#REF!="Diferenciado",$H$4=#REF!),BDI!#REF!,IF(#REF!="ZERO",0))))),"")</f>
        <v>#REF!</v>
      </c>
      <c r="H1098" s="136" t="e">
        <f t="shared" ca="1" si="52"/>
        <v>#REF!</v>
      </c>
      <c r="I1098" s="134" t="e">
        <f t="shared" ca="1" si="53"/>
        <v>#REF!</v>
      </c>
      <c r="J1098" s="226"/>
    </row>
    <row r="1099" spans="1:10" hidden="1" x14ac:dyDescent="0.25">
      <c r="A1099" s="112" t="s">
        <v>1194</v>
      </c>
      <c r="B1099" s="113" t="s">
        <v>6294</v>
      </c>
      <c r="C1099" s="114" t="s">
        <v>20</v>
      </c>
      <c r="D1099" s="114">
        <v>0</v>
      </c>
      <c r="E1099" s="133">
        <f ca="1">OFFSET(INDEX(Composições!A:J,MATCH(Orçamentária!A1099,Composições!A:A,0),8),2,0)</f>
        <v>10.551965399999998</v>
      </c>
      <c r="F1099" s="134">
        <f t="shared" ca="1" si="51"/>
        <v>0</v>
      </c>
      <c r="G1099" s="135" t="e">
        <f>IF(A1099&lt;&gt;"",IF(AND(#REF!="Padrão",$H$4=#REF!),BDI!$B$17,IF(AND(#REF!="Padrão",$H$4=#REF!),BDI!#REF!,IF(AND(#REF!="Diferenciado",$H$4=#REF!),BDI!$E$17,IF(AND(#REF!="Diferenciado",$H$4=#REF!),BDI!#REF!,IF(#REF!="ZERO",0))))),"")</f>
        <v>#REF!</v>
      </c>
      <c r="H1099" s="136" t="e">
        <f t="shared" ca="1" si="52"/>
        <v>#REF!</v>
      </c>
      <c r="I1099" s="134" t="e">
        <f t="shared" ca="1" si="53"/>
        <v>#REF!</v>
      </c>
      <c r="J1099" s="226"/>
    </row>
    <row r="1100" spans="1:10" hidden="1" x14ac:dyDescent="0.25">
      <c r="A1100" s="112" t="s">
        <v>2983</v>
      </c>
      <c r="B1100" s="113" t="s">
        <v>6295</v>
      </c>
      <c r="C1100" s="114" t="s">
        <v>20</v>
      </c>
      <c r="D1100" s="114">
        <v>0</v>
      </c>
      <c r="E1100" s="133" t="s">
        <v>514</v>
      </c>
      <c r="F1100" s="134" t="str">
        <f t="shared" si="51"/>
        <v/>
      </c>
      <c r="G1100" s="135" t="e">
        <f>IF(A1100&lt;&gt;"",IF(AND(#REF!="Padrão",$H$4=#REF!),BDI!$B$17,IF(AND(#REF!="Padrão",$H$4=#REF!),BDI!#REF!,IF(AND(#REF!="Diferenciado",$H$4=#REF!),BDI!$E$17,IF(AND(#REF!="Diferenciado",$H$4=#REF!),BDI!#REF!,IF(#REF!="ZERO",0))))),"")</f>
        <v>#REF!</v>
      </c>
      <c r="H1100" s="136" t="str">
        <f t="shared" si="52"/>
        <v/>
      </c>
      <c r="I1100" s="134" t="str">
        <f t="shared" si="53"/>
        <v/>
      </c>
      <c r="J1100" s="226"/>
    </row>
    <row r="1101" spans="1:10" hidden="1" x14ac:dyDescent="0.25">
      <c r="A1101" s="112" t="s">
        <v>2984</v>
      </c>
      <c r="B1101" s="113" t="s">
        <v>6296</v>
      </c>
      <c r="C1101" s="114" t="s">
        <v>20</v>
      </c>
      <c r="D1101" s="114">
        <v>0</v>
      </c>
      <c r="E1101" s="133" t="s">
        <v>514</v>
      </c>
      <c r="F1101" s="134" t="str">
        <f t="shared" si="51"/>
        <v/>
      </c>
      <c r="G1101" s="135" t="e">
        <f>IF(A1101&lt;&gt;"",IF(AND(#REF!="Padrão",$H$4=#REF!),BDI!$B$17,IF(AND(#REF!="Padrão",$H$4=#REF!),BDI!#REF!,IF(AND(#REF!="Diferenciado",$H$4=#REF!),BDI!$E$17,IF(AND(#REF!="Diferenciado",$H$4=#REF!),BDI!#REF!,IF(#REF!="ZERO",0))))),"")</f>
        <v>#REF!</v>
      </c>
      <c r="H1101" s="136" t="str">
        <f t="shared" si="52"/>
        <v/>
      </c>
      <c r="I1101" s="134" t="str">
        <f t="shared" si="53"/>
        <v/>
      </c>
      <c r="J1101" s="226"/>
    </row>
    <row r="1102" spans="1:10" hidden="1" x14ac:dyDescent="0.25">
      <c r="A1102" s="112" t="s">
        <v>1196</v>
      </c>
      <c r="B1102" s="113" t="s">
        <v>6297</v>
      </c>
      <c r="C1102" s="114" t="s">
        <v>92</v>
      </c>
      <c r="D1102" s="114">
        <v>0</v>
      </c>
      <c r="E1102" s="133">
        <f ca="1">OFFSET(INDEX(Composições!A:J,MATCH(Orçamentária!A1102,Composições!A:A,0),8),2,0)</f>
        <v>163.10586954999999</v>
      </c>
      <c r="F1102" s="134">
        <f t="shared" ca="1" si="51"/>
        <v>0</v>
      </c>
      <c r="G1102" s="135" t="e">
        <f>IF(A1102&lt;&gt;"",IF(AND(#REF!="Padrão",$H$4=#REF!),BDI!$B$17,IF(AND(#REF!="Padrão",$H$4=#REF!),BDI!#REF!,IF(AND(#REF!="Diferenciado",$H$4=#REF!),BDI!$E$17,IF(AND(#REF!="Diferenciado",$H$4=#REF!),BDI!#REF!,IF(#REF!="ZERO",0))))),"")</f>
        <v>#REF!</v>
      </c>
      <c r="H1102" s="136" t="e">
        <f t="shared" ca="1" si="52"/>
        <v>#REF!</v>
      </c>
      <c r="I1102" s="134" t="e">
        <f t="shared" ca="1" si="53"/>
        <v>#REF!</v>
      </c>
      <c r="J1102" s="226"/>
    </row>
    <row r="1103" spans="1:10" hidden="1" x14ac:dyDescent="0.25">
      <c r="A1103" s="112" t="s">
        <v>1198</v>
      </c>
      <c r="B1103" s="113" t="s">
        <v>6298</v>
      </c>
      <c r="C1103" s="114" t="s">
        <v>92</v>
      </c>
      <c r="D1103" s="114">
        <v>0</v>
      </c>
      <c r="E1103" s="133">
        <f ca="1">OFFSET(INDEX(Composições!A:J,MATCH(Orçamentária!A1103,Composições!A:A,0),8),2,0)</f>
        <v>196.09453975</v>
      </c>
      <c r="F1103" s="134">
        <f t="shared" ca="1" si="51"/>
        <v>0</v>
      </c>
      <c r="G1103" s="135" t="e">
        <f>IF(A1103&lt;&gt;"",IF(AND(#REF!="Padrão",$H$4=#REF!),BDI!$B$17,IF(AND(#REF!="Padrão",$H$4=#REF!),BDI!#REF!,IF(AND(#REF!="Diferenciado",$H$4=#REF!),BDI!$E$17,IF(AND(#REF!="Diferenciado",$H$4=#REF!),BDI!#REF!,IF(#REF!="ZERO",0))))),"")</f>
        <v>#REF!</v>
      </c>
      <c r="H1103" s="136" t="e">
        <f t="shared" ca="1" si="52"/>
        <v>#REF!</v>
      </c>
      <c r="I1103" s="134" t="e">
        <f t="shared" ca="1" si="53"/>
        <v>#REF!</v>
      </c>
      <c r="J1103" s="226"/>
    </row>
    <row r="1104" spans="1:10" hidden="1" x14ac:dyDescent="0.25">
      <c r="A1104" s="112" t="s">
        <v>2985</v>
      </c>
      <c r="B1104" s="113" t="s">
        <v>6355</v>
      </c>
      <c r="C1104" s="114" t="s">
        <v>20</v>
      </c>
      <c r="D1104" s="114">
        <v>0</v>
      </c>
      <c r="E1104" s="133" t="s">
        <v>514</v>
      </c>
      <c r="F1104" s="134" t="str">
        <f t="shared" si="51"/>
        <v/>
      </c>
      <c r="G1104" s="135" t="e">
        <f>IF(A1104&lt;&gt;"",IF(AND(#REF!="Padrão",$H$4=#REF!),BDI!$B$17,IF(AND(#REF!="Padrão",$H$4=#REF!),BDI!#REF!,IF(AND(#REF!="Diferenciado",$H$4=#REF!),BDI!$E$17,IF(AND(#REF!="Diferenciado",$H$4=#REF!),BDI!#REF!,IF(#REF!="ZERO",0))))),"")</f>
        <v>#REF!</v>
      </c>
      <c r="H1104" s="136" t="str">
        <f t="shared" si="52"/>
        <v/>
      </c>
      <c r="I1104" s="134" t="str">
        <f t="shared" si="53"/>
        <v/>
      </c>
      <c r="J1104" s="226"/>
    </row>
    <row r="1105" spans="1:11" hidden="1" x14ac:dyDescent="0.25">
      <c r="A1105" s="112" t="s">
        <v>2986</v>
      </c>
      <c r="B1105" s="113" t="s">
        <v>2987</v>
      </c>
      <c r="C1105" s="114" t="s">
        <v>20</v>
      </c>
      <c r="D1105" s="114">
        <v>0</v>
      </c>
      <c r="E1105" s="133" t="s">
        <v>514</v>
      </c>
      <c r="F1105" s="134" t="str">
        <f t="shared" si="51"/>
        <v/>
      </c>
      <c r="G1105" s="135" t="e">
        <f>IF(A1105&lt;&gt;"",IF(AND(#REF!="Padrão",$H$4=#REF!),BDI!$B$17,IF(AND(#REF!="Padrão",$H$4=#REF!),BDI!#REF!,IF(AND(#REF!="Diferenciado",$H$4=#REF!),BDI!$E$17,IF(AND(#REF!="Diferenciado",$H$4=#REF!),BDI!#REF!,IF(#REF!="ZERO",0))))),"")</f>
        <v>#REF!</v>
      </c>
      <c r="H1105" s="136" t="str">
        <f t="shared" si="52"/>
        <v/>
      </c>
      <c r="I1105" s="134" t="str">
        <f t="shared" si="53"/>
        <v/>
      </c>
      <c r="J1105" s="226"/>
    </row>
    <row r="1106" spans="1:11" hidden="1" x14ac:dyDescent="0.25">
      <c r="A1106" s="112" t="s">
        <v>1200</v>
      </c>
      <c r="B1106" s="113" t="s">
        <v>2988</v>
      </c>
      <c r="C1106" s="114" t="s">
        <v>92</v>
      </c>
      <c r="D1106" s="114">
        <v>0</v>
      </c>
      <c r="E1106" s="133">
        <f ca="1">OFFSET(INDEX(Composições!A:J,MATCH(Orçamentária!A1106,Composições!A:A,0),8),2,0)</f>
        <v>46.131089899999992</v>
      </c>
      <c r="F1106" s="134">
        <f t="shared" ca="1" si="51"/>
        <v>0</v>
      </c>
      <c r="G1106" s="135" t="e">
        <f>IF(A1106&lt;&gt;"",IF(AND(#REF!="Padrão",$H$4=#REF!),BDI!$B$17,IF(AND(#REF!="Padrão",$H$4=#REF!),BDI!#REF!,IF(AND(#REF!="Diferenciado",$H$4=#REF!),BDI!$E$17,IF(AND(#REF!="Diferenciado",$H$4=#REF!),BDI!#REF!,IF(#REF!="ZERO",0))))),"")</f>
        <v>#REF!</v>
      </c>
      <c r="H1106" s="136" t="e">
        <f t="shared" ca="1" si="52"/>
        <v>#REF!</v>
      </c>
      <c r="I1106" s="134" t="e">
        <f t="shared" ca="1" si="53"/>
        <v>#REF!</v>
      </c>
      <c r="J1106" s="226"/>
    </row>
    <row r="1107" spans="1:11" hidden="1" x14ac:dyDescent="0.25">
      <c r="A1107" s="112" t="s">
        <v>1202</v>
      </c>
      <c r="B1107" s="113" t="s">
        <v>2989</v>
      </c>
      <c r="C1107" s="114" t="s">
        <v>2444</v>
      </c>
      <c r="D1107" s="114">
        <v>0</v>
      </c>
      <c r="E1107" s="133">
        <f ca="1">OFFSET(INDEX(Composições!A:J,MATCH(Orçamentária!A1107,Composições!A:A,0),8),2,0)</f>
        <v>1682.7891499999998</v>
      </c>
      <c r="F1107" s="134">
        <f t="shared" ca="1" si="51"/>
        <v>0</v>
      </c>
      <c r="G1107" s="135" t="e">
        <f>IF(A1107&lt;&gt;"",IF(AND(#REF!="Padrão",$H$4=#REF!),BDI!$B$17,IF(AND(#REF!="Padrão",$H$4=#REF!),BDI!#REF!,IF(AND(#REF!="Diferenciado",$H$4=#REF!),BDI!$E$17,IF(AND(#REF!="Diferenciado",$H$4=#REF!),BDI!#REF!,IF(#REF!="ZERO",0))))),"")</f>
        <v>#REF!</v>
      </c>
      <c r="H1107" s="136" t="e">
        <f t="shared" ca="1" si="52"/>
        <v>#REF!</v>
      </c>
      <c r="I1107" s="134" t="e">
        <f t="shared" ca="1" si="53"/>
        <v>#REF!</v>
      </c>
      <c r="J1107" s="226"/>
    </row>
    <row r="1108" spans="1:11" hidden="1" x14ac:dyDescent="0.25">
      <c r="A1108" s="112" t="s">
        <v>2990</v>
      </c>
      <c r="B1108" s="113" t="s">
        <v>2991</v>
      </c>
      <c r="C1108" s="114" t="s">
        <v>2651</v>
      </c>
      <c r="D1108" s="114">
        <v>0</v>
      </c>
      <c r="E1108" s="133" t="s">
        <v>514</v>
      </c>
      <c r="F1108" s="134" t="str">
        <f t="shared" si="51"/>
        <v/>
      </c>
      <c r="G1108" s="135" t="e">
        <f>IF(A1108&lt;&gt;"",IF(AND(#REF!="Padrão",$H$4=#REF!),BDI!$B$17,IF(AND(#REF!="Padrão",$H$4=#REF!),BDI!#REF!,IF(AND(#REF!="Diferenciado",$H$4=#REF!),BDI!$E$17,IF(AND(#REF!="Diferenciado",$H$4=#REF!),BDI!#REF!,IF(#REF!="ZERO",0))))),"")</f>
        <v>#REF!</v>
      </c>
      <c r="H1108" s="136" t="str">
        <f t="shared" si="52"/>
        <v/>
      </c>
      <c r="I1108" s="134" t="str">
        <f t="shared" si="53"/>
        <v/>
      </c>
      <c r="J1108" s="226"/>
    </row>
    <row r="1109" spans="1:11" hidden="1" x14ac:dyDescent="0.25">
      <c r="A1109" s="112" t="s">
        <v>1204</v>
      </c>
      <c r="B1109" s="113" t="s">
        <v>2992</v>
      </c>
      <c r="C1109" s="114" t="s">
        <v>94</v>
      </c>
      <c r="D1109" s="114">
        <v>0</v>
      </c>
      <c r="E1109" s="133">
        <f ca="1">OFFSET(INDEX(Composições!A:J,MATCH(Orçamentária!A1109,Composições!A:A,0),8),2,0)</f>
        <v>10.9459</v>
      </c>
      <c r="F1109" s="134">
        <f t="shared" ca="1" si="51"/>
        <v>0</v>
      </c>
      <c r="G1109" s="135" t="e">
        <f>IF(A1109&lt;&gt;"",IF(AND(#REF!="Padrão",$H$4=#REF!),BDI!$B$17,IF(AND(#REF!="Padrão",$H$4=#REF!),BDI!#REF!,IF(AND(#REF!="Diferenciado",$H$4=#REF!),BDI!$E$17,IF(AND(#REF!="Diferenciado",$H$4=#REF!),BDI!#REF!,IF(#REF!="ZERO",0))))),"")</f>
        <v>#REF!</v>
      </c>
      <c r="H1109" s="136" t="e">
        <f t="shared" ca="1" si="52"/>
        <v>#REF!</v>
      </c>
      <c r="I1109" s="134" t="e">
        <f t="shared" ca="1" si="53"/>
        <v>#REF!</v>
      </c>
      <c r="J1109" s="226"/>
    </row>
    <row r="1110" spans="1:11" hidden="1" x14ac:dyDescent="0.25">
      <c r="A1110" s="112" t="s">
        <v>1206</v>
      </c>
      <c r="B1110" s="113" t="s">
        <v>2993</v>
      </c>
      <c r="C1110" s="114" t="s">
        <v>94</v>
      </c>
      <c r="D1110" s="114">
        <v>0</v>
      </c>
      <c r="E1110" s="133">
        <f ca="1">OFFSET(INDEX(Composições!A:J,MATCH(Orçamentária!A1110,Composições!A:A,0),8),2,0)</f>
        <v>57.587669999999996</v>
      </c>
      <c r="F1110" s="134">
        <f t="shared" ca="1" si="51"/>
        <v>0</v>
      </c>
      <c r="G1110" s="135" t="e">
        <f>IF(A1110&lt;&gt;"",IF(AND(#REF!="Padrão",$H$4=#REF!),BDI!$B$17,IF(AND(#REF!="Padrão",$H$4=#REF!),BDI!#REF!,IF(AND(#REF!="Diferenciado",$H$4=#REF!),BDI!$E$17,IF(AND(#REF!="Diferenciado",$H$4=#REF!),BDI!#REF!,IF(#REF!="ZERO",0))))),"")</f>
        <v>#REF!</v>
      </c>
      <c r="H1110" s="136" t="e">
        <f t="shared" ca="1" si="52"/>
        <v>#REF!</v>
      </c>
      <c r="I1110" s="134" t="e">
        <f t="shared" ca="1" si="53"/>
        <v>#REF!</v>
      </c>
      <c r="J1110" s="226"/>
    </row>
    <row r="1111" spans="1:11" hidden="1" x14ac:dyDescent="0.25">
      <c r="A1111" s="112" t="s">
        <v>1209</v>
      </c>
      <c r="B1111" s="113" t="s">
        <v>6299</v>
      </c>
      <c r="C1111" s="114" t="s">
        <v>94</v>
      </c>
      <c r="D1111" s="114">
        <v>0</v>
      </c>
      <c r="E1111" s="133">
        <f ca="1">OFFSET(INDEX(Composições!A:J,MATCH(Orçamentária!A1111,Composições!A:A,0),8),2,0)</f>
        <v>54.665906999999997</v>
      </c>
      <c r="F1111" s="134">
        <f t="shared" ca="1" si="51"/>
        <v>0</v>
      </c>
      <c r="G1111" s="135" t="e">
        <f>IF(A1111&lt;&gt;"",IF(AND(#REF!="Padrão",$H$4=#REF!),BDI!$B$17,IF(AND(#REF!="Padrão",$H$4=#REF!),BDI!#REF!,IF(AND(#REF!="Diferenciado",$H$4=#REF!),BDI!$E$17,IF(AND(#REF!="Diferenciado",$H$4=#REF!),BDI!#REF!,IF(#REF!="ZERO",0))))),"")</f>
        <v>#REF!</v>
      </c>
      <c r="H1111" s="136" t="e">
        <f t="shared" ca="1" si="52"/>
        <v>#REF!</v>
      </c>
      <c r="I1111" s="134" t="e">
        <f t="shared" ca="1" si="53"/>
        <v>#REF!</v>
      </c>
      <c r="J1111" s="226"/>
    </row>
    <row r="1112" spans="1:11" hidden="1" x14ac:dyDescent="0.25">
      <c r="A1112" s="112" t="s">
        <v>1211</v>
      </c>
      <c r="B1112" s="113" t="s">
        <v>6300</v>
      </c>
      <c r="C1112" s="114" t="s">
        <v>94</v>
      </c>
      <c r="D1112" s="114">
        <v>0</v>
      </c>
      <c r="E1112" s="133">
        <f ca="1">OFFSET(INDEX(Composições!A:J,MATCH(Orçamentária!A1112,Composições!A:A,0),8),2,0)</f>
        <v>54.665906999999997</v>
      </c>
      <c r="F1112" s="134">
        <f t="shared" ca="1" si="51"/>
        <v>0</v>
      </c>
      <c r="G1112" s="135" t="e">
        <f>IF(A1112&lt;&gt;"",IF(AND(#REF!="Padrão",$H$4=#REF!),BDI!$B$17,IF(AND(#REF!="Padrão",$H$4=#REF!),BDI!#REF!,IF(AND(#REF!="Diferenciado",$H$4=#REF!),BDI!$E$17,IF(AND(#REF!="Diferenciado",$H$4=#REF!),BDI!#REF!,IF(#REF!="ZERO",0))))),"")</f>
        <v>#REF!</v>
      </c>
      <c r="H1112" s="136" t="e">
        <f t="shared" ca="1" si="52"/>
        <v>#REF!</v>
      </c>
      <c r="I1112" s="134" t="e">
        <f t="shared" ca="1" si="53"/>
        <v>#REF!</v>
      </c>
      <c r="J1112" s="226"/>
    </row>
    <row r="1113" spans="1:11" s="161" customFormat="1" hidden="1" x14ac:dyDescent="0.25">
      <c r="A1113" s="162" t="s">
        <v>1213</v>
      </c>
      <c r="B1113" s="163" t="s">
        <v>6301</v>
      </c>
      <c r="C1113" s="164" t="s">
        <v>94</v>
      </c>
      <c r="D1113" s="164">
        <v>225</v>
      </c>
      <c r="E1113" s="133">
        <f ca="1">OFFSET(INDEX(Composições!A:J,MATCH(Orçamentária!A1113,Composições!A:A,0),8),2,0)</f>
        <v>126.683165</v>
      </c>
      <c r="F1113" s="134">
        <f t="shared" ca="1" si="51"/>
        <v>28503.712125000002</v>
      </c>
      <c r="G1113" s="135">
        <f>BDI!$B$17</f>
        <v>0.191</v>
      </c>
      <c r="H1113" s="136">
        <f t="shared" ca="1" si="52"/>
        <v>150.88</v>
      </c>
      <c r="I1113" s="182">
        <f t="shared" ca="1" si="53"/>
        <v>33948</v>
      </c>
      <c r="J1113" s="226"/>
      <c r="K1113" s="224" t="s">
        <v>8074</v>
      </c>
    </row>
    <row r="1114" spans="1:11" hidden="1" x14ac:dyDescent="0.25">
      <c r="A1114" s="112" t="s">
        <v>1216</v>
      </c>
      <c r="B1114" s="113" t="s">
        <v>2994</v>
      </c>
      <c r="C1114" s="114" t="s">
        <v>94</v>
      </c>
      <c r="D1114" s="114">
        <v>0</v>
      </c>
      <c r="E1114" s="133">
        <f ca="1">OFFSET(INDEX(Composições!A:J,MATCH(Orçamentária!A1114,Composições!A:A,0),8),2,0)</f>
        <v>107.82499999999999</v>
      </c>
      <c r="F1114" s="134">
        <f t="shared" ca="1" si="51"/>
        <v>0</v>
      </c>
      <c r="G1114" s="135" t="e">
        <f>IF(A1114&lt;&gt;"",IF(AND(#REF!="Padrão",$H$4=#REF!),BDI!$B$17,IF(AND(#REF!="Padrão",$H$4=#REF!),BDI!#REF!,IF(AND(#REF!="Diferenciado",$H$4=#REF!),BDI!$E$17,IF(AND(#REF!="Diferenciado",$H$4=#REF!),BDI!#REF!,IF(#REF!="ZERO",0))))),"")</f>
        <v>#REF!</v>
      </c>
      <c r="H1114" s="136" t="e">
        <f t="shared" ca="1" si="52"/>
        <v>#REF!</v>
      </c>
      <c r="I1114" s="134" t="e">
        <f t="shared" ca="1" si="53"/>
        <v>#REF!</v>
      </c>
      <c r="J1114" s="226"/>
    </row>
    <row r="1115" spans="1:11" s="161" customFormat="1" hidden="1" x14ac:dyDescent="0.25">
      <c r="A1115" s="162" t="s">
        <v>1217</v>
      </c>
      <c r="B1115" s="163" t="s">
        <v>2995</v>
      </c>
      <c r="C1115" s="164" t="s">
        <v>94</v>
      </c>
      <c r="D1115" s="164">
        <v>400</v>
      </c>
      <c r="E1115" s="133">
        <f ca="1">OFFSET(INDEX(Composições!A:J,MATCH(Orçamentária!A1115,Composições!A:A,0),8),2,0)</f>
        <v>330.38787500000001</v>
      </c>
      <c r="F1115" s="134">
        <f t="shared" ca="1" si="51"/>
        <v>132155.15</v>
      </c>
      <c r="G1115" s="135">
        <f>BDI!$B$17</f>
        <v>0.191</v>
      </c>
      <c r="H1115" s="136">
        <f t="shared" ca="1" si="52"/>
        <v>393.49</v>
      </c>
      <c r="I1115" s="182">
        <f t="shared" ca="1" si="53"/>
        <v>157396</v>
      </c>
      <c r="J1115" s="226"/>
      <c r="K1115" s="224" t="s">
        <v>8074</v>
      </c>
    </row>
    <row r="1116" spans="1:11" hidden="1" x14ac:dyDescent="0.25">
      <c r="A1116" s="112" t="s">
        <v>1219</v>
      </c>
      <c r="B1116" s="113" t="s">
        <v>2996</v>
      </c>
      <c r="C1116" s="114" t="s">
        <v>92</v>
      </c>
      <c r="D1116" s="114">
        <v>0</v>
      </c>
      <c r="E1116" s="133">
        <f ca="1">OFFSET(INDEX(Composições!A:J,MATCH(Orçamentária!A1116,Composições!A:A,0),8),2,0)</f>
        <v>66.304774999999992</v>
      </c>
      <c r="F1116" s="134">
        <f t="shared" ca="1" si="51"/>
        <v>0</v>
      </c>
      <c r="G1116" s="135" t="e">
        <f>IF(A1116&lt;&gt;"",IF(AND(#REF!="Padrão",$H$4=#REF!),BDI!$B$17,IF(AND(#REF!="Padrão",$H$4=#REF!),BDI!#REF!,IF(AND(#REF!="Diferenciado",$H$4=#REF!),BDI!$E$17,IF(AND(#REF!="Diferenciado",$H$4=#REF!),BDI!#REF!,IF(#REF!="ZERO",0))))),"")</f>
        <v>#REF!</v>
      </c>
      <c r="H1116" s="136" t="e">
        <f t="shared" ca="1" si="52"/>
        <v>#REF!</v>
      </c>
      <c r="I1116" s="134" t="e">
        <f t="shared" ca="1" si="53"/>
        <v>#REF!</v>
      </c>
      <c r="J1116" s="226"/>
    </row>
    <row r="1117" spans="1:11" hidden="1" x14ac:dyDescent="0.25">
      <c r="A1117" s="112" t="s">
        <v>1221</v>
      </c>
      <c r="B1117" s="113" t="s">
        <v>2997</v>
      </c>
      <c r="C1117" s="114" t="s">
        <v>94</v>
      </c>
      <c r="D1117" s="114">
        <v>0</v>
      </c>
      <c r="E1117" s="133">
        <f ca="1">OFFSET(INDEX(Composições!A:J,MATCH(Orçamentária!A1117,Composições!A:A,0),8),2,0)</f>
        <v>17.598275000000001</v>
      </c>
      <c r="F1117" s="134">
        <f t="shared" ca="1" si="51"/>
        <v>0</v>
      </c>
      <c r="G1117" s="135" t="e">
        <f>IF(A1117&lt;&gt;"",IF(AND(#REF!="Padrão",$H$4=#REF!),BDI!$B$17,IF(AND(#REF!="Padrão",$H$4=#REF!),BDI!#REF!,IF(AND(#REF!="Diferenciado",$H$4=#REF!),BDI!$E$17,IF(AND(#REF!="Diferenciado",$H$4=#REF!),BDI!#REF!,IF(#REF!="ZERO",0))))),"")</f>
        <v>#REF!</v>
      </c>
      <c r="H1117" s="136" t="e">
        <f t="shared" ca="1" si="52"/>
        <v>#REF!</v>
      </c>
      <c r="I1117" s="134" t="e">
        <f t="shared" ca="1" si="53"/>
        <v>#REF!</v>
      </c>
      <c r="J1117" s="226"/>
    </row>
    <row r="1118" spans="1:11" s="161" customFormat="1" hidden="1" x14ac:dyDescent="0.25">
      <c r="A1118" s="162" t="s">
        <v>1224</v>
      </c>
      <c r="B1118" s="163" t="s">
        <v>6302</v>
      </c>
      <c r="C1118" s="164" t="s">
        <v>94</v>
      </c>
      <c r="D1118" s="164">
        <v>600</v>
      </c>
      <c r="E1118" s="133">
        <f ca="1">OFFSET(INDEX(Composições!A:J,MATCH(Orçamentária!A1118,Composições!A:A,0),8),2,0)</f>
        <v>49.523499999999999</v>
      </c>
      <c r="F1118" s="134">
        <f t="shared" ca="1" si="51"/>
        <v>29714.1</v>
      </c>
      <c r="G1118" s="135">
        <f>BDI!$B$17</f>
        <v>0.191</v>
      </c>
      <c r="H1118" s="136">
        <f t="shared" ca="1" si="52"/>
        <v>58.98</v>
      </c>
      <c r="I1118" s="182">
        <f t="shared" ca="1" si="53"/>
        <v>35388</v>
      </c>
      <c r="J1118" s="226"/>
      <c r="K1118" s="224" t="s">
        <v>8074</v>
      </c>
    </row>
    <row r="1119" spans="1:11" s="161" customFormat="1" hidden="1" x14ac:dyDescent="0.25">
      <c r="A1119" s="162" t="s">
        <v>1226</v>
      </c>
      <c r="B1119" s="163" t="s">
        <v>6303</v>
      </c>
      <c r="C1119" s="164" t="s">
        <v>94</v>
      </c>
      <c r="D1119" s="164">
        <v>400</v>
      </c>
      <c r="E1119" s="133">
        <f ca="1">OFFSET(INDEX(Composições!A:J,MATCH(Orçamentária!A1119,Composições!A:A,0),8),2,0)</f>
        <v>223.2502356</v>
      </c>
      <c r="F1119" s="134">
        <f t="shared" ca="1" si="51"/>
        <v>89300.094240000006</v>
      </c>
      <c r="G1119" s="135">
        <f>BDI!$B$17</f>
        <v>0.191</v>
      </c>
      <c r="H1119" s="136">
        <f t="shared" ca="1" si="52"/>
        <v>265.89</v>
      </c>
      <c r="I1119" s="182">
        <f t="shared" ca="1" si="53"/>
        <v>106356</v>
      </c>
      <c r="J1119" s="226"/>
      <c r="K1119" s="224" t="s">
        <v>8074</v>
      </c>
    </row>
    <row r="1120" spans="1:11" hidden="1" x14ac:dyDescent="0.25">
      <c r="A1120" s="112" t="s">
        <v>1229</v>
      </c>
      <c r="B1120" s="113" t="s">
        <v>2998</v>
      </c>
      <c r="C1120" s="114" t="s">
        <v>94</v>
      </c>
      <c r="D1120" s="114">
        <v>0</v>
      </c>
      <c r="E1120" s="133">
        <f ca="1">OFFSET(INDEX(Composições!A:J,MATCH(Orçamentária!A1120,Composições!A:A,0),8),2,0)</f>
        <v>99.246265350000002</v>
      </c>
      <c r="F1120" s="134">
        <f t="shared" ca="1" si="51"/>
        <v>0</v>
      </c>
      <c r="G1120" s="135" t="e">
        <f>IF(A1120&lt;&gt;"",IF(AND(#REF!="Padrão",$H$4=#REF!),BDI!$B$17,IF(AND(#REF!="Padrão",$H$4=#REF!),BDI!#REF!,IF(AND(#REF!="Diferenciado",$H$4=#REF!),BDI!$E$17,IF(AND(#REF!="Diferenciado",$H$4=#REF!),BDI!#REF!,IF(#REF!="ZERO",0))))),"")</f>
        <v>#REF!</v>
      </c>
      <c r="H1120" s="136" t="e">
        <f t="shared" ca="1" si="52"/>
        <v>#REF!</v>
      </c>
      <c r="I1120" s="134" t="e">
        <f t="shared" ca="1" si="53"/>
        <v>#REF!</v>
      </c>
      <c r="J1120" s="226"/>
    </row>
    <row r="1121" spans="1:11" s="161" customFormat="1" hidden="1" x14ac:dyDescent="0.25">
      <c r="A1121" s="162" t="s">
        <v>1230</v>
      </c>
      <c r="B1121" s="163" t="s">
        <v>6304</v>
      </c>
      <c r="C1121" s="164" t="s">
        <v>94</v>
      </c>
      <c r="D1121" s="164">
        <v>380</v>
      </c>
      <c r="E1121" s="133">
        <f ca="1">OFFSET(INDEX(Composições!A:J,MATCH(Orçamentária!A1121,Composições!A:A,0),8),2,0)</f>
        <v>98.265580805000013</v>
      </c>
      <c r="F1121" s="134">
        <f t="shared" ca="1" si="51"/>
        <v>37340.920705900004</v>
      </c>
      <c r="G1121" s="135">
        <f>BDI!$B$17</f>
        <v>0.191</v>
      </c>
      <c r="H1121" s="136">
        <f t="shared" ca="1" si="52"/>
        <v>117.03</v>
      </c>
      <c r="I1121" s="182">
        <f t="shared" ca="1" si="53"/>
        <v>44471.4</v>
      </c>
      <c r="J1121" s="226"/>
      <c r="K1121" s="224" t="s">
        <v>8074</v>
      </c>
    </row>
    <row r="1122" spans="1:11" hidden="1" x14ac:dyDescent="0.25">
      <c r="A1122" s="112" t="s">
        <v>1232</v>
      </c>
      <c r="B1122" s="113" t="s">
        <v>6305</v>
      </c>
      <c r="C1122" s="114" t="s">
        <v>94</v>
      </c>
      <c r="D1122" s="114">
        <v>0</v>
      </c>
      <c r="E1122" s="133">
        <f ca="1">OFFSET(INDEX(Composições!A:J,MATCH(Orçamentária!A1122,Composições!A:A,0),8),2,0)</f>
        <v>11.453485000000001</v>
      </c>
      <c r="F1122" s="134">
        <f t="shared" ca="1" si="51"/>
        <v>0</v>
      </c>
      <c r="G1122" s="135" t="e">
        <f>IF(A1122&lt;&gt;"",IF(AND(#REF!="Padrão",$H$4=#REF!),BDI!$B$17,IF(AND(#REF!="Padrão",$H$4=#REF!),BDI!#REF!,IF(AND(#REF!="Diferenciado",$H$4=#REF!),BDI!$E$17,IF(AND(#REF!="Diferenciado",$H$4=#REF!),BDI!#REF!,IF(#REF!="ZERO",0))))),"")</f>
        <v>#REF!</v>
      </c>
      <c r="H1122" s="136" t="e">
        <f t="shared" ca="1" si="52"/>
        <v>#REF!</v>
      </c>
      <c r="I1122" s="134" t="e">
        <f t="shared" ca="1" si="53"/>
        <v>#REF!</v>
      </c>
      <c r="J1122" s="226"/>
    </row>
    <row r="1123" spans="1:11" hidden="1" x14ac:dyDescent="0.25">
      <c r="A1123" s="112" t="s">
        <v>1234</v>
      </c>
      <c r="B1123" s="113" t="s">
        <v>6306</v>
      </c>
      <c r="C1123" s="114" t="s">
        <v>94</v>
      </c>
      <c r="D1123" s="114">
        <v>0</v>
      </c>
      <c r="E1123" s="133">
        <f ca="1">OFFSET(INDEX(Composições!A:J,MATCH(Orçamentária!A1123,Composições!A:A,0),8),2,0)</f>
        <v>11.453485000000001</v>
      </c>
      <c r="F1123" s="134">
        <f t="shared" ca="1" si="51"/>
        <v>0</v>
      </c>
      <c r="G1123" s="135" t="e">
        <f>IF(A1123&lt;&gt;"",IF(AND(#REF!="Padrão",$H$4=#REF!),BDI!$B$17,IF(AND(#REF!="Padrão",$H$4=#REF!),BDI!#REF!,IF(AND(#REF!="Diferenciado",$H$4=#REF!),BDI!$E$17,IF(AND(#REF!="Diferenciado",$H$4=#REF!),BDI!#REF!,IF(#REF!="ZERO",0))))),"")</f>
        <v>#REF!</v>
      </c>
      <c r="H1123" s="136" t="e">
        <f t="shared" ca="1" si="52"/>
        <v>#REF!</v>
      </c>
      <c r="I1123" s="134" t="e">
        <f t="shared" ca="1" si="53"/>
        <v>#REF!</v>
      </c>
      <c r="J1123" s="226"/>
    </row>
    <row r="1124" spans="1:11" hidden="1" x14ac:dyDescent="0.25">
      <c r="A1124" s="112" t="s">
        <v>1236</v>
      </c>
      <c r="B1124" s="113" t="s">
        <v>2999</v>
      </c>
      <c r="C1124" s="114" t="s">
        <v>94</v>
      </c>
      <c r="D1124" s="114">
        <v>0</v>
      </c>
      <c r="E1124" s="133">
        <f ca="1">OFFSET(INDEX(Composições!A:J,MATCH(Orçamentária!A1124,Composições!A:A,0),8),2,0)</f>
        <v>39.432732049999998</v>
      </c>
      <c r="F1124" s="134">
        <f t="shared" ca="1" si="51"/>
        <v>0</v>
      </c>
      <c r="G1124" s="135" t="e">
        <f>IF(A1124&lt;&gt;"",IF(AND(#REF!="Padrão",$H$4=#REF!),BDI!$B$17,IF(AND(#REF!="Padrão",$H$4=#REF!),BDI!#REF!,IF(AND(#REF!="Diferenciado",$H$4=#REF!),BDI!$E$17,IF(AND(#REF!="Diferenciado",$H$4=#REF!),BDI!#REF!,IF(#REF!="ZERO",0))))),"")</f>
        <v>#REF!</v>
      </c>
      <c r="H1124" s="136" t="e">
        <f t="shared" ca="1" si="52"/>
        <v>#REF!</v>
      </c>
      <c r="I1124" s="134" t="e">
        <f t="shared" ca="1" si="53"/>
        <v>#REF!</v>
      </c>
      <c r="J1124" s="226"/>
    </row>
    <row r="1125" spans="1:11" hidden="1" x14ac:dyDescent="0.25">
      <c r="A1125" s="112" t="s">
        <v>1240</v>
      </c>
      <c r="B1125" s="113" t="s">
        <v>6307</v>
      </c>
      <c r="C1125" s="114" t="s">
        <v>94</v>
      </c>
      <c r="D1125" s="114">
        <v>0</v>
      </c>
      <c r="E1125" s="133">
        <f ca="1">OFFSET(INDEX(Composições!A:J,MATCH(Orçamentária!A1125,Composições!A:A,0),8),2,0)</f>
        <v>13.004084499999998</v>
      </c>
      <c r="F1125" s="134">
        <f t="shared" ca="1" si="51"/>
        <v>0</v>
      </c>
      <c r="G1125" s="135" t="e">
        <f>IF(A1125&lt;&gt;"",IF(AND(#REF!="Padrão",$H$4=#REF!),BDI!$B$17,IF(AND(#REF!="Padrão",$H$4=#REF!),BDI!#REF!,IF(AND(#REF!="Diferenciado",$H$4=#REF!),BDI!$E$17,IF(AND(#REF!="Diferenciado",$H$4=#REF!),BDI!#REF!,IF(#REF!="ZERO",0))))),"")</f>
        <v>#REF!</v>
      </c>
      <c r="H1125" s="136" t="e">
        <f t="shared" ca="1" si="52"/>
        <v>#REF!</v>
      </c>
      <c r="I1125" s="134" t="e">
        <f t="shared" ca="1" si="53"/>
        <v>#REF!</v>
      </c>
      <c r="J1125" s="226"/>
    </row>
    <row r="1126" spans="1:11" hidden="1" x14ac:dyDescent="0.25">
      <c r="A1126" s="112" t="s">
        <v>1241</v>
      </c>
      <c r="B1126" s="113" t="s">
        <v>6308</v>
      </c>
      <c r="C1126" s="114" t="s">
        <v>94</v>
      </c>
      <c r="D1126" s="114">
        <v>0</v>
      </c>
      <c r="E1126" s="133">
        <f ca="1">OFFSET(INDEX(Composições!A:J,MATCH(Orçamentária!A1126,Composições!A:A,0),8),2,0)</f>
        <v>15.69112625</v>
      </c>
      <c r="F1126" s="134">
        <f t="shared" ca="1" si="51"/>
        <v>0</v>
      </c>
      <c r="G1126" s="135" t="e">
        <f>IF(A1126&lt;&gt;"",IF(AND(#REF!="Padrão",$H$4=#REF!),BDI!$B$17,IF(AND(#REF!="Padrão",$H$4=#REF!),BDI!#REF!,IF(AND(#REF!="Diferenciado",$H$4=#REF!),BDI!$E$17,IF(AND(#REF!="Diferenciado",$H$4=#REF!),BDI!#REF!,IF(#REF!="ZERO",0))))),"")</f>
        <v>#REF!</v>
      </c>
      <c r="H1126" s="136" t="e">
        <f t="shared" ca="1" si="52"/>
        <v>#REF!</v>
      </c>
      <c r="I1126" s="134" t="e">
        <f t="shared" ca="1" si="53"/>
        <v>#REF!</v>
      </c>
      <c r="J1126" s="226"/>
    </row>
    <row r="1127" spans="1:11" hidden="1" x14ac:dyDescent="0.25">
      <c r="A1127" s="112" t="s">
        <v>1243</v>
      </c>
      <c r="B1127" s="113" t="s">
        <v>3000</v>
      </c>
      <c r="C1127" s="114" t="s">
        <v>94</v>
      </c>
      <c r="D1127" s="114">
        <v>0</v>
      </c>
      <c r="E1127" s="133" t="s">
        <v>514</v>
      </c>
      <c r="F1127" s="134" t="str">
        <f t="shared" si="51"/>
        <v/>
      </c>
      <c r="G1127" s="135" t="e">
        <f>IF(A1127&lt;&gt;"",IF(AND(#REF!="Padrão",$H$4=#REF!),BDI!$B$17,IF(AND(#REF!="Padrão",$H$4=#REF!),BDI!#REF!,IF(AND(#REF!="Diferenciado",$H$4=#REF!),BDI!$E$17,IF(AND(#REF!="Diferenciado",$H$4=#REF!),BDI!#REF!,IF(#REF!="ZERO",0))))),"")</f>
        <v>#REF!</v>
      </c>
      <c r="H1127" s="136" t="str">
        <f t="shared" si="52"/>
        <v/>
      </c>
      <c r="I1127" s="134" t="str">
        <f t="shared" si="53"/>
        <v/>
      </c>
      <c r="J1127" s="226"/>
    </row>
    <row r="1128" spans="1:11" hidden="1" x14ac:dyDescent="0.25">
      <c r="A1128" s="112" t="s">
        <v>1244</v>
      </c>
      <c r="B1128" s="113" t="s">
        <v>3001</v>
      </c>
      <c r="C1128" s="114" t="s">
        <v>94</v>
      </c>
      <c r="D1128" s="114">
        <v>0</v>
      </c>
      <c r="E1128" s="133">
        <f ca="1">OFFSET(INDEX(Composições!A:J,MATCH(Orçamentária!A1128,Composições!A:A,0),8),2,0)</f>
        <v>18.243552999999999</v>
      </c>
      <c r="F1128" s="134">
        <f t="shared" ca="1" si="51"/>
        <v>0</v>
      </c>
      <c r="G1128" s="135" t="e">
        <f>IF(A1128&lt;&gt;"",IF(AND(#REF!="Padrão",$H$4=#REF!),BDI!$B$17,IF(AND(#REF!="Padrão",$H$4=#REF!),BDI!#REF!,IF(AND(#REF!="Diferenciado",$H$4=#REF!),BDI!$E$17,IF(AND(#REF!="Diferenciado",$H$4=#REF!),BDI!#REF!,IF(#REF!="ZERO",0))))),"")</f>
        <v>#REF!</v>
      </c>
      <c r="H1128" s="136" t="e">
        <f t="shared" ca="1" si="52"/>
        <v>#REF!</v>
      </c>
      <c r="I1128" s="134" t="e">
        <f t="shared" ca="1" si="53"/>
        <v>#REF!</v>
      </c>
      <c r="J1128" s="226"/>
    </row>
    <row r="1129" spans="1:11" hidden="1" x14ac:dyDescent="0.25">
      <c r="A1129" s="112" t="s">
        <v>1245</v>
      </c>
      <c r="B1129" s="113" t="s">
        <v>3002</v>
      </c>
      <c r="C1129" s="114" t="s">
        <v>94</v>
      </c>
      <c r="D1129" s="114">
        <v>0</v>
      </c>
      <c r="E1129" s="133">
        <f ca="1">OFFSET(INDEX(Composições!A:J,MATCH(Orçamentária!A1129,Composições!A:A,0),8),2,0)</f>
        <v>61.033388400000007</v>
      </c>
      <c r="F1129" s="134">
        <f t="shared" ca="1" si="51"/>
        <v>0</v>
      </c>
      <c r="G1129" s="135" t="e">
        <f>IF(A1129&lt;&gt;"",IF(AND(#REF!="Padrão",$H$4=#REF!),BDI!$B$17,IF(AND(#REF!="Padrão",$H$4=#REF!),BDI!#REF!,IF(AND(#REF!="Diferenciado",$H$4=#REF!),BDI!$E$17,IF(AND(#REF!="Diferenciado",$H$4=#REF!),BDI!#REF!,IF(#REF!="ZERO",0))))),"")</f>
        <v>#REF!</v>
      </c>
      <c r="H1129" s="136" t="e">
        <f t="shared" ca="1" si="52"/>
        <v>#REF!</v>
      </c>
      <c r="I1129" s="134" t="e">
        <f t="shared" ca="1" si="53"/>
        <v>#REF!</v>
      </c>
      <c r="J1129" s="226"/>
    </row>
    <row r="1130" spans="1:11" hidden="1" x14ac:dyDescent="0.25">
      <c r="A1130" s="112" t="s">
        <v>1246</v>
      </c>
      <c r="B1130" s="113" t="s">
        <v>3003</v>
      </c>
      <c r="C1130" s="114" t="s">
        <v>94</v>
      </c>
      <c r="D1130" s="114">
        <v>0</v>
      </c>
      <c r="E1130" s="133">
        <f ca="1">OFFSET(INDEX(Composições!A:J,MATCH(Orçamentária!A1130,Composições!A:A,0),8),2,0)</f>
        <v>21.138260000000002</v>
      </c>
      <c r="F1130" s="134">
        <f t="shared" ca="1" si="51"/>
        <v>0</v>
      </c>
      <c r="G1130" s="135" t="e">
        <f>IF(A1130&lt;&gt;"",IF(AND(#REF!="Padrão",$H$4=#REF!),BDI!$B$17,IF(AND(#REF!="Padrão",$H$4=#REF!),BDI!#REF!,IF(AND(#REF!="Diferenciado",$H$4=#REF!),BDI!$E$17,IF(AND(#REF!="Diferenciado",$H$4=#REF!),BDI!#REF!,IF(#REF!="ZERO",0))))),"")</f>
        <v>#REF!</v>
      </c>
      <c r="H1130" s="136" t="e">
        <f t="shared" ca="1" si="52"/>
        <v>#REF!</v>
      </c>
      <c r="I1130" s="134" t="e">
        <f t="shared" ca="1" si="53"/>
        <v>#REF!</v>
      </c>
      <c r="J1130" s="226"/>
    </row>
    <row r="1131" spans="1:11" hidden="1" x14ac:dyDescent="0.25">
      <c r="A1131" s="112" t="s">
        <v>1247</v>
      </c>
      <c r="B1131" s="113" t="s">
        <v>3004</v>
      </c>
      <c r="C1131" s="114" t="s">
        <v>94</v>
      </c>
      <c r="D1131" s="114">
        <v>0</v>
      </c>
      <c r="E1131" s="133">
        <f ca="1">OFFSET(INDEX(Composições!A:J,MATCH(Orçamentária!A1131,Composições!A:A,0),8),2,0)</f>
        <v>1.2710145000000002</v>
      </c>
      <c r="F1131" s="134">
        <f t="shared" ca="1" si="51"/>
        <v>0</v>
      </c>
      <c r="G1131" s="135" t="e">
        <f>IF(A1131&lt;&gt;"",IF(AND(#REF!="Padrão",$H$4=#REF!),BDI!$B$17,IF(AND(#REF!="Padrão",$H$4=#REF!),BDI!#REF!,IF(AND(#REF!="Diferenciado",$H$4=#REF!),BDI!$E$17,IF(AND(#REF!="Diferenciado",$H$4=#REF!),BDI!#REF!,IF(#REF!="ZERO",0))))),"")</f>
        <v>#REF!</v>
      </c>
      <c r="H1131" s="136" t="e">
        <f t="shared" ca="1" si="52"/>
        <v>#REF!</v>
      </c>
      <c r="I1131" s="134" t="e">
        <f t="shared" ca="1" si="53"/>
        <v>#REF!</v>
      </c>
      <c r="J1131" s="226"/>
    </row>
    <row r="1132" spans="1:11" hidden="1" x14ac:dyDescent="0.25">
      <c r="A1132" s="112" t="s">
        <v>1249</v>
      </c>
      <c r="B1132" s="113" t="s">
        <v>3005</v>
      </c>
      <c r="C1132" s="114" t="s">
        <v>94</v>
      </c>
      <c r="D1132" s="114">
        <v>0</v>
      </c>
      <c r="E1132" s="133">
        <f ca="1">OFFSET(INDEX(Composições!A:J,MATCH(Orçamentária!A1132,Composições!A:A,0),8),2,0)</f>
        <v>32.121209049999997</v>
      </c>
      <c r="F1132" s="134">
        <f t="shared" ca="1" si="51"/>
        <v>0</v>
      </c>
      <c r="G1132" s="135" t="e">
        <f>IF(A1132&lt;&gt;"",IF(AND(#REF!="Padrão",$H$4=#REF!),BDI!$B$17,IF(AND(#REF!="Padrão",$H$4=#REF!),BDI!#REF!,IF(AND(#REF!="Diferenciado",$H$4=#REF!),BDI!$E$17,IF(AND(#REF!="Diferenciado",$H$4=#REF!),BDI!#REF!,IF(#REF!="ZERO",0))))),"")</f>
        <v>#REF!</v>
      </c>
      <c r="H1132" s="136" t="e">
        <f t="shared" ca="1" si="52"/>
        <v>#REF!</v>
      </c>
      <c r="I1132" s="134" t="e">
        <f t="shared" ca="1" si="53"/>
        <v>#REF!</v>
      </c>
      <c r="J1132" s="226"/>
    </row>
    <row r="1133" spans="1:11" hidden="1" x14ac:dyDescent="0.25">
      <c r="A1133" s="112" t="s">
        <v>1251</v>
      </c>
      <c r="B1133" s="113" t="s">
        <v>3006</v>
      </c>
      <c r="C1133" s="114" t="s">
        <v>92</v>
      </c>
      <c r="D1133" s="114">
        <v>0</v>
      </c>
      <c r="E1133" s="133">
        <f ca="1">OFFSET(INDEX(Composições!A:J,MATCH(Orçamentária!A1133,Composições!A:A,0),8),2,0)</f>
        <v>10.233730599999999</v>
      </c>
      <c r="F1133" s="134">
        <f t="shared" ca="1" si="51"/>
        <v>0</v>
      </c>
      <c r="G1133" s="135" t="e">
        <f>IF(A1133&lt;&gt;"",IF(AND(#REF!="Padrão",$H$4=#REF!),BDI!$B$17,IF(AND(#REF!="Padrão",$H$4=#REF!),BDI!#REF!,IF(AND(#REF!="Diferenciado",$H$4=#REF!),BDI!$E$17,IF(AND(#REF!="Diferenciado",$H$4=#REF!),BDI!#REF!,IF(#REF!="ZERO",0))))),"")</f>
        <v>#REF!</v>
      </c>
      <c r="H1133" s="136" t="e">
        <f t="shared" ca="1" si="52"/>
        <v>#REF!</v>
      </c>
      <c r="I1133" s="134" t="e">
        <f t="shared" ca="1" si="53"/>
        <v>#REF!</v>
      </c>
      <c r="J1133" s="226"/>
    </row>
    <row r="1134" spans="1:11" hidden="1" x14ac:dyDescent="0.25">
      <c r="A1134" s="112" t="s">
        <v>1257</v>
      </c>
      <c r="B1134" s="113" t="s">
        <v>3007</v>
      </c>
      <c r="C1134" s="114" t="s">
        <v>94</v>
      </c>
      <c r="D1134" s="114">
        <v>0</v>
      </c>
      <c r="E1134" s="133">
        <f ca="1">OFFSET(INDEX(Composições!A:J,MATCH(Orçamentária!A1134,Composições!A:A,0),8),2,0)</f>
        <v>71.585009394219981</v>
      </c>
      <c r="F1134" s="134">
        <f t="shared" ca="1" si="51"/>
        <v>0</v>
      </c>
      <c r="G1134" s="135" t="e">
        <f>IF(A1134&lt;&gt;"",IF(AND(#REF!="Padrão",$H$4=#REF!),BDI!$B$17,IF(AND(#REF!="Padrão",$H$4=#REF!),BDI!#REF!,IF(AND(#REF!="Diferenciado",$H$4=#REF!),BDI!$E$17,IF(AND(#REF!="Diferenciado",$H$4=#REF!),BDI!#REF!,IF(#REF!="ZERO",0))))),"")</f>
        <v>#REF!</v>
      </c>
      <c r="H1134" s="136" t="e">
        <f t="shared" ca="1" si="52"/>
        <v>#REF!</v>
      </c>
      <c r="I1134" s="134" t="e">
        <f t="shared" ca="1" si="53"/>
        <v>#REF!</v>
      </c>
      <c r="J1134" s="226"/>
    </row>
    <row r="1135" spans="1:11" hidden="1" x14ac:dyDescent="0.25">
      <c r="A1135" s="112" t="s">
        <v>1265</v>
      </c>
      <c r="B1135" s="113" t="s">
        <v>3008</v>
      </c>
      <c r="C1135" s="114" t="s">
        <v>108</v>
      </c>
      <c r="D1135" s="114">
        <v>0</v>
      </c>
      <c r="E1135" s="133">
        <f ca="1">OFFSET(INDEX(Composições!A:J,MATCH(Orçamentária!A1135,Composições!A:A,0),8),2,0)</f>
        <v>972.25529219200007</v>
      </c>
      <c r="F1135" s="134">
        <f t="shared" ca="1" si="51"/>
        <v>0</v>
      </c>
      <c r="G1135" s="135" t="e">
        <f>IF(A1135&lt;&gt;"",IF(AND(#REF!="Padrão",$H$4=#REF!),BDI!$B$17,IF(AND(#REF!="Padrão",$H$4=#REF!),BDI!#REF!,IF(AND(#REF!="Diferenciado",$H$4=#REF!),BDI!$E$17,IF(AND(#REF!="Diferenciado",$H$4=#REF!),BDI!#REF!,IF(#REF!="ZERO",0))))),"")</f>
        <v>#REF!</v>
      </c>
      <c r="H1135" s="136" t="e">
        <f t="shared" ca="1" si="52"/>
        <v>#REF!</v>
      </c>
      <c r="I1135" s="134" t="e">
        <f t="shared" ca="1" si="53"/>
        <v>#REF!</v>
      </c>
      <c r="J1135" s="226"/>
    </row>
    <row r="1136" spans="1:11" hidden="1" x14ac:dyDescent="0.25">
      <c r="A1136" s="112" t="s">
        <v>1284</v>
      </c>
      <c r="B1136" s="113" t="s">
        <v>3009</v>
      </c>
      <c r="C1136" s="114" t="s">
        <v>108</v>
      </c>
      <c r="D1136" s="114">
        <v>0</v>
      </c>
      <c r="E1136" s="133">
        <f ca="1">OFFSET(INDEX(Composições!A:J,MATCH(Orçamentária!A1136,Composições!A:A,0),8),2,0)</f>
        <v>221.04599999999999</v>
      </c>
      <c r="F1136" s="134">
        <f t="shared" ca="1" si="51"/>
        <v>0</v>
      </c>
      <c r="G1136" s="135" t="e">
        <f>IF(A1136&lt;&gt;"",IF(AND(#REF!="Padrão",$H$4=#REF!),BDI!$B$17,IF(AND(#REF!="Padrão",$H$4=#REF!),BDI!#REF!,IF(AND(#REF!="Diferenciado",$H$4=#REF!),BDI!$E$17,IF(AND(#REF!="Diferenciado",$H$4=#REF!),BDI!#REF!,IF(#REF!="ZERO",0))))),"")</f>
        <v>#REF!</v>
      </c>
      <c r="H1136" s="136" t="e">
        <f t="shared" ca="1" si="52"/>
        <v>#REF!</v>
      </c>
      <c r="I1136" s="134" t="e">
        <f t="shared" ca="1" si="53"/>
        <v>#REF!</v>
      </c>
      <c r="J1136" s="226"/>
    </row>
    <row r="1137" spans="1:11" hidden="1" x14ac:dyDescent="0.25">
      <c r="A1137" s="112" t="s">
        <v>1288</v>
      </c>
      <c r="B1137" s="113" t="s">
        <v>3010</v>
      </c>
      <c r="C1137" s="114" t="s">
        <v>94</v>
      </c>
      <c r="D1137" s="114">
        <v>0</v>
      </c>
      <c r="E1137" s="133">
        <f ca="1">OFFSET(INDEX(Composições!A:J,MATCH(Orçamentária!A1137,Composições!A:A,0),8),2,0)</f>
        <v>4.7117672500000003</v>
      </c>
      <c r="F1137" s="134">
        <f t="shared" ca="1" si="51"/>
        <v>0</v>
      </c>
      <c r="G1137" s="135" t="e">
        <f>IF(A1137&lt;&gt;"",IF(AND(#REF!="Padrão",$H$4=#REF!),BDI!$B$17,IF(AND(#REF!="Padrão",$H$4=#REF!),BDI!#REF!,IF(AND(#REF!="Diferenciado",$H$4=#REF!),BDI!$E$17,IF(AND(#REF!="Diferenciado",$H$4=#REF!),BDI!#REF!,IF(#REF!="ZERO",0))))),"")</f>
        <v>#REF!</v>
      </c>
      <c r="H1137" s="136" t="e">
        <f t="shared" ca="1" si="52"/>
        <v>#REF!</v>
      </c>
      <c r="I1137" s="134" t="e">
        <f t="shared" ca="1" si="53"/>
        <v>#REF!</v>
      </c>
      <c r="J1137" s="226"/>
    </row>
    <row r="1138" spans="1:11" s="161" customFormat="1" hidden="1" x14ac:dyDescent="0.25">
      <c r="A1138" s="162" t="s">
        <v>1291</v>
      </c>
      <c r="B1138" s="163" t="s">
        <v>3011</v>
      </c>
      <c r="C1138" s="164" t="s">
        <v>94</v>
      </c>
      <c r="D1138" s="164">
        <v>600</v>
      </c>
      <c r="E1138" s="133">
        <f ca="1">OFFSET(INDEX(Composições!A:J,MATCH(Orçamentária!A1138,Composições!A:A,0),8),2,0)</f>
        <v>71.593218850000014</v>
      </c>
      <c r="F1138" s="134">
        <f t="shared" ca="1" si="51"/>
        <v>42955.931310000007</v>
      </c>
      <c r="G1138" s="135">
        <f>BDI!$B$17</f>
        <v>0.191</v>
      </c>
      <c r="H1138" s="136">
        <f t="shared" ca="1" si="52"/>
        <v>85.27</v>
      </c>
      <c r="I1138" s="182">
        <f t="shared" ca="1" si="53"/>
        <v>51162</v>
      </c>
      <c r="J1138" s="226"/>
      <c r="K1138" s="224" t="s">
        <v>8074</v>
      </c>
    </row>
    <row r="1139" spans="1:11" hidden="1" x14ac:dyDescent="0.25">
      <c r="A1139" s="112" t="s">
        <v>1296</v>
      </c>
      <c r="B1139" s="113" t="s">
        <v>3012</v>
      </c>
      <c r="C1139" s="114" t="s">
        <v>92</v>
      </c>
      <c r="D1139" s="114">
        <v>0</v>
      </c>
      <c r="E1139" s="133">
        <f ca="1">OFFSET(INDEX(Composições!A:J,MATCH(Orçamentária!A1139,Composições!A:A,0),8),2,0)</f>
        <v>11.807755199999999</v>
      </c>
      <c r="F1139" s="134">
        <f t="shared" ca="1" si="51"/>
        <v>0</v>
      </c>
      <c r="G1139" s="135" t="e">
        <f>IF(A1139&lt;&gt;"",IF(AND(#REF!="Padrão",$H$4=#REF!),BDI!$B$17,IF(AND(#REF!="Padrão",$H$4=#REF!),BDI!#REF!,IF(AND(#REF!="Diferenciado",$H$4=#REF!),BDI!$E$17,IF(AND(#REF!="Diferenciado",$H$4=#REF!),BDI!#REF!,IF(#REF!="ZERO",0))))),"")</f>
        <v>#REF!</v>
      </c>
      <c r="H1139" s="136" t="e">
        <f t="shared" ca="1" si="52"/>
        <v>#REF!</v>
      </c>
      <c r="I1139" s="134" t="e">
        <f t="shared" ca="1" si="53"/>
        <v>#REF!</v>
      </c>
      <c r="J1139" s="226"/>
    </row>
    <row r="1140" spans="1:11" hidden="1" x14ac:dyDescent="0.25">
      <c r="A1140" s="112" t="s">
        <v>1297</v>
      </c>
      <c r="B1140" s="113" t="s">
        <v>3013</v>
      </c>
      <c r="C1140" s="114" t="s">
        <v>94</v>
      </c>
      <c r="D1140" s="114">
        <v>0</v>
      </c>
      <c r="E1140" s="133">
        <f ca="1">OFFSET(INDEX(Composições!A:J,MATCH(Orçamentária!A1140,Composições!A:A,0),8),2,0)</f>
        <v>12.962657849999999</v>
      </c>
      <c r="F1140" s="134">
        <f t="shared" ca="1" si="51"/>
        <v>0</v>
      </c>
      <c r="G1140" s="135" t="e">
        <f>IF(A1140&lt;&gt;"",IF(AND(#REF!="Padrão",$H$4=#REF!),BDI!$B$17,IF(AND(#REF!="Padrão",$H$4=#REF!),BDI!#REF!,IF(AND(#REF!="Diferenciado",$H$4=#REF!),BDI!$E$17,IF(AND(#REF!="Diferenciado",$H$4=#REF!),BDI!#REF!,IF(#REF!="ZERO",0))))),"")</f>
        <v>#REF!</v>
      </c>
      <c r="H1140" s="136" t="e">
        <f t="shared" ca="1" si="52"/>
        <v>#REF!</v>
      </c>
      <c r="I1140" s="134" t="e">
        <f t="shared" ca="1" si="53"/>
        <v>#REF!</v>
      </c>
      <c r="J1140" s="226"/>
    </row>
    <row r="1141" spans="1:11" hidden="1" x14ac:dyDescent="0.25">
      <c r="A1141" s="112" t="s">
        <v>1299</v>
      </c>
      <c r="B1141" s="113" t="s">
        <v>3014</v>
      </c>
      <c r="C1141" s="114" t="s">
        <v>92</v>
      </c>
      <c r="D1141" s="114">
        <v>0</v>
      </c>
      <c r="E1141" s="133">
        <f ca="1">OFFSET(INDEX(Composições!A:J,MATCH(Orçamentária!A1141,Composições!A:A,0),8),2,0)</f>
        <v>11.807755199999999</v>
      </c>
      <c r="F1141" s="134">
        <f t="shared" ca="1" si="51"/>
        <v>0</v>
      </c>
      <c r="G1141" s="135" t="e">
        <f>IF(A1141&lt;&gt;"",IF(AND(#REF!="Padrão",$H$4=#REF!),BDI!$B$17,IF(AND(#REF!="Padrão",$H$4=#REF!),BDI!#REF!,IF(AND(#REF!="Diferenciado",$H$4=#REF!),BDI!$E$17,IF(AND(#REF!="Diferenciado",$H$4=#REF!),BDI!#REF!,IF(#REF!="ZERO",0))))),"")</f>
        <v>#REF!</v>
      </c>
      <c r="H1141" s="136" t="e">
        <f t="shared" ca="1" si="52"/>
        <v>#REF!</v>
      </c>
      <c r="I1141" s="134" t="e">
        <f t="shared" ca="1" si="53"/>
        <v>#REF!</v>
      </c>
      <c r="J1141" s="226"/>
    </row>
    <row r="1142" spans="1:11" hidden="1" x14ac:dyDescent="0.25">
      <c r="A1142" s="112" t="s">
        <v>1300</v>
      </c>
      <c r="B1142" s="113" t="s">
        <v>3015</v>
      </c>
      <c r="C1142" s="114" t="s">
        <v>94</v>
      </c>
      <c r="D1142" s="114">
        <v>0</v>
      </c>
      <c r="E1142" s="133">
        <f ca="1">OFFSET(INDEX(Composições!A:J,MATCH(Orçamentária!A1142,Composições!A:A,0),8),2,0)</f>
        <v>18.376799999999999</v>
      </c>
      <c r="F1142" s="134">
        <f t="shared" ca="1" si="51"/>
        <v>0</v>
      </c>
      <c r="G1142" s="135" t="e">
        <f>IF(A1142&lt;&gt;"",IF(AND(#REF!="Padrão",$H$4=#REF!),BDI!$B$17,IF(AND(#REF!="Padrão",$H$4=#REF!),BDI!#REF!,IF(AND(#REF!="Diferenciado",$H$4=#REF!),BDI!$E$17,IF(AND(#REF!="Diferenciado",$H$4=#REF!),BDI!#REF!,IF(#REF!="ZERO",0))))),"")</f>
        <v>#REF!</v>
      </c>
      <c r="H1142" s="136" t="e">
        <f t="shared" ca="1" si="52"/>
        <v>#REF!</v>
      </c>
      <c r="I1142" s="134" t="e">
        <f t="shared" ca="1" si="53"/>
        <v>#REF!</v>
      </c>
      <c r="J1142" s="226"/>
    </row>
    <row r="1143" spans="1:11" hidden="1" x14ac:dyDescent="0.25">
      <c r="A1143" s="112" t="s">
        <v>1306</v>
      </c>
      <c r="B1143" s="113" t="s">
        <v>3016</v>
      </c>
      <c r="C1143" s="114" t="s">
        <v>92</v>
      </c>
      <c r="D1143" s="114">
        <v>0</v>
      </c>
      <c r="E1143" s="133">
        <f ca="1">OFFSET(INDEX(Composições!A:J,MATCH(Orçamentária!A1143,Composições!A:A,0),8),2,0)</f>
        <v>2.5701299999999998</v>
      </c>
      <c r="F1143" s="134">
        <f t="shared" ca="1" si="51"/>
        <v>0</v>
      </c>
      <c r="G1143" s="135" t="e">
        <f>IF(A1143&lt;&gt;"",IF(AND(#REF!="Padrão",$H$4=#REF!),BDI!$B$17,IF(AND(#REF!="Padrão",$H$4=#REF!),BDI!#REF!,IF(AND(#REF!="Diferenciado",$H$4=#REF!),BDI!$E$17,IF(AND(#REF!="Diferenciado",$H$4=#REF!),BDI!#REF!,IF(#REF!="ZERO",0))))),"")</f>
        <v>#REF!</v>
      </c>
      <c r="H1143" s="136" t="e">
        <f t="shared" ca="1" si="52"/>
        <v>#REF!</v>
      </c>
      <c r="I1143" s="134" t="e">
        <f t="shared" ca="1" si="53"/>
        <v>#REF!</v>
      </c>
      <c r="J1143" s="226"/>
    </row>
    <row r="1144" spans="1:11" hidden="1" x14ac:dyDescent="0.25">
      <c r="A1144" s="112" t="s">
        <v>1308</v>
      </c>
      <c r="B1144" s="113" t="s">
        <v>3017</v>
      </c>
      <c r="C1144" s="114" t="s">
        <v>92</v>
      </c>
      <c r="D1144" s="114">
        <v>0</v>
      </c>
      <c r="E1144" s="133">
        <f ca="1">OFFSET(INDEX(Composições!A:J,MATCH(Orçamentária!A1144,Composições!A:A,0),8),2,0)</f>
        <v>2.5701299999999998</v>
      </c>
      <c r="F1144" s="134">
        <f t="shared" ca="1" si="51"/>
        <v>0</v>
      </c>
      <c r="G1144" s="135" t="e">
        <f>IF(A1144&lt;&gt;"",IF(AND(#REF!="Padrão",$H$4=#REF!),BDI!$B$17,IF(AND(#REF!="Padrão",$H$4=#REF!),BDI!#REF!,IF(AND(#REF!="Diferenciado",$H$4=#REF!),BDI!$E$17,IF(AND(#REF!="Diferenciado",$H$4=#REF!),BDI!#REF!,IF(#REF!="ZERO",0))))),"")</f>
        <v>#REF!</v>
      </c>
      <c r="H1144" s="136" t="e">
        <f t="shared" ca="1" si="52"/>
        <v>#REF!</v>
      </c>
      <c r="I1144" s="134" t="e">
        <f t="shared" ca="1" si="53"/>
        <v>#REF!</v>
      </c>
      <c r="J1144" s="226"/>
    </row>
    <row r="1145" spans="1:11" hidden="1" x14ac:dyDescent="0.25">
      <c r="A1145" s="112" t="s">
        <v>1310</v>
      </c>
      <c r="B1145" s="113" t="s">
        <v>3018</v>
      </c>
      <c r="C1145" s="114" t="s">
        <v>94</v>
      </c>
      <c r="D1145" s="114">
        <v>0</v>
      </c>
      <c r="E1145" s="133">
        <f ca="1">OFFSET(INDEX(Composições!A:J,MATCH(Orçamentária!A1145,Composições!A:A,0),8),2,0)</f>
        <v>42.898752899999991</v>
      </c>
      <c r="F1145" s="134">
        <f t="shared" ca="1" si="51"/>
        <v>0</v>
      </c>
      <c r="G1145" s="135" t="e">
        <f>IF(A1145&lt;&gt;"",IF(AND(#REF!="Padrão",$H$4=#REF!),BDI!$B$17,IF(AND(#REF!="Padrão",$H$4=#REF!),BDI!#REF!,IF(AND(#REF!="Diferenciado",$H$4=#REF!),BDI!$E$17,IF(AND(#REF!="Diferenciado",$H$4=#REF!),BDI!#REF!,IF(#REF!="ZERO",0))))),"")</f>
        <v>#REF!</v>
      </c>
      <c r="H1145" s="136" t="e">
        <f t="shared" ca="1" si="52"/>
        <v>#REF!</v>
      </c>
      <c r="I1145" s="134" t="e">
        <f t="shared" ca="1" si="53"/>
        <v>#REF!</v>
      </c>
      <c r="J1145" s="226"/>
    </row>
    <row r="1146" spans="1:11" hidden="1" x14ac:dyDescent="0.25">
      <c r="A1146" s="112" t="s">
        <v>1314</v>
      </c>
      <c r="B1146" s="113" t="s">
        <v>3019</v>
      </c>
      <c r="C1146" s="114" t="s">
        <v>92</v>
      </c>
      <c r="D1146" s="114">
        <v>0</v>
      </c>
      <c r="E1146" s="133">
        <f ca="1">OFFSET(INDEX(Composições!A:J,MATCH(Orçamentária!A1146,Composições!A:A,0),8),2,0)</f>
        <v>75.615255699999977</v>
      </c>
      <c r="F1146" s="134">
        <f t="shared" ca="1" si="51"/>
        <v>0</v>
      </c>
      <c r="G1146" s="135" t="e">
        <f>IF(A1146&lt;&gt;"",IF(AND(#REF!="Padrão",$H$4=#REF!),BDI!$B$17,IF(AND(#REF!="Padrão",$H$4=#REF!),BDI!#REF!,IF(AND(#REF!="Diferenciado",$H$4=#REF!),BDI!$E$17,IF(AND(#REF!="Diferenciado",$H$4=#REF!),BDI!#REF!,IF(#REF!="ZERO",0))))),"")</f>
        <v>#REF!</v>
      </c>
      <c r="H1146" s="136" t="e">
        <f t="shared" ca="1" si="52"/>
        <v>#REF!</v>
      </c>
      <c r="I1146" s="134" t="e">
        <f t="shared" ca="1" si="53"/>
        <v>#REF!</v>
      </c>
      <c r="J1146" s="226"/>
    </row>
    <row r="1147" spans="1:11" hidden="1" x14ac:dyDescent="0.25">
      <c r="A1147" s="112" t="s">
        <v>1316</v>
      </c>
      <c r="B1147" s="113" t="s">
        <v>3020</v>
      </c>
      <c r="C1147" s="114" t="s">
        <v>92</v>
      </c>
      <c r="D1147" s="114">
        <v>0</v>
      </c>
      <c r="E1147" s="133">
        <f ca="1">OFFSET(INDEX(Composições!A:J,MATCH(Orçamentária!A1147,Composições!A:A,0),8),2,0)</f>
        <v>81.61377419999998</v>
      </c>
      <c r="F1147" s="134">
        <f t="shared" ca="1" si="51"/>
        <v>0</v>
      </c>
      <c r="G1147" s="135" t="e">
        <f>IF(A1147&lt;&gt;"",IF(AND(#REF!="Padrão",$H$4=#REF!),BDI!$B$17,IF(AND(#REF!="Padrão",$H$4=#REF!),BDI!#REF!,IF(AND(#REF!="Diferenciado",$H$4=#REF!),BDI!$E$17,IF(AND(#REF!="Diferenciado",$H$4=#REF!),BDI!#REF!,IF(#REF!="ZERO",0))))),"")</f>
        <v>#REF!</v>
      </c>
      <c r="H1147" s="136" t="e">
        <f t="shared" ca="1" si="52"/>
        <v>#REF!</v>
      </c>
      <c r="I1147" s="134" t="e">
        <f t="shared" ca="1" si="53"/>
        <v>#REF!</v>
      </c>
      <c r="J1147" s="226"/>
    </row>
    <row r="1148" spans="1:11" hidden="1" x14ac:dyDescent="0.25">
      <c r="A1148" s="112" t="s">
        <v>1318</v>
      </c>
      <c r="B1148" s="113" t="s">
        <v>3021</v>
      </c>
      <c r="C1148" s="114" t="s">
        <v>94</v>
      </c>
      <c r="D1148" s="114">
        <v>0</v>
      </c>
      <c r="E1148" s="133">
        <f ca="1">OFFSET(INDEX(Composições!A:J,MATCH(Orçamentária!A1148,Composições!A:A,0),8),2,0)</f>
        <v>6.425325</v>
      </c>
      <c r="F1148" s="134">
        <f t="shared" ca="1" si="51"/>
        <v>0</v>
      </c>
      <c r="G1148" s="135" t="e">
        <f>IF(A1148&lt;&gt;"",IF(AND(#REF!="Padrão",$H$4=#REF!),BDI!$B$17,IF(AND(#REF!="Padrão",$H$4=#REF!),BDI!#REF!,IF(AND(#REF!="Diferenciado",$H$4=#REF!),BDI!$E$17,IF(AND(#REF!="Diferenciado",$H$4=#REF!),BDI!#REF!,IF(#REF!="ZERO",0))))),"")</f>
        <v>#REF!</v>
      </c>
      <c r="H1148" s="136" t="e">
        <f t="shared" ca="1" si="52"/>
        <v>#REF!</v>
      </c>
      <c r="I1148" s="134" t="e">
        <f t="shared" ca="1" si="53"/>
        <v>#REF!</v>
      </c>
      <c r="J1148" s="226"/>
    </row>
    <row r="1149" spans="1:11" hidden="1" x14ac:dyDescent="0.25">
      <c r="A1149" s="112" t="s">
        <v>3022</v>
      </c>
      <c r="B1149" s="113" t="s">
        <v>3023</v>
      </c>
      <c r="C1149" s="114" t="s">
        <v>20</v>
      </c>
      <c r="D1149" s="114">
        <v>0</v>
      </c>
      <c r="E1149" s="133" t="s">
        <v>514</v>
      </c>
      <c r="F1149" s="134" t="str">
        <f t="shared" si="51"/>
        <v/>
      </c>
      <c r="G1149" s="135" t="e">
        <f>IF(A1149&lt;&gt;"",IF(AND(#REF!="Padrão",$H$4=#REF!),BDI!$B$17,IF(AND(#REF!="Padrão",$H$4=#REF!),BDI!#REF!,IF(AND(#REF!="Diferenciado",$H$4=#REF!),BDI!$E$17,IF(AND(#REF!="Diferenciado",$H$4=#REF!),BDI!#REF!,IF(#REF!="ZERO",0))))),"")</f>
        <v>#REF!</v>
      </c>
      <c r="H1149" s="136" t="str">
        <f t="shared" si="52"/>
        <v/>
      </c>
      <c r="I1149" s="134" t="str">
        <f t="shared" si="53"/>
        <v/>
      </c>
      <c r="J1149" s="226"/>
    </row>
    <row r="1150" spans="1:11" hidden="1" x14ac:dyDescent="0.25">
      <c r="A1150" s="112" t="s">
        <v>3024</v>
      </c>
      <c r="B1150" s="113" t="s">
        <v>3025</v>
      </c>
      <c r="C1150" s="114" t="s">
        <v>20</v>
      </c>
      <c r="D1150" s="114">
        <v>0</v>
      </c>
      <c r="E1150" s="133" t="s">
        <v>514</v>
      </c>
      <c r="F1150" s="134" t="str">
        <f t="shared" si="51"/>
        <v/>
      </c>
      <c r="G1150" s="135" t="e">
        <f>IF(A1150&lt;&gt;"",IF(AND(#REF!="Padrão",$H$4=#REF!),BDI!$B$17,IF(AND(#REF!="Padrão",$H$4=#REF!),BDI!#REF!,IF(AND(#REF!="Diferenciado",$H$4=#REF!),BDI!$E$17,IF(AND(#REF!="Diferenciado",$H$4=#REF!),BDI!#REF!,IF(#REF!="ZERO",0))))),"")</f>
        <v>#REF!</v>
      </c>
      <c r="H1150" s="136" t="str">
        <f t="shared" si="52"/>
        <v/>
      </c>
      <c r="I1150" s="134" t="str">
        <f t="shared" si="53"/>
        <v/>
      </c>
      <c r="J1150" s="226"/>
    </row>
    <row r="1151" spans="1:11" hidden="1" x14ac:dyDescent="0.25">
      <c r="A1151" s="112" t="s">
        <v>3026</v>
      </c>
      <c r="B1151" s="113" t="s">
        <v>3027</v>
      </c>
      <c r="C1151" s="114" t="s">
        <v>6242</v>
      </c>
      <c r="D1151" s="114">
        <v>0</v>
      </c>
      <c r="E1151" s="133" t="s">
        <v>514</v>
      </c>
      <c r="F1151" s="134" t="str">
        <f t="shared" si="51"/>
        <v/>
      </c>
      <c r="G1151" s="135" t="e">
        <f>IF(A1151&lt;&gt;"",IF(AND(#REF!="Padrão",$H$4=#REF!),BDI!$B$17,IF(AND(#REF!="Padrão",$H$4=#REF!),BDI!#REF!,IF(AND(#REF!="Diferenciado",$H$4=#REF!),BDI!$E$17,IF(AND(#REF!="Diferenciado",$H$4=#REF!),BDI!#REF!,IF(#REF!="ZERO",0))))),"")</f>
        <v>#REF!</v>
      </c>
      <c r="H1151" s="136" t="str">
        <f t="shared" si="52"/>
        <v/>
      </c>
      <c r="I1151" s="134" t="str">
        <f t="shared" si="53"/>
        <v/>
      </c>
      <c r="J1151" s="226"/>
    </row>
    <row r="1152" spans="1:11" hidden="1" x14ac:dyDescent="0.25">
      <c r="A1152" s="112" t="s">
        <v>1320</v>
      </c>
      <c r="B1152" s="113" t="s">
        <v>3028</v>
      </c>
      <c r="C1152" s="114" t="s">
        <v>92</v>
      </c>
      <c r="D1152" s="114">
        <v>0</v>
      </c>
      <c r="E1152" s="133">
        <f ca="1">OFFSET(INDEX(Composições!A:J,MATCH(Orçamentária!A1152,Composições!A:A,0),8),2,0)</f>
        <v>295.34038720380647</v>
      </c>
      <c r="F1152" s="134">
        <f t="shared" ca="1" si="51"/>
        <v>0</v>
      </c>
      <c r="G1152" s="135" t="e">
        <f>IF(A1152&lt;&gt;"",IF(AND(#REF!="Padrão",$H$4=#REF!),BDI!$B$17,IF(AND(#REF!="Padrão",$H$4=#REF!),BDI!#REF!,IF(AND(#REF!="Diferenciado",$H$4=#REF!),BDI!$E$17,IF(AND(#REF!="Diferenciado",$H$4=#REF!),BDI!#REF!,IF(#REF!="ZERO",0))))),"")</f>
        <v>#REF!</v>
      </c>
      <c r="H1152" s="136" t="e">
        <f t="shared" ca="1" si="52"/>
        <v>#REF!</v>
      </c>
      <c r="I1152" s="134" t="e">
        <f t="shared" ca="1" si="53"/>
        <v>#REF!</v>
      </c>
      <c r="J1152" s="226"/>
    </row>
    <row r="1153" spans="1:11" hidden="1" x14ac:dyDescent="0.25">
      <c r="A1153" s="112" t="s">
        <v>1322</v>
      </c>
      <c r="B1153" s="113" t="s">
        <v>3029</v>
      </c>
      <c r="C1153" s="114" t="s">
        <v>92</v>
      </c>
      <c r="D1153" s="114">
        <v>0</v>
      </c>
      <c r="E1153" s="133">
        <f ca="1">OFFSET(INDEX(Composições!A:J,MATCH(Orçamentária!A1153,Composições!A:A,0),8),2,0)</f>
        <v>139.60486190761299</v>
      </c>
      <c r="F1153" s="134">
        <f t="shared" ca="1" si="51"/>
        <v>0</v>
      </c>
      <c r="G1153" s="135" t="e">
        <f>IF(A1153&lt;&gt;"",IF(AND(#REF!="Padrão",$H$4=#REF!),BDI!$B$17,IF(AND(#REF!="Padrão",$H$4=#REF!),BDI!#REF!,IF(AND(#REF!="Diferenciado",$H$4=#REF!),BDI!$E$17,IF(AND(#REF!="Diferenciado",$H$4=#REF!),BDI!#REF!,IF(#REF!="ZERO",0))))),"")</f>
        <v>#REF!</v>
      </c>
      <c r="H1153" s="136" t="e">
        <f t="shared" ca="1" si="52"/>
        <v>#REF!</v>
      </c>
      <c r="I1153" s="134" t="e">
        <f t="shared" ca="1" si="53"/>
        <v>#REF!</v>
      </c>
      <c r="J1153" s="226"/>
    </row>
    <row r="1154" spans="1:11" hidden="1" x14ac:dyDescent="0.25">
      <c r="A1154" s="112" t="s">
        <v>1323</v>
      </c>
      <c r="B1154" s="113" t="s">
        <v>3030</v>
      </c>
      <c r="C1154" s="114" t="s">
        <v>94</v>
      </c>
      <c r="D1154" s="114">
        <v>0</v>
      </c>
      <c r="E1154" s="133">
        <f ca="1">OFFSET(INDEX(Composições!A:J,MATCH(Orçamentária!A1154,Composições!A:A,0),8),2,0)</f>
        <v>2.0262549999999999</v>
      </c>
      <c r="F1154" s="134">
        <f t="shared" ca="1" si="51"/>
        <v>0</v>
      </c>
      <c r="G1154" s="135" t="e">
        <f>IF(A1154&lt;&gt;"",IF(AND(#REF!="Padrão",$H$4=#REF!),BDI!$B$17,IF(AND(#REF!="Padrão",$H$4=#REF!),BDI!#REF!,IF(AND(#REF!="Diferenciado",$H$4=#REF!),BDI!$E$17,IF(AND(#REF!="Diferenciado",$H$4=#REF!),BDI!#REF!,IF(#REF!="ZERO",0))))),"")</f>
        <v>#REF!</v>
      </c>
      <c r="H1154" s="136" t="e">
        <f t="shared" ca="1" si="52"/>
        <v>#REF!</v>
      </c>
      <c r="I1154" s="134" t="e">
        <f t="shared" ca="1" si="53"/>
        <v>#REF!</v>
      </c>
      <c r="J1154" s="226"/>
    </row>
    <row r="1155" spans="1:11" hidden="1" x14ac:dyDescent="0.25">
      <c r="A1155" s="112" t="s">
        <v>1327</v>
      </c>
      <c r="B1155" s="113" t="s">
        <v>3031</v>
      </c>
      <c r="C1155" s="114" t="s">
        <v>20</v>
      </c>
      <c r="D1155" s="114">
        <v>0</v>
      </c>
      <c r="E1155" s="133">
        <f ca="1">OFFSET(INDEX(Composições!A:J,MATCH(Orçamentária!A1155,Composições!A:A,0),8),2,0)</f>
        <v>256.42601209999992</v>
      </c>
      <c r="F1155" s="134">
        <f t="shared" ca="1" si="51"/>
        <v>0</v>
      </c>
      <c r="G1155" s="135" t="e">
        <f>IF(A1155&lt;&gt;"",IF(AND(#REF!="Padrão",$H$4=#REF!),BDI!$B$17,IF(AND(#REF!="Padrão",$H$4=#REF!),BDI!#REF!,IF(AND(#REF!="Diferenciado",$H$4=#REF!),BDI!$E$17,IF(AND(#REF!="Diferenciado",$H$4=#REF!),BDI!#REF!,IF(#REF!="ZERO",0))))),"")</f>
        <v>#REF!</v>
      </c>
      <c r="H1155" s="136" t="e">
        <f t="shared" ca="1" si="52"/>
        <v>#REF!</v>
      </c>
      <c r="I1155" s="134" t="e">
        <f t="shared" ca="1" si="53"/>
        <v>#REF!</v>
      </c>
      <c r="J1155" s="226"/>
    </row>
    <row r="1156" spans="1:11" hidden="1" x14ac:dyDescent="0.25">
      <c r="A1156" s="112" t="s">
        <v>1330</v>
      </c>
      <c r="B1156" s="113" t="s">
        <v>3032</v>
      </c>
      <c r="C1156" s="114" t="s">
        <v>20</v>
      </c>
      <c r="D1156" s="114">
        <v>0</v>
      </c>
      <c r="E1156" s="133">
        <f ca="1">OFFSET(INDEX(Composições!A:J,MATCH(Orçamentária!A1156,Composições!A:A,0),8),2,0)</f>
        <v>47.447464999999994</v>
      </c>
      <c r="F1156" s="134">
        <f t="shared" ca="1" si="51"/>
        <v>0</v>
      </c>
      <c r="G1156" s="135" t="e">
        <f>IF(A1156&lt;&gt;"",IF(AND(#REF!="Padrão",$H$4=#REF!),BDI!$B$17,IF(AND(#REF!="Padrão",$H$4=#REF!),BDI!#REF!,IF(AND(#REF!="Diferenciado",$H$4=#REF!),BDI!$E$17,IF(AND(#REF!="Diferenciado",$H$4=#REF!),BDI!#REF!,IF(#REF!="ZERO",0))))),"")</f>
        <v>#REF!</v>
      </c>
      <c r="H1156" s="136" t="e">
        <f t="shared" ca="1" si="52"/>
        <v>#REF!</v>
      </c>
      <c r="I1156" s="134" t="e">
        <f t="shared" ca="1" si="53"/>
        <v>#REF!</v>
      </c>
      <c r="J1156" s="226"/>
    </row>
    <row r="1157" spans="1:11" hidden="1" x14ac:dyDescent="0.25">
      <c r="A1157" s="112" t="s">
        <v>1331</v>
      </c>
      <c r="B1157" s="113" t="s">
        <v>3033</v>
      </c>
      <c r="C1157" s="114" t="s">
        <v>94</v>
      </c>
      <c r="D1157" s="114">
        <v>0</v>
      </c>
      <c r="E1157" s="133">
        <f ca="1">OFFSET(INDEX(Composições!A:J,MATCH(Orçamentária!A1157,Composições!A:A,0),8),2,0)</f>
        <v>42.486084678039198</v>
      </c>
      <c r="F1157" s="134">
        <f t="shared" ca="1" si="51"/>
        <v>0</v>
      </c>
      <c r="G1157" s="135" t="e">
        <f>IF(A1157&lt;&gt;"",IF(AND(#REF!="Padrão",$H$4=#REF!),BDI!$B$17,IF(AND(#REF!="Padrão",$H$4=#REF!),BDI!#REF!,IF(AND(#REF!="Diferenciado",$H$4=#REF!),BDI!$E$17,IF(AND(#REF!="Diferenciado",$H$4=#REF!),BDI!#REF!,IF(#REF!="ZERO",0))))),"")</f>
        <v>#REF!</v>
      </c>
      <c r="H1157" s="136" t="e">
        <f t="shared" ca="1" si="52"/>
        <v>#REF!</v>
      </c>
      <c r="I1157" s="134" t="e">
        <f t="shared" ca="1" si="53"/>
        <v>#REF!</v>
      </c>
      <c r="J1157" s="226"/>
    </row>
    <row r="1158" spans="1:11" hidden="1" x14ac:dyDescent="0.25">
      <c r="A1158" s="112" t="s">
        <v>1334</v>
      </c>
      <c r="B1158" s="113" t="s">
        <v>3034</v>
      </c>
      <c r="C1158" s="114" t="s">
        <v>94</v>
      </c>
      <c r="D1158" s="114">
        <v>0</v>
      </c>
      <c r="E1158" s="133">
        <f ca="1">OFFSET(INDEX(Composições!A:J,MATCH(Orçamentária!A1158,Composições!A:A,0),8),2,0)</f>
        <v>57.496931856575202</v>
      </c>
      <c r="F1158" s="134">
        <f t="shared" ca="1" si="51"/>
        <v>0</v>
      </c>
      <c r="G1158" s="135" t="e">
        <f>IF(A1158&lt;&gt;"",IF(AND(#REF!="Padrão",$H$4=#REF!),BDI!$B$17,IF(AND(#REF!="Padrão",$H$4=#REF!),BDI!#REF!,IF(AND(#REF!="Diferenciado",$H$4=#REF!),BDI!$E$17,IF(AND(#REF!="Diferenciado",$H$4=#REF!),BDI!#REF!,IF(#REF!="ZERO",0))))),"")</f>
        <v>#REF!</v>
      </c>
      <c r="H1158" s="136" t="e">
        <f t="shared" ca="1" si="52"/>
        <v>#REF!</v>
      </c>
      <c r="I1158" s="134" t="e">
        <f t="shared" ca="1" si="53"/>
        <v>#REF!</v>
      </c>
      <c r="J1158" s="226"/>
    </row>
    <row r="1159" spans="1:11" hidden="1" x14ac:dyDescent="0.25">
      <c r="A1159" s="112" t="s">
        <v>1335</v>
      </c>
      <c r="B1159" s="113" t="s">
        <v>3035</v>
      </c>
      <c r="C1159" s="114" t="s">
        <v>94</v>
      </c>
      <c r="D1159" s="114">
        <v>0</v>
      </c>
      <c r="E1159" s="133">
        <f ca="1">OFFSET(INDEX(Composições!A:J,MATCH(Orçamentária!A1159,Composições!A:A,0),8),2,0)</f>
        <v>8.1471049999999998</v>
      </c>
      <c r="F1159" s="134">
        <f t="shared" ref="F1159:F1222" ca="1" si="54">IF(ISNUMBER(E1159),D1159*E1159,"")</f>
        <v>0</v>
      </c>
      <c r="G1159" s="135" t="e">
        <f>IF(A1159&lt;&gt;"",IF(AND(#REF!="Padrão",$H$4=#REF!),BDI!$B$17,IF(AND(#REF!="Padrão",$H$4=#REF!),BDI!#REF!,IF(AND(#REF!="Diferenciado",$H$4=#REF!),BDI!$E$17,IF(AND(#REF!="Diferenciado",$H$4=#REF!),BDI!#REF!,IF(#REF!="ZERO",0))))),"")</f>
        <v>#REF!</v>
      </c>
      <c r="H1159" s="136" t="e">
        <f t="shared" ref="H1159:H1222" ca="1" si="55">IF(ISNUMBER(E1159),ROUND(E1159*(1+G1159),2),"")</f>
        <v>#REF!</v>
      </c>
      <c r="I1159" s="134" t="e">
        <f t="shared" ref="I1159:I1222" ca="1" si="56">IF(ISNUMBER(E1159),ROUND(H1159*D1159,2),"")</f>
        <v>#REF!</v>
      </c>
      <c r="J1159" s="226"/>
    </row>
    <row r="1160" spans="1:11" hidden="1" x14ac:dyDescent="0.25">
      <c r="A1160" s="112" t="s">
        <v>1337</v>
      </c>
      <c r="B1160" s="113" t="s">
        <v>3036</v>
      </c>
      <c r="C1160" s="114" t="s">
        <v>94</v>
      </c>
      <c r="D1160" s="114">
        <v>0</v>
      </c>
      <c r="E1160" s="133">
        <f ca="1">OFFSET(INDEX(Composições!A:J,MATCH(Orçamentária!A1160,Composições!A:A,0),8),2,0)</f>
        <v>8.5718499999999995</v>
      </c>
      <c r="F1160" s="134">
        <f t="shared" ca="1" si="54"/>
        <v>0</v>
      </c>
      <c r="G1160" s="135" t="e">
        <f>IF(A1160&lt;&gt;"",IF(AND(#REF!="Padrão",$H$4=#REF!),BDI!$B$17,IF(AND(#REF!="Padrão",$H$4=#REF!),BDI!#REF!,IF(AND(#REF!="Diferenciado",$H$4=#REF!),BDI!$E$17,IF(AND(#REF!="Diferenciado",$H$4=#REF!),BDI!#REF!,IF(#REF!="ZERO",0))))),"")</f>
        <v>#REF!</v>
      </c>
      <c r="H1160" s="136" t="e">
        <f t="shared" ca="1" si="55"/>
        <v>#REF!</v>
      </c>
      <c r="I1160" s="134" t="e">
        <f t="shared" ca="1" si="56"/>
        <v>#REF!</v>
      </c>
      <c r="J1160" s="226"/>
    </row>
    <row r="1161" spans="1:11" hidden="1" x14ac:dyDescent="0.25">
      <c r="A1161" s="112" t="s">
        <v>1339</v>
      </c>
      <c r="B1161" s="113" t="s">
        <v>3037</v>
      </c>
      <c r="C1161" s="114" t="s">
        <v>94</v>
      </c>
      <c r="D1161" s="114">
        <v>0</v>
      </c>
      <c r="E1161" s="133">
        <f ca="1">OFFSET(INDEX(Composições!A:J,MATCH(Orçamentária!A1161,Composições!A:A,0),8),2,0)</f>
        <v>31.355637917651997</v>
      </c>
      <c r="F1161" s="134">
        <f t="shared" ca="1" si="54"/>
        <v>0</v>
      </c>
      <c r="G1161" s="135" t="e">
        <f>IF(A1161&lt;&gt;"",IF(AND(#REF!="Padrão",$H$4=#REF!),BDI!$B$17,IF(AND(#REF!="Padrão",$H$4=#REF!),BDI!#REF!,IF(AND(#REF!="Diferenciado",$H$4=#REF!),BDI!$E$17,IF(AND(#REF!="Diferenciado",$H$4=#REF!),BDI!#REF!,IF(#REF!="ZERO",0))))),"")</f>
        <v>#REF!</v>
      </c>
      <c r="H1161" s="136" t="e">
        <f t="shared" ca="1" si="55"/>
        <v>#REF!</v>
      </c>
      <c r="I1161" s="134" t="e">
        <f t="shared" ca="1" si="56"/>
        <v>#REF!</v>
      </c>
      <c r="J1161" s="226"/>
    </row>
    <row r="1162" spans="1:11" hidden="1" x14ac:dyDescent="0.25">
      <c r="A1162" s="112" t="s">
        <v>1340</v>
      </c>
      <c r="B1162" s="113" t="s">
        <v>3038</v>
      </c>
      <c r="C1162" s="114" t="s">
        <v>94</v>
      </c>
      <c r="D1162" s="114">
        <v>0</v>
      </c>
      <c r="E1162" s="133">
        <f ca="1">OFFSET(INDEX(Composições!A:J,MATCH(Orçamentária!A1162,Composições!A:A,0),8),2,0)</f>
        <v>85.906783473499999</v>
      </c>
      <c r="F1162" s="134">
        <f t="shared" ca="1" si="54"/>
        <v>0</v>
      </c>
      <c r="G1162" s="135" t="e">
        <f>IF(A1162&lt;&gt;"",IF(AND(#REF!="Padrão",$H$4=#REF!),BDI!$B$17,IF(AND(#REF!="Padrão",$H$4=#REF!),BDI!#REF!,IF(AND(#REF!="Diferenciado",$H$4=#REF!),BDI!$E$17,IF(AND(#REF!="Diferenciado",$H$4=#REF!),BDI!#REF!,IF(#REF!="ZERO",0))))),"")</f>
        <v>#REF!</v>
      </c>
      <c r="H1162" s="136" t="e">
        <f t="shared" ca="1" si="55"/>
        <v>#REF!</v>
      </c>
      <c r="I1162" s="134" t="e">
        <f t="shared" ca="1" si="56"/>
        <v>#REF!</v>
      </c>
      <c r="J1162" s="226"/>
    </row>
    <row r="1163" spans="1:11" hidden="1" x14ac:dyDescent="0.25">
      <c r="A1163" s="112" t="s">
        <v>1341</v>
      </c>
      <c r="B1163" s="113" t="s">
        <v>3039</v>
      </c>
      <c r="C1163" s="114" t="s">
        <v>94</v>
      </c>
      <c r="D1163" s="114">
        <v>0</v>
      </c>
      <c r="E1163" s="133">
        <f ca="1">OFFSET(INDEX(Composições!A:J,MATCH(Orçamentária!A1163,Composições!A:A,0),8),2,0)</f>
        <v>11.724448750000001</v>
      </c>
      <c r="F1163" s="134">
        <f t="shared" ca="1" si="54"/>
        <v>0</v>
      </c>
      <c r="G1163" s="135" t="e">
        <f>IF(A1163&lt;&gt;"",IF(AND(#REF!="Padrão",$H$4=#REF!),BDI!$B$17,IF(AND(#REF!="Padrão",$H$4=#REF!),BDI!#REF!,IF(AND(#REF!="Diferenciado",$H$4=#REF!),BDI!$E$17,IF(AND(#REF!="Diferenciado",$H$4=#REF!),BDI!#REF!,IF(#REF!="ZERO",0))))),"")</f>
        <v>#REF!</v>
      </c>
      <c r="H1163" s="136" t="e">
        <f t="shared" ca="1" si="55"/>
        <v>#REF!</v>
      </c>
      <c r="I1163" s="134" t="e">
        <f t="shared" ca="1" si="56"/>
        <v>#REF!</v>
      </c>
      <c r="J1163" s="226"/>
    </row>
    <row r="1164" spans="1:11" hidden="1" x14ac:dyDescent="0.25">
      <c r="A1164" s="112" t="s">
        <v>1343</v>
      </c>
      <c r="B1164" s="113" t="s">
        <v>3040</v>
      </c>
      <c r="C1164" s="114" t="s">
        <v>94</v>
      </c>
      <c r="D1164" s="114">
        <v>0</v>
      </c>
      <c r="E1164" s="133">
        <f ca="1">OFFSET(INDEX(Composições!A:J,MATCH(Orçamentária!A1164,Composições!A:A,0),8),2,0)</f>
        <v>8.3313100000000002</v>
      </c>
      <c r="F1164" s="134">
        <f t="shared" ca="1" si="54"/>
        <v>0</v>
      </c>
      <c r="G1164" s="135" t="e">
        <f>IF(A1164&lt;&gt;"",IF(AND(#REF!="Padrão",$H$4=#REF!),BDI!$B$17,IF(AND(#REF!="Padrão",$H$4=#REF!),BDI!#REF!,IF(AND(#REF!="Diferenciado",$H$4=#REF!),BDI!$E$17,IF(AND(#REF!="Diferenciado",$H$4=#REF!),BDI!#REF!,IF(#REF!="ZERO",0))))),"")</f>
        <v>#REF!</v>
      </c>
      <c r="H1164" s="136" t="e">
        <f t="shared" ca="1" si="55"/>
        <v>#REF!</v>
      </c>
      <c r="I1164" s="134" t="e">
        <f t="shared" ca="1" si="56"/>
        <v>#REF!</v>
      </c>
      <c r="J1164" s="226"/>
    </row>
    <row r="1165" spans="1:11" s="161" customFormat="1" hidden="1" x14ac:dyDescent="0.25">
      <c r="A1165" s="162" t="s">
        <v>1345</v>
      </c>
      <c r="B1165" s="163" t="s">
        <v>3041</v>
      </c>
      <c r="C1165" s="164" t="s">
        <v>94</v>
      </c>
      <c r="D1165" s="164">
        <v>125</v>
      </c>
      <c r="E1165" s="133">
        <f ca="1">OFFSET(INDEX(Composições!A:J,MATCH(Orçamentária!A1165,Composições!A:A,0),8),2,0)</f>
        <v>180.5442358</v>
      </c>
      <c r="F1165" s="134">
        <f t="shared" ca="1" si="54"/>
        <v>22568.029474999999</v>
      </c>
      <c r="G1165" s="135">
        <f>BDI!$B$17</f>
        <v>0.191</v>
      </c>
      <c r="H1165" s="136">
        <f t="shared" ca="1" si="55"/>
        <v>215.03</v>
      </c>
      <c r="I1165" s="182">
        <f t="shared" ca="1" si="56"/>
        <v>26878.75</v>
      </c>
      <c r="J1165" s="226"/>
      <c r="K1165" s="224" t="s">
        <v>8074</v>
      </c>
    </row>
    <row r="1166" spans="1:11" s="161" customFormat="1" hidden="1" x14ac:dyDescent="0.25">
      <c r="A1166" s="162" t="s">
        <v>1350</v>
      </c>
      <c r="B1166" s="163" t="s">
        <v>3042</v>
      </c>
      <c r="C1166" s="164" t="s">
        <v>94</v>
      </c>
      <c r="D1166" s="164">
        <v>40</v>
      </c>
      <c r="E1166" s="133">
        <f ca="1">OFFSET(INDEX(Composições!A:J,MATCH(Orçamentária!A1166,Composições!A:A,0),8),2,0)</f>
        <v>208.71436160000002</v>
      </c>
      <c r="F1166" s="134">
        <f t="shared" ca="1" si="54"/>
        <v>8348.5744640000012</v>
      </c>
      <c r="G1166" s="135">
        <f>BDI!$B$17</f>
        <v>0.191</v>
      </c>
      <c r="H1166" s="136">
        <f t="shared" ca="1" si="55"/>
        <v>248.58</v>
      </c>
      <c r="I1166" s="182">
        <f t="shared" ca="1" si="56"/>
        <v>9943.2000000000007</v>
      </c>
      <c r="J1166" s="226"/>
      <c r="K1166" s="224" t="s">
        <v>8074</v>
      </c>
    </row>
    <row r="1167" spans="1:11" hidden="1" x14ac:dyDescent="0.25">
      <c r="A1167" s="112" t="s">
        <v>3043</v>
      </c>
      <c r="B1167" s="113" t="s">
        <v>3044</v>
      </c>
      <c r="C1167" s="114" t="s">
        <v>42</v>
      </c>
      <c r="D1167" s="114">
        <v>0</v>
      </c>
      <c r="E1167" s="133" t="s">
        <v>514</v>
      </c>
      <c r="F1167" s="134" t="str">
        <f t="shared" si="54"/>
        <v/>
      </c>
      <c r="G1167" s="135" t="e">
        <f>IF(A1167&lt;&gt;"",IF(AND(#REF!="Padrão",$H$4=#REF!),BDI!$B$17,IF(AND(#REF!="Padrão",$H$4=#REF!),BDI!#REF!,IF(AND(#REF!="Diferenciado",$H$4=#REF!),BDI!$E$17,IF(AND(#REF!="Diferenciado",$H$4=#REF!),BDI!#REF!,IF(#REF!="ZERO",0))))),"")</f>
        <v>#REF!</v>
      </c>
      <c r="H1167" s="136" t="str">
        <f t="shared" si="55"/>
        <v/>
      </c>
      <c r="I1167" s="134" t="str">
        <f t="shared" si="56"/>
        <v/>
      </c>
      <c r="J1167" s="226"/>
    </row>
    <row r="1168" spans="1:11" hidden="1" x14ac:dyDescent="0.25">
      <c r="A1168" s="112" t="s">
        <v>1352</v>
      </c>
      <c r="B1168" s="113" t="s">
        <v>3045</v>
      </c>
      <c r="C1168" s="114" t="s">
        <v>92</v>
      </c>
      <c r="D1168" s="114">
        <v>0</v>
      </c>
      <c r="E1168" s="133">
        <f ca="1">OFFSET(INDEX(Composições!A:J,MATCH(Orçamentária!A1168,Composições!A:A,0),8),2,0)</f>
        <v>121.36416864649999</v>
      </c>
      <c r="F1168" s="134">
        <f t="shared" ca="1" si="54"/>
        <v>0</v>
      </c>
      <c r="G1168" s="135" t="e">
        <f>IF(A1168&lt;&gt;"",IF(AND(#REF!="Padrão",$H$4=#REF!),BDI!$B$17,IF(AND(#REF!="Padrão",$H$4=#REF!),BDI!#REF!,IF(AND(#REF!="Diferenciado",$H$4=#REF!),BDI!$E$17,IF(AND(#REF!="Diferenciado",$H$4=#REF!),BDI!#REF!,IF(#REF!="ZERO",0))))),"")</f>
        <v>#REF!</v>
      </c>
      <c r="H1168" s="136" t="e">
        <f t="shared" ca="1" si="55"/>
        <v>#REF!</v>
      </c>
      <c r="I1168" s="134" t="e">
        <f t="shared" ca="1" si="56"/>
        <v>#REF!</v>
      </c>
      <c r="J1168" s="226"/>
    </row>
    <row r="1169" spans="1:10" hidden="1" x14ac:dyDescent="0.25">
      <c r="A1169" s="112" t="s">
        <v>1357</v>
      </c>
      <c r="B1169" s="113" t="s">
        <v>3046</v>
      </c>
      <c r="C1169" s="114" t="s">
        <v>94</v>
      </c>
      <c r="D1169" s="114">
        <v>0</v>
      </c>
      <c r="E1169" s="133">
        <f ca="1">OFFSET(INDEX(Composições!A:J,MATCH(Orçamentária!A1169,Composições!A:A,0),8),2,0)</f>
        <v>18.833909599999998</v>
      </c>
      <c r="F1169" s="134">
        <f t="shared" ca="1" si="54"/>
        <v>0</v>
      </c>
      <c r="G1169" s="135" t="e">
        <f>IF(A1169&lt;&gt;"",IF(AND(#REF!="Padrão",$H$4=#REF!),BDI!$B$17,IF(AND(#REF!="Padrão",$H$4=#REF!),BDI!#REF!,IF(AND(#REF!="Diferenciado",$H$4=#REF!),BDI!$E$17,IF(AND(#REF!="Diferenciado",$H$4=#REF!),BDI!#REF!,IF(#REF!="ZERO",0))))),"")</f>
        <v>#REF!</v>
      </c>
      <c r="H1169" s="136" t="e">
        <f t="shared" ca="1" si="55"/>
        <v>#REF!</v>
      </c>
      <c r="I1169" s="134" t="e">
        <f t="shared" ca="1" si="56"/>
        <v>#REF!</v>
      </c>
      <c r="J1169" s="226"/>
    </row>
    <row r="1170" spans="1:10" hidden="1" x14ac:dyDescent="0.25">
      <c r="A1170" s="112" t="s">
        <v>1358</v>
      </c>
      <c r="B1170" s="113" t="s">
        <v>3047</v>
      </c>
      <c r="C1170" s="114" t="s">
        <v>94</v>
      </c>
      <c r="D1170" s="114">
        <v>0</v>
      </c>
      <c r="E1170" s="133">
        <f ca="1">OFFSET(INDEX(Composições!A:J,MATCH(Orçamentária!A1170,Composições!A:A,0),8),2,0)</f>
        <v>59.347069999999995</v>
      </c>
      <c r="F1170" s="134">
        <f t="shared" ca="1" si="54"/>
        <v>0</v>
      </c>
      <c r="G1170" s="135" t="e">
        <f>IF(A1170&lt;&gt;"",IF(AND(#REF!="Padrão",$H$4=#REF!),BDI!$B$17,IF(AND(#REF!="Padrão",$H$4=#REF!),BDI!#REF!,IF(AND(#REF!="Diferenciado",$H$4=#REF!),BDI!$E$17,IF(AND(#REF!="Diferenciado",$H$4=#REF!),BDI!#REF!,IF(#REF!="ZERO",0))))),"")</f>
        <v>#REF!</v>
      </c>
      <c r="H1170" s="136" t="e">
        <f t="shared" ca="1" si="55"/>
        <v>#REF!</v>
      </c>
      <c r="I1170" s="134" t="e">
        <f t="shared" ca="1" si="56"/>
        <v>#REF!</v>
      </c>
      <c r="J1170" s="226"/>
    </row>
    <row r="1171" spans="1:10" hidden="1" x14ac:dyDescent="0.25">
      <c r="A1171" s="112" t="s">
        <v>1361</v>
      </c>
      <c r="B1171" s="113" t="s">
        <v>3048</v>
      </c>
      <c r="C1171" s="114" t="s">
        <v>94</v>
      </c>
      <c r="D1171" s="114">
        <v>0</v>
      </c>
      <c r="E1171" s="133">
        <f ca="1">OFFSET(INDEX(Composições!A:J,MATCH(Orçamentária!A1171,Composições!A:A,0),8),2,0)</f>
        <v>7.2475500000000004</v>
      </c>
      <c r="F1171" s="134">
        <f t="shared" ca="1" si="54"/>
        <v>0</v>
      </c>
      <c r="G1171" s="135" t="e">
        <f>IF(A1171&lt;&gt;"",IF(AND(#REF!="Padrão",$H$4=#REF!),BDI!$B$17,IF(AND(#REF!="Padrão",$H$4=#REF!),BDI!#REF!,IF(AND(#REF!="Diferenciado",$H$4=#REF!),BDI!$E$17,IF(AND(#REF!="Diferenciado",$H$4=#REF!),BDI!#REF!,IF(#REF!="ZERO",0))))),"")</f>
        <v>#REF!</v>
      </c>
      <c r="H1171" s="136" t="e">
        <f t="shared" ca="1" si="55"/>
        <v>#REF!</v>
      </c>
      <c r="I1171" s="134" t="e">
        <f t="shared" ca="1" si="56"/>
        <v>#REF!</v>
      </c>
      <c r="J1171" s="226"/>
    </row>
    <row r="1172" spans="1:10" hidden="1" x14ac:dyDescent="0.25">
      <c r="A1172" s="112" t="s">
        <v>1363</v>
      </c>
      <c r="B1172" s="113" t="s">
        <v>3049</v>
      </c>
      <c r="C1172" s="114" t="s">
        <v>94</v>
      </c>
      <c r="D1172" s="114">
        <v>0</v>
      </c>
      <c r="E1172" s="133">
        <f ca="1">OFFSET(INDEX(Composições!A:J,MATCH(Orçamentária!A1172,Composições!A:A,0),8),2,0)</f>
        <v>7.2475500000000004</v>
      </c>
      <c r="F1172" s="134">
        <f t="shared" ca="1" si="54"/>
        <v>0</v>
      </c>
      <c r="G1172" s="135" t="e">
        <f>IF(A1172&lt;&gt;"",IF(AND(#REF!="Padrão",$H$4=#REF!),BDI!$B$17,IF(AND(#REF!="Padrão",$H$4=#REF!),BDI!#REF!,IF(AND(#REF!="Diferenciado",$H$4=#REF!),BDI!$E$17,IF(AND(#REF!="Diferenciado",$H$4=#REF!),BDI!#REF!,IF(#REF!="ZERO",0))))),"")</f>
        <v>#REF!</v>
      </c>
      <c r="H1172" s="136" t="e">
        <f t="shared" ca="1" si="55"/>
        <v>#REF!</v>
      </c>
      <c r="I1172" s="134" t="e">
        <f t="shared" ca="1" si="56"/>
        <v>#REF!</v>
      </c>
      <c r="J1172" s="226"/>
    </row>
    <row r="1173" spans="1:10" hidden="1" x14ac:dyDescent="0.25">
      <c r="A1173" s="112" t="s">
        <v>1365</v>
      </c>
      <c r="B1173" s="113" t="s">
        <v>3050</v>
      </c>
      <c r="C1173" s="114" t="s">
        <v>108</v>
      </c>
      <c r="D1173" s="114">
        <v>0</v>
      </c>
      <c r="E1173" s="133">
        <f ca="1">OFFSET(INDEX(Composições!A:J,MATCH(Orçamentária!A1173,Composições!A:A,0),8),2,0)</f>
        <v>900.53269554189978</v>
      </c>
      <c r="F1173" s="134">
        <f t="shared" ca="1" si="54"/>
        <v>0</v>
      </c>
      <c r="G1173" s="135" t="e">
        <f>IF(A1173&lt;&gt;"",IF(AND(#REF!="Padrão",$H$4=#REF!),BDI!$B$17,IF(AND(#REF!="Padrão",$H$4=#REF!),BDI!#REF!,IF(AND(#REF!="Diferenciado",$H$4=#REF!),BDI!$E$17,IF(AND(#REF!="Diferenciado",$H$4=#REF!),BDI!#REF!,IF(#REF!="ZERO",0))))),"")</f>
        <v>#REF!</v>
      </c>
      <c r="H1173" s="136" t="e">
        <f t="shared" ca="1" si="55"/>
        <v>#REF!</v>
      </c>
      <c r="I1173" s="134" t="e">
        <f t="shared" ca="1" si="56"/>
        <v>#REF!</v>
      </c>
      <c r="J1173" s="226"/>
    </row>
    <row r="1174" spans="1:10" hidden="1" x14ac:dyDescent="0.25">
      <c r="A1174" s="112" t="s">
        <v>1368</v>
      </c>
      <c r="B1174" s="113" t="s">
        <v>3051</v>
      </c>
      <c r="C1174" s="114" t="s">
        <v>94</v>
      </c>
      <c r="D1174" s="114">
        <v>0</v>
      </c>
      <c r="E1174" s="133">
        <f ca="1">OFFSET(INDEX(Composições!A:J,MATCH(Orçamentária!A1174,Composições!A:A,0),8),2,0)</f>
        <v>7.1416249999999994</v>
      </c>
      <c r="F1174" s="134">
        <f t="shared" ca="1" si="54"/>
        <v>0</v>
      </c>
      <c r="G1174" s="135" t="e">
        <f>IF(A1174&lt;&gt;"",IF(AND(#REF!="Padrão",$H$4=#REF!),BDI!$B$17,IF(AND(#REF!="Padrão",$H$4=#REF!),BDI!#REF!,IF(AND(#REF!="Diferenciado",$H$4=#REF!),BDI!$E$17,IF(AND(#REF!="Diferenciado",$H$4=#REF!),BDI!#REF!,IF(#REF!="ZERO",0))))),"")</f>
        <v>#REF!</v>
      </c>
      <c r="H1174" s="136" t="e">
        <f t="shared" ca="1" si="55"/>
        <v>#REF!</v>
      </c>
      <c r="I1174" s="134" t="e">
        <f t="shared" ca="1" si="56"/>
        <v>#REF!</v>
      </c>
      <c r="J1174" s="226"/>
    </row>
    <row r="1175" spans="1:10" hidden="1" x14ac:dyDescent="0.25">
      <c r="A1175" s="112" t="s">
        <v>1373</v>
      </c>
      <c r="B1175" s="113" t="s">
        <v>3052</v>
      </c>
      <c r="C1175" s="114" t="s">
        <v>94</v>
      </c>
      <c r="D1175" s="114">
        <v>0</v>
      </c>
      <c r="E1175" s="133">
        <f ca="1">OFFSET(INDEX(Composições!A:J,MATCH(Orçamentária!A1175,Composições!A:A,0),8),2,0)</f>
        <v>141.89123999999998</v>
      </c>
      <c r="F1175" s="134">
        <f t="shared" ca="1" si="54"/>
        <v>0</v>
      </c>
      <c r="G1175" s="135" t="e">
        <f>IF(A1175&lt;&gt;"",IF(AND(#REF!="Padrão",$H$4=#REF!),BDI!$B$17,IF(AND(#REF!="Padrão",$H$4=#REF!),BDI!#REF!,IF(AND(#REF!="Diferenciado",$H$4=#REF!),BDI!$E$17,IF(AND(#REF!="Diferenciado",$H$4=#REF!),BDI!#REF!,IF(#REF!="ZERO",0))))),"")</f>
        <v>#REF!</v>
      </c>
      <c r="H1175" s="136" t="e">
        <f t="shared" ca="1" si="55"/>
        <v>#REF!</v>
      </c>
      <c r="I1175" s="134" t="e">
        <f t="shared" ca="1" si="56"/>
        <v>#REF!</v>
      </c>
      <c r="J1175" s="226"/>
    </row>
    <row r="1176" spans="1:10" hidden="1" x14ac:dyDescent="0.25">
      <c r="A1176" s="112" t="s">
        <v>1375</v>
      </c>
      <c r="B1176" s="113" t="s">
        <v>3053</v>
      </c>
      <c r="C1176" s="114" t="s">
        <v>94</v>
      </c>
      <c r="D1176" s="114">
        <v>0</v>
      </c>
      <c r="E1176" s="133">
        <f ca="1">OFFSET(INDEX(Composições!A:J,MATCH(Orçamentária!A1176,Composições!A:A,0),8),2,0)</f>
        <v>109.73763499999998</v>
      </c>
      <c r="F1176" s="134">
        <f t="shared" ca="1" si="54"/>
        <v>0</v>
      </c>
      <c r="G1176" s="135" t="e">
        <f>IF(A1176&lt;&gt;"",IF(AND(#REF!="Padrão",$H$4=#REF!),BDI!$B$17,IF(AND(#REF!="Padrão",$H$4=#REF!),BDI!#REF!,IF(AND(#REF!="Diferenciado",$H$4=#REF!),BDI!$E$17,IF(AND(#REF!="Diferenciado",$H$4=#REF!),BDI!#REF!,IF(#REF!="ZERO",0))))),"")</f>
        <v>#REF!</v>
      </c>
      <c r="H1176" s="136" t="e">
        <f t="shared" ca="1" si="55"/>
        <v>#REF!</v>
      </c>
      <c r="I1176" s="134" t="e">
        <f t="shared" ca="1" si="56"/>
        <v>#REF!</v>
      </c>
      <c r="J1176" s="226"/>
    </row>
    <row r="1177" spans="1:10" hidden="1" x14ac:dyDescent="0.25">
      <c r="A1177" s="112" t="s">
        <v>1378</v>
      </c>
      <c r="B1177" s="113" t="s">
        <v>3054</v>
      </c>
      <c r="C1177" s="114" t="s">
        <v>94</v>
      </c>
      <c r="D1177" s="114">
        <v>0</v>
      </c>
      <c r="E1177" s="133">
        <f ca="1">OFFSET(INDEX(Composições!A:J,MATCH(Orçamentária!A1177,Composições!A:A,0),8),2,0)</f>
        <v>38.943635</v>
      </c>
      <c r="F1177" s="134">
        <f t="shared" ca="1" si="54"/>
        <v>0</v>
      </c>
      <c r="G1177" s="135" t="e">
        <f>IF(A1177&lt;&gt;"",IF(AND(#REF!="Padrão",$H$4=#REF!),BDI!$B$17,IF(AND(#REF!="Padrão",$H$4=#REF!),BDI!#REF!,IF(AND(#REF!="Diferenciado",$H$4=#REF!),BDI!$E$17,IF(AND(#REF!="Diferenciado",$H$4=#REF!),BDI!#REF!,IF(#REF!="ZERO",0))))),"")</f>
        <v>#REF!</v>
      </c>
      <c r="H1177" s="136" t="e">
        <f t="shared" ca="1" si="55"/>
        <v>#REF!</v>
      </c>
      <c r="I1177" s="134" t="e">
        <f t="shared" ca="1" si="56"/>
        <v>#REF!</v>
      </c>
      <c r="J1177" s="226"/>
    </row>
    <row r="1178" spans="1:10" hidden="1" x14ac:dyDescent="0.25">
      <c r="A1178" s="112" t="s">
        <v>1380</v>
      </c>
      <c r="B1178" s="113" t="s">
        <v>3055</v>
      </c>
      <c r="C1178" s="114" t="s">
        <v>94</v>
      </c>
      <c r="D1178" s="114">
        <v>0</v>
      </c>
      <c r="E1178" s="133">
        <f ca="1">OFFSET(INDEX(Composições!A:J,MATCH(Orçamentária!A1178,Composições!A:A,0),8),2,0)</f>
        <v>22.182499999999997</v>
      </c>
      <c r="F1178" s="134">
        <f t="shared" ca="1" si="54"/>
        <v>0</v>
      </c>
      <c r="G1178" s="135" t="e">
        <f>IF(A1178&lt;&gt;"",IF(AND(#REF!="Padrão",$H$4=#REF!),BDI!$B$17,IF(AND(#REF!="Padrão",$H$4=#REF!),BDI!#REF!,IF(AND(#REF!="Diferenciado",$H$4=#REF!),BDI!$E$17,IF(AND(#REF!="Diferenciado",$H$4=#REF!),BDI!#REF!,IF(#REF!="ZERO",0))))),"")</f>
        <v>#REF!</v>
      </c>
      <c r="H1178" s="136" t="e">
        <f t="shared" ca="1" si="55"/>
        <v>#REF!</v>
      </c>
      <c r="I1178" s="134" t="e">
        <f t="shared" ca="1" si="56"/>
        <v>#REF!</v>
      </c>
      <c r="J1178" s="226"/>
    </row>
    <row r="1179" spans="1:10" hidden="1" x14ac:dyDescent="0.25">
      <c r="A1179" s="112" t="s">
        <v>1386</v>
      </c>
      <c r="B1179" s="113" t="s">
        <v>3056</v>
      </c>
      <c r="C1179" s="114" t="s">
        <v>94</v>
      </c>
      <c r="D1179" s="114">
        <v>0</v>
      </c>
      <c r="E1179" s="133">
        <f ca="1">OFFSET(INDEX(Composições!A:J,MATCH(Orçamentária!A1179,Composições!A:A,0),8),2,0)</f>
        <v>46.453194999999994</v>
      </c>
      <c r="F1179" s="134">
        <f t="shared" ca="1" si="54"/>
        <v>0</v>
      </c>
      <c r="G1179" s="135" t="e">
        <f>IF(A1179&lt;&gt;"",IF(AND(#REF!="Padrão",$H$4=#REF!),BDI!$B$17,IF(AND(#REF!="Padrão",$H$4=#REF!),BDI!#REF!,IF(AND(#REF!="Diferenciado",$H$4=#REF!),BDI!$E$17,IF(AND(#REF!="Diferenciado",$H$4=#REF!),BDI!#REF!,IF(#REF!="ZERO",0))))),"")</f>
        <v>#REF!</v>
      </c>
      <c r="H1179" s="136" t="e">
        <f t="shared" ca="1" si="55"/>
        <v>#REF!</v>
      </c>
      <c r="I1179" s="134" t="e">
        <f t="shared" ca="1" si="56"/>
        <v>#REF!</v>
      </c>
      <c r="J1179" s="226"/>
    </row>
    <row r="1180" spans="1:10" hidden="1" x14ac:dyDescent="0.25">
      <c r="A1180" s="112" t="s">
        <v>1388</v>
      </c>
      <c r="B1180" s="113" t="s">
        <v>3057</v>
      </c>
      <c r="C1180" s="114" t="s">
        <v>94</v>
      </c>
      <c r="D1180" s="114">
        <v>0</v>
      </c>
      <c r="E1180" s="133">
        <f ca="1">OFFSET(INDEX(Composições!A:J,MATCH(Orçamentária!A1180,Composições!A:A,0),8),2,0)</f>
        <v>4.9779999999999998</v>
      </c>
      <c r="F1180" s="134">
        <f t="shared" ca="1" si="54"/>
        <v>0</v>
      </c>
      <c r="G1180" s="135" t="e">
        <f>IF(A1180&lt;&gt;"",IF(AND(#REF!="Padrão",$H$4=#REF!),BDI!$B$17,IF(AND(#REF!="Padrão",$H$4=#REF!),BDI!#REF!,IF(AND(#REF!="Diferenciado",$H$4=#REF!),BDI!$E$17,IF(AND(#REF!="Diferenciado",$H$4=#REF!),BDI!#REF!,IF(#REF!="ZERO",0))))),"")</f>
        <v>#REF!</v>
      </c>
      <c r="H1180" s="136" t="e">
        <f t="shared" ca="1" si="55"/>
        <v>#REF!</v>
      </c>
      <c r="I1180" s="134" t="e">
        <f t="shared" ca="1" si="56"/>
        <v>#REF!</v>
      </c>
      <c r="J1180" s="226"/>
    </row>
    <row r="1181" spans="1:10" hidden="1" x14ac:dyDescent="0.25">
      <c r="A1181" s="112" t="s">
        <v>1392</v>
      </c>
      <c r="B1181" s="113" t="s">
        <v>3058</v>
      </c>
      <c r="C1181" s="114" t="s">
        <v>94</v>
      </c>
      <c r="D1181" s="114">
        <v>0</v>
      </c>
      <c r="E1181" s="133">
        <f ca="1">OFFSET(INDEX(Composições!A:J,MATCH(Orçamentária!A1181,Composições!A:A,0),8),2,0)</f>
        <v>181.65747999999999</v>
      </c>
      <c r="F1181" s="134">
        <f t="shared" ca="1" si="54"/>
        <v>0</v>
      </c>
      <c r="G1181" s="135" t="e">
        <f>IF(A1181&lt;&gt;"",IF(AND(#REF!="Padrão",$H$4=#REF!),BDI!$B$17,IF(AND(#REF!="Padrão",$H$4=#REF!),BDI!#REF!,IF(AND(#REF!="Diferenciado",$H$4=#REF!),BDI!$E$17,IF(AND(#REF!="Diferenciado",$H$4=#REF!),BDI!#REF!,IF(#REF!="ZERO",0))))),"")</f>
        <v>#REF!</v>
      </c>
      <c r="H1181" s="136" t="e">
        <f t="shared" ca="1" si="55"/>
        <v>#REF!</v>
      </c>
      <c r="I1181" s="134" t="e">
        <f t="shared" ca="1" si="56"/>
        <v>#REF!</v>
      </c>
      <c r="J1181" s="226"/>
    </row>
    <row r="1182" spans="1:10" hidden="1" x14ac:dyDescent="0.25">
      <c r="A1182" s="112" t="s">
        <v>1394</v>
      </c>
      <c r="B1182" s="113" t="s">
        <v>3059</v>
      </c>
      <c r="C1182" s="114" t="s">
        <v>94</v>
      </c>
      <c r="D1182" s="114">
        <v>0</v>
      </c>
      <c r="E1182" s="133">
        <f ca="1">OFFSET(INDEX(Composições!A:J,MATCH(Orçamentária!A1182,Composições!A:A,0),8),2,0)</f>
        <v>183.13434999999998</v>
      </c>
      <c r="F1182" s="134">
        <f t="shared" ca="1" si="54"/>
        <v>0</v>
      </c>
      <c r="G1182" s="135" t="e">
        <f>IF(A1182&lt;&gt;"",IF(AND(#REF!="Padrão",$H$4=#REF!),BDI!$B$17,IF(AND(#REF!="Padrão",$H$4=#REF!),BDI!#REF!,IF(AND(#REF!="Diferenciado",$H$4=#REF!),BDI!$E$17,IF(AND(#REF!="Diferenciado",$H$4=#REF!),BDI!#REF!,IF(#REF!="ZERO",0))))),"")</f>
        <v>#REF!</v>
      </c>
      <c r="H1182" s="136" t="e">
        <f t="shared" ca="1" si="55"/>
        <v>#REF!</v>
      </c>
      <c r="I1182" s="134" t="e">
        <f t="shared" ca="1" si="56"/>
        <v>#REF!</v>
      </c>
      <c r="J1182" s="226"/>
    </row>
    <row r="1183" spans="1:10" hidden="1" x14ac:dyDescent="0.25">
      <c r="A1183" s="112" t="s">
        <v>3060</v>
      </c>
      <c r="B1183" s="113" t="s">
        <v>3061</v>
      </c>
      <c r="C1183" s="114" t="s">
        <v>42</v>
      </c>
      <c r="D1183" s="114">
        <v>0</v>
      </c>
      <c r="E1183" s="133">
        <f ca="1">OFFSET(INDEX(Composições!A:J,MATCH(Orçamentária!A1183,Composições!A:A,0),8),2,0)</f>
        <v>0</v>
      </c>
      <c r="F1183" s="134">
        <f t="shared" ca="1" si="54"/>
        <v>0</v>
      </c>
      <c r="G1183" s="135" t="e">
        <f>IF(A1183&lt;&gt;"",IF(AND(#REF!="Padrão",$H$4=#REF!),BDI!$B$17,IF(AND(#REF!="Padrão",$H$4=#REF!),BDI!#REF!,IF(AND(#REF!="Diferenciado",$H$4=#REF!),BDI!$E$17,IF(AND(#REF!="Diferenciado",$H$4=#REF!),BDI!#REF!,IF(#REF!="ZERO",0))))),"")</f>
        <v>#REF!</v>
      </c>
      <c r="H1183" s="136" t="e">
        <f t="shared" ca="1" si="55"/>
        <v>#REF!</v>
      </c>
      <c r="I1183" s="134" t="e">
        <f t="shared" ca="1" si="56"/>
        <v>#REF!</v>
      </c>
      <c r="J1183" s="226"/>
    </row>
    <row r="1184" spans="1:10" hidden="1" x14ac:dyDescent="0.25">
      <c r="A1184" s="112" t="s">
        <v>1395</v>
      </c>
      <c r="B1184" s="113" t="s">
        <v>3062</v>
      </c>
      <c r="C1184" s="114" t="s">
        <v>42</v>
      </c>
      <c r="D1184" s="114">
        <v>0</v>
      </c>
      <c r="E1184" s="133">
        <f ca="1">OFFSET(INDEX(Composições!A:J,MATCH(Orçamentária!A1184,Composições!A:A,0),8),2,0)</f>
        <v>7.7143799999999993</v>
      </c>
      <c r="F1184" s="134">
        <f t="shared" ca="1" si="54"/>
        <v>0</v>
      </c>
      <c r="G1184" s="135" t="e">
        <f>IF(A1184&lt;&gt;"",IF(AND(#REF!="Padrão",$H$4=#REF!),BDI!$B$17,IF(AND(#REF!="Padrão",$H$4=#REF!),BDI!#REF!,IF(AND(#REF!="Diferenciado",$H$4=#REF!),BDI!$E$17,IF(AND(#REF!="Diferenciado",$H$4=#REF!),BDI!#REF!,IF(#REF!="ZERO",0))))),"")</f>
        <v>#REF!</v>
      </c>
      <c r="H1184" s="136" t="e">
        <f t="shared" ca="1" si="55"/>
        <v>#REF!</v>
      </c>
      <c r="I1184" s="134" t="e">
        <f t="shared" ca="1" si="56"/>
        <v>#REF!</v>
      </c>
      <c r="J1184" s="226"/>
    </row>
    <row r="1185" spans="1:10" hidden="1" x14ac:dyDescent="0.25">
      <c r="A1185" s="112" t="s">
        <v>1398</v>
      </c>
      <c r="B1185" s="113" t="s">
        <v>3063</v>
      </c>
      <c r="C1185" s="114" t="s">
        <v>108</v>
      </c>
      <c r="D1185" s="114">
        <v>0</v>
      </c>
      <c r="E1185" s="133">
        <f ca="1">OFFSET(INDEX(Composições!A:J,MATCH(Orçamentária!A1185,Composições!A:A,0),8),2,0)</f>
        <v>212.23552805</v>
      </c>
      <c r="F1185" s="134">
        <f t="shared" ca="1" si="54"/>
        <v>0</v>
      </c>
      <c r="G1185" s="135" t="e">
        <f>IF(A1185&lt;&gt;"",IF(AND(#REF!="Padrão",$H$4=#REF!),BDI!$B$17,IF(AND(#REF!="Padrão",$H$4=#REF!),BDI!#REF!,IF(AND(#REF!="Diferenciado",$H$4=#REF!),BDI!$E$17,IF(AND(#REF!="Diferenciado",$H$4=#REF!),BDI!#REF!,IF(#REF!="ZERO",0))))),"")</f>
        <v>#REF!</v>
      </c>
      <c r="H1185" s="136" t="e">
        <f t="shared" ca="1" si="55"/>
        <v>#REF!</v>
      </c>
      <c r="I1185" s="134" t="e">
        <f t="shared" ca="1" si="56"/>
        <v>#REF!</v>
      </c>
      <c r="J1185" s="226"/>
    </row>
    <row r="1186" spans="1:10" hidden="1" x14ac:dyDescent="0.25">
      <c r="A1186" s="112" t="s">
        <v>3064</v>
      </c>
      <c r="B1186" s="113" t="s">
        <v>3065</v>
      </c>
      <c r="C1186" s="114" t="s">
        <v>20</v>
      </c>
      <c r="D1186" s="114">
        <v>0</v>
      </c>
      <c r="E1186" s="133" t="s">
        <v>514</v>
      </c>
      <c r="F1186" s="134" t="str">
        <f t="shared" si="54"/>
        <v/>
      </c>
      <c r="G1186" s="135" t="e">
        <f>IF(A1186&lt;&gt;"",IF(AND(#REF!="Padrão",$H$4=#REF!),BDI!$B$17,IF(AND(#REF!="Padrão",$H$4=#REF!),BDI!#REF!,IF(AND(#REF!="Diferenciado",$H$4=#REF!),BDI!$E$17,IF(AND(#REF!="Diferenciado",$H$4=#REF!),BDI!#REF!,IF(#REF!="ZERO",0))))),"")</f>
        <v>#REF!</v>
      </c>
      <c r="H1186" s="136" t="str">
        <f t="shared" si="55"/>
        <v/>
      </c>
      <c r="I1186" s="134" t="str">
        <f t="shared" si="56"/>
        <v/>
      </c>
      <c r="J1186" s="226"/>
    </row>
    <row r="1187" spans="1:10" hidden="1" x14ac:dyDescent="0.25">
      <c r="A1187" s="112" t="s">
        <v>3066</v>
      </c>
      <c r="B1187" s="113" t="s">
        <v>3067</v>
      </c>
      <c r="C1187" s="114" t="s">
        <v>20</v>
      </c>
      <c r="D1187" s="114">
        <v>0</v>
      </c>
      <c r="E1187" s="133" t="s">
        <v>514</v>
      </c>
      <c r="F1187" s="134" t="str">
        <f t="shared" si="54"/>
        <v/>
      </c>
      <c r="G1187" s="135" t="e">
        <f>IF(A1187&lt;&gt;"",IF(AND(#REF!="Padrão",$H$4=#REF!),BDI!$B$17,IF(AND(#REF!="Padrão",$H$4=#REF!),BDI!#REF!,IF(AND(#REF!="Diferenciado",$H$4=#REF!),BDI!$E$17,IF(AND(#REF!="Diferenciado",$H$4=#REF!),BDI!#REF!,IF(#REF!="ZERO",0))))),"")</f>
        <v>#REF!</v>
      </c>
      <c r="H1187" s="136" t="str">
        <f t="shared" si="55"/>
        <v/>
      </c>
      <c r="I1187" s="134" t="str">
        <f t="shared" si="56"/>
        <v/>
      </c>
      <c r="J1187" s="226"/>
    </row>
    <row r="1188" spans="1:10" hidden="1" x14ac:dyDescent="0.25">
      <c r="A1188" s="112" t="s">
        <v>3068</v>
      </c>
      <c r="B1188" s="113" t="s">
        <v>3069</v>
      </c>
      <c r="C1188" s="114" t="s">
        <v>20</v>
      </c>
      <c r="D1188" s="114">
        <v>0</v>
      </c>
      <c r="E1188" s="133" t="s">
        <v>514</v>
      </c>
      <c r="F1188" s="134" t="str">
        <f t="shared" si="54"/>
        <v/>
      </c>
      <c r="G1188" s="135" t="e">
        <f>IF(A1188&lt;&gt;"",IF(AND(#REF!="Padrão",$H$4=#REF!),BDI!$B$17,IF(AND(#REF!="Padrão",$H$4=#REF!),BDI!#REF!,IF(AND(#REF!="Diferenciado",$H$4=#REF!),BDI!$E$17,IF(AND(#REF!="Diferenciado",$H$4=#REF!),BDI!#REF!,IF(#REF!="ZERO",0))))),"")</f>
        <v>#REF!</v>
      </c>
      <c r="H1188" s="136" t="str">
        <f t="shared" si="55"/>
        <v/>
      </c>
      <c r="I1188" s="134" t="str">
        <f t="shared" si="56"/>
        <v/>
      </c>
      <c r="J1188" s="226"/>
    </row>
    <row r="1189" spans="1:10" hidden="1" x14ac:dyDescent="0.25">
      <c r="A1189" s="112" t="s">
        <v>3070</v>
      </c>
      <c r="B1189" s="113" t="s">
        <v>3071</v>
      </c>
      <c r="C1189" s="114" t="s">
        <v>92</v>
      </c>
      <c r="D1189" s="114">
        <v>0</v>
      </c>
      <c r="E1189" s="133">
        <f ca="1">OFFSET(INDEX(Composições!A:J,MATCH(Orçamentária!A1189,Composições!A:A,0),8),2,0)</f>
        <v>74.939799999999991</v>
      </c>
      <c r="F1189" s="134">
        <f t="shared" ca="1" si="54"/>
        <v>0</v>
      </c>
      <c r="G1189" s="135" t="e">
        <f>IF(A1189&lt;&gt;"",IF(AND(#REF!="Padrão",$H$4=#REF!),BDI!$B$17,IF(AND(#REF!="Padrão",$H$4=#REF!),BDI!#REF!,IF(AND(#REF!="Diferenciado",$H$4=#REF!),BDI!$E$17,IF(AND(#REF!="Diferenciado",$H$4=#REF!),BDI!#REF!,IF(#REF!="ZERO",0))))),"")</f>
        <v>#REF!</v>
      </c>
      <c r="H1189" s="136" t="e">
        <f t="shared" ca="1" si="55"/>
        <v>#REF!</v>
      </c>
      <c r="I1189" s="134" t="e">
        <f t="shared" ca="1" si="56"/>
        <v>#REF!</v>
      </c>
      <c r="J1189" s="226"/>
    </row>
    <row r="1190" spans="1:10" hidden="1" x14ac:dyDescent="0.25">
      <c r="A1190" s="112" t="s">
        <v>3072</v>
      </c>
      <c r="B1190" s="113" t="s">
        <v>3073</v>
      </c>
      <c r="C1190" s="114" t="s">
        <v>92</v>
      </c>
      <c r="D1190" s="114">
        <v>0</v>
      </c>
      <c r="E1190" s="133">
        <f ca="1">OFFSET(INDEX(Composições!A:J,MATCH(Orçamentária!A1190,Composições!A:A,0),8),2,0)</f>
        <v>124.04150000000001</v>
      </c>
      <c r="F1190" s="134">
        <f t="shared" ca="1" si="54"/>
        <v>0</v>
      </c>
      <c r="G1190" s="135" t="e">
        <f>IF(A1190&lt;&gt;"",IF(AND(#REF!="Padrão",$H$4=#REF!),BDI!$B$17,IF(AND(#REF!="Padrão",$H$4=#REF!),BDI!#REF!,IF(AND(#REF!="Diferenciado",$H$4=#REF!),BDI!$E$17,IF(AND(#REF!="Diferenciado",$H$4=#REF!),BDI!#REF!,IF(#REF!="ZERO",0))))),"")</f>
        <v>#REF!</v>
      </c>
      <c r="H1190" s="136" t="e">
        <f t="shared" ca="1" si="55"/>
        <v>#REF!</v>
      </c>
      <c r="I1190" s="134" t="e">
        <f t="shared" ca="1" si="56"/>
        <v>#REF!</v>
      </c>
      <c r="J1190" s="226"/>
    </row>
    <row r="1191" spans="1:10" hidden="1" x14ac:dyDescent="0.25">
      <c r="A1191" s="112" t="s">
        <v>3074</v>
      </c>
      <c r="B1191" s="113" t="s">
        <v>3075</v>
      </c>
      <c r="C1191" s="114" t="s">
        <v>20</v>
      </c>
      <c r="D1191" s="114">
        <v>0</v>
      </c>
      <c r="E1191" s="133" t="s">
        <v>514</v>
      </c>
      <c r="F1191" s="134" t="str">
        <f t="shared" si="54"/>
        <v/>
      </c>
      <c r="G1191" s="135" t="e">
        <f>IF(A1191&lt;&gt;"",IF(AND(#REF!="Padrão",$H$4=#REF!),BDI!$B$17,IF(AND(#REF!="Padrão",$H$4=#REF!),BDI!#REF!,IF(AND(#REF!="Diferenciado",$H$4=#REF!),BDI!$E$17,IF(AND(#REF!="Diferenciado",$H$4=#REF!),BDI!#REF!,IF(#REF!="ZERO",0))))),"")</f>
        <v>#REF!</v>
      </c>
      <c r="H1191" s="136" t="str">
        <f t="shared" si="55"/>
        <v/>
      </c>
      <c r="I1191" s="134" t="str">
        <f t="shared" si="56"/>
        <v/>
      </c>
      <c r="J1191" s="226"/>
    </row>
    <row r="1192" spans="1:10" hidden="1" x14ac:dyDescent="0.25">
      <c r="A1192" s="112" t="s">
        <v>3076</v>
      </c>
      <c r="B1192" s="113" t="s">
        <v>3077</v>
      </c>
      <c r="C1192" s="114" t="s">
        <v>20</v>
      </c>
      <c r="D1192" s="114">
        <v>0</v>
      </c>
      <c r="E1192" s="133" t="s">
        <v>514</v>
      </c>
      <c r="F1192" s="134" t="str">
        <f t="shared" si="54"/>
        <v/>
      </c>
      <c r="G1192" s="135" t="e">
        <f>IF(A1192&lt;&gt;"",IF(AND(#REF!="Padrão",$H$4=#REF!),BDI!$B$17,IF(AND(#REF!="Padrão",$H$4=#REF!),BDI!#REF!,IF(AND(#REF!="Diferenciado",$H$4=#REF!),BDI!$E$17,IF(AND(#REF!="Diferenciado",$H$4=#REF!),BDI!#REF!,IF(#REF!="ZERO",0))))),"")</f>
        <v>#REF!</v>
      </c>
      <c r="H1192" s="136" t="str">
        <f t="shared" si="55"/>
        <v/>
      </c>
      <c r="I1192" s="134" t="str">
        <f t="shared" si="56"/>
        <v/>
      </c>
      <c r="J1192" s="226"/>
    </row>
    <row r="1193" spans="1:10" hidden="1" x14ac:dyDescent="0.25">
      <c r="A1193" s="112" t="s">
        <v>3078</v>
      </c>
      <c r="B1193" s="113" t="s">
        <v>3079</v>
      </c>
      <c r="C1193" s="114" t="s">
        <v>20</v>
      </c>
      <c r="D1193" s="114">
        <v>0</v>
      </c>
      <c r="E1193" s="133" t="s">
        <v>514</v>
      </c>
      <c r="F1193" s="134" t="str">
        <f t="shared" si="54"/>
        <v/>
      </c>
      <c r="G1193" s="135" t="e">
        <f>IF(A1193&lt;&gt;"",IF(AND(#REF!="Padrão",$H$4=#REF!),BDI!$B$17,IF(AND(#REF!="Padrão",$H$4=#REF!),BDI!#REF!,IF(AND(#REF!="Diferenciado",$H$4=#REF!),BDI!$E$17,IF(AND(#REF!="Diferenciado",$H$4=#REF!),BDI!#REF!,IF(#REF!="ZERO",0))))),"")</f>
        <v>#REF!</v>
      </c>
      <c r="H1193" s="136" t="str">
        <f t="shared" si="55"/>
        <v/>
      </c>
      <c r="I1193" s="134" t="str">
        <f t="shared" si="56"/>
        <v/>
      </c>
      <c r="J1193" s="226"/>
    </row>
    <row r="1194" spans="1:10" hidden="1" x14ac:dyDescent="0.25">
      <c r="A1194" s="112" t="s">
        <v>3080</v>
      </c>
      <c r="B1194" s="113" t="s">
        <v>3081</v>
      </c>
      <c r="C1194" s="114" t="s">
        <v>20</v>
      </c>
      <c r="D1194" s="114">
        <v>0</v>
      </c>
      <c r="E1194" s="133" t="s">
        <v>514</v>
      </c>
      <c r="F1194" s="134" t="str">
        <f t="shared" si="54"/>
        <v/>
      </c>
      <c r="G1194" s="135" t="e">
        <f>IF(A1194&lt;&gt;"",IF(AND(#REF!="Padrão",$H$4=#REF!),BDI!$B$17,IF(AND(#REF!="Padrão",$H$4=#REF!),BDI!#REF!,IF(AND(#REF!="Diferenciado",$H$4=#REF!),BDI!$E$17,IF(AND(#REF!="Diferenciado",$H$4=#REF!),BDI!#REF!,IF(#REF!="ZERO",0))))),"")</f>
        <v>#REF!</v>
      </c>
      <c r="H1194" s="136" t="str">
        <f t="shared" si="55"/>
        <v/>
      </c>
      <c r="I1194" s="134" t="str">
        <f t="shared" si="56"/>
        <v/>
      </c>
      <c r="J1194" s="226"/>
    </row>
    <row r="1195" spans="1:10" hidden="1" x14ac:dyDescent="0.25">
      <c r="A1195" s="112" t="s">
        <v>3082</v>
      </c>
      <c r="B1195" s="113" t="s">
        <v>3083</v>
      </c>
      <c r="C1195" s="114" t="s">
        <v>20</v>
      </c>
      <c r="D1195" s="114">
        <v>0</v>
      </c>
      <c r="E1195" s="133" t="s">
        <v>514</v>
      </c>
      <c r="F1195" s="134" t="str">
        <f t="shared" si="54"/>
        <v/>
      </c>
      <c r="G1195" s="135" t="e">
        <f>IF(A1195&lt;&gt;"",IF(AND(#REF!="Padrão",$H$4=#REF!),BDI!$B$17,IF(AND(#REF!="Padrão",$H$4=#REF!),BDI!#REF!,IF(AND(#REF!="Diferenciado",$H$4=#REF!),BDI!$E$17,IF(AND(#REF!="Diferenciado",$H$4=#REF!),BDI!#REF!,IF(#REF!="ZERO",0))))),"")</f>
        <v>#REF!</v>
      </c>
      <c r="H1195" s="136" t="str">
        <f t="shared" si="55"/>
        <v/>
      </c>
      <c r="I1195" s="134" t="str">
        <f t="shared" si="56"/>
        <v/>
      </c>
      <c r="J1195" s="226"/>
    </row>
    <row r="1196" spans="1:10" hidden="1" x14ac:dyDescent="0.25">
      <c r="A1196" s="112" t="s">
        <v>3084</v>
      </c>
      <c r="B1196" s="113" t="s">
        <v>3085</v>
      </c>
      <c r="C1196" s="114" t="s">
        <v>20</v>
      </c>
      <c r="D1196" s="114">
        <v>0</v>
      </c>
      <c r="E1196" s="133" t="s">
        <v>514</v>
      </c>
      <c r="F1196" s="134" t="str">
        <f t="shared" si="54"/>
        <v/>
      </c>
      <c r="G1196" s="135" t="e">
        <f>IF(A1196&lt;&gt;"",IF(AND(#REF!="Padrão",$H$4=#REF!),BDI!$B$17,IF(AND(#REF!="Padrão",$H$4=#REF!),BDI!#REF!,IF(AND(#REF!="Diferenciado",$H$4=#REF!),BDI!$E$17,IF(AND(#REF!="Diferenciado",$H$4=#REF!),BDI!#REF!,IF(#REF!="ZERO",0))))),"")</f>
        <v>#REF!</v>
      </c>
      <c r="H1196" s="136" t="str">
        <f t="shared" si="55"/>
        <v/>
      </c>
      <c r="I1196" s="134" t="str">
        <f t="shared" si="56"/>
        <v/>
      </c>
      <c r="J1196" s="226"/>
    </row>
    <row r="1197" spans="1:10" hidden="1" x14ac:dyDescent="0.25">
      <c r="A1197" s="112" t="s">
        <v>3086</v>
      </c>
      <c r="B1197" s="113" t="s">
        <v>6309</v>
      </c>
      <c r="C1197" s="114" t="s">
        <v>20</v>
      </c>
      <c r="D1197" s="114">
        <v>0</v>
      </c>
      <c r="E1197" s="133" t="s">
        <v>514</v>
      </c>
      <c r="F1197" s="134" t="str">
        <f t="shared" si="54"/>
        <v/>
      </c>
      <c r="G1197" s="135" t="e">
        <f>IF(A1197&lt;&gt;"",IF(AND(#REF!="Padrão",$H$4=#REF!),BDI!$B$17,IF(AND(#REF!="Padrão",$H$4=#REF!),BDI!#REF!,IF(AND(#REF!="Diferenciado",$H$4=#REF!),BDI!$E$17,IF(AND(#REF!="Diferenciado",$H$4=#REF!),BDI!#REF!,IF(#REF!="ZERO",0))))),"")</f>
        <v>#REF!</v>
      </c>
      <c r="H1197" s="136" t="str">
        <f t="shared" si="55"/>
        <v/>
      </c>
      <c r="I1197" s="134" t="str">
        <f t="shared" si="56"/>
        <v/>
      </c>
      <c r="J1197" s="226"/>
    </row>
    <row r="1198" spans="1:10" hidden="1" x14ac:dyDescent="0.25">
      <c r="A1198" s="112" t="s">
        <v>3087</v>
      </c>
      <c r="B1198" s="113" t="s">
        <v>6310</v>
      </c>
      <c r="C1198" s="114" t="s">
        <v>20</v>
      </c>
      <c r="D1198" s="114">
        <v>0</v>
      </c>
      <c r="E1198" s="133" t="s">
        <v>514</v>
      </c>
      <c r="F1198" s="134" t="str">
        <f t="shared" si="54"/>
        <v/>
      </c>
      <c r="G1198" s="135" t="e">
        <f>IF(A1198&lt;&gt;"",IF(AND(#REF!="Padrão",$H$4=#REF!),BDI!$B$17,IF(AND(#REF!="Padrão",$H$4=#REF!),BDI!#REF!,IF(AND(#REF!="Diferenciado",$H$4=#REF!),BDI!$E$17,IF(AND(#REF!="Diferenciado",$H$4=#REF!),BDI!#REF!,IF(#REF!="ZERO",0))))),"")</f>
        <v>#REF!</v>
      </c>
      <c r="H1198" s="136" t="str">
        <f t="shared" si="55"/>
        <v/>
      </c>
      <c r="I1198" s="134" t="str">
        <f t="shared" si="56"/>
        <v/>
      </c>
      <c r="J1198" s="226"/>
    </row>
    <row r="1199" spans="1:10" hidden="1" x14ac:dyDescent="0.25">
      <c r="A1199" s="112" t="s">
        <v>3088</v>
      </c>
      <c r="B1199" s="113" t="s">
        <v>6311</v>
      </c>
      <c r="C1199" s="114" t="s">
        <v>20</v>
      </c>
      <c r="D1199" s="114">
        <v>0</v>
      </c>
      <c r="E1199" s="133" t="s">
        <v>514</v>
      </c>
      <c r="F1199" s="134" t="str">
        <f t="shared" si="54"/>
        <v/>
      </c>
      <c r="G1199" s="135" t="e">
        <f>IF(A1199&lt;&gt;"",IF(AND(#REF!="Padrão",$H$4=#REF!),BDI!$B$17,IF(AND(#REF!="Padrão",$H$4=#REF!),BDI!#REF!,IF(AND(#REF!="Diferenciado",$H$4=#REF!),BDI!$E$17,IF(AND(#REF!="Diferenciado",$H$4=#REF!),BDI!#REF!,IF(#REF!="ZERO",0))))),"")</f>
        <v>#REF!</v>
      </c>
      <c r="H1199" s="136" t="str">
        <f t="shared" si="55"/>
        <v/>
      </c>
      <c r="I1199" s="134" t="str">
        <f t="shared" si="56"/>
        <v/>
      </c>
      <c r="J1199" s="226"/>
    </row>
    <row r="1200" spans="1:10" hidden="1" x14ac:dyDescent="0.25">
      <c r="A1200" s="112" t="s">
        <v>3089</v>
      </c>
      <c r="B1200" s="113" t="s">
        <v>6312</v>
      </c>
      <c r="C1200" s="114" t="s">
        <v>20</v>
      </c>
      <c r="D1200" s="114">
        <v>0</v>
      </c>
      <c r="E1200" s="133" t="s">
        <v>514</v>
      </c>
      <c r="F1200" s="134" t="str">
        <f t="shared" si="54"/>
        <v/>
      </c>
      <c r="G1200" s="135" t="e">
        <f>IF(A1200&lt;&gt;"",IF(AND(#REF!="Padrão",$H$4=#REF!),BDI!$B$17,IF(AND(#REF!="Padrão",$H$4=#REF!),BDI!#REF!,IF(AND(#REF!="Diferenciado",$H$4=#REF!),BDI!$E$17,IF(AND(#REF!="Diferenciado",$H$4=#REF!),BDI!#REF!,IF(#REF!="ZERO",0))))),"")</f>
        <v>#REF!</v>
      </c>
      <c r="H1200" s="136" t="str">
        <f t="shared" si="55"/>
        <v/>
      </c>
      <c r="I1200" s="134" t="str">
        <f t="shared" si="56"/>
        <v/>
      </c>
      <c r="J1200" s="226"/>
    </row>
    <row r="1201" spans="1:10" hidden="1" x14ac:dyDescent="0.25">
      <c r="A1201" s="112" t="s">
        <v>3090</v>
      </c>
      <c r="B1201" s="113" t="s">
        <v>3091</v>
      </c>
      <c r="C1201" s="114" t="s">
        <v>20</v>
      </c>
      <c r="D1201" s="114">
        <v>0</v>
      </c>
      <c r="E1201" s="133" t="s">
        <v>514</v>
      </c>
      <c r="F1201" s="134" t="str">
        <f t="shared" si="54"/>
        <v/>
      </c>
      <c r="G1201" s="135" t="e">
        <f>IF(A1201&lt;&gt;"",IF(AND(#REF!="Padrão",$H$4=#REF!),BDI!$B$17,IF(AND(#REF!="Padrão",$H$4=#REF!),BDI!#REF!,IF(AND(#REF!="Diferenciado",$H$4=#REF!),BDI!$E$17,IF(AND(#REF!="Diferenciado",$H$4=#REF!),BDI!#REF!,IF(#REF!="ZERO",0))))),"")</f>
        <v>#REF!</v>
      </c>
      <c r="H1201" s="136" t="str">
        <f t="shared" si="55"/>
        <v/>
      </c>
      <c r="I1201" s="134" t="str">
        <f t="shared" si="56"/>
        <v/>
      </c>
      <c r="J1201" s="226"/>
    </row>
    <row r="1202" spans="1:10" hidden="1" x14ac:dyDescent="0.25">
      <c r="A1202" s="112" t="s">
        <v>3092</v>
      </c>
      <c r="B1202" s="113" t="s">
        <v>3093</v>
      </c>
      <c r="C1202" s="114" t="s">
        <v>20</v>
      </c>
      <c r="D1202" s="114">
        <v>0</v>
      </c>
      <c r="E1202" s="133" t="s">
        <v>514</v>
      </c>
      <c r="F1202" s="134" t="str">
        <f t="shared" si="54"/>
        <v/>
      </c>
      <c r="G1202" s="135" t="e">
        <f>IF(A1202&lt;&gt;"",IF(AND(#REF!="Padrão",$H$4=#REF!),BDI!$B$17,IF(AND(#REF!="Padrão",$H$4=#REF!),BDI!#REF!,IF(AND(#REF!="Diferenciado",$H$4=#REF!),BDI!$E$17,IF(AND(#REF!="Diferenciado",$H$4=#REF!),BDI!#REF!,IF(#REF!="ZERO",0))))),"")</f>
        <v>#REF!</v>
      </c>
      <c r="H1202" s="136" t="str">
        <f t="shared" si="55"/>
        <v/>
      </c>
      <c r="I1202" s="134" t="str">
        <f t="shared" si="56"/>
        <v/>
      </c>
      <c r="J1202" s="226"/>
    </row>
    <row r="1203" spans="1:10" hidden="1" x14ac:dyDescent="0.25">
      <c r="A1203" s="112" t="s">
        <v>3094</v>
      </c>
      <c r="B1203" s="113" t="s">
        <v>3095</v>
      </c>
      <c r="C1203" s="114" t="s">
        <v>20</v>
      </c>
      <c r="D1203" s="114">
        <v>0</v>
      </c>
      <c r="E1203" s="133" t="s">
        <v>514</v>
      </c>
      <c r="F1203" s="134" t="str">
        <f t="shared" si="54"/>
        <v/>
      </c>
      <c r="G1203" s="135" t="e">
        <f>IF(A1203&lt;&gt;"",IF(AND(#REF!="Padrão",$H$4=#REF!),BDI!$B$17,IF(AND(#REF!="Padrão",$H$4=#REF!),BDI!#REF!,IF(AND(#REF!="Diferenciado",$H$4=#REF!),BDI!$E$17,IF(AND(#REF!="Diferenciado",$H$4=#REF!),BDI!#REF!,IF(#REF!="ZERO",0))))),"")</f>
        <v>#REF!</v>
      </c>
      <c r="H1203" s="136" t="str">
        <f t="shared" si="55"/>
        <v/>
      </c>
      <c r="I1203" s="134" t="str">
        <f t="shared" si="56"/>
        <v/>
      </c>
      <c r="J1203" s="226"/>
    </row>
    <row r="1204" spans="1:10" hidden="1" x14ac:dyDescent="0.25">
      <c r="A1204" s="112" t="s">
        <v>3096</v>
      </c>
      <c r="B1204" s="113" t="s">
        <v>3097</v>
      </c>
      <c r="C1204" s="114" t="s">
        <v>20</v>
      </c>
      <c r="D1204" s="114">
        <v>0</v>
      </c>
      <c r="E1204" s="133" t="s">
        <v>514</v>
      </c>
      <c r="F1204" s="134" t="str">
        <f t="shared" si="54"/>
        <v/>
      </c>
      <c r="G1204" s="135" t="e">
        <f>IF(A1204&lt;&gt;"",IF(AND(#REF!="Padrão",$H$4=#REF!),BDI!$B$17,IF(AND(#REF!="Padrão",$H$4=#REF!),BDI!#REF!,IF(AND(#REF!="Diferenciado",$H$4=#REF!),BDI!$E$17,IF(AND(#REF!="Diferenciado",$H$4=#REF!),BDI!#REF!,IF(#REF!="ZERO",0))))),"")</f>
        <v>#REF!</v>
      </c>
      <c r="H1204" s="136" t="str">
        <f t="shared" si="55"/>
        <v/>
      </c>
      <c r="I1204" s="134" t="str">
        <f t="shared" si="56"/>
        <v/>
      </c>
      <c r="J1204" s="226"/>
    </row>
    <row r="1205" spans="1:10" hidden="1" x14ac:dyDescent="0.25">
      <c r="A1205" s="112" t="s">
        <v>3098</v>
      </c>
      <c r="B1205" s="113" t="s">
        <v>3099</v>
      </c>
      <c r="C1205" s="114" t="s">
        <v>20</v>
      </c>
      <c r="D1205" s="114">
        <v>0</v>
      </c>
      <c r="E1205" s="133" t="s">
        <v>514</v>
      </c>
      <c r="F1205" s="134" t="str">
        <f t="shared" si="54"/>
        <v/>
      </c>
      <c r="G1205" s="135" t="e">
        <f>IF(A1205&lt;&gt;"",IF(AND(#REF!="Padrão",$H$4=#REF!),BDI!$B$17,IF(AND(#REF!="Padrão",$H$4=#REF!),BDI!#REF!,IF(AND(#REF!="Diferenciado",$H$4=#REF!),BDI!$E$17,IF(AND(#REF!="Diferenciado",$H$4=#REF!),BDI!#REF!,IF(#REF!="ZERO",0))))),"")</f>
        <v>#REF!</v>
      </c>
      <c r="H1205" s="136" t="str">
        <f t="shared" si="55"/>
        <v/>
      </c>
      <c r="I1205" s="134" t="str">
        <f t="shared" si="56"/>
        <v/>
      </c>
      <c r="J1205" s="226"/>
    </row>
    <row r="1206" spans="1:10" hidden="1" x14ac:dyDescent="0.25">
      <c r="A1206" s="112" t="s">
        <v>3100</v>
      </c>
      <c r="B1206" s="113" t="s">
        <v>6313</v>
      </c>
      <c r="C1206" s="114" t="s">
        <v>20</v>
      </c>
      <c r="D1206" s="114">
        <v>0</v>
      </c>
      <c r="E1206" s="133">
        <f ca="1">OFFSET(INDEX(Composições!A:J,MATCH(Orçamentária!A1206,Composições!A:A,0),8),2,0)</f>
        <v>37.154499999999999</v>
      </c>
      <c r="F1206" s="134">
        <f t="shared" ca="1" si="54"/>
        <v>0</v>
      </c>
      <c r="G1206" s="135" t="e">
        <f>IF(A1206&lt;&gt;"",IF(AND(#REF!="Padrão",$H$4=#REF!),BDI!$B$17,IF(AND(#REF!="Padrão",$H$4=#REF!),BDI!#REF!,IF(AND(#REF!="Diferenciado",$H$4=#REF!),BDI!$E$17,IF(AND(#REF!="Diferenciado",$H$4=#REF!),BDI!#REF!,IF(#REF!="ZERO",0))))),"")</f>
        <v>#REF!</v>
      </c>
      <c r="H1206" s="136" t="e">
        <f t="shared" ca="1" si="55"/>
        <v>#REF!</v>
      </c>
      <c r="I1206" s="134" t="e">
        <f t="shared" ca="1" si="56"/>
        <v>#REF!</v>
      </c>
      <c r="J1206" s="226"/>
    </row>
    <row r="1207" spans="1:10" hidden="1" x14ac:dyDescent="0.25">
      <c r="A1207" s="112" t="s">
        <v>3101</v>
      </c>
      <c r="B1207" s="113" t="s">
        <v>3102</v>
      </c>
      <c r="C1207" s="114" t="s">
        <v>20</v>
      </c>
      <c r="D1207" s="114">
        <v>0</v>
      </c>
      <c r="E1207" s="133" t="s">
        <v>514</v>
      </c>
      <c r="F1207" s="134" t="str">
        <f t="shared" si="54"/>
        <v/>
      </c>
      <c r="G1207" s="135" t="e">
        <f>IF(A1207&lt;&gt;"",IF(AND(#REF!="Padrão",$H$4=#REF!),BDI!$B$17,IF(AND(#REF!="Padrão",$H$4=#REF!),BDI!#REF!,IF(AND(#REF!="Diferenciado",$H$4=#REF!),BDI!$E$17,IF(AND(#REF!="Diferenciado",$H$4=#REF!),BDI!#REF!,IF(#REF!="ZERO",0))))),"")</f>
        <v>#REF!</v>
      </c>
      <c r="H1207" s="136" t="str">
        <f t="shared" si="55"/>
        <v/>
      </c>
      <c r="I1207" s="134" t="str">
        <f t="shared" si="56"/>
        <v/>
      </c>
      <c r="J1207" s="226"/>
    </row>
    <row r="1208" spans="1:10" hidden="1" x14ac:dyDescent="0.25">
      <c r="A1208" s="112" t="s">
        <v>3103</v>
      </c>
      <c r="B1208" s="113" t="s">
        <v>3104</v>
      </c>
      <c r="C1208" s="114" t="s">
        <v>20</v>
      </c>
      <c r="D1208" s="114">
        <v>0</v>
      </c>
      <c r="E1208" s="133" t="s">
        <v>514</v>
      </c>
      <c r="F1208" s="134" t="str">
        <f t="shared" si="54"/>
        <v/>
      </c>
      <c r="G1208" s="135" t="e">
        <f>IF(A1208&lt;&gt;"",IF(AND(#REF!="Padrão",$H$4=#REF!),BDI!$B$17,IF(AND(#REF!="Padrão",$H$4=#REF!),BDI!#REF!,IF(AND(#REF!="Diferenciado",$H$4=#REF!),BDI!$E$17,IF(AND(#REF!="Diferenciado",$H$4=#REF!),BDI!#REF!,IF(#REF!="ZERO",0))))),"")</f>
        <v>#REF!</v>
      </c>
      <c r="H1208" s="136" t="str">
        <f t="shared" si="55"/>
        <v/>
      </c>
      <c r="I1208" s="134" t="str">
        <f t="shared" si="56"/>
        <v/>
      </c>
      <c r="J1208" s="226"/>
    </row>
    <row r="1209" spans="1:10" hidden="1" x14ac:dyDescent="0.25">
      <c r="A1209" s="112" t="s">
        <v>3105</v>
      </c>
      <c r="B1209" s="113" t="s">
        <v>3106</v>
      </c>
      <c r="C1209" s="114" t="s">
        <v>20</v>
      </c>
      <c r="D1209" s="114">
        <v>0</v>
      </c>
      <c r="E1209" s="133" t="s">
        <v>514</v>
      </c>
      <c r="F1209" s="134" t="str">
        <f t="shared" si="54"/>
        <v/>
      </c>
      <c r="G1209" s="135" t="e">
        <f>IF(A1209&lt;&gt;"",IF(AND(#REF!="Padrão",$H$4=#REF!),BDI!$B$17,IF(AND(#REF!="Padrão",$H$4=#REF!),BDI!#REF!,IF(AND(#REF!="Diferenciado",$H$4=#REF!),BDI!$E$17,IF(AND(#REF!="Diferenciado",$H$4=#REF!),BDI!#REF!,IF(#REF!="ZERO",0))))),"")</f>
        <v>#REF!</v>
      </c>
      <c r="H1209" s="136" t="str">
        <f t="shared" si="55"/>
        <v/>
      </c>
      <c r="I1209" s="134" t="str">
        <f t="shared" si="56"/>
        <v/>
      </c>
      <c r="J1209" s="226"/>
    </row>
    <row r="1210" spans="1:10" hidden="1" x14ac:dyDescent="0.25">
      <c r="A1210" s="112" t="s">
        <v>3107</v>
      </c>
      <c r="B1210" s="113" t="s">
        <v>3108</v>
      </c>
      <c r="C1210" s="114" t="s">
        <v>20</v>
      </c>
      <c r="D1210" s="114">
        <v>0</v>
      </c>
      <c r="E1210" s="133">
        <f ca="1">OFFSET(INDEX(Composições!A:J,MATCH(Orçamentária!A1210,Composições!A:A,0),8),2,0)</f>
        <v>60.714499999999994</v>
      </c>
      <c r="F1210" s="134">
        <f t="shared" ca="1" si="54"/>
        <v>0</v>
      </c>
      <c r="G1210" s="135" t="e">
        <f>IF(A1210&lt;&gt;"",IF(AND(#REF!="Padrão",$H$4=#REF!),BDI!$B$17,IF(AND(#REF!="Padrão",$H$4=#REF!),BDI!#REF!,IF(AND(#REF!="Diferenciado",$H$4=#REF!),BDI!$E$17,IF(AND(#REF!="Diferenciado",$H$4=#REF!),BDI!#REF!,IF(#REF!="ZERO",0))))),"")</f>
        <v>#REF!</v>
      </c>
      <c r="H1210" s="136" t="e">
        <f t="shared" ca="1" si="55"/>
        <v>#REF!</v>
      </c>
      <c r="I1210" s="134" t="e">
        <f t="shared" ca="1" si="56"/>
        <v>#REF!</v>
      </c>
      <c r="J1210" s="226"/>
    </row>
    <row r="1211" spans="1:10" hidden="1" x14ac:dyDescent="0.25">
      <c r="A1211" s="112" t="s">
        <v>3109</v>
      </c>
      <c r="B1211" s="113" t="s">
        <v>3110</v>
      </c>
      <c r="C1211" s="114" t="s">
        <v>20</v>
      </c>
      <c r="D1211" s="114">
        <v>0</v>
      </c>
      <c r="E1211" s="133">
        <f ca="1">OFFSET(INDEX(Composições!A:J,MATCH(Orçamentária!A1211,Composições!A:A,0),8),2,0)</f>
        <v>456.34199999999998</v>
      </c>
      <c r="F1211" s="134">
        <f t="shared" ca="1" si="54"/>
        <v>0</v>
      </c>
      <c r="G1211" s="135" t="e">
        <f>IF(A1211&lt;&gt;"",IF(AND(#REF!="Padrão",$H$4=#REF!),BDI!$B$17,IF(AND(#REF!="Padrão",$H$4=#REF!),BDI!#REF!,IF(AND(#REF!="Diferenciado",$H$4=#REF!),BDI!$E$17,IF(AND(#REF!="Diferenciado",$H$4=#REF!),BDI!#REF!,IF(#REF!="ZERO",0))))),"")</f>
        <v>#REF!</v>
      </c>
      <c r="H1211" s="136" t="e">
        <f t="shared" ca="1" si="55"/>
        <v>#REF!</v>
      </c>
      <c r="I1211" s="134" t="e">
        <f t="shared" ca="1" si="56"/>
        <v>#REF!</v>
      </c>
      <c r="J1211" s="226"/>
    </row>
    <row r="1212" spans="1:10" hidden="1" x14ac:dyDescent="0.25">
      <c r="A1212" s="112" t="s">
        <v>3111</v>
      </c>
      <c r="B1212" s="113" t="s">
        <v>3112</v>
      </c>
      <c r="C1212" s="114" t="s">
        <v>20</v>
      </c>
      <c r="D1212" s="114">
        <v>0</v>
      </c>
      <c r="E1212" s="133" t="s">
        <v>514</v>
      </c>
      <c r="F1212" s="134" t="str">
        <f t="shared" si="54"/>
        <v/>
      </c>
      <c r="G1212" s="135" t="e">
        <f>IF(A1212&lt;&gt;"",IF(AND(#REF!="Padrão",$H$4=#REF!),BDI!$B$17,IF(AND(#REF!="Padrão",$H$4=#REF!),BDI!#REF!,IF(AND(#REF!="Diferenciado",$H$4=#REF!),BDI!$E$17,IF(AND(#REF!="Diferenciado",$H$4=#REF!),BDI!#REF!,IF(#REF!="ZERO",0))))),"")</f>
        <v>#REF!</v>
      </c>
      <c r="H1212" s="136" t="str">
        <f t="shared" si="55"/>
        <v/>
      </c>
      <c r="I1212" s="134" t="str">
        <f t="shared" si="56"/>
        <v/>
      </c>
      <c r="J1212" s="226"/>
    </row>
    <row r="1213" spans="1:10" hidden="1" x14ac:dyDescent="0.25">
      <c r="A1213" s="112" t="s">
        <v>3113</v>
      </c>
      <c r="B1213" s="113" t="s">
        <v>3114</v>
      </c>
      <c r="C1213" s="114" t="s">
        <v>20</v>
      </c>
      <c r="D1213" s="114">
        <v>0</v>
      </c>
      <c r="E1213" s="133" t="s">
        <v>514</v>
      </c>
      <c r="F1213" s="134" t="str">
        <f t="shared" si="54"/>
        <v/>
      </c>
      <c r="G1213" s="135" t="e">
        <f>IF(A1213&lt;&gt;"",IF(AND(#REF!="Padrão",$H$4=#REF!),BDI!$B$17,IF(AND(#REF!="Padrão",$H$4=#REF!),BDI!#REF!,IF(AND(#REF!="Diferenciado",$H$4=#REF!),BDI!$E$17,IF(AND(#REF!="Diferenciado",$H$4=#REF!),BDI!#REF!,IF(#REF!="ZERO",0))))),"")</f>
        <v>#REF!</v>
      </c>
      <c r="H1213" s="136" t="str">
        <f t="shared" si="55"/>
        <v/>
      </c>
      <c r="I1213" s="134" t="str">
        <f t="shared" si="56"/>
        <v/>
      </c>
      <c r="J1213" s="226"/>
    </row>
    <row r="1214" spans="1:10" hidden="1" x14ac:dyDescent="0.25">
      <c r="A1214" s="112" t="s">
        <v>3115</v>
      </c>
      <c r="B1214" s="113" t="s">
        <v>6314</v>
      </c>
      <c r="C1214" s="114" t="s">
        <v>20</v>
      </c>
      <c r="D1214" s="114">
        <v>0</v>
      </c>
      <c r="E1214" s="133" t="s">
        <v>514</v>
      </c>
      <c r="F1214" s="134" t="str">
        <f t="shared" si="54"/>
        <v/>
      </c>
      <c r="G1214" s="135" t="e">
        <f>IF(A1214&lt;&gt;"",IF(AND(#REF!="Padrão",$H$4=#REF!),BDI!$B$17,IF(AND(#REF!="Padrão",$H$4=#REF!),BDI!#REF!,IF(AND(#REF!="Diferenciado",$H$4=#REF!),BDI!$E$17,IF(AND(#REF!="Diferenciado",$H$4=#REF!),BDI!#REF!,IF(#REF!="ZERO",0))))),"")</f>
        <v>#REF!</v>
      </c>
      <c r="H1214" s="136" t="str">
        <f t="shared" si="55"/>
        <v/>
      </c>
      <c r="I1214" s="134" t="str">
        <f t="shared" si="56"/>
        <v/>
      </c>
      <c r="J1214" s="226"/>
    </row>
    <row r="1215" spans="1:10" hidden="1" x14ac:dyDescent="0.25">
      <c r="A1215" s="112" t="s">
        <v>3116</v>
      </c>
      <c r="B1215" s="113" t="s">
        <v>3117</v>
      </c>
      <c r="C1215" s="114" t="s">
        <v>20</v>
      </c>
      <c r="D1215" s="114">
        <v>0</v>
      </c>
      <c r="E1215" s="133" t="s">
        <v>514</v>
      </c>
      <c r="F1215" s="134" t="str">
        <f t="shared" si="54"/>
        <v/>
      </c>
      <c r="G1215" s="135" t="e">
        <f>IF(A1215&lt;&gt;"",IF(AND(#REF!="Padrão",$H$4=#REF!),BDI!$B$17,IF(AND(#REF!="Padrão",$H$4=#REF!),BDI!#REF!,IF(AND(#REF!="Diferenciado",$H$4=#REF!),BDI!$E$17,IF(AND(#REF!="Diferenciado",$H$4=#REF!),BDI!#REF!,IF(#REF!="ZERO",0))))),"")</f>
        <v>#REF!</v>
      </c>
      <c r="H1215" s="136" t="str">
        <f t="shared" si="55"/>
        <v/>
      </c>
      <c r="I1215" s="134" t="str">
        <f t="shared" si="56"/>
        <v/>
      </c>
      <c r="J1215" s="226"/>
    </row>
    <row r="1216" spans="1:10" hidden="1" x14ac:dyDescent="0.25">
      <c r="A1216" s="112" t="s">
        <v>3118</v>
      </c>
      <c r="B1216" s="113" t="s">
        <v>3119</v>
      </c>
      <c r="C1216" s="114" t="s">
        <v>20</v>
      </c>
      <c r="D1216" s="114">
        <v>0</v>
      </c>
      <c r="E1216" s="133" t="s">
        <v>514</v>
      </c>
      <c r="F1216" s="134" t="str">
        <f t="shared" si="54"/>
        <v/>
      </c>
      <c r="G1216" s="135" t="e">
        <f>IF(A1216&lt;&gt;"",IF(AND(#REF!="Padrão",$H$4=#REF!),BDI!$B$17,IF(AND(#REF!="Padrão",$H$4=#REF!),BDI!#REF!,IF(AND(#REF!="Diferenciado",$H$4=#REF!),BDI!$E$17,IF(AND(#REF!="Diferenciado",$H$4=#REF!),BDI!#REF!,IF(#REF!="ZERO",0))))),"")</f>
        <v>#REF!</v>
      </c>
      <c r="H1216" s="136" t="str">
        <f t="shared" si="55"/>
        <v/>
      </c>
      <c r="I1216" s="134" t="str">
        <f t="shared" si="56"/>
        <v/>
      </c>
      <c r="J1216" s="226"/>
    </row>
    <row r="1217" spans="1:10" hidden="1" x14ac:dyDescent="0.25">
      <c r="A1217" s="112" t="s">
        <v>3120</v>
      </c>
      <c r="B1217" s="113" t="s">
        <v>3121</v>
      </c>
      <c r="C1217" s="114" t="s">
        <v>570</v>
      </c>
      <c r="D1217" s="114">
        <v>0</v>
      </c>
      <c r="E1217" s="133" t="s">
        <v>514</v>
      </c>
      <c r="F1217" s="134" t="str">
        <f t="shared" si="54"/>
        <v/>
      </c>
      <c r="G1217" s="135" t="e">
        <f>IF(A1217&lt;&gt;"",IF(AND(#REF!="Padrão",$H$4=#REF!),BDI!$B$17,IF(AND(#REF!="Padrão",$H$4=#REF!),BDI!#REF!,IF(AND(#REF!="Diferenciado",$H$4=#REF!),BDI!$E$17,IF(AND(#REF!="Diferenciado",$H$4=#REF!),BDI!#REF!,IF(#REF!="ZERO",0))))),"")</f>
        <v>#REF!</v>
      </c>
      <c r="H1217" s="136" t="str">
        <f t="shared" si="55"/>
        <v/>
      </c>
      <c r="I1217" s="134" t="str">
        <f t="shared" si="56"/>
        <v/>
      </c>
      <c r="J1217" s="226"/>
    </row>
    <row r="1218" spans="1:10" hidden="1" x14ac:dyDescent="0.25">
      <c r="A1218" s="112" t="s">
        <v>3122</v>
      </c>
      <c r="B1218" s="113" t="s">
        <v>6315</v>
      </c>
      <c r="C1218" s="114" t="s">
        <v>20</v>
      </c>
      <c r="D1218" s="114">
        <v>0</v>
      </c>
      <c r="E1218" s="133" t="s">
        <v>514</v>
      </c>
      <c r="F1218" s="134" t="str">
        <f t="shared" si="54"/>
        <v/>
      </c>
      <c r="G1218" s="135" t="e">
        <f>IF(A1218&lt;&gt;"",IF(AND(#REF!="Padrão",$H$4=#REF!),BDI!$B$17,IF(AND(#REF!="Padrão",$H$4=#REF!),BDI!#REF!,IF(AND(#REF!="Diferenciado",$H$4=#REF!),BDI!$E$17,IF(AND(#REF!="Diferenciado",$H$4=#REF!),BDI!#REF!,IF(#REF!="ZERO",0))))),"")</f>
        <v>#REF!</v>
      </c>
      <c r="H1218" s="136" t="str">
        <f t="shared" si="55"/>
        <v/>
      </c>
      <c r="I1218" s="134" t="str">
        <f t="shared" si="56"/>
        <v/>
      </c>
      <c r="J1218" s="226"/>
    </row>
    <row r="1219" spans="1:10" hidden="1" x14ac:dyDescent="0.25">
      <c r="A1219" s="112" t="s">
        <v>3123</v>
      </c>
      <c r="B1219" s="113" t="s">
        <v>3124</v>
      </c>
      <c r="C1219" s="114" t="s">
        <v>20</v>
      </c>
      <c r="D1219" s="114">
        <v>0</v>
      </c>
      <c r="E1219" s="133">
        <f ca="1">OFFSET(INDEX(Composições!A:J,MATCH(Orçamentária!A1219,Composições!A:A,0),8),2,0)</f>
        <v>46.550000000000004</v>
      </c>
      <c r="F1219" s="134">
        <f t="shared" ca="1" si="54"/>
        <v>0</v>
      </c>
      <c r="G1219" s="135" t="e">
        <f>IF(A1219&lt;&gt;"",IF(AND(#REF!="Padrão",$H$4=#REF!),BDI!$B$17,IF(AND(#REF!="Padrão",$H$4=#REF!),BDI!#REF!,IF(AND(#REF!="Diferenciado",$H$4=#REF!),BDI!$E$17,IF(AND(#REF!="Diferenciado",$H$4=#REF!),BDI!#REF!,IF(#REF!="ZERO",0))))),"")</f>
        <v>#REF!</v>
      </c>
      <c r="H1219" s="136" t="e">
        <f t="shared" ca="1" si="55"/>
        <v>#REF!</v>
      </c>
      <c r="I1219" s="134" t="e">
        <f t="shared" ca="1" si="56"/>
        <v>#REF!</v>
      </c>
      <c r="J1219" s="226"/>
    </row>
    <row r="1220" spans="1:10" hidden="1" x14ac:dyDescent="0.25">
      <c r="A1220" s="112" t="s">
        <v>3125</v>
      </c>
      <c r="B1220" s="113" t="s">
        <v>3126</v>
      </c>
      <c r="C1220" s="114" t="s">
        <v>20</v>
      </c>
      <c r="D1220" s="114">
        <v>0</v>
      </c>
      <c r="E1220" s="133" t="s">
        <v>514</v>
      </c>
      <c r="F1220" s="134" t="str">
        <f t="shared" si="54"/>
        <v/>
      </c>
      <c r="G1220" s="135" t="e">
        <f>IF(A1220&lt;&gt;"",IF(AND(#REF!="Padrão",$H$4=#REF!),BDI!$B$17,IF(AND(#REF!="Padrão",$H$4=#REF!),BDI!#REF!,IF(AND(#REF!="Diferenciado",$H$4=#REF!),BDI!$E$17,IF(AND(#REF!="Diferenciado",$H$4=#REF!),BDI!#REF!,IF(#REF!="ZERO",0))))),"")</f>
        <v>#REF!</v>
      </c>
      <c r="H1220" s="136" t="str">
        <f t="shared" si="55"/>
        <v/>
      </c>
      <c r="I1220" s="134" t="str">
        <f t="shared" si="56"/>
        <v/>
      </c>
      <c r="J1220" s="226"/>
    </row>
    <row r="1221" spans="1:10" hidden="1" x14ac:dyDescent="0.25">
      <c r="A1221" s="112" t="s">
        <v>3127</v>
      </c>
      <c r="B1221" s="113" t="s">
        <v>3128</v>
      </c>
      <c r="C1221" s="114" t="s">
        <v>20</v>
      </c>
      <c r="D1221" s="114">
        <v>0</v>
      </c>
      <c r="E1221" s="133" t="s">
        <v>514</v>
      </c>
      <c r="F1221" s="134" t="str">
        <f t="shared" si="54"/>
        <v/>
      </c>
      <c r="G1221" s="135" t="e">
        <f>IF(A1221&lt;&gt;"",IF(AND(#REF!="Padrão",$H$4=#REF!),BDI!$B$17,IF(AND(#REF!="Padrão",$H$4=#REF!),BDI!#REF!,IF(AND(#REF!="Diferenciado",$H$4=#REF!),BDI!$E$17,IF(AND(#REF!="Diferenciado",$H$4=#REF!),BDI!#REF!,IF(#REF!="ZERO",0))))),"")</f>
        <v>#REF!</v>
      </c>
      <c r="H1221" s="136" t="str">
        <f t="shared" si="55"/>
        <v/>
      </c>
      <c r="I1221" s="134" t="str">
        <f t="shared" si="56"/>
        <v/>
      </c>
      <c r="J1221" s="226"/>
    </row>
    <row r="1222" spans="1:10" hidden="1" x14ac:dyDescent="0.25">
      <c r="A1222" s="112" t="s">
        <v>3129</v>
      </c>
      <c r="B1222" s="113" t="s">
        <v>3130</v>
      </c>
      <c r="C1222" s="114" t="s">
        <v>20</v>
      </c>
      <c r="D1222" s="114">
        <v>0</v>
      </c>
      <c r="E1222" s="133" t="s">
        <v>514</v>
      </c>
      <c r="F1222" s="134" t="str">
        <f t="shared" si="54"/>
        <v/>
      </c>
      <c r="G1222" s="135" t="e">
        <f>IF(A1222&lt;&gt;"",IF(AND(#REF!="Padrão",$H$4=#REF!),BDI!$B$17,IF(AND(#REF!="Padrão",$H$4=#REF!),BDI!#REF!,IF(AND(#REF!="Diferenciado",$H$4=#REF!),BDI!$E$17,IF(AND(#REF!="Diferenciado",$H$4=#REF!),BDI!#REF!,IF(#REF!="ZERO",0))))),"")</f>
        <v>#REF!</v>
      </c>
      <c r="H1222" s="136" t="str">
        <f t="shared" si="55"/>
        <v/>
      </c>
      <c r="I1222" s="134" t="str">
        <f t="shared" si="56"/>
        <v/>
      </c>
      <c r="J1222" s="226"/>
    </row>
    <row r="1223" spans="1:10" hidden="1" x14ac:dyDescent="0.25">
      <c r="A1223" s="112" t="s">
        <v>3131</v>
      </c>
      <c r="B1223" s="113" t="s">
        <v>3132</v>
      </c>
      <c r="C1223" s="114" t="s">
        <v>20</v>
      </c>
      <c r="D1223" s="114">
        <v>0</v>
      </c>
      <c r="E1223" s="133" t="s">
        <v>514</v>
      </c>
      <c r="F1223" s="134" t="str">
        <f t="shared" ref="F1223:F1239" si="57">IF(ISNUMBER(E1223),D1223*E1223,"")</f>
        <v/>
      </c>
      <c r="G1223" s="135" t="e">
        <f>IF(A1223&lt;&gt;"",IF(AND(#REF!="Padrão",$H$4=#REF!),BDI!$B$17,IF(AND(#REF!="Padrão",$H$4=#REF!),BDI!#REF!,IF(AND(#REF!="Diferenciado",$H$4=#REF!),BDI!$E$17,IF(AND(#REF!="Diferenciado",$H$4=#REF!),BDI!#REF!,IF(#REF!="ZERO",0))))),"")</f>
        <v>#REF!</v>
      </c>
      <c r="H1223" s="136" t="str">
        <f t="shared" ref="H1223:H1239" si="58">IF(ISNUMBER(E1223),ROUND(E1223*(1+G1223),2),"")</f>
        <v/>
      </c>
      <c r="I1223" s="134" t="str">
        <f t="shared" ref="I1223:I1239" si="59">IF(ISNUMBER(E1223),ROUND(H1223*D1223,2),"")</f>
        <v/>
      </c>
      <c r="J1223" s="226"/>
    </row>
    <row r="1224" spans="1:10" hidden="1" x14ac:dyDescent="0.25">
      <c r="A1224" s="112" t="s">
        <v>3133</v>
      </c>
      <c r="B1224" s="113" t="s">
        <v>3134</v>
      </c>
      <c r="C1224" s="114" t="s">
        <v>20</v>
      </c>
      <c r="D1224" s="114">
        <v>0</v>
      </c>
      <c r="E1224" s="133">
        <f ca="1">OFFSET(INDEX(Composições!A:J,MATCH(Orçamentária!A1224,Composições!A:A,0),8),2,0)</f>
        <v>1126.2249999999999</v>
      </c>
      <c r="F1224" s="134">
        <f t="shared" ca="1" si="57"/>
        <v>0</v>
      </c>
      <c r="G1224" s="135" t="e">
        <f>IF(A1224&lt;&gt;"",IF(AND(#REF!="Padrão",$H$4=#REF!),BDI!$B$17,IF(AND(#REF!="Padrão",$H$4=#REF!),BDI!#REF!,IF(AND(#REF!="Diferenciado",$H$4=#REF!),BDI!$E$17,IF(AND(#REF!="Diferenciado",$H$4=#REF!),BDI!#REF!,IF(#REF!="ZERO",0))))),"")</f>
        <v>#REF!</v>
      </c>
      <c r="H1224" s="136" t="e">
        <f t="shared" ca="1" si="58"/>
        <v>#REF!</v>
      </c>
      <c r="I1224" s="134" t="e">
        <f t="shared" ca="1" si="59"/>
        <v>#REF!</v>
      </c>
      <c r="J1224" s="226"/>
    </row>
    <row r="1225" spans="1:10" hidden="1" x14ac:dyDescent="0.25">
      <c r="A1225" s="112" t="s">
        <v>3135</v>
      </c>
      <c r="B1225" s="113" t="s">
        <v>6316</v>
      </c>
      <c r="C1225" s="114" t="s">
        <v>20</v>
      </c>
      <c r="D1225" s="114">
        <v>0</v>
      </c>
      <c r="E1225" s="133" t="s">
        <v>514</v>
      </c>
      <c r="F1225" s="134" t="str">
        <f t="shared" si="57"/>
        <v/>
      </c>
      <c r="G1225" s="135" t="e">
        <f>IF(A1225&lt;&gt;"",IF(AND(#REF!="Padrão",$H$4=#REF!),BDI!$B$17,IF(AND(#REF!="Padrão",$H$4=#REF!),BDI!#REF!,IF(AND(#REF!="Diferenciado",$H$4=#REF!),BDI!$E$17,IF(AND(#REF!="Diferenciado",$H$4=#REF!),BDI!#REF!,IF(#REF!="ZERO",0))))),"")</f>
        <v>#REF!</v>
      </c>
      <c r="H1225" s="136" t="str">
        <f t="shared" si="58"/>
        <v/>
      </c>
      <c r="I1225" s="134" t="str">
        <f t="shared" si="59"/>
        <v/>
      </c>
      <c r="J1225" s="226"/>
    </row>
    <row r="1226" spans="1:10" hidden="1" x14ac:dyDescent="0.25">
      <c r="A1226" s="112" t="s">
        <v>3136</v>
      </c>
      <c r="B1226" s="113" t="s">
        <v>3137</v>
      </c>
      <c r="C1226" s="114" t="s">
        <v>20</v>
      </c>
      <c r="D1226" s="114">
        <v>0</v>
      </c>
      <c r="E1226" s="133" t="s">
        <v>514</v>
      </c>
      <c r="F1226" s="134" t="str">
        <f t="shared" si="57"/>
        <v/>
      </c>
      <c r="G1226" s="135" t="e">
        <f>IF(A1226&lt;&gt;"",IF(AND(#REF!="Padrão",$H$4=#REF!),BDI!$B$17,IF(AND(#REF!="Padrão",$H$4=#REF!),BDI!#REF!,IF(AND(#REF!="Diferenciado",$H$4=#REF!),BDI!$E$17,IF(AND(#REF!="Diferenciado",$H$4=#REF!),BDI!#REF!,IF(#REF!="ZERO",0))))),"")</f>
        <v>#REF!</v>
      </c>
      <c r="H1226" s="136" t="str">
        <f t="shared" si="58"/>
        <v/>
      </c>
      <c r="I1226" s="134" t="str">
        <f t="shared" si="59"/>
        <v/>
      </c>
      <c r="J1226" s="226"/>
    </row>
    <row r="1227" spans="1:10" hidden="1" x14ac:dyDescent="0.25">
      <c r="A1227" s="112" t="s">
        <v>3138</v>
      </c>
      <c r="B1227" s="113" t="s">
        <v>3139</v>
      </c>
      <c r="C1227" s="114" t="s">
        <v>20</v>
      </c>
      <c r="D1227" s="114">
        <v>0</v>
      </c>
      <c r="E1227" s="133" t="s">
        <v>514</v>
      </c>
      <c r="F1227" s="134" t="str">
        <f t="shared" si="57"/>
        <v/>
      </c>
      <c r="G1227" s="135" t="e">
        <f>IF(A1227&lt;&gt;"",IF(AND(#REF!="Padrão",$H$4=#REF!),BDI!$B$17,IF(AND(#REF!="Padrão",$H$4=#REF!),BDI!#REF!,IF(AND(#REF!="Diferenciado",$H$4=#REF!),BDI!$E$17,IF(AND(#REF!="Diferenciado",$H$4=#REF!),BDI!#REF!,IF(#REF!="ZERO",0))))),"")</f>
        <v>#REF!</v>
      </c>
      <c r="H1227" s="136" t="str">
        <f t="shared" si="58"/>
        <v/>
      </c>
      <c r="I1227" s="134" t="str">
        <f t="shared" si="59"/>
        <v/>
      </c>
      <c r="J1227" s="226"/>
    </row>
    <row r="1228" spans="1:10" hidden="1" x14ac:dyDescent="0.25">
      <c r="A1228" s="112" t="s">
        <v>3140</v>
      </c>
      <c r="B1228" s="113" t="s">
        <v>3141</v>
      </c>
      <c r="C1228" s="114" t="s">
        <v>92</v>
      </c>
      <c r="D1228" s="114">
        <v>0</v>
      </c>
      <c r="E1228" s="133" t="s">
        <v>514</v>
      </c>
      <c r="F1228" s="134" t="str">
        <f t="shared" si="57"/>
        <v/>
      </c>
      <c r="G1228" s="135" t="e">
        <f>IF(A1228&lt;&gt;"",IF(AND(#REF!="Padrão",$H$4=#REF!),BDI!$B$17,IF(AND(#REF!="Padrão",$H$4=#REF!),BDI!#REF!,IF(AND(#REF!="Diferenciado",$H$4=#REF!),BDI!$E$17,IF(AND(#REF!="Diferenciado",$H$4=#REF!),BDI!#REF!,IF(#REF!="ZERO",0))))),"")</f>
        <v>#REF!</v>
      </c>
      <c r="H1228" s="136" t="str">
        <f t="shared" si="58"/>
        <v/>
      </c>
      <c r="I1228" s="134" t="str">
        <f t="shared" si="59"/>
        <v/>
      </c>
      <c r="J1228" s="226"/>
    </row>
    <row r="1229" spans="1:10" hidden="1" x14ac:dyDescent="0.25">
      <c r="A1229" s="112" t="s">
        <v>3142</v>
      </c>
      <c r="B1229" s="113" t="s">
        <v>3143</v>
      </c>
      <c r="C1229" s="114" t="s">
        <v>20</v>
      </c>
      <c r="D1229" s="114">
        <v>0</v>
      </c>
      <c r="E1229" s="133" t="s">
        <v>514</v>
      </c>
      <c r="F1229" s="134" t="str">
        <f t="shared" si="57"/>
        <v/>
      </c>
      <c r="G1229" s="135" t="e">
        <f>IF(A1229&lt;&gt;"",IF(AND(#REF!="Padrão",$H$4=#REF!),BDI!$B$17,IF(AND(#REF!="Padrão",$H$4=#REF!),BDI!#REF!,IF(AND(#REF!="Diferenciado",$H$4=#REF!),BDI!$E$17,IF(AND(#REF!="Diferenciado",$H$4=#REF!),BDI!#REF!,IF(#REF!="ZERO",0))))),"")</f>
        <v>#REF!</v>
      </c>
      <c r="H1229" s="136" t="str">
        <f t="shared" si="58"/>
        <v/>
      </c>
      <c r="I1229" s="134" t="str">
        <f t="shared" si="59"/>
        <v/>
      </c>
      <c r="J1229" s="226"/>
    </row>
    <row r="1230" spans="1:10" hidden="1" x14ac:dyDescent="0.25">
      <c r="A1230" s="112" t="s">
        <v>3144</v>
      </c>
      <c r="B1230" s="113" t="s">
        <v>3145</v>
      </c>
      <c r="C1230" s="114" t="s">
        <v>94</v>
      </c>
      <c r="D1230" s="114">
        <v>0</v>
      </c>
      <c r="E1230" s="133">
        <f ca="1">OFFSET(INDEX(Composições!A:J,MATCH(Orçamentária!A1230,Composições!A:A,0),8),2,0)</f>
        <v>49.533000000000001</v>
      </c>
      <c r="F1230" s="134">
        <f t="shared" ca="1" si="57"/>
        <v>0</v>
      </c>
      <c r="G1230" s="135" t="e">
        <f>IF(A1230&lt;&gt;"",IF(AND(#REF!="Padrão",$H$4=#REF!),BDI!$B$17,IF(AND(#REF!="Padrão",$H$4=#REF!),BDI!#REF!,IF(AND(#REF!="Diferenciado",$H$4=#REF!),BDI!$E$17,IF(AND(#REF!="Diferenciado",$H$4=#REF!),BDI!#REF!,IF(#REF!="ZERO",0))))),"")</f>
        <v>#REF!</v>
      </c>
      <c r="H1230" s="136" t="e">
        <f t="shared" ca="1" si="58"/>
        <v>#REF!</v>
      </c>
      <c r="I1230" s="134" t="e">
        <f t="shared" ca="1" si="59"/>
        <v>#REF!</v>
      </c>
      <c r="J1230" s="226"/>
    </row>
    <row r="1231" spans="1:10" hidden="1" x14ac:dyDescent="0.25">
      <c r="A1231" s="112" t="s">
        <v>3146</v>
      </c>
      <c r="B1231" s="113" t="s">
        <v>3147</v>
      </c>
      <c r="C1231" s="114" t="s">
        <v>101</v>
      </c>
      <c r="D1231" s="114">
        <v>0</v>
      </c>
      <c r="E1231" s="133">
        <f ca="1">OFFSET(INDEX(Composições!A:J,MATCH(Orçamentária!A1231,Composições!A:A,0),8),2,0)</f>
        <v>15.674999999999999</v>
      </c>
      <c r="F1231" s="134">
        <f t="shared" ca="1" si="57"/>
        <v>0</v>
      </c>
      <c r="G1231" s="135" t="e">
        <f>IF(A1231&lt;&gt;"",IF(AND(#REF!="Padrão",$H$4=#REF!),BDI!$B$17,IF(AND(#REF!="Padrão",$H$4=#REF!),BDI!#REF!,IF(AND(#REF!="Diferenciado",$H$4=#REF!),BDI!$E$17,IF(AND(#REF!="Diferenciado",$H$4=#REF!),BDI!#REF!,IF(#REF!="ZERO",0))))),"")</f>
        <v>#REF!</v>
      </c>
      <c r="H1231" s="136" t="e">
        <f t="shared" ca="1" si="58"/>
        <v>#REF!</v>
      </c>
      <c r="I1231" s="134" t="e">
        <f t="shared" ca="1" si="59"/>
        <v>#REF!</v>
      </c>
      <c r="J1231" s="226"/>
    </row>
    <row r="1232" spans="1:10" ht="25.5" hidden="1" x14ac:dyDescent="0.25">
      <c r="A1232" s="112" t="s">
        <v>3148</v>
      </c>
      <c r="B1232" s="113" t="s">
        <v>3149</v>
      </c>
      <c r="C1232" s="114" t="s">
        <v>20</v>
      </c>
      <c r="D1232" s="114">
        <v>0</v>
      </c>
      <c r="E1232" s="133" t="s">
        <v>514</v>
      </c>
      <c r="F1232" s="134" t="str">
        <f t="shared" si="57"/>
        <v/>
      </c>
      <c r="G1232" s="135" t="e">
        <f>IF(A1232&lt;&gt;"",IF(AND(#REF!="Padrão",$H$4=#REF!),BDI!$B$17,IF(AND(#REF!="Padrão",$H$4=#REF!),BDI!#REF!,IF(AND(#REF!="Diferenciado",$H$4=#REF!),BDI!$E$17,IF(AND(#REF!="Diferenciado",$H$4=#REF!),BDI!#REF!,IF(#REF!="ZERO",0))))),"")</f>
        <v>#REF!</v>
      </c>
      <c r="H1232" s="136" t="str">
        <f t="shared" si="58"/>
        <v/>
      </c>
      <c r="I1232" s="134" t="str">
        <f t="shared" si="59"/>
        <v/>
      </c>
      <c r="J1232" s="226"/>
    </row>
    <row r="1233" spans="1:10" ht="25.5" hidden="1" x14ac:dyDescent="0.25">
      <c r="A1233" s="112" t="s">
        <v>3150</v>
      </c>
      <c r="B1233" s="113" t="s">
        <v>3151</v>
      </c>
      <c r="C1233" s="114" t="s">
        <v>20</v>
      </c>
      <c r="D1233" s="114">
        <v>0</v>
      </c>
      <c r="E1233" s="133" t="s">
        <v>514</v>
      </c>
      <c r="F1233" s="134" t="str">
        <f t="shared" si="57"/>
        <v/>
      </c>
      <c r="G1233" s="135" t="e">
        <f>IF(A1233&lt;&gt;"",IF(AND(#REF!="Padrão",$H$4=#REF!),BDI!$B$17,IF(AND(#REF!="Padrão",$H$4=#REF!),BDI!#REF!,IF(AND(#REF!="Diferenciado",$H$4=#REF!),BDI!$E$17,IF(AND(#REF!="Diferenciado",$H$4=#REF!),BDI!#REF!,IF(#REF!="ZERO",0))))),"")</f>
        <v>#REF!</v>
      </c>
      <c r="H1233" s="136" t="str">
        <f t="shared" si="58"/>
        <v/>
      </c>
      <c r="I1233" s="134" t="str">
        <f t="shared" si="59"/>
        <v/>
      </c>
      <c r="J1233" s="226"/>
    </row>
    <row r="1234" spans="1:10" hidden="1" x14ac:dyDescent="0.25">
      <c r="A1234" s="112" t="s">
        <v>3152</v>
      </c>
      <c r="B1234" s="113" t="s">
        <v>3153</v>
      </c>
      <c r="C1234" s="114" t="s">
        <v>20</v>
      </c>
      <c r="D1234" s="114">
        <v>0</v>
      </c>
      <c r="E1234" s="133" t="s">
        <v>514</v>
      </c>
      <c r="F1234" s="134" t="str">
        <f t="shared" si="57"/>
        <v/>
      </c>
      <c r="G1234" s="135" t="e">
        <f>IF(A1234&lt;&gt;"",IF(AND(#REF!="Padrão",$H$4=#REF!),BDI!$B$17,IF(AND(#REF!="Padrão",$H$4=#REF!),BDI!#REF!,IF(AND(#REF!="Diferenciado",$H$4=#REF!),BDI!$E$17,IF(AND(#REF!="Diferenciado",$H$4=#REF!),BDI!#REF!,IF(#REF!="ZERO",0))))),"")</f>
        <v>#REF!</v>
      </c>
      <c r="H1234" s="136" t="str">
        <f t="shared" si="58"/>
        <v/>
      </c>
      <c r="I1234" s="134" t="str">
        <f t="shared" si="59"/>
        <v/>
      </c>
      <c r="J1234" s="226"/>
    </row>
    <row r="1235" spans="1:10" hidden="1" x14ac:dyDescent="0.25">
      <c r="A1235" s="112" t="s">
        <v>3154</v>
      </c>
      <c r="B1235" s="113" t="s">
        <v>3155</v>
      </c>
      <c r="C1235" s="114" t="s">
        <v>20</v>
      </c>
      <c r="D1235" s="114">
        <v>0</v>
      </c>
      <c r="E1235" s="133" t="s">
        <v>514</v>
      </c>
      <c r="F1235" s="134" t="str">
        <f t="shared" si="57"/>
        <v/>
      </c>
      <c r="G1235" s="135" t="e">
        <f>IF(A1235&lt;&gt;"",IF(AND(#REF!="Padrão",$H$4=#REF!),BDI!$B$17,IF(AND(#REF!="Padrão",$H$4=#REF!),BDI!#REF!,IF(AND(#REF!="Diferenciado",$H$4=#REF!),BDI!$E$17,IF(AND(#REF!="Diferenciado",$H$4=#REF!),BDI!#REF!,IF(#REF!="ZERO",0))))),"")</f>
        <v>#REF!</v>
      </c>
      <c r="H1235" s="136" t="str">
        <f t="shared" si="58"/>
        <v/>
      </c>
      <c r="I1235" s="134" t="str">
        <f t="shared" si="59"/>
        <v/>
      </c>
      <c r="J1235" s="226"/>
    </row>
    <row r="1236" spans="1:10" hidden="1" x14ac:dyDescent="0.25">
      <c r="A1236" s="112" t="s">
        <v>3156</v>
      </c>
      <c r="B1236" s="113" t="s">
        <v>3157</v>
      </c>
      <c r="C1236" s="114" t="s">
        <v>6239</v>
      </c>
      <c r="D1236" s="114">
        <v>0</v>
      </c>
      <c r="E1236" s="133" t="s">
        <v>514</v>
      </c>
      <c r="F1236" s="134" t="str">
        <f t="shared" si="57"/>
        <v/>
      </c>
      <c r="G1236" s="135" t="e">
        <f>IF(A1236&lt;&gt;"",IF(AND(#REF!="Padrão",$H$4=#REF!),BDI!$B$17,IF(AND(#REF!="Padrão",$H$4=#REF!),BDI!#REF!,IF(AND(#REF!="Diferenciado",$H$4=#REF!),BDI!$E$17,IF(AND(#REF!="Diferenciado",$H$4=#REF!),BDI!#REF!,IF(#REF!="ZERO",0))))),"")</f>
        <v>#REF!</v>
      </c>
      <c r="H1236" s="136" t="str">
        <f t="shared" si="58"/>
        <v/>
      </c>
      <c r="I1236" s="134" t="str">
        <f t="shared" si="59"/>
        <v/>
      </c>
      <c r="J1236" s="226"/>
    </row>
    <row r="1237" spans="1:10" hidden="1" x14ac:dyDescent="0.25">
      <c r="A1237" s="112" t="s">
        <v>1400</v>
      </c>
      <c r="B1237" s="113" t="s">
        <v>3158</v>
      </c>
      <c r="C1237" s="114" t="s">
        <v>94</v>
      </c>
      <c r="D1237" s="114">
        <v>0</v>
      </c>
      <c r="E1237" s="133">
        <f ca="1">OFFSET(INDEX(Composições!A:J,MATCH(Orçamentária!A1237,Composições!A:A,0),8),2,0)</f>
        <v>13.93365</v>
      </c>
      <c r="F1237" s="134">
        <f t="shared" ca="1" si="57"/>
        <v>0</v>
      </c>
      <c r="G1237" s="135" t="e">
        <f>IF(A1237&lt;&gt;"",IF(AND(#REF!="Padrão",$H$4=#REF!),BDI!$B$17,IF(AND(#REF!="Padrão",$H$4=#REF!),BDI!#REF!,IF(AND(#REF!="Diferenciado",$H$4=#REF!),BDI!$E$17,IF(AND(#REF!="Diferenciado",$H$4=#REF!),BDI!#REF!,IF(#REF!="ZERO",0))))),"")</f>
        <v>#REF!</v>
      </c>
      <c r="H1237" s="136" t="e">
        <f t="shared" ca="1" si="58"/>
        <v>#REF!</v>
      </c>
      <c r="I1237" s="134" t="e">
        <f t="shared" ca="1" si="59"/>
        <v>#REF!</v>
      </c>
      <c r="J1237" s="226"/>
    </row>
    <row r="1238" spans="1:10" hidden="1" x14ac:dyDescent="0.25">
      <c r="A1238" s="112" t="s">
        <v>1403</v>
      </c>
      <c r="B1238" s="113" t="s">
        <v>3159</v>
      </c>
      <c r="C1238" s="114" t="s">
        <v>94</v>
      </c>
      <c r="D1238" s="114">
        <v>0</v>
      </c>
      <c r="E1238" s="133">
        <f ca="1">OFFSET(INDEX(Composições!A:J,MATCH(Orçamentária!A1238,Composições!A:A,0),8),2,0)</f>
        <v>2.0909500000000003</v>
      </c>
      <c r="F1238" s="134">
        <f t="shared" ca="1" si="57"/>
        <v>0</v>
      </c>
      <c r="G1238" s="135" t="e">
        <f>IF(A1238&lt;&gt;"",IF(AND(#REF!="Padrão",$H$4=#REF!),BDI!$B$17,IF(AND(#REF!="Padrão",$H$4=#REF!),BDI!#REF!,IF(AND(#REF!="Diferenciado",$H$4=#REF!),BDI!$E$17,IF(AND(#REF!="Diferenciado",$H$4=#REF!),BDI!#REF!,IF(#REF!="ZERO",0))))),"")</f>
        <v>#REF!</v>
      </c>
      <c r="H1238" s="136" t="e">
        <f t="shared" ca="1" si="58"/>
        <v>#REF!</v>
      </c>
      <c r="I1238" s="134" t="e">
        <f t="shared" ca="1" si="59"/>
        <v>#REF!</v>
      </c>
      <c r="J1238" s="226"/>
    </row>
    <row r="1239" spans="1:10" hidden="1" x14ac:dyDescent="0.25">
      <c r="A1239" s="112" t="s">
        <v>3160</v>
      </c>
      <c r="B1239" s="113" t="s">
        <v>6317</v>
      </c>
      <c r="C1239" s="114" t="s">
        <v>20</v>
      </c>
      <c r="D1239" s="114">
        <v>0</v>
      </c>
      <c r="E1239" s="133" t="s">
        <v>514</v>
      </c>
      <c r="F1239" s="134" t="str">
        <f t="shared" si="57"/>
        <v/>
      </c>
      <c r="G1239" s="135" t="e">
        <f>IF(A1239&lt;&gt;"",IF(AND(#REF!="Padrão",$H$4=#REF!),BDI!$B$17,IF(AND(#REF!="Padrão",$H$4=#REF!),BDI!#REF!,IF(AND(#REF!="Diferenciado",$H$4=#REF!),BDI!$E$17,IF(AND(#REF!="Diferenciado",$H$4=#REF!),BDI!#REF!,IF(#REF!="ZERO",0))))),"")</f>
        <v>#REF!</v>
      </c>
      <c r="H1239" s="136" t="str">
        <f t="shared" si="58"/>
        <v/>
      </c>
      <c r="I1239" s="134" t="str">
        <f t="shared" si="59"/>
        <v/>
      </c>
      <c r="J1239" s="226"/>
    </row>
    <row r="1240" spans="1:10" hidden="1" x14ac:dyDescent="0.25">
      <c r="A1240" s="112" t="s">
        <v>3374</v>
      </c>
      <c r="B1240" s="113" t="s">
        <v>3431</v>
      </c>
      <c r="C1240" s="114" t="s">
        <v>20</v>
      </c>
      <c r="D1240" s="114">
        <v>0</v>
      </c>
      <c r="E1240" s="133">
        <f ca="1">OFFSET(INDEX(Composições!A:J,MATCH(Orçamentária!A1240,Composições!A:A,0),8),2,0)</f>
        <v>893.85073601999989</v>
      </c>
      <c r="F1240" s="134">
        <f t="shared" ref="F1240:F1291" ca="1" si="60">IF(ISNUMBER(E1240),D1240*E1240,"")</f>
        <v>0</v>
      </c>
      <c r="G1240" s="135" t="e">
        <f>IF(A1240&lt;&gt;"",IF(AND(#REF!="Padrão",$H$4=#REF!),BDI!$B$17,IF(AND(#REF!="Padrão",$H$4=#REF!),BDI!#REF!,IF(AND(#REF!="Diferenciado",$H$4=#REF!),BDI!$E$17,IF(AND(#REF!="Diferenciado",$H$4=#REF!),BDI!#REF!,IF(#REF!="ZERO",0))))),"")</f>
        <v>#REF!</v>
      </c>
      <c r="H1240" s="136" t="e">
        <f t="shared" ref="H1240:H1291" ca="1" si="61">IF(ISNUMBER(E1240),ROUND(E1240*(1+G1240),2),"")</f>
        <v>#REF!</v>
      </c>
      <c r="I1240" s="134" t="e">
        <f t="shared" ref="I1240:I1291" ca="1" si="62">IF(ISNUMBER(E1240),ROUND(H1240*D1240,2),"")</f>
        <v>#REF!</v>
      </c>
      <c r="J1240" s="226"/>
    </row>
    <row r="1241" spans="1:10" hidden="1" x14ac:dyDescent="0.25">
      <c r="A1241" s="112" t="s">
        <v>3375</v>
      </c>
      <c r="B1241" s="113" t="s">
        <v>3432</v>
      </c>
      <c r="C1241" s="114" t="s">
        <v>20</v>
      </c>
      <c r="D1241" s="114">
        <v>0</v>
      </c>
      <c r="E1241" s="133">
        <f ca="1">OFFSET(INDEX(Composições!A:J,MATCH(Orçamentária!A1241,Composições!A:A,0),8),2,0)</f>
        <v>924.86639719999994</v>
      </c>
      <c r="F1241" s="134">
        <f t="shared" ca="1" si="60"/>
        <v>0</v>
      </c>
      <c r="G1241" s="135" t="e">
        <f>IF(A1241&lt;&gt;"",IF(AND(#REF!="Padrão",$H$4=#REF!),BDI!$B$17,IF(AND(#REF!="Padrão",$H$4=#REF!),BDI!#REF!,IF(AND(#REF!="Diferenciado",$H$4=#REF!),BDI!$E$17,IF(AND(#REF!="Diferenciado",$H$4=#REF!),BDI!#REF!,IF(#REF!="ZERO",0))))),"")</f>
        <v>#REF!</v>
      </c>
      <c r="H1241" s="136" t="e">
        <f t="shared" ca="1" si="61"/>
        <v>#REF!</v>
      </c>
      <c r="I1241" s="134" t="e">
        <f t="shared" ca="1" si="62"/>
        <v>#REF!</v>
      </c>
      <c r="J1241" s="226"/>
    </row>
    <row r="1242" spans="1:10" hidden="1" x14ac:dyDescent="0.25">
      <c r="A1242" s="112" t="s">
        <v>3376</v>
      </c>
      <c r="B1242" s="113" t="s">
        <v>3433</v>
      </c>
      <c r="C1242" s="114" t="s">
        <v>20</v>
      </c>
      <c r="D1242" s="114">
        <v>0</v>
      </c>
      <c r="E1242" s="133" t="s">
        <v>514</v>
      </c>
      <c r="F1242" s="134" t="str">
        <f t="shared" si="60"/>
        <v/>
      </c>
      <c r="G1242" s="135" t="e">
        <f>IF(A1242&lt;&gt;"",IF(AND(#REF!="Padrão",$H$4=#REF!),BDI!$B$17,IF(AND(#REF!="Padrão",$H$4=#REF!),BDI!#REF!,IF(AND(#REF!="Diferenciado",$H$4=#REF!),BDI!$E$17,IF(AND(#REF!="Diferenciado",$H$4=#REF!),BDI!#REF!,IF(#REF!="ZERO",0))))),"")</f>
        <v>#REF!</v>
      </c>
      <c r="H1242" s="136" t="str">
        <f t="shared" si="61"/>
        <v/>
      </c>
      <c r="I1242" s="134" t="str">
        <f t="shared" si="62"/>
        <v/>
      </c>
      <c r="J1242" s="226"/>
    </row>
    <row r="1243" spans="1:10" hidden="1" x14ac:dyDescent="0.25">
      <c r="A1243" s="112" t="s">
        <v>3377</v>
      </c>
      <c r="B1243" s="113" t="s">
        <v>3434</v>
      </c>
      <c r="C1243" s="114" t="s">
        <v>20</v>
      </c>
      <c r="D1243" s="114">
        <v>0</v>
      </c>
      <c r="E1243" s="133" t="s">
        <v>514</v>
      </c>
      <c r="F1243" s="134" t="str">
        <f t="shared" si="60"/>
        <v/>
      </c>
      <c r="G1243" s="135" t="e">
        <f>IF(A1243&lt;&gt;"",IF(AND(#REF!="Padrão",$H$4=#REF!),BDI!$B$17,IF(AND(#REF!="Padrão",$H$4=#REF!),BDI!#REF!,IF(AND(#REF!="Diferenciado",$H$4=#REF!),BDI!$E$17,IF(AND(#REF!="Diferenciado",$H$4=#REF!),BDI!#REF!,IF(#REF!="ZERO",0))))),"")</f>
        <v>#REF!</v>
      </c>
      <c r="H1243" s="136" t="str">
        <f t="shared" si="61"/>
        <v/>
      </c>
      <c r="I1243" s="134" t="str">
        <f t="shared" si="62"/>
        <v/>
      </c>
      <c r="J1243" s="226"/>
    </row>
    <row r="1244" spans="1:10" hidden="1" x14ac:dyDescent="0.25">
      <c r="A1244" s="112" t="s">
        <v>3378</v>
      </c>
      <c r="B1244" s="113" t="s">
        <v>3435</v>
      </c>
      <c r="C1244" s="114" t="s">
        <v>20</v>
      </c>
      <c r="D1244" s="114">
        <v>0</v>
      </c>
      <c r="E1244" s="133" t="s">
        <v>514</v>
      </c>
      <c r="F1244" s="134" t="str">
        <f t="shared" si="60"/>
        <v/>
      </c>
      <c r="G1244" s="135" t="e">
        <f>IF(A1244&lt;&gt;"",IF(AND(#REF!="Padrão",$H$4=#REF!),BDI!$B$17,IF(AND(#REF!="Padrão",$H$4=#REF!),BDI!#REF!,IF(AND(#REF!="Diferenciado",$H$4=#REF!),BDI!$E$17,IF(AND(#REF!="Diferenciado",$H$4=#REF!),BDI!#REF!,IF(#REF!="ZERO",0))))),"")</f>
        <v>#REF!</v>
      </c>
      <c r="H1244" s="136" t="str">
        <f t="shared" si="61"/>
        <v/>
      </c>
      <c r="I1244" s="134" t="str">
        <f t="shared" si="62"/>
        <v/>
      </c>
      <c r="J1244" s="226"/>
    </row>
    <row r="1245" spans="1:10" hidden="1" x14ac:dyDescent="0.25">
      <c r="A1245" s="112" t="s">
        <v>3379</v>
      </c>
      <c r="B1245" s="113" t="s">
        <v>3436</v>
      </c>
      <c r="C1245" s="114" t="s">
        <v>20</v>
      </c>
      <c r="D1245" s="114">
        <v>0</v>
      </c>
      <c r="E1245" s="133">
        <f ca="1">OFFSET(INDEX(Composições!A:J,MATCH(Orçamentária!A1245,Composições!A:A,0),8),2,0)</f>
        <v>3.4442249999999999</v>
      </c>
      <c r="F1245" s="134">
        <f t="shared" ca="1" si="60"/>
        <v>0</v>
      </c>
      <c r="G1245" s="135" t="e">
        <f>IF(A1245&lt;&gt;"",IF(AND(#REF!="Padrão",$H$4=#REF!),BDI!$B$17,IF(AND(#REF!="Padrão",$H$4=#REF!),BDI!#REF!,IF(AND(#REF!="Diferenciado",$H$4=#REF!),BDI!$E$17,IF(AND(#REF!="Diferenciado",$H$4=#REF!),BDI!#REF!,IF(#REF!="ZERO",0))))),"")</f>
        <v>#REF!</v>
      </c>
      <c r="H1245" s="136" t="e">
        <f t="shared" ca="1" si="61"/>
        <v>#REF!</v>
      </c>
      <c r="I1245" s="134" t="e">
        <f t="shared" ca="1" si="62"/>
        <v>#REF!</v>
      </c>
      <c r="J1245" s="226"/>
    </row>
    <row r="1246" spans="1:10" hidden="1" x14ac:dyDescent="0.25">
      <c r="A1246" s="112" t="s">
        <v>3380</v>
      </c>
      <c r="B1246" s="113" t="s">
        <v>3437</v>
      </c>
      <c r="C1246" s="114" t="s">
        <v>20</v>
      </c>
      <c r="D1246" s="114">
        <v>0</v>
      </c>
      <c r="E1246" s="133">
        <f ca="1">OFFSET(INDEX(Composições!A:J,MATCH(Orçamentária!A1246,Composições!A:A,0),8),2,0)</f>
        <v>3.4442249999999999</v>
      </c>
      <c r="F1246" s="134">
        <f t="shared" ca="1" si="60"/>
        <v>0</v>
      </c>
      <c r="G1246" s="135" t="e">
        <f>IF(A1246&lt;&gt;"",IF(AND(#REF!="Padrão",$H$4=#REF!),BDI!$B$17,IF(AND(#REF!="Padrão",$H$4=#REF!),BDI!#REF!,IF(AND(#REF!="Diferenciado",$H$4=#REF!),BDI!$E$17,IF(AND(#REF!="Diferenciado",$H$4=#REF!),BDI!#REF!,IF(#REF!="ZERO",0))))),"")</f>
        <v>#REF!</v>
      </c>
      <c r="H1246" s="136" t="e">
        <f t="shared" ca="1" si="61"/>
        <v>#REF!</v>
      </c>
      <c r="I1246" s="134" t="e">
        <f t="shared" ca="1" si="62"/>
        <v>#REF!</v>
      </c>
      <c r="J1246" s="226"/>
    </row>
    <row r="1247" spans="1:10" hidden="1" x14ac:dyDescent="0.25">
      <c r="A1247" s="112" t="s">
        <v>3381</v>
      </c>
      <c r="B1247" s="113" t="s">
        <v>3438</v>
      </c>
      <c r="C1247" s="114" t="s">
        <v>20</v>
      </c>
      <c r="D1247" s="114">
        <v>0</v>
      </c>
      <c r="E1247" s="133">
        <f ca="1">OFFSET(INDEX(Composições!A:J,MATCH(Orçamentária!A1247,Composições!A:A,0),8),2,0)</f>
        <v>3.4442249999999999</v>
      </c>
      <c r="F1247" s="134">
        <f t="shared" ca="1" si="60"/>
        <v>0</v>
      </c>
      <c r="G1247" s="135" t="e">
        <f>IF(A1247&lt;&gt;"",IF(AND(#REF!="Padrão",$H$4=#REF!),BDI!$B$17,IF(AND(#REF!="Padrão",$H$4=#REF!),BDI!#REF!,IF(AND(#REF!="Diferenciado",$H$4=#REF!),BDI!$E$17,IF(AND(#REF!="Diferenciado",$H$4=#REF!),BDI!#REF!,IF(#REF!="ZERO",0))))),"")</f>
        <v>#REF!</v>
      </c>
      <c r="H1247" s="136" t="e">
        <f t="shared" ca="1" si="61"/>
        <v>#REF!</v>
      </c>
      <c r="I1247" s="134" t="e">
        <f t="shared" ca="1" si="62"/>
        <v>#REF!</v>
      </c>
      <c r="J1247" s="226"/>
    </row>
    <row r="1248" spans="1:10" hidden="1" x14ac:dyDescent="0.25">
      <c r="A1248" s="112" t="s">
        <v>3382</v>
      </c>
      <c r="B1248" s="113" t="s">
        <v>3439</v>
      </c>
      <c r="C1248" s="114" t="s">
        <v>92</v>
      </c>
      <c r="D1248" s="114">
        <v>0</v>
      </c>
      <c r="E1248" s="133">
        <f ca="1">OFFSET(INDEX(Composições!A:J,MATCH(Orçamentária!A1248,Composições!A:A,0),8),2,0)</f>
        <v>9.5131669999999993</v>
      </c>
      <c r="F1248" s="134">
        <f t="shared" ca="1" si="60"/>
        <v>0</v>
      </c>
      <c r="G1248" s="135" t="e">
        <f>IF(A1248&lt;&gt;"",IF(AND(#REF!="Padrão",$H$4=#REF!),BDI!$B$17,IF(AND(#REF!="Padrão",$H$4=#REF!),BDI!#REF!,IF(AND(#REF!="Diferenciado",$H$4=#REF!),BDI!$E$17,IF(AND(#REF!="Diferenciado",$H$4=#REF!),BDI!#REF!,IF(#REF!="ZERO",0))))),"")</f>
        <v>#REF!</v>
      </c>
      <c r="H1248" s="136" t="e">
        <f t="shared" ca="1" si="61"/>
        <v>#REF!</v>
      </c>
      <c r="I1248" s="134" t="e">
        <f t="shared" ca="1" si="62"/>
        <v>#REF!</v>
      </c>
      <c r="J1248" s="226"/>
    </row>
    <row r="1249" spans="1:11" hidden="1" x14ac:dyDescent="0.25">
      <c r="A1249" s="112" t="s">
        <v>3383</v>
      </c>
      <c r="B1249" s="113" t="s">
        <v>3440</v>
      </c>
      <c r="C1249" s="114" t="s">
        <v>92</v>
      </c>
      <c r="D1249" s="114">
        <v>0</v>
      </c>
      <c r="E1249" s="133">
        <f ca="1">OFFSET(INDEX(Composições!A:J,MATCH(Orçamentária!A1249,Composições!A:A,0),8),2,0)</f>
        <v>13.379562499999999</v>
      </c>
      <c r="F1249" s="134">
        <f t="shared" ca="1" si="60"/>
        <v>0</v>
      </c>
      <c r="G1249" s="135" t="e">
        <f>IF(A1249&lt;&gt;"",IF(AND(#REF!="Padrão",$H$4=#REF!),BDI!$B$17,IF(AND(#REF!="Padrão",$H$4=#REF!),BDI!#REF!,IF(AND(#REF!="Diferenciado",$H$4=#REF!),BDI!$E$17,IF(AND(#REF!="Diferenciado",$H$4=#REF!),BDI!#REF!,IF(#REF!="ZERO",0))))),"")</f>
        <v>#REF!</v>
      </c>
      <c r="H1249" s="136" t="e">
        <f t="shared" ca="1" si="61"/>
        <v>#REF!</v>
      </c>
      <c r="I1249" s="134" t="e">
        <f t="shared" ca="1" si="62"/>
        <v>#REF!</v>
      </c>
      <c r="J1249" s="226"/>
    </row>
    <row r="1250" spans="1:11" hidden="1" x14ac:dyDescent="0.25">
      <c r="A1250" s="112" t="s">
        <v>3384</v>
      </c>
      <c r="B1250" s="113" t="s">
        <v>3441</v>
      </c>
      <c r="C1250" s="114" t="s">
        <v>92</v>
      </c>
      <c r="D1250" s="114">
        <v>0</v>
      </c>
      <c r="E1250" s="133">
        <f ca="1">OFFSET(INDEX(Composições!A:J,MATCH(Orçamentária!A1250,Composições!A:A,0),8),2,0)</f>
        <v>5.5922225000000001</v>
      </c>
      <c r="F1250" s="134">
        <f t="shared" ca="1" si="60"/>
        <v>0</v>
      </c>
      <c r="G1250" s="135" t="e">
        <f>IF(A1250&lt;&gt;"",IF(AND(#REF!="Padrão",$H$4=#REF!),BDI!$B$17,IF(AND(#REF!="Padrão",$H$4=#REF!),BDI!#REF!,IF(AND(#REF!="Diferenciado",$H$4=#REF!),BDI!$E$17,IF(AND(#REF!="Diferenciado",$H$4=#REF!),BDI!#REF!,IF(#REF!="ZERO",0))))),"")</f>
        <v>#REF!</v>
      </c>
      <c r="H1250" s="136" t="e">
        <f t="shared" ca="1" si="61"/>
        <v>#REF!</v>
      </c>
      <c r="I1250" s="134" t="e">
        <f t="shared" ca="1" si="62"/>
        <v>#REF!</v>
      </c>
      <c r="J1250" s="226"/>
    </row>
    <row r="1251" spans="1:11" hidden="1" x14ac:dyDescent="0.25">
      <c r="A1251" s="112" t="s">
        <v>3385</v>
      </c>
      <c r="B1251" s="113" t="s">
        <v>3442</v>
      </c>
      <c r="C1251" s="114" t="s">
        <v>92</v>
      </c>
      <c r="D1251" s="114">
        <v>0</v>
      </c>
      <c r="E1251" s="133">
        <f ca="1">OFFSET(INDEX(Composições!A:J,MATCH(Orçamentária!A1251,Composições!A:A,0),8),2,0)</f>
        <v>15.011785999999997</v>
      </c>
      <c r="F1251" s="134">
        <f t="shared" ca="1" si="60"/>
        <v>0</v>
      </c>
      <c r="G1251" s="135" t="e">
        <f>IF(A1251&lt;&gt;"",IF(AND(#REF!="Padrão",$H$4=#REF!),BDI!$B$17,IF(AND(#REF!="Padrão",$H$4=#REF!),BDI!#REF!,IF(AND(#REF!="Diferenciado",$H$4=#REF!),BDI!$E$17,IF(AND(#REF!="Diferenciado",$H$4=#REF!),BDI!#REF!,IF(#REF!="ZERO",0))))),"")</f>
        <v>#REF!</v>
      </c>
      <c r="H1251" s="136" t="e">
        <f t="shared" ca="1" si="61"/>
        <v>#REF!</v>
      </c>
      <c r="I1251" s="134" t="e">
        <f t="shared" ca="1" si="62"/>
        <v>#REF!</v>
      </c>
      <c r="J1251" s="226"/>
    </row>
    <row r="1252" spans="1:11" hidden="1" x14ac:dyDescent="0.25">
      <c r="A1252" s="112" t="s">
        <v>3386</v>
      </c>
      <c r="B1252" s="113" t="s">
        <v>3443</v>
      </c>
      <c r="C1252" s="114" t="s">
        <v>92</v>
      </c>
      <c r="D1252" s="114">
        <v>0</v>
      </c>
      <c r="E1252" s="133">
        <f ca="1">OFFSET(INDEX(Composições!A:J,MATCH(Orçamentária!A1252,Composições!A:A,0),8),2,0)</f>
        <v>17.003565500000001</v>
      </c>
      <c r="F1252" s="134">
        <f t="shared" ca="1" si="60"/>
        <v>0</v>
      </c>
      <c r="G1252" s="135" t="e">
        <f>IF(A1252&lt;&gt;"",IF(AND(#REF!="Padrão",$H$4=#REF!),BDI!$B$17,IF(AND(#REF!="Padrão",$H$4=#REF!),BDI!#REF!,IF(AND(#REF!="Diferenciado",$H$4=#REF!),BDI!$E$17,IF(AND(#REF!="Diferenciado",$H$4=#REF!),BDI!#REF!,IF(#REF!="ZERO",0))))),"")</f>
        <v>#REF!</v>
      </c>
      <c r="H1252" s="136" t="e">
        <f t="shared" ca="1" si="61"/>
        <v>#REF!</v>
      </c>
      <c r="I1252" s="134" t="e">
        <f t="shared" ca="1" si="62"/>
        <v>#REF!</v>
      </c>
      <c r="J1252" s="226"/>
    </row>
    <row r="1253" spans="1:11" hidden="1" x14ac:dyDescent="0.25">
      <c r="A1253" s="112" t="s">
        <v>3387</v>
      </c>
      <c r="B1253" s="113" t="s">
        <v>3444</v>
      </c>
      <c r="C1253" s="114" t="s">
        <v>92</v>
      </c>
      <c r="D1253" s="114">
        <v>0</v>
      </c>
      <c r="E1253" s="133">
        <f ca="1">OFFSET(INDEX(Composições!A:J,MATCH(Orçamentária!A1253,Composições!A:A,0),8),2,0)</f>
        <v>27.821662</v>
      </c>
      <c r="F1253" s="134">
        <f t="shared" ca="1" si="60"/>
        <v>0</v>
      </c>
      <c r="G1253" s="135" t="e">
        <f>IF(A1253&lt;&gt;"",IF(AND(#REF!="Padrão",$H$4=#REF!),BDI!$B$17,IF(AND(#REF!="Padrão",$H$4=#REF!),BDI!#REF!,IF(AND(#REF!="Diferenciado",$H$4=#REF!),BDI!$E$17,IF(AND(#REF!="Diferenciado",$H$4=#REF!),BDI!#REF!,IF(#REF!="ZERO",0))))),"")</f>
        <v>#REF!</v>
      </c>
      <c r="H1253" s="136" t="e">
        <f t="shared" ca="1" si="61"/>
        <v>#REF!</v>
      </c>
      <c r="I1253" s="134" t="e">
        <f t="shared" ca="1" si="62"/>
        <v>#REF!</v>
      </c>
      <c r="J1253" s="226"/>
    </row>
    <row r="1254" spans="1:11" hidden="1" x14ac:dyDescent="0.25">
      <c r="A1254" s="112" t="s">
        <v>3388</v>
      </c>
      <c r="B1254" s="113" t="s">
        <v>3445</v>
      </c>
      <c r="C1254" s="114" t="s">
        <v>92</v>
      </c>
      <c r="D1254" s="114">
        <v>0</v>
      </c>
      <c r="E1254" s="133">
        <f ca="1">OFFSET(INDEX(Composições!A:J,MATCH(Orçamentária!A1254,Composições!A:A,0),8),2,0)</f>
        <v>8.6930225000000014</v>
      </c>
      <c r="F1254" s="134">
        <f t="shared" ca="1" si="60"/>
        <v>0</v>
      </c>
      <c r="G1254" s="135" t="e">
        <f>IF(A1254&lt;&gt;"",IF(AND(#REF!="Padrão",$H$4=#REF!),BDI!$B$17,IF(AND(#REF!="Padrão",$H$4=#REF!),BDI!#REF!,IF(AND(#REF!="Diferenciado",$H$4=#REF!),BDI!$E$17,IF(AND(#REF!="Diferenciado",$H$4=#REF!),BDI!#REF!,IF(#REF!="ZERO",0))))),"")</f>
        <v>#REF!</v>
      </c>
      <c r="H1254" s="136" t="e">
        <f t="shared" ca="1" si="61"/>
        <v>#REF!</v>
      </c>
      <c r="I1254" s="134" t="e">
        <f t="shared" ca="1" si="62"/>
        <v>#REF!</v>
      </c>
      <c r="J1254" s="226"/>
    </row>
    <row r="1255" spans="1:11" hidden="1" x14ac:dyDescent="0.25">
      <c r="A1255" s="112" t="s">
        <v>3389</v>
      </c>
      <c r="B1255" s="113" t="s">
        <v>3446</v>
      </c>
      <c r="C1255" s="114" t="s">
        <v>92</v>
      </c>
      <c r="D1255" s="114">
        <v>0</v>
      </c>
      <c r="E1255" s="133">
        <f ca="1">OFFSET(INDEX(Composições!A:J,MATCH(Orçamentária!A1255,Composições!A:A,0),8),2,0)</f>
        <v>9.2397855</v>
      </c>
      <c r="F1255" s="134">
        <f t="shared" ca="1" si="60"/>
        <v>0</v>
      </c>
      <c r="G1255" s="135" t="e">
        <f>IF(A1255&lt;&gt;"",IF(AND(#REF!="Padrão",$H$4=#REF!),BDI!$B$17,IF(AND(#REF!="Padrão",$H$4=#REF!),BDI!#REF!,IF(AND(#REF!="Diferenciado",$H$4=#REF!),BDI!$E$17,IF(AND(#REF!="Diferenciado",$H$4=#REF!),BDI!#REF!,IF(#REF!="ZERO",0))))),"")</f>
        <v>#REF!</v>
      </c>
      <c r="H1255" s="136" t="e">
        <f t="shared" ca="1" si="61"/>
        <v>#REF!</v>
      </c>
      <c r="I1255" s="134" t="e">
        <f t="shared" ca="1" si="62"/>
        <v>#REF!</v>
      </c>
      <c r="J1255" s="226"/>
    </row>
    <row r="1256" spans="1:11" s="161" customFormat="1" hidden="1" x14ac:dyDescent="0.25">
      <c r="A1256" s="162" t="s">
        <v>3390</v>
      </c>
      <c r="B1256" s="163" t="s">
        <v>3447</v>
      </c>
      <c r="C1256" s="164" t="s">
        <v>20</v>
      </c>
      <c r="D1256" s="164">
        <v>20</v>
      </c>
      <c r="E1256" s="133">
        <f ca="1">OFFSET(INDEX(Composições!A:J,MATCH(Orçamentária!A1256,Composições!A:A,0),8),2,0)</f>
        <v>903.40013545000011</v>
      </c>
      <c r="F1256" s="134">
        <f t="shared" ca="1" si="60"/>
        <v>18068.002709</v>
      </c>
      <c r="G1256" s="135">
        <f>BDI!$B$17</f>
        <v>0.191</v>
      </c>
      <c r="H1256" s="136">
        <f t="shared" ca="1" si="61"/>
        <v>1075.95</v>
      </c>
      <c r="I1256" s="182">
        <f t="shared" ca="1" si="62"/>
        <v>21519</v>
      </c>
      <c r="J1256" s="226"/>
      <c r="K1256" s="224" t="s">
        <v>8074</v>
      </c>
    </row>
    <row r="1257" spans="1:11" s="161" customFormat="1" hidden="1" x14ac:dyDescent="0.25">
      <c r="A1257" s="162" t="s">
        <v>3391</v>
      </c>
      <c r="B1257" s="163" t="s">
        <v>3448</v>
      </c>
      <c r="C1257" s="164" t="s">
        <v>20</v>
      </c>
      <c r="D1257" s="164">
        <v>15</v>
      </c>
      <c r="E1257" s="133">
        <f ca="1">OFFSET(INDEX(Composições!A:J,MATCH(Orçamentária!A1257,Composições!A:A,0),8),2,0)</f>
        <v>675.87013545000002</v>
      </c>
      <c r="F1257" s="134">
        <f t="shared" ca="1" si="60"/>
        <v>10138.05203175</v>
      </c>
      <c r="G1257" s="135">
        <f>BDI!$B$17</f>
        <v>0.191</v>
      </c>
      <c r="H1257" s="136">
        <f t="shared" ca="1" si="61"/>
        <v>804.96</v>
      </c>
      <c r="I1257" s="182">
        <f t="shared" ca="1" si="62"/>
        <v>12074.4</v>
      </c>
      <c r="J1257" s="226"/>
      <c r="K1257" s="224" t="s">
        <v>8074</v>
      </c>
    </row>
    <row r="1258" spans="1:11" s="161" customFormat="1" hidden="1" x14ac:dyDescent="0.25">
      <c r="A1258" s="162" t="s">
        <v>3392</v>
      </c>
      <c r="B1258" s="163" t="s">
        <v>3449</v>
      </c>
      <c r="C1258" s="164" t="s">
        <v>94</v>
      </c>
      <c r="D1258" s="164">
        <v>25</v>
      </c>
      <c r="E1258" s="180">
        <v>400.28</v>
      </c>
      <c r="F1258" s="134">
        <f t="shared" si="60"/>
        <v>10007</v>
      </c>
      <c r="G1258" s="135">
        <f>BDI!$B$17</f>
        <v>0.191</v>
      </c>
      <c r="H1258" s="136">
        <f t="shared" si="61"/>
        <v>476.73</v>
      </c>
      <c r="I1258" s="182">
        <f t="shared" si="62"/>
        <v>11918.25</v>
      </c>
      <c r="J1258" s="226"/>
      <c r="K1258" s="224" t="s">
        <v>8075</v>
      </c>
    </row>
    <row r="1259" spans="1:11" s="161" customFormat="1" hidden="1" x14ac:dyDescent="0.25">
      <c r="A1259" s="162" t="s">
        <v>3393</v>
      </c>
      <c r="B1259" s="163" t="s">
        <v>3450</v>
      </c>
      <c r="C1259" s="164" t="s">
        <v>94</v>
      </c>
      <c r="D1259" s="164">
        <v>25</v>
      </c>
      <c r="E1259" s="180">
        <v>424.41</v>
      </c>
      <c r="F1259" s="134">
        <f t="shared" si="60"/>
        <v>10610.25</v>
      </c>
      <c r="G1259" s="135">
        <f>BDI!$B$17</f>
        <v>0.191</v>
      </c>
      <c r="H1259" s="136">
        <f t="shared" si="61"/>
        <v>505.47</v>
      </c>
      <c r="I1259" s="182">
        <f t="shared" si="62"/>
        <v>12636.75</v>
      </c>
      <c r="J1259" s="226"/>
      <c r="K1259" s="224" t="s">
        <v>8075</v>
      </c>
    </row>
    <row r="1260" spans="1:11" s="161" customFormat="1" hidden="1" x14ac:dyDescent="0.25">
      <c r="A1260" s="162" t="s">
        <v>3394</v>
      </c>
      <c r="B1260" s="163" t="s">
        <v>3451</v>
      </c>
      <c r="C1260" s="164" t="s">
        <v>20</v>
      </c>
      <c r="D1260" s="164">
        <v>25</v>
      </c>
      <c r="E1260" s="133">
        <f ca="1">OFFSET(INDEX(Composições!A:J,MATCH(Orçamentária!A1260,Composições!A:A,0),8),2,0)</f>
        <v>324.53180854999999</v>
      </c>
      <c r="F1260" s="134">
        <f t="shared" ca="1" si="60"/>
        <v>8113.2952137499997</v>
      </c>
      <c r="G1260" s="135">
        <f>BDI!$B$17</f>
        <v>0.191</v>
      </c>
      <c r="H1260" s="136">
        <f t="shared" ca="1" si="61"/>
        <v>386.52</v>
      </c>
      <c r="I1260" s="182">
        <f t="shared" ca="1" si="62"/>
        <v>9663</v>
      </c>
      <c r="J1260" s="226"/>
      <c r="K1260" s="224" t="s">
        <v>8074</v>
      </c>
    </row>
    <row r="1261" spans="1:11" s="161" customFormat="1" hidden="1" x14ac:dyDescent="0.25">
      <c r="A1261" s="162" t="s">
        <v>3395</v>
      </c>
      <c r="B1261" s="163" t="s">
        <v>3452</v>
      </c>
      <c r="C1261" s="164" t="s">
        <v>20</v>
      </c>
      <c r="D1261" s="164">
        <v>15</v>
      </c>
      <c r="E1261" s="133">
        <f ca="1">OFFSET(INDEX(Composições!A:J,MATCH(Orçamentária!A1261,Composições!A:A,0),8),2,0)</f>
        <v>1108.7576213000002</v>
      </c>
      <c r="F1261" s="134">
        <f t="shared" ca="1" si="60"/>
        <v>16631.364319500004</v>
      </c>
      <c r="G1261" s="135">
        <f>BDI!$B$17</f>
        <v>0.191</v>
      </c>
      <c r="H1261" s="136">
        <f t="shared" ca="1" si="61"/>
        <v>1320.53</v>
      </c>
      <c r="I1261" s="182">
        <f t="shared" ca="1" si="62"/>
        <v>19807.95</v>
      </c>
      <c r="J1261" s="226"/>
      <c r="K1261" s="224" t="s">
        <v>8074</v>
      </c>
    </row>
    <row r="1262" spans="1:11" s="161" customFormat="1" hidden="1" x14ac:dyDescent="0.25">
      <c r="A1262" s="162" t="s">
        <v>3396</v>
      </c>
      <c r="B1262" s="163" t="s">
        <v>3453</v>
      </c>
      <c r="C1262" s="164" t="s">
        <v>20</v>
      </c>
      <c r="D1262" s="164">
        <v>15</v>
      </c>
      <c r="E1262" s="133">
        <f ca="1">OFFSET(INDEX(Composições!A:J,MATCH(Orçamentária!A1262,Composições!A:A,0),8),2,0)</f>
        <v>627.96140530000014</v>
      </c>
      <c r="F1262" s="134">
        <f t="shared" ca="1" si="60"/>
        <v>9419.4210795000017</v>
      </c>
      <c r="G1262" s="135">
        <f>BDI!$B$17</f>
        <v>0.191</v>
      </c>
      <c r="H1262" s="136">
        <f t="shared" ca="1" si="61"/>
        <v>747.9</v>
      </c>
      <c r="I1262" s="182">
        <f t="shared" ca="1" si="62"/>
        <v>11218.5</v>
      </c>
      <c r="J1262" s="226"/>
      <c r="K1262" s="224" t="s">
        <v>8074</v>
      </c>
    </row>
    <row r="1263" spans="1:11" s="161" customFormat="1" hidden="1" x14ac:dyDescent="0.25">
      <c r="A1263" s="162" t="s">
        <v>3397</v>
      </c>
      <c r="B1263" s="163" t="s">
        <v>3454</v>
      </c>
      <c r="C1263" s="164" t="s">
        <v>20</v>
      </c>
      <c r="D1263" s="164">
        <v>15</v>
      </c>
      <c r="E1263" s="133">
        <f ca="1">OFFSET(INDEX(Composições!A:J,MATCH(Orçamentária!A1263,Composições!A:A,0),8),2,0)</f>
        <v>608.4876213</v>
      </c>
      <c r="F1263" s="134">
        <f t="shared" ca="1" si="60"/>
        <v>9127.3143194999993</v>
      </c>
      <c r="G1263" s="135">
        <f>BDI!$B$17</f>
        <v>0.191</v>
      </c>
      <c r="H1263" s="136">
        <f t="shared" ca="1" si="61"/>
        <v>724.71</v>
      </c>
      <c r="I1263" s="182">
        <f t="shared" ca="1" si="62"/>
        <v>10870.65</v>
      </c>
      <c r="J1263" s="226"/>
      <c r="K1263" s="224" t="s">
        <v>8074</v>
      </c>
    </row>
    <row r="1264" spans="1:11" s="161" customFormat="1" hidden="1" x14ac:dyDescent="0.25">
      <c r="A1264" s="162" t="s">
        <v>3398</v>
      </c>
      <c r="B1264" s="163" t="s">
        <v>3455</v>
      </c>
      <c r="C1264" s="164" t="s">
        <v>20</v>
      </c>
      <c r="D1264" s="164">
        <v>15</v>
      </c>
      <c r="E1264" s="133">
        <f ca="1">OFFSET(INDEX(Composições!A:J,MATCH(Orçamentária!A1264,Composições!A:A,0),8),2,0)</f>
        <v>856.74140530000011</v>
      </c>
      <c r="F1264" s="134">
        <f t="shared" ca="1" si="60"/>
        <v>12851.121079500002</v>
      </c>
      <c r="G1264" s="135">
        <f>BDI!$B$17</f>
        <v>0.191</v>
      </c>
      <c r="H1264" s="136">
        <f t="shared" ca="1" si="61"/>
        <v>1020.38</v>
      </c>
      <c r="I1264" s="182">
        <f t="shared" ca="1" si="62"/>
        <v>15305.7</v>
      </c>
      <c r="J1264" s="226"/>
      <c r="K1264" s="224" t="s">
        <v>8074</v>
      </c>
    </row>
    <row r="1265" spans="1:11" hidden="1" x14ac:dyDescent="0.25">
      <c r="A1265" s="112" t="s">
        <v>3399</v>
      </c>
      <c r="B1265" s="113" t="s">
        <v>3456</v>
      </c>
      <c r="C1265" s="114" t="s">
        <v>20</v>
      </c>
      <c r="D1265" s="114">
        <v>0</v>
      </c>
      <c r="E1265" s="133">
        <f ca="1">OFFSET(INDEX(Composições!A:J,MATCH(Orçamentária!A1265,Composições!A:A,0),8),2,0)</f>
        <v>6.8884499999999997</v>
      </c>
      <c r="F1265" s="134">
        <f t="shared" ca="1" si="60"/>
        <v>0</v>
      </c>
      <c r="G1265" s="135" t="e">
        <f>IF(A1265&lt;&gt;"",IF(AND(#REF!="Padrão",$H$4=#REF!),BDI!$B$17,IF(AND(#REF!="Padrão",$H$4=#REF!),BDI!#REF!,IF(AND(#REF!="Diferenciado",$H$4=#REF!),BDI!$E$17,IF(AND(#REF!="Diferenciado",$H$4=#REF!),BDI!#REF!,IF(#REF!="ZERO",0))))),"")</f>
        <v>#REF!</v>
      </c>
      <c r="H1265" s="136" t="e">
        <f t="shared" ca="1" si="61"/>
        <v>#REF!</v>
      </c>
      <c r="I1265" s="134" t="e">
        <f t="shared" ca="1" si="62"/>
        <v>#REF!</v>
      </c>
      <c r="J1265" s="226"/>
    </row>
    <row r="1266" spans="1:11" s="161" customFormat="1" hidden="1" x14ac:dyDescent="0.25">
      <c r="A1266" s="162" t="s">
        <v>3400</v>
      </c>
      <c r="B1266" s="163" t="s">
        <v>3457</v>
      </c>
      <c r="C1266" s="164" t="s">
        <v>20</v>
      </c>
      <c r="D1266" s="164">
        <v>20</v>
      </c>
      <c r="E1266" s="133">
        <f ca="1">OFFSET(INDEX(Composições!A:J,MATCH(Orçamentária!A1266,Composições!A:A,0),8),2,0)</f>
        <v>72.416679999999985</v>
      </c>
      <c r="F1266" s="134">
        <f t="shared" ca="1" si="60"/>
        <v>1448.3335999999997</v>
      </c>
      <c r="G1266" s="135">
        <f>BDI!$B$17</f>
        <v>0.191</v>
      </c>
      <c r="H1266" s="136">
        <f t="shared" ca="1" si="61"/>
        <v>86.25</v>
      </c>
      <c r="I1266" s="182">
        <f t="shared" ca="1" si="62"/>
        <v>1725</v>
      </c>
      <c r="J1266" s="226"/>
      <c r="K1266" s="224" t="s">
        <v>8074</v>
      </c>
    </row>
    <row r="1267" spans="1:11" s="161" customFormat="1" hidden="1" x14ac:dyDescent="0.25">
      <c r="A1267" s="162" t="s">
        <v>3401</v>
      </c>
      <c r="B1267" s="163" t="s">
        <v>3458</v>
      </c>
      <c r="C1267" s="164" t="s">
        <v>20</v>
      </c>
      <c r="D1267" s="164">
        <v>15</v>
      </c>
      <c r="E1267" s="133">
        <f ca="1">OFFSET(INDEX(Composições!A:J,MATCH(Orçamentária!A1267,Composições!A:A,0),8),2,0)</f>
        <v>39.184459999999994</v>
      </c>
      <c r="F1267" s="134">
        <f t="shared" ca="1" si="60"/>
        <v>587.76689999999996</v>
      </c>
      <c r="G1267" s="135">
        <f>BDI!$B$17</f>
        <v>0.191</v>
      </c>
      <c r="H1267" s="136">
        <f t="shared" ca="1" si="61"/>
        <v>46.67</v>
      </c>
      <c r="I1267" s="182">
        <f t="shared" ca="1" si="62"/>
        <v>700.05</v>
      </c>
      <c r="J1267" s="226"/>
      <c r="K1267" s="224" t="s">
        <v>8074</v>
      </c>
    </row>
    <row r="1268" spans="1:11" s="161" customFormat="1" hidden="1" x14ac:dyDescent="0.25">
      <c r="A1268" s="162" t="s">
        <v>3402</v>
      </c>
      <c r="B1268" s="163" t="s">
        <v>3459</v>
      </c>
      <c r="C1268" s="164" t="s">
        <v>20</v>
      </c>
      <c r="D1268" s="164">
        <v>10</v>
      </c>
      <c r="E1268" s="133">
        <f ca="1">OFFSET(INDEX(Composições!A:J,MATCH(Orçamentária!A1268,Composições!A:A,0),8),2,0)</f>
        <v>158.42452120000002</v>
      </c>
      <c r="F1268" s="134">
        <f t="shared" ca="1" si="60"/>
        <v>1584.2452120000003</v>
      </c>
      <c r="G1268" s="135">
        <f>BDI!$B$17</f>
        <v>0.191</v>
      </c>
      <c r="H1268" s="136">
        <f t="shared" ca="1" si="61"/>
        <v>188.68</v>
      </c>
      <c r="I1268" s="182">
        <f t="shared" ca="1" si="62"/>
        <v>1886.8</v>
      </c>
      <c r="J1268" s="226"/>
      <c r="K1268" s="224" t="s">
        <v>8074</v>
      </c>
    </row>
    <row r="1269" spans="1:11" s="161" customFormat="1" hidden="1" x14ac:dyDescent="0.25">
      <c r="A1269" s="162" t="s">
        <v>3403</v>
      </c>
      <c r="B1269" s="163" t="s">
        <v>3460</v>
      </c>
      <c r="C1269" s="164" t="s">
        <v>20</v>
      </c>
      <c r="D1269" s="164">
        <v>10</v>
      </c>
      <c r="E1269" s="133">
        <f ca="1">OFFSET(INDEX(Composições!A:J,MATCH(Orçamentária!A1269,Composições!A:A,0),8),2,0)</f>
        <v>170.70452120000002</v>
      </c>
      <c r="F1269" s="134">
        <f t="shared" ca="1" si="60"/>
        <v>1707.0452120000002</v>
      </c>
      <c r="G1269" s="135">
        <f>BDI!$B$17</f>
        <v>0.191</v>
      </c>
      <c r="H1269" s="136">
        <f t="shared" ca="1" si="61"/>
        <v>203.31</v>
      </c>
      <c r="I1269" s="182">
        <f t="shared" ca="1" si="62"/>
        <v>2033.1</v>
      </c>
      <c r="J1269" s="226"/>
      <c r="K1269" s="224" t="s">
        <v>8074</v>
      </c>
    </row>
    <row r="1270" spans="1:11" s="161" customFormat="1" hidden="1" x14ac:dyDescent="0.25">
      <c r="A1270" s="162" t="s">
        <v>3404</v>
      </c>
      <c r="B1270" s="163" t="s">
        <v>3461</v>
      </c>
      <c r="C1270" s="164" t="s">
        <v>20</v>
      </c>
      <c r="D1270" s="164">
        <v>10</v>
      </c>
      <c r="E1270" s="133">
        <f ca="1">OFFSET(INDEX(Composições!A:J,MATCH(Orçamentária!A1270,Composições!A:A,0),8),2,0)</f>
        <v>16.822600000000001</v>
      </c>
      <c r="F1270" s="134">
        <f t="shared" ca="1" si="60"/>
        <v>168.226</v>
      </c>
      <c r="G1270" s="135">
        <f>BDI!$B$17</f>
        <v>0.191</v>
      </c>
      <c r="H1270" s="136">
        <f t="shared" ca="1" si="61"/>
        <v>20.04</v>
      </c>
      <c r="I1270" s="182">
        <f t="shared" ca="1" si="62"/>
        <v>200.4</v>
      </c>
      <c r="J1270" s="226"/>
      <c r="K1270" s="224" t="s">
        <v>8074</v>
      </c>
    </row>
    <row r="1271" spans="1:11" s="161" customFormat="1" hidden="1" x14ac:dyDescent="0.25">
      <c r="A1271" s="162" t="s">
        <v>3405</v>
      </c>
      <c r="B1271" s="163" t="s">
        <v>3529</v>
      </c>
      <c r="C1271" s="164" t="s">
        <v>20</v>
      </c>
      <c r="D1271" s="164">
        <v>10</v>
      </c>
      <c r="E1271" s="133">
        <f ca="1">OFFSET(INDEX(Composições!A:J,MATCH(Orçamentária!A1271,Composições!A:A,0),8),2,0)</f>
        <v>266.96862759999999</v>
      </c>
      <c r="F1271" s="134">
        <f t="shared" ca="1" si="60"/>
        <v>2669.6862759999999</v>
      </c>
      <c r="G1271" s="135">
        <f>BDI!$B$17</f>
        <v>0.191</v>
      </c>
      <c r="H1271" s="136">
        <f t="shared" ca="1" si="61"/>
        <v>317.95999999999998</v>
      </c>
      <c r="I1271" s="182">
        <f t="shared" ca="1" si="62"/>
        <v>3179.6</v>
      </c>
      <c r="J1271" s="226"/>
      <c r="K1271" s="224" t="s">
        <v>8074</v>
      </c>
    </row>
    <row r="1272" spans="1:11" s="161" customFormat="1" hidden="1" x14ac:dyDescent="0.25">
      <c r="A1272" s="162" t="s">
        <v>3406</v>
      </c>
      <c r="B1272" s="163" t="s">
        <v>3530</v>
      </c>
      <c r="C1272" s="164" t="s">
        <v>20</v>
      </c>
      <c r="D1272" s="164">
        <v>15</v>
      </c>
      <c r="E1272" s="133">
        <f ca="1">OFFSET(INDEX(Composições!A:J,MATCH(Orçamentária!A1272,Composições!A:A,0),8),2,0)</f>
        <v>290.73668519999995</v>
      </c>
      <c r="F1272" s="134">
        <f t="shared" ca="1" si="60"/>
        <v>4361.0502779999997</v>
      </c>
      <c r="G1272" s="135">
        <f>BDI!$B$17</f>
        <v>0.191</v>
      </c>
      <c r="H1272" s="136">
        <f t="shared" ca="1" si="61"/>
        <v>346.27</v>
      </c>
      <c r="I1272" s="182">
        <f t="shared" ca="1" si="62"/>
        <v>5194.05</v>
      </c>
      <c r="J1272" s="226"/>
      <c r="K1272" s="224" t="s">
        <v>8074</v>
      </c>
    </row>
    <row r="1273" spans="1:11" s="161" customFormat="1" hidden="1" x14ac:dyDescent="0.25">
      <c r="A1273" s="162" t="s">
        <v>3407</v>
      </c>
      <c r="B1273" s="163" t="s">
        <v>3531</v>
      </c>
      <c r="C1273" s="164" t="s">
        <v>20</v>
      </c>
      <c r="D1273" s="164">
        <v>15</v>
      </c>
      <c r="E1273" s="133">
        <f ca="1">OFFSET(INDEX(Composições!A:J,MATCH(Orçamentária!A1273,Composições!A:A,0),8),2,0)</f>
        <v>327.01624279999999</v>
      </c>
      <c r="F1273" s="134">
        <f t="shared" ca="1" si="60"/>
        <v>4905.2436419999995</v>
      </c>
      <c r="G1273" s="135">
        <f>BDI!$B$17</f>
        <v>0.191</v>
      </c>
      <c r="H1273" s="136">
        <f t="shared" ca="1" si="61"/>
        <v>389.48</v>
      </c>
      <c r="I1273" s="182">
        <f t="shared" ca="1" si="62"/>
        <v>5842.2</v>
      </c>
      <c r="J1273" s="226"/>
      <c r="K1273" s="224" t="s">
        <v>8074</v>
      </c>
    </row>
    <row r="1274" spans="1:11" s="161" customFormat="1" hidden="1" x14ac:dyDescent="0.25">
      <c r="A1274" s="162" t="s">
        <v>3408</v>
      </c>
      <c r="B1274" s="163" t="s">
        <v>3532</v>
      </c>
      <c r="C1274" s="164" t="s">
        <v>20</v>
      </c>
      <c r="D1274" s="164">
        <v>10</v>
      </c>
      <c r="E1274" s="133">
        <f ca="1">OFFSET(INDEX(Composições!A:J,MATCH(Orçamentária!A1274,Composições!A:A,0),8),2,0)</f>
        <v>364.15080040000004</v>
      </c>
      <c r="F1274" s="134">
        <f t="shared" ca="1" si="60"/>
        <v>3641.5080040000003</v>
      </c>
      <c r="G1274" s="135">
        <f>BDI!$B$17</f>
        <v>0.191</v>
      </c>
      <c r="H1274" s="136">
        <f t="shared" ca="1" si="61"/>
        <v>433.7</v>
      </c>
      <c r="I1274" s="182">
        <f t="shared" ca="1" si="62"/>
        <v>4337</v>
      </c>
      <c r="J1274" s="226"/>
      <c r="K1274" s="224" t="s">
        <v>8074</v>
      </c>
    </row>
    <row r="1275" spans="1:11" s="161" customFormat="1" hidden="1" x14ac:dyDescent="0.25">
      <c r="A1275" s="162" t="s">
        <v>3409</v>
      </c>
      <c r="B1275" s="163" t="s">
        <v>3462</v>
      </c>
      <c r="C1275" s="164" t="s">
        <v>20</v>
      </c>
      <c r="D1275" s="164">
        <v>15</v>
      </c>
      <c r="E1275" s="133">
        <f ca="1">OFFSET(INDEX(Composições!A:J,MATCH(Orçamentária!A1275,Composições!A:A,0),8),2,0)</f>
        <v>78.808199999999999</v>
      </c>
      <c r="F1275" s="134">
        <f t="shared" ca="1" si="60"/>
        <v>1182.123</v>
      </c>
      <c r="G1275" s="135">
        <f>BDI!$B$17</f>
        <v>0.191</v>
      </c>
      <c r="H1275" s="136">
        <f t="shared" ca="1" si="61"/>
        <v>93.86</v>
      </c>
      <c r="I1275" s="182">
        <f t="shared" ca="1" si="62"/>
        <v>1407.9</v>
      </c>
      <c r="J1275" s="226"/>
      <c r="K1275" s="224" t="s">
        <v>8074</v>
      </c>
    </row>
    <row r="1276" spans="1:11" s="161" customFormat="1" hidden="1" x14ac:dyDescent="0.25">
      <c r="A1276" s="162" t="s">
        <v>3410</v>
      </c>
      <c r="B1276" s="163" t="s">
        <v>3463</v>
      </c>
      <c r="C1276" s="164" t="s">
        <v>94</v>
      </c>
      <c r="D1276" s="164">
        <v>400</v>
      </c>
      <c r="E1276" s="133">
        <f ca="1">OFFSET(INDEX(Composições!A:J,MATCH(Orçamentária!A1276,Composições!A:A,0),8),2,0)</f>
        <v>26.226839999999996</v>
      </c>
      <c r="F1276" s="134">
        <f t="shared" ca="1" si="60"/>
        <v>10490.735999999999</v>
      </c>
      <c r="G1276" s="135">
        <f>BDI!$B$17</f>
        <v>0.191</v>
      </c>
      <c r="H1276" s="136">
        <f t="shared" ca="1" si="61"/>
        <v>31.24</v>
      </c>
      <c r="I1276" s="182">
        <f t="shared" ca="1" si="62"/>
        <v>12496</v>
      </c>
      <c r="J1276" s="226"/>
      <c r="K1276" s="224" t="s">
        <v>8074</v>
      </c>
    </row>
    <row r="1277" spans="1:11" hidden="1" x14ac:dyDescent="0.25">
      <c r="A1277" s="112" t="s">
        <v>3411</v>
      </c>
      <c r="B1277" s="113" t="s">
        <v>3464</v>
      </c>
      <c r="C1277" s="114" t="s">
        <v>94</v>
      </c>
      <c r="D1277" s="114">
        <v>0</v>
      </c>
      <c r="E1277" s="133">
        <f ca="1">OFFSET(INDEX(Composições!A:J,MATCH(Orçamentária!A1277,Composições!A:A,0),8),2,0)</f>
        <v>29.618720000000003</v>
      </c>
      <c r="F1277" s="134">
        <f t="shared" ca="1" si="60"/>
        <v>0</v>
      </c>
      <c r="G1277" s="135" t="e">
        <f>IF(A1277&lt;&gt;"",IF(AND(#REF!="Padrão",$H$4=#REF!),BDI!$B$17,IF(AND(#REF!="Padrão",$H$4=#REF!),BDI!#REF!,IF(AND(#REF!="Diferenciado",$H$4=#REF!),BDI!$E$17,IF(AND(#REF!="Diferenciado",$H$4=#REF!),BDI!#REF!,IF(#REF!="ZERO",0))))),"")</f>
        <v>#REF!</v>
      </c>
      <c r="H1277" s="136" t="e">
        <f t="shared" ca="1" si="61"/>
        <v>#REF!</v>
      </c>
      <c r="I1277" s="134" t="e">
        <f t="shared" ca="1" si="62"/>
        <v>#REF!</v>
      </c>
      <c r="J1277" s="226"/>
    </row>
    <row r="1278" spans="1:11" s="161" customFormat="1" hidden="1" x14ac:dyDescent="0.25">
      <c r="A1278" s="162" t="s">
        <v>3412</v>
      </c>
      <c r="B1278" s="163" t="s">
        <v>3465</v>
      </c>
      <c r="C1278" s="164" t="s">
        <v>94</v>
      </c>
      <c r="D1278" s="164">
        <v>115</v>
      </c>
      <c r="E1278" s="133">
        <f ca="1">OFFSET(INDEX(Composições!A:J,MATCH(Orçamentária!A1278,Composições!A:A,0),8),2,0)</f>
        <v>42.323685599999997</v>
      </c>
      <c r="F1278" s="134">
        <f t="shared" ca="1" si="60"/>
        <v>4867.2238440000001</v>
      </c>
      <c r="G1278" s="135">
        <f>BDI!$B$17</f>
        <v>0.191</v>
      </c>
      <c r="H1278" s="136">
        <f t="shared" ca="1" si="61"/>
        <v>50.41</v>
      </c>
      <c r="I1278" s="182">
        <f t="shared" ca="1" si="62"/>
        <v>5797.15</v>
      </c>
      <c r="J1278" s="226"/>
      <c r="K1278" s="224" t="s">
        <v>8074</v>
      </c>
    </row>
    <row r="1279" spans="1:11" hidden="1" x14ac:dyDescent="0.25">
      <c r="A1279" s="112" t="s">
        <v>3413</v>
      </c>
      <c r="B1279" s="113" t="s">
        <v>3466</v>
      </c>
      <c r="C1279" s="114" t="s">
        <v>92</v>
      </c>
      <c r="D1279" s="114">
        <v>0</v>
      </c>
      <c r="E1279" s="133" t="s">
        <v>514</v>
      </c>
      <c r="F1279" s="134" t="str">
        <f t="shared" si="60"/>
        <v/>
      </c>
      <c r="G1279" s="135" t="e">
        <f>IF(A1279&lt;&gt;"",IF(AND(#REF!="Padrão",$H$4=#REF!),BDI!$B$17,IF(AND(#REF!="Padrão",$H$4=#REF!),BDI!#REF!,IF(AND(#REF!="Diferenciado",$H$4=#REF!),BDI!$E$17,IF(AND(#REF!="Diferenciado",$H$4=#REF!),BDI!#REF!,IF(#REF!="ZERO",0))))),"")</f>
        <v>#REF!</v>
      </c>
      <c r="H1279" s="136" t="str">
        <f t="shared" si="61"/>
        <v/>
      </c>
      <c r="I1279" s="134" t="str">
        <f t="shared" si="62"/>
        <v/>
      </c>
      <c r="J1279" s="226"/>
    </row>
    <row r="1280" spans="1:11" hidden="1" x14ac:dyDescent="0.25">
      <c r="A1280" s="112" t="s">
        <v>3414</v>
      </c>
      <c r="B1280" s="113" t="s">
        <v>3467</v>
      </c>
      <c r="C1280" s="114" t="s">
        <v>92</v>
      </c>
      <c r="D1280" s="114">
        <v>0</v>
      </c>
      <c r="E1280" s="133" t="s">
        <v>514</v>
      </c>
      <c r="F1280" s="134" t="str">
        <f t="shared" si="60"/>
        <v/>
      </c>
      <c r="G1280" s="135" t="e">
        <f>IF(A1280&lt;&gt;"",IF(AND(#REF!="Padrão",$H$4=#REF!),BDI!$B$17,IF(AND(#REF!="Padrão",$H$4=#REF!),BDI!#REF!,IF(AND(#REF!="Diferenciado",$H$4=#REF!),BDI!$E$17,IF(AND(#REF!="Diferenciado",$H$4=#REF!),BDI!#REF!,IF(#REF!="ZERO",0))))),"")</f>
        <v>#REF!</v>
      </c>
      <c r="H1280" s="136" t="str">
        <f t="shared" si="61"/>
        <v/>
      </c>
      <c r="I1280" s="134" t="str">
        <f t="shared" si="62"/>
        <v/>
      </c>
      <c r="J1280" s="226"/>
    </row>
    <row r="1281" spans="1:11" hidden="1" x14ac:dyDescent="0.25">
      <c r="A1281" s="112" t="s">
        <v>3415</v>
      </c>
      <c r="B1281" s="113" t="s">
        <v>3468</v>
      </c>
      <c r="C1281" s="114" t="s">
        <v>92</v>
      </c>
      <c r="D1281" s="114">
        <v>0</v>
      </c>
      <c r="E1281" s="133" t="s">
        <v>514</v>
      </c>
      <c r="F1281" s="134" t="str">
        <f t="shared" si="60"/>
        <v/>
      </c>
      <c r="G1281" s="135" t="e">
        <f>IF(A1281&lt;&gt;"",IF(AND(#REF!="Padrão",$H$4=#REF!),BDI!$B$17,IF(AND(#REF!="Padrão",$H$4=#REF!),BDI!#REF!,IF(AND(#REF!="Diferenciado",$H$4=#REF!),BDI!$E$17,IF(AND(#REF!="Diferenciado",$H$4=#REF!),BDI!#REF!,IF(#REF!="ZERO",0))))),"")</f>
        <v>#REF!</v>
      </c>
      <c r="H1281" s="136" t="str">
        <f t="shared" si="61"/>
        <v/>
      </c>
      <c r="I1281" s="134" t="str">
        <f t="shared" si="62"/>
        <v/>
      </c>
      <c r="J1281" s="226"/>
    </row>
    <row r="1282" spans="1:11" hidden="1" x14ac:dyDescent="0.25">
      <c r="A1282" s="112" t="s">
        <v>3416</v>
      </c>
      <c r="B1282" s="113" t="s">
        <v>3469</v>
      </c>
      <c r="C1282" s="114" t="s">
        <v>92</v>
      </c>
      <c r="D1282" s="114">
        <v>0</v>
      </c>
      <c r="E1282" s="133" t="s">
        <v>514</v>
      </c>
      <c r="F1282" s="134" t="str">
        <f t="shared" si="60"/>
        <v/>
      </c>
      <c r="G1282" s="135" t="e">
        <f>IF(A1282&lt;&gt;"",IF(AND(#REF!="Padrão",$H$4=#REF!),BDI!$B$17,IF(AND(#REF!="Padrão",$H$4=#REF!),BDI!#REF!,IF(AND(#REF!="Diferenciado",$H$4=#REF!),BDI!$E$17,IF(AND(#REF!="Diferenciado",$H$4=#REF!),BDI!#REF!,IF(#REF!="ZERO",0))))),"")</f>
        <v>#REF!</v>
      </c>
      <c r="H1282" s="136" t="str">
        <f t="shared" si="61"/>
        <v/>
      </c>
      <c r="I1282" s="134" t="str">
        <f t="shared" si="62"/>
        <v/>
      </c>
      <c r="J1282" s="226"/>
    </row>
    <row r="1283" spans="1:11" s="161" customFormat="1" hidden="1" x14ac:dyDescent="0.25">
      <c r="A1283" s="162" t="s">
        <v>3417</v>
      </c>
      <c r="B1283" s="163" t="s">
        <v>3470</v>
      </c>
      <c r="C1283" s="164" t="s">
        <v>92</v>
      </c>
      <c r="D1283" s="164">
        <v>40</v>
      </c>
      <c r="E1283" s="133">
        <f ca="1">OFFSET(INDEX(Composições!A:J,MATCH(Orçamentária!A1283,Composições!A:A,0),8),2,0)</f>
        <v>9.7374999999999989</v>
      </c>
      <c r="F1283" s="134">
        <f t="shared" ca="1" si="60"/>
        <v>389.49999999999994</v>
      </c>
      <c r="G1283" s="135">
        <f>BDI!$B$17</f>
        <v>0.191</v>
      </c>
      <c r="H1283" s="136">
        <f t="shared" ca="1" si="61"/>
        <v>11.6</v>
      </c>
      <c r="I1283" s="182">
        <f t="shared" ca="1" si="62"/>
        <v>464</v>
      </c>
      <c r="J1283" s="226"/>
      <c r="K1283" s="224" t="s">
        <v>8074</v>
      </c>
    </row>
    <row r="1284" spans="1:11" s="161" customFormat="1" hidden="1" x14ac:dyDescent="0.25">
      <c r="A1284" s="162" t="s">
        <v>3418</v>
      </c>
      <c r="B1284" s="163" t="s">
        <v>3471</v>
      </c>
      <c r="C1284" s="164" t="s">
        <v>92</v>
      </c>
      <c r="D1284" s="164">
        <v>30</v>
      </c>
      <c r="E1284" s="133">
        <f ca="1">OFFSET(INDEX(Composições!A:J,MATCH(Orçamentária!A1284,Composições!A:A,0),8),2,0)</f>
        <v>29.114849499999998</v>
      </c>
      <c r="F1284" s="134">
        <f t="shared" ca="1" si="60"/>
        <v>873.44548499999996</v>
      </c>
      <c r="G1284" s="135">
        <f>BDI!$B$17</f>
        <v>0.191</v>
      </c>
      <c r="H1284" s="136">
        <f t="shared" ca="1" si="61"/>
        <v>34.68</v>
      </c>
      <c r="I1284" s="182">
        <f t="shared" ca="1" si="62"/>
        <v>1040.4000000000001</v>
      </c>
      <c r="J1284" s="226"/>
      <c r="K1284" s="224" t="s">
        <v>8074</v>
      </c>
    </row>
    <row r="1285" spans="1:11" s="161" customFormat="1" hidden="1" x14ac:dyDescent="0.25">
      <c r="A1285" s="162" t="s">
        <v>3419</v>
      </c>
      <c r="B1285" s="163" t="s">
        <v>3472</v>
      </c>
      <c r="C1285" s="164" t="s">
        <v>92</v>
      </c>
      <c r="D1285" s="164">
        <v>30</v>
      </c>
      <c r="E1285" s="133">
        <f ca="1">OFFSET(INDEX(Composições!A:J,MATCH(Orçamentária!A1285,Composições!A:A,0),8),2,0)</f>
        <v>40.480772999999999</v>
      </c>
      <c r="F1285" s="134">
        <f t="shared" ca="1" si="60"/>
        <v>1214.42319</v>
      </c>
      <c r="G1285" s="135">
        <f>BDI!$B$17</f>
        <v>0.191</v>
      </c>
      <c r="H1285" s="136">
        <f t="shared" ca="1" si="61"/>
        <v>48.21</v>
      </c>
      <c r="I1285" s="182">
        <f t="shared" ca="1" si="62"/>
        <v>1446.3</v>
      </c>
      <c r="J1285" s="226"/>
      <c r="K1285" s="224" t="s">
        <v>8074</v>
      </c>
    </row>
    <row r="1286" spans="1:11" s="161" customFormat="1" hidden="1" x14ac:dyDescent="0.25">
      <c r="A1286" s="162" t="s">
        <v>3420</v>
      </c>
      <c r="B1286" s="163" t="s">
        <v>3473</v>
      </c>
      <c r="C1286" s="164" t="s">
        <v>20</v>
      </c>
      <c r="D1286" s="164">
        <v>4</v>
      </c>
      <c r="E1286" s="133">
        <f ca="1">OFFSET(INDEX(Composições!A:J,MATCH(Orçamentária!A1286,Composições!A:A,0),8),2,0)</f>
        <v>82.030135450000003</v>
      </c>
      <c r="F1286" s="134">
        <f t="shared" ca="1" si="60"/>
        <v>328.12054180000001</v>
      </c>
      <c r="G1286" s="135">
        <f>BDI!$B$17</f>
        <v>0.191</v>
      </c>
      <c r="H1286" s="136">
        <f t="shared" ca="1" si="61"/>
        <v>97.7</v>
      </c>
      <c r="I1286" s="182">
        <f t="shared" ca="1" si="62"/>
        <v>390.8</v>
      </c>
      <c r="J1286" s="226"/>
      <c r="K1286" s="224" t="s">
        <v>8074</v>
      </c>
    </row>
    <row r="1287" spans="1:11" s="161" customFormat="1" hidden="1" x14ac:dyDescent="0.25">
      <c r="A1287" s="162" t="s">
        <v>3421</v>
      </c>
      <c r="B1287" s="163" t="s">
        <v>3474</v>
      </c>
      <c r="C1287" s="164" t="s">
        <v>20</v>
      </c>
      <c r="D1287" s="164">
        <v>15</v>
      </c>
      <c r="E1287" s="133">
        <f ca="1">OFFSET(INDEX(Composições!A:J,MATCH(Orçamentária!A1287,Composições!A:A,0),8),2,0)</f>
        <v>806.77793310000004</v>
      </c>
      <c r="F1287" s="134">
        <f t="shared" ca="1" si="60"/>
        <v>12101.668996500001</v>
      </c>
      <c r="G1287" s="135">
        <f>BDI!$B$17</f>
        <v>0.191</v>
      </c>
      <c r="H1287" s="136">
        <f t="shared" ca="1" si="61"/>
        <v>960.87</v>
      </c>
      <c r="I1287" s="182">
        <f t="shared" ca="1" si="62"/>
        <v>14413.05</v>
      </c>
      <c r="J1287" s="226"/>
      <c r="K1287" s="224" t="s">
        <v>8074</v>
      </c>
    </row>
    <row r="1288" spans="1:11" s="161" customFormat="1" hidden="1" x14ac:dyDescent="0.25">
      <c r="A1288" s="162" t="s">
        <v>3422</v>
      </c>
      <c r="B1288" s="163" t="s">
        <v>3475</v>
      </c>
      <c r="C1288" s="164" t="s">
        <v>20</v>
      </c>
      <c r="D1288" s="164">
        <v>30</v>
      </c>
      <c r="E1288" s="133">
        <f ca="1">OFFSET(INDEX(Composições!A:J,MATCH(Orçamentária!A1288,Composições!A:A,0),8),2,0)</f>
        <v>298.82180855000001</v>
      </c>
      <c r="F1288" s="134">
        <f t="shared" ca="1" si="60"/>
        <v>8964.6542565</v>
      </c>
      <c r="G1288" s="135">
        <f>BDI!$B$17</f>
        <v>0.191</v>
      </c>
      <c r="H1288" s="136">
        <f t="shared" ca="1" si="61"/>
        <v>355.9</v>
      </c>
      <c r="I1288" s="182">
        <f t="shared" ca="1" si="62"/>
        <v>10677</v>
      </c>
      <c r="J1288" s="226"/>
      <c r="K1288" s="224" t="s">
        <v>8074</v>
      </c>
    </row>
    <row r="1289" spans="1:11" s="161" customFormat="1" hidden="1" x14ac:dyDescent="0.25">
      <c r="A1289" s="162" t="s">
        <v>3423</v>
      </c>
      <c r="B1289" s="163" t="s">
        <v>3476</v>
      </c>
      <c r="C1289" s="164" t="s">
        <v>20</v>
      </c>
      <c r="D1289" s="164">
        <v>10</v>
      </c>
      <c r="E1289" s="133">
        <f ca="1">OFFSET(INDEX(Composições!A:J,MATCH(Orçamentária!A1289,Composições!A:A,0),8),2,0)</f>
        <v>263.17850000000004</v>
      </c>
      <c r="F1289" s="134">
        <f t="shared" ca="1" si="60"/>
        <v>2631.7850000000003</v>
      </c>
      <c r="G1289" s="135">
        <f>BDI!$B$17</f>
        <v>0.191</v>
      </c>
      <c r="H1289" s="136">
        <f t="shared" ca="1" si="61"/>
        <v>313.45</v>
      </c>
      <c r="I1289" s="182">
        <f t="shared" ca="1" si="62"/>
        <v>3134.5</v>
      </c>
      <c r="J1289" s="226"/>
      <c r="K1289" s="224" t="s">
        <v>8074</v>
      </c>
    </row>
    <row r="1290" spans="1:11" s="161" customFormat="1" hidden="1" x14ac:dyDescent="0.25">
      <c r="A1290" s="162" t="s">
        <v>3424</v>
      </c>
      <c r="B1290" s="163" t="s">
        <v>3477</v>
      </c>
      <c r="C1290" s="164" t="s">
        <v>20</v>
      </c>
      <c r="D1290" s="164">
        <v>30</v>
      </c>
      <c r="E1290" s="133">
        <f ca="1">OFFSET(INDEX(Composições!A:J,MATCH(Orçamentária!A1290,Composições!A:A,0),8),2,0)</f>
        <v>350.34488590000001</v>
      </c>
      <c r="F1290" s="134">
        <f t="shared" ca="1" si="60"/>
        <v>10510.346577</v>
      </c>
      <c r="G1290" s="135">
        <f>BDI!$B$17</f>
        <v>0.191</v>
      </c>
      <c r="H1290" s="136">
        <f t="shared" ca="1" si="61"/>
        <v>417.26</v>
      </c>
      <c r="I1290" s="182">
        <f t="shared" ca="1" si="62"/>
        <v>12517.8</v>
      </c>
      <c r="J1290" s="226"/>
      <c r="K1290" s="224" t="s">
        <v>8074</v>
      </c>
    </row>
    <row r="1291" spans="1:11" s="161" customFormat="1" hidden="1" x14ac:dyDescent="0.25">
      <c r="A1291" s="162" t="s">
        <v>3425</v>
      </c>
      <c r="B1291" s="163" t="s">
        <v>3478</v>
      </c>
      <c r="C1291" s="164" t="s">
        <v>20</v>
      </c>
      <c r="D1291" s="164">
        <v>30</v>
      </c>
      <c r="E1291" s="133">
        <f ca="1">OFFSET(INDEX(Composições!A:J,MATCH(Orçamentária!A1291,Composições!A:A,0),8),2,0)</f>
        <v>242.068658</v>
      </c>
      <c r="F1291" s="134">
        <f t="shared" ca="1" si="60"/>
        <v>7262.0597399999997</v>
      </c>
      <c r="G1291" s="135">
        <f>BDI!$B$17</f>
        <v>0.191</v>
      </c>
      <c r="H1291" s="136">
        <f t="shared" ca="1" si="61"/>
        <v>288.3</v>
      </c>
      <c r="I1291" s="182">
        <f t="shared" ca="1" si="62"/>
        <v>8649</v>
      </c>
      <c r="J1291" s="226"/>
      <c r="K1291" s="224" t="s">
        <v>8074</v>
      </c>
    </row>
    <row r="1292" spans="1:11" s="161" customFormat="1" hidden="1" x14ac:dyDescent="0.25">
      <c r="A1292" s="162" t="s">
        <v>3426</v>
      </c>
      <c r="B1292" s="163" t="s">
        <v>3479</v>
      </c>
      <c r="C1292" s="164" t="s">
        <v>20</v>
      </c>
      <c r="D1292" s="164">
        <v>15</v>
      </c>
      <c r="E1292" s="133">
        <f ca="1">OFFSET(INDEX(Composições!A:J,MATCH(Orçamentária!A1292,Composições!A:A,0),8),2,0)</f>
        <v>142.718805</v>
      </c>
      <c r="F1292" s="134">
        <f t="shared" ref="F1292:F1299" ca="1" si="63">IF(ISNUMBER(E1292),D1292*E1292,"")</f>
        <v>2140.7820750000001</v>
      </c>
      <c r="G1292" s="135">
        <f>BDI!$B$17</f>
        <v>0.191</v>
      </c>
      <c r="H1292" s="136">
        <f t="shared" ref="H1292:H1299" ca="1" si="64">IF(ISNUMBER(E1292),ROUND(E1292*(1+G1292),2),"")</f>
        <v>169.98</v>
      </c>
      <c r="I1292" s="182">
        <f t="shared" ref="I1292:I1299" ca="1" si="65">IF(ISNUMBER(E1292),ROUND(H1292*D1292,2),"")</f>
        <v>2549.6999999999998</v>
      </c>
      <c r="J1292" s="226"/>
      <c r="K1292" s="224" t="s">
        <v>8074</v>
      </c>
    </row>
    <row r="1293" spans="1:11" s="161" customFormat="1" hidden="1" x14ac:dyDescent="0.25">
      <c r="A1293" s="162" t="s">
        <v>3427</v>
      </c>
      <c r="B1293" s="163" t="s">
        <v>3480</v>
      </c>
      <c r="C1293" s="164" t="s">
        <v>20</v>
      </c>
      <c r="D1293" s="164">
        <v>15</v>
      </c>
      <c r="E1293" s="133">
        <f ca="1">OFFSET(INDEX(Composições!A:J,MATCH(Orçamentária!A1293,Composições!A:A,0),8),2,0)</f>
        <v>16.513375</v>
      </c>
      <c r="F1293" s="134">
        <f t="shared" ca="1" si="63"/>
        <v>247.700625</v>
      </c>
      <c r="G1293" s="135">
        <f>BDI!$B$17</f>
        <v>0.191</v>
      </c>
      <c r="H1293" s="136">
        <f t="shared" ca="1" si="64"/>
        <v>19.670000000000002</v>
      </c>
      <c r="I1293" s="182">
        <f t="shared" ca="1" si="65"/>
        <v>295.05</v>
      </c>
      <c r="J1293" s="226"/>
      <c r="K1293" s="224" t="s">
        <v>8074</v>
      </c>
    </row>
    <row r="1294" spans="1:11" s="161" customFormat="1" hidden="1" x14ac:dyDescent="0.25">
      <c r="A1294" s="162" t="s">
        <v>3428</v>
      </c>
      <c r="B1294" s="163" t="s">
        <v>3481</v>
      </c>
      <c r="C1294" s="164" t="s">
        <v>20</v>
      </c>
      <c r="D1294" s="164">
        <v>30</v>
      </c>
      <c r="E1294" s="133">
        <f ca="1">OFFSET(INDEX(Composições!A:J,MATCH(Orçamentária!A1294,Composições!A:A,0),8),2,0)</f>
        <v>93.287348550000004</v>
      </c>
      <c r="F1294" s="134">
        <f t="shared" ca="1" si="63"/>
        <v>2798.6204565000003</v>
      </c>
      <c r="G1294" s="135">
        <f>BDI!$B$17</f>
        <v>0.191</v>
      </c>
      <c r="H1294" s="136">
        <f t="shared" ca="1" si="64"/>
        <v>111.11</v>
      </c>
      <c r="I1294" s="182">
        <f t="shared" ca="1" si="65"/>
        <v>3333.3</v>
      </c>
      <c r="J1294" s="226"/>
      <c r="K1294" s="224" t="s">
        <v>8074</v>
      </c>
    </row>
    <row r="1295" spans="1:11" hidden="1" x14ac:dyDescent="0.25">
      <c r="A1295" s="112" t="s">
        <v>3429</v>
      </c>
      <c r="B1295" s="113" t="s">
        <v>3482</v>
      </c>
      <c r="C1295" s="114" t="s">
        <v>20</v>
      </c>
      <c r="D1295" s="114">
        <v>0</v>
      </c>
      <c r="E1295" s="133" t="s">
        <v>514</v>
      </c>
      <c r="F1295" s="134" t="str">
        <f t="shared" si="63"/>
        <v/>
      </c>
      <c r="G1295" s="135" t="e">
        <f>IF(A1295&lt;&gt;"",IF(AND(#REF!="Padrão",$H$4=#REF!),BDI!$B$17,IF(AND(#REF!="Padrão",$H$4=#REF!),BDI!#REF!,IF(AND(#REF!="Diferenciado",$H$4=#REF!),BDI!$E$17,IF(AND(#REF!="Diferenciado",$H$4=#REF!),BDI!#REF!,IF(#REF!="ZERO",0))))),"")</f>
        <v>#REF!</v>
      </c>
      <c r="H1295" s="136" t="str">
        <f t="shared" si="64"/>
        <v/>
      </c>
      <c r="I1295" s="134" t="str">
        <f t="shared" si="65"/>
        <v/>
      </c>
      <c r="J1295" s="226"/>
    </row>
    <row r="1296" spans="1:11" s="161" customFormat="1" hidden="1" x14ac:dyDescent="0.25">
      <c r="A1296" s="162" t="s">
        <v>3430</v>
      </c>
      <c r="B1296" s="163" t="s">
        <v>3675</v>
      </c>
      <c r="C1296" s="164" t="s">
        <v>94</v>
      </c>
      <c r="D1296" s="164">
        <v>225</v>
      </c>
      <c r="E1296" s="180">
        <v>804.12</v>
      </c>
      <c r="F1296" s="134">
        <f t="shared" si="63"/>
        <v>180927</v>
      </c>
      <c r="G1296" s="135">
        <v>0</v>
      </c>
      <c r="H1296" s="136">
        <f t="shared" si="64"/>
        <v>804.12</v>
      </c>
      <c r="I1296" s="182">
        <f t="shared" si="65"/>
        <v>180927</v>
      </c>
      <c r="J1296" s="226"/>
      <c r="K1296" s="224" t="s">
        <v>8077</v>
      </c>
    </row>
    <row r="1297" spans="1:11" hidden="1" x14ac:dyDescent="0.25">
      <c r="A1297" s="112" t="s">
        <v>3486</v>
      </c>
      <c r="B1297" s="113" t="s">
        <v>3483</v>
      </c>
      <c r="C1297" s="114" t="s">
        <v>20</v>
      </c>
      <c r="D1297" s="114">
        <v>0</v>
      </c>
      <c r="E1297" s="133" t="s">
        <v>514</v>
      </c>
      <c r="F1297" s="134" t="str">
        <f t="shared" si="63"/>
        <v/>
      </c>
      <c r="G1297" s="135" t="e">
        <f>IF(A1297&lt;&gt;"",IF(AND(#REF!="Padrão",$H$4=#REF!),BDI!$B$17,IF(AND(#REF!="Padrão",$H$4=#REF!),BDI!#REF!,IF(AND(#REF!="Diferenciado",$H$4=#REF!),BDI!$E$17,IF(AND(#REF!="Diferenciado",$H$4=#REF!),BDI!#REF!,IF(#REF!="ZERO",0))))),"")</f>
        <v>#REF!</v>
      </c>
      <c r="H1297" s="136" t="str">
        <f t="shared" si="64"/>
        <v/>
      </c>
      <c r="I1297" s="134" t="str">
        <f t="shared" si="65"/>
        <v/>
      </c>
      <c r="J1297" s="226"/>
    </row>
    <row r="1298" spans="1:11" hidden="1" x14ac:dyDescent="0.25">
      <c r="A1298" s="112" t="s">
        <v>3487</v>
      </c>
      <c r="B1298" s="113" t="s">
        <v>3484</v>
      </c>
      <c r="C1298" s="114" t="s">
        <v>20</v>
      </c>
      <c r="D1298" s="114">
        <v>0</v>
      </c>
      <c r="E1298" s="133" t="s">
        <v>514</v>
      </c>
      <c r="F1298" s="134" t="str">
        <f t="shared" si="63"/>
        <v/>
      </c>
      <c r="G1298" s="135" t="e">
        <f>IF(A1298&lt;&gt;"",IF(AND(#REF!="Padrão",$H$4=#REF!),BDI!$B$17,IF(AND(#REF!="Padrão",$H$4=#REF!),BDI!#REF!,IF(AND(#REF!="Diferenciado",$H$4=#REF!),BDI!$E$17,IF(AND(#REF!="Diferenciado",$H$4=#REF!),BDI!#REF!,IF(#REF!="ZERO",0))))),"")</f>
        <v>#REF!</v>
      </c>
      <c r="H1298" s="136" t="str">
        <f t="shared" si="64"/>
        <v/>
      </c>
      <c r="I1298" s="134" t="str">
        <f t="shared" si="65"/>
        <v/>
      </c>
      <c r="J1298" s="226"/>
    </row>
    <row r="1299" spans="1:11" hidden="1" x14ac:dyDescent="0.25">
      <c r="A1299" s="112" t="s">
        <v>3488</v>
      </c>
      <c r="B1299" s="113" t="s">
        <v>3485</v>
      </c>
      <c r="C1299" s="114" t="s">
        <v>20</v>
      </c>
      <c r="D1299" s="114">
        <v>0</v>
      </c>
      <c r="E1299" s="133" t="s">
        <v>514</v>
      </c>
      <c r="F1299" s="134" t="str">
        <f t="shared" si="63"/>
        <v/>
      </c>
      <c r="G1299" s="135" t="e">
        <f>IF(A1299&lt;&gt;"",IF(AND(#REF!="Padrão",$H$4=#REF!),BDI!$B$17,IF(AND(#REF!="Padrão",$H$4=#REF!),BDI!#REF!,IF(AND(#REF!="Diferenciado",$H$4=#REF!),BDI!$E$17,IF(AND(#REF!="Diferenciado",$H$4=#REF!),BDI!#REF!,IF(#REF!="ZERO",0))))),"")</f>
        <v>#REF!</v>
      </c>
      <c r="H1299" s="136" t="str">
        <f t="shared" si="64"/>
        <v/>
      </c>
      <c r="I1299" s="134" t="str">
        <f t="shared" si="65"/>
        <v/>
      </c>
      <c r="J1299" s="226"/>
    </row>
    <row r="1300" spans="1:11" s="161" customFormat="1" hidden="1" x14ac:dyDescent="0.25">
      <c r="A1300" s="162" t="s">
        <v>3563</v>
      </c>
      <c r="B1300" s="163" t="s">
        <v>3564</v>
      </c>
      <c r="C1300" s="164" t="s">
        <v>94</v>
      </c>
      <c r="D1300" s="164">
        <v>25</v>
      </c>
      <c r="E1300" s="133">
        <f ca="1">OFFSET(INDEX(Composições!A:J,MATCH(Orçamentária!A1300,Composições!A:A,0),8),2,0)</f>
        <v>219.25783811666668</v>
      </c>
      <c r="F1300" s="134">
        <f t="shared" ref="F1300:F1343" ca="1" si="66">IF(ISNUMBER(E1300),D1300*E1300,"")</f>
        <v>5481.445952916667</v>
      </c>
      <c r="G1300" s="135">
        <f>BDI!$B$17</f>
        <v>0.191</v>
      </c>
      <c r="H1300" s="136">
        <f t="shared" ref="H1300:H1343" ca="1" si="67">IF(ISNUMBER(E1300),ROUND(E1300*(1+G1300),2),"")</f>
        <v>261.14</v>
      </c>
      <c r="I1300" s="182">
        <f t="shared" ref="I1300:I1343" ca="1" si="68">IF(ISNUMBER(E1300),ROUND(H1300*D1300,2),"")</f>
        <v>6528.5</v>
      </c>
      <c r="J1300" s="226"/>
      <c r="K1300" s="224" t="s">
        <v>8074</v>
      </c>
    </row>
    <row r="1301" spans="1:11" s="161" customFormat="1" hidden="1" x14ac:dyDescent="0.25">
      <c r="A1301" s="162" t="s">
        <v>3565</v>
      </c>
      <c r="B1301" s="163" t="s">
        <v>3566</v>
      </c>
      <c r="C1301" s="164" t="s">
        <v>94</v>
      </c>
      <c r="D1301" s="164">
        <v>15</v>
      </c>
      <c r="E1301" s="133">
        <f ca="1">OFFSET(INDEX(Composições!A:J,MATCH(Orçamentária!A1301,Composições!A:A,0),8),2,0)</f>
        <v>238.41079454523808</v>
      </c>
      <c r="F1301" s="134">
        <f t="shared" ca="1" si="66"/>
        <v>3576.1619181785713</v>
      </c>
      <c r="G1301" s="135">
        <f>BDI!$B$17</f>
        <v>0.191</v>
      </c>
      <c r="H1301" s="136">
        <f t="shared" ca="1" si="67"/>
        <v>283.95</v>
      </c>
      <c r="I1301" s="182">
        <f t="shared" ca="1" si="68"/>
        <v>4259.25</v>
      </c>
      <c r="J1301" s="226"/>
      <c r="K1301" s="224" t="s">
        <v>8074</v>
      </c>
    </row>
    <row r="1302" spans="1:11" hidden="1" x14ac:dyDescent="0.25">
      <c r="A1302" s="112" t="s">
        <v>3567</v>
      </c>
      <c r="B1302" s="113" t="s">
        <v>3568</v>
      </c>
      <c r="C1302" s="114" t="s">
        <v>20</v>
      </c>
      <c r="D1302" s="114">
        <v>0</v>
      </c>
      <c r="E1302" s="133" t="s">
        <v>514</v>
      </c>
      <c r="F1302" s="134" t="str">
        <f t="shared" si="66"/>
        <v/>
      </c>
      <c r="G1302" s="135" t="e">
        <f>IF(A1302&lt;&gt;"",IF(AND(#REF!="Padrão",$H$4=#REF!),BDI!$B$17,IF(AND(#REF!="Padrão",$H$4=#REF!),BDI!#REF!,IF(AND(#REF!="Diferenciado",$H$4=#REF!),BDI!$E$17,IF(AND(#REF!="Diferenciado",$H$4=#REF!),BDI!#REF!,IF(#REF!="ZERO",0))))),"")</f>
        <v>#REF!</v>
      </c>
      <c r="H1302" s="136" t="str">
        <f t="shared" si="67"/>
        <v/>
      </c>
      <c r="I1302" s="134" t="str">
        <f t="shared" si="68"/>
        <v/>
      </c>
      <c r="J1302" s="226"/>
    </row>
    <row r="1303" spans="1:11" ht="25.5" hidden="1" x14ac:dyDescent="0.25">
      <c r="A1303" s="112" t="s">
        <v>3569</v>
      </c>
      <c r="B1303" s="113" t="s">
        <v>3570</v>
      </c>
      <c r="C1303" s="114" t="s">
        <v>20</v>
      </c>
      <c r="D1303" s="114">
        <v>0</v>
      </c>
      <c r="E1303" s="133" t="s">
        <v>514</v>
      </c>
      <c r="F1303" s="134" t="str">
        <f t="shared" si="66"/>
        <v/>
      </c>
      <c r="G1303" s="135" t="e">
        <f>IF(A1303&lt;&gt;"",IF(AND(#REF!="Padrão",$H$4=#REF!),BDI!$B$17,IF(AND(#REF!="Padrão",$H$4=#REF!),BDI!#REF!,IF(AND(#REF!="Diferenciado",$H$4=#REF!),BDI!$E$17,IF(AND(#REF!="Diferenciado",$H$4=#REF!),BDI!#REF!,IF(#REF!="ZERO",0))))),"")</f>
        <v>#REF!</v>
      </c>
      <c r="H1303" s="136" t="str">
        <f t="shared" si="67"/>
        <v/>
      </c>
      <c r="I1303" s="134" t="str">
        <f t="shared" si="68"/>
        <v/>
      </c>
      <c r="J1303" s="226"/>
    </row>
    <row r="1304" spans="1:11" hidden="1" x14ac:dyDescent="0.25">
      <c r="A1304" s="112" t="s">
        <v>3571</v>
      </c>
      <c r="B1304" s="113" t="s">
        <v>3572</v>
      </c>
      <c r="C1304" s="114" t="s">
        <v>20</v>
      </c>
      <c r="D1304" s="114">
        <v>0</v>
      </c>
      <c r="E1304" s="133" t="s">
        <v>514</v>
      </c>
      <c r="F1304" s="134" t="str">
        <f t="shared" si="66"/>
        <v/>
      </c>
      <c r="G1304" s="135" t="e">
        <f>IF(A1304&lt;&gt;"",IF(AND(#REF!="Padrão",$H$4=#REF!),BDI!$B$17,IF(AND(#REF!="Padrão",$H$4=#REF!),BDI!#REF!,IF(AND(#REF!="Diferenciado",$H$4=#REF!),BDI!$E$17,IF(AND(#REF!="Diferenciado",$H$4=#REF!),BDI!#REF!,IF(#REF!="ZERO",0))))),"")</f>
        <v>#REF!</v>
      </c>
      <c r="H1304" s="136" t="str">
        <f t="shared" si="67"/>
        <v/>
      </c>
      <c r="I1304" s="134" t="str">
        <f t="shared" si="68"/>
        <v/>
      </c>
      <c r="J1304" s="226"/>
    </row>
    <row r="1305" spans="1:11" ht="25.5" hidden="1" x14ac:dyDescent="0.25">
      <c r="A1305" s="112" t="s">
        <v>3573</v>
      </c>
      <c r="B1305" s="113" t="s">
        <v>3574</v>
      </c>
      <c r="C1305" s="114" t="s">
        <v>20</v>
      </c>
      <c r="D1305" s="114">
        <v>0</v>
      </c>
      <c r="E1305" s="133" t="s">
        <v>514</v>
      </c>
      <c r="F1305" s="134" t="str">
        <f t="shared" si="66"/>
        <v/>
      </c>
      <c r="G1305" s="135" t="e">
        <f>IF(A1305&lt;&gt;"",IF(AND(#REF!="Padrão",$H$4=#REF!),BDI!$B$17,IF(AND(#REF!="Padrão",$H$4=#REF!),BDI!#REF!,IF(AND(#REF!="Diferenciado",$H$4=#REF!),BDI!$E$17,IF(AND(#REF!="Diferenciado",$H$4=#REF!),BDI!#REF!,IF(#REF!="ZERO",0))))),"")</f>
        <v>#REF!</v>
      </c>
      <c r="H1305" s="136" t="str">
        <f t="shared" si="67"/>
        <v/>
      </c>
      <c r="I1305" s="134" t="str">
        <f t="shared" si="68"/>
        <v/>
      </c>
      <c r="J1305" s="226"/>
    </row>
    <row r="1306" spans="1:11" ht="25.5" hidden="1" x14ac:dyDescent="0.25">
      <c r="A1306" s="112" t="s">
        <v>3575</v>
      </c>
      <c r="B1306" s="113" t="s">
        <v>3576</v>
      </c>
      <c r="C1306" s="114" t="s">
        <v>20</v>
      </c>
      <c r="D1306" s="114">
        <v>0</v>
      </c>
      <c r="E1306" s="133" t="s">
        <v>514</v>
      </c>
      <c r="F1306" s="134" t="str">
        <f t="shared" si="66"/>
        <v/>
      </c>
      <c r="G1306" s="135" t="e">
        <f>IF(A1306&lt;&gt;"",IF(AND(#REF!="Padrão",$H$4=#REF!),BDI!$B$17,IF(AND(#REF!="Padrão",$H$4=#REF!),BDI!#REF!,IF(AND(#REF!="Diferenciado",$H$4=#REF!),BDI!$E$17,IF(AND(#REF!="Diferenciado",$H$4=#REF!),BDI!#REF!,IF(#REF!="ZERO",0))))),"")</f>
        <v>#REF!</v>
      </c>
      <c r="H1306" s="136" t="str">
        <f t="shared" si="67"/>
        <v/>
      </c>
      <c r="I1306" s="134" t="str">
        <f t="shared" si="68"/>
        <v/>
      </c>
      <c r="J1306" s="226"/>
    </row>
    <row r="1307" spans="1:11" ht="25.5" hidden="1" x14ac:dyDescent="0.25">
      <c r="A1307" s="112" t="s">
        <v>3577</v>
      </c>
      <c r="B1307" s="113" t="s">
        <v>3578</v>
      </c>
      <c r="C1307" s="114" t="s">
        <v>20</v>
      </c>
      <c r="D1307" s="114">
        <v>0</v>
      </c>
      <c r="E1307" s="133" t="s">
        <v>514</v>
      </c>
      <c r="F1307" s="134" t="str">
        <f t="shared" si="66"/>
        <v/>
      </c>
      <c r="G1307" s="135" t="e">
        <f>IF(A1307&lt;&gt;"",IF(AND(#REF!="Padrão",$H$4=#REF!),BDI!$B$17,IF(AND(#REF!="Padrão",$H$4=#REF!),BDI!#REF!,IF(AND(#REF!="Diferenciado",$H$4=#REF!),BDI!$E$17,IF(AND(#REF!="Diferenciado",$H$4=#REF!),BDI!#REF!,IF(#REF!="ZERO",0))))),"")</f>
        <v>#REF!</v>
      </c>
      <c r="H1307" s="136" t="str">
        <f t="shared" si="67"/>
        <v/>
      </c>
      <c r="I1307" s="134" t="str">
        <f t="shared" si="68"/>
        <v/>
      </c>
      <c r="J1307" s="226"/>
    </row>
    <row r="1308" spans="1:11" ht="25.5" hidden="1" x14ac:dyDescent="0.25">
      <c r="A1308" s="112" t="s">
        <v>3579</v>
      </c>
      <c r="B1308" s="113" t="s">
        <v>3580</v>
      </c>
      <c r="C1308" s="114" t="s">
        <v>20</v>
      </c>
      <c r="D1308" s="114">
        <v>0</v>
      </c>
      <c r="E1308" s="133" t="s">
        <v>514</v>
      </c>
      <c r="F1308" s="134" t="str">
        <f t="shared" si="66"/>
        <v/>
      </c>
      <c r="G1308" s="135" t="e">
        <f>IF(A1308&lt;&gt;"",IF(AND(#REF!="Padrão",$H$4=#REF!),BDI!$B$17,IF(AND(#REF!="Padrão",$H$4=#REF!),BDI!#REF!,IF(AND(#REF!="Diferenciado",$H$4=#REF!),BDI!$E$17,IF(AND(#REF!="Diferenciado",$H$4=#REF!),BDI!#REF!,IF(#REF!="ZERO",0))))),"")</f>
        <v>#REF!</v>
      </c>
      <c r="H1308" s="136" t="str">
        <f t="shared" si="67"/>
        <v/>
      </c>
      <c r="I1308" s="134" t="str">
        <f t="shared" si="68"/>
        <v/>
      </c>
      <c r="J1308" s="226"/>
    </row>
    <row r="1309" spans="1:11" ht="38.25" hidden="1" x14ac:dyDescent="0.25">
      <c r="A1309" s="112" t="s">
        <v>3581</v>
      </c>
      <c r="B1309" s="113" t="s">
        <v>3582</v>
      </c>
      <c r="C1309" s="114" t="s">
        <v>20</v>
      </c>
      <c r="D1309" s="114">
        <v>0</v>
      </c>
      <c r="E1309" s="133" t="s">
        <v>514</v>
      </c>
      <c r="F1309" s="134" t="str">
        <f t="shared" si="66"/>
        <v/>
      </c>
      <c r="G1309" s="135" t="e">
        <f>IF(A1309&lt;&gt;"",IF(AND(#REF!="Padrão",$H$4=#REF!),BDI!$B$17,IF(AND(#REF!="Padrão",$H$4=#REF!),BDI!#REF!,IF(AND(#REF!="Diferenciado",$H$4=#REF!),BDI!$E$17,IF(AND(#REF!="Diferenciado",$H$4=#REF!),BDI!#REF!,IF(#REF!="ZERO",0))))),"")</f>
        <v>#REF!</v>
      </c>
      <c r="H1309" s="136" t="str">
        <f t="shared" si="67"/>
        <v/>
      </c>
      <c r="I1309" s="134" t="str">
        <f t="shared" si="68"/>
        <v/>
      </c>
      <c r="J1309" s="226"/>
    </row>
    <row r="1310" spans="1:11" ht="25.5" hidden="1" x14ac:dyDescent="0.25">
      <c r="A1310" s="112" t="s">
        <v>3583</v>
      </c>
      <c r="B1310" s="113" t="s">
        <v>3584</v>
      </c>
      <c r="C1310" s="114" t="s">
        <v>20</v>
      </c>
      <c r="D1310" s="114">
        <v>0</v>
      </c>
      <c r="E1310" s="133" t="s">
        <v>514</v>
      </c>
      <c r="F1310" s="134" t="str">
        <f t="shared" si="66"/>
        <v/>
      </c>
      <c r="G1310" s="135" t="e">
        <f>IF(A1310&lt;&gt;"",IF(AND(#REF!="Padrão",$H$4=#REF!),BDI!$B$17,IF(AND(#REF!="Padrão",$H$4=#REF!),BDI!#REF!,IF(AND(#REF!="Diferenciado",$H$4=#REF!),BDI!$E$17,IF(AND(#REF!="Diferenciado",$H$4=#REF!),BDI!#REF!,IF(#REF!="ZERO",0))))),"")</f>
        <v>#REF!</v>
      </c>
      <c r="H1310" s="136" t="str">
        <f t="shared" si="67"/>
        <v/>
      </c>
      <c r="I1310" s="134" t="str">
        <f t="shared" si="68"/>
        <v/>
      </c>
      <c r="J1310" s="226"/>
    </row>
    <row r="1311" spans="1:11" ht="25.5" hidden="1" x14ac:dyDescent="0.25">
      <c r="A1311" s="112" t="s">
        <v>3585</v>
      </c>
      <c r="B1311" s="113" t="s">
        <v>3586</v>
      </c>
      <c r="C1311" s="114" t="s">
        <v>20</v>
      </c>
      <c r="D1311" s="114">
        <v>0</v>
      </c>
      <c r="E1311" s="133" t="s">
        <v>514</v>
      </c>
      <c r="F1311" s="134" t="str">
        <f t="shared" si="66"/>
        <v/>
      </c>
      <c r="G1311" s="135" t="e">
        <f>IF(A1311&lt;&gt;"",IF(AND(#REF!="Padrão",$H$4=#REF!),BDI!$B$17,IF(AND(#REF!="Padrão",$H$4=#REF!),BDI!#REF!,IF(AND(#REF!="Diferenciado",$H$4=#REF!),BDI!$E$17,IF(AND(#REF!="Diferenciado",$H$4=#REF!),BDI!#REF!,IF(#REF!="ZERO",0))))),"")</f>
        <v>#REF!</v>
      </c>
      <c r="H1311" s="136" t="str">
        <f t="shared" si="67"/>
        <v/>
      </c>
      <c r="I1311" s="134" t="str">
        <f t="shared" si="68"/>
        <v/>
      </c>
      <c r="J1311" s="226"/>
    </row>
    <row r="1312" spans="1:11" ht="25.5" hidden="1" x14ac:dyDescent="0.25">
      <c r="A1312" s="112" t="s">
        <v>3587</v>
      </c>
      <c r="B1312" s="113" t="s">
        <v>3588</v>
      </c>
      <c r="C1312" s="114" t="s">
        <v>20</v>
      </c>
      <c r="D1312" s="114">
        <v>0</v>
      </c>
      <c r="E1312" s="133" t="s">
        <v>514</v>
      </c>
      <c r="F1312" s="134" t="str">
        <f t="shared" si="66"/>
        <v/>
      </c>
      <c r="G1312" s="135" t="e">
        <f>IF(A1312&lt;&gt;"",IF(AND(#REF!="Padrão",$H$4=#REF!),BDI!$B$17,IF(AND(#REF!="Padrão",$H$4=#REF!),BDI!#REF!,IF(AND(#REF!="Diferenciado",$H$4=#REF!),BDI!$E$17,IF(AND(#REF!="Diferenciado",$H$4=#REF!),BDI!#REF!,IF(#REF!="ZERO",0))))),"")</f>
        <v>#REF!</v>
      </c>
      <c r="H1312" s="136" t="str">
        <f t="shared" si="67"/>
        <v/>
      </c>
      <c r="I1312" s="134" t="str">
        <f t="shared" si="68"/>
        <v/>
      </c>
      <c r="J1312" s="226"/>
    </row>
    <row r="1313" spans="1:10" ht="25.5" hidden="1" x14ac:dyDescent="0.25">
      <c r="A1313" s="112" t="s">
        <v>3589</v>
      </c>
      <c r="B1313" s="113" t="s">
        <v>3590</v>
      </c>
      <c r="C1313" s="114" t="s">
        <v>20</v>
      </c>
      <c r="D1313" s="114">
        <v>0</v>
      </c>
      <c r="E1313" s="133" t="s">
        <v>514</v>
      </c>
      <c r="F1313" s="134" t="str">
        <f t="shared" si="66"/>
        <v/>
      </c>
      <c r="G1313" s="135" t="e">
        <f>IF(A1313&lt;&gt;"",IF(AND(#REF!="Padrão",$H$4=#REF!),BDI!$B$17,IF(AND(#REF!="Padrão",$H$4=#REF!),BDI!#REF!,IF(AND(#REF!="Diferenciado",$H$4=#REF!),BDI!$E$17,IF(AND(#REF!="Diferenciado",$H$4=#REF!),BDI!#REF!,IF(#REF!="ZERO",0))))),"")</f>
        <v>#REF!</v>
      </c>
      <c r="H1313" s="136" t="str">
        <f t="shared" si="67"/>
        <v/>
      </c>
      <c r="I1313" s="134" t="str">
        <f t="shared" si="68"/>
        <v/>
      </c>
      <c r="J1313" s="226"/>
    </row>
    <row r="1314" spans="1:10" ht="25.5" hidden="1" x14ac:dyDescent="0.25">
      <c r="A1314" s="112" t="s">
        <v>3591</v>
      </c>
      <c r="B1314" s="113" t="s">
        <v>3592</v>
      </c>
      <c r="C1314" s="114" t="s">
        <v>20</v>
      </c>
      <c r="D1314" s="114">
        <v>0</v>
      </c>
      <c r="E1314" s="133" t="s">
        <v>514</v>
      </c>
      <c r="F1314" s="134" t="str">
        <f t="shared" si="66"/>
        <v/>
      </c>
      <c r="G1314" s="135" t="e">
        <f>IF(A1314&lt;&gt;"",IF(AND(#REF!="Padrão",$H$4=#REF!),BDI!$B$17,IF(AND(#REF!="Padrão",$H$4=#REF!),BDI!#REF!,IF(AND(#REF!="Diferenciado",$H$4=#REF!),BDI!$E$17,IF(AND(#REF!="Diferenciado",$H$4=#REF!),BDI!#REF!,IF(#REF!="ZERO",0))))),"")</f>
        <v>#REF!</v>
      </c>
      <c r="H1314" s="136" t="str">
        <f t="shared" si="67"/>
        <v/>
      </c>
      <c r="I1314" s="134" t="str">
        <f t="shared" si="68"/>
        <v/>
      </c>
      <c r="J1314" s="226"/>
    </row>
    <row r="1315" spans="1:10" hidden="1" x14ac:dyDescent="0.25">
      <c r="A1315" s="112" t="s">
        <v>3593</v>
      </c>
      <c r="B1315" s="113" t="s">
        <v>3594</v>
      </c>
      <c r="C1315" s="114" t="s">
        <v>20</v>
      </c>
      <c r="D1315" s="114">
        <v>0</v>
      </c>
      <c r="E1315" s="133">
        <f ca="1">OFFSET(INDEX(Composições!A:J,MATCH(Orçamentária!A1315,Composições!A:A,0),8),2,0)</f>
        <v>40.358280000000001</v>
      </c>
      <c r="F1315" s="134">
        <f t="shared" ca="1" si="66"/>
        <v>0</v>
      </c>
      <c r="G1315" s="135" t="e">
        <f>IF(A1315&lt;&gt;"",IF(AND(#REF!="Padrão",$H$4=#REF!),BDI!$B$17,IF(AND(#REF!="Padrão",$H$4=#REF!),BDI!#REF!,IF(AND(#REF!="Diferenciado",$H$4=#REF!),BDI!$E$17,IF(AND(#REF!="Diferenciado",$H$4=#REF!),BDI!#REF!,IF(#REF!="ZERO",0))))),"")</f>
        <v>#REF!</v>
      </c>
      <c r="H1315" s="136" t="e">
        <f t="shared" ca="1" si="67"/>
        <v>#REF!</v>
      </c>
      <c r="I1315" s="134" t="e">
        <f t="shared" ca="1" si="68"/>
        <v>#REF!</v>
      </c>
      <c r="J1315" s="226"/>
    </row>
    <row r="1316" spans="1:10" hidden="1" x14ac:dyDescent="0.25">
      <c r="A1316" s="112" t="s">
        <v>3595</v>
      </c>
      <c r="B1316" s="113" t="s">
        <v>3596</v>
      </c>
      <c r="C1316" s="114" t="s">
        <v>20</v>
      </c>
      <c r="D1316" s="114">
        <v>0</v>
      </c>
      <c r="E1316" s="133">
        <f ca="1">OFFSET(INDEX(Composições!A:J,MATCH(Orçamentária!A1316,Composições!A:A,0),8),2,0)</f>
        <v>87.116072550000013</v>
      </c>
      <c r="F1316" s="134">
        <f t="shared" ca="1" si="66"/>
        <v>0</v>
      </c>
      <c r="G1316" s="135" t="e">
        <f>IF(A1316&lt;&gt;"",IF(AND(#REF!="Padrão",$H$4=#REF!),BDI!$B$17,IF(AND(#REF!="Padrão",$H$4=#REF!),BDI!#REF!,IF(AND(#REF!="Diferenciado",$H$4=#REF!),BDI!$E$17,IF(AND(#REF!="Diferenciado",$H$4=#REF!),BDI!#REF!,IF(#REF!="ZERO",0))))),"")</f>
        <v>#REF!</v>
      </c>
      <c r="H1316" s="136" t="e">
        <f t="shared" ca="1" si="67"/>
        <v>#REF!</v>
      </c>
      <c r="I1316" s="134" t="e">
        <f t="shared" ca="1" si="68"/>
        <v>#REF!</v>
      </c>
      <c r="J1316" s="226"/>
    </row>
    <row r="1317" spans="1:10" hidden="1" x14ac:dyDescent="0.25">
      <c r="A1317" s="112" t="s">
        <v>3597</v>
      </c>
      <c r="B1317" s="113" t="s">
        <v>3598</v>
      </c>
      <c r="C1317" s="114" t="s">
        <v>20</v>
      </c>
      <c r="D1317" s="114">
        <v>0</v>
      </c>
      <c r="E1317" s="133">
        <f ca="1">OFFSET(INDEX(Composições!A:J,MATCH(Orçamentária!A1317,Composições!A:A,0),8),2,0)</f>
        <v>87.116072550000013</v>
      </c>
      <c r="F1317" s="134">
        <f t="shared" ca="1" si="66"/>
        <v>0</v>
      </c>
      <c r="G1317" s="135" t="e">
        <f>IF(A1317&lt;&gt;"",IF(AND(#REF!="Padrão",$H$4=#REF!),BDI!$B$17,IF(AND(#REF!="Padrão",$H$4=#REF!),BDI!#REF!,IF(AND(#REF!="Diferenciado",$H$4=#REF!),BDI!$E$17,IF(AND(#REF!="Diferenciado",$H$4=#REF!),BDI!#REF!,IF(#REF!="ZERO",0))))),"")</f>
        <v>#REF!</v>
      </c>
      <c r="H1317" s="136" t="e">
        <f t="shared" ca="1" si="67"/>
        <v>#REF!</v>
      </c>
      <c r="I1317" s="134" t="e">
        <f t="shared" ca="1" si="68"/>
        <v>#REF!</v>
      </c>
      <c r="J1317" s="226"/>
    </row>
    <row r="1318" spans="1:10" hidden="1" x14ac:dyDescent="0.25">
      <c r="A1318" s="112" t="s">
        <v>3599</v>
      </c>
      <c r="B1318" s="113" t="s">
        <v>3600</v>
      </c>
      <c r="C1318" s="114" t="s">
        <v>20</v>
      </c>
      <c r="D1318" s="114">
        <v>0</v>
      </c>
      <c r="E1318" s="133">
        <f ca="1">OFFSET(INDEX(Composições!A:J,MATCH(Orçamentária!A1318,Composições!A:A,0),8),2,0)</f>
        <v>87.116072550000013</v>
      </c>
      <c r="F1318" s="134">
        <f t="shared" ca="1" si="66"/>
        <v>0</v>
      </c>
      <c r="G1318" s="135" t="e">
        <f>IF(A1318&lt;&gt;"",IF(AND(#REF!="Padrão",$H$4=#REF!),BDI!$B$17,IF(AND(#REF!="Padrão",$H$4=#REF!),BDI!#REF!,IF(AND(#REF!="Diferenciado",$H$4=#REF!),BDI!$E$17,IF(AND(#REF!="Diferenciado",$H$4=#REF!),BDI!#REF!,IF(#REF!="ZERO",0))))),"")</f>
        <v>#REF!</v>
      </c>
      <c r="H1318" s="136" t="e">
        <f t="shared" ca="1" si="67"/>
        <v>#REF!</v>
      </c>
      <c r="I1318" s="134" t="e">
        <f t="shared" ca="1" si="68"/>
        <v>#REF!</v>
      </c>
      <c r="J1318" s="226"/>
    </row>
    <row r="1319" spans="1:10" hidden="1" x14ac:dyDescent="0.25">
      <c r="A1319" s="112" t="s">
        <v>3601</v>
      </c>
      <c r="B1319" s="113" t="s">
        <v>3602</v>
      </c>
      <c r="C1319" s="114" t="s">
        <v>20</v>
      </c>
      <c r="D1319" s="114">
        <v>0</v>
      </c>
      <c r="E1319" s="133">
        <f ca="1">OFFSET(INDEX(Composições!A:J,MATCH(Orçamentária!A1319,Composições!A:A,0),8),2,0)</f>
        <v>100.51854524999999</v>
      </c>
      <c r="F1319" s="134">
        <f t="shared" ca="1" si="66"/>
        <v>0</v>
      </c>
      <c r="G1319" s="135" t="e">
        <f>IF(A1319&lt;&gt;"",IF(AND(#REF!="Padrão",$H$4=#REF!),BDI!$B$17,IF(AND(#REF!="Padrão",$H$4=#REF!),BDI!#REF!,IF(AND(#REF!="Diferenciado",$H$4=#REF!),BDI!$E$17,IF(AND(#REF!="Diferenciado",$H$4=#REF!),BDI!#REF!,IF(#REF!="ZERO",0))))),"")</f>
        <v>#REF!</v>
      </c>
      <c r="H1319" s="136" t="e">
        <f t="shared" ca="1" si="67"/>
        <v>#REF!</v>
      </c>
      <c r="I1319" s="134" t="e">
        <f t="shared" ca="1" si="68"/>
        <v>#REF!</v>
      </c>
      <c r="J1319" s="226"/>
    </row>
    <row r="1320" spans="1:10" hidden="1" x14ac:dyDescent="0.25">
      <c r="A1320" s="112" t="s">
        <v>3603</v>
      </c>
      <c r="B1320" s="113" t="s">
        <v>3604</v>
      </c>
      <c r="C1320" s="114" t="s">
        <v>20</v>
      </c>
      <c r="D1320" s="114">
        <v>0</v>
      </c>
      <c r="E1320" s="133">
        <f ca="1">OFFSET(INDEX(Composições!A:J,MATCH(Orçamentária!A1320,Composições!A:A,0),8),2,0)</f>
        <v>17.011232</v>
      </c>
      <c r="F1320" s="134">
        <f t="shared" ca="1" si="66"/>
        <v>0</v>
      </c>
      <c r="G1320" s="135" t="e">
        <f>IF(A1320&lt;&gt;"",IF(AND(#REF!="Padrão",$H$4=#REF!),BDI!$B$17,IF(AND(#REF!="Padrão",$H$4=#REF!),BDI!#REF!,IF(AND(#REF!="Diferenciado",$H$4=#REF!),BDI!$E$17,IF(AND(#REF!="Diferenciado",$H$4=#REF!),BDI!#REF!,IF(#REF!="ZERO",0))))),"")</f>
        <v>#REF!</v>
      </c>
      <c r="H1320" s="136" t="e">
        <f t="shared" ca="1" si="67"/>
        <v>#REF!</v>
      </c>
      <c r="I1320" s="134" t="e">
        <f t="shared" ca="1" si="68"/>
        <v>#REF!</v>
      </c>
      <c r="J1320" s="226"/>
    </row>
    <row r="1321" spans="1:10" hidden="1" x14ac:dyDescent="0.25">
      <c r="A1321" s="112" t="s">
        <v>3605</v>
      </c>
      <c r="B1321" s="113" t="s">
        <v>3606</v>
      </c>
      <c r="C1321" s="114" t="s">
        <v>20</v>
      </c>
      <c r="D1321" s="114">
        <v>0</v>
      </c>
      <c r="E1321" s="133">
        <f ca="1">OFFSET(INDEX(Composições!A:J,MATCH(Orçamentária!A1321,Composições!A:A,0),8),2,0)</f>
        <v>87.116072550000013</v>
      </c>
      <c r="F1321" s="134">
        <f t="shared" ca="1" si="66"/>
        <v>0</v>
      </c>
      <c r="G1321" s="135" t="e">
        <f>IF(A1321&lt;&gt;"",IF(AND(#REF!="Padrão",$H$4=#REF!),BDI!$B$17,IF(AND(#REF!="Padrão",$H$4=#REF!),BDI!#REF!,IF(AND(#REF!="Diferenciado",$H$4=#REF!),BDI!$E$17,IF(AND(#REF!="Diferenciado",$H$4=#REF!),BDI!#REF!,IF(#REF!="ZERO",0))))),"")</f>
        <v>#REF!</v>
      </c>
      <c r="H1321" s="136" t="e">
        <f t="shared" ca="1" si="67"/>
        <v>#REF!</v>
      </c>
      <c r="I1321" s="134" t="e">
        <f t="shared" ca="1" si="68"/>
        <v>#REF!</v>
      </c>
      <c r="J1321" s="226"/>
    </row>
    <row r="1322" spans="1:10" hidden="1" x14ac:dyDescent="0.25">
      <c r="A1322" s="112" t="s">
        <v>3607</v>
      </c>
      <c r="B1322" s="113" t="s">
        <v>3608</v>
      </c>
      <c r="C1322" s="114" t="s">
        <v>92</v>
      </c>
      <c r="D1322" s="114">
        <v>0</v>
      </c>
      <c r="E1322" s="133">
        <f ca="1">OFFSET(INDEX(Composições!A:J,MATCH(Orçamentária!A1322,Composições!A:A,0),8),2,0)</f>
        <v>4.1660159999999999</v>
      </c>
      <c r="F1322" s="134">
        <f t="shared" ca="1" si="66"/>
        <v>0</v>
      </c>
      <c r="G1322" s="135" t="e">
        <f>IF(A1322&lt;&gt;"",IF(AND(#REF!="Padrão",$H$4=#REF!),BDI!$B$17,IF(AND(#REF!="Padrão",$H$4=#REF!),BDI!#REF!,IF(AND(#REF!="Diferenciado",$H$4=#REF!),BDI!$E$17,IF(AND(#REF!="Diferenciado",$H$4=#REF!),BDI!#REF!,IF(#REF!="ZERO",0))))),"")</f>
        <v>#REF!</v>
      </c>
      <c r="H1322" s="136" t="e">
        <f t="shared" ca="1" si="67"/>
        <v>#REF!</v>
      </c>
      <c r="I1322" s="134" t="e">
        <f t="shared" ca="1" si="68"/>
        <v>#REF!</v>
      </c>
      <c r="J1322" s="226"/>
    </row>
    <row r="1323" spans="1:10" hidden="1" x14ac:dyDescent="0.25">
      <c r="A1323" s="112" t="s">
        <v>3609</v>
      </c>
      <c r="B1323" s="113" t="s">
        <v>3610</v>
      </c>
      <c r="C1323" s="114" t="s">
        <v>20</v>
      </c>
      <c r="D1323" s="114">
        <v>0</v>
      </c>
      <c r="E1323" s="133">
        <f ca="1">OFFSET(INDEX(Composições!A:J,MATCH(Orçamentária!A1323,Composições!A:A,0),8),2,0)</f>
        <v>8.1518835000000003</v>
      </c>
      <c r="F1323" s="134">
        <f t="shared" ca="1" si="66"/>
        <v>0</v>
      </c>
      <c r="G1323" s="135" t="e">
        <f>IF(A1323&lt;&gt;"",IF(AND(#REF!="Padrão",$H$4=#REF!),BDI!$B$17,IF(AND(#REF!="Padrão",$H$4=#REF!),BDI!#REF!,IF(AND(#REF!="Diferenciado",$H$4=#REF!),BDI!$E$17,IF(AND(#REF!="Diferenciado",$H$4=#REF!),BDI!#REF!,IF(#REF!="ZERO",0))))),"")</f>
        <v>#REF!</v>
      </c>
      <c r="H1323" s="136" t="e">
        <f t="shared" ca="1" si="67"/>
        <v>#REF!</v>
      </c>
      <c r="I1323" s="134" t="e">
        <f t="shared" ca="1" si="68"/>
        <v>#REF!</v>
      </c>
      <c r="J1323" s="226"/>
    </row>
    <row r="1324" spans="1:10" hidden="1" x14ac:dyDescent="0.25">
      <c r="A1324" s="112" t="s">
        <v>3611</v>
      </c>
      <c r="B1324" s="113" t="s">
        <v>3612</v>
      </c>
      <c r="C1324" s="114" t="s">
        <v>20</v>
      </c>
      <c r="D1324" s="114">
        <v>0</v>
      </c>
      <c r="E1324" s="133">
        <f ca="1">OFFSET(INDEX(Composições!A:J,MATCH(Orçamentária!A1324,Composições!A:A,0),8),2,0)</f>
        <v>59.340305049999998</v>
      </c>
      <c r="F1324" s="134">
        <f t="shared" ca="1" si="66"/>
        <v>0</v>
      </c>
      <c r="G1324" s="135" t="e">
        <f>IF(A1324&lt;&gt;"",IF(AND(#REF!="Padrão",$H$4=#REF!),BDI!$B$17,IF(AND(#REF!="Padrão",$H$4=#REF!),BDI!#REF!,IF(AND(#REF!="Diferenciado",$H$4=#REF!),BDI!$E$17,IF(AND(#REF!="Diferenciado",$H$4=#REF!),BDI!#REF!,IF(#REF!="ZERO",0))))),"")</f>
        <v>#REF!</v>
      </c>
      <c r="H1324" s="136" t="e">
        <f t="shared" ca="1" si="67"/>
        <v>#REF!</v>
      </c>
      <c r="I1324" s="134" t="e">
        <f t="shared" ca="1" si="68"/>
        <v>#REF!</v>
      </c>
      <c r="J1324" s="226"/>
    </row>
    <row r="1325" spans="1:10" hidden="1" x14ac:dyDescent="0.25">
      <c r="A1325" s="112" t="s">
        <v>3613</v>
      </c>
      <c r="B1325" s="113" t="s">
        <v>3614</v>
      </c>
      <c r="C1325" s="114" t="s">
        <v>20</v>
      </c>
      <c r="D1325" s="114">
        <v>0</v>
      </c>
      <c r="E1325" s="133" t="s">
        <v>514</v>
      </c>
      <c r="F1325" s="134" t="str">
        <f t="shared" si="66"/>
        <v/>
      </c>
      <c r="G1325" s="135" t="e">
        <f>IF(A1325&lt;&gt;"",IF(AND(#REF!="Padrão",$H$4=#REF!),BDI!$B$17,IF(AND(#REF!="Padrão",$H$4=#REF!),BDI!#REF!,IF(AND(#REF!="Diferenciado",$H$4=#REF!),BDI!$E$17,IF(AND(#REF!="Diferenciado",$H$4=#REF!),BDI!#REF!,IF(#REF!="ZERO",0))))),"")</f>
        <v>#REF!</v>
      </c>
      <c r="H1325" s="136" t="str">
        <f t="shared" si="67"/>
        <v/>
      </c>
      <c r="I1325" s="134" t="str">
        <f t="shared" si="68"/>
        <v/>
      </c>
      <c r="J1325" s="226"/>
    </row>
    <row r="1326" spans="1:10" hidden="1" x14ac:dyDescent="0.25">
      <c r="A1326" s="112" t="s">
        <v>3615</v>
      </c>
      <c r="B1326" s="113" t="s">
        <v>3616</v>
      </c>
      <c r="C1326" s="114" t="s">
        <v>20</v>
      </c>
      <c r="D1326" s="114">
        <v>0</v>
      </c>
      <c r="E1326" s="133" t="s">
        <v>514</v>
      </c>
      <c r="F1326" s="134" t="str">
        <f t="shared" si="66"/>
        <v/>
      </c>
      <c r="G1326" s="135" t="e">
        <f>IF(A1326&lt;&gt;"",IF(AND(#REF!="Padrão",$H$4=#REF!),BDI!$B$17,IF(AND(#REF!="Padrão",$H$4=#REF!),BDI!#REF!,IF(AND(#REF!="Diferenciado",$H$4=#REF!),BDI!$E$17,IF(AND(#REF!="Diferenciado",$H$4=#REF!),BDI!#REF!,IF(#REF!="ZERO",0))))),"")</f>
        <v>#REF!</v>
      </c>
      <c r="H1326" s="136" t="str">
        <f t="shared" si="67"/>
        <v/>
      </c>
      <c r="I1326" s="134" t="str">
        <f t="shared" si="68"/>
        <v/>
      </c>
      <c r="J1326" s="226"/>
    </row>
    <row r="1327" spans="1:10" hidden="1" x14ac:dyDescent="0.25">
      <c r="A1327" s="112" t="s">
        <v>3617</v>
      </c>
      <c r="B1327" s="113" t="s">
        <v>3618</v>
      </c>
      <c r="C1327" s="114" t="s">
        <v>20</v>
      </c>
      <c r="D1327" s="114">
        <v>0</v>
      </c>
      <c r="E1327" s="133" t="s">
        <v>514</v>
      </c>
      <c r="F1327" s="134" t="str">
        <f t="shared" si="66"/>
        <v/>
      </c>
      <c r="G1327" s="135" t="e">
        <f>IF(A1327&lt;&gt;"",IF(AND(#REF!="Padrão",$H$4=#REF!),BDI!$B$17,IF(AND(#REF!="Padrão",$H$4=#REF!),BDI!#REF!,IF(AND(#REF!="Diferenciado",$H$4=#REF!),BDI!$E$17,IF(AND(#REF!="Diferenciado",$H$4=#REF!),BDI!#REF!,IF(#REF!="ZERO",0))))),"")</f>
        <v>#REF!</v>
      </c>
      <c r="H1327" s="136" t="str">
        <f t="shared" si="67"/>
        <v/>
      </c>
      <c r="I1327" s="134" t="str">
        <f t="shared" si="68"/>
        <v/>
      </c>
      <c r="J1327" s="226"/>
    </row>
    <row r="1328" spans="1:10" hidden="1" x14ac:dyDescent="0.25">
      <c r="A1328" s="112" t="s">
        <v>3619</v>
      </c>
      <c r="B1328" s="113" t="s">
        <v>3620</v>
      </c>
      <c r="C1328" s="114" t="s">
        <v>20</v>
      </c>
      <c r="D1328" s="114">
        <v>0</v>
      </c>
      <c r="E1328" s="133" t="s">
        <v>514</v>
      </c>
      <c r="F1328" s="134" t="str">
        <f t="shared" si="66"/>
        <v/>
      </c>
      <c r="G1328" s="135" t="e">
        <f>IF(A1328&lt;&gt;"",IF(AND(#REF!="Padrão",$H$4=#REF!),BDI!$B$17,IF(AND(#REF!="Padrão",$H$4=#REF!),BDI!#REF!,IF(AND(#REF!="Diferenciado",$H$4=#REF!),BDI!$E$17,IF(AND(#REF!="Diferenciado",$H$4=#REF!),BDI!#REF!,IF(#REF!="ZERO",0))))),"")</f>
        <v>#REF!</v>
      </c>
      <c r="H1328" s="136" t="str">
        <f t="shared" si="67"/>
        <v/>
      </c>
      <c r="I1328" s="134" t="str">
        <f t="shared" si="68"/>
        <v/>
      </c>
      <c r="J1328" s="226"/>
    </row>
    <row r="1329" spans="1:11" hidden="1" x14ac:dyDescent="0.25">
      <c r="A1329" s="112" t="s">
        <v>3621</v>
      </c>
      <c r="B1329" s="113" t="s">
        <v>3622</v>
      </c>
      <c r="C1329" s="114" t="s">
        <v>20</v>
      </c>
      <c r="D1329" s="114">
        <v>0</v>
      </c>
      <c r="E1329" s="133" t="s">
        <v>514</v>
      </c>
      <c r="F1329" s="134" t="str">
        <f t="shared" si="66"/>
        <v/>
      </c>
      <c r="G1329" s="135" t="e">
        <f>IF(A1329&lt;&gt;"",IF(AND(#REF!="Padrão",$H$4=#REF!),BDI!$B$17,IF(AND(#REF!="Padrão",$H$4=#REF!),BDI!#REF!,IF(AND(#REF!="Diferenciado",$H$4=#REF!),BDI!$E$17,IF(AND(#REF!="Diferenciado",$H$4=#REF!),BDI!#REF!,IF(#REF!="ZERO",0))))),"")</f>
        <v>#REF!</v>
      </c>
      <c r="H1329" s="136" t="str">
        <f t="shared" si="67"/>
        <v/>
      </c>
      <c r="I1329" s="134" t="str">
        <f t="shared" si="68"/>
        <v/>
      </c>
      <c r="J1329" s="226"/>
    </row>
    <row r="1330" spans="1:11" hidden="1" x14ac:dyDescent="0.25">
      <c r="A1330" s="112" t="s">
        <v>3623</v>
      </c>
      <c r="B1330" s="113" t="s">
        <v>3624</v>
      </c>
      <c r="C1330" s="114" t="s">
        <v>20</v>
      </c>
      <c r="D1330" s="114">
        <v>0</v>
      </c>
      <c r="E1330" s="133">
        <f ca="1">OFFSET(INDEX(Composições!A:J,MATCH(Orçamentária!A1330,Composições!A:A,0),8),2,0)</f>
        <v>91.85634834999999</v>
      </c>
      <c r="F1330" s="134">
        <f t="shared" ca="1" si="66"/>
        <v>0</v>
      </c>
      <c r="G1330" s="135" t="e">
        <f>IF(A1330&lt;&gt;"",IF(AND(#REF!="Padrão",$H$4=#REF!),BDI!$B$17,IF(AND(#REF!="Padrão",$H$4=#REF!),BDI!#REF!,IF(AND(#REF!="Diferenciado",$H$4=#REF!),BDI!$E$17,IF(AND(#REF!="Diferenciado",$H$4=#REF!),BDI!#REF!,IF(#REF!="ZERO",0))))),"")</f>
        <v>#REF!</v>
      </c>
      <c r="H1330" s="136" t="e">
        <f t="shared" ca="1" si="67"/>
        <v>#REF!</v>
      </c>
      <c r="I1330" s="134" t="e">
        <f t="shared" ca="1" si="68"/>
        <v>#REF!</v>
      </c>
      <c r="J1330" s="226"/>
    </row>
    <row r="1331" spans="1:11" hidden="1" x14ac:dyDescent="0.25">
      <c r="A1331" s="112" t="s">
        <v>3625</v>
      </c>
      <c r="B1331" s="113" t="s">
        <v>3626</v>
      </c>
      <c r="C1331" s="114" t="s">
        <v>92</v>
      </c>
      <c r="D1331" s="114">
        <v>0</v>
      </c>
      <c r="E1331" s="133">
        <f ca="1">OFFSET(INDEX(Composições!A:J,MATCH(Orçamentária!A1331,Composições!A:A,0),8),2,0)</f>
        <v>559.86464017358401</v>
      </c>
      <c r="F1331" s="134">
        <f t="shared" ca="1" si="66"/>
        <v>0</v>
      </c>
      <c r="G1331" s="135" t="e">
        <f>IF(A1331&lt;&gt;"",IF(AND(#REF!="Padrão",$H$4=#REF!),BDI!$B$17,IF(AND(#REF!="Padrão",$H$4=#REF!),BDI!#REF!,IF(AND(#REF!="Diferenciado",$H$4=#REF!),BDI!$E$17,IF(AND(#REF!="Diferenciado",$H$4=#REF!),BDI!#REF!,IF(#REF!="ZERO",0))))),"")</f>
        <v>#REF!</v>
      </c>
      <c r="H1331" s="136" t="e">
        <f t="shared" ca="1" si="67"/>
        <v>#REF!</v>
      </c>
      <c r="I1331" s="134" t="e">
        <f t="shared" ca="1" si="68"/>
        <v>#REF!</v>
      </c>
      <c r="J1331" s="226"/>
    </row>
    <row r="1332" spans="1:11" hidden="1" x14ac:dyDescent="0.25">
      <c r="A1332" s="112" t="s">
        <v>3627</v>
      </c>
      <c r="B1332" s="113" t="s">
        <v>3628</v>
      </c>
      <c r="C1332" s="114" t="s">
        <v>92</v>
      </c>
      <c r="D1332" s="114">
        <v>0</v>
      </c>
      <c r="E1332" s="133">
        <f ca="1">OFFSET(INDEX(Composições!A:J,MATCH(Orçamentária!A1332,Composições!A:A,0),8),2,0)</f>
        <v>944.24551715519749</v>
      </c>
      <c r="F1332" s="134">
        <f t="shared" ca="1" si="66"/>
        <v>0</v>
      </c>
      <c r="G1332" s="135" t="e">
        <f>IF(A1332&lt;&gt;"",IF(AND(#REF!="Padrão",$H$4=#REF!),BDI!$B$17,IF(AND(#REF!="Padrão",$H$4=#REF!),BDI!#REF!,IF(AND(#REF!="Diferenciado",$H$4=#REF!),BDI!$E$17,IF(AND(#REF!="Diferenciado",$H$4=#REF!),BDI!#REF!,IF(#REF!="ZERO",0))))),"")</f>
        <v>#REF!</v>
      </c>
      <c r="H1332" s="136" t="e">
        <f t="shared" ca="1" si="67"/>
        <v>#REF!</v>
      </c>
      <c r="I1332" s="134" t="e">
        <f t="shared" ca="1" si="68"/>
        <v>#REF!</v>
      </c>
      <c r="J1332" s="226"/>
    </row>
    <row r="1333" spans="1:11" hidden="1" x14ac:dyDescent="0.25">
      <c r="A1333" s="112" t="s">
        <v>3629</v>
      </c>
      <c r="B1333" s="113" t="s">
        <v>3630</v>
      </c>
      <c r="C1333" s="114" t="s">
        <v>20</v>
      </c>
      <c r="D1333" s="114">
        <v>0</v>
      </c>
      <c r="E1333" s="133">
        <f ca="1">OFFSET(INDEX(Composições!A:J,MATCH(Orçamentária!A1333,Composições!A:A,0),8),2,0)</f>
        <v>55.447718999999999</v>
      </c>
      <c r="F1333" s="134">
        <f t="shared" ca="1" si="66"/>
        <v>0</v>
      </c>
      <c r="G1333" s="135" t="e">
        <f>IF(A1333&lt;&gt;"",IF(AND(#REF!="Padrão",$H$4=#REF!),BDI!$B$17,IF(AND(#REF!="Padrão",$H$4=#REF!),BDI!#REF!,IF(AND(#REF!="Diferenciado",$H$4=#REF!),BDI!$E$17,IF(AND(#REF!="Diferenciado",$H$4=#REF!),BDI!#REF!,IF(#REF!="ZERO",0))))),"")</f>
        <v>#REF!</v>
      </c>
      <c r="H1333" s="136" t="e">
        <f t="shared" ca="1" si="67"/>
        <v>#REF!</v>
      </c>
      <c r="I1333" s="134" t="e">
        <f t="shared" ca="1" si="68"/>
        <v>#REF!</v>
      </c>
      <c r="J1333" s="226"/>
    </row>
    <row r="1334" spans="1:11" hidden="1" x14ac:dyDescent="0.25">
      <c r="A1334" s="112" t="s">
        <v>3631</v>
      </c>
      <c r="B1334" s="113" t="s">
        <v>3632</v>
      </c>
      <c r="C1334" s="114" t="s">
        <v>20</v>
      </c>
      <c r="D1334" s="114">
        <v>0</v>
      </c>
      <c r="E1334" s="133">
        <f ca="1">OFFSET(INDEX(Composições!A:J,MATCH(Orçamentária!A1334,Composições!A:A,0),8),2,0)</f>
        <v>32.026479800000004</v>
      </c>
      <c r="F1334" s="134">
        <f t="shared" ca="1" si="66"/>
        <v>0</v>
      </c>
      <c r="G1334" s="135" t="e">
        <f>IF(A1334&lt;&gt;"",IF(AND(#REF!="Padrão",$H$4=#REF!),BDI!$B$17,IF(AND(#REF!="Padrão",$H$4=#REF!),BDI!#REF!,IF(AND(#REF!="Diferenciado",$H$4=#REF!),BDI!$E$17,IF(AND(#REF!="Diferenciado",$H$4=#REF!),BDI!#REF!,IF(#REF!="ZERO",0))))),"")</f>
        <v>#REF!</v>
      </c>
      <c r="H1334" s="136" t="e">
        <f t="shared" ca="1" si="67"/>
        <v>#REF!</v>
      </c>
      <c r="I1334" s="134" t="e">
        <f t="shared" ca="1" si="68"/>
        <v>#REF!</v>
      </c>
      <c r="J1334" s="226"/>
    </row>
    <row r="1335" spans="1:11" s="161" customFormat="1" hidden="1" x14ac:dyDescent="0.25">
      <c r="A1335" s="162" t="s">
        <v>3633</v>
      </c>
      <c r="B1335" s="163" t="s">
        <v>3634</v>
      </c>
      <c r="C1335" s="164" t="s">
        <v>20</v>
      </c>
      <c r="D1335" s="164">
        <v>30</v>
      </c>
      <c r="E1335" s="180">
        <v>4034.09</v>
      </c>
      <c r="F1335" s="134">
        <f t="shared" si="66"/>
        <v>121022.70000000001</v>
      </c>
      <c r="G1335" s="135">
        <f>BDI!$E$17</f>
        <v>0.11260000000000001</v>
      </c>
      <c r="H1335" s="136">
        <f t="shared" si="67"/>
        <v>4488.33</v>
      </c>
      <c r="I1335" s="182">
        <f t="shared" si="68"/>
        <v>134649.9</v>
      </c>
      <c r="J1335" s="226"/>
      <c r="K1335" s="224" t="s">
        <v>8074</v>
      </c>
    </row>
    <row r="1336" spans="1:11" hidden="1" x14ac:dyDescent="0.25">
      <c r="A1336" s="112" t="s">
        <v>3635</v>
      </c>
      <c r="B1336" s="113" t="s">
        <v>3636</v>
      </c>
      <c r="C1336" s="114" t="s">
        <v>92</v>
      </c>
      <c r="D1336" s="114">
        <v>0</v>
      </c>
      <c r="E1336" s="133">
        <f ca="1">OFFSET(INDEX(Composições!A:J,MATCH(Orçamentária!A1336,Composições!A:A,0),8),2,0)</f>
        <v>3.1678604999999997</v>
      </c>
      <c r="F1336" s="134">
        <f t="shared" ca="1" si="66"/>
        <v>0</v>
      </c>
      <c r="G1336" s="135" t="e">
        <f>IF(A1336&lt;&gt;"",IF(AND(#REF!="Padrão",$H$4=#REF!),BDI!$B$17,IF(AND(#REF!="Padrão",$H$4=#REF!),BDI!#REF!,IF(AND(#REF!="Diferenciado",$H$4=#REF!),BDI!$E$17,IF(AND(#REF!="Diferenciado",$H$4=#REF!),BDI!#REF!,IF(#REF!="ZERO",0))))),"")</f>
        <v>#REF!</v>
      </c>
      <c r="H1336" s="136" t="e">
        <f t="shared" ca="1" si="67"/>
        <v>#REF!</v>
      </c>
      <c r="I1336" s="134" t="e">
        <f t="shared" ca="1" si="68"/>
        <v>#REF!</v>
      </c>
      <c r="J1336" s="226"/>
    </row>
    <row r="1337" spans="1:11" hidden="1" x14ac:dyDescent="0.25">
      <c r="A1337" s="112" t="s">
        <v>3637</v>
      </c>
      <c r="B1337" s="113" t="s">
        <v>3638</v>
      </c>
      <c r="C1337" s="114" t="s">
        <v>92</v>
      </c>
      <c r="D1337" s="114">
        <v>0</v>
      </c>
      <c r="E1337" s="133">
        <f ca="1">OFFSET(INDEX(Composições!A:J,MATCH(Orçamentária!A1337,Composições!A:A,0),8),2,0)</f>
        <v>6.184234</v>
      </c>
      <c r="F1337" s="134">
        <f t="shared" ca="1" si="66"/>
        <v>0</v>
      </c>
      <c r="G1337" s="135" t="e">
        <f>IF(A1337&lt;&gt;"",IF(AND(#REF!="Padrão",$H$4=#REF!),BDI!$B$17,IF(AND(#REF!="Padrão",$H$4=#REF!),BDI!#REF!,IF(AND(#REF!="Diferenciado",$H$4=#REF!),BDI!$E$17,IF(AND(#REF!="Diferenciado",$H$4=#REF!),BDI!#REF!,IF(#REF!="ZERO",0))))),"")</f>
        <v>#REF!</v>
      </c>
      <c r="H1337" s="136" t="e">
        <f t="shared" ca="1" si="67"/>
        <v>#REF!</v>
      </c>
      <c r="I1337" s="134" t="e">
        <f t="shared" ca="1" si="68"/>
        <v>#REF!</v>
      </c>
      <c r="J1337" s="226"/>
    </row>
    <row r="1338" spans="1:11" hidden="1" x14ac:dyDescent="0.25">
      <c r="A1338" s="112" t="s">
        <v>3639</v>
      </c>
      <c r="B1338" s="113" t="s">
        <v>6414</v>
      </c>
      <c r="C1338" s="114" t="s">
        <v>92</v>
      </c>
      <c r="D1338" s="114">
        <v>0</v>
      </c>
      <c r="E1338" s="133">
        <f ca="1">OFFSET(INDEX(Composições!A:J,MATCH(Orçamentária!A1338,Composições!A:A,0),8),2,0)</f>
        <v>12.451384000000001</v>
      </c>
      <c r="F1338" s="134">
        <f t="shared" ca="1" si="66"/>
        <v>0</v>
      </c>
      <c r="G1338" s="135" t="e">
        <f>IF(A1338&lt;&gt;"",IF(AND(#REF!="Padrão",$H$4=#REF!),BDI!$B$17,IF(AND(#REF!="Padrão",$H$4=#REF!),BDI!#REF!,IF(AND(#REF!="Diferenciado",$H$4=#REF!),BDI!$E$17,IF(AND(#REF!="Diferenciado",$H$4=#REF!),BDI!#REF!,IF(#REF!="ZERO",0))))),"")</f>
        <v>#REF!</v>
      </c>
      <c r="H1338" s="136" t="e">
        <f t="shared" ca="1" si="67"/>
        <v>#REF!</v>
      </c>
      <c r="I1338" s="134" t="e">
        <f t="shared" ca="1" si="68"/>
        <v>#REF!</v>
      </c>
      <c r="J1338" s="226"/>
    </row>
    <row r="1339" spans="1:11" hidden="1" x14ac:dyDescent="0.25">
      <c r="A1339" s="112" t="s">
        <v>3641</v>
      </c>
      <c r="B1339" s="113" t="s">
        <v>3642</v>
      </c>
      <c r="C1339" s="114" t="s">
        <v>20</v>
      </c>
      <c r="D1339" s="114">
        <v>0</v>
      </c>
      <c r="E1339" s="133">
        <f ca="1">OFFSET(INDEX(Composições!A:J,MATCH(Orçamentária!A1339,Composições!A:A,0),8),2,0)</f>
        <v>1835.392564874498</v>
      </c>
      <c r="F1339" s="134">
        <f t="shared" ca="1" si="66"/>
        <v>0</v>
      </c>
      <c r="G1339" s="135" t="e">
        <f>IF(A1339&lt;&gt;"",IF(AND(#REF!="Padrão",$H$4=#REF!),BDI!$B$17,IF(AND(#REF!="Padrão",$H$4=#REF!),BDI!#REF!,IF(AND(#REF!="Diferenciado",$H$4=#REF!),BDI!$E$17,IF(AND(#REF!="Diferenciado",$H$4=#REF!),BDI!#REF!,IF(#REF!="ZERO",0))))),"")</f>
        <v>#REF!</v>
      </c>
      <c r="H1339" s="136" t="e">
        <f t="shared" ca="1" si="67"/>
        <v>#REF!</v>
      </c>
      <c r="I1339" s="134" t="e">
        <f t="shared" ca="1" si="68"/>
        <v>#REF!</v>
      </c>
      <c r="J1339" s="226"/>
    </row>
    <row r="1340" spans="1:11" hidden="1" x14ac:dyDescent="0.25">
      <c r="A1340" s="112" t="s">
        <v>3643</v>
      </c>
      <c r="B1340" s="113" t="s">
        <v>3644</v>
      </c>
      <c r="C1340" s="114" t="s">
        <v>20</v>
      </c>
      <c r="D1340" s="114">
        <v>0</v>
      </c>
      <c r="E1340" s="133">
        <f ca="1">OFFSET(INDEX(Composições!A:J,MATCH(Orçamentária!A1340,Composições!A:A,0),8),2,0)</f>
        <v>5491.8099999999986</v>
      </c>
      <c r="F1340" s="134">
        <f t="shared" ca="1" si="66"/>
        <v>0</v>
      </c>
      <c r="G1340" s="135" t="e">
        <f>IF(A1340&lt;&gt;"",IF(AND(#REF!="Padrão",$H$4=#REF!),BDI!$B$17,IF(AND(#REF!="Padrão",$H$4=#REF!),BDI!#REF!,IF(AND(#REF!="Diferenciado",$H$4=#REF!),BDI!$E$17,IF(AND(#REF!="Diferenciado",$H$4=#REF!),BDI!#REF!,IF(#REF!="ZERO",0))))),"")</f>
        <v>#REF!</v>
      </c>
      <c r="H1340" s="136" t="e">
        <f t="shared" ca="1" si="67"/>
        <v>#REF!</v>
      </c>
      <c r="I1340" s="134" t="e">
        <f t="shared" ca="1" si="68"/>
        <v>#REF!</v>
      </c>
      <c r="J1340" s="226"/>
    </row>
    <row r="1341" spans="1:11" s="161" customFormat="1" hidden="1" x14ac:dyDescent="0.25">
      <c r="A1341" s="162" t="s">
        <v>3645</v>
      </c>
      <c r="B1341" s="163" t="s">
        <v>3646</v>
      </c>
      <c r="C1341" s="164" t="s">
        <v>92</v>
      </c>
      <c r="D1341" s="164">
        <v>400</v>
      </c>
      <c r="E1341" s="133">
        <f ca="1">OFFSET(INDEX(Composições!A:J,MATCH(Orçamentária!A1341,Composições!A:A,0),8),2,0)</f>
        <v>11.567247500000001</v>
      </c>
      <c r="F1341" s="134">
        <f t="shared" ca="1" si="66"/>
        <v>4626.8990000000003</v>
      </c>
      <c r="G1341" s="135">
        <f>BDI!$B$17</f>
        <v>0.191</v>
      </c>
      <c r="H1341" s="136">
        <f t="shared" ca="1" si="67"/>
        <v>13.78</v>
      </c>
      <c r="I1341" s="182">
        <f t="shared" ca="1" si="68"/>
        <v>5512</v>
      </c>
      <c r="J1341" s="226"/>
      <c r="K1341" s="224" t="s">
        <v>8074</v>
      </c>
    </row>
    <row r="1342" spans="1:11" hidden="1" x14ac:dyDescent="0.25">
      <c r="A1342" s="112" t="s">
        <v>3647</v>
      </c>
      <c r="B1342" s="113" t="s">
        <v>3648</v>
      </c>
      <c r="C1342" s="114" t="s">
        <v>92</v>
      </c>
      <c r="D1342" s="114">
        <v>0</v>
      </c>
      <c r="E1342" s="133" t="s">
        <v>514</v>
      </c>
      <c r="F1342" s="134" t="str">
        <f t="shared" si="66"/>
        <v/>
      </c>
      <c r="G1342" s="135" t="e">
        <f>IF(A1342&lt;&gt;"",IF(AND(#REF!="Padrão",$H$4=#REF!),BDI!$B$17,IF(AND(#REF!="Padrão",$H$4=#REF!),BDI!#REF!,IF(AND(#REF!="Diferenciado",$H$4=#REF!),BDI!$E$17,IF(AND(#REF!="Diferenciado",$H$4=#REF!),BDI!#REF!,IF(#REF!="ZERO",0))))),"")</f>
        <v>#REF!</v>
      </c>
      <c r="H1342" s="136" t="str">
        <f t="shared" si="67"/>
        <v/>
      </c>
      <c r="I1342" s="134" t="str">
        <f t="shared" si="68"/>
        <v/>
      </c>
      <c r="J1342" s="226"/>
    </row>
    <row r="1343" spans="1:11" hidden="1" x14ac:dyDescent="0.25">
      <c r="A1343" s="112" t="s">
        <v>3649</v>
      </c>
      <c r="B1343" s="113" t="s">
        <v>3650</v>
      </c>
      <c r="C1343" s="114" t="s">
        <v>92</v>
      </c>
      <c r="D1343" s="114">
        <v>0</v>
      </c>
      <c r="E1343" s="133" t="s">
        <v>514</v>
      </c>
      <c r="F1343" s="134" t="str">
        <f t="shared" si="66"/>
        <v/>
      </c>
      <c r="G1343" s="135" t="e">
        <f>IF(A1343&lt;&gt;"",IF(AND(#REF!="Padrão",$H$4=#REF!),BDI!$B$17,IF(AND(#REF!="Padrão",$H$4=#REF!),BDI!#REF!,IF(AND(#REF!="Diferenciado",$H$4=#REF!),BDI!$E$17,IF(AND(#REF!="Diferenciado",$H$4=#REF!),BDI!#REF!,IF(#REF!="ZERO",0))))),"")</f>
        <v>#REF!</v>
      </c>
      <c r="H1343" s="136" t="str">
        <f t="shared" si="67"/>
        <v/>
      </c>
      <c r="I1343" s="134" t="str">
        <f t="shared" si="68"/>
        <v/>
      </c>
      <c r="J1343" s="226"/>
    </row>
    <row r="1344" spans="1:11" hidden="1" x14ac:dyDescent="0.25">
      <c r="A1344" s="112" t="s">
        <v>3651</v>
      </c>
      <c r="B1344" s="113" t="s">
        <v>3652</v>
      </c>
      <c r="C1344" s="114" t="s">
        <v>20</v>
      </c>
      <c r="D1344" s="114">
        <v>0</v>
      </c>
      <c r="E1344" s="133">
        <f ca="1">OFFSET(INDEX(Composições!A:J,MATCH(Orçamentária!A1344,Composições!A:A,0),8),2,0)</f>
        <v>868.98467098249967</v>
      </c>
      <c r="F1344" s="134">
        <f t="shared" ref="F1344:F1351" ca="1" si="69">IF(ISNUMBER(E1344),D1344*E1344,"")</f>
        <v>0</v>
      </c>
      <c r="G1344" s="135" t="e">
        <f>IF(A1344&lt;&gt;"",IF(AND(#REF!="Padrão",$H$4=#REF!),BDI!$B$17,IF(AND(#REF!="Padrão",$H$4=#REF!),BDI!#REF!,IF(AND(#REF!="Diferenciado",$H$4=#REF!),BDI!$E$17,IF(AND(#REF!="Diferenciado",$H$4=#REF!),BDI!#REF!,IF(#REF!="ZERO",0))))),"")</f>
        <v>#REF!</v>
      </c>
      <c r="H1344" s="136" t="e">
        <f t="shared" ref="H1344:H1351" ca="1" si="70">IF(ISNUMBER(E1344),ROUND(E1344*(1+G1344),2),"")</f>
        <v>#REF!</v>
      </c>
      <c r="I1344" s="134" t="e">
        <f t="shared" ref="I1344:I1351" ca="1" si="71">IF(ISNUMBER(E1344),ROUND(H1344*D1344,2),"")</f>
        <v>#REF!</v>
      </c>
      <c r="J1344" s="226"/>
    </row>
    <row r="1345" spans="1:11" hidden="1" x14ac:dyDescent="0.25">
      <c r="A1345" s="112" t="s">
        <v>3689</v>
      </c>
      <c r="B1345" s="113" t="s">
        <v>3690</v>
      </c>
      <c r="C1345" s="114" t="s">
        <v>20</v>
      </c>
      <c r="D1345" s="114">
        <v>0</v>
      </c>
      <c r="E1345" s="133" t="s">
        <v>514</v>
      </c>
      <c r="F1345" s="134" t="str">
        <f t="shared" si="69"/>
        <v/>
      </c>
      <c r="G1345" s="135" t="e">
        <f>IF(A1345&lt;&gt;"",IF(AND(#REF!="Padrão",$H$4=#REF!),BDI!$B$17,IF(AND(#REF!="Padrão",$H$4=#REF!),BDI!#REF!,IF(AND(#REF!="Diferenciado",$H$4=#REF!),BDI!$E$17,IF(AND(#REF!="Diferenciado",$H$4=#REF!),BDI!#REF!,IF(#REF!="ZERO",0))))),"")</f>
        <v>#REF!</v>
      </c>
      <c r="H1345" s="136" t="str">
        <f t="shared" si="70"/>
        <v/>
      </c>
      <c r="I1345" s="134" t="str">
        <f t="shared" si="71"/>
        <v/>
      </c>
      <c r="J1345" s="226"/>
    </row>
    <row r="1346" spans="1:11" hidden="1" x14ac:dyDescent="0.25">
      <c r="A1346" s="112" t="s">
        <v>3691</v>
      </c>
      <c r="B1346" s="113" t="s">
        <v>3692</v>
      </c>
      <c r="C1346" s="114" t="s">
        <v>20</v>
      </c>
      <c r="D1346" s="114">
        <v>0</v>
      </c>
      <c r="E1346" s="133" t="s">
        <v>514</v>
      </c>
      <c r="F1346" s="134" t="str">
        <f t="shared" si="69"/>
        <v/>
      </c>
      <c r="G1346" s="135" t="e">
        <f>IF(A1346&lt;&gt;"",IF(AND(#REF!="Padrão",$H$4=#REF!),BDI!$B$17,IF(AND(#REF!="Padrão",$H$4=#REF!),BDI!#REF!,IF(AND(#REF!="Diferenciado",$H$4=#REF!),BDI!$E$17,IF(AND(#REF!="Diferenciado",$H$4=#REF!),BDI!#REF!,IF(#REF!="ZERO",0))))),"")</f>
        <v>#REF!</v>
      </c>
      <c r="H1346" s="136" t="str">
        <f t="shared" si="70"/>
        <v/>
      </c>
      <c r="I1346" s="134" t="str">
        <f t="shared" si="71"/>
        <v/>
      </c>
      <c r="J1346" s="226"/>
    </row>
    <row r="1347" spans="1:11" hidden="1" x14ac:dyDescent="0.25">
      <c r="A1347" s="112" t="s">
        <v>3693</v>
      </c>
      <c r="B1347" s="113" t="s">
        <v>6318</v>
      </c>
      <c r="C1347" s="114" t="s">
        <v>92</v>
      </c>
      <c r="D1347" s="114">
        <v>0</v>
      </c>
      <c r="E1347" s="133">
        <f ca="1">OFFSET(INDEX(Composições!A:J,MATCH(Orçamentária!A1347,Composições!A:A,0),8),2,0)</f>
        <v>27.504525399999999</v>
      </c>
      <c r="F1347" s="134">
        <f t="shared" ca="1" si="69"/>
        <v>0</v>
      </c>
      <c r="G1347" s="135" t="e">
        <f>IF(A1347&lt;&gt;"",IF(AND(#REF!="Padrão",$H$4=#REF!),BDI!$B$17,IF(AND(#REF!="Padrão",$H$4=#REF!),BDI!#REF!,IF(AND(#REF!="Diferenciado",$H$4=#REF!),BDI!$E$17,IF(AND(#REF!="Diferenciado",$H$4=#REF!),BDI!#REF!,IF(#REF!="ZERO",0))))),"")</f>
        <v>#REF!</v>
      </c>
      <c r="H1347" s="136" t="e">
        <f t="shared" ca="1" si="70"/>
        <v>#REF!</v>
      </c>
      <c r="I1347" s="134" t="e">
        <f t="shared" ca="1" si="71"/>
        <v>#REF!</v>
      </c>
      <c r="J1347" s="226"/>
    </row>
    <row r="1348" spans="1:11" hidden="1" x14ac:dyDescent="0.25">
      <c r="A1348" s="112" t="s">
        <v>3694</v>
      </c>
      <c r="B1348" s="113" t="s">
        <v>6319</v>
      </c>
      <c r="C1348" s="114" t="s">
        <v>92</v>
      </c>
      <c r="D1348" s="114">
        <v>0</v>
      </c>
      <c r="E1348" s="133">
        <f ca="1">OFFSET(INDEX(Composições!A:J,MATCH(Orçamentária!A1348,Composições!A:A,0),8),2,0)</f>
        <v>36.553501500000003</v>
      </c>
      <c r="F1348" s="134">
        <f t="shared" ca="1" si="69"/>
        <v>0</v>
      </c>
      <c r="G1348" s="135" t="e">
        <f>IF(A1348&lt;&gt;"",IF(AND(#REF!="Padrão",$H$4=#REF!),BDI!$B$17,IF(AND(#REF!="Padrão",$H$4=#REF!),BDI!#REF!,IF(AND(#REF!="Diferenciado",$H$4=#REF!),BDI!$E$17,IF(AND(#REF!="Diferenciado",$H$4=#REF!),BDI!#REF!,IF(#REF!="ZERO",0))))),"")</f>
        <v>#REF!</v>
      </c>
      <c r="H1348" s="136" t="e">
        <f t="shared" ca="1" si="70"/>
        <v>#REF!</v>
      </c>
      <c r="I1348" s="134" t="e">
        <f t="shared" ca="1" si="71"/>
        <v>#REF!</v>
      </c>
      <c r="J1348" s="226"/>
    </row>
    <row r="1349" spans="1:11" hidden="1" x14ac:dyDescent="0.25">
      <c r="A1349" s="112" t="s">
        <v>3695</v>
      </c>
      <c r="B1349" s="113" t="s">
        <v>6320</v>
      </c>
      <c r="C1349" s="114" t="s">
        <v>20</v>
      </c>
      <c r="D1349" s="114">
        <v>0</v>
      </c>
      <c r="E1349" s="133" t="s">
        <v>514</v>
      </c>
      <c r="F1349" s="134" t="str">
        <f t="shared" si="69"/>
        <v/>
      </c>
      <c r="G1349" s="135" t="e">
        <f>IF(A1349&lt;&gt;"",IF(AND(#REF!="Padrão",$H$4=#REF!),BDI!$B$17,IF(AND(#REF!="Padrão",$H$4=#REF!),BDI!#REF!,IF(AND(#REF!="Diferenciado",$H$4=#REF!),BDI!$E$17,IF(AND(#REF!="Diferenciado",$H$4=#REF!),BDI!#REF!,IF(#REF!="ZERO",0))))),"")</f>
        <v>#REF!</v>
      </c>
      <c r="H1349" s="136" t="str">
        <f t="shared" si="70"/>
        <v/>
      </c>
      <c r="I1349" s="134" t="str">
        <f t="shared" si="71"/>
        <v/>
      </c>
      <c r="J1349" s="226"/>
    </row>
    <row r="1350" spans="1:11" hidden="1" x14ac:dyDescent="0.25">
      <c r="A1350" s="112" t="s">
        <v>3696</v>
      </c>
      <c r="B1350" s="113" t="s">
        <v>3698</v>
      </c>
      <c r="C1350" s="114" t="s">
        <v>20</v>
      </c>
      <c r="D1350" s="114">
        <v>0</v>
      </c>
      <c r="E1350" s="133" t="s">
        <v>514</v>
      </c>
      <c r="F1350" s="134" t="str">
        <f t="shared" si="69"/>
        <v/>
      </c>
      <c r="G1350" s="135" t="e">
        <f>IF(A1350&lt;&gt;"",IF(AND(#REF!="Padrão",$H$4=#REF!),BDI!$B$17,IF(AND(#REF!="Padrão",$H$4=#REF!),BDI!#REF!,IF(AND(#REF!="Diferenciado",$H$4=#REF!),BDI!$E$17,IF(AND(#REF!="Diferenciado",$H$4=#REF!),BDI!#REF!,IF(#REF!="ZERO",0))))),"")</f>
        <v>#REF!</v>
      </c>
      <c r="H1350" s="136" t="str">
        <f t="shared" si="70"/>
        <v/>
      </c>
      <c r="I1350" s="134" t="str">
        <f t="shared" si="71"/>
        <v/>
      </c>
      <c r="J1350" s="226"/>
    </row>
    <row r="1351" spans="1:11" hidden="1" x14ac:dyDescent="0.25">
      <c r="A1351" s="112" t="s">
        <v>3697</v>
      </c>
      <c r="B1351" s="113" t="s">
        <v>6321</v>
      </c>
      <c r="C1351" s="114" t="s">
        <v>20</v>
      </c>
      <c r="D1351" s="114">
        <v>0</v>
      </c>
      <c r="E1351" s="133" t="s">
        <v>514</v>
      </c>
      <c r="F1351" s="134" t="str">
        <f t="shared" si="69"/>
        <v/>
      </c>
      <c r="G1351" s="135" t="e">
        <f>IF(A1351&lt;&gt;"",IF(AND(#REF!="Padrão",$H$4=#REF!),BDI!$B$17,IF(AND(#REF!="Padrão",$H$4=#REF!),BDI!#REF!,IF(AND(#REF!="Diferenciado",$H$4=#REF!),BDI!$E$17,IF(AND(#REF!="Diferenciado",$H$4=#REF!),BDI!#REF!,IF(#REF!="ZERO",0))))),"")</f>
        <v>#REF!</v>
      </c>
      <c r="H1351" s="136" t="str">
        <f t="shared" si="70"/>
        <v/>
      </c>
      <c r="I1351" s="134" t="str">
        <f t="shared" si="71"/>
        <v/>
      </c>
      <c r="J1351" s="226"/>
    </row>
    <row r="1352" spans="1:11" hidden="1" x14ac:dyDescent="0.25">
      <c r="A1352" s="112" t="s">
        <v>3740</v>
      </c>
      <c r="B1352" s="113" t="s">
        <v>3772</v>
      </c>
      <c r="C1352" s="114" t="s">
        <v>20</v>
      </c>
      <c r="D1352" s="114">
        <v>0</v>
      </c>
      <c r="E1352" s="133">
        <f ca="1">OFFSET(INDEX(Composições!A:J,MATCH(Orçamentária!A1352,Composições!A:A,0),8),2,0)</f>
        <v>5.9655525499999991</v>
      </c>
      <c r="F1352" s="134">
        <f t="shared" ref="F1352:F1383" ca="1" si="72">IF(ISNUMBER(E1352),D1352*E1352,"")</f>
        <v>0</v>
      </c>
      <c r="G1352" s="135" t="e">
        <f>IF(A1352&lt;&gt;"",IF(AND(#REF!="Padrão",$H$4=#REF!),BDI!$B$17,IF(AND(#REF!="Padrão",$H$4=#REF!),BDI!#REF!,IF(AND(#REF!="Diferenciado",$H$4=#REF!),BDI!$E$17,IF(AND(#REF!="Diferenciado",$H$4=#REF!),BDI!#REF!,IF(#REF!="ZERO",0))))),"")</f>
        <v>#REF!</v>
      </c>
      <c r="H1352" s="136" t="e">
        <f t="shared" ref="H1352:H1383" ca="1" si="73">IF(ISNUMBER(E1352),ROUND(E1352*(1+G1352),2),"")</f>
        <v>#REF!</v>
      </c>
      <c r="I1352" s="134" t="e">
        <f t="shared" ref="I1352:I1383" ca="1" si="74">IF(ISNUMBER(E1352),ROUND(H1352*D1352,2),"")</f>
        <v>#REF!</v>
      </c>
      <c r="J1352" s="226"/>
    </row>
    <row r="1353" spans="1:11" hidden="1" x14ac:dyDescent="0.25">
      <c r="A1353" s="112" t="s">
        <v>3741</v>
      </c>
      <c r="B1353" s="113" t="s">
        <v>3773</v>
      </c>
      <c r="C1353" s="114" t="s">
        <v>92</v>
      </c>
      <c r="D1353" s="114">
        <v>0</v>
      </c>
      <c r="E1353" s="133">
        <f ca="1">OFFSET(INDEX(Composições!A:J,MATCH(Orçamentária!A1353,Composições!A:A,0),8),2,0)</f>
        <v>0.12475399999999999</v>
      </c>
      <c r="F1353" s="134">
        <f t="shared" ca="1" si="72"/>
        <v>0</v>
      </c>
      <c r="G1353" s="135" t="e">
        <f>IF(A1353&lt;&gt;"",IF(AND(#REF!="Padrão",$H$4=#REF!),BDI!$B$17,IF(AND(#REF!="Padrão",$H$4=#REF!),BDI!#REF!,IF(AND(#REF!="Diferenciado",$H$4=#REF!),BDI!$E$17,IF(AND(#REF!="Diferenciado",$H$4=#REF!),BDI!#REF!,IF(#REF!="ZERO",0))))),"")</f>
        <v>#REF!</v>
      </c>
      <c r="H1353" s="136" t="e">
        <f t="shared" ca="1" si="73"/>
        <v>#REF!</v>
      </c>
      <c r="I1353" s="134" t="e">
        <f t="shared" ca="1" si="74"/>
        <v>#REF!</v>
      </c>
      <c r="J1353" s="226"/>
    </row>
    <row r="1354" spans="1:11" hidden="1" x14ac:dyDescent="0.25">
      <c r="A1354" s="112" t="s">
        <v>3742</v>
      </c>
      <c r="B1354" s="113" t="s">
        <v>3774</v>
      </c>
      <c r="C1354" s="114" t="s">
        <v>92</v>
      </c>
      <c r="D1354" s="114">
        <v>0</v>
      </c>
      <c r="E1354" s="133">
        <f ca="1">OFFSET(INDEX(Composições!A:J,MATCH(Orçamentária!A1354,Composições!A:A,0),8),2,0)</f>
        <v>3.1678604999999997</v>
      </c>
      <c r="F1354" s="134">
        <f t="shared" ca="1" si="72"/>
        <v>0</v>
      </c>
      <c r="G1354" s="135" t="e">
        <f>IF(A1354&lt;&gt;"",IF(AND(#REF!="Padrão",$H$4=#REF!),BDI!$B$17,IF(AND(#REF!="Padrão",$H$4=#REF!),BDI!#REF!,IF(AND(#REF!="Diferenciado",$H$4=#REF!),BDI!$E$17,IF(AND(#REF!="Diferenciado",$H$4=#REF!),BDI!#REF!,IF(#REF!="ZERO",0))))),"")</f>
        <v>#REF!</v>
      </c>
      <c r="H1354" s="136" t="e">
        <f t="shared" ca="1" si="73"/>
        <v>#REF!</v>
      </c>
      <c r="I1354" s="134" t="e">
        <f t="shared" ca="1" si="74"/>
        <v>#REF!</v>
      </c>
      <c r="J1354" s="226"/>
    </row>
    <row r="1355" spans="1:11" hidden="1" x14ac:dyDescent="0.25">
      <c r="A1355" s="112" t="s">
        <v>3743</v>
      </c>
      <c r="B1355" s="113" t="s">
        <v>3775</v>
      </c>
      <c r="C1355" s="114" t="s">
        <v>92</v>
      </c>
      <c r="D1355" s="114">
        <v>0</v>
      </c>
      <c r="E1355" s="133">
        <f ca="1">OFFSET(INDEX(Composições!A:J,MATCH(Orçamentária!A1355,Composições!A:A,0),8),2,0)</f>
        <v>0.12475399999999999</v>
      </c>
      <c r="F1355" s="134">
        <f t="shared" ca="1" si="72"/>
        <v>0</v>
      </c>
      <c r="G1355" s="135" t="e">
        <f>IF(A1355&lt;&gt;"",IF(AND(#REF!="Padrão",$H$4=#REF!),BDI!$B$17,IF(AND(#REF!="Padrão",$H$4=#REF!),BDI!#REF!,IF(AND(#REF!="Diferenciado",$H$4=#REF!),BDI!$E$17,IF(AND(#REF!="Diferenciado",$H$4=#REF!),BDI!#REF!,IF(#REF!="ZERO",0))))),"")</f>
        <v>#REF!</v>
      </c>
      <c r="H1355" s="136" t="e">
        <f t="shared" ca="1" si="73"/>
        <v>#REF!</v>
      </c>
      <c r="I1355" s="134" t="e">
        <f t="shared" ca="1" si="74"/>
        <v>#REF!</v>
      </c>
      <c r="J1355" s="226"/>
    </row>
    <row r="1356" spans="1:11" hidden="1" x14ac:dyDescent="0.25">
      <c r="A1356" s="112" t="s">
        <v>3744</v>
      </c>
      <c r="B1356" s="113" t="s">
        <v>3776</v>
      </c>
      <c r="C1356" s="114" t="s">
        <v>92</v>
      </c>
      <c r="D1356" s="114">
        <v>0</v>
      </c>
      <c r="E1356" s="133">
        <f ca="1">OFFSET(INDEX(Composições!A:J,MATCH(Orçamentária!A1356,Composições!A:A,0),8),2,0)</f>
        <v>0.12475399999999999</v>
      </c>
      <c r="F1356" s="134">
        <f t="shared" ca="1" si="72"/>
        <v>0</v>
      </c>
      <c r="G1356" s="135" t="e">
        <f>IF(A1356&lt;&gt;"",IF(AND(#REF!="Padrão",$H$4=#REF!),BDI!$B$17,IF(AND(#REF!="Padrão",$H$4=#REF!),BDI!#REF!,IF(AND(#REF!="Diferenciado",$H$4=#REF!),BDI!$E$17,IF(AND(#REF!="Diferenciado",$H$4=#REF!),BDI!#REF!,IF(#REF!="ZERO",0))))),"")</f>
        <v>#REF!</v>
      </c>
      <c r="H1356" s="136" t="e">
        <f t="shared" ca="1" si="73"/>
        <v>#REF!</v>
      </c>
      <c r="I1356" s="134" t="e">
        <f t="shared" ca="1" si="74"/>
        <v>#REF!</v>
      </c>
      <c r="J1356" s="226"/>
    </row>
    <row r="1357" spans="1:11" s="161" customFormat="1" hidden="1" x14ac:dyDescent="0.25">
      <c r="A1357" s="162" t="s">
        <v>3745</v>
      </c>
      <c r="B1357" s="163" t="s">
        <v>3777</v>
      </c>
      <c r="C1357" s="164" t="s">
        <v>20</v>
      </c>
      <c r="D1357" s="164">
        <v>150</v>
      </c>
      <c r="E1357" s="133">
        <f ca="1">OFFSET(INDEX(Composições!A:J,MATCH(Orçamentária!A1357,Composições!A:A,0),8),2,0)</f>
        <v>78.562615499999993</v>
      </c>
      <c r="F1357" s="134">
        <f t="shared" ca="1" si="72"/>
        <v>11784.392324999999</v>
      </c>
      <c r="G1357" s="135">
        <f>BDI!$B$17</f>
        <v>0.191</v>
      </c>
      <c r="H1357" s="136">
        <f t="shared" ca="1" si="73"/>
        <v>93.57</v>
      </c>
      <c r="I1357" s="182">
        <f t="shared" ca="1" si="74"/>
        <v>14035.5</v>
      </c>
      <c r="J1357" s="226"/>
      <c r="K1357" s="224" t="s">
        <v>8074</v>
      </c>
    </row>
    <row r="1358" spans="1:11" hidden="1" x14ac:dyDescent="0.25">
      <c r="A1358" s="112" t="s">
        <v>3746</v>
      </c>
      <c r="B1358" s="113" t="s">
        <v>3778</v>
      </c>
      <c r="C1358" s="114" t="s">
        <v>92</v>
      </c>
      <c r="D1358" s="114">
        <v>0</v>
      </c>
      <c r="E1358" s="133">
        <f ca="1">OFFSET(INDEX(Composições!A:J,MATCH(Orçamentária!A1358,Composições!A:A,0),8),2,0)</f>
        <v>5.7415149999999997</v>
      </c>
      <c r="F1358" s="134">
        <f t="shared" ca="1" si="72"/>
        <v>0</v>
      </c>
      <c r="G1358" s="135" t="e">
        <f>IF(A1358&lt;&gt;"",IF(AND(#REF!="Padrão",$H$4=#REF!),BDI!$B$17,IF(AND(#REF!="Padrão",$H$4=#REF!),BDI!#REF!,IF(AND(#REF!="Diferenciado",$H$4=#REF!),BDI!$E$17,IF(AND(#REF!="Diferenciado",$H$4=#REF!),BDI!#REF!,IF(#REF!="ZERO",0))))),"")</f>
        <v>#REF!</v>
      </c>
      <c r="H1358" s="136" t="e">
        <f t="shared" ca="1" si="73"/>
        <v>#REF!</v>
      </c>
      <c r="I1358" s="134" t="e">
        <f t="shared" ca="1" si="74"/>
        <v>#REF!</v>
      </c>
      <c r="J1358" s="226"/>
    </row>
    <row r="1359" spans="1:11" hidden="1" x14ac:dyDescent="0.25">
      <c r="A1359" s="112" t="s">
        <v>3747</v>
      </c>
      <c r="B1359" s="113" t="s">
        <v>3779</v>
      </c>
      <c r="C1359" s="114" t="s">
        <v>92</v>
      </c>
      <c r="D1359" s="114">
        <v>0</v>
      </c>
      <c r="E1359" s="133">
        <f ca="1">OFFSET(INDEX(Composições!A:J,MATCH(Orçamentária!A1359,Composições!A:A,0),8),2,0)</f>
        <v>11.75644</v>
      </c>
      <c r="F1359" s="134">
        <f t="shared" ca="1" si="72"/>
        <v>0</v>
      </c>
      <c r="G1359" s="135" t="e">
        <f>IF(A1359&lt;&gt;"",IF(AND(#REF!="Padrão",$H$4=#REF!),BDI!$B$17,IF(AND(#REF!="Padrão",$H$4=#REF!),BDI!#REF!,IF(AND(#REF!="Diferenciado",$H$4=#REF!),BDI!$E$17,IF(AND(#REF!="Diferenciado",$H$4=#REF!),BDI!#REF!,IF(#REF!="ZERO",0))))),"")</f>
        <v>#REF!</v>
      </c>
      <c r="H1359" s="136" t="e">
        <f t="shared" ca="1" si="73"/>
        <v>#REF!</v>
      </c>
      <c r="I1359" s="134" t="e">
        <f t="shared" ca="1" si="74"/>
        <v>#REF!</v>
      </c>
      <c r="J1359" s="226"/>
    </row>
    <row r="1360" spans="1:11" hidden="1" x14ac:dyDescent="0.25">
      <c r="A1360" s="112" t="s">
        <v>3748</v>
      </c>
      <c r="B1360" s="113" t="s">
        <v>3780</v>
      </c>
      <c r="C1360" s="114" t="s">
        <v>20</v>
      </c>
      <c r="D1360" s="114">
        <v>0</v>
      </c>
      <c r="E1360" s="133">
        <f ca="1">OFFSET(INDEX(Composições!A:J,MATCH(Orçamentária!A1360,Composições!A:A,0),8),2,0)</f>
        <v>111.38749999999999</v>
      </c>
      <c r="F1360" s="134">
        <f t="shared" ca="1" si="72"/>
        <v>0</v>
      </c>
      <c r="G1360" s="135" t="e">
        <f>IF(A1360&lt;&gt;"",IF(AND(#REF!="Padrão",$H$4=#REF!),BDI!$B$17,IF(AND(#REF!="Padrão",$H$4=#REF!),BDI!#REF!,IF(AND(#REF!="Diferenciado",$H$4=#REF!),BDI!$E$17,IF(AND(#REF!="Diferenciado",$H$4=#REF!),BDI!#REF!,IF(#REF!="ZERO",0))))),"")</f>
        <v>#REF!</v>
      </c>
      <c r="H1360" s="136" t="e">
        <f t="shared" ca="1" si="73"/>
        <v>#REF!</v>
      </c>
      <c r="I1360" s="134" t="e">
        <f t="shared" ca="1" si="74"/>
        <v>#REF!</v>
      </c>
      <c r="J1360" s="226"/>
    </row>
    <row r="1361" spans="1:10" hidden="1" x14ac:dyDescent="0.25">
      <c r="A1361" s="112" t="s">
        <v>3749</v>
      </c>
      <c r="B1361" s="113" t="s">
        <v>3781</v>
      </c>
      <c r="C1361" s="114" t="s">
        <v>92</v>
      </c>
      <c r="D1361" s="114">
        <v>0</v>
      </c>
      <c r="E1361" s="133">
        <f ca="1">OFFSET(INDEX(Composições!A:J,MATCH(Orçamentária!A1361,Composições!A:A,0),8),2,0)</f>
        <v>10.24765</v>
      </c>
      <c r="F1361" s="134">
        <f t="shared" ca="1" si="72"/>
        <v>0</v>
      </c>
      <c r="G1361" s="135" t="e">
        <f>IF(A1361&lt;&gt;"",IF(AND(#REF!="Padrão",$H$4=#REF!),BDI!$B$17,IF(AND(#REF!="Padrão",$H$4=#REF!),BDI!#REF!,IF(AND(#REF!="Diferenciado",$H$4=#REF!),BDI!$E$17,IF(AND(#REF!="Diferenciado",$H$4=#REF!),BDI!#REF!,IF(#REF!="ZERO",0))))),"")</f>
        <v>#REF!</v>
      </c>
      <c r="H1361" s="136" t="e">
        <f t="shared" ca="1" si="73"/>
        <v>#REF!</v>
      </c>
      <c r="I1361" s="134" t="e">
        <f t="shared" ca="1" si="74"/>
        <v>#REF!</v>
      </c>
      <c r="J1361" s="226"/>
    </row>
    <row r="1362" spans="1:10" hidden="1" x14ac:dyDescent="0.25">
      <c r="A1362" s="112" t="s">
        <v>3750</v>
      </c>
      <c r="B1362" s="113" t="s">
        <v>3782</v>
      </c>
      <c r="C1362" s="114" t="s">
        <v>20</v>
      </c>
      <c r="D1362" s="114">
        <v>0</v>
      </c>
      <c r="E1362" s="133" t="s">
        <v>514</v>
      </c>
      <c r="F1362" s="134" t="str">
        <f t="shared" si="72"/>
        <v/>
      </c>
      <c r="G1362" s="135" t="e">
        <f>IF(A1362&lt;&gt;"",IF(AND(#REF!="Padrão",$H$4=#REF!),BDI!$B$17,IF(AND(#REF!="Padrão",$H$4=#REF!),BDI!#REF!,IF(AND(#REF!="Diferenciado",$H$4=#REF!),BDI!$E$17,IF(AND(#REF!="Diferenciado",$H$4=#REF!),BDI!#REF!,IF(#REF!="ZERO",0))))),"")</f>
        <v>#REF!</v>
      </c>
      <c r="H1362" s="136" t="str">
        <f t="shared" si="73"/>
        <v/>
      </c>
      <c r="I1362" s="134" t="str">
        <f t="shared" si="74"/>
        <v/>
      </c>
      <c r="J1362" s="226"/>
    </row>
    <row r="1363" spans="1:10" hidden="1" x14ac:dyDescent="0.25">
      <c r="A1363" s="112" t="s">
        <v>3751</v>
      </c>
      <c r="B1363" s="113" t="s">
        <v>3783</v>
      </c>
      <c r="C1363" s="114" t="s">
        <v>20</v>
      </c>
      <c r="D1363" s="114">
        <v>0</v>
      </c>
      <c r="E1363" s="133">
        <f ca="1">OFFSET(INDEX(Composições!A:J,MATCH(Orçamentária!A1363,Composições!A:A,0),8),2,0)</f>
        <v>11.58325</v>
      </c>
      <c r="F1363" s="134">
        <f t="shared" ca="1" si="72"/>
        <v>0</v>
      </c>
      <c r="G1363" s="135" t="e">
        <f>IF(A1363&lt;&gt;"",IF(AND(#REF!="Padrão",$H$4=#REF!),BDI!$B$17,IF(AND(#REF!="Padrão",$H$4=#REF!),BDI!#REF!,IF(AND(#REF!="Diferenciado",$H$4=#REF!),BDI!$E$17,IF(AND(#REF!="Diferenciado",$H$4=#REF!),BDI!#REF!,IF(#REF!="ZERO",0))))),"")</f>
        <v>#REF!</v>
      </c>
      <c r="H1363" s="136" t="e">
        <f t="shared" ca="1" si="73"/>
        <v>#REF!</v>
      </c>
      <c r="I1363" s="134" t="e">
        <f t="shared" ca="1" si="74"/>
        <v>#REF!</v>
      </c>
      <c r="J1363" s="226"/>
    </row>
    <row r="1364" spans="1:10" hidden="1" x14ac:dyDescent="0.25">
      <c r="A1364" s="112" t="s">
        <v>3752</v>
      </c>
      <c r="B1364" s="113" t="s">
        <v>3784</v>
      </c>
      <c r="C1364" s="114" t="s">
        <v>92</v>
      </c>
      <c r="D1364" s="114">
        <v>0</v>
      </c>
      <c r="E1364" s="133">
        <f ca="1">OFFSET(INDEX(Composições!A:J,MATCH(Orçamentária!A1364,Composições!A:A,0),8),2,0)</f>
        <v>26.732999999999997</v>
      </c>
      <c r="F1364" s="134">
        <f t="shared" ca="1" si="72"/>
        <v>0</v>
      </c>
      <c r="G1364" s="135" t="e">
        <f>IF(A1364&lt;&gt;"",IF(AND(#REF!="Padrão",$H$4=#REF!),BDI!$B$17,IF(AND(#REF!="Padrão",$H$4=#REF!),BDI!#REF!,IF(AND(#REF!="Diferenciado",$H$4=#REF!),BDI!$E$17,IF(AND(#REF!="Diferenciado",$H$4=#REF!),BDI!#REF!,IF(#REF!="ZERO",0))))),"")</f>
        <v>#REF!</v>
      </c>
      <c r="H1364" s="136" t="e">
        <f t="shared" ca="1" si="73"/>
        <v>#REF!</v>
      </c>
      <c r="I1364" s="134" t="e">
        <f t="shared" ca="1" si="74"/>
        <v>#REF!</v>
      </c>
      <c r="J1364" s="226"/>
    </row>
    <row r="1365" spans="1:10" hidden="1" x14ac:dyDescent="0.25">
      <c r="A1365" s="112" t="s">
        <v>3753</v>
      </c>
      <c r="B1365" s="113" t="s">
        <v>3785</v>
      </c>
      <c r="C1365" s="114" t="s">
        <v>92</v>
      </c>
      <c r="D1365" s="114">
        <v>0</v>
      </c>
      <c r="E1365" s="133">
        <f ca="1">OFFSET(INDEX(Composições!A:J,MATCH(Orçamentária!A1365,Composições!A:A,0),8),2,0)</f>
        <v>31.188499999999998</v>
      </c>
      <c r="F1365" s="134">
        <f t="shared" ca="1" si="72"/>
        <v>0</v>
      </c>
      <c r="G1365" s="135" t="e">
        <f>IF(A1365&lt;&gt;"",IF(AND(#REF!="Padrão",$H$4=#REF!),BDI!$B$17,IF(AND(#REF!="Padrão",$H$4=#REF!),BDI!#REF!,IF(AND(#REF!="Diferenciado",$H$4=#REF!),BDI!$E$17,IF(AND(#REF!="Diferenciado",$H$4=#REF!),BDI!#REF!,IF(#REF!="ZERO",0))))),"")</f>
        <v>#REF!</v>
      </c>
      <c r="H1365" s="136" t="e">
        <f t="shared" ca="1" si="73"/>
        <v>#REF!</v>
      </c>
      <c r="I1365" s="134" t="e">
        <f t="shared" ca="1" si="74"/>
        <v>#REF!</v>
      </c>
      <c r="J1365" s="226"/>
    </row>
    <row r="1366" spans="1:10" hidden="1" x14ac:dyDescent="0.25">
      <c r="A1366" s="112" t="s">
        <v>3754</v>
      </c>
      <c r="B1366" s="113" t="s">
        <v>3786</v>
      </c>
      <c r="C1366" s="114" t="s">
        <v>20</v>
      </c>
      <c r="D1366" s="114">
        <v>0</v>
      </c>
      <c r="E1366" s="133">
        <f ca="1">OFFSET(INDEX(Composições!A:J,MATCH(Orçamentária!A1366,Composições!A:A,0),8),2,0)</f>
        <v>302.69255754999995</v>
      </c>
      <c r="F1366" s="134">
        <f t="shared" ca="1" si="72"/>
        <v>0</v>
      </c>
      <c r="G1366" s="135" t="e">
        <f>IF(A1366&lt;&gt;"",IF(AND(#REF!="Padrão",$H$4=#REF!),BDI!$B$17,IF(AND(#REF!="Padrão",$H$4=#REF!),BDI!#REF!,IF(AND(#REF!="Diferenciado",$H$4=#REF!),BDI!$E$17,IF(AND(#REF!="Diferenciado",$H$4=#REF!),BDI!#REF!,IF(#REF!="ZERO",0))))),"")</f>
        <v>#REF!</v>
      </c>
      <c r="H1366" s="136" t="e">
        <f t="shared" ca="1" si="73"/>
        <v>#REF!</v>
      </c>
      <c r="I1366" s="134" t="e">
        <f t="shared" ca="1" si="74"/>
        <v>#REF!</v>
      </c>
      <c r="J1366" s="226"/>
    </row>
    <row r="1367" spans="1:10" hidden="1" x14ac:dyDescent="0.25">
      <c r="A1367" s="112" t="s">
        <v>3755</v>
      </c>
      <c r="B1367" s="113" t="s">
        <v>3787</v>
      </c>
      <c r="C1367" s="114" t="s">
        <v>20</v>
      </c>
      <c r="D1367" s="114">
        <v>0</v>
      </c>
      <c r="E1367" s="133">
        <f ca="1">OFFSET(INDEX(Composições!A:J,MATCH(Orçamentária!A1367,Composições!A:A,0),8),2,0)</f>
        <v>480.49979509999997</v>
      </c>
      <c r="F1367" s="134">
        <f t="shared" ca="1" si="72"/>
        <v>0</v>
      </c>
      <c r="G1367" s="135" t="e">
        <f>IF(A1367&lt;&gt;"",IF(AND(#REF!="Padrão",$H$4=#REF!),BDI!$B$17,IF(AND(#REF!="Padrão",$H$4=#REF!),BDI!#REF!,IF(AND(#REF!="Diferenciado",$H$4=#REF!),BDI!$E$17,IF(AND(#REF!="Diferenciado",$H$4=#REF!),BDI!#REF!,IF(#REF!="ZERO",0))))),"")</f>
        <v>#REF!</v>
      </c>
      <c r="H1367" s="136" t="e">
        <f t="shared" ca="1" si="73"/>
        <v>#REF!</v>
      </c>
      <c r="I1367" s="134" t="e">
        <f t="shared" ca="1" si="74"/>
        <v>#REF!</v>
      </c>
      <c r="J1367" s="226"/>
    </row>
    <row r="1368" spans="1:10" hidden="1" x14ac:dyDescent="0.25">
      <c r="A1368" s="112" t="s">
        <v>3756</v>
      </c>
      <c r="B1368" s="113" t="s">
        <v>3788</v>
      </c>
      <c r="C1368" s="114" t="s">
        <v>20</v>
      </c>
      <c r="D1368" s="114">
        <v>0</v>
      </c>
      <c r="E1368" s="133">
        <f ca="1">OFFSET(INDEX(Composições!A:J,MATCH(Orçamentária!A1368,Composições!A:A,0),8),2,0)</f>
        <v>616.46379509999997</v>
      </c>
      <c r="F1368" s="134">
        <f t="shared" ca="1" si="72"/>
        <v>0</v>
      </c>
      <c r="G1368" s="135" t="e">
        <f>IF(A1368&lt;&gt;"",IF(AND(#REF!="Padrão",$H$4=#REF!),BDI!$B$17,IF(AND(#REF!="Padrão",$H$4=#REF!),BDI!#REF!,IF(AND(#REF!="Diferenciado",$H$4=#REF!),BDI!$E$17,IF(AND(#REF!="Diferenciado",$H$4=#REF!),BDI!#REF!,IF(#REF!="ZERO",0))))),"")</f>
        <v>#REF!</v>
      </c>
      <c r="H1368" s="136" t="e">
        <f t="shared" ca="1" si="73"/>
        <v>#REF!</v>
      </c>
      <c r="I1368" s="134" t="e">
        <f t="shared" ca="1" si="74"/>
        <v>#REF!</v>
      </c>
      <c r="J1368" s="226"/>
    </row>
    <row r="1369" spans="1:10" hidden="1" x14ac:dyDescent="0.25">
      <c r="A1369" s="112" t="s">
        <v>3757</v>
      </c>
      <c r="B1369" s="113" t="s">
        <v>3789</v>
      </c>
      <c r="C1369" s="114" t="s">
        <v>20</v>
      </c>
      <c r="D1369" s="114">
        <v>0</v>
      </c>
      <c r="E1369" s="133" t="s">
        <v>514</v>
      </c>
      <c r="F1369" s="134" t="str">
        <f t="shared" si="72"/>
        <v/>
      </c>
      <c r="G1369" s="135" t="e">
        <f>IF(A1369&lt;&gt;"",IF(AND(#REF!="Padrão",$H$4=#REF!),BDI!$B$17,IF(AND(#REF!="Padrão",$H$4=#REF!),BDI!#REF!,IF(AND(#REF!="Diferenciado",$H$4=#REF!),BDI!$E$17,IF(AND(#REF!="Diferenciado",$H$4=#REF!),BDI!#REF!,IF(#REF!="ZERO",0))))),"")</f>
        <v>#REF!</v>
      </c>
      <c r="H1369" s="136" t="str">
        <f t="shared" si="73"/>
        <v/>
      </c>
      <c r="I1369" s="134" t="str">
        <f t="shared" si="74"/>
        <v/>
      </c>
      <c r="J1369" s="226"/>
    </row>
    <row r="1370" spans="1:10" hidden="1" x14ac:dyDescent="0.25">
      <c r="A1370" s="112" t="s">
        <v>3758</v>
      </c>
      <c r="B1370" s="113" t="s">
        <v>3790</v>
      </c>
      <c r="C1370" s="114" t="s">
        <v>20</v>
      </c>
      <c r="D1370" s="114">
        <v>0</v>
      </c>
      <c r="E1370" s="133" t="s">
        <v>514</v>
      </c>
      <c r="F1370" s="134" t="str">
        <f t="shared" si="72"/>
        <v/>
      </c>
      <c r="G1370" s="135" t="e">
        <f>IF(A1370&lt;&gt;"",IF(AND(#REF!="Padrão",$H$4=#REF!),BDI!$B$17,IF(AND(#REF!="Padrão",$H$4=#REF!),BDI!#REF!,IF(AND(#REF!="Diferenciado",$H$4=#REF!),BDI!$E$17,IF(AND(#REF!="Diferenciado",$H$4=#REF!),BDI!#REF!,IF(#REF!="ZERO",0))))),"")</f>
        <v>#REF!</v>
      </c>
      <c r="H1370" s="136" t="str">
        <f t="shared" si="73"/>
        <v/>
      </c>
      <c r="I1370" s="134" t="str">
        <f t="shared" si="74"/>
        <v/>
      </c>
      <c r="J1370" s="226"/>
    </row>
    <row r="1371" spans="1:10" hidden="1" x14ac:dyDescent="0.25">
      <c r="A1371" s="112" t="s">
        <v>3759</v>
      </c>
      <c r="B1371" s="113" t="s">
        <v>3791</v>
      </c>
      <c r="C1371" s="114" t="s">
        <v>20</v>
      </c>
      <c r="D1371" s="114">
        <v>0</v>
      </c>
      <c r="E1371" s="133" t="s">
        <v>514</v>
      </c>
      <c r="F1371" s="134" t="str">
        <f t="shared" si="72"/>
        <v/>
      </c>
      <c r="G1371" s="135" t="e">
        <f>IF(A1371&lt;&gt;"",IF(AND(#REF!="Padrão",$H$4=#REF!),BDI!$B$17,IF(AND(#REF!="Padrão",$H$4=#REF!),BDI!#REF!,IF(AND(#REF!="Diferenciado",$H$4=#REF!),BDI!$E$17,IF(AND(#REF!="Diferenciado",$H$4=#REF!),BDI!#REF!,IF(#REF!="ZERO",0))))),"")</f>
        <v>#REF!</v>
      </c>
      <c r="H1371" s="136" t="str">
        <f t="shared" si="73"/>
        <v/>
      </c>
      <c r="I1371" s="134" t="str">
        <f t="shared" si="74"/>
        <v/>
      </c>
      <c r="J1371" s="226"/>
    </row>
    <row r="1372" spans="1:10" hidden="1" x14ac:dyDescent="0.25">
      <c r="A1372" s="112" t="s">
        <v>3760</v>
      </c>
      <c r="B1372" s="113" t="s">
        <v>3792</v>
      </c>
      <c r="C1372" s="114" t="s">
        <v>20</v>
      </c>
      <c r="D1372" s="114">
        <v>0</v>
      </c>
      <c r="E1372" s="133" t="s">
        <v>514</v>
      </c>
      <c r="F1372" s="134" t="str">
        <f t="shared" si="72"/>
        <v/>
      </c>
      <c r="G1372" s="135" t="e">
        <f>IF(A1372&lt;&gt;"",IF(AND(#REF!="Padrão",$H$4=#REF!),BDI!$B$17,IF(AND(#REF!="Padrão",$H$4=#REF!),BDI!#REF!,IF(AND(#REF!="Diferenciado",$H$4=#REF!),BDI!$E$17,IF(AND(#REF!="Diferenciado",$H$4=#REF!),BDI!#REF!,IF(#REF!="ZERO",0))))),"")</f>
        <v>#REF!</v>
      </c>
      <c r="H1372" s="136" t="str">
        <f t="shared" si="73"/>
        <v/>
      </c>
      <c r="I1372" s="134" t="str">
        <f t="shared" si="74"/>
        <v/>
      </c>
      <c r="J1372" s="226"/>
    </row>
    <row r="1373" spans="1:10" hidden="1" x14ac:dyDescent="0.25">
      <c r="A1373" s="112" t="s">
        <v>3761</v>
      </c>
      <c r="B1373" s="113" t="s">
        <v>3793</v>
      </c>
      <c r="C1373" s="114" t="s">
        <v>20</v>
      </c>
      <c r="D1373" s="114">
        <v>0</v>
      </c>
      <c r="E1373" s="133" t="s">
        <v>514</v>
      </c>
      <c r="F1373" s="134" t="str">
        <f t="shared" si="72"/>
        <v/>
      </c>
      <c r="G1373" s="135" t="e">
        <f>IF(A1373&lt;&gt;"",IF(AND(#REF!="Padrão",$H$4=#REF!),BDI!$B$17,IF(AND(#REF!="Padrão",$H$4=#REF!),BDI!#REF!,IF(AND(#REF!="Diferenciado",$H$4=#REF!),BDI!$E$17,IF(AND(#REF!="Diferenciado",$H$4=#REF!),BDI!#REF!,IF(#REF!="ZERO",0))))),"")</f>
        <v>#REF!</v>
      </c>
      <c r="H1373" s="136" t="str">
        <f t="shared" si="73"/>
        <v/>
      </c>
      <c r="I1373" s="134" t="str">
        <f t="shared" si="74"/>
        <v/>
      </c>
      <c r="J1373" s="226"/>
    </row>
    <row r="1374" spans="1:10" hidden="1" x14ac:dyDescent="0.25">
      <c r="A1374" s="112" t="s">
        <v>3762</v>
      </c>
      <c r="B1374" s="113" t="s">
        <v>3794</v>
      </c>
      <c r="C1374" s="114" t="s">
        <v>20</v>
      </c>
      <c r="D1374" s="114">
        <v>0</v>
      </c>
      <c r="E1374" s="133">
        <f ca="1">OFFSET(INDEX(Composições!A:J,MATCH(Orçamentária!A1374,Composições!A:A,0),8),2,0)</f>
        <v>2106.1192295000001</v>
      </c>
      <c r="F1374" s="134">
        <f t="shared" ca="1" si="72"/>
        <v>0</v>
      </c>
      <c r="G1374" s="135" t="e">
        <f>IF(A1374&lt;&gt;"",IF(AND(#REF!="Padrão",$H$4=#REF!),BDI!$B$17,IF(AND(#REF!="Padrão",$H$4=#REF!),BDI!#REF!,IF(AND(#REF!="Diferenciado",$H$4=#REF!),BDI!$E$17,IF(AND(#REF!="Diferenciado",$H$4=#REF!),BDI!#REF!,IF(#REF!="ZERO",0))))),"")</f>
        <v>#REF!</v>
      </c>
      <c r="H1374" s="136" t="e">
        <f t="shared" ca="1" si="73"/>
        <v>#REF!</v>
      </c>
      <c r="I1374" s="134" t="e">
        <f t="shared" ca="1" si="74"/>
        <v>#REF!</v>
      </c>
      <c r="J1374" s="226"/>
    </row>
    <row r="1375" spans="1:10" hidden="1" x14ac:dyDescent="0.25">
      <c r="A1375" s="112" t="s">
        <v>3763</v>
      </c>
      <c r="B1375" s="113" t="s">
        <v>3795</v>
      </c>
      <c r="C1375" s="114" t="s">
        <v>20</v>
      </c>
      <c r="D1375" s="114">
        <v>0</v>
      </c>
      <c r="E1375" s="133">
        <f ca="1">OFFSET(INDEX(Composições!A:J,MATCH(Orçamentária!A1375,Composições!A:A,0),8),2,0)</f>
        <v>258.01236569563162</v>
      </c>
      <c r="F1375" s="134">
        <f t="shared" ca="1" si="72"/>
        <v>0</v>
      </c>
      <c r="G1375" s="135" t="e">
        <f>IF(A1375&lt;&gt;"",IF(AND(#REF!="Padrão",$H$4=#REF!),BDI!$B$17,IF(AND(#REF!="Padrão",$H$4=#REF!),BDI!#REF!,IF(AND(#REF!="Diferenciado",$H$4=#REF!),BDI!$E$17,IF(AND(#REF!="Diferenciado",$H$4=#REF!),BDI!#REF!,IF(#REF!="ZERO",0))))),"")</f>
        <v>#REF!</v>
      </c>
      <c r="H1375" s="136" t="e">
        <f t="shared" ca="1" si="73"/>
        <v>#REF!</v>
      </c>
      <c r="I1375" s="134" t="e">
        <f t="shared" ca="1" si="74"/>
        <v>#REF!</v>
      </c>
      <c r="J1375" s="226"/>
    </row>
    <row r="1376" spans="1:10" hidden="1" x14ac:dyDescent="0.25">
      <c r="A1376" s="112" t="s">
        <v>3764</v>
      </c>
      <c r="B1376" s="113" t="s">
        <v>3796</v>
      </c>
      <c r="C1376" s="114" t="s">
        <v>20</v>
      </c>
      <c r="D1376" s="114">
        <v>0</v>
      </c>
      <c r="E1376" s="133" t="s">
        <v>514</v>
      </c>
      <c r="F1376" s="134" t="str">
        <f t="shared" si="72"/>
        <v/>
      </c>
      <c r="G1376" s="135" t="e">
        <f>IF(A1376&lt;&gt;"",IF(AND(#REF!="Padrão",$H$4=#REF!),BDI!$B$17,IF(AND(#REF!="Padrão",$H$4=#REF!),BDI!#REF!,IF(AND(#REF!="Diferenciado",$H$4=#REF!),BDI!$E$17,IF(AND(#REF!="Diferenciado",$H$4=#REF!),BDI!#REF!,IF(#REF!="ZERO",0))))),"")</f>
        <v>#REF!</v>
      </c>
      <c r="H1376" s="136" t="str">
        <f t="shared" si="73"/>
        <v/>
      </c>
      <c r="I1376" s="134" t="str">
        <f t="shared" si="74"/>
        <v/>
      </c>
      <c r="J1376" s="226"/>
    </row>
    <row r="1377" spans="1:10" hidden="1" x14ac:dyDescent="0.25">
      <c r="A1377" s="112" t="s">
        <v>3765</v>
      </c>
      <c r="B1377" s="113" t="s">
        <v>3797</v>
      </c>
      <c r="C1377" s="114" t="s">
        <v>20</v>
      </c>
      <c r="D1377" s="114">
        <v>0</v>
      </c>
      <c r="E1377" s="133" t="s">
        <v>514</v>
      </c>
      <c r="F1377" s="134" t="str">
        <f t="shared" si="72"/>
        <v/>
      </c>
      <c r="G1377" s="135" t="e">
        <f>IF(A1377&lt;&gt;"",IF(AND(#REF!="Padrão",$H$4=#REF!),BDI!$B$17,IF(AND(#REF!="Padrão",$H$4=#REF!),BDI!#REF!,IF(AND(#REF!="Diferenciado",$H$4=#REF!),BDI!$E$17,IF(AND(#REF!="Diferenciado",$H$4=#REF!),BDI!#REF!,IF(#REF!="ZERO",0))))),"")</f>
        <v>#REF!</v>
      </c>
      <c r="H1377" s="136" t="str">
        <f t="shared" si="73"/>
        <v/>
      </c>
      <c r="I1377" s="134" t="str">
        <f t="shared" si="74"/>
        <v/>
      </c>
      <c r="J1377" s="226"/>
    </row>
    <row r="1378" spans="1:10" hidden="1" x14ac:dyDescent="0.25">
      <c r="A1378" s="112" t="s">
        <v>3766</v>
      </c>
      <c r="B1378" s="113" t="s">
        <v>3798</v>
      </c>
      <c r="C1378" s="114" t="s">
        <v>20</v>
      </c>
      <c r="D1378" s="114">
        <v>0</v>
      </c>
      <c r="E1378" s="133">
        <f ca="1">OFFSET(INDEX(Composições!A:J,MATCH(Orçamentária!A1378,Composições!A:A,0),8),2,0)</f>
        <v>688.7206560515059</v>
      </c>
      <c r="F1378" s="134">
        <f t="shared" ca="1" si="72"/>
        <v>0</v>
      </c>
      <c r="G1378" s="135" t="e">
        <f>IF(A1378&lt;&gt;"",IF(AND(#REF!="Padrão",$H$4=#REF!),BDI!$B$17,IF(AND(#REF!="Padrão",$H$4=#REF!),BDI!#REF!,IF(AND(#REF!="Diferenciado",$H$4=#REF!),BDI!$E$17,IF(AND(#REF!="Diferenciado",$H$4=#REF!),BDI!#REF!,IF(#REF!="ZERO",0))))),"")</f>
        <v>#REF!</v>
      </c>
      <c r="H1378" s="136" t="e">
        <f t="shared" ca="1" si="73"/>
        <v>#REF!</v>
      </c>
      <c r="I1378" s="134" t="e">
        <f t="shared" ca="1" si="74"/>
        <v>#REF!</v>
      </c>
      <c r="J1378" s="226"/>
    </row>
    <row r="1379" spans="1:10" hidden="1" x14ac:dyDescent="0.25">
      <c r="A1379" s="112" t="s">
        <v>3767</v>
      </c>
      <c r="B1379" s="113" t="s">
        <v>3799</v>
      </c>
      <c r="C1379" s="114" t="s">
        <v>20</v>
      </c>
      <c r="D1379" s="114">
        <v>0</v>
      </c>
      <c r="E1379" s="133" t="s">
        <v>514</v>
      </c>
      <c r="F1379" s="134" t="str">
        <f t="shared" si="72"/>
        <v/>
      </c>
      <c r="G1379" s="135" t="e">
        <f>IF(A1379&lt;&gt;"",IF(AND(#REF!="Padrão",$H$4=#REF!),BDI!$B$17,IF(AND(#REF!="Padrão",$H$4=#REF!),BDI!#REF!,IF(AND(#REF!="Diferenciado",$H$4=#REF!),BDI!$E$17,IF(AND(#REF!="Diferenciado",$H$4=#REF!),BDI!#REF!,IF(#REF!="ZERO",0))))),"")</f>
        <v>#REF!</v>
      </c>
      <c r="H1379" s="136" t="str">
        <f t="shared" si="73"/>
        <v/>
      </c>
      <c r="I1379" s="134" t="str">
        <f t="shared" si="74"/>
        <v/>
      </c>
      <c r="J1379" s="226"/>
    </row>
    <row r="1380" spans="1:10" hidden="1" x14ac:dyDescent="0.25">
      <c r="A1380" s="112" t="s">
        <v>3768</v>
      </c>
      <c r="B1380" s="113" t="s">
        <v>3800</v>
      </c>
      <c r="C1380" s="114" t="s">
        <v>20</v>
      </c>
      <c r="D1380" s="114">
        <v>0</v>
      </c>
      <c r="E1380" s="133">
        <f ca="1">OFFSET(INDEX(Composições!A:J,MATCH(Orçamentária!A1380,Composições!A:A,0),8),2,0)</f>
        <v>22.277499999999996</v>
      </c>
      <c r="F1380" s="134">
        <f t="shared" ca="1" si="72"/>
        <v>0</v>
      </c>
      <c r="G1380" s="135" t="e">
        <f>IF(A1380&lt;&gt;"",IF(AND(#REF!="Padrão",$H$4=#REF!),BDI!$B$17,IF(AND(#REF!="Padrão",$H$4=#REF!),BDI!#REF!,IF(AND(#REF!="Diferenciado",$H$4=#REF!),BDI!$E$17,IF(AND(#REF!="Diferenciado",$H$4=#REF!),BDI!#REF!,IF(#REF!="ZERO",0))))),"")</f>
        <v>#REF!</v>
      </c>
      <c r="H1380" s="136" t="e">
        <f t="shared" ca="1" si="73"/>
        <v>#REF!</v>
      </c>
      <c r="I1380" s="134" t="e">
        <f t="shared" ca="1" si="74"/>
        <v>#REF!</v>
      </c>
      <c r="J1380" s="226"/>
    </row>
    <row r="1381" spans="1:10" hidden="1" x14ac:dyDescent="0.25">
      <c r="A1381" s="112" t="s">
        <v>3769</v>
      </c>
      <c r="B1381" s="113" t="s">
        <v>3801</v>
      </c>
      <c r="C1381" s="114" t="s">
        <v>20</v>
      </c>
      <c r="D1381" s="114">
        <v>0</v>
      </c>
      <c r="E1381" s="133">
        <f ca="1">OFFSET(INDEX(Composições!A:J,MATCH(Orçamentária!A1381,Composições!A:A,0),8),2,0)</f>
        <v>22.277499999999996</v>
      </c>
      <c r="F1381" s="134">
        <f t="shared" ca="1" si="72"/>
        <v>0</v>
      </c>
      <c r="G1381" s="135" t="e">
        <f>IF(A1381&lt;&gt;"",IF(AND(#REF!="Padrão",$H$4=#REF!),BDI!$B$17,IF(AND(#REF!="Padrão",$H$4=#REF!),BDI!#REF!,IF(AND(#REF!="Diferenciado",$H$4=#REF!),BDI!$E$17,IF(AND(#REF!="Diferenciado",$H$4=#REF!),BDI!#REF!,IF(#REF!="ZERO",0))))),"")</f>
        <v>#REF!</v>
      </c>
      <c r="H1381" s="136" t="e">
        <f t="shared" ca="1" si="73"/>
        <v>#REF!</v>
      </c>
      <c r="I1381" s="134" t="e">
        <f t="shared" ca="1" si="74"/>
        <v>#REF!</v>
      </c>
      <c r="J1381" s="226"/>
    </row>
    <row r="1382" spans="1:10" hidden="1" x14ac:dyDescent="0.25">
      <c r="A1382" s="112" t="s">
        <v>3770</v>
      </c>
      <c r="B1382" s="113" t="s">
        <v>3802</v>
      </c>
      <c r="C1382" s="114" t="s">
        <v>20</v>
      </c>
      <c r="D1382" s="114">
        <v>0</v>
      </c>
      <c r="E1382" s="133">
        <f ca="1">OFFSET(INDEX(Composições!A:J,MATCH(Orçamentária!A1382,Composições!A:A,0),8),2,0)</f>
        <v>18.62294</v>
      </c>
      <c r="F1382" s="134">
        <f t="shared" ca="1" si="72"/>
        <v>0</v>
      </c>
      <c r="G1382" s="135" t="e">
        <f>IF(A1382&lt;&gt;"",IF(AND(#REF!="Padrão",$H$4=#REF!),BDI!$B$17,IF(AND(#REF!="Padrão",$H$4=#REF!),BDI!#REF!,IF(AND(#REF!="Diferenciado",$H$4=#REF!),BDI!$E$17,IF(AND(#REF!="Diferenciado",$H$4=#REF!),BDI!#REF!,IF(#REF!="ZERO",0))))),"")</f>
        <v>#REF!</v>
      </c>
      <c r="H1382" s="136" t="e">
        <f t="shared" ca="1" si="73"/>
        <v>#REF!</v>
      </c>
      <c r="I1382" s="134" t="e">
        <f t="shared" ca="1" si="74"/>
        <v>#REF!</v>
      </c>
      <c r="J1382" s="226"/>
    </row>
    <row r="1383" spans="1:10" hidden="1" x14ac:dyDescent="0.25">
      <c r="A1383" s="112" t="s">
        <v>3771</v>
      </c>
      <c r="B1383" s="113" t="s">
        <v>3803</v>
      </c>
      <c r="C1383" s="114" t="s">
        <v>20</v>
      </c>
      <c r="D1383" s="114">
        <v>0</v>
      </c>
      <c r="E1383" s="133" t="s">
        <v>514</v>
      </c>
      <c r="F1383" s="134" t="str">
        <f t="shared" si="72"/>
        <v/>
      </c>
      <c r="G1383" s="135" t="e">
        <f>IF(A1383&lt;&gt;"",IF(AND(#REF!="Padrão",$H$4=#REF!),BDI!$B$17,IF(AND(#REF!="Padrão",$H$4=#REF!),BDI!#REF!,IF(AND(#REF!="Diferenciado",$H$4=#REF!),BDI!$E$17,IF(AND(#REF!="Diferenciado",$H$4=#REF!),BDI!#REF!,IF(#REF!="ZERO",0))))),"")</f>
        <v>#REF!</v>
      </c>
      <c r="H1383" s="136" t="str">
        <f t="shared" si="73"/>
        <v/>
      </c>
      <c r="I1383" s="134" t="str">
        <f t="shared" si="74"/>
        <v/>
      </c>
      <c r="J1383" s="226"/>
    </row>
    <row r="1384" spans="1:10" hidden="1" x14ac:dyDescent="0.25">
      <c r="A1384" s="112" t="s">
        <v>3702</v>
      </c>
      <c r="B1384" s="113" t="s">
        <v>3703</v>
      </c>
      <c r="C1384" s="114" t="s">
        <v>20</v>
      </c>
      <c r="D1384" s="114">
        <v>0</v>
      </c>
      <c r="E1384" s="133" t="s">
        <v>514</v>
      </c>
      <c r="F1384" s="134" t="str">
        <f>IF(ISNUMBER(E1384),D1384*E1384,"")</f>
        <v/>
      </c>
      <c r="G1384" s="135" t="e">
        <f>IF(A1384&lt;&gt;"",IF(AND(#REF!="Padrão",$H$4=#REF!),BDI!$B$17,IF(AND(#REF!="Padrão",$H$4=#REF!),BDI!#REF!,IF(AND(#REF!="Diferenciado",$H$4=#REF!),BDI!$E$17,IF(AND(#REF!="Diferenciado",$H$4=#REF!),BDI!#REF!,IF(#REF!="ZERO",0))))),"")</f>
        <v>#REF!</v>
      </c>
      <c r="H1384" s="136" t="str">
        <f>IF(ISNUMBER(E1384),ROUND(E1384*(1+G1384),2),"")</f>
        <v/>
      </c>
      <c r="I1384" s="134" t="str">
        <f>IF(ISNUMBER(E1384),ROUND(H1384*D1384,2),"")</f>
        <v/>
      </c>
      <c r="J1384" s="226"/>
    </row>
    <row r="1385" spans="1:10" hidden="1" x14ac:dyDescent="0.25">
      <c r="A1385" s="112" t="s">
        <v>3700</v>
      </c>
      <c r="B1385" s="113" t="s">
        <v>3701</v>
      </c>
      <c r="C1385" s="114" t="s">
        <v>4994</v>
      </c>
      <c r="D1385" s="114">
        <v>0</v>
      </c>
      <c r="E1385" s="133" t="s">
        <v>514</v>
      </c>
      <c r="F1385" s="134" t="str">
        <f>IF(ISNUMBER(E1385),D1385*E1385,"")</f>
        <v/>
      </c>
      <c r="G1385" s="135" t="e">
        <f>IF(A1385&lt;&gt;"",IF(AND(#REF!="Padrão",$H$4=#REF!),BDI!$B$17,IF(AND(#REF!="Padrão",$H$4=#REF!),BDI!#REF!,IF(AND(#REF!="Diferenciado",$H$4=#REF!),BDI!$E$17,IF(AND(#REF!="Diferenciado",$H$4=#REF!),BDI!#REF!,IF(#REF!="ZERO",0))))),"")</f>
        <v>#REF!</v>
      </c>
      <c r="H1385" s="136" t="str">
        <f>IF(ISNUMBER(E1385),ROUND(E1385*(1+G1385),2),"")</f>
        <v/>
      </c>
      <c r="I1385" s="134" t="str">
        <f>IF(ISNUMBER(E1385),ROUND(H1385*D1385,2),"")</f>
        <v/>
      </c>
      <c r="J1385" s="226"/>
    </row>
    <row r="1386" spans="1:10" hidden="1" x14ac:dyDescent="0.25">
      <c r="A1386" s="112" t="s">
        <v>3721</v>
      </c>
      <c r="B1386" s="113" t="s">
        <v>3724</v>
      </c>
      <c r="C1386" s="114" t="s">
        <v>94</v>
      </c>
      <c r="D1386" s="114">
        <v>0</v>
      </c>
      <c r="E1386" s="133" t="s">
        <v>514</v>
      </c>
      <c r="F1386" s="134" t="str">
        <f>IF(ISNUMBER(E1386),D1386*E1386,"")</f>
        <v/>
      </c>
      <c r="G1386" s="135" t="e">
        <f>IF(A1386&lt;&gt;"",IF(AND(#REF!="Padrão",$H$4=#REF!),BDI!$B$17,IF(AND(#REF!="Padrão",$H$4=#REF!),BDI!#REF!,IF(AND(#REF!="Diferenciado",$H$4=#REF!),BDI!$E$17,IF(AND(#REF!="Diferenciado",$H$4=#REF!),BDI!#REF!,IF(#REF!="ZERO",0))))),"")</f>
        <v>#REF!</v>
      </c>
      <c r="H1386" s="136" t="str">
        <f>IF(ISNUMBER(E1386),ROUND(E1386*(1+G1386),2),"")</f>
        <v/>
      </c>
      <c r="I1386" s="134" t="str">
        <f>IF(ISNUMBER(E1386),ROUND(H1386*D1386,2),"")</f>
        <v/>
      </c>
      <c r="J1386" s="226"/>
    </row>
    <row r="1387" spans="1:10" hidden="1" x14ac:dyDescent="0.25">
      <c r="A1387" s="112" t="s">
        <v>3722</v>
      </c>
      <c r="B1387" s="113" t="s">
        <v>3725</v>
      </c>
      <c r="C1387" s="114" t="s">
        <v>94</v>
      </c>
      <c r="D1387" s="114">
        <v>0</v>
      </c>
      <c r="E1387" s="133" t="s">
        <v>514</v>
      </c>
      <c r="F1387" s="134" t="str">
        <f>IF(ISNUMBER(E1387),D1387*E1387,"")</f>
        <v/>
      </c>
      <c r="G1387" s="135" t="e">
        <f>IF(A1387&lt;&gt;"",IF(AND(#REF!="Padrão",$H$4=#REF!),BDI!$B$17,IF(AND(#REF!="Padrão",$H$4=#REF!),BDI!#REF!,IF(AND(#REF!="Diferenciado",$H$4=#REF!),BDI!$E$17,IF(AND(#REF!="Diferenciado",$H$4=#REF!),BDI!#REF!,IF(#REF!="ZERO",0))))),"")</f>
        <v>#REF!</v>
      </c>
      <c r="H1387" s="136" t="str">
        <f>IF(ISNUMBER(E1387),ROUND(E1387*(1+G1387),2),"")</f>
        <v/>
      </c>
      <c r="I1387" s="134" t="str">
        <f>IF(ISNUMBER(E1387),ROUND(H1387*D1387,2),"")</f>
        <v/>
      </c>
      <c r="J1387" s="226"/>
    </row>
    <row r="1388" spans="1:10" hidden="1" x14ac:dyDescent="0.25">
      <c r="A1388" s="112" t="s">
        <v>3723</v>
      </c>
      <c r="B1388" s="113" t="s">
        <v>3726</v>
      </c>
      <c r="C1388" s="114" t="s">
        <v>94</v>
      </c>
      <c r="D1388" s="114">
        <v>0</v>
      </c>
      <c r="E1388" s="133" t="s">
        <v>514</v>
      </c>
      <c r="F1388" s="134" t="str">
        <f>IF(ISNUMBER(E1388),D1388*E1388,"")</f>
        <v/>
      </c>
      <c r="G1388" s="135" t="e">
        <f>IF(A1388&lt;&gt;"",IF(AND(#REF!="Padrão",$H$4=#REF!),BDI!$B$17,IF(AND(#REF!="Padrão",$H$4=#REF!),BDI!#REF!,IF(AND(#REF!="Diferenciado",$H$4=#REF!),BDI!$E$17,IF(AND(#REF!="Diferenciado",$H$4=#REF!),BDI!#REF!,IF(#REF!="ZERO",0))))),"")</f>
        <v>#REF!</v>
      </c>
      <c r="H1388" s="136" t="str">
        <f>IF(ISNUMBER(E1388),ROUND(E1388*(1+G1388),2),"")</f>
        <v/>
      </c>
      <c r="I1388" s="134" t="str">
        <f>IF(ISNUMBER(E1388),ROUND(H1388*D1388,2),"")</f>
        <v/>
      </c>
      <c r="J1388" s="226"/>
    </row>
    <row r="1389" spans="1:10" hidden="1" x14ac:dyDescent="0.25">
      <c r="A1389" s="112" t="s">
        <v>4997</v>
      </c>
      <c r="B1389" s="113" t="s">
        <v>3804</v>
      </c>
      <c r="C1389" s="114" t="s">
        <v>92</v>
      </c>
      <c r="D1389" s="114">
        <v>0</v>
      </c>
      <c r="E1389" s="133">
        <f ca="1">OFFSET(INDEX(Composições!A:J,MATCH(Orçamentária!A1389,Composições!A:A,0),8),2,0)</f>
        <v>45.192953500000016</v>
      </c>
      <c r="F1389" s="134">
        <f t="shared" ref="F1389:F1452" ca="1" si="75">IF(ISNUMBER(E1389),D1389*E1389,"")</f>
        <v>0</v>
      </c>
      <c r="G1389" s="135" t="e">
        <f>IF(A1389&lt;&gt;"",IF(AND(#REF!="Padrão",$H$4=#REF!),BDI!$B$17,IF(AND(#REF!="Padrão",$H$4=#REF!),BDI!#REF!,IF(AND(#REF!="Diferenciado",$H$4=#REF!),BDI!$E$17,IF(AND(#REF!="Diferenciado",$H$4=#REF!),BDI!#REF!,IF(#REF!="ZERO",0))))),"")</f>
        <v>#REF!</v>
      </c>
      <c r="H1389" s="136" t="e">
        <f t="shared" ref="H1389:H1452" ca="1" si="76">IF(ISNUMBER(E1389),ROUND(E1389*(1+G1389),2),"")</f>
        <v>#REF!</v>
      </c>
      <c r="I1389" s="134" t="e">
        <f t="shared" ref="I1389:I1452" ca="1" si="77">IF(ISNUMBER(E1389),ROUND(H1389*D1389,2),"")</f>
        <v>#REF!</v>
      </c>
      <c r="J1389" s="226"/>
    </row>
    <row r="1390" spans="1:10" hidden="1" x14ac:dyDescent="0.25">
      <c r="A1390" s="112" t="s">
        <v>4998</v>
      </c>
      <c r="B1390" s="113" t="s">
        <v>3805</v>
      </c>
      <c r="C1390" s="114" t="s">
        <v>20</v>
      </c>
      <c r="D1390" s="114">
        <v>0</v>
      </c>
      <c r="E1390" s="133" t="s">
        <v>514</v>
      </c>
      <c r="F1390" s="134" t="str">
        <f t="shared" si="75"/>
        <v/>
      </c>
      <c r="G1390" s="135" t="e">
        <f>IF(A1390&lt;&gt;"",IF(AND(#REF!="Padrão",$H$4=#REF!),BDI!$B$17,IF(AND(#REF!="Padrão",$H$4=#REF!),BDI!#REF!,IF(AND(#REF!="Diferenciado",$H$4=#REF!),BDI!$E$17,IF(AND(#REF!="Diferenciado",$H$4=#REF!),BDI!#REF!,IF(#REF!="ZERO",0))))),"")</f>
        <v>#REF!</v>
      </c>
      <c r="H1390" s="136" t="str">
        <f t="shared" si="76"/>
        <v/>
      </c>
      <c r="I1390" s="134" t="str">
        <f t="shared" si="77"/>
        <v/>
      </c>
      <c r="J1390" s="226"/>
    </row>
    <row r="1391" spans="1:10" hidden="1" x14ac:dyDescent="0.25">
      <c r="A1391" s="112" t="s">
        <v>4999</v>
      </c>
      <c r="B1391" s="113" t="s">
        <v>3806</v>
      </c>
      <c r="C1391" s="114" t="s">
        <v>20</v>
      </c>
      <c r="D1391" s="114">
        <v>0</v>
      </c>
      <c r="E1391" s="133">
        <f ca="1">OFFSET(INDEX(Composições!A:J,MATCH(Orçamentária!A1391,Composições!A:A,0),8),2,0)</f>
        <v>17.621502499999998</v>
      </c>
      <c r="F1391" s="134">
        <f t="shared" ca="1" si="75"/>
        <v>0</v>
      </c>
      <c r="G1391" s="135" t="e">
        <f>IF(A1391&lt;&gt;"",IF(AND(#REF!="Padrão",$H$4=#REF!),BDI!$B$17,IF(AND(#REF!="Padrão",$H$4=#REF!),BDI!#REF!,IF(AND(#REF!="Diferenciado",$H$4=#REF!),BDI!$E$17,IF(AND(#REF!="Diferenciado",$H$4=#REF!),BDI!#REF!,IF(#REF!="ZERO",0))))),"")</f>
        <v>#REF!</v>
      </c>
      <c r="H1391" s="136" t="e">
        <f t="shared" ca="1" si="76"/>
        <v>#REF!</v>
      </c>
      <c r="I1391" s="134" t="e">
        <f t="shared" ca="1" si="77"/>
        <v>#REF!</v>
      </c>
      <c r="J1391" s="226"/>
    </row>
    <row r="1392" spans="1:10" hidden="1" x14ac:dyDescent="0.25">
      <c r="A1392" s="112" t="s">
        <v>5000</v>
      </c>
      <c r="B1392" s="113" t="s">
        <v>3807</v>
      </c>
      <c r="C1392" s="114" t="s">
        <v>92</v>
      </c>
      <c r="D1392" s="114">
        <v>0</v>
      </c>
      <c r="E1392" s="133">
        <f ca="1">OFFSET(INDEX(Composições!A:J,MATCH(Orçamentária!A1392,Composições!A:A,0),8),2,0)</f>
        <v>33.416249999999991</v>
      </c>
      <c r="F1392" s="134">
        <f t="shared" ca="1" si="75"/>
        <v>0</v>
      </c>
      <c r="G1392" s="135" t="e">
        <f>IF(A1392&lt;&gt;"",IF(AND(#REF!="Padrão",$H$4=#REF!),BDI!$B$17,IF(AND(#REF!="Padrão",$H$4=#REF!),BDI!#REF!,IF(AND(#REF!="Diferenciado",$H$4=#REF!),BDI!$E$17,IF(AND(#REF!="Diferenciado",$H$4=#REF!),BDI!#REF!,IF(#REF!="ZERO",0))))),"")</f>
        <v>#REF!</v>
      </c>
      <c r="H1392" s="136" t="e">
        <f t="shared" ca="1" si="76"/>
        <v>#REF!</v>
      </c>
      <c r="I1392" s="134" t="e">
        <f t="shared" ca="1" si="77"/>
        <v>#REF!</v>
      </c>
      <c r="J1392" s="226"/>
    </row>
    <row r="1393" spans="1:10" hidden="1" x14ac:dyDescent="0.25">
      <c r="A1393" s="112" t="s">
        <v>5001</v>
      </c>
      <c r="B1393" s="113" t="s">
        <v>3808</v>
      </c>
      <c r="C1393" s="114" t="s">
        <v>1443</v>
      </c>
      <c r="D1393" s="114">
        <v>0</v>
      </c>
      <c r="E1393" s="133">
        <f ca="1">OFFSET(INDEX(Composições!A:J,MATCH(Orçamentária!A1393,Composições!A:A,0),8),2,0)</f>
        <v>114.18049999999999</v>
      </c>
      <c r="F1393" s="134">
        <f t="shared" ca="1" si="75"/>
        <v>0</v>
      </c>
      <c r="G1393" s="135" t="e">
        <f>IF(A1393&lt;&gt;"",IF(AND(#REF!="Padrão",$H$4=#REF!),BDI!$B$17,IF(AND(#REF!="Padrão",$H$4=#REF!),BDI!#REF!,IF(AND(#REF!="Diferenciado",$H$4=#REF!),BDI!$E$17,IF(AND(#REF!="Diferenciado",$H$4=#REF!),BDI!#REF!,IF(#REF!="ZERO",0))))),"")</f>
        <v>#REF!</v>
      </c>
      <c r="H1393" s="136" t="e">
        <f t="shared" ca="1" si="76"/>
        <v>#REF!</v>
      </c>
      <c r="I1393" s="134" t="e">
        <f t="shared" ca="1" si="77"/>
        <v>#REF!</v>
      </c>
      <c r="J1393" s="226"/>
    </row>
    <row r="1394" spans="1:10" hidden="1" x14ac:dyDescent="0.25">
      <c r="A1394" s="112" t="s">
        <v>5002</v>
      </c>
      <c r="B1394" s="113" t="s">
        <v>3809</v>
      </c>
      <c r="C1394" s="114" t="s">
        <v>20</v>
      </c>
      <c r="D1394" s="114">
        <v>0</v>
      </c>
      <c r="E1394" s="133" t="s">
        <v>514</v>
      </c>
      <c r="F1394" s="134" t="str">
        <f t="shared" si="75"/>
        <v/>
      </c>
      <c r="G1394" s="135" t="e">
        <f>IF(A1394&lt;&gt;"",IF(AND(#REF!="Padrão",$H$4=#REF!),BDI!$B$17,IF(AND(#REF!="Padrão",$H$4=#REF!),BDI!#REF!,IF(AND(#REF!="Diferenciado",$H$4=#REF!),BDI!$E$17,IF(AND(#REF!="Diferenciado",$H$4=#REF!),BDI!#REF!,IF(#REF!="ZERO",0))))),"")</f>
        <v>#REF!</v>
      </c>
      <c r="H1394" s="136" t="str">
        <f t="shared" si="76"/>
        <v/>
      </c>
      <c r="I1394" s="134" t="str">
        <f t="shared" si="77"/>
        <v/>
      </c>
      <c r="J1394" s="226"/>
    </row>
    <row r="1395" spans="1:10" hidden="1" x14ac:dyDescent="0.25">
      <c r="A1395" s="112" t="s">
        <v>5003</v>
      </c>
      <c r="B1395" s="113" t="s">
        <v>3810</v>
      </c>
      <c r="C1395" s="114" t="s">
        <v>20</v>
      </c>
      <c r="D1395" s="114">
        <v>0</v>
      </c>
      <c r="E1395" s="133">
        <f ca="1">OFFSET(INDEX(Composições!A:J,MATCH(Orçamentária!A1395,Composições!A:A,0),8),2,0)</f>
        <v>18.303614849999999</v>
      </c>
      <c r="F1395" s="134">
        <f t="shared" ca="1" si="75"/>
        <v>0</v>
      </c>
      <c r="G1395" s="135" t="e">
        <f>IF(A1395&lt;&gt;"",IF(AND(#REF!="Padrão",$H$4=#REF!),BDI!$B$17,IF(AND(#REF!="Padrão",$H$4=#REF!),BDI!#REF!,IF(AND(#REF!="Diferenciado",$H$4=#REF!),BDI!$E$17,IF(AND(#REF!="Diferenciado",$H$4=#REF!),BDI!#REF!,IF(#REF!="ZERO",0))))),"")</f>
        <v>#REF!</v>
      </c>
      <c r="H1395" s="136" t="e">
        <f t="shared" ca="1" si="76"/>
        <v>#REF!</v>
      </c>
      <c r="I1395" s="134" t="e">
        <f t="shared" ca="1" si="77"/>
        <v>#REF!</v>
      </c>
      <c r="J1395" s="226"/>
    </row>
    <row r="1396" spans="1:10" hidden="1" x14ac:dyDescent="0.25">
      <c r="A1396" s="112" t="s">
        <v>5004</v>
      </c>
      <c r="B1396" s="113" t="s">
        <v>3811</v>
      </c>
      <c r="C1396" s="114" t="s">
        <v>101</v>
      </c>
      <c r="D1396" s="114">
        <v>0</v>
      </c>
      <c r="E1396" s="133">
        <f ca="1">OFFSET(INDEX(Composições!A:J,MATCH(Orçamentária!A1396,Composições!A:A,0),8),2,0)</f>
        <v>6.84</v>
      </c>
      <c r="F1396" s="134">
        <f t="shared" ca="1" si="75"/>
        <v>0</v>
      </c>
      <c r="G1396" s="135" t="e">
        <f>IF(A1396&lt;&gt;"",IF(AND(#REF!="Padrão",$H$4=#REF!),BDI!$B$17,IF(AND(#REF!="Padrão",$H$4=#REF!),BDI!#REF!,IF(AND(#REF!="Diferenciado",$H$4=#REF!),BDI!$E$17,IF(AND(#REF!="Diferenciado",$H$4=#REF!),BDI!#REF!,IF(#REF!="ZERO",0))))),"")</f>
        <v>#REF!</v>
      </c>
      <c r="H1396" s="136" t="e">
        <f t="shared" ca="1" si="76"/>
        <v>#REF!</v>
      </c>
      <c r="I1396" s="134" t="e">
        <f t="shared" ca="1" si="77"/>
        <v>#REF!</v>
      </c>
      <c r="J1396" s="226"/>
    </row>
    <row r="1397" spans="1:10" hidden="1" x14ac:dyDescent="0.25">
      <c r="A1397" s="112" t="s">
        <v>5005</v>
      </c>
      <c r="B1397" s="113" t="s">
        <v>3812</v>
      </c>
      <c r="C1397" s="114" t="s">
        <v>20</v>
      </c>
      <c r="D1397" s="114">
        <v>0</v>
      </c>
      <c r="E1397" s="133" t="s">
        <v>514</v>
      </c>
      <c r="F1397" s="134" t="str">
        <f t="shared" si="75"/>
        <v/>
      </c>
      <c r="G1397" s="135" t="e">
        <f>IF(A1397&lt;&gt;"",IF(AND(#REF!="Padrão",$H$4=#REF!),BDI!$B$17,IF(AND(#REF!="Padrão",$H$4=#REF!),BDI!#REF!,IF(AND(#REF!="Diferenciado",$H$4=#REF!),BDI!$E$17,IF(AND(#REF!="Diferenciado",$H$4=#REF!),BDI!#REF!,IF(#REF!="ZERO",0))))),"")</f>
        <v>#REF!</v>
      </c>
      <c r="H1397" s="136" t="str">
        <f t="shared" si="76"/>
        <v/>
      </c>
      <c r="I1397" s="134" t="str">
        <f t="shared" si="77"/>
        <v/>
      </c>
      <c r="J1397" s="226"/>
    </row>
    <row r="1398" spans="1:10" hidden="1" x14ac:dyDescent="0.25">
      <c r="A1398" s="112" t="s">
        <v>5006</v>
      </c>
      <c r="B1398" s="113" t="s">
        <v>3813</v>
      </c>
      <c r="C1398" s="114" t="s">
        <v>20</v>
      </c>
      <c r="D1398" s="114">
        <v>0</v>
      </c>
      <c r="E1398" s="133" t="s">
        <v>514</v>
      </c>
      <c r="F1398" s="134" t="str">
        <f t="shared" si="75"/>
        <v/>
      </c>
      <c r="G1398" s="135" t="e">
        <f>IF(A1398&lt;&gt;"",IF(AND(#REF!="Padrão",$H$4=#REF!),BDI!$B$17,IF(AND(#REF!="Padrão",$H$4=#REF!),BDI!#REF!,IF(AND(#REF!="Diferenciado",$H$4=#REF!),BDI!$E$17,IF(AND(#REF!="Diferenciado",$H$4=#REF!),BDI!#REF!,IF(#REF!="ZERO",0))))),"")</f>
        <v>#REF!</v>
      </c>
      <c r="H1398" s="136" t="str">
        <f t="shared" si="76"/>
        <v/>
      </c>
      <c r="I1398" s="134" t="str">
        <f t="shared" si="77"/>
        <v/>
      </c>
      <c r="J1398" s="226"/>
    </row>
    <row r="1399" spans="1:10" hidden="1" x14ac:dyDescent="0.25">
      <c r="A1399" s="112" t="s">
        <v>5007</v>
      </c>
      <c r="B1399" s="113" t="s">
        <v>3814</v>
      </c>
      <c r="C1399" s="114" t="s">
        <v>20</v>
      </c>
      <c r="D1399" s="114">
        <v>0</v>
      </c>
      <c r="E1399" s="133" t="s">
        <v>514</v>
      </c>
      <c r="F1399" s="134" t="str">
        <f t="shared" si="75"/>
        <v/>
      </c>
      <c r="G1399" s="135" t="e">
        <f>IF(A1399&lt;&gt;"",IF(AND(#REF!="Padrão",$H$4=#REF!),BDI!$B$17,IF(AND(#REF!="Padrão",$H$4=#REF!),BDI!#REF!,IF(AND(#REF!="Diferenciado",$H$4=#REF!),BDI!$E$17,IF(AND(#REF!="Diferenciado",$H$4=#REF!),BDI!#REF!,IF(#REF!="ZERO",0))))),"")</f>
        <v>#REF!</v>
      </c>
      <c r="H1399" s="136" t="str">
        <f t="shared" si="76"/>
        <v/>
      </c>
      <c r="I1399" s="134" t="str">
        <f t="shared" si="77"/>
        <v/>
      </c>
      <c r="J1399" s="226"/>
    </row>
    <row r="1400" spans="1:10" hidden="1" x14ac:dyDescent="0.25">
      <c r="A1400" s="112" t="s">
        <v>5008</v>
      </c>
      <c r="B1400" s="113" t="s">
        <v>3815</v>
      </c>
      <c r="C1400" s="114" t="s">
        <v>20</v>
      </c>
      <c r="D1400" s="114">
        <v>0</v>
      </c>
      <c r="E1400" s="133" t="s">
        <v>514</v>
      </c>
      <c r="F1400" s="134" t="str">
        <f t="shared" si="75"/>
        <v/>
      </c>
      <c r="G1400" s="135" t="e">
        <f>IF(A1400&lt;&gt;"",IF(AND(#REF!="Padrão",$H$4=#REF!),BDI!$B$17,IF(AND(#REF!="Padrão",$H$4=#REF!),BDI!#REF!,IF(AND(#REF!="Diferenciado",$H$4=#REF!),BDI!$E$17,IF(AND(#REF!="Diferenciado",$H$4=#REF!),BDI!#REF!,IF(#REF!="ZERO",0))))),"")</f>
        <v>#REF!</v>
      </c>
      <c r="H1400" s="136" t="str">
        <f t="shared" si="76"/>
        <v/>
      </c>
      <c r="I1400" s="134" t="str">
        <f t="shared" si="77"/>
        <v/>
      </c>
      <c r="J1400" s="226"/>
    </row>
    <row r="1401" spans="1:10" hidden="1" x14ac:dyDescent="0.25">
      <c r="A1401" s="112" t="s">
        <v>5009</v>
      </c>
      <c r="B1401" s="113" t="s">
        <v>3816</v>
      </c>
      <c r="C1401" s="114" t="s">
        <v>20</v>
      </c>
      <c r="D1401" s="114">
        <v>0</v>
      </c>
      <c r="E1401" s="133" t="s">
        <v>514</v>
      </c>
      <c r="F1401" s="134" t="str">
        <f t="shared" si="75"/>
        <v/>
      </c>
      <c r="G1401" s="135" t="e">
        <f>IF(A1401&lt;&gt;"",IF(AND(#REF!="Padrão",$H$4=#REF!),BDI!$B$17,IF(AND(#REF!="Padrão",$H$4=#REF!),BDI!#REF!,IF(AND(#REF!="Diferenciado",$H$4=#REF!),BDI!$E$17,IF(AND(#REF!="Diferenciado",$H$4=#REF!),BDI!#REF!,IF(#REF!="ZERO",0))))),"")</f>
        <v>#REF!</v>
      </c>
      <c r="H1401" s="136" t="str">
        <f t="shared" si="76"/>
        <v/>
      </c>
      <c r="I1401" s="134" t="str">
        <f t="shared" si="77"/>
        <v/>
      </c>
      <c r="J1401" s="226"/>
    </row>
    <row r="1402" spans="1:10" hidden="1" x14ac:dyDescent="0.25">
      <c r="A1402" s="112" t="s">
        <v>5010</v>
      </c>
      <c r="B1402" s="113" t="s">
        <v>3817</v>
      </c>
      <c r="C1402" s="114" t="s">
        <v>20</v>
      </c>
      <c r="D1402" s="114">
        <v>0</v>
      </c>
      <c r="E1402" s="133" t="s">
        <v>514</v>
      </c>
      <c r="F1402" s="134" t="str">
        <f t="shared" si="75"/>
        <v/>
      </c>
      <c r="G1402" s="135" t="e">
        <f>IF(A1402&lt;&gt;"",IF(AND(#REF!="Padrão",$H$4=#REF!),BDI!$B$17,IF(AND(#REF!="Padrão",$H$4=#REF!),BDI!#REF!,IF(AND(#REF!="Diferenciado",$H$4=#REF!),BDI!$E$17,IF(AND(#REF!="Diferenciado",$H$4=#REF!),BDI!#REF!,IF(#REF!="ZERO",0))))),"")</f>
        <v>#REF!</v>
      </c>
      <c r="H1402" s="136" t="str">
        <f t="shared" si="76"/>
        <v/>
      </c>
      <c r="I1402" s="134" t="str">
        <f t="shared" si="77"/>
        <v/>
      </c>
      <c r="J1402" s="226"/>
    </row>
    <row r="1403" spans="1:10" hidden="1" x14ac:dyDescent="0.25">
      <c r="A1403" s="112" t="s">
        <v>5011</v>
      </c>
      <c r="B1403" s="113" t="s">
        <v>3818</v>
      </c>
      <c r="C1403" s="114" t="s">
        <v>20</v>
      </c>
      <c r="D1403" s="114">
        <v>0</v>
      </c>
      <c r="E1403" s="133" t="s">
        <v>514</v>
      </c>
      <c r="F1403" s="134" t="str">
        <f t="shared" si="75"/>
        <v/>
      </c>
      <c r="G1403" s="135" t="e">
        <f>IF(A1403&lt;&gt;"",IF(AND(#REF!="Padrão",$H$4=#REF!),BDI!$B$17,IF(AND(#REF!="Padrão",$H$4=#REF!),BDI!#REF!,IF(AND(#REF!="Diferenciado",$H$4=#REF!),BDI!$E$17,IF(AND(#REF!="Diferenciado",$H$4=#REF!),BDI!#REF!,IF(#REF!="ZERO",0))))),"")</f>
        <v>#REF!</v>
      </c>
      <c r="H1403" s="136" t="str">
        <f t="shared" si="76"/>
        <v/>
      </c>
      <c r="I1403" s="134" t="str">
        <f t="shared" si="77"/>
        <v/>
      </c>
      <c r="J1403" s="226"/>
    </row>
    <row r="1404" spans="1:10" hidden="1" x14ac:dyDescent="0.25">
      <c r="A1404" s="112" t="s">
        <v>5012</v>
      </c>
      <c r="B1404" s="113" t="s">
        <v>3819</v>
      </c>
      <c r="C1404" s="114" t="s">
        <v>20</v>
      </c>
      <c r="D1404" s="114">
        <v>0</v>
      </c>
      <c r="E1404" s="133" t="s">
        <v>514</v>
      </c>
      <c r="F1404" s="134" t="str">
        <f t="shared" si="75"/>
        <v/>
      </c>
      <c r="G1404" s="135" t="e">
        <f>IF(A1404&lt;&gt;"",IF(AND(#REF!="Padrão",$H$4=#REF!),BDI!$B$17,IF(AND(#REF!="Padrão",$H$4=#REF!),BDI!#REF!,IF(AND(#REF!="Diferenciado",$H$4=#REF!),BDI!$E$17,IF(AND(#REF!="Diferenciado",$H$4=#REF!),BDI!#REF!,IF(#REF!="ZERO",0))))),"")</f>
        <v>#REF!</v>
      </c>
      <c r="H1404" s="136" t="str">
        <f t="shared" si="76"/>
        <v/>
      </c>
      <c r="I1404" s="134" t="str">
        <f t="shared" si="77"/>
        <v/>
      </c>
      <c r="J1404" s="226"/>
    </row>
    <row r="1405" spans="1:10" hidden="1" x14ac:dyDescent="0.25">
      <c r="A1405" s="112" t="s">
        <v>5013</v>
      </c>
      <c r="B1405" s="113" t="s">
        <v>3820</v>
      </c>
      <c r="C1405" s="114" t="s">
        <v>20</v>
      </c>
      <c r="D1405" s="114">
        <v>0</v>
      </c>
      <c r="E1405" s="133" t="s">
        <v>514</v>
      </c>
      <c r="F1405" s="134" t="str">
        <f t="shared" si="75"/>
        <v/>
      </c>
      <c r="G1405" s="135" t="e">
        <f>IF(A1405&lt;&gt;"",IF(AND(#REF!="Padrão",$H$4=#REF!),BDI!$B$17,IF(AND(#REF!="Padrão",$H$4=#REF!),BDI!#REF!,IF(AND(#REF!="Diferenciado",$H$4=#REF!),BDI!$E$17,IF(AND(#REF!="Diferenciado",$H$4=#REF!),BDI!#REF!,IF(#REF!="ZERO",0))))),"")</f>
        <v>#REF!</v>
      </c>
      <c r="H1405" s="136" t="str">
        <f t="shared" si="76"/>
        <v/>
      </c>
      <c r="I1405" s="134" t="str">
        <f t="shared" si="77"/>
        <v/>
      </c>
      <c r="J1405" s="226"/>
    </row>
    <row r="1406" spans="1:10" hidden="1" x14ac:dyDescent="0.25">
      <c r="A1406" s="112" t="s">
        <v>5014</v>
      </c>
      <c r="B1406" s="113" t="s">
        <v>3821</v>
      </c>
      <c r="C1406" s="114" t="s">
        <v>20</v>
      </c>
      <c r="D1406" s="114">
        <v>0</v>
      </c>
      <c r="E1406" s="133" t="s">
        <v>514</v>
      </c>
      <c r="F1406" s="134" t="str">
        <f t="shared" si="75"/>
        <v/>
      </c>
      <c r="G1406" s="135" t="e">
        <f>IF(A1406&lt;&gt;"",IF(AND(#REF!="Padrão",$H$4=#REF!),BDI!$B$17,IF(AND(#REF!="Padrão",$H$4=#REF!),BDI!#REF!,IF(AND(#REF!="Diferenciado",$H$4=#REF!),BDI!$E$17,IF(AND(#REF!="Diferenciado",$H$4=#REF!),BDI!#REF!,IF(#REF!="ZERO",0))))),"")</f>
        <v>#REF!</v>
      </c>
      <c r="H1406" s="136" t="str">
        <f t="shared" si="76"/>
        <v/>
      </c>
      <c r="I1406" s="134" t="str">
        <f t="shared" si="77"/>
        <v/>
      </c>
      <c r="J1406" s="226"/>
    </row>
    <row r="1407" spans="1:10" hidden="1" x14ac:dyDescent="0.25">
      <c r="A1407" s="112" t="s">
        <v>5015</v>
      </c>
      <c r="B1407" s="113" t="s">
        <v>3822</v>
      </c>
      <c r="C1407" s="114" t="s">
        <v>20</v>
      </c>
      <c r="D1407" s="114">
        <v>0</v>
      </c>
      <c r="E1407" s="133" t="s">
        <v>514</v>
      </c>
      <c r="F1407" s="134" t="str">
        <f t="shared" si="75"/>
        <v/>
      </c>
      <c r="G1407" s="135" t="e">
        <f>IF(A1407&lt;&gt;"",IF(AND(#REF!="Padrão",$H$4=#REF!),BDI!$B$17,IF(AND(#REF!="Padrão",$H$4=#REF!),BDI!#REF!,IF(AND(#REF!="Diferenciado",$H$4=#REF!),BDI!$E$17,IF(AND(#REF!="Diferenciado",$H$4=#REF!),BDI!#REF!,IF(#REF!="ZERO",0))))),"")</f>
        <v>#REF!</v>
      </c>
      <c r="H1407" s="136" t="str">
        <f t="shared" si="76"/>
        <v/>
      </c>
      <c r="I1407" s="134" t="str">
        <f t="shared" si="77"/>
        <v/>
      </c>
      <c r="J1407" s="226"/>
    </row>
    <row r="1408" spans="1:10" hidden="1" x14ac:dyDescent="0.25">
      <c r="A1408" s="112" t="s">
        <v>5016</v>
      </c>
      <c r="B1408" s="113" t="s">
        <v>3823</v>
      </c>
      <c r="C1408" s="114" t="s">
        <v>2444</v>
      </c>
      <c r="D1408" s="114">
        <v>0</v>
      </c>
      <c r="E1408" s="133">
        <f ca="1">OFFSET(INDEX(Composições!A:J,MATCH(Orçamentária!A1408,Composições!A:A,0),8),2,0)</f>
        <v>11953.796324049999</v>
      </c>
      <c r="F1408" s="134">
        <f t="shared" ca="1" si="75"/>
        <v>0</v>
      </c>
      <c r="G1408" s="135" t="e">
        <f>IF(A1408&lt;&gt;"",IF(AND(#REF!="Padrão",$H$4=#REF!),BDI!$B$17,IF(AND(#REF!="Padrão",$H$4=#REF!),BDI!#REF!,IF(AND(#REF!="Diferenciado",$H$4=#REF!),BDI!$E$17,IF(AND(#REF!="Diferenciado",$H$4=#REF!),BDI!#REF!,IF(#REF!="ZERO",0))))),"")</f>
        <v>#REF!</v>
      </c>
      <c r="H1408" s="136" t="e">
        <f t="shared" ca="1" si="76"/>
        <v>#REF!</v>
      </c>
      <c r="I1408" s="134" t="e">
        <f t="shared" ca="1" si="77"/>
        <v>#REF!</v>
      </c>
      <c r="J1408" s="226"/>
    </row>
    <row r="1409" spans="1:10" hidden="1" x14ac:dyDescent="0.25">
      <c r="A1409" s="112" t="s">
        <v>5017</v>
      </c>
      <c r="B1409" s="113" t="s">
        <v>3824</v>
      </c>
      <c r="C1409" s="114" t="s">
        <v>2444</v>
      </c>
      <c r="D1409" s="114">
        <v>0</v>
      </c>
      <c r="E1409" s="133">
        <f ca="1">OFFSET(INDEX(Composições!A:J,MATCH(Orçamentária!A1409,Composições!A:A,0),8),2,0)</f>
        <v>11953.796324049999</v>
      </c>
      <c r="F1409" s="134">
        <f t="shared" ca="1" si="75"/>
        <v>0</v>
      </c>
      <c r="G1409" s="135" t="e">
        <f>IF(A1409&lt;&gt;"",IF(AND(#REF!="Padrão",$H$4=#REF!),BDI!$B$17,IF(AND(#REF!="Padrão",$H$4=#REF!),BDI!#REF!,IF(AND(#REF!="Diferenciado",$H$4=#REF!),BDI!$E$17,IF(AND(#REF!="Diferenciado",$H$4=#REF!),BDI!#REF!,IF(#REF!="ZERO",0))))),"")</f>
        <v>#REF!</v>
      </c>
      <c r="H1409" s="136" t="e">
        <f t="shared" ca="1" si="76"/>
        <v>#REF!</v>
      </c>
      <c r="I1409" s="134" t="e">
        <f t="shared" ca="1" si="77"/>
        <v>#REF!</v>
      </c>
      <c r="J1409" s="226"/>
    </row>
    <row r="1410" spans="1:10" hidden="1" x14ac:dyDescent="0.25">
      <c r="A1410" s="112" t="s">
        <v>5018</v>
      </c>
      <c r="B1410" s="113" t="s">
        <v>3825</v>
      </c>
      <c r="C1410" s="114" t="s">
        <v>2444</v>
      </c>
      <c r="D1410" s="114">
        <v>0</v>
      </c>
      <c r="E1410" s="133">
        <f ca="1">OFFSET(INDEX(Composições!A:J,MATCH(Orçamentária!A1410,Composições!A:A,0),8),2,0)</f>
        <v>4353.2545561500001</v>
      </c>
      <c r="F1410" s="134">
        <f t="shared" ca="1" si="75"/>
        <v>0</v>
      </c>
      <c r="G1410" s="135" t="e">
        <f>IF(A1410&lt;&gt;"",IF(AND(#REF!="Padrão",$H$4=#REF!),BDI!$B$17,IF(AND(#REF!="Padrão",$H$4=#REF!),BDI!#REF!,IF(AND(#REF!="Diferenciado",$H$4=#REF!),BDI!$E$17,IF(AND(#REF!="Diferenciado",$H$4=#REF!),BDI!#REF!,IF(#REF!="ZERO",0))))),"")</f>
        <v>#REF!</v>
      </c>
      <c r="H1410" s="136" t="e">
        <f t="shared" ca="1" si="76"/>
        <v>#REF!</v>
      </c>
      <c r="I1410" s="134" t="e">
        <f t="shared" ca="1" si="77"/>
        <v>#REF!</v>
      </c>
      <c r="J1410" s="226"/>
    </row>
    <row r="1411" spans="1:10" hidden="1" x14ac:dyDescent="0.25">
      <c r="A1411" s="112" t="s">
        <v>5019</v>
      </c>
      <c r="B1411" s="113" t="s">
        <v>3826</v>
      </c>
      <c r="C1411" s="114" t="s">
        <v>2444</v>
      </c>
      <c r="D1411" s="114">
        <v>0</v>
      </c>
      <c r="E1411" s="133">
        <f ca="1">OFFSET(INDEX(Composições!A:J,MATCH(Orçamentária!A1411,Composições!A:A,0),8),2,0)</f>
        <v>2072.6941957999998</v>
      </c>
      <c r="F1411" s="134">
        <f t="shared" ca="1" si="75"/>
        <v>0</v>
      </c>
      <c r="G1411" s="135" t="e">
        <f>IF(A1411&lt;&gt;"",IF(AND(#REF!="Padrão",$H$4=#REF!),BDI!$B$17,IF(AND(#REF!="Padrão",$H$4=#REF!),BDI!#REF!,IF(AND(#REF!="Diferenciado",$H$4=#REF!),BDI!$E$17,IF(AND(#REF!="Diferenciado",$H$4=#REF!),BDI!#REF!,IF(#REF!="ZERO",0))))),"")</f>
        <v>#REF!</v>
      </c>
      <c r="H1411" s="136" t="e">
        <f t="shared" ca="1" si="76"/>
        <v>#REF!</v>
      </c>
      <c r="I1411" s="134" t="e">
        <f t="shared" ca="1" si="77"/>
        <v>#REF!</v>
      </c>
      <c r="J1411" s="226"/>
    </row>
    <row r="1412" spans="1:10" hidden="1" x14ac:dyDescent="0.25">
      <c r="A1412" s="112" t="s">
        <v>5020</v>
      </c>
      <c r="B1412" s="113" t="s">
        <v>3827</v>
      </c>
      <c r="C1412" s="114" t="s">
        <v>2444</v>
      </c>
      <c r="D1412" s="114">
        <v>0</v>
      </c>
      <c r="E1412" s="133">
        <f ca="1">OFFSET(INDEX(Composições!A:J,MATCH(Orçamentária!A1412,Composições!A:A,0),8),2,0)</f>
        <v>2339.2402823999996</v>
      </c>
      <c r="F1412" s="134">
        <f t="shared" ca="1" si="75"/>
        <v>0</v>
      </c>
      <c r="G1412" s="135" t="e">
        <f>IF(A1412&lt;&gt;"",IF(AND(#REF!="Padrão",$H$4=#REF!),BDI!$B$17,IF(AND(#REF!="Padrão",$H$4=#REF!),BDI!#REF!,IF(AND(#REF!="Diferenciado",$H$4=#REF!),BDI!$E$17,IF(AND(#REF!="Diferenciado",$H$4=#REF!),BDI!#REF!,IF(#REF!="ZERO",0))))),"")</f>
        <v>#REF!</v>
      </c>
      <c r="H1412" s="136" t="e">
        <f t="shared" ca="1" si="76"/>
        <v>#REF!</v>
      </c>
      <c r="I1412" s="134" t="e">
        <f t="shared" ca="1" si="77"/>
        <v>#REF!</v>
      </c>
      <c r="J1412" s="226"/>
    </row>
    <row r="1413" spans="1:10" hidden="1" x14ac:dyDescent="0.25">
      <c r="A1413" s="112" t="s">
        <v>5021</v>
      </c>
      <c r="B1413" s="113" t="s">
        <v>3828</v>
      </c>
      <c r="C1413" s="114" t="s">
        <v>2444</v>
      </c>
      <c r="D1413" s="114">
        <v>0</v>
      </c>
      <c r="E1413" s="133">
        <f ca="1">OFFSET(INDEX(Composições!A:J,MATCH(Orçamentária!A1413,Composições!A:A,0),8),2,0)</f>
        <v>1541.5911724999999</v>
      </c>
      <c r="F1413" s="134">
        <f t="shared" ca="1" si="75"/>
        <v>0</v>
      </c>
      <c r="G1413" s="135" t="e">
        <f>IF(A1413&lt;&gt;"",IF(AND(#REF!="Padrão",$H$4=#REF!),BDI!$B$17,IF(AND(#REF!="Padrão",$H$4=#REF!),BDI!#REF!,IF(AND(#REF!="Diferenciado",$H$4=#REF!),BDI!$E$17,IF(AND(#REF!="Diferenciado",$H$4=#REF!),BDI!#REF!,IF(#REF!="ZERO",0))))),"")</f>
        <v>#REF!</v>
      </c>
      <c r="H1413" s="136" t="e">
        <f t="shared" ca="1" si="76"/>
        <v>#REF!</v>
      </c>
      <c r="I1413" s="134" t="e">
        <f t="shared" ca="1" si="77"/>
        <v>#REF!</v>
      </c>
      <c r="J1413" s="226"/>
    </row>
    <row r="1414" spans="1:10" hidden="1" x14ac:dyDescent="0.25">
      <c r="A1414" s="112" t="s">
        <v>5022</v>
      </c>
      <c r="B1414" s="113" t="s">
        <v>3829</v>
      </c>
      <c r="C1414" s="114" t="s">
        <v>2444</v>
      </c>
      <c r="D1414" s="114">
        <v>0</v>
      </c>
      <c r="E1414" s="133">
        <f ca="1">OFFSET(INDEX(Composições!A:J,MATCH(Orçamentária!A1414,Composições!A:A,0),8),2,0)</f>
        <v>3198.5530391999996</v>
      </c>
      <c r="F1414" s="134">
        <f t="shared" ca="1" si="75"/>
        <v>0</v>
      </c>
      <c r="G1414" s="135" t="e">
        <f>IF(A1414&lt;&gt;"",IF(AND(#REF!="Padrão",$H$4=#REF!),BDI!$B$17,IF(AND(#REF!="Padrão",$H$4=#REF!),BDI!#REF!,IF(AND(#REF!="Diferenciado",$H$4=#REF!),BDI!$E$17,IF(AND(#REF!="Diferenciado",$H$4=#REF!),BDI!#REF!,IF(#REF!="ZERO",0))))),"")</f>
        <v>#REF!</v>
      </c>
      <c r="H1414" s="136" t="e">
        <f t="shared" ca="1" si="76"/>
        <v>#REF!</v>
      </c>
      <c r="I1414" s="134" t="e">
        <f t="shared" ca="1" si="77"/>
        <v>#REF!</v>
      </c>
      <c r="J1414" s="226"/>
    </row>
    <row r="1415" spans="1:10" hidden="1" x14ac:dyDescent="0.25">
      <c r="A1415" s="112" t="s">
        <v>5023</v>
      </c>
      <c r="B1415" s="113" t="s">
        <v>3830</v>
      </c>
      <c r="C1415" s="114" t="s">
        <v>2444</v>
      </c>
      <c r="D1415" s="114">
        <v>0</v>
      </c>
      <c r="E1415" s="133">
        <f ca="1">OFFSET(INDEX(Composições!A:J,MATCH(Orçamentária!A1415,Composições!A:A,0),8),2,0)</f>
        <v>3198.5530391999996</v>
      </c>
      <c r="F1415" s="134">
        <f t="shared" ca="1" si="75"/>
        <v>0</v>
      </c>
      <c r="G1415" s="135" t="e">
        <f>IF(A1415&lt;&gt;"",IF(AND(#REF!="Padrão",$H$4=#REF!),BDI!$B$17,IF(AND(#REF!="Padrão",$H$4=#REF!),BDI!#REF!,IF(AND(#REF!="Diferenciado",$H$4=#REF!),BDI!$E$17,IF(AND(#REF!="Diferenciado",$H$4=#REF!),BDI!#REF!,IF(#REF!="ZERO",0))))),"")</f>
        <v>#REF!</v>
      </c>
      <c r="H1415" s="136" t="e">
        <f t="shared" ca="1" si="76"/>
        <v>#REF!</v>
      </c>
      <c r="I1415" s="134" t="e">
        <f t="shared" ca="1" si="77"/>
        <v>#REF!</v>
      </c>
      <c r="J1415" s="226"/>
    </row>
    <row r="1416" spans="1:10" hidden="1" x14ac:dyDescent="0.25">
      <c r="A1416" s="112" t="s">
        <v>5024</v>
      </c>
      <c r="B1416" s="113" t="s">
        <v>3831</v>
      </c>
      <c r="C1416" s="114" t="s">
        <v>2444</v>
      </c>
      <c r="D1416" s="114">
        <v>0</v>
      </c>
      <c r="E1416" s="133">
        <f ca="1">OFFSET(INDEX(Composições!A:J,MATCH(Orçamentária!A1416,Composições!A:A,0),8),2,0)</f>
        <v>3198.5530391999996</v>
      </c>
      <c r="F1416" s="134">
        <f t="shared" ca="1" si="75"/>
        <v>0</v>
      </c>
      <c r="G1416" s="135" t="e">
        <f>IF(A1416&lt;&gt;"",IF(AND(#REF!="Padrão",$H$4=#REF!),BDI!$B$17,IF(AND(#REF!="Padrão",$H$4=#REF!),BDI!#REF!,IF(AND(#REF!="Diferenciado",$H$4=#REF!),BDI!$E$17,IF(AND(#REF!="Diferenciado",$H$4=#REF!),BDI!#REF!,IF(#REF!="ZERO",0))))),"")</f>
        <v>#REF!</v>
      </c>
      <c r="H1416" s="136" t="e">
        <f t="shared" ca="1" si="76"/>
        <v>#REF!</v>
      </c>
      <c r="I1416" s="134" t="e">
        <f t="shared" ca="1" si="77"/>
        <v>#REF!</v>
      </c>
      <c r="J1416" s="226"/>
    </row>
    <row r="1417" spans="1:10" hidden="1" x14ac:dyDescent="0.25">
      <c r="A1417" s="112" t="s">
        <v>5025</v>
      </c>
      <c r="B1417" s="113" t="s">
        <v>3832</v>
      </c>
      <c r="C1417" s="114" t="s">
        <v>2444</v>
      </c>
      <c r="D1417" s="114">
        <v>0</v>
      </c>
      <c r="E1417" s="133">
        <f ca="1">OFFSET(INDEX(Composições!A:J,MATCH(Orçamentária!A1417,Composições!A:A,0),8),2,0)</f>
        <v>3198.5530391999996</v>
      </c>
      <c r="F1417" s="134">
        <f t="shared" ca="1" si="75"/>
        <v>0</v>
      </c>
      <c r="G1417" s="135" t="e">
        <f>IF(A1417&lt;&gt;"",IF(AND(#REF!="Padrão",$H$4=#REF!),BDI!$B$17,IF(AND(#REF!="Padrão",$H$4=#REF!),BDI!#REF!,IF(AND(#REF!="Diferenciado",$H$4=#REF!),BDI!$E$17,IF(AND(#REF!="Diferenciado",$H$4=#REF!),BDI!#REF!,IF(#REF!="ZERO",0))))),"")</f>
        <v>#REF!</v>
      </c>
      <c r="H1417" s="136" t="e">
        <f t="shared" ca="1" si="76"/>
        <v>#REF!</v>
      </c>
      <c r="I1417" s="134" t="e">
        <f t="shared" ca="1" si="77"/>
        <v>#REF!</v>
      </c>
      <c r="J1417" s="226"/>
    </row>
    <row r="1418" spans="1:10" hidden="1" x14ac:dyDescent="0.25">
      <c r="A1418" s="112" t="s">
        <v>5026</v>
      </c>
      <c r="B1418" s="113" t="s">
        <v>3833</v>
      </c>
      <c r="C1418" s="114" t="s">
        <v>2444</v>
      </c>
      <c r="D1418" s="114">
        <v>0</v>
      </c>
      <c r="E1418" s="133">
        <f ca="1">OFFSET(INDEX(Composições!A:J,MATCH(Orçamentária!A1418,Composições!A:A,0),8),2,0)</f>
        <v>2632.6398926499996</v>
      </c>
      <c r="F1418" s="134">
        <f t="shared" ca="1" si="75"/>
        <v>0</v>
      </c>
      <c r="G1418" s="135" t="e">
        <f>IF(A1418&lt;&gt;"",IF(AND(#REF!="Padrão",$H$4=#REF!),BDI!$B$17,IF(AND(#REF!="Padrão",$H$4=#REF!),BDI!#REF!,IF(AND(#REF!="Diferenciado",$H$4=#REF!),BDI!$E$17,IF(AND(#REF!="Diferenciado",$H$4=#REF!),BDI!#REF!,IF(#REF!="ZERO",0))))),"")</f>
        <v>#REF!</v>
      </c>
      <c r="H1418" s="136" t="e">
        <f t="shared" ca="1" si="76"/>
        <v>#REF!</v>
      </c>
      <c r="I1418" s="134" t="e">
        <f t="shared" ca="1" si="77"/>
        <v>#REF!</v>
      </c>
      <c r="J1418" s="226"/>
    </row>
    <row r="1419" spans="1:10" hidden="1" x14ac:dyDescent="0.25">
      <c r="A1419" s="112" t="s">
        <v>5027</v>
      </c>
      <c r="B1419" s="113" t="s">
        <v>3834</v>
      </c>
      <c r="C1419" s="114" t="s">
        <v>2444</v>
      </c>
      <c r="D1419" s="114">
        <v>0</v>
      </c>
      <c r="E1419" s="133">
        <f ca="1">OFFSET(INDEX(Composições!A:J,MATCH(Orçamentária!A1419,Composições!A:A,0),8),2,0)</f>
        <v>2031.9166228499998</v>
      </c>
      <c r="F1419" s="134">
        <f t="shared" ca="1" si="75"/>
        <v>0</v>
      </c>
      <c r="G1419" s="135" t="e">
        <f>IF(A1419&lt;&gt;"",IF(AND(#REF!="Padrão",$H$4=#REF!),BDI!$B$17,IF(AND(#REF!="Padrão",$H$4=#REF!),BDI!#REF!,IF(AND(#REF!="Diferenciado",$H$4=#REF!),BDI!$E$17,IF(AND(#REF!="Diferenciado",$H$4=#REF!),BDI!#REF!,IF(#REF!="ZERO",0))))),"")</f>
        <v>#REF!</v>
      </c>
      <c r="H1419" s="136" t="e">
        <f t="shared" ca="1" si="76"/>
        <v>#REF!</v>
      </c>
      <c r="I1419" s="134" t="e">
        <f t="shared" ca="1" si="77"/>
        <v>#REF!</v>
      </c>
      <c r="J1419" s="226"/>
    </row>
    <row r="1420" spans="1:10" hidden="1" x14ac:dyDescent="0.25">
      <c r="A1420" s="112" t="s">
        <v>5028</v>
      </c>
      <c r="B1420" s="113" t="s">
        <v>3835</v>
      </c>
      <c r="C1420" s="114" t="s">
        <v>2444</v>
      </c>
      <c r="D1420" s="114">
        <v>0</v>
      </c>
      <c r="E1420" s="133">
        <f ca="1">OFFSET(INDEX(Composições!A:J,MATCH(Orçamentária!A1420,Composições!A:A,0),8),2,0)</f>
        <v>3198.5530391999996</v>
      </c>
      <c r="F1420" s="134">
        <f t="shared" ca="1" si="75"/>
        <v>0</v>
      </c>
      <c r="G1420" s="135" t="e">
        <f>IF(A1420&lt;&gt;"",IF(AND(#REF!="Padrão",$H$4=#REF!),BDI!$B$17,IF(AND(#REF!="Padrão",$H$4=#REF!),BDI!#REF!,IF(AND(#REF!="Diferenciado",$H$4=#REF!),BDI!$E$17,IF(AND(#REF!="Diferenciado",$H$4=#REF!),BDI!#REF!,IF(#REF!="ZERO",0))))),"")</f>
        <v>#REF!</v>
      </c>
      <c r="H1420" s="136" t="e">
        <f t="shared" ca="1" si="76"/>
        <v>#REF!</v>
      </c>
      <c r="I1420" s="134" t="e">
        <f t="shared" ca="1" si="77"/>
        <v>#REF!</v>
      </c>
      <c r="J1420" s="226"/>
    </row>
    <row r="1421" spans="1:10" hidden="1" x14ac:dyDescent="0.25">
      <c r="A1421" s="112" t="s">
        <v>5029</v>
      </c>
      <c r="B1421" s="113" t="s">
        <v>3836</v>
      </c>
      <c r="C1421" s="114" t="s">
        <v>2444</v>
      </c>
      <c r="D1421" s="114">
        <v>0</v>
      </c>
      <c r="E1421" s="133">
        <f ca="1">OFFSET(INDEX(Composições!A:J,MATCH(Orçamentária!A1421,Composições!A:A,0),8),2,0)</f>
        <v>3198.5530391999996</v>
      </c>
      <c r="F1421" s="134">
        <f t="shared" ca="1" si="75"/>
        <v>0</v>
      </c>
      <c r="G1421" s="135" t="e">
        <f>IF(A1421&lt;&gt;"",IF(AND(#REF!="Padrão",$H$4=#REF!),BDI!$B$17,IF(AND(#REF!="Padrão",$H$4=#REF!),BDI!#REF!,IF(AND(#REF!="Diferenciado",$H$4=#REF!),BDI!$E$17,IF(AND(#REF!="Diferenciado",$H$4=#REF!),BDI!#REF!,IF(#REF!="ZERO",0))))),"")</f>
        <v>#REF!</v>
      </c>
      <c r="H1421" s="136" t="e">
        <f t="shared" ca="1" si="76"/>
        <v>#REF!</v>
      </c>
      <c r="I1421" s="134" t="e">
        <f t="shared" ca="1" si="77"/>
        <v>#REF!</v>
      </c>
      <c r="J1421" s="226"/>
    </row>
    <row r="1422" spans="1:10" hidden="1" x14ac:dyDescent="0.25">
      <c r="A1422" s="112" t="s">
        <v>5030</v>
      </c>
      <c r="B1422" s="113" t="s">
        <v>3837</v>
      </c>
      <c r="C1422" s="114" t="s">
        <v>2444</v>
      </c>
      <c r="D1422" s="114">
        <v>0</v>
      </c>
      <c r="E1422" s="133">
        <f ca="1">OFFSET(INDEX(Composições!A:J,MATCH(Orçamentária!A1422,Composições!A:A,0),8),2,0)</f>
        <v>3198.5530391999996</v>
      </c>
      <c r="F1422" s="134">
        <f t="shared" ca="1" si="75"/>
        <v>0</v>
      </c>
      <c r="G1422" s="135" t="e">
        <f>IF(A1422&lt;&gt;"",IF(AND(#REF!="Padrão",$H$4=#REF!),BDI!$B$17,IF(AND(#REF!="Padrão",$H$4=#REF!),BDI!#REF!,IF(AND(#REF!="Diferenciado",$H$4=#REF!),BDI!$E$17,IF(AND(#REF!="Diferenciado",$H$4=#REF!),BDI!#REF!,IF(#REF!="ZERO",0))))),"")</f>
        <v>#REF!</v>
      </c>
      <c r="H1422" s="136" t="e">
        <f t="shared" ca="1" si="76"/>
        <v>#REF!</v>
      </c>
      <c r="I1422" s="134" t="e">
        <f t="shared" ca="1" si="77"/>
        <v>#REF!</v>
      </c>
      <c r="J1422" s="226"/>
    </row>
    <row r="1423" spans="1:10" hidden="1" x14ac:dyDescent="0.25">
      <c r="A1423" s="112" t="s">
        <v>5031</v>
      </c>
      <c r="B1423" s="113" t="s">
        <v>3838</v>
      </c>
      <c r="C1423" s="114" t="s">
        <v>2444</v>
      </c>
      <c r="D1423" s="114">
        <v>0</v>
      </c>
      <c r="E1423" s="133">
        <f ca="1">OFFSET(INDEX(Composições!A:J,MATCH(Orçamentária!A1423,Composições!A:A,0),8),2,0)</f>
        <v>3198.5530391999996</v>
      </c>
      <c r="F1423" s="134">
        <f t="shared" ca="1" si="75"/>
        <v>0</v>
      </c>
      <c r="G1423" s="135" t="e">
        <f>IF(A1423&lt;&gt;"",IF(AND(#REF!="Padrão",$H$4=#REF!),BDI!$B$17,IF(AND(#REF!="Padrão",$H$4=#REF!),BDI!#REF!,IF(AND(#REF!="Diferenciado",$H$4=#REF!),BDI!$E$17,IF(AND(#REF!="Diferenciado",$H$4=#REF!),BDI!#REF!,IF(#REF!="ZERO",0))))),"")</f>
        <v>#REF!</v>
      </c>
      <c r="H1423" s="136" t="e">
        <f t="shared" ca="1" si="76"/>
        <v>#REF!</v>
      </c>
      <c r="I1423" s="134" t="e">
        <f t="shared" ca="1" si="77"/>
        <v>#REF!</v>
      </c>
      <c r="J1423" s="226"/>
    </row>
    <row r="1424" spans="1:10" hidden="1" x14ac:dyDescent="0.25">
      <c r="A1424" s="112" t="s">
        <v>5032</v>
      </c>
      <c r="B1424" s="113" t="s">
        <v>3839</v>
      </c>
      <c r="C1424" s="114" t="s">
        <v>2444</v>
      </c>
      <c r="D1424" s="114">
        <v>0</v>
      </c>
      <c r="E1424" s="133">
        <f ca="1">OFFSET(INDEX(Composições!A:J,MATCH(Orçamentária!A1424,Composições!A:A,0),8),2,0)</f>
        <v>2632.6398926499996</v>
      </c>
      <c r="F1424" s="134">
        <f t="shared" ca="1" si="75"/>
        <v>0</v>
      </c>
      <c r="G1424" s="135" t="e">
        <f>IF(A1424&lt;&gt;"",IF(AND(#REF!="Padrão",$H$4=#REF!),BDI!$B$17,IF(AND(#REF!="Padrão",$H$4=#REF!),BDI!#REF!,IF(AND(#REF!="Diferenciado",$H$4=#REF!),BDI!$E$17,IF(AND(#REF!="Diferenciado",$H$4=#REF!),BDI!#REF!,IF(#REF!="ZERO",0))))),"")</f>
        <v>#REF!</v>
      </c>
      <c r="H1424" s="136" t="e">
        <f t="shared" ca="1" si="76"/>
        <v>#REF!</v>
      </c>
      <c r="I1424" s="134" t="e">
        <f t="shared" ca="1" si="77"/>
        <v>#REF!</v>
      </c>
      <c r="J1424" s="226"/>
    </row>
    <row r="1425" spans="1:10" hidden="1" x14ac:dyDescent="0.25">
      <c r="A1425" s="112" t="s">
        <v>5033</v>
      </c>
      <c r="B1425" s="113" t="s">
        <v>3840</v>
      </c>
      <c r="C1425" s="114" t="s">
        <v>2444</v>
      </c>
      <c r="D1425" s="114">
        <v>0</v>
      </c>
      <c r="E1425" s="133">
        <f ca="1">OFFSET(INDEX(Composições!A:J,MATCH(Orçamentária!A1425,Composições!A:A,0),8),2,0)</f>
        <v>2632.6398926499996</v>
      </c>
      <c r="F1425" s="134">
        <f t="shared" ca="1" si="75"/>
        <v>0</v>
      </c>
      <c r="G1425" s="135" t="e">
        <f>IF(A1425&lt;&gt;"",IF(AND(#REF!="Padrão",$H$4=#REF!),BDI!$B$17,IF(AND(#REF!="Padrão",$H$4=#REF!),BDI!#REF!,IF(AND(#REF!="Diferenciado",$H$4=#REF!),BDI!$E$17,IF(AND(#REF!="Diferenciado",$H$4=#REF!),BDI!#REF!,IF(#REF!="ZERO",0))))),"")</f>
        <v>#REF!</v>
      </c>
      <c r="H1425" s="136" t="e">
        <f t="shared" ca="1" si="76"/>
        <v>#REF!</v>
      </c>
      <c r="I1425" s="134" t="e">
        <f t="shared" ca="1" si="77"/>
        <v>#REF!</v>
      </c>
      <c r="J1425" s="226"/>
    </row>
    <row r="1426" spans="1:10" hidden="1" x14ac:dyDescent="0.25">
      <c r="A1426" s="112" t="s">
        <v>5034</v>
      </c>
      <c r="B1426" s="113" t="s">
        <v>3841</v>
      </c>
      <c r="C1426" s="114" t="s">
        <v>2444</v>
      </c>
      <c r="D1426" s="114">
        <v>0</v>
      </c>
      <c r="E1426" s="133">
        <f ca="1">OFFSET(INDEX(Composições!A:J,MATCH(Orçamentária!A1426,Composições!A:A,0),8),2,0)</f>
        <v>2632.6398926499996</v>
      </c>
      <c r="F1426" s="134">
        <f t="shared" ca="1" si="75"/>
        <v>0</v>
      </c>
      <c r="G1426" s="135" t="e">
        <f>IF(A1426&lt;&gt;"",IF(AND(#REF!="Padrão",$H$4=#REF!),BDI!$B$17,IF(AND(#REF!="Padrão",$H$4=#REF!),BDI!#REF!,IF(AND(#REF!="Diferenciado",$H$4=#REF!),BDI!$E$17,IF(AND(#REF!="Diferenciado",$H$4=#REF!),BDI!#REF!,IF(#REF!="ZERO",0))))),"")</f>
        <v>#REF!</v>
      </c>
      <c r="H1426" s="136" t="e">
        <f t="shared" ca="1" si="76"/>
        <v>#REF!</v>
      </c>
      <c r="I1426" s="134" t="e">
        <f t="shared" ca="1" si="77"/>
        <v>#REF!</v>
      </c>
      <c r="J1426" s="226"/>
    </row>
    <row r="1427" spans="1:10" hidden="1" x14ac:dyDescent="0.25">
      <c r="A1427" s="112" t="s">
        <v>5035</v>
      </c>
      <c r="B1427" s="113" t="s">
        <v>3842</v>
      </c>
      <c r="C1427" s="114" t="s">
        <v>2444</v>
      </c>
      <c r="D1427" s="114">
        <v>0</v>
      </c>
      <c r="E1427" s="133">
        <f ca="1">OFFSET(INDEX(Composições!A:J,MATCH(Orçamentária!A1427,Composições!A:A,0),8),2,0)</f>
        <v>2632.6398926499996</v>
      </c>
      <c r="F1427" s="134">
        <f t="shared" ca="1" si="75"/>
        <v>0</v>
      </c>
      <c r="G1427" s="135" t="e">
        <f>IF(A1427&lt;&gt;"",IF(AND(#REF!="Padrão",$H$4=#REF!),BDI!$B$17,IF(AND(#REF!="Padrão",$H$4=#REF!),BDI!#REF!,IF(AND(#REF!="Diferenciado",$H$4=#REF!),BDI!$E$17,IF(AND(#REF!="Diferenciado",$H$4=#REF!),BDI!#REF!,IF(#REF!="ZERO",0))))),"")</f>
        <v>#REF!</v>
      </c>
      <c r="H1427" s="136" t="e">
        <f t="shared" ca="1" si="76"/>
        <v>#REF!</v>
      </c>
      <c r="I1427" s="134" t="e">
        <f t="shared" ca="1" si="77"/>
        <v>#REF!</v>
      </c>
      <c r="J1427" s="226"/>
    </row>
    <row r="1428" spans="1:10" hidden="1" x14ac:dyDescent="0.25">
      <c r="A1428" s="112" t="s">
        <v>5036</v>
      </c>
      <c r="B1428" s="113" t="s">
        <v>3843</v>
      </c>
      <c r="C1428" s="114" t="s">
        <v>20</v>
      </c>
      <c r="D1428" s="114">
        <v>0</v>
      </c>
      <c r="E1428" s="133" t="s">
        <v>514</v>
      </c>
      <c r="F1428" s="134" t="str">
        <f t="shared" si="75"/>
        <v/>
      </c>
      <c r="G1428" s="135" t="e">
        <f>IF(A1428&lt;&gt;"",IF(AND(#REF!="Padrão",$H$4=#REF!),BDI!$B$17,IF(AND(#REF!="Padrão",$H$4=#REF!),BDI!#REF!,IF(AND(#REF!="Diferenciado",$H$4=#REF!),BDI!$E$17,IF(AND(#REF!="Diferenciado",$H$4=#REF!),BDI!#REF!,IF(#REF!="ZERO",0))))),"")</f>
        <v>#REF!</v>
      </c>
      <c r="H1428" s="136" t="str">
        <f t="shared" si="76"/>
        <v/>
      </c>
      <c r="I1428" s="134" t="str">
        <f t="shared" si="77"/>
        <v/>
      </c>
      <c r="J1428" s="226"/>
    </row>
    <row r="1429" spans="1:10" hidden="1" x14ac:dyDescent="0.25">
      <c r="A1429" s="112" t="s">
        <v>5037</v>
      </c>
      <c r="B1429" s="113" t="s">
        <v>3844</v>
      </c>
      <c r="C1429" s="114" t="s">
        <v>20</v>
      </c>
      <c r="D1429" s="114">
        <v>0</v>
      </c>
      <c r="E1429" s="133" t="s">
        <v>514</v>
      </c>
      <c r="F1429" s="134" t="str">
        <f t="shared" si="75"/>
        <v/>
      </c>
      <c r="G1429" s="135" t="e">
        <f>IF(A1429&lt;&gt;"",IF(AND(#REF!="Padrão",$H$4=#REF!),BDI!$B$17,IF(AND(#REF!="Padrão",$H$4=#REF!),BDI!#REF!,IF(AND(#REF!="Diferenciado",$H$4=#REF!),BDI!$E$17,IF(AND(#REF!="Diferenciado",$H$4=#REF!),BDI!#REF!,IF(#REF!="ZERO",0))))),"")</f>
        <v>#REF!</v>
      </c>
      <c r="H1429" s="136" t="str">
        <f t="shared" si="76"/>
        <v/>
      </c>
      <c r="I1429" s="134" t="str">
        <f t="shared" si="77"/>
        <v/>
      </c>
      <c r="J1429" s="226"/>
    </row>
    <row r="1430" spans="1:10" hidden="1" x14ac:dyDescent="0.25">
      <c r="A1430" s="112" t="s">
        <v>5038</v>
      </c>
      <c r="B1430" s="113" t="s">
        <v>3845</v>
      </c>
      <c r="C1430" s="114" t="s">
        <v>20</v>
      </c>
      <c r="D1430" s="114">
        <v>0</v>
      </c>
      <c r="E1430" s="133" t="s">
        <v>514</v>
      </c>
      <c r="F1430" s="134" t="str">
        <f t="shared" si="75"/>
        <v/>
      </c>
      <c r="G1430" s="135" t="e">
        <f>IF(A1430&lt;&gt;"",IF(AND(#REF!="Padrão",$H$4=#REF!),BDI!$B$17,IF(AND(#REF!="Padrão",$H$4=#REF!),BDI!#REF!,IF(AND(#REF!="Diferenciado",$H$4=#REF!),BDI!$E$17,IF(AND(#REF!="Diferenciado",$H$4=#REF!),BDI!#REF!,IF(#REF!="ZERO",0))))),"")</f>
        <v>#REF!</v>
      </c>
      <c r="H1430" s="136" t="str">
        <f t="shared" si="76"/>
        <v/>
      </c>
      <c r="I1430" s="134" t="str">
        <f t="shared" si="77"/>
        <v/>
      </c>
      <c r="J1430" s="226"/>
    </row>
    <row r="1431" spans="1:10" hidden="1" x14ac:dyDescent="0.25">
      <c r="A1431" s="112" t="s">
        <v>5039</v>
      </c>
      <c r="B1431" s="113" t="s">
        <v>3846</v>
      </c>
      <c r="C1431" s="114" t="s">
        <v>20</v>
      </c>
      <c r="D1431" s="114">
        <v>0</v>
      </c>
      <c r="E1431" s="133" t="s">
        <v>514</v>
      </c>
      <c r="F1431" s="134" t="str">
        <f t="shared" si="75"/>
        <v/>
      </c>
      <c r="G1431" s="135" t="e">
        <f>IF(A1431&lt;&gt;"",IF(AND(#REF!="Padrão",$H$4=#REF!),BDI!$B$17,IF(AND(#REF!="Padrão",$H$4=#REF!),BDI!#REF!,IF(AND(#REF!="Diferenciado",$H$4=#REF!),BDI!$E$17,IF(AND(#REF!="Diferenciado",$H$4=#REF!),BDI!#REF!,IF(#REF!="ZERO",0))))),"")</f>
        <v>#REF!</v>
      </c>
      <c r="H1431" s="136" t="str">
        <f t="shared" si="76"/>
        <v/>
      </c>
      <c r="I1431" s="134" t="str">
        <f t="shared" si="77"/>
        <v/>
      </c>
      <c r="J1431" s="226"/>
    </row>
    <row r="1432" spans="1:10" hidden="1" x14ac:dyDescent="0.25">
      <c r="A1432" s="112" t="s">
        <v>5040</v>
      </c>
      <c r="B1432" s="113" t="s">
        <v>3847</v>
      </c>
      <c r="C1432" s="114" t="s">
        <v>20</v>
      </c>
      <c r="D1432" s="114">
        <v>0</v>
      </c>
      <c r="E1432" s="133" t="s">
        <v>514</v>
      </c>
      <c r="F1432" s="134" t="str">
        <f t="shared" si="75"/>
        <v/>
      </c>
      <c r="G1432" s="135" t="e">
        <f>IF(A1432&lt;&gt;"",IF(AND(#REF!="Padrão",$H$4=#REF!),BDI!$B$17,IF(AND(#REF!="Padrão",$H$4=#REF!),BDI!#REF!,IF(AND(#REF!="Diferenciado",$H$4=#REF!),BDI!$E$17,IF(AND(#REF!="Diferenciado",$H$4=#REF!),BDI!#REF!,IF(#REF!="ZERO",0))))),"")</f>
        <v>#REF!</v>
      </c>
      <c r="H1432" s="136" t="str">
        <f t="shared" si="76"/>
        <v/>
      </c>
      <c r="I1432" s="134" t="str">
        <f t="shared" si="77"/>
        <v/>
      </c>
      <c r="J1432" s="226"/>
    </row>
    <row r="1433" spans="1:10" hidden="1" x14ac:dyDescent="0.25">
      <c r="A1433" s="112" t="s">
        <v>5041</v>
      </c>
      <c r="B1433" s="113" t="s">
        <v>3848</v>
      </c>
      <c r="C1433" s="114" t="s">
        <v>20</v>
      </c>
      <c r="D1433" s="114">
        <v>0</v>
      </c>
      <c r="E1433" s="133" t="s">
        <v>514</v>
      </c>
      <c r="F1433" s="134" t="str">
        <f t="shared" si="75"/>
        <v/>
      </c>
      <c r="G1433" s="135" t="e">
        <f>IF(A1433&lt;&gt;"",IF(AND(#REF!="Padrão",$H$4=#REF!),BDI!$B$17,IF(AND(#REF!="Padrão",$H$4=#REF!),BDI!#REF!,IF(AND(#REF!="Diferenciado",$H$4=#REF!),BDI!$E$17,IF(AND(#REF!="Diferenciado",$H$4=#REF!),BDI!#REF!,IF(#REF!="ZERO",0))))),"")</f>
        <v>#REF!</v>
      </c>
      <c r="H1433" s="136" t="str">
        <f t="shared" si="76"/>
        <v/>
      </c>
      <c r="I1433" s="134" t="str">
        <f t="shared" si="77"/>
        <v/>
      </c>
      <c r="J1433" s="226"/>
    </row>
    <row r="1434" spans="1:10" hidden="1" x14ac:dyDescent="0.25">
      <c r="A1434" s="112" t="s">
        <v>5042</v>
      </c>
      <c r="B1434" s="113" t="s">
        <v>3849</v>
      </c>
      <c r="C1434" s="114" t="s">
        <v>20</v>
      </c>
      <c r="D1434" s="114">
        <v>0</v>
      </c>
      <c r="E1434" s="133" t="s">
        <v>514</v>
      </c>
      <c r="F1434" s="134" t="str">
        <f t="shared" si="75"/>
        <v/>
      </c>
      <c r="G1434" s="135" t="e">
        <f>IF(A1434&lt;&gt;"",IF(AND(#REF!="Padrão",$H$4=#REF!),BDI!$B$17,IF(AND(#REF!="Padrão",$H$4=#REF!),BDI!#REF!,IF(AND(#REF!="Diferenciado",$H$4=#REF!),BDI!$E$17,IF(AND(#REF!="Diferenciado",$H$4=#REF!),BDI!#REF!,IF(#REF!="ZERO",0))))),"")</f>
        <v>#REF!</v>
      </c>
      <c r="H1434" s="136" t="str">
        <f t="shared" si="76"/>
        <v/>
      </c>
      <c r="I1434" s="134" t="str">
        <f t="shared" si="77"/>
        <v/>
      </c>
      <c r="J1434" s="226"/>
    </row>
    <row r="1435" spans="1:10" hidden="1" x14ac:dyDescent="0.25">
      <c r="A1435" s="112" t="s">
        <v>5043</v>
      </c>
      <c r="B1435" s="113" t="s">
        <v>3850</v>
      </c>
      <c r="C1435" s="114" t="s">
        <v>20</v>
      </c>
      <c r="D1435" s="114">
        <v>0</v>
      </c>
      <c r="E1435" s="133" t="s">
        <v>514</v>
      </c>
      <c r="F1435" s="134" t="str">
        <f t="shared" si="75"/>
        <v/>
      </c>
      <c r="G1435" s="135" t="e">
        <f>IF(A1435&lt;&gt;"",IF(AND(#REF!="Padrão",$H$4=#REF!),BDI!$B$17,IF(AND(#REF!="Padrão",$H$4=#REF!),BDI!#REF!,IF(AND(#REF!="Diferenciado",$H$4=#REF!),BDI!$E$17,IF(AND(#REF!="Diferenciado",$H$4=#REF!),BDI!#REF!,IF(#REF!="ZERO",0))))),"")</f>
        <v>#REF!</v>
      </c>
      <c r="H1435" s="136" t="str">
        <f t="shared" si="76"/>
        <v/>
      </c>
      <c r="I1435" s="134" t="str">
        <f t="shared" si="77"/>
        <v/>
      </c>
      <c r="J1435" s="226"/>
    </row>
    <row r="1436" spans="1:10" hidden="1" x14ac:dyDescent="0.25">
      <c r="A1436" s="112" t="s">
        <v>5044</v>
      </c>
      <c r="B1436" s="113" t="s">
        <v>3851</v>
      </c>
      <c r="C1436" s="114" t="s">
        <v>20</v>
      </c>
      <c r="D1436" s="114">
        <v>0</v>
      </c>
      <c r="E1436" s="133" t="s">
        <v>514</v>
      </c>
      <c r="F1436" s="134" t="str">
        <f t="shared" si="75"/>
        <v/>
      </c>
      <c r="G1436" s="135" t="e">
        <f>IF(A1436&lt;&gt;"",IF(AND(#REF!="Padrão",$H$4=#REF!),BDI!$B$17,IF(AND(#REF!="Padrão",$H$4=#REF!),BDI!#REF!,IF(AND(#REF!="Diferenciado",$H$4=#REF!),BDI!$E$17,IF(AND(#REF!="Diferenciado",$H$4=#REF!),BDI!#REF!,IF(#REF!="ZERO",0))))),"")</f>
        <v>#REF!</v>
      </c>
      <c r="H1436" s="136" t="str">
        <f t="shared" si="76"/>
        <v/>
      </c>
      <c r="I1436" s="134" t="str">
        <f t="shared" si="77"/>
        <v/>
      </c>
      <c r="J1436" s="226"/>
    </row>
    <row r="1437" spans="1:10" hidden="1" x14ac:dyDescent="0.25">
      <c r="A1437" s="112" t="s">
        <v>5045</v>
      </c>
      <c r="B1437" s="113" t="s">
        <v>3852</v>
      </c>
      <c r="C1437" s="114" t="s">
        <v>20</v>
      </c>
      <c r="D1437" s="114">
        <v>0</v>
      </c>
      <c r="E1437" s="133" t="s">
        <v>514</v>
      </c>
      <c r="F1437" s="134" t="str">
        <f t="shared" si="75"/>
        <v/>
      </c>
      <c r="G1437" s="135" t="e">
        <f>IF(A1437&lt;&gt;"",IF(AND(#REF!="Padrão",$H$4=#REF!),BDI!$B$17,IF(AND(#REF!="Padrão",$H$4=#REF!),BDI!#REF!,IF(AND(#REF!="Diferenciado",$H$4=#REF!),BDI!$E$17,IF(AND(#REF!="Diferenciado",$H$4=#REF!),BDI!#REF!,IF(#REF!="ZERO",0))))),"")</f>
        <v>#REF!</v>
      </c>
      <c r="H1437" s="136" t="str">
        <f t="shared" si="76"/>
        <v/>
      </c>
      <c r="I1437" s="134" t="str">
        <f t="shared" si="77"/>
        <v/>
      </c>
      <c r="J1437" s="226"/>
    </row>
    <row r="1438" spans="1:10" hidden="1" x14ac:dyDescent="0.25">
      <c r="A1438" s="112" t="s">
        <v>5046</v>
      </c>
      <c r="B1438" s="113" t="s">
        <v>3853</v>
      </c>
      <c r="C1438" s="114" t="s">
        <v>20</v>
      </c>
      <c r="D1438" s="114">
        <v>0</v>
      </c>
      <c r="E1438" s="133" t="s">
        <v>514</v>
      </c>
      <c r="F1438" s="134" t="str">
        <f t="shared" si="75"/>
        <v/>
      </c>
      <c r="G1438" s="135" t="e">
        <f>IF(A1438&lt;&gt;"",IF(AND(#REF!="Padrão",$H$4=#REF!),BDI!$B$17,IF(AND(#REF!="Padrão",$H$4=#REF!),BDI!#REF!,IF(AND(#REF!="Diferenciado",$H$4=#REF!),BDI!$E$17,IF(AND(#REF!="Diferenciado",$H$4=#REF!),BDI!#REF!,IF(#REF!="ZERO",0))))),"")</f>
        <v>#REF!</v>
      </c>
      <c r="H1438" s="136" t="str">
        <f t="shared" si="76"/>
        <v/>
      </c>
      <c r="I1438" s="134" t="str">
        <f t="shared" si="77"/>
        <v/>
      </c>
      <c r="J1438" s="226"/>
    </row>
    <row r="1439" spans="1:10" hidden="1" x14ac:dyDescent="0.25">
      <c r="A1439" s="112" t="s">
        <v>5047</v>
      </c>
      <c r="B1439" s="113" t="s">
        <v>3854</v>
      </c>
      <c r="C1439" s="114" t="s">
        <v>20</v>
      </c>
      <c r="D1439" s="114">
        <v>0</v>
      </c>
      <c r="E1439" s="133" t="s">
        <v>514</v>
      </c>
      <c r="F1439" s="134" t="str">
        <f t="shared" si="75"/>
        <v/>
      </c>
      <c r="G1439" s="135" t="e">
        <f>IF(A1439&lt;&gt;"",IF(AND(#REF!="Padrão",$H$4=#REF!),BDI!$B$17,IF(AND(#REF!="Padrão",$H$4=#REF!),BDI!#REF!,IF(AND(#REF!="Diferenciado",$H$4=#REF!),BDI!$E$17,IF(AND(#REF!="Diferenciado",$H$4=#REF!),BDI!#REF!,IF(#REF!="ZERO",0))))),"")</f>
        <v>#REF!</v>
      </c>
      <c r="H1439" s="136" t="str">
        <f t="shared" si="76"/>
        <v/>
      </c>
      <c r="I1439" s="134" t="str">
        <f t="shared" si="77"/>
        <v/>
      </c>
      <c r="J1439" s="226"/>
    </row>
    <row r="1440" spans="1:10" hidden="1" x14ac:dyDescent="0.25">
      <c r="A1440" s="112" t="s">
        <v>5048</v>
      </c>
      <c r="B1440" s="113" t="s">
        <v>3855</v>
      </c>
      <c r="C1440" s="114" t="s">
        <v>92</v>
      </c>
      <c r="D1440" s="114">
        <v>0</v>
      </c>
      <c r="E1440" s="133" t="s">
        <v>514</v>
      </c>
      <c r="F1440" s="134" t="str">
        <f t="shared" si="75"/>
        <v/>
      </c>
      <c r="G1440" s="135" t="e">
        <f>IF(A1440&lt;&gt;"",IF(AND(#REF!="Padrão",$H$4=#REF!),BDI!$B$17,IF(AND(#REF!="Padrão",$H$4=#REF!),BDI!#REF!,IF(AND(#REF!="Diferenciado",$H$4=#REF!),BDI!$E$17,IF(AND(#REF!="Diferenciado",$H$4=#REF!),BDI!#REF!,IF(#REF!="ZERO",0))))),"")</f>
        <v>#REF!</v>
      </c>
      <c r="H1440" s="136" t="str">
        <f t="shared" si="76"/>
        <v/>
      </c>
      <c r="I1440" s="134" t="str">
        <f t="shared" si="77"/>
        <v/>
      </c>
      <c r="J1440" s="226"/>
    </row>
    <row r="1441" spans="1:10" hidden="1" x14ac:dyDescent="0.25">
      <c r="A1441" s="112" t="s">
        <v>5049</v>
      </c>
      <c r="B1441" s="113" t="s">
        <v>3856</v>
      </c>
      <c r="C1441" s="114" t="s">
        <v>20</v>
      </c>
      <c r="D1441" s="114">
        <v>0</v>
      </c>
      <c r="E1441" s="133" t="s">
        <v>514</v>
      </c>
      <c r="F1441" s="134" t="str">
        <f t="shared" si="75"/>
        <v/>
      </c>
      <c r="G1441" s="135" t="e">
        <f>IF(A1441&lt;&gt;"",IF(AND(#REF!="Padrão",$H$4=#REF!),BDI!$B$17,IF(AND(#REF!="Padrão",$H$4=#REF!),BDI!#REF!,IF(AND(#REF!="Diferenciado",$H$4=#REF!),BDI!$E$17,IF(AND(#REF!="Diferenciado",$H$4=#REF!),BDI!#REF!,IF(#REF!="ZERO",0))))),"")</f>
        <v>#REF!</v>
      </c>
      <c r="H1441" s="136" t="str">
        <f t="shared" si="76"/>
        <v/>
      </c>
      <c r="I1441" s="134" t="str">
        <f t="shared" si="77"/>
        <v/>
      </c>
      <c r="J1441" s="226"/>
    </row>
    <row r="1442" spans="1:10" hidden="1" x14ac:dyDescent="0.25">
      <c r="A1442" s="112" t="s">
        <v>5050</v>
      </c>
      <c r="B1442" s="113" t="s">
        <v>3857</v>
      </c>
      <c r="C1442" s="114" t="s">
        <v>6241</v>
      </c>
      <c r="D1442" s="114">
        <v>0</v>
      </c>
      <c r="E1442" s="133" t="s">
        <v>514</v>
      </c>
      <c r="F1442" s="134" t="str">
        <f t="shared" si="75"/>
        <v/>
      </c>
      <c r="G1442" s="135" t="e">
        <f>IF(A1442&lt;&gt;"",IF(AND(#REF!="Padrão",$H$4=#REF!),BDI!$B$17,IF(AND(#REF!="Padrão",$H$4=#REF!),BDI!#REF!,IF(AND(#REF!="Diferenciado",$H$4=#REF!),BDI!$E$17,IF(AND(#REF!="Diferenciado",$H$4=#REF!),BDI!#REF!,IF(#REF!="ZERO",0))))),"")</f>
        <v>#REF!</v>
      </c>
      <c r="H1442" s="136" t="str">
        <f t="shared" si="76"/>
        <v/>
      </c>
      <c r="I1442" s="134" t="str">
        <f t="shared" si="77"/>
        <v/>
      </c>
      <c r="J1442" s="226"/>
    </row>
    <row r="1443" spans="1:10" hidden="1" x14ac:dyDescent="0.25">
      <c r="A1443" s="112" t="s">
        <v>5051</v>
      </c>
      <c r="B1443" s="113" t="s">
        <v>3858</v>
      </c>
      <c r="C1443" s="114" t="s">
        <v>20</v>
      </c>
      <c r="D1443" s="114">
        <v>0</v>
      </c>
      <c r="E1443" s="133" t="s">
        <v>514</v>
      </c>
      <c r="F1443" s="134" t="str">
        <f t="shared" si="75"/>
        <v/>
      </c>
      <c r="G1443" s="135" t="e">
        <f>IF(A1443&lt;&gt;"",IF(AND(#REF!="Padrão",$H$4=#REF!),BDI!$B$17,IF(AND(#REF!="Padrão",$H$4=#REF!),BDI!#REF!,IF(AND(#REF!="Diferenciado",$H$4=#REF!),BDI!$E$17,IF(AND(#REF!="Diferenciado",$H$4=#REF!),BDI!#REF!,IF(#REF!="ZERO",0))))),"")</f>
        <v>#REF!</v>
      </c>
      <c r="H1443" s="136" t="str">
        <f t="shared" si="76"/>
        <v/>
      </c>
      <c r="I1443" s="134" t="str">
        <f t="shared" si="77"/>
        <v/>
      </c>
      <c r="J1443" s="226"/>
    </row>
    <row r="1444" spans="1:10" hidden="1" x14ac:dyDescent="0.25">
      <c r="A1444" s="112" t="s">
        <v>5052</v>
      </c>
      <c r="B1444" s="113" t="s">
        <v>3859</v>
      </c>
      <c r="C1444" s="114" t="s">
        <v>20</v>
      </c>
      <c r="D1444" s="114">
        <v>0</v>
      </c>
      <c r="E1444" s="133" t="s">
        <v>514</v>
      </c>
      <c r="F1444" s="134" t="str">
        <f t="shared" si="75"/>
        <v/>
      </c>
      <c r="G1444" s="135" t="e">
        <f>IF(A1444&lt;&gt;"",IF(AND(#REF!="Padrão",$H$4=#REF!),BDI!$B$17,IF(AND(#REF!="Padrão",$H$4=#REF!),BDI!#REF!,IF(AND(#REF!="Diferenciado",$H$4=#REF!),BDI!$E$17,IF(AND(#REF!="Diferenciado",$H$4=#REF!),BDI!#REF!,IF(#REF!="ZERO",0))))),"")</f>
        <v>#REF!</v>
      </c>
      <c r="H1444" s="136" t="str">
        <f t="shared" si="76"/>
        <v/>
      </c>
      <c r="I1444" s="134" t="str">
        <f t="shared" si="77"/>
        <v/>
      </c>
      <c r="J1444" s="226"/>
    </row>
    <row r="1445" spans="1:10" hidden="1" x14ac:dyDescent="0.25">
      <c r="A1445" s="112" t="s">
        <v>5053</v>
      </c>
      <c r="B1445" s="113" t="s">
        <v>3860</v>
      </c>
      <c r="C1445" s="114" t="s">
        <v>20</v>
      </c>
      <c r="D1445" s="114">
        <v>0</v>
      </c>
      <c r="E1445" s="133" t="s">
        <v>514</v>
      </c>
      <c r="F1445" s="134" t="str">
        <f t="shared" si="75"/>
        <v/>
      </c>
      <c r="G1445" s="135" t="e">
        <f>IF(A1445&lt;&gt;"",IF(AND(#REF!="Padrão",$H$4=#REF!),BDI!$B$17,IF(AND(#REF!="Padrão",$H$4=#REF!),BDI!#REF!,IF(AND(#REF!="Diferenciado",$H$4=#REF!),BDI!$E$17,IF(AND(#REF!="Diferenciado",$H$4=#REF!),BDI!#REF!,IF(#REF!="ZERO",0))))),"")</f>
        <v>#REF!</v>
      </c>
      <c r="H1445" s="136" t="str">
        <f t="shared" si="76"/>
        <v/>
      </c>
      <c r="I1445" s="134" t="str">
        <f t="shared" si="77"/>
        <v/>
      </c>
      <c r="J1445" s="226"/>
    </row>
    <row r="1446" spans="1:10" hidden="1" x14ac:dyDescent="0.25">
      <c r="A1446" s="112" t="s">
        <v>5054</v>
      </c>
      <c r="B1446" s="113" t="s">
        <v>3861</v>
      </c>
      <c r="C1446" s="114" t="s">
        <v>20</v>
      </c>
      <c r="D1446" s="114">
        <v>0</v>
      </c>
      <c r="E1446" s="133" t="s">
        <v>514</v>
      </c>
      <c r="F1446" s="134" t="str">
        <f t="shared" si="75"/>
        <v/>
      </c>
      <c r="G1446" s="135" t="e">
        <f>IF(A1446&lt;&gt;"",IF(AND(#REF!="Padrão",$H$4=#REF!),BDI!$B$17,IF(AND(#REF!="Padrão",$H$4=#REF!),BDI!#REF!,IF(AND(#REF!="Diferenciado",$H$4=#REF!),BDI!$E$17,IF(AND(#REF!="Diferenciado",$H$4=#REF!),BDI!#REF!,IF(#REF!="ZERO",0))))),"")</f>
        <v>#REF!</v>
      </c>
      <c r="H1446" s="136" t="str">
        <f t="shared" si="76"/>
        <v/>
      </c>
      <c r="I1446" s="134" t="str">
        <f t="shared" si="77"/>
        <v/>
      </c>
      <c r="J1446" s="226"/>
    </row>
    <row r="1447" spans="1:10" hidden="1" x14ac:dyDescent="0.25">
      <c r="A1447" s="112" t="s">
        <v>5055</v>
      </c>
      <c r="B1447" s="113" t="s">
        <v>3862</v>
      </c>
      <c r="C1447" s="114" t="s">
        <v>20</v>
      </c>
      <c r="D1447" s="114">
        <v>0</v>
      </c>
      <c r="E1447" s="133" t="s">
        <v>514</v>
      </c>
      <c r="F1447" s="134" t="str">
        <f t="shared" si="75"/>
        <v/>
      </c>
      <c r="G1447" s="135" t="e">
        <f>IF(A1447&lt;&gt;"",IF(AND(#REF!="Padrão",$H$4=#REF!),BDI!$B$17,IF(AND(#REF!="Padrão",$H$4=#REF!),BDI!#REF!,IF(AND(#REF!="Diferenciado",$H$4=#REF!),BDI!$E$17,IF(AND(#REF!="Diferenciado",$H$4=#REF!),BDI!#REF!,IF(#REF!="ZERO",0))))),"")</f>
        <v>#REF!</v>
      </c>
      <c r="H1447" s="136" t="str">
        <f t="shared" si="76"/>
        <v/>
      </c>
      <c r="I1447" s="134" t="str">
        <f t="shared" si="77"/>
        <v/>
      </c>
      <c r="J1447" s="226"/>
    </row>
    <row r="1448" spans="1:10" hidden="1" x14ac:dyDescent="0.25">
      <c r="A1448" s="112" t="s">
        <v>5056</v>
      </c>
      <c r="B1448" s="113" t="s">
        <v>3863</v>
      </c>
      <c r="C1448" s="114" t="s">
        <v>20</v>
      </c>
      <c r="D1448" s="114">
        <v>0</v>
      </c>
      <c r="E1448" s="133" t="s">
        <v>514</v>
      </c>
      <c r="F1448" s="134" t="str">
        <f t="shared" si="75"/>
        <v/>
      </c>
      <c r="G1448" s="135" t="e">
        <f>IF(A1448&lt;&gt;"",IF(AND(#REF!="Padrão",$H$4=#REF!),BDI!$B$17,IF(AND(#REF!="Padrão",$H$4=#REF!),BDI!#REF!,IF(AND(#REF!="Diferenciado",$H$4=#REF!),BDI!$E$17,IF(AND(#REF!="Diferenciado",$H$4=#REF!),BDI!#REF!,IF(#REF!="ZERO",0))))),"")</f>
        <v>#REF!</v>
      </c>
      <c r="H1448" s="136" t="str">
        <f t="shared" si="76"/>
        <v/>
      </c>
      <c r="I1448" s="134" t="str">
        <f t="shared" si="77"/>
        <v/>
      </c>
      <c r="J1448" s="226"/>
    </row>
    <row r="1449" spans="1:10" hidden="1" x14ac:dyDescent="0.25">
      <c r="A1449" s="112" t="s">
        <v>5057</v>
      </c>
      <c r="B1449" s="113" t="s">
        <v>3864</v>
      </c>
      <c r="C1449" s="114" t="s">
        <v>20</v>
      </c>
      <c r="D1449" s="114">
        <v>0</v>
      </c>
      <c r="E1449" s="133" t="s">
        <v>514</v>
      </c>
      <c r="F1449" s="134" t="str">
        <f t="shared" si="75"/>
        <v/>
      </c>
      <c r="G1449" s="135" t="e">
        <f>IF(A1449&lt;&gt;"",IF(AND(#REF!="Padrão",$H$4=#REF!),BDI!$B$17,IF(AND(#REF!="Padrão",$H$4=#REF!),BDI!#REF!,IF(AND(#REF!="Diferenciado",$H$4=#REF!),BDI!$E$17,IF(AND(#REF!="Diferenciado",$H$4=#REF!),BDI!#REF!,IF(#REF!="ZERO",0))))),"")</f>
        <v>#REF!</v>
      </c>
      <c r="H1449" s="136" t="str">
        <f t="shared" si="76"/>
        <v/>
      </c>
      <c r="I1449" s="134" t="str">
        <f t="shared" si="77"/>
        <v/>
      </c>
      <c r="J1449" s="226"/>
    </row>
    <row r="1450" spans="1:10" hidden="1" x14ac:dyDescent="0.25">
      <c r="A1450" s="112" t="s">
        <v>5058</v>
      </c>
      <c r="B1450" s="113" t="s">
        <v>3865</v>
      </c>
      <c r="C1450" s="114" t="s">
        <v>4995</v>
      </c>
      <c r="D1450" s="114">
        <v>0</v>
      </c>
      <c r="E1450" s="133" t="s">
        <v>514</v>
      </c>
      <c r="F1450" s="134" t="str">
        <f t="shared" si="75"/>
        <v/>
      </c>
      <c r="G1450" s="135" t="e">
        <f>IF(A1450&lt;&gt;"",IF(AND(#REF!="Padrão",$H$4=#REF!),BDI!$B$17,IF(AND(#REF!="Padrão",$H$4=#REF!),BDI!#REF!,IF(AND(#REF!="Diferenciado",$H$4=#REF!),BDI!$E$17,IF(AND(#REF!="Diferenciado",$H$4=#REF!),BDI!#REF!,IF(#REF!="ZERO",0))))),"")</f>
        <v>#REF!</v>
      </c>
      <c r="H1450" s="136" t="str">
        <f t="shared" si="76"/>
        <v/>
      </c>
      <c r="I1450" s="134" t="str">
        <f t="shared" si="77"/>
        <v/>
      </c>
      <c r="J1450" s="226"/>
    </row>
    <row r="1451" spans="1:10" hidden="1" x14ac:dyDescent="0.25">
      <c r="A1451" s="112" t="s">
        <v>5059</v>
      </c>
      <c r="B1451" s="113" t="s">
        <v>3866</v>
      </c>
      <c r="C1451" s="114" t="s">
        <v>92</v>
      </c>
      <c r="D1451" s="114">
        <v>0</v>
      </c>
      <c r="E1451" s="133" t="s">
        <v>514</v>
      </c>
      <c r="F1451" s="134" t="str">
        <f t="shared" si="75"/>
        <v/>
      </c>
      <c r="G1451" s="135" t="e">
        <f>IF(A1451&lt;&gt;"",IF(AND(#REF!="Padrão",$H$4=#REF!),BDI!$B$17,IF(AND(#REF!="Padrão",$H$4=#REF!),BDI!#REF!,IF(AND(#REF!="Diferenciado",$H$4=#REF!),BDI!$E$17,IF(AND(#REF!="Diferenciado",$H$4=#REF!),BDI!#REF!,IF(#REF!="ZERO",0))))),"")</f>
        <v>#REF!</v>
      </c>
      <c r="H1451" s="136" t="str">
        <f t="shared" si="76"/>
        <v/>
      </c>
      <c r="I1451" s="134" t="str">
        <f t="shared" si="77"/>
        <v/>
      </c>
      <c r="J1451" s="226"/>
    </row>
    <row r="1452" spans="1:10" hidden="1" x14ac:dyDescent="0.25">
      <c r="A1452" s="112" t="s">
        <v>5060</v>
      </c>
      <c r="B1452" s="113" t="s">
        <v>3867</v>
      </c>
      <c r="C1452" s="114" t="s">
        <v>92</v>
      </c>
      <c r="D1452" s="114">
        <v>0</v>
      </c>
      <c r="E1452" s="133" t="s">
        <v>514</v>
      </c>
      <c r="F1452" s="134" t="str">
        <f t="shared" si="75"/>
        <v/>
      </c>
      <c r="G1452" s="135" t="e">
        <f>IF(A1452&lt;&gt;"",IF(AND(#REF!="Padrão",$H$4=#REF!),BDI!$B$17,IF(AND(#REF!="Padrão",$H$4=#REF!),BDI!#REF!,IF(AND(#REF!="Diferenciado",$H$4=#REF!),BDI!$E$17,IF(AND(#REF!="Diferenciado",$H$4=#REF!),BDI!#REF!,IF(#REF!="ZERO",0))))),"")</f>
        <v>#REF!</v>
      </c>
      <c r="H1452" s="136" t="str">
        <f t="shared" si="76"/>
        <v/>
      </c>
      <c r="I1452" s="134" t="str">
        <f t="shared" si="77"/>
        <v/>
      </c>
      <c r="J1452" s="226"/>
    </row>
    <row r="1453" spans="1:10" hidden="1" x14ac:dyDescent="0.25">
      <c r="A1453" s="112" t="s">
        <v>5061</v>
      </c>
      <c r="B1453" s="113" t="s">
        <v>3868</v>
      </c>
      <c r="C1453" s="114" t="s">
        <v>92</v>
      </c>
      <c r="D1453" s="114">
        <v>0</v>
      </c>
      <c r="E1453" s="133" t="s">
        <v>514</v>
      </c>
      <c r="F1453" s="134" t="str">
        <f t="shared" ref="F1453:F1516" si="78">IF(ISNUMBER(E1453),D1453*E1453,"")</f>
        <v/>
      </c>
      <c r="G1453" s="135" t="e">
        <f>IF(A1453&lt;&gt;"",IF(AND(#REF!="Padrão",$H$4=#REF!),BDI!$B$17,IF(AND(#REF!="Padrão",$H$4=#REF!),BDI!#REF!,IF(AND(#REF!="Diferenciado",$H$4=#REF!),BDI!$E$17,IF(AND(#REF!="Diferenciado",$H$4=#REF!),BDI!#REF!,IF(#REF!="ZERO",0))))),"")</f>
        <v>#REF!</v>
      </c>
      <c r="H1453" s="136" t="str">
        <f t="shared" ref="H1453:H1516" si="79">IF(ISNUMBER(E1453),ROUND(E1453*(1+G1453),2),"")</f>
        <v/>
      </c>
      <c r="I1453" s="134" t="str">
        <f t="shared" ref="I1453:I1516" si="80">IF(ISNUMBER(E1453),ROUND(H1453*D1453,2),"")</f>
        <v/>
      </c>
      <c r="J1453" s="226"/>
    </row>
    <row r="1454" spans="1:10" hidden="1" x14ac:dyDescent="0.25">
      <c r="A1454" s="112" t="s">
        <v>5062</v>
      </c>
      <c r="B1454" s="113" t="s">
        <v>3869</v>
      </c>
      <c r="C1454" s="114" t="s">
        <v>92</v>
      </c>
      <c r="D1454" s="114">
        <v>0</v>
      </c>
      <c r="E1454" s="133" t="s">
        <v>514</v>
      </c>
      <c r="F1454" s="134" t="str">
        <f t="shared" si="78"/>
        <v/>
      </c>
      <c r="G1454" s="135" t="e">
        <f>IF(A1454&lt;&gt;"",IF(AND(#REF!="Padrão",$H$4=#REF!),BDI!$B$17,IF(AND(#REF!="Padrão",$H$4=#REF!),BDI!#REF!,IF(AND(#REF!="Diferenciado",$H$4=#REF!),BDI!$E$17,IF(AND(#REF!="Diferenciado",$H$4=#REF!),BDI!#REF!,IF(#REF!="ZERO",0))))),"")</f>
        <v>#REF!</v>
      </c>
      <c r="H1454" s="136" t="str">
        <f t="shared" si="79"/>
        <v/>
      </c>
      <c r="I1454" s="134" t="str">
        <f t="shared" si="80"/>
        <v/>
      </c>
      <c r="J1454" s="226"/>
    </row>
    <row r="1455" spans="1:10" hidden="1" x14ac:dyDescent="0.25">
      <c r="A1455" s="112" t="s">
        <v>5063</v>
      </c>
      <c r="B1455" s="113" t="s">
        <v>3870</v>
      </c>
      <c r="C1455" s="114" t="s">
        <v>92</v>
      </c>
      <c r="D1455" s="114">
        <v>0</v>
      </c>
      <c r="E1455" s="133" t="s">
        <v>514</v>
      </c>
      <c r="F1455" s="134" t="str">
        <f t="shared" si="78"/>
        <v/>
      </c>
      <c r="G1455" s="135" t="e">
        <f>IF(A1455&lt;&gt;"",IF(AND(#REF!="Padrão",$H$4=#REF!),BDI!$B$17,IF(AND(#REF!="Padrão",$H$4=#REF!),BDI!#REF!,IF(AND(#REF!="Diferenciado",$H$4=#REF!),BDI!$E$17,IF(AND(#REF!="Diferenciado",$H$4=#REF!),BDI!#REF!,IF(#REF!="ZERO",0))))),"")</f>
        <v>#REF!</v>
      </c>
      <c r="H1455" s="136" t="str">
        <f t="shared" si="79"/>
        <v/>
      </c>
      <c r="I1455" s="134" t="str">
        <f t="shared" si="80"/>
        <v/>
      </c>
      <c r="J1455" s="226"/>
    </row>
    <row r="1456" spans="1:10" hidden="1" x14ac:dyDescent="0.25">
      <c r="A1456" s="112" t="s">
        <v>5064</v>
      </c>
      <c r="B1456" s="113" t="s">
        <v>3871</v>
      </c>
      <c r="C1456" s="114" t="s">
        <v>92</v>
      </c>
      <c r="D1456" s="114">
        <v>0</v>
      </c>
      <c r="E1456" s="133" t="s">
        <v>514</v>
      </c>
      <c r="F1456" s="134" t="str">
        <f t="shared" si="78"/>
        <v/>
      </c>
      <c r="G1456" s="135" t="e">
        <f>IF(A1456&lt;&gt;"",IF(AND(#REF!="Padrão",$H$4=#REF!),BDI!$B$17,IF(AND(#REF!="Padrão",$H$4=#REF!),BDI!#REF!,IF(AND(#REF!="Diferenciado",$H$4=#REF!),BDI!$E$17,IF(AND(#REF!="Diferenciado",$H$4=#REF!),BDI!#REF!,IF(#REF!="ZERO",0))))),"")</f>
        <v>#REF!</v>
      </c>
      <c r="H1456" s="136" t="str">
        <f t="shared" si="79"/>
        <v/>
      </c>
      <c r="I1456" s="134" t="str">
        <f t="shared" si="80"/>
        <v/>
      </c>
      <c r="J1456" s="226"/>
    </row>
    <row r="1457" spans="1:10" hidden="1" x14ac:dyDescent="0.25">
      <c r="A1457" s="112" t="s">
        <v>5065</v>
      </c>
      <c r="B1457" s="113" t="s">
        <v>3872</v>
      </c>
      <c r="C1457" s="114" t="s">
        <v>92</v>
      </c>
      <c r="D1457" s="114">
        <v>0</v>
      </c>
      <c r="E1457" s="133" t="s">
        <v>514</v>
      </c>
      <c r="F1457" s="134" t="str">
        <f t="shared" si="78"/>
        <v/>
      </c>
      <c r="G1457" s="135" t="e">
        <f>IF(A1457&lt;&gt;"",IF(AND(#REF!="Padrão",$H$4=#REF!),BDI!$B$17,IF(AND(#REF!="Padrão",$H$4=#REF!),BDI!#REF!,IF(AND(#REF!="Diferenciado",$H$4=#REF!),BDI!$E$17,IF(AND(#REF!="Diferenciado",$H$4=#REF!),BDI!#REF!,IF(#REF!="ZERO",0))))),"")</f>
        <v>#REF!</v>
      </c>
      <c r="H1457" s="136" t="str">
        <f t="shared" si="79"/>
        <v/>
      </c>
      <c r="I1457" s="134" t="str">
        <f t="shared" si="80"/>
        <v/>
      </c>
      <c r="J1457" s="226"/>
    </row>
    <row r="1458" spans="1:10" hidden="1" x14ac:dyDescent="0.25">
      <c r="A1458" s="112" t="s">
        <v>5066</v>
      </c>
      <c r="B1458" s="113" t="s">
        <v>3873</v>
      </c>
      <c r="C1458" s="114" t="s">
        <v>92</v>
      </c>
      <c r="D1458" s="114">
        <v>0</v>
      </c>
      <c r="E1458" s="133" t="s">
        <v>514</v>
      </c>
      <c r="F1458" s="134" t="str">
        <f t="shared" si="78"/>
        <v/>
      </c>
      <c r="G1458" s="135" t="e">
        <f>IF(A1458&lt;&gt;"",IF(AND(#REF!="Padrão",$H$4=#REF!),BDI!$B$17,IF(AND(#REF!="Padrão",$H$4=#REF!),BDI!#REF!,IF(AND(#REF!="Diferenciado",$H$4=#REF!),BDI!$E$17,IF(AND(#REF!="Diferenciado",$H$4=#REF!),BDI!#REF!,IF(#REF!="ZERO",0))))),"")</f>
        <v>#REF!</v>
      </c>
      <c r="H1458" s="136" t="str">
        <f t="shared" si="79"/>
        <v/>
      </c>
      <c r="I1458" s="134" t="str">
        <f t="shared" si="80"/>
        <v/>
      </c>
      <c r="J1458" s="226"/>
    </row>
    <row r="1459" spans="1:10" hidden="1" x14ac:dyDescent="0.25">
      <c r="A1459" s="112" t="s">
        <v>5067</v>
      </c>
      <c r="B1459" s="113" t="s">
        <v>3874</v>
      </c>
      <c r="C1459" s="114" t="s">
        <v>92</v>
      </c>
      <c r="D1459" s="114">
        <v>0</v>
      </c>
      <c r="E1459" s="133" t="s">
        <v>514</v>
      </c>
      <c r="F1459" s="134" t="str">
        <f t="shared" si="78"/>
        <v/>
      </c>
      <c r="G1459" s="135" t="e">
        <f>IF(A1459&lt;&gt;"",IF(AND(#REF!="Padrão",$H$4=#REF!),BDI!$B$17,IF(AND(#REF!="Padrão",$H$4=#REF!),BDI!#REF!,IF(AND(#REF!="Diferenciado",$H$4=#REF!),BDI!$E$17,IF(AND(#REF!="Diferenciado",$H$4=#REF!),BDI!#REF!,IF(#REF!="ZERO",0))))),"")</f>
        <v>#REF!</v>
      </c>
      <c r="H1459" s="136" t="str">
        <f t="shared" si="79"/>
        <v/>
      </c>
      <c r="I1459" s="134" t="str">
        <f t="shared" si="80"/>
        <v/>
      </c>
      <c r="J1459" s="226"/>
    </row>
    <row r="1460" spans="1:10" hidden="1" x14ac:dyDescent="0.25">
      <c r="A1460" s="112" t="s">
        <v>5068</v>
      </c>
      <c r="B1460" s="113" t="s">
        <v>3875</v>
      </c>
      <c r="C1460" s="114" t="s">
        <v>92</v>
      </c>
      <c r="D1460" s="114">
        <v>0</v>
      </c>
      <c r="E1460" s="133" t="s">
        <v>514</v>
      </c>
      <c r="F1460" s="134" t="str">
        <f t="shared" si="78"/>
        <v/>
      </c>
      <c r="G1460" s="135" t="e">
        <f>IF(A1460&lt;&gt;"",IF(AND(#REF!="Padrão",$H$4=#REF!),BDI!$B$17,IF(AND(#REF!="Padrão",$H$4=#REF!),BDI!#REF!,IF(AND(#REF!="Diferenciado",$H$4=#REF!),BDI!$E$17,IF(AND(#REF!="Diferenciado",$H$4=#REF!),BDI!#REF!,IF(#REF!="ZERO",0))))),"")</f>
        <v>#REF!</v>
      </c>
      <c r="H1460" s="136" t="str">
        <f t="shared" si="79"/>
        <v/>
      </c>
      <c r="I1460" s="134" t="str">
        <f t="shared" si="80"/>
        <v/>
      </c>
      <c r="J1460" s="226"/>
    </row>
    <row r="1461" spans="1:10" hidden="1" x14ac:dyDescent="0.25">
      <c r="A1461" s="112" t="s">
        <v>5069</v>
      </c>
      <c r="B1461" s="113" t="s">
        <v>3876</v>
      </c>
      <c r="C1461" s="114" t="s">
        <v>92</v>
      </c>
      <c r="D1461" s="114">
        <v>0</v>
      </c>
      <c r="E1461" s="133" t="s">
        <v>514</v>
      </c>
      <c r="F1461" s="134" t="str">
        <f t="shared" si="78"/>
        <v/>
      </c>
      <c r="G1461" s="135" t="e">
        <f>IF(A1461&lt;&gt;"",IF(AND(#REF!="Padrão",$H$4=#REF!),BDI!$B$17,IF(AND(#REF!="Padrão",$H$4=#REF!),BDI!#REF!,IF(AND(#REF!="Diferenciado",$H$4=#REF!),BDI!$E$17,IF(AND(#REF!="Diferenciado",$H$4=#REF!),BDI!#REF!,IF(#REF!="ZERO",0))))),"")</f>
        <v>#REF!</v>
      </c>
      <c r="H1461" s="136" t="str">
        <f t="shared" si="79"/>
        <v/>
      </c>
      <c r="I1461" s="134" t="str">
        <f t="shared" si="80"/>
        <v/>
      </c>
      <c r="J1461" s="226"/>
    </row>
    <row r="1462" spans="1:10" hidden="1" x14ac:dyDescent="0.25">
      <c r="A1462" s="112" t="s">
        <v>5070</v>
      </c>
      <c r="B1462" s="113" t="s">
        <v>3877</v>
      </c>
      <c r="C1462" s="114" t="s">
        <v>20</v>
      </c>
      <c r="D1462" s="114">
        <v>0</v>
      </c>
      <c r="E1462" s="133" t="s">
        <v>514</v>
      </c>
      <c r="F1462" s="134" t="str">
        <f t="shared" si="78"/>
        <v/>
      </c>
      <c r="G1462" s="135" t="e">
        <f>IF(A1462&lt;&gt;"",IF(AND(#REF!="Padrão",$H$4=#REF!),BDI!$B$17,IF(AND(#REF!="Padrão",$H$4=#REF!),BDI!#REF!,IF(AND(#REF!="Diferenciado",$H$4=#REF!),BDI!$E$17,IF(AND(#REF!="Diferenciado",$H$4=#REF!),BDI!#REF!,IF(#REF!="ZERO",0))))),"")</f>
        <v>#REF!</v>
      </c>
      <c r="H1462" s="136" t="str">
        <f t="shared" si="79"/>
        <v/>
      </c>
      <c r="I1462" s="134" t="str">
        <f t="shared" si="80"/>
        <v/>
      </c>
      <c r="J1462" s="226"/>
    </row>
    <row r="1463" spans="1:10" hidden="1" x14ac:dyDescent="0.25">
      <c r="A1463" s="112" t="s">
        <v>5071</v>
      </c>
      <c r="B1463" s="113" t="s">
        <v>3878</v>
      </c>
      <c r="C1463" s="114" t="s">
        <v>20</v>
      </c>
      <c r="D1463" s="114">
        <v>0</v>
      </c>
      <c r="E1463" s="133" t="s">
        <v>514</v>
      </c>
      <c r="F1463" s="134" t="str">
        <f t="shared" si="78"/>
        <v/>
      </c>
      <c r="G1463" s="135" t="e">
        <f>IF(A1463&lt;&gt;"",IF(AND(#REF!="Padrão",$H$4=#REF!),BDI!$B$17,IF(AND(#REF!="Padrão",$H$4=#REF!),BDI!#REF!,IF(AND(#REF!="Diferenciado",$H$4=#REF!),BDI!$E$17,IF(AND(#REF!="Diferenciado",$H$4=#REF!),BDI!#REF!,IF(#REF!="ZERO",0))))),"")</f>
        <v>#REF!</v>
      </c>
      <c r="H1463" s="136" t="str">
        <f t="shared" si="79"/>
        <v/>
      </c>
      <c r="I1463" s="134" t="str">
        <f t="shared" si="80"/>
        <v/>
      </c>
      <c r="J1463" s="226"/>
    </row>
    <row r="1464" spans="1:10" hidden="1" x14ac:dyDescent="0.25">
      <c r="A1464" s="112" t="s">
        <v>5072</v>
      </c>
      <c r="B1464" s="113" t="s">
        <v>3879</v>
      </c>
      <c r="C1464" s="114" t="s">
        <v>20</v>
      </c>
      <c r="D1464" s="114">
        <v>0</v>
      </c>
      <c r="E1464" s="133" t="s">
        <v>514</v>
      </c>
      <c r="F1464" s="134" t="str">
        <f t="shared" si="78"/>
        <v/>
      </c>
      <c r="G1464" s="135" t="e">
        <f>IF(A1464&lt;&gt;"",IF(AND(#REF!="Padrão",$H$4=#REF!),BDI!$B$17,IF(AND(#REF!="Padrão",$H$4=#REF!),BDI!#REF!,IF(AND(#REF!="Diferenciado",$H$4=#REF!),BDI!$E$17,IF(AND(#REF!="Diferenciado",$H$4=#REF!),BDI!#REF!,IF(#REF!="ZERO",0))))),"")</f>
        <v>#REF!</v>
      </c>
      <c r="H1464" s="136" t="str">
        <f t="shared" si="79"/>
        <v/>
      </c>
      <c r="I1464" s="134" t="str">
        <f t="shared" si="80"/>
        <v/>
      </c>
      <c r="J1464" s="226"/>
    </row>
    <row r="1465" spans="1:10" hidden="1" x14ac:dyDescent="0.25">
      <c r="A1465" s="112" t="s">
        <v>5073</v>
      </c>
      <c r="B1465" s="113" t="s">
        <v>3880</v>
      </c>
      <c r="C1465" s="114" t="s">
        <v>20</v>
      </c>
      <c r="D1465" s="114">
        <v>0</v>
      </c>
      <c r="E1465" s="133" t="s">
        <v>514</v>
      </c>
      <c r="F1465" s="134" t="str">
        <f t="shared" si="78"/>
        <v/>
      </c>
      <c r="G1465" s="135" t="e">
        <f>IF(A1465&lt;&gt;"",IF(AND(#REF!="Padrão",$H$4=#REF!),BDI!$B$17,IF(AND(#REF!="Padrão",$H$4=#REF!),BDI!#REF!,IF(AND(#REF!="Diferenciado",$H$4=#REF!),BDI!$E$17,IF(AND(#REF!="Diferenciado",$H$4=#REF!),BDI!#REF!,IF(#REF!="ZERO",0))))),"")</f>
        <v>#REF!</v>
      </c>
      <c r="H1465" s="136" t="str">
        <f t="shared" si="79"/>
        <v/>
      </c>
      <c r="I1465" s="134" t="str">
        <f t="shared" si="80"/>
        <v/>
      </c>
      <c r="J1465" s="226"/>
    </row>
    <row r="1466" spans="1:10" hidden="1" x14ac:dyDescent="0.25">
      <c r="A1466" s="112" t="s">
        <v>5074</v>
      </c>
      <c r="B1466" s="113" t="s">
        <v>3881</v>
      </c>
      <c r="C1466" s="114" t="s">
        <v>20</v>
      </c>
      <c r="D1466" s="114">
        <v>0</v>
      </c>
      <c r="E1466" s="133" t="s">
        <v>514</v>
      </c>
      <c r="F1466" s="134" t="str">
        <f t="shared" si="78"/>
        <v/>
      </c>
      <c r="G1466" s="135" t="e">
        <f>IF(A1466&lt;&gt;"",IF(AND(#REF!="Padrão",$H$4=#REF!),BDI!$B$17,IF(AND(#REF!="Padrão",$H$4=#REF!),BDI!#REF!,IF(AND(#REF!="Diferenciado",$H$4=#REF!),BDI!$E$17,IF(AND(#REF!="Diferenciado",$H$4=#REF!),BDI!#REF!,IF(#REF!="ZERO",0))))),"")</f>
        <v>#REF!</v>
      </c>
      <c r="H1466" s="136" t="str">
        <f t="shared" si="79"/>
        <v/>
      </c>
      <c r="I1466" s="134" t="str">
        <f t="shared" si="80"/>
        <v/>
      </c>
      <c r="J1466" s="226"/>
    </row>
    <row r="1467" spans="1:10" hidden="1" x14ac:dyDescent="0.25">
      <c r="A1467" s="112" t="s">
        <v>5075</v>
      </c>
      <c r="B1467" s="113" t="s">
        <v>3882</v>
      </c>
      <c r="C1467" s="114" t="s">
        <v>20</v>
      </c>
      <c r="D1467" s="114">
        <v>0</v>
      </c>
      <c r="E1467" s="133" t="s">
        <v>514</v>
      </c>
      <c r="F1467" s="134" t="str">
        <f t="shared" si="78"/>
        <v/>
      </c>
      <c r="G1467" s="135" t="e">
        <f>IF(A1467&lt;&gt;"",IF(AND(#REF!="Padrão",$H$4=#REF!),BDI!$B$17,IF(AND(#REF!="Padrão",$H$4=#REF!),BDI!#REF!,IF(AND(#REF!="Diferenciado",$H$4=#REF!),BDI!$E$17,IF(AND(#REF!="Diferenciado",$H$4=#REF!),BDI!#REF!,IF(#REF!="ZERO",0))))),"")</f>
        <v>#REF!</v>
      </c>
      <c r="H1467" s="136" t="str">
        <f t="shared" si="79"/>
        <v/>
      </c>
      <c r="I1467" s="134" t="str">
        <f t="shared" si="80"/>
        <v/>
      </c>
      <c r="J1467" s="226"/>
    </row>
    <row r="1468" spans="1:10" hidden="1" x14ac:dyDescent="0.25">
      <c r="A1468" s="112" t="s">
        <v>5076</v>
      </c>
      <c r="B1468" s="113" t="s">
        <v>3883</v>
      </c>
      <c r="C1468" s="114" t="s">
        <v>20</v>
      </c>
      <c r="D1468" s="114">
        <v>0</v>
      </c>
      <c r="E1468" s="133" t="s">
        <v>514</v>
      </c>
      <c r="F1468" s="134" t="str">
        <f t="shared" si="78"/>
        <v/>
      </c>
      <c r="G1468" s="135" t="e">
        <f>IF(A1468&lt;&gt;"",IF(AND(#REF!="Padrão",$H$4=#REF!),BDI!$B$17,IF(AND(#REF!="Padrão",$H$4=#REF!),BDI!#REF!,IF(AND(#REF!="Diferenciado",$H$4=#REF!),BDI!$E$17,IF(AND(#REF!="Diferenciado",$H$4=#REF!),BDI!#REF!,IF(#REF!="ZERO",0))))),"")</f>
        <v>#REF!</v>
      </c>
      <c r="H1468" s="136" t="str">
        <f t="shared" si="79"/>
        <v/>
      </c>
      <c r="I1468" s="134" t="str">
        <f t="shared" si="80"/>
        <v/>
      </c>
      <c r="J1468" s="226"/>
    </row>
    <row r="1469" spans="1:10" hidden="1" x14ac:dyDescent="0.25">
      <c r="A1469" s="112" t="s">
        <v>5077</v>
      </c>
      <c r="B1469" s="113" t="s">
        <v>3884</v>
      </c>
      <c r="C1469" s="114" t="s">
        <v>20</v>
      </c>
      <c r="D1469" s="114">
        <v>0</v>
      </c>
      <c r="E1469" s="133" t="s">
        <v>514</v>
      </c>
      <c r="F1469" s="134" t="str">
        <f t="shared" si="78"/>
        <v/>
      </c>
      <c r="G1469" s="135" t="e">
        <f>IF(A1469&lt;&gt;"",IF(AND(#REF!="Padrão",$H$4=#REF!),BDI!$B$17,IF(AND(#REF!="Padrão",$H$4=#REF!),BDI!#REF!,IF(AND(#REF!="Diferenciado",$H$4=#REF!),BDI!$E$17,IF(AND(#REF!="Diferenciado",$H$4=#REF!),BDI!#REF!,IF(#REF!="ZERO",0))))),"")</f>
        <v>#REF!</v>
      </c>
      <c r="H1469" s="136" t="str">
        <f t="shared" si="79"/>
        <v/>
      </c>
      <c r="I1469" s="134" t="str">
        <f t="shared" si="80"/>
        <v/>
      </c>
      <c r="J1469" s="226"/>
    </row>
    <row r="1470" spans="1:10" hidden="1" x14ac:dyDescent="0.25">
      <c r="A1470" s="112" t="s">
        <v>5078</v>
      </c>
      <c r="B1470" s="113" t="s">
        <v>3885</v>
      </c>
      <c r="C1470" s="114" t="s">
        <v>20</v>
      </c>
      <c r="D1470" s="114">
        <v>0</v>
      </c>
      <c r="E1470" s="133" t="s">
        <v>514</v>
      </c>
      <c r="F1470" s="134" t="str">
        <f t="shared" si="78"/>
        <v/>
      </c>
      <c r="G1470" s="135" t="e">
        <f>IF(A1470&lt;&gt;"",IF(AND(#REF!="Padrão",$H$4=#REF!),BDI!$B$17,IF(AND(#REF!="Padrão",$H$4=#REF!),BDI!#REF!,IF(AND(#REF!="Diferenciado",$H$4=#REF!),BDI!$E$17,IF(AND(#REF!="Diferenciado",$H$4=#REF!),BDI!#REF!,IF(#REF!="ZERO",0))))),"")</f>
        <v>#REF!</v>
      </c>
      <c r="H1470" s="136" t="str">
        <f t="shared" si="79"/>
        <v/>
      </c>
      <c r="I1470" s="134" t="str">
        <f t="shared" si="80"/>
        <v/>
      </c>
      <c r="J1470" s="226"/>
    </row>
    <row r="1471" spans="1:10" hidden="1" x14ac:dyDescent="0.25">
      <c r="A1471" s="112" t="s">
        <v>5079</v>
      </c>
      <c r="B1471" s="113" t="s">
        <v>3886</v>
      </c>
      <c r="C1471" s="114" t="s">
        <v>20</v>
      </c>
      <c r="D1471" s="114">
        <v>0</v>
      </c>
      <c r="E1471" s="133" t="s">
        <v>514</v>
      </c>
      <c r="F1471" s="134" t="str">
        <f t="shared" si="78"/>
        <v/>
      </c>
      <c r="G1471" s="135" t="e">
        <f>IF(A1471&lt;&gt;"",IF(AND(#REF!="Padrão",$H$4=#REF!),BDI!$B$17,IF(AND(#REF!="Padrão",$H$4=#REF!),BDI!#REF!,IF(AND(#REF!="Diferenciado",$H$4=#REF!),BDI!$E$17,IF(AND(#REF!="Diferenciado",$H$4=#REF!),BDI!#REF!,IF(#REF!="ZERO",0))))),"")</f>
        <v>#REF!</v>
      </c>
      <c r="H1471" s="136" t="str">
        <f t="shared" si="79"/>
        <v/>
      </c>
      <c r="I1471" s="134" t="str">
        <f t="shared" si="80"/>
        <v/>
      </c>
      <c r="J1471" s="226"/>
    </row>
    <row r="1472" spans="1:10" hidden="1" x14ac:dyDescent="0.25">
      <c r="A1472" s="112" t="s">
        <v>5080</v>
      </c>
      <c r="B1472" s="113" t="s">
        <v>3887</v>
      </c>
      <c r="C1472" s="114" t="s">
        <v>20</v>
      </c>
      <c r="D1472" s="114">
        <v>0</v>
      </c>
      <c r="E1472" s="133" t="s">
        <v>514</v>
      </c>
      <c r="F1472" s="134" t="str">
        <f t="shared" si="78"/>
        <v/>
      </c>
      <c r="G1472" s="135" t="e">
        <f>IF(A1472&lt;&gt;"",IF(AND(#REF!="Padrão",$H$4=#REF!),BDI!$B$17,IF(AND(#REF!="Padrão",$H$4=#REF!),BDI!#REF!,IF(AND(#REF!="Diferenciado",$H$4=#REF!),BDI!$E$17,IF(AND(#REF!="Diferenciado",$H$4=#REF!),BDI!#REF!,IF(#REF!="ZERO",0))))),"")</f>
        <v>#REF!</v>
      </c>
      <c r="H1472" s="136" t="str">
        <f t="shared" si="79"/>
        <v/>
      </c>
      <c r="I1472" s="134" t="str">
        <f t="shared" si="80"/>
        <v/>
      </c>
      <c r="J1472" s="226"/>
    </row>
    <row r="1473" spans="1:10" hidden="1" x14ac:dyDescent="0.25">
      <c r="A1473" s="112" t="s">
        <v>5081</v>
      </c>
      <c r="B1473" s="113" t="s">
        <v>3888</v>
      </c>
      <c r="C1473" s="114" t="s">
        <v>20</v>
      </c>
      <c r="D1473" s="114">
        <v>0</v>
      </c>
      <c r="E1473" s="133" t="s">
        <v>514</v>
      </c>
      <c r="F1473" s="134" t="str">
        <f t="shared" si="78"/>
        <v/>
      </c>
      <c r="G1473" s="135" t="e">
        <f>IF(A1473&lt;&gt;"",IF(AND(#REF!="Padrão",$H$4=#REF!),BDI!$B$17,IF(AND(#REF!="Padrão",$H$4=#REF!),BDI!#REF!,IF(AND(#REF!="Diferenciado",$H$4=#REF!),BDI!$E$17,IF(AND(#REF!="Diferenciado",$H$4=#REF!),BDI!#REF!,IF(#REF!="ZERO",0))))),"")</f>
        <v>#REF!</v>
      </c>
      <c r="H1473" s="136" t="str">
        <f t="shared" si="79"/>
        <v/>
      </c>
      <c r="I1473" s="134" t="str">
        <f t="shared" si="80"/>
        <v/>
      </c>
      <c r="J1473" s="226"/>
    </row>
    <row r="1474" spans="1:10" hidden="1" x14ac:dyDescent="0.25">
      <c r="A1474" s="112" t="s">
        <v>5082</v>
      </c>
      <c r="B1474" s="113" t="s">
        <v>3889</v>
      </c>
      <c r="C1474" s="114" t="s">
        <v>20</v>
      </c>
      <c r="D1474" s="114">
        <v>0</v>
      </c>
      <c r="E1474" s="133" t="s">
        <v>514</v>
      </c>
      <c r="F1474" s="134" t="str">
        <f t="shared" si="78"/>
        <v/>
      </c>
      <c r="G1474" s="135" t="e">
        <f>IF(A1474&lt;&gt;"",IF(AND(#REF!="Padrão",$H$4=#REF!),BDI!$B$17,IF(AND(#REF!="Padrão",$H$4=#REF!),BDI!#REF!,IF(AND(#REF!="Diferenciado",$H$4=#REF!),BDI!$E$17,IF(AND(#REF!="Diferenciado",$H$4=#REF!),BDI!#REF!,IF(#REF!="ZERO",0))))),"")</f>
        <v>#REF!</v>
      </c>
      <c r="H1474" s="136" t="str">
        <f t="shared" si="79"/>
        <v/>
      </c>
      <c r="I1474" s="134" t="str">
        <f t="shared" si="80"/>
        <v/>
      </c>
      <c r="J1474" s="226"/>
    </row>
    <row r="1475" spans="1:10" hidden="1" x14ac:dyDescent="0.25">
      <c r="A1475" s="112" t="s">
        <v>5083</v>
      </c>
      <c r="B1475" s="113" t="s">
        <v>3890</v>
      </c>
      <c r="C1475" s="114" t="s">
        <v>20</v>
      </c>
      <c r="D1475" s="114">
        <v>0</v>
      </c>
      <c r="E1475" s="133" t="s">
        <v>514</v>
      </c>
      <c r="F1475" s="134" t="str">
        <f t="shared" si="78"/>
        <v/>
      </c>
      <c r="G1475" s="135" t="e">
        <f>IF(A1475&lt;&gt;"",IF(AND(#REF!="Padrão",$H$4=#REF!),BDI!$B$17,IF(AND(#REF!="Padrão",$H$4=#REF!),BDI!#REF!,IF(AND(#REF!="Diferenciado",$H$4=#REF!),BDI!$E$17,IF(AND(#REF!="Diferenciado",$H$4=#REF!),BDI!#REF!,IF(#REF!="ZERO",0))))),"")</f>
        <v>#REF!</v>
      </c>
      <c r="H1475" s="136" t="str">
        <f t="shared" si="79"/>
        <v/>
      </c>
      <c r="I1475" s="134" t="str">
        <f t="shared" si="80"/>
        <v/>
      </c>
      <c r="J1475" s="226"/>
    </row>
    <row r="1476" spans="1:10" hidden="1" x14ac:dyDescent="0.25">
      <c r="A1476" s="112" t="s">
        <v>5084</v>
      </c>
      <c r="B1476" s="113" t="s">
        <v>3891</v>
      </c>
      <c r="C1476" s="114" t="s">
        <v>20</v>
      </c>
      <c r="D1476" s="114">
        <v>0</v>
      </c>
      <c r="E1476" s="133" t="s">
        <v>514</v>
      </c>
      <c r="F1476" s="134" t="str">
        <f t="shared" si="78"/>
        <v/>
      </c>
      <c r="G1476" s="135" t="e">
        <f>IF(A1476&lt;&gt;"",IF(AND(#REF!="Padrão",$H$4=#REF!),BDI!$B$17,IF(AND(#REF!="Padrão",$H$4=#REF!),BDI!#REF!,IF(AND(#REF!="Diferenciado",$H$4=#REF!),BDI!$E$17,IF(AND(#REF!="Diferenciado",$H$4=#REF!),BDI!#REF!,IF(#REF!="ZERO",0))))),"")</f>
        <v>#REF!</v>
      </c>
      <c r="H1476" s="136" t="str">
        <f t="shared" si="79"/>
        <v/>
      </c>
      <c r="I1476" s="134" t="str">
        <f t="shared" si="80"/>
        <v/>
      </c>
      <c r="J1476" s="226"/>
    </row>
    <row r="1477" spans="1:10" hidden="1" x14ac:dyDescent="0.25">
      <c r="A1477" s="112" t="s">
        <v>5085</v>
      </c>
      <c r="B1477" s="113" t="s">
        <v>3892</v>
      </c>
      <c r="C1477" s="114" t="s">
        <v>20</v>
      </c>
      <c r="D1477" s="114">
        <v>0</v>
      </c>
      <c r="E1477" s="133" t="s">
        <v>514</v>
      </c>
      <c r="F1477" s="134" t="str">
        <f t="shared" si="78"/>
        <v/>
      </c>
      <c r="G1477" s="135" t="e">
        <f>IF(A1477&lt;&gt;"",IF(AND(#REF!="Padrão",$H$4=#REF!),BDI!$B$17,IF(AND(#REF!="Padrão",$H$4=#REF!),BDI!#REF!,IF(AND(#REF!="Diferenciado",$H$4=#REF!),BDI!$E$17,IF(AND(#REF!="Diferenciado",$H$4=#REF!),BDI!#REF!,IF(#REF!="ZERO",0))))),"")</f>
        <v>#REF!</v>
      </c>
      <c r="H1477" s="136" t="str">
        <f t="shared" si="79"/>
        <v/>
      </c>
      <c r="I1477" s="134" t="str">
        <f t="shared" si="80"/>
        <v/>
      </c>
      <c r="J1477" s="226"/>
    </row>
    <row r="1478" spans="1:10" hidden="1" x14ac:dyDescent="0.25">
      <c r="A1478" s="112" t="s">
        <v>5086</v>
      </c>
      <c r="B1478" s="113" t="s">
        <v>3893</v>
      </c>
      <c r="C1478" s="114" t="s">
        <v>20</v>
      </c>
      <c r="D1478" s="114">
        <v>0</v>
      </c>
      <c r="E1478" s="133" t="s">
        <v>514</v>
      </c>
      <c r="F1478" s="134" t="str">
        <f t="shared" si="78"/>
        <v/>
      </c>
      <c r="G1478" s="135" t="e">
        <f>IF(A1478&lt;&gt;"",IF(AND(#REF!="Padrão",$H$4=#REF!),BDI!$B$17,IF(AND(#REF!="Padrão",$H$4=#REF!),BDI!#REF!,IF(AND(#REF!="Diferenciado",$H$4=#REF!),BDI!$E$17,IF(AND(#REF!="Diferenciado",$H$4=#REF!),BDI!#REF!,IF(#REF!="ZERO",0))))),"")</f>
        <v>#REF!</v>
      </c>
      <c r="H1478" s="136" t="str">
        <f t="shared" si="79"/>
        <v/>
      </c>
      <c r="I1478" s="134" t="str">
        <f t="shared" si="80"/>
        <v/>
      </c>
      <c r="J1478" s="226"/>
    </row>
    <row r="1479" spans="1:10" hidden="1" x14ac:dyDescent="0.25">
      <c r="A1479" s="112" t="s">
        <v>5087</v>
      </c>
      <c r="B1479" s="113" t="s">
        <v>3894</v>
      </c>
      <c r="C1479" s="114" t="s">
        <v>20</v>
      </c>
      <c r="D1479" s="114">
        <v>0</v>
      </c>
      <c r="E1479" s="133" t="s">
        <v>514</v>
      </c>
      <c r="F1479" s="134" t="str">
        <f t="shared" si="78"/>
        <v/>
      </c>
      <c r="G1479" s="135" t="e">
        <f>IF(A1479&lt;&gt;"",IF(AND(#REF!="Padrão",$H$4=#REF!),BDI!$B$17,IF(AND(#REF!="Padrão",$H$4=#REF!),BDI!#REF!,IF(AND(#REF!="Diferenciado",$H$4=#REF!),BDI!$E$17,IF(AND(#REF!="Diferenciado",$H$4=#REF!),BDI!#REF!,IF(#REF!="ZERO",0))))),"")</f>
        <v>#REF!</v>
      </c>
      <c r="H1479" s="136" t="str">
        <f t="shared" si="79"/>
        <v/>
      </c>
      <c r="I1479" s="134" t="str">
        <f t="shared" si="80"/>
        <v/>
      </c>
      <c r="J1479" s="226"/>
    </row>
    <row r="1480" spans="1:10" hidden="1" x14ac:dyDescent="0.25">
      <c r="A1480" s="112" t="s">
        <v>5088</v>
      </c>
      <c r="B1480" s="113" t="s">
        <v>3895</v>
      </c>
      <c r="C1480" s="114" t="s">
        <v>20</v>
      </c>
      <c r="D1480" s="114">
        <v>0</v>
      </c>
      <c r="E1480" s="133" t="s">
        <v>514</v>
      </c>
      <c r="F1480" s="134" t="str">
        <f t="shared" si="78"/>
        <v/>
      </c>
      <c r="G1480" s="135" t="e">
        <f>IF(A1480&lt;&gt;"",IF(AND(#REF!="Padrão",$H$4=#REF!),BDI!$B$17,IF(AND(#REF!="Padrão",$H$4=#REF!),BDI!#REF!,IF(AND(#REF!="Diferenciado",$H$4=#REF!),BDI!$E$17,IF(AND(#REF!="Diferenciado",$H$4=#REF!),BDI!#REF!,IF(#REF!="ZERO",0))))),"")</f>
        <v>#REF!</v>
      </c>
      <c r="H1480" s="136" t="str">
        <f t="shared" si="79"/>
        <v/>
      </c>
      <c r="I1480" s="134" t="str">
        <f t="shared" si="80"/>
        <v/>
      </c>
      <c r="J1480" s="226"/>
    </row>
    <row r="1481" spans="1:10" hidden="1" x14ac:dyDescent="0.25">
      <c r="A1481" s="112" t="s">
        <v>5089</v>
      </c>
      <c r="B1481" s="113" t="s">
        <v>3896</v>
      </c>
      <c r="C1481" s="114" t="s">
        <v>20</v>
      </c>
      <c r="D1481" s="114">
        <v>0</v>
      </c>
      <c r="E1481" s="133" t="s">
        <v>514</v>
      </c>
      <c r="F1481" s="134" t="str">
        <f t="shared" si="78"/>
        <v/>
      </c>
      <c r="G1481" s="135" t="e">
        <f>IF(A1481&lt;&gt;"",IF(AND(#REF!="Padrão",$H$4=#REF!),BDI!$B$17,IF(AND(#REF!="Padrão",$H$4=#REF!),BDI!#REF!,IF(AND(#REF!="Diferenciado",$H$4=#REF!),BDI!$E$17,IF(AND(#REF!="Diferenciado",$H$4=#REF!),BDI!#REF!,IF(#REF!="ZERO",0))))),"")</f>
        <v>#REF!</v>
      </c>
      <c r="H1481" s="136" t="str">
        <f t="shared" si="79"/>
        <v/>
      </c>
      <c r="I1481" s="134" t="str">
        <f t="shared" si="80"/>
        <v/>
      </c>
      <c r="J1481" s="226"/>
    </row>
    <row r="1482" spans="1:10" hidden="1" x14ac:dyDescent="0.25">
      <c r="A1482" s="112" t="s">
        <v>5090</v>
      </c>
      <c r="B1482" s="113" t="s">
        <v>3897</v>
      </c>
      <c r="C1482" s="114" t="s">
        <v>20</v>
      </c>
      <c r="D1482" s="114">
        <v>0</v>
      </c>
      <c r="E1482" s="133" t="s">
        <v>514</v>
      </c>
      <c r="F1482" s="134" t="str">
        <f t="shared" si="78"/>
        <v/>
      </c>
      <c r="G1482" s="135" t="e">
        <f>IF(A1482&lt;&gt;"",IF(AND(#REF!="Padrão",$H$4=#REF!),BDI!$B$17,IF(AND(#REF!="Padrão",$H$4=#REF!),BDI!#REF!,IF(AND(#REF!="Diferenciado",$H$4=#REF!),BDI!$E$17,IF(AND(#REF!="Diferenciado",$H$4=#REF!),BDI!#REF!,IF(#REF!="ZERO",0))))),"")</f>
        <v>#REF!</v>
      </c>
      <c r="H1482" s="136" t="str">
        <f t="shared" si="79"/>
        <v/>
      </c>
      <c r="I1482" s="134" t="str">
        <f t="shared" si="80"/>
        <v/>
      </c>
      <c r="J1482" s="226"/>
    </row>
    <row r="1483" spans="1:10" hidden="1" x14ac:dyDescent="0.25">
      <c r="A1483" s="112" t="s">
        <v>5091</v>
      </c>
      <c r="B1483" s="113" t="s">
        <v>3898</v>
      </c>
      <c r="C1483" s="114" t="s">
        <v>92</v>
      </c>
      <c r="D1483" s="114">
        <v>0</v>
      </c>
      <c r="E1483" s="133" t="s">
        <v>514</v>
      </c>
      <c r="F1483" s="134" t="str">
        <f t="shared" si="78"/>
        <v/>
      </c>
      <c r="G1483" s="135" t="e">
        <f>IF(A1483&lt;&gt;"",IF(AND(#REF!="Padrão",$H$4=#REF!),BDI!$B$17,IF(AND(#REF!="Padrão",$H$4=#REF!),BDI!#REF!,IF(AND(#REF!="Diferenciado",$H$4=#REF!),BDI!$E$17,IF(AND(#REF!="Diferenciado",$H$4=#REF!),BDI!#REF!,IF(#REF!="ZERO",0))))),"")</f>
        <v>#REF!</v>
      </c>
      <c r="H1483" s="136" t="str">
        <f t="shared" si="79"/>
        <v/>
      </c>
      <c r="I1483" s="134" t="str">
        <f t="shared" si="80"/>
        <v/>
      </c>
      <c r="J1483" s="226"/>
    </row>
    <row r="1484" spans="1:10" hidden="1" x14ac:dyDescent="0.25">
      <c r="A1484" s="112" t="s">
        <v>5092</v>
      </c>
      <c r="B1484" s="113" t="s">
        <v>3899</v>
      </c>
      <c r="C1484" s="114" t="s">
        <v>92</v>
      </c>
      <c r="D1484" s="114">
        <v>0</v>
      </c>
      <c r="E1484" s="133" t="s">
        <v>514</v>
      </c>
      <c r="F1484" s="134" t="str">
        <f t="shared" si="78"/>
        <v/>
      </c>
      <c r="G1484" s="135" t="e">
        <f>IF(A1484&lt;&gt;"",IF(AND(#REF!="Padrão",$H$4=#REF!),BDI!$B$17,IF(AND(#REF!="Padrão",$H$4=#REF!),BDI!#REF!,IF(AND(#REF!="Diferenciado",$H$4=#REF!),BDI!$E$17,IF(AND(#REF!="Diferenciado",$H$4=#REF!),BDI!#REF!,IF(#REF!="ZERO",0))))),"")</f>
        <v>#REF!</v>
      </c>
      <c r="H1484" s="136" t="str">
        <f t="shared" si="79"/>
        <v/>
      </c>
      <c r="I1484" s="134" t="str">
        <f t="shared" si="80"/>
        <v/>
      </c>
      <c r="J1484" s="226"/>
    </row>
    <row r="1485" spans="1:10" hidden="1" x14ac:dyDescent="0.25">
      <c r="A1485" s="112" t="s">
        <v>5093</v>
      </c>
      <c r="B1485" s="113" t="s">
        <v>3900</v>
      </c>
      <c r="C1485" s="114" t="s">
        <v>92</v>
      </c>
      <c r="D1485" s="114">
        <v>0</v>
      </c>
      <c r="E1485" s="133" t="s">
        <v>514</v>
      </c>
      <c r="F1485" s="134" t="str">
        <f t="shared" si="78"/>
        <v/>
      </c>
      <c r="G1485" s="135" t="e">
        <f>IF(A1485&lt;&gt;"",IF(AND(#REF!="Padrão",$H$4=#REF!),BDI!$B$17,IF(AND(#REF!="Padrão",$H$4=#REF!),BDI!#REF!,IF(AND(#REF!="Diferenciado",$H$4=#REF!),BDI!$E$17,IF(AND(#REF!="Diferenciado",$H$4=#REF!),BDI!#REF!,IF(#REF!="ZERO",0))))),"")</f>
        <v>#REF!</v>
      </c>
      <c r="H1485" s="136" t="str">
        <f t="shared" si="79"/>
        <v/>
      </c>
      <c r="I1485" s="134" t="str">
        <f t="shared" si="80"/>
        <v/>
      </c>
      <c r="J1485" s="226"/>
    </row>
    <row r="1486" spans="1:10" hidden="1" x14ac:dyDescent="0.25">
      <c r="A1486" s="112" t="s">
        <v>5094</v>
      </c>
      <c r="B1486" s="113" t="s">
        <v>3901</v>
      </c>
      <c r="C1486" s="114" t="s">
        <v>4995</v>
      </c>
      <c r="D1486" s="114">
        <v>0</v>
      </c>
      <c r="E1486" s="133" t="s">
        <v>514</v>
      </c>
      <c r="F1486" s="134" t="str">
        <f t="shared" si="78"/>
        <v/>
      </c>
      <c r="G1486" s="135" t="e">
        <f>IF(A1486&lt;&gt;"",IF(AND(#REF!="Padrão",$H$4=#REF!),BDI!$B$17,IF(AND(#REF!="Padrão",$H$4=#REF!),BDI!#REF!,IF(AND(#REF!="Diferenciado",$H$4=#REF!),BDI!$E$17,IF(AND(#REF!="Diferenciado",$H$4=#REF!),BDI!#REF!,IF(#REF!="ZERO",0))))),"")</f>
        <v>#REF!</v>
      </c>
      <c r="H1486" s="136" t="str">
        <f t="shared" si="79"/>
        <v/>
      </c>
      <c r="I1486" s="134" t="str">
        <f t="shared" si="80"/>
        <v/>
      </c>
      <c r="J1486" s="226"/>
    </row>
    <row r="1487" spans="1:10" hidden="1" x14ac:dyDescent="0.25">
      <c r="A1487" s="112" t="s">
        <v>5095</v>
      </c>
      <c r="B1487" s="113" t="s">
        <v>3902</v>
      </c>
      <c r="C1487" s="114" t="s">
        <v>20</v>
      </c>
      <c r="D1487" s="114">
        <v>0</v>
      </c>
      <c r="E1487" s="133" t="s">
        <v>514</v>
      </c>
      <c r="F1487" s="134" t="str">
        <f t="shared" si="78"/>
        <v/>
      </c>
      <c r="G1487" s="135" t="e">
        <f>IF(A1487&lt;&gt;"",IF(AND(#REF!="Padrão",$H$4=#REF!),BDI!$B$17,IF(AND(#REF!="Padrão",$H$4=#REF!),BDI!#REF!,IF(AND(#REF!="Diferenciado",$H$4=#REF!),BDI!$E$17,IF(AND(#REF!="Diferenciado",$H$4=#REF!),BDI!#REF!,IF(#REF!="ZERO",0))))),"")</f>
        <v>#REF!</v>
      </c>
      <c r="H1487" s="136" t="str">
        <f t="shared" si="79"/>
        <v/>
      </c>
      <c r="I1487" s="134" t="str">
        <f t="shared" si="80"/>
        <v/>
      </c>
      <c r="J1487" s="226"/>
    </row>
    <row r="1488" spans="1:10" hidden="1" x14ac:dyDescent="0.25">
      <c r="A1488" s="112" t="s">
        <v>5096</v>
      </c>
      <c r="B1488" s="113" t="s">
        <v>3903</v>
      </c>
      <c r="C1488" s="114" t="s">
        <v>20</v>
      </c>
      <c r="D1488" s="114">
        <v>0</v>
      </c>
      <c r="E1488" s="133" t="s">
        <v>514</v>
      </c>
      <c r="F1488" s="134" t="str">
        <f t="shared" si="78"/>
        <v/>
      </c>
      <c r="G1488" s="135" t="e">
        <f>IF(A1488&lt;&gt;"",IF(AND(#REF!="Padrão",$H$4=#REF!),BDI!$B$17,IF(AND(#REF!="Padrão",$H$4=#REF!),BDI!#REF!,IF(AND(#REF!="Diferenciado",$H$4=#REF!),BDI!$E$17,IF(AND(#REF!="Diferenciado",$H$4=#REF!),BDI!#REF!,IF(#REF!="ZERO",0))))),"")</f>
        <v>#REF!</v>
      </c>
      <c r="H1488" s="136" t="str">
        <f t="shared" si="79"/>
        <v/>
      </c>
      <c r="I1488" s="134" t="str">
        <f t="shared" si="80"/>
        <v/>
      </c>
      <c r="J1488" s="226"/>
    </row>
    <row r="1489" spans="1:10" hidden="1" x14ac:dyDescent="0.25">
      <c r="A1489" s="112" t="s">
        <v>5097</v>
      </c>
      <c r="B1489" s="113" t="s">
        <v>3904</v>
      </c>
      <c r="C1489" s="114" t="s">
        <v>20</v>
      </c>
      <c r="D1489" s="114">
        <v>0</v>
      </c>
      <c r="E1489" s="133" t="s">
        <v>514</v>
      </c>
      <c r="F1489" s="134" t="str">
        <f t="shared" si="78"/>
        <v/>
      </c>
      <c r="G1489" s="135" t="e">
        <f>IF(A1489&lt;&gt;"",IF(AND(#REF!="Padrão",$H$4=#REF!),BDI!$B$17,IF(AND(#REF!="Padrão",$H$4=#REF!),BDI!#REF!,IF(AND(#REF!="Diferenciado",$H$4=#REF!),BDI!$E$17,IF(AND(#REF!="Diferenciado",$H$4=#REF!),BDI!#REF!,IF(#REF!="ZERO",0))))),"")</f>
        <v>#REF!</v>
      </c>
      <c r="H1489" s="136" t="str">
        <f t="shared" si="79"/>
        <v/>
      </c>
      <c r="I1489" s="134" t="str">
        <f t="shared" si="80"/>
        <v/>
      </c>
      <c r="J1489" s="226"/>
    </row>
    <row r="1490" spans="1:10" hidden="1" x14ac:dyDescent="0.25">
      <c r="A1490" s="112" t="s">
        <v>5098</v>
      </c>
      <c r="B1490" s="113" t="s">
        <v>3905</v>
      </c>
      <c r="C1490" s="114" t="s">
        <v>20</v>
      </c>
      <c r="D1490" s="114">
        <v>0</v>
      </c>
      <c r="E1490" s="133" t="s">
        <v>514</v>
      </c>
      <c r="F1490" s="134" t="str">
        <f t="shared" si="78"/>
        <v/>
      </c>
      <c r="G1490" s="135" t="e">
        <f>IF(A1490&lt;&gt;"",IF(AND(#REF!="Padrão",$H$4=#REF!),BDI!$B$17,IF(AND(#REF!="Padrão",$H$4=#REF!),BDI!#REF!,IF(AND(#REF!="Diferenciado",$H$4=#REF!),BDI!$E$17,IF(AND(#REF!="Diferenciado",$H$4=#REF!),BDI!#REF!,IF(#REF!="ZERO",0))))),"")</f>
        <v>#REF!</v>
      </c>
      <c r="H1490" s="136" t="str">
        <f t="shared" si="79"/>
        <v/>
      </c>
      <c r="I1490" s="134" t="str">
        <f t="shared" si="80"/>
        <v/>
      </c>
      <c r="J1490" s="226"/>
    </row>
    <row r="1491" spans="1:10" hidden="1" x14ac:dyDescent="0.25">
      <c r="A1491" s="112" t="s">
        <v>5099</v>
      </c>
      <c r="B1491" s="113" t="s">
        <v>3906</v>
      </c>
      <c r="C1491" s="114" t="s">
        <v>94</v>
      </c>
      <c r="D1491" s="114">
        <v>0</v>
      </c>
      <c r="E1491" s="133" t="s">
        <v>514</v>
      </c>
      <c r="F1491" s="134" t="str">
        <f t="shared" si="78"/>
        <v/>
      </c>
      <c r="G1491" s="135" t="e">
        <f>IF(A1491&lt;&gt;"",IF(AND(#REF!="Padrão",$H$4=#REF!),BDI!$B$17,IF(AND(#REF!="Padrão",$H$4=#REF!),BDI!#REF!,IF(AND(#REF!="Diferenciado",$H$4=#REF!),BDI!$E$17,IF(AND(#REF!="Diferenciado",$H$4=#REF!),BDI!#REF!,IF(#REF!="ZERO",0))))),"")</f>
        <v>#REF!</v>
      </c>
      <c r="H1491" s="136" t="str">
        <f t="shared" si="79"/>
        <v/>
      </c>
      <c r="I1491" s="134" t="str">
        <f t="shared" si="80"/>
        <v/>
      </c>
      <c r="J1491" s="226"/>
    </row>
    <row r="1492" spans="1:10" hidden="1" x14ac:dyDescent="0.25">
      <c r="A1492" s="112" t="s">
        <v>5100</v>
      </c>
      <c r="B1492" s="113" t="s">
        <v>3907</v>
      </c>
      <c r="C1492" s="114" t="s">
        <v>94</v>
      </c>
      <c r="D1492" s="114">
        <v>0</v>
      </c>
      <c r="E1492" s="133" t="s">
        <v>514</v>
      </c>
      <c r="F1492" s="134" t="str">
        <f t="shared" si="78"/>
        <v/>
      </c>
      <c r="G1492" s="135" t="e">
        <f>IF(A1492&lt;&gt;"",IF(AND(#REF!="Padrão",$H$4=#REF!),BDI!$B$17,IF(AND(#REF!="Padrão",$H$4=#REF!),BDI!#REF!,IF(AND(#REF!="Diferenciado",$H$4=#REF!),BDI!$E$17,IF(AND(#REF!="Diferenciado",$H$4=#REF!),BDI!#REF!,IF(#REF!="ZERO",0))))),"")</f>
        <v>#REF!</v>
      </c>
      <c r="H1492" s="136" t="str">
        <f t="shared" si="79"/>
        <v/>
      </c>
      <c r="I1492" s="134" t="str">
        <f t="shared" si="80"/>
        <v/>
      </c>
      <c r="J1492" s="226"/>
    </row>
    <row r="1493" spans="1:10" hidden="1" x14ac:dyDescent="0.25">
      <c r="A1493" s="112" t="s">
        <v>5101</v>
      </c>
      <c r="B1493" s="113" t="s">
        <v>3908</v>
      </c>
      <c r="C1493" s="114" t="s">
        <v>42</v>
      </c>
      <c r="D1493" s="114">
        <v>0</v>
      </c>
      <c r="E1493" s="133">
        <f ca="1">OFFSET(INDEX(Composições!A:J,MATCH(Orçamentária!A1493,Composições!A:A,0),8),2,0)</f>
        <v>14.706</v>
      </c>
      <c r="F1493" s="134">
        <f t="shared" ca="1" si="78"/>
        <v>0</v>
      </c>
      <c r="G1493" s="135" t="e">
        <f>IF(A1493&lt;&gt;"",IF(AND(#REF!="Padrão",$H$4=#REF!),BDI!$B$17,IF(AND(#REF!="Padrão",$H$4=#REF!),BDI!#REF!,IF(AND(#REF!="Diferenciado",$H$4=#REF!),BDI!$E$17,IF(AND(#REF!="Diferenciado",$H$4=#REF!),BDI!#REF!,IF(#REF!="ZERO",0))))),"")</f>
        <v>#REF!</v>
      </c>
      <c r="H1493" s="136" t="e">
        <f t="shared" ca="1" si="79"/>
        <v>#REF!</v>
      </c>
      <c r="I1493" s="134" t="e">
        <f t="shared" ca="1" si="80"/>
        <v>#REF!</v>
      </c>
      <c r="J1493" s="226"/>
    </row>
    <row r="1494" spans="1:10" hidden="1" x14ac:dyDescent="0.25">
      <c r="A1494" s="112" t="s">
        <v>5102</v>
      </c>
      <c r="B1494" s="113" t="s">
        <v>3909</v>
      </c>
      <c r="C1494" s="114" t="s">
        <v>108</v>
      </c>
      <c r="D1494" s="114">
        <v>0</v>
      </c>
      <c r="E1494" s="133" t="s">
        <v>514</v>
      </c>
      <c r="F1494" s="134" t="str">
        <f t="shared" si="78"/>
        <v/>
      </c>
      <c r="G1494" s="135" t="e">
        <f>IF(A1494&lt;&gt;"",IF(AND(#REF!="Padrão",$H$4=#REF!),BDI!$B$17,IF(AND(#REF!="Padrão",$H$4=#REF!),BDI!#REF!,IF(AND(#REF!="Diferenciado",$H$4=#REF!),BDI!$E$17,IF(AND(#REF!="Diferenciado",$H$4=#REF!),BDI!#REF!,IF(#REF!="ZERO",0))))),"")</f>
        <v>#REF!</v>
      </c>
      <c r="H1494" s="136" t="str">
        <f t="shared" si="79"/>
        <v/>
      </c>
      <c r="I1494" s="134" t="str">
        <f t="shared" si="80"/>
        <v/>
      </c>
      <c r="J1494" s="226"/>
    </row>
    <row r="1495" spans="1:10" hidden="1" x14ac:dyDescent="0.25">
      <c r="A1495" s="112" t="s">
        <v>5103</v>
      </c>
      <c r="B1495" s="113" t="s">
        <v>3910</v>
      </c>
      <c r="C1495" s="114" t="s">
        <v>6240</v>
      </c>
      <c r="D1495" s="114">
        <v>0</v>
      </c>
      <c r="E1495" s="133" t="s">
        <v>514</v>
      </c>
      <c r="F1495" s="134" t="str">
        <f t="shared" si="78"/>
        <v/>
      </c>
      <c r="G1495" s="135" t="e">
        <f>IF(A1495&lt;&gt;"",IF(AND(#REF!="Padrão",$H$4=#REF!),BDI!$B$17,IF(AND(#REF!="Padrão",$H$4=#REF!),BDI!#REF!,IF(AND(#REF!="Diferenciado",$H$4=#REF!),BDI!$E$17,IF(AND(#REF!="Diferenciado",$H$4=#REF!),BDI!#REF!,IF(#REF!="ZERO",0))))),"")</f>
        <v>#REF!</v>
      </c>
      <c r="H1495" s="136" t="str">
        <f t="shared" si="79"/>
        <v/>
      </c>
      <c r="I1495" s="134" t="str">
        <f t="shared" si="80"/>
        <v/>
      </c>
      <c r="J1495" s="226"/>
    </row>
    <row r="1496" spans="1:10" hidden="1" x14ac:dyDescent="0.25">
      <c r="A1496" s="112" t="s">
        <v>5104</v>
      </c>
      <c r="B1496" s="113" t="s">
        <v>3911</v>
      </c>
      <c r="C1496" s="114" t="s">
        <v>20</v>
      </c>
      <c r="D1496" s="114">
        <v>0</v>
      </c>
      <c r="E1496" s="133" t="s">
        <v>514</v>
      </c>
      <c r="F1496" s="134" t="str">
        <f t="shared" si="78"/>
        <v/>
      </c>
      <c r="G1496" s="135" t="e">
        <f>IF(A1496&lt;&gt;"",IF(AND(#REF!="Padrão",$H$4=#REF!),BDI!$B$17,IF(AND(#REF!="Padrão",$H$4=#REF!),BDI!#REF!,IF(AND(#REF!="Diferenciado",$H$4=#REF!),BDI!$E$17,IF(AND(#REF!="Diferenciado",$H$4=#REF!),BDI!#REF!,IF(#REF!="ZERO",0))))),"")</f>
        <v>#REF!</v>
      </c>
      <c r="H1496" s="136" t="str">
        <f t="shared" si="79"/>
        <v/>
      </c>
      <c r="I1496" s="134" t="str">
        <f t="shared" si="80"/>
        <v/>
      </c>
      <c r="J1496" s="226"/>
    </row>
    <row r="1497" spans="1:10" hidden="1" x14ac:dyDescent="0.25">
      <c r="A1497" s="112" t="s">
        <v>5105</v>
      </c>
      <c r="B1497" s="113" t="s">
        <v>3912</v>
      </c>
      <c r="C1497" s="114" t="s">
        <v>20</v>
      </c>
      <c r="D1497" s="114">
        <v>0</v>
      </c>
      <c r="E1497" s="133" t="s">
        <v>514</v>
      </c>
      <c r="F1497" s="134" t="str">
        <f t="shared" si="78"/>
        <v/>
      </c>
      <c r="G1497" s="135" t="e">
        <f>IF(A1497&lt;&gt;"",IF(AND(#REF!="Padrão",$H$4=#REF!),BDI!$B$17,IF(AND(#REF!="Padrão",$H$4=#REF!),BDI!#REF!,IF(AND(#REF!="Diferenciado",$H$4=#REF!),BDI!$E$17,IF(AND(#REF!="Diferenciado",$H$4=#REF!),BDI!#REF!,IF(#REF!="ZERO",0))))),"")</f>
        <v>#REF!</v>
      </c>
      <c r="H1497" s="136" t="str">
        <f t="shared" si="79"/>
        <v/>
      </c>
      <c r="I1497" s="134" t="str">
        <f t="shared" si="80"/>
        <v/>
      </c>
      <c r="J1497" s="226"/>
    </row>
    <row r="1498" spans="1:10" hidden="1" x14ac:dyDescent="0.25">
      <c r="A1498" s="112" t="s">
        <v>5106</v>
      </c>
      <c r="B1498" s="113" t="s">
        <v>3913</v>
      </c>
      <c r="C1498" s="114" t="s">
        <v>20</v>
      </c>
      <c r="D1498" s="114">
        <v>0</v>
      </c>
      <c r="E1498" s="133" t="s">
        <v>514</v>
      </c>
      <c r="F1498" s="134" t="str">
        <f t="shared" si="78"/>
        <v/>
      </c>
      <c r="G1498" s="135" t="e">
        <f>IF(A1498&lt;&gt;"",IF(AND(#REF!="Padrão",$H$4=#REF!),BDI!$B$17,IF(AND(#REF!="Padrão",$H$4=#REF!),BDI!#REF!,IF(AND(#REF!="Diferenciado",$H$4=#REF!),BDI!$E$17,IF(AND(#REF!="Diferenciado",$H$4=#REF!),BDI!#REF!,IF(#REF!="ZERO",0))))),"")</f>
        <v>#REF!</v>
      </c>
      <c r="H1498" s="136" t="str">
        <f t="shared" si="79"/>
        <v/>
      </c>
      <c r="I1498" s="134" t="str">
        <f t="shared" si="80"/>
        <v/>
      </c>
      <c r="J1498" s="226"/>
    </row>
    <row r="1499" spans="1:10" hidden="1" x14ac:dyDescent="0.25">
      <c r="A1499" s="112" t="s">
        <v>5107</v>
      </c>
      <c r="B1499" s="113" t="s">
        <v>3914</v>
      </c>
      <c r="C1499" s="114" t="s">
        <v>42</v>
      </c>
      <c r="D1499" s="114">
        <v>0</v>
      </c>
      <c r="E1499" s="133">
        <f ca="1">OFFSET(INDEX(Composições!A:J,MATCH(Orçamentária!A1499,Composições!A:A,0),8),2,0)</f>
        <v>11.067499999999999</v>
      </c>
      <c r="F1499" s="134">
        <f t="shared" ca="1" si="78"/>
        <v>0</v>
      </c>
      <c r="G1499" s="135" t="e">
        <f>IF(A1499&lt;&gt;"",IF(AND(#REF!="Padrão",$H$4=#REF!),BDI!$B$17,IF(AND(#REF!="Padrão",$H$4=#REF!),BDI!#REF!,IF(AND(#REF!="Diferenciado",$H$4=#REF!),BDI!$E$17,IF(AND(#REF!="Diferenciado",$H$4=#REF!),BDI!#REF!,IF(#REF!="ZERO",0))))),"")</f>
        <v>#REF!</v>
      </c>
      <c r="H1499" s="136" t="e">
        <f t="shared" ca="1" si="79"/>
        <v>#REF!</v>
      </c>
      <c r="I1499" s="134" t="e">
        <f t="shared" ca="1" si="80"/>
        <v>#REF!</v>
      </c>
      <c r="J1499" s="226"/>
    </row>
    <row r="1500" spans="1:10" hidden="1" x14ac:dyDescent="0.25">
      <c r="A1500" s="112" t="s">
        <v>5108</v>
      </c>
      <c r="B1500" s="113" t="s">
        <v>3915</v>
      </c>
      <c r="C1500" s="114" t="s">
        <v>20</v>
      </c>
      <c r="D1500" s="114">
        <v>0</v>
      </c>
      <c r="E1500" s="133" t="s">
        <v>514</v>
      </c>
      <c r="F1500" s="134" t="str">
        <f t="shared" si="78"/>
        <v/>
      </c>
      <c r="G1500" s="135" t="e">
        <f>IF(A1500&lt;&gt;"",IF(AND(#REF!="Padrão",$H$4=#REF!),BDI!$B$17,IF(AND(#REF!="Padrão",$H$4=#REF!),BDI!#REF!,IF(AND(#REF!="Diferenciado",$H$4=#REF!),BDI!$E$17,IF(AND(#REF!="Diferenciado",$H$4=#REF!),BDI!#REF!,IF(#REF!="ZERO",0))))),"")</f>
        <v>#REF!</v>
      </c>
      <c r="H1500" s="136" t="str">
        <f t="shared" si="79"/>
        <v/>
      </c>
      <c r="I1500" s="134" t="str">
        <f t="shared" si="80"/>
        <v/>
      </c>
      <c r="J1500" s="226"/>
    </row>
    <row r="1501" spans="1:10" hidden="1" x14ac:dyDescent="0.25">
      <c r="A1501" s="112" t="s">
        <v>5109</v>
      </c>
      <c r="B1501" s="113" t="s">
        <v>3916</v>
      </c>
      <c r="C1501" s="114" t="s">
        <v>20</v>
      </c>
      <c r="D1501" s="114">
        <v>0</v>
      </c>
      <c r="E1501" s="133" t="s">
        <v>514</v>
      </c>
      <c r="F1501" s="134" t="str">
        <f t="shared" si="78"/>
        <v/>
      </c>
      <c r="G1501" s="135" t="e">
        <f>IF(A1501&lt;&gt;"",IF(AND(#REF!="Padrão",$H$4=#REF!),BDI!$B$17,IF(AND(#REF!="Padrão",$H$4=#REF!),BDI!#REF!,IF(AND(#REF!="Diferenciado",$H$4=#REF!),BDI!$E$17,IF(AND(#REF!="Diferenciado",$H$4=#REF!),BDI!#REF!,IF(#REF!="ZERO",0))))),"")</f>
        <v>#REF!</v>
      </c>
      <c r="H1501" s="136" t="str">
        <f t="shared" si="79"/>
        <v/>
      </c>
      <c r="I1501" s="134" t="str">
        <f t="shared" si="80"/>
        <v/>
      </c>
      <c r="J1501" s="226"/>
    </row>
    <row r="1502" spans="1:10" hidden="1" x14ac:dyDescent="0.25">
      <c r="A1502" s="112" t="s">
        <v>5110</v>
      </c>
      <c r="B1502" s="113" t="s">
        <v>3917</v>
      </c>
      <c r="C1502" s="114" t="s">
        <v>20</v>
      </c>
      <c r="D1502" s="114">
        <v>0</v>
      </c>
      <c r="E1502" s="133" t="s">
        <v>514</v>
      </c>
      <c r="F1502" s="134" t="str">
        <f t="shared" si="78"/>
        <v/>
      </c>
      <c r="G1502" s="135" t="e">
        <f>IF(A1502&lt;&gt;"",IF(AND(#REF!="Padrão",$H$4=#REF!),BDI!$B$17,IF(AND(#REF!="Padrão",$H$4=#REF!),BDI!#REF!,IF(AND(#REF!="Diferenciado",$H$4=#REF!),BDI!$E$17,IF(AND(#REF!="Diferenciado",$H$4=#REF!),BDI!#REF!,IF(#REF!="ZERO",0))))),"")</f>
        <v>#REF!</v>
      </c>
      <c r="H1502" s="136" t="str">
        <f t="shared" si="79"/>
        <v/>
      </c>
      <c r="I1502" s="134" t="str">
        <f t="shared" si="80"/>
        <v/>
      </c>
      <c r="J1502" s="226"/>
    </row>
    <row r="1503" spans="1:10" hidden="1" x14ac:dyDescent="0.25">
      <c r="A1503" s="112" t="s">
        <v>5111</v>
      </c>
      <c r="B1503" s="113" t="s">
        <v>3918</v>
      </c>
      <c r="C1503" s="114" t="s">
        <v>20</v>
      </c>
      <c r="D1503" s="114">
        <v>0</v>
      </c>
      <c r="E1503" s="133" t="s">
        <v>514</v>
      </c>
      <c r="F1503" s="134" t="str">
        <f t="shared" si="78"/>
        <v/>
      </c>
      <c r="G1503" s="135" t="e">
        <f>IF(A1503&lt;&gt;"",IF(AND(#REF!="Padrão",$H$4=#REF!),BDI!$B$17,IF(AND(#REF!="Padrão",$H$4=#REF!),BDI!#REF!,IF(AND(#REF!="Diferenciado",$H$4=#REF!),BDI!$E$17,IF(AND(#REF!="Diferenciado",$H$4=#REF!),BDI!#REF!,IF(#REF!="ZERO",0))))),"")</f>
        <v>#REF!</v>
      </c>
      <c r="H1503" s="136" t="str">
        <f t="shared" si="79"/>
        <v/>
      </c>
      <c r="I1503" s="134" t="str">
        <f t="shared" si="80"/>
        <v/>
      </c>
      <c r="J1503" s="226"/>
    </row>
    <row r="1504" spans="1:10" hidden="1" x14ac:dyDescent="0.25">
      <c r="A1504" s="112" t="s">
        <v>5112</v>
      </c>
      <c r="B1504" s="113" t="s">
        <v>3919</v>
      </c>
      <c r="C1504" s="114" t="s">
        <v>20</v>
      </c>
      <c r="D1504" s="114">
        <v>0</v>
      </c>
      <c r="E1504" s="133" t="s">
        <v>514</v>
      </c>
      <c r="F1504" s="134" t="str">
        <f t="shared" si="78"/>
        <v/>
      </c>
      <c r="G1504" s="135" t="e">
        <f>IF(A1504&lt;&gt;"",IF(AND(#REF!="Padrão",$H$4=#REF!),BDI!$B$17,IF(AND(#REF!="Padrão",$H$4=#REF!),BDI!#REF!,IF(AND(#REF!="Diferenciado",$H$4=#REF!),BDI!$E$17,IF(AND(#REF!="Diferenciado",$H$4=#REF!),BDI!#REF!,IF(#REF!="ZERO",0))))),"")</f>
        <v>#REF!</v>
      </c>
      <c r="H1504" s="136" t="str">
        <f t="shared" si="79"/>
        <v/>
      </c>
      <c r="I1504" s="134" t="str">
        <f t="shared" si="80"/>
        <v/>
      </c>
      <c r="J1504" s="226"/>
    </row>
    <row r="1505" spans="1:10" hidden="1" x14ac:dyDescent="0.25">
      <c r="A1505" s="112" t="s">
        <v>5113</v>
      </c>
      <c r="B1505" s="113" t="s">
        <v>3920</v>
      </c>
      <c r="C1505" s="114" t="s">
        <v>20</v>
      </c>
      <c r="D1505" s="114">
        <v>0</v>
      </c>
      <c r="E1505" s="133" t="s">
        <v>514</v>
      </c>
      <c r="F1505" s="134" t="str">
        <f t="shared" si="78"/>
        <v/>
      </c>
      <c r="G1505" s="135" t="e">
        <f>IF(A1505&lt;&gt;"",IF(AND(#REF!="Padrão",$H$4=#REF!),BDI!$B$17,IF(AND(#REF!="Padrão",$H$4=#REF!),BDI!#REF!,IF(AND(#REF!="Diferenciado",$H$4=#REF!),BDI!$E$17,IF(AND(#REF!="Diferenciado",$H$4=#REF!),BDI!#REF!,IF(#REF!="ZERO",0))))),"")</f>
        <v>#REF!</v>
      </c>
      <c r="H1505" s="136" t="str">
        <f t="shared" si="79"/>
        <v/>
      </c>
      <c r="I1505" s="134" t="str">
        <f t="shared" si="80"/>
        <v/>
      </c>
      <c r="J1505" s="226"/>
    </row>
    <row r="1506" spans="1:10" hidden="1" x14ac:dyDescent="0.25">
      <c r="A1506" s="112" t="s">
        <v>5114</v>
      </c>
      <c r="B1506" s="113" t="s">
        <v>3921</v>
      </c>
      <c r="C1506" s="114" t="s">
        <v>20</v>
      </c>
      <c r="D1506" s="114">
        <v>0</v>
      </c>
      <c r="E1506" s="133" t="s">
        <v>514</v>
      </c>
      <c r="F1506" s="134" t="str">
        <f t="shared" si="78"/>
        <v/>
      </c>
      <c r="G1506" s="135" t="e">
        <f>IF(A1506&lt;&gt;"",IF(AND(#REF!="Padrão",$H$4=#REF!),BDI!$B$17,IF(AND(#REF!="Padrão",$H$4=#REF!),BDI!#REF!,IF(AND(#REF!="Diferenciado",$H$4=#REF!),BDI!$E$17,IF(AND(#REF!="Diferenciado",$H$4=#REF!),BDI!#REF!,IF(#REF!="ZERO",0))))),"")</f>
        <v>#REF!</v>
      </c>
      <c r="H1506" s="136" t="str">
        <f t="shared" si="79"/>
        <v/>
      </c>
      <c r="I1506" s="134" t="str">
        <f t="shared" si="80"/>
        <v/>
      </c>
      <c r="J1506" s="226"/>
    </row>
    <row r="1507" spans="1:10" hidden="1" x14ac:dyDescent="0.25">
      <c r="A1507" s="112" t="s">
        <v>5115</v>
      </c>
      <c r="B1507" s="113" t="s">
        <v>3922</v>
      </c>
      <c r="C1507" s="114" t="s">
        <v>92</v>
      </c>
      <c r="D1507" s="114">
        <v>0</v>
      </c>
      <c r="E1507" s="133" t="s">
        <v>514</v>
      </c>
      <c r="F1507" s="134" t="str">
        <f t="shared" si="78"/>
        <v/>
      </c>
      <c r="G1507" s="135" t="e">
        <f>IF(A1507&lt;&gt;"",IF(AND(#REF!="Padrão",$H$4=#REF!),BDI!$B$17,IF(AND(#REF!="Padrão",$H$4=#REF!),BDI!#REF!,IF(AND(#REF!="Diferenciado",$H$4=#REF!),BDI!$E$17,IF(AND(#REF!="Diferenciado",$H$4=#REF!),BDI!#REF!,IF(#REF!="ZERO",0))))),"")</f>
        <v>#REF!</v>
      </c>
      <c r="H1507" s="136" t="str">
        <f t="shared" si="79"/>
        <v/>
      </c>
      <c r="I1507" s="134" t="str">
        <f t="shared" si="80"/>
        <v/>
      </c>
      <c r="J1507" s="226"/>
    </row>
    <row r="1508" spans="1:10" hidden="1" x14ac:dyDescent="0.25">
      <c r="A1508" s="112" t="s">
        <v>5116</v>
      </c>
      <c r="B1508" s="113" t="s">
        <v>3923</v>
      </c>
      <c r="C1508" s="114" t="s">
        <v>20</v>
      </c>
      <c r="D1508" s="114">
        <v>0</v>
      </c>
      <c r="E1508" s="133" t="s">
        <v>514</v>
      </c>
      <c r="F1508" s="134" t="str">
        <f t="shared" si="78"/>
        <v/>
      </c>
      <c r="G1508" s="135" t="e">
        <f>IF(A1508&lt;&gt;"",IF(AND(#REF!="Padrão",$H$4=#REF!),BDI!$B$17,IF(AND(#REF!="Padrão",$H$4=#REF!),BDI!#REF!,IF(AND(#REF!="Diferenciado",$H$4=#REF!),BDI!$E$17,IF(AND(#REF!="Diferenciado",$H$4=#REF!),BDI!#REF!,IF(#REF!="ZERO",0))))),"")</f>
        <v>#REF!</v>
      </c>
      <c r="H1508" s="136" t="str">
        <f t="shared" si="79"/>
        <v/>
      </c>
      <c r="I1508" s="134" t="str">
        <f t="shared" si="80"/>
        <v/>
      </c>
      <c r="J1508" s="226"/>
    </row>
    <row r="1509" spans="1:10" hidden="1" x14ac:dyDescent="0.25">
      <c r="A1509" s="112" t="s">
        <v>5117</v>
      </c>
      <c r="B1509" s="113" t="s">
        <v>3924</v>
      </c>
      <c r="C1509" s="114" t="s">
        <v>20</v>
      </c>
      <c r="D1509" s="114">
        <v>0</v>
      </c>
      <c r="E1509" s="133" t="s">
        <v>514</v>
      </c>
      <c r="F1509" s="134" t="str">
        <f t="shared" si="78"/>
        <v/>
      </c>
      <c r="G1509" s="135" t="e">
        <f>IF(A1509&lt;&gt;"",IF(AND(#REF!="Padrão",$H$4=#REF!),BDI!$B$17,IF(AND(#REF!="Padrão",$H$4=#REF!),BDI!#REF!,IF(AND(#REF!="Diferenciado",$H$4=#REF!),BDI!$E$17,IF(AND(#REF!="Diferenciado",$H$4=#REF!),BDI!#REF!,IF(#REF!="ZERO",0))))),"")</f>
        <v>#REF!</v>
      </c>
      <c r="H1509" s="136" t="str">
        <f t="shared" si="79"/>
        <v/>
      </c>
      <c r="I1509" s="134" t="str">
        <f t="shared" si="80"/>
        <v/>
      </c>
      <c r="J1509" s="226"/>
    </row>
    <row r="1510" spans="1:10" hidden="1" x14ac:dyDescent="0.25">
      <c r="A1510" s="112" t="s">
        <v>5118</v>
      </c>
      <c r="B1510" s="113" t="s">
        <v>3925</v>
      </c>
      <c r="C1510" s="114" t="s">
        <v>20</v>
      </c>
      <c r="D1510" s="114">
        <v>0</v>
      </c>
      <c r="E1510" s="133" t="s">
        <v>514</v>
      </c>
      <c r="F1510" s="134" t="str">
        <f t="shared" si="78"/>
        <v/>
      </c>
      <c r="G1510" s="135" t="e">
        <f>IF(A1510&lt;&gt;"",IF(AND(#REF!="Padrão",$H$4=#REF!),BDI!$B$17,IF(AND(#REF!="Padrão",$H$4=#REF!),BDI!#REF!,IF(AND(#REF!="Diferenciado",$H$4=#REF!),BDI!$E$17,IF(AND(#REF!="Diferenciado",$H$4=#REF!),BDI!#REF!,IF(#REF!="ZERO",0))))),"")</f>
        <v>#REF!</v>
      </c>
      <c r="H1510" s="136" t="str">
        <f t="shared" si="79"/>
        <v/>
      </c>
      <c r="I1510" s="134" t="str">
        <f t="shared" si="80"/>
        <v/>
      </c>
      <c r="J1510" s="226"/>
    </row>
    <row r="1511" spans="1:10" hidden="1" x14ac:dyDescent="0.25">
      <c r="A1511" s="112" t="s">
        <v>5119</v>
      </c>
      <c r="B1511" s="113" t="s">
        <v>3926</v>
      </c>
      <c r="C1511" s="114" t="s">
        <v>20</v>
      </c>
      <c r="D1511" s="114">
        <v>0</v>
      </c>
      <c r="E1511" s="133" t="s">
        <v>514</v>
      </c>
      <c r="F1511" s="134" t="str">
        <f t="shared" si="78"/>
        <v/>
      </c>
      <c r="G1511" s="135" t="e">
        <f>IF(A1511&lt;&gt;"",IF(AND(#REF!="Padrão",$H$4=#REF!),BDI!$B$17,IF(AND(#REF!="Padrão",$H$4=#REF!),BDI!#REF!,IF(AND(#REF!="Diferenciado",$H$4=#REF!),BDI!$E$17,IF(AND(#REF!="Diferenciado",$H$4=#REF!),BDI!#REF!,IF(#REF!="ZERO",0))))),"")</f>
        <v>#REF!</v>
      </c>
      <c r="H1511" s="136" t="str">
        <f t="shared" si="79"/>
        <v/>
      </c>
      <c r="I1511" s="134" t="str">
        <f t="shared" si="80"/>
        <v/>
      </c>
      <c r="J1511" s="226"/>
    </row>
    <row r="1512" spans="1:10" hidden="1" x14ac:dyDescent="0.25">
      <c r="A1512" s="112" t="s">
        <v>5120</v>
      </c>
      <c r="B1512" s="113" t="s">
        <v>3927</v>
      </c>
      <c r="C1512" s="114" t="s">
        <v>20</v>
      </c>
      <c r="D1512" s="114">
        <v>0</v>
      </c>
      <c r="E1512" s="133" t="s">
        <v>514</v>
      </c>
      <c r="F1512" s="134" t="str">
        <f t="shared" si="78"/>
        <v/>
      </c>
      <c r="G1512" s="135" t="e">
        <f>IF(A1512&lt;&gt;"",IF(AND(#REF!="Padrão",$H$4=#REF!),BDI!$B$17,IF(AND(#REF!="Padrão",$H$4=#REF!),BDI!#REF!,IF(AND(#REF!="Diferenciado",$H$4=#REF!),BDI!$E$17,IF(AND(#REF!="Diferenciado",$H$4=#REF!),BDI!#REF!,IF(#REF!="ZERO",0))))),"")</f>
        <v>#REF!</v>
      </c>
      <c r="H1512" s="136" t="str">
        <f t="shared" si="79"/>
        <v/>
      </c>
      <c r="I1512" s="134" t="str">
        <f t="shared" si="80"/>
        <v/>
      </c>
      <c r="J1512" s="226"/>
    </row>
    <row r="1513" spans="1:10" hidden="1" x14ac:dyDescent="0.25">
      <c r="A1513" s="112" t="s">
        <v>5121</v>
      </c>
      <c r="B1513" s="113" t="s">
        <v>3928</v>
      </c>
      <c r="C1513" s="114" t="s">
        <v>92</v>
      </c>
      <c r="D1513" s="114">
        <v>0</v>
      </c>
      <c r="E1513" s="133" t="s">
        <v>514</v>
      </c>
      <c r="F1513" s="134" t="str">
        <f t="shared" si="78"/>
        <v/>
      </c>
      <c r="G1513" s="135" t="e">
        <f>IF(A1513&lt;&gt;"",IF(AND(#REF!="Padrão",$H$4=#REF!),BDI!$B$17,IF(AND(#REF!="Padrão",$H$4=#REF!),BDI!#REF!,IF(AND(#REF!="Diferenciado",$H$4=#REF!),BDI!$E$17,IF(AND(#REF!="Diferenciado",$H$4=#REF!),BDI!#REF!,IF(#REF!="ZERO",0))))),"")</f>
        <v>#REF!</v>
      </c>
      <c r="H1513" s="136" t="str">
        <f t="shared" si="79"/>
        <v/>
      </c>
      <c r="I1513" s="134" t="str">
        <f t="shared" si="80"/>
        <v/>
      </c>
      <c r="J1513" s="226"/>
    </row>
    <row r="1514" spans="1:10" hidden="1" x14ac:dyDescent="0.25">
      <c r="A1514" s="112" t="s">
        <v>5122</v>
      </c>
      <c r="B1514" s="113" t="s">
        <v>3929</v>
      </c>
      <c r="C1514" s="114" t="s">
        <v>20</v>
      </c>
      <c r="D1514" s="114">
        <v>0</v>
      </c>
      <c r="E1514" s="133" t="s">
        <v>514</v>
      </c>
      <c r="F1514" s="134" t="str">
        <f t="shared" si="78"/>
        <v/>
      </c>
      <c r="G1514" s="135" t="e">
        <f>IF(A1514&lt;&gt;"",IF(AND(#REF!="Padrão",$H$4=#REF!),BDI!$B$17,IF(AND(#REF!="Padrão",$H$4=#REF!),BDI!#REF!,IF(AND(#REF!="Diferenciado",$H$4=#REF!),BDI!$E$17,IF(AND(#REF!="Diferenciado",$H$4=#REF!),BDI!#REF!,IF(#REF!="ZERO",0))))),"")</f>
        <v>#REF!</v>
      </c>
      <c r="H1514" s="136" t="str">
        <f t="shared" si="79"/>
        <v/>
      </c>
      <c r="I1514" s="134" t="str">
        <f t="shared" si="80"/>
        <v/>
      </c>
      <c r="J1514" s="226"/>
    </row>
    <row r="1515" spans="1:10" hidden="1" x14ac:dyDescent="0.25">
      <c r="A1515" s="112" t="s">
        <v>5123</v>
      </c>
      <c r="B1515" s="113" t="s">
        <v>3930</v>
      </c>
      <c r="C1515" s="114" t="s">
        <v>20</v>
      </c>
      <c r="D1515" s="114">
        <v>0</v>
      </c>
      <c r="E1515" s="133" t="s">
        <v>514</v>
      </c>
      <c r="F1515" s="134" t="str">
        <f t="shared" si="78"/>
        <v/>
      </c>
      <c r="G1515" s="135" t="e">
        <f>IF(A1515&lt;&gt;"",IF(AND(#REF!="Padrão",$H$4=#REF!),BDI!$B$17,IF(AND(#REF!="Padrão",$H$4=#REF!),BDI!#REF!,IF(AND(#REF!="Diferenciado",$H$4=#REF!),BDI!$E$17,IF(AND(#REF!="Diferenciado",$H$4=#REF!),BDI!#REF!,IF(#REF!="ZERO",0))))),"")</f>
        <v>#REF!</v>
      </c>
      <c r="H1515" s="136" t="str">
        <f t="shared" si="79"/>
        <v/>
      </c>
      <c r="I1515" s="134" t="str">
        <f t="shared" si="80"/>
        <v/>
      </c>
      <c r="J1515" s="226"/>
    </row>
    <row r="1516" spans="1:10" hidden="1" x14ac:dyDescent="0.25">
      <c r="A1516" s="112" t="s">
        <v>5124</v>
      </c>
      <c r="B1516" s="113" t="s">
        <v>3931</v>
      </c>
      <c r="C1516" s="114" t="s">
        <v>20</v>
      </c>
      <c r="D1516" s="114">
        <v>0</v>
      </c>
      <c r="E1516" s="133" t="s">
        <v>514</v>
      </c>
      <c r="F1516" s="134" t="str">
        <f t="shared" si="78"/>
        <v/>
      </c>
      <c r="G1516" s="135" t="e">
        <f>IF(A1516&lt;&gt;"",IF(AND(#REF!="Padrão",$H$4=#REF!),BDI!$B$17,IF(AND(#REF!="Padrão",$H$4=#REF!),BDI!#REF!,IF(AND(#REF!="Diferenciado",$H$4=#REF!),BDI!$E$17,IF(AND(#REF!="Diferenciado",$H$4=#REF!),BDI!#REF!,IF(#REF!="ZERO",0))))),"")</f>
        <v>#REF!</v>
      </c>
      <c r="H1516" s="136" t="str">
        <f t="shared" si="79"/>
        <v/>
      </c>
      <c r="I1516" s="134" t="str">
        <f t="shared" si="80"/>
        <v/>
      </c>
      <c r="J1516" s="226"/>
    </row>
    <row r="1517" spans="1:10" hidden="1" x14ac:dyDescent="0.25">
      <c r="A1517" s="112" t="s">
        <v>5125</v>
      </c>
      <c r="B1517" s="113" t="s">
        <v>3932</v>
      </c>
      <c r="C1517" s="114" t="s">
        <v>92</v>
      </c>
      <c r="D1517" s="114">
        <v>0</v>
      </c>
      <c r="E1517" s="133" t="s">
        <v>514</v>
      </c>
      <c r="F1517" s="134" t="str">
        <f t="shared" ref="F1517:F1580" si="81">IF(ISNUMBER(E1517),D1517*E1517,"")</f>
        <v/>
      </c>
      <c r="G1517" s="135" t="e">
        <f>IF(A1517&lt;&gt;"",IF(AND(#REF!="Padrão",$H$4=#REF!),BDI!$B$17,IF(AND(#REF!="Padrão",$H$4=#REF!),BDI!#REF!,IF(AND(#REF!="Diferenciado",$H$4=#REF!),BDI!$E$17,IF(AND(#REF!="Diferenciado",$H$4=#REF!),BDI!#REF!,IF(#REF!="ZERO",0))))),"")</f>
        <v>#REF!</v>
      </c>
      <c r="H1517" s="136" t="str">
        <f t="shared" ref="H1517:H1580" si="82">IF(ISNUMBER(E1517),ROUND(E1517*(1+G1517),2),"")</f>
        <v/>
      </c>
      <c r="I1517" s="134" t="str">
        <f t="shared" ref="I1517:I1580" si="83">IF(ISNUMBER(E1517),ROUND(H1517*D1517,2),"")</f>
        <v/>
      </c>
      <c r="J1517" s="226"/>
    </row>
    <row r="1518" spans="1:10" hidden="1" x14ac:dyDescent="0.25">
      <c r="A1518" s="112" t="s">
        <v>5126</v>
      </c>
      <c r="B1518" s="113" t="s">
        <v>3933</v>
      </c>
      <c r="C1518" s="114" t="s">
        <v>20</v>
      </c>
      <c r="D1518" s="114">
        <v>0</v>
      </c>
      <c r="E1518" s="133" t="s">
        <v>514</v>
      </c>
      <c r="F1518" s="134" t="str">
        <f t="shared" si="81"/>
        <v/>
      </c>
      <c r="G1518" s="135" t="e">
        <f>IF(A1518&lt;&gt;"",IF(AND(#REF!="Padrão",$H$4=#REF!),BDI!$B$17,IF(AND(#REF!="Padrão",$H$4=#REF!),BDI!#REF!,IF(AND(#REF!="Diferenciado",$H$4=#REF!),BDI!$E$17,IF(AND(#REF!="Diferenciado",$H$4=#REF!),BDI!#REF!,IF(#REF!="ZERO",0))))),"")</f>
        <v>#REF!</v>
      </c>
      <c r="H1518" s="136" t="str">
        <f t="shared" si="82"/>
        <v/>
      </c>
      <c r="I1518" s="134" t="str">
        <f t="shared" si="83"/>
        <v/>
      </c>
      <c r="J1518" s="226"/>
    </row>
    <row r="1519" spans="1:10" hidden="1" x14ac:dyDescent="0.25">
      <c r="A1519" s="112" t="s">
        <v>5127</v>
      </c>
      <c r="B1519" s="113" t="s">
        <v>3934</v>
      </c>
      <c r="C1519" s="114" t="s">
        <v>20</v>
      </c>
      <c r="D1519" s="114">
        <v>0</v>
      </c>
      <c r="E1519" s="133" t="s">
        <v>514</v>
      </c>
      <c r="F1519" s="134" t="str">
        <f t="shared" si="81"/>
        <v/>
      </c>
      <c r="G1519" s="135" t="e">
        <f>IF(A1519&lt;&gt;"",IF(AND(#REF!="Padrão",$H$4=#REF!),BDI!$B$17,IF(AND(#REF!="Padrão",$H$4=#REF!),BDI!#REF!,IF(AND(#REF!="Diferenciado",$H$4=#REF!),BDI!$E$17,IF(AND(#REF!="Diferenciado",$H$4=#REF!),BDI!#REF!,IF(#REF!="ZERO",0))))),"")</f>
        <v>#REF!</v>
      </c>
      <c r="H1519" s="136" t="str">
        <f t="shared" si="82"/>
        <v/>
      </c>
      <c r="I1519" s="134" t="str">
        <f t="shared" si="83"/>
        <v/>
      </c>
      <c r="J1519" s="226"/>
    </row>
    <row r="1520" spans="1:10" hidden="1" x14ac:dyDescent="0.25">
      <c r="A1520" s="112" t="s">
        <v>5128</v>
      </c>
      <c r="B1520" s="113" t="s">
        <v>3935</v>
      </c>
      <c r="C1520" s="114" t="s">
        <v>20</v>
      </c>
      <c r="D1520" s="114">
        <v>0</v>
      </c>
      <c r="E1520" s="133" t="s">
        <v>514</v>
      </c>
      <c r="F1520" s="134" t="str">
        <f t="shared" si="81"/>
        <v/>
      </c>
      <c r="G1520" s="135" t="e">
        <f>IF(A1520&lt;&gt;"",IF(AND(#REF!="Padrão",$H$4=#REF!),BDI!$B$17,IF(AND(#REF!="Padrão",$H$4=#REF!),BDI!#REF!,IF(AND(#REF!="Diferenciado",$H$4=#REF!),BDI!$E$17,IF(AND(#REF!="Diferenciado",$H$4=#REF!),BDI!#REF!,IF(#REF!="ZERO",0))))),"")</f>
        <v>#REF!</v>
      </c>
      <c r="H1520" s="136" t="str">
        <f t="shared" si="82"/>
        <v/>
      </c>
      <c r="I1520" s="134" t="str">
        <f t="shared" si="83"/>
        <v/>
      </c>
      <c r="J1520" s="226"/>
    </row>
    <row r="1521" spans="1:10" hidden="1" x14ac:dyDescent="0.25">
      <c r="A1521" s="112" t="s">
        <v>5129</v>
      </c>
      <c r="B1521" s="113" t="s">
        <v>3936</v>
      </c>
      <c r="C1521" s="114" t="s">
        <v>20</v>
      </c>
      <c r="D1521" s="114">
        <v>0</v>
      </c>
      <c r="E1521" s="133" t="s">
        <v>514</v>
      </c>
      <c r="F1521" s="134" t="str">
        <f t="shared" si="81"/>
        <v/>
      </c>
      <c r="G1521" s="135" t="e">
        <f>IF(A1521&lt;&gt;"",IF(AND(#REF!="Padrão",$H$4=#REF!),BDI!$B$17,IF(AND(#REF!="Padrão",$H$4=#REF!),BDI!#REF!,IF(AND(#REF!="Diferenciado",$H$4=#REF!),BDI!$E$17,IF(AND(#REF!="Diferenciado",$H$4=#REF!),BDI!#REF!,IF(#REF!="ZERO",0))))),"")</f>
        <v>#REF!</v>
      </c>
      <c r="H1521" s="136" t="str">
        <f t="shared" si="82"/>
        <v/>
      </c>
      <c r="I1521" s="134" t="str">
        <f t="shared" si="83"/>
        <v/>
      </c>
      <c r="J1521" s="226"/>
    </row>
    <row r="1522" spans="1:10" hidden="1" x14ac:dyDescent="0.25">
      <c r="A1522" s="112" t="s">
        <v>5130</v>
      </c>
      <c r="B1522" s="113" t="s">
        <v>3937</v>
      </c>
      <c r="C1522" s="114" t="s">
        <v>20</v>
      </c>
      <c r="D1522" s="114">
        <v>0</v>
      </c>
      <c r="E1522" s="133" t="s">
        <v>514</v>
      </c>
      <c r="F1522" s="134" t="str">
        <f t="shared" si="81"/>
        <v/>
      </c>
      <c r="G1522" s="135" t="e">
        <f>IF(A1522&lt;&gt;"",IF(AND(#REF!="Padrão",$H$4=#REF!),BDI!$B$17,IF(AND(#REF!="Padrão",$H$4=#REF!),BDI!#REF!,IF(AND(#REF!="Diferenciado",$H$4=#REF!),BDI!$E$17,IF(AND(#REF!="Diferenciado",$H$4=#REF!),BDI!#REF!,IF(#REF!="ZERO",0))))),"")</f>
        <v>#REF!</v>
      </c>
      <c r="H1522" s="136" t="str">
        <f t="shared" si="82"/>
        <v/>
      </c>
      <c r="I1522" s="134" t="str">
        <f t="shared" si="83"/>
        <v/>
      </c>
      <c r="J1522" s="226"/>
    </row>
    <row r="1523" spans="1:10" hidden="1" x14ac:dyDescent="0.25">
      <c r="A1523" s="112" t="s">
        <v>5131</v>
      </c>
      <c r="B1523" s="113" t="s">
        <v>3938</v>
      </c>
      <c r="C1523" s="114" t="s">
        <v>20</v>
      </c>
      <c r="D1523" s="114">
        <v>0</v>
      </c>
      <c r="E1523" s="133" t="s">
        <v>514</v>
      </c>
      <c r="F1523" s="134" t="str">
        <f t="shared" si="81"/>
        <v/>
      </c>
      <c r="G1523" s="135" t="e">
        <f>IF(A1523&lt;&gt;"",IF(AND(#REF!="Padrão",$H$4=#REF!),BDI!$B$17,IF(AND(#REF!="Padrão",$H$4=#REF!),BDI!#REF!,IF(AND(#REF!="Diferenciado",$H$4=#REF!),BDI!$E$17,IF(AND(#REF!="Diferenciado",$H$4=#REF!),BDI!#REF!,IF(#REF!="ZERO",0))))),"")</f>
        <v>#REF!</v>
      </c>
      <c r="H1523" s="136" t="str">
        <f t="shared" si="82"/>
        <v/>
      </c>
      <c r="I1523" s="134" t="str">
        <f t="shared" si="83"/>
        <v/>
      </c>
      <c r="J1523" s="226"/>
    </row>
    <row r="1524" spans="1:10" hidden="1" x14ac:dyDescent="0.25">
      <c r="A1524" s="112" t="s">
        <v>5132</v>
      </c>
      <c r="B1524" s="113" t="s">
        <v>3939</v>
      </c>
      <c r="C1524" s="114" t="s">
        <v>20</v>
      </c>
      <c r="D1524" s="114">
        <v>0</v>
      </c>
      <c r="E1524" s="133" t="s">
        <v>514</v>
      </c>
      <c r="F1524" s="134" t="str">
        <f t="shared" si="81"/>
        <v/>
      </c>
      <c r="G1524" s="135" t="e">
        <f>IF(A1524&lt;&gt;"",IF(AND(#REF!="Padrão",$H$4=#REF!),BDI!$B$17,IF(AND(#REF!="Padrão",$H$4=#REF!),BDI!#REF!,IF(AND(#REF!="Diferenciado",$H$4=#REF!),BDI!$E$17,IF(AND(#REF!="Diferenciado",$H$4=#REF!),BDI!#REF!,IF(#REF!="ZERO",0))))),"")</f>
        <v>#REF!</v>
      </c>
      <c r="H1524" s="136" t="str">
        <f t="shared" si="82"/>
        <v/>
      </c>
      <c r="I1524" s="134" t="str">
        <f t="shared" si="83"/>
        <v/>
      </c>
      <c r="J1524" s="226"/>
    </row>
    <row r="1525" spans="1:10" hidden="1" x14ac:dyDescent="0.25">
      <c r="A1525" s="112" t="s">
        <v>5133</v>
      </c>
      <c r="B1525" s="113" t="s">
        <v>3940</v>
      </c>
      <c r="C1525" s="114" t="s">
        <v>20</v>
      </c>
      <c r="D1525" s="114">
        <v>0</v>
      </c>
      <c r="E1525" s="133" t="s">
        <v>514</v>
      </c>
      <c r="F1525" s="134" t="str">
        <f t="shared" si="81"/>
        <v/>
      </c>
      <c r="G1525" s="135" t="e">
        <f>IF(A1525&lt;&gt;"",IF(AND(#REF!="Padrão",$H$4=#REF!),BDI!$B$17,IF(AND(#REF!="Padrão",$H$4=#REF!),BDI!#REF!,IF(AND(#REF!="Diferenciado",$H$4=#REF!),BDI!$E$17,IF(AND(#REF!="Diferenciado",$H$4=#REF!),BDI!#REF!,IF(#REF!="ZERO",0))))),"")</f>
        <v>#REF!</v>
      </c>
      <c r="H1525" s="136" t="str">
        <f t="shared" si="82"/>
        <v/>
      </c>
      <c r="I1525" s="134" t="str">
        <f t="shared" si="83"/>
        <v/>
      </c>
      <c r="J1525" s="226"/>
    </row>
    <row r="1526" spans="1:10" hidden="1" x14ac:dyDescent="0.25">
      <c r="A1526" s="112" t="s">
        <v>5134</v>
      </c>
      <c r="B1526" s="113" t="s">
        <v>3941</v>
      </c>
      <c r="C1526" s="114" t="s">
        <v>20</v>
      </c>
      <c r="D1526" s="114">
        <v>0</v>
      </c>
      <c r="E1526" s="133" t="s">
        <v>514</v>
      </c>
      <c r="F1526" s="134" t="str">
        <f t="shared" si="81"/>
        <v/>
      </c>
      <c r="G1526" s="135" t="e">
        <f>IF(A1526&lt;&gt;"",IF(AND(#REF!="Padrão",$H$4=#REF!),BDI!$B$17,IF(AND(#REF!="Padrão",$H$4=#REF!),BDI!#REF!,IF(AND(#REF!="Diferenciado",$H$4=#REF!),BDI!$E$17,IF(AND(#REF!="Diferenciado",$H$4=#REF!),BDI!#REF!,IF(#REF!="ZERO",0))))),"")</f>
        <v>#REF!</v>
      </c>
      <c r="H1526" s="136" t="str">
        <f t="shared" si="82"/>
        <v/>
      </c>
      <c r="I1526" s="134" t="str">
        <f t="shared" si="83"/>
        <v/>
      </c>
      <c r="J1526" s="226"/>
    </row>
    <row r="1527" spans="1:10" hidden="1" x14ac:dyDescent="0.25">
      <c r="A1527" s="112" t="s">
        <v>5135</v>
      </c>
      <c r="B1527" s="113" t="s">
        <v>3942</v>
      </c>
      <c r="C1527" s="114" t="s">
        <v>20</v>
      </c>
      <c r="D1527" s="114">
        <v>0</v>
      </c>
      <c r="E1527" s="133" t="s">
        <v>514</v>
      </c>
      <c r="F1527" s="134" t="str">
        <f t="shared" si="81"/>
        <v/>
      </c>
      <c r="G1527" s="135" t="e">
        <f>IF(A1527&lt;&gt;"",IF(AND(#REF!="Padrão",$H$4=#REF!),BDI!$B$17,IF(AND(#REF!="Padrão",$H$4=#REF!),BDI!#REF!,IF(AND(#REF!="Diferenciado",$H$4=#REF!),BDI!$E$17,IF(AND(#REF!="Diferenciado",$H$4=#REF!),BDI!#REF!,IF(#REF!="ZERO",0))))),"")</f>
        <v>#REF!</v>
      </c>
      <c r="H1527" s="136" t="str">
        <f t="shared" si="82"/>
        <v/>
      </c>
      <c r="I1527" s="134" t="str">
        <f t="shared" si="83"/>
        <v/>
      </c>
      <c r="J1527" s="226"/>
    </row>
    <row r="1528" spans="1:10" hidden="1" x14ac:dyDescent="0.25">
      <c r="A1528" s="112" t="s">
        <v>5136</v>
      </c>
      <c r="B1528" s="113" t="s">
        <v>3943</v>
      </c>
      <c r="C1528" s="114" t="s">
        <v>20</v>
      </c>
      <c r="D1528" s="114">
        <v>0</v>
      </c>
      <c r="E1528" s="133" t="s">
        <v>514</v>
      </c>
      <c r="F1528" s="134" t="str">
        <f t="shared" si="81"/>
        <v/>
      </c>
      <c r="G1528" s="135" t="e">
        <f>IF(A1528&lt;&gt;"",IF(AND(#REF!="Padrão",$H$4=#REF!),BDI!$B$17,IF(AND(#REF!="Padrão",$H$4=#REF!),BDI!#REF!,IF(AND(#REF!="Diferenciado",$H$4=#REF!),BDI!$E$17,IF(AND(#REF!="Diferenciado",$H$4=#REF!),BDI!#REF!,IF(#REF!="ZERO",0))))),"")</f>
        <v>#REF!</v>
      </c>
      <c r="H1528" s="136" t="str">
        <f t="shared" si="82"/>
        <v/>
      </c>
      <c r="I1528" s="134" t="str">
        <f t="shared" si="83"/>
        <v/>
      </c>
      <c r="J1528" s="226"/>
    </row>
    <row r="1529" spans="1:10" hidden="1" x14ac:dyDescent="0.25">
      <c r="A1529" s="112" t="s">
        <v>5137</v>
      </c>
      <c r="B1529" s="113" t="s">
        <v>3944</v>
      </c>
      <c r="C1529" s="114" t="s">
        <v>20</v>
      </c>
      <c r="D1529" s="114">
        <v>0</v>
      </c>
      <c r="E1529" s="133" t="s">
        <v>514</v>
      </c>
      <c r="F1529" s="134" t="str">
        <f t="shared" si="81"/>
        <v/>
      </c>
      <c r="G1529" s="135" t="e">
        <f>IF(A1529&lt;&gt;"",IF(AND(#REF!="Padrão",$H$4=#REF!),BDI!$B$17,IF(AND(#REF!="Padrão",$H$4=#REF!),BDI!#REF!,IF(AND(#REF!="Diferenciado",$H$4=#REF!),BDI!$E$17,IF(AND(#REF!="Diferenciado",$H$4=#REF!),BDI!#REF!,IF(#REF!="ZERO",0))))),"")</f>
        <v>#REF!</v>
      </c>
      <c r="H1529" s="136" t="str">
        <f t="shared" si="82"/>
        <v/>
      </c>
      <c r="I1529" s="134" t="str">
        <f t="shared" si="83"/>
        <v/>
      </c>
      <c r="J1529" s="226"/>
    </row>
    <row r="1530" spans="1:10" hidden="1" x14ac:dyDescent="0.25">
      <c r="A1530" s="112" t="s">
        <v>5138</v>
      </c>
      <c r="B1530" s="113" t="s">
        <v>3945</v>
      </c>
      <c r="C1530" s="114" t="s">
        <v>20</v>
      </c>
      <c r="D1530" s="114">
        <v>0</v>
      </c>
      <c r="E1530" s="133" t="s">
        <v>514</v>
      </c>
      <c r="F1530" s="134" t="str">
        <f t="shared" si="81"/>
        <v/>
      </c>
      <c r="G1530" s="135" t="e">
        <f>IF(A1530&lt;&gt;"",IF(AND(#REF!="Padrão",$H$4=#REF!),BDI!$B$17,IF(AND(#REF!="Padrão",$H$4=#REF!),BDI!#REF!,IF(AND(#REF!="Diferenciado",$H$4=#REF!),BDI!$E$17,IF(AND(#REF!="Diferenciado",$H$4=#REF!),BDI!#REF!,IF(#REF!="ZERO",0))))),"")</f>
        <v>#REF!</v>
      </c>
      <c r="H1530" s="136" t="str">
        <f t="shared" si="82"/>
        <v/>
      </c>
      <c r="I1530" s="134" t="str">
        <f t="shared" si="83"/>
        <v/>
      </c>
      <c r="J1530" s="226"/>
    </row>
    <row r="1531" spans="1:10" hidden="1" x14ac:dyDescent="0.25">
      <c r="A1531" s="112" t="s">
        <v>5139</v>
      </c>
      <c r="B1531" s="113" t="s">
        <v>3946</v>
      </c>
      <c r="C1531" s="114" t="s">
        <v>20</v>
      </c>
      <c r="D1531" s="114">
        <v>0</v>
      </c>
      <c r="E1531" s="133" t="s">
        <v>514</v>
      </c>
      <c r="F1531" s="134" t="str">
        <f t="shared" si="81"/>
        <v/>
      </c>
      <c r="G1531" s="135" t="e">
        <f>IF(A1531&lt;&gt;"",IF(AND(#REF!="Padrão",$H$4=#REF!),BDI!$B$17,IF(AND(#REF!="Padrão",$H$4=#REF!),BDI!#REF!,IF(AND(#REF!="Diferenciado",$H$4=#REF!),BDI!$E$17,IF(AND(#REF!="Diferenciado",$H$4=#REF!),BDI!#REF!,IF(#REF!="ZERO",0))))),"")</f>
        <v>#REF!</v>
      </c>
      <c r="H1531" s="136" t="str">
        <f t="shared" si="82"/>
        <v/>
      </c>
      <c r="I1531" s="134" t="str">
        <f t="shared" si="83"/>
        <v/>
      </c>
      <c r="J1531" s="226"/>
    </row>
    <row r="1532" spans="1:10" hidden="1" x14ac:dyDescent="0.25">
      <c r="A1532" s="112" t="s">
        <v>5140</v>
      </c>
      <c r="B1532" s="113" t="s">
        <v>3947</v>
      </c>
      <c r="C1532" s="114" t="s">
        <v>20</v>
      </c>
      <c r="D1532" s="114">
        <v>0</v>
      </c>
      <c r="E1532" s="133" t="s">
        <v>514</v>
      </c>
      <c r="F1532" s="134" t="str">
        <f t="shared" si="81"/>
        <v/>
      </c>
      <c r="G1532" s="135" t="e">
        <f>IF(A1532&lt;&gt;"",IF(AND(#REF!="Padrão",$H$4=#REF!),BDI!$B$17,IF(AND(#REF!="Padrão",$H$4=#REF!),BDI!#REF!,IF(AND(#REF!="Diferenciado",$H$4=#REF!),BDI!$E$17,IF(AND(#REF!="Diferenciado",$H$4=#REF!),BDI!#REF!,IF(#REF!="ZERO",0))))),"")</f>
        <v>#REF!</v>
      </c>
      <c r="H1532" s="136" t="str">
        <f t="shared" si="82"/>
        <v/>
      </c>
      <c r="I1532" s="134" t="str">
        <f t="shared" si="83"/>
        <v/>
      </c>
      <c r="J1532" s="226"/>
    </row>
    <row r="1533" spans="1:10" hidden="1" x14ac:dyDescent="0.25">
      <c r="A1533" s="112" t="s">
        <v>5141</v>
      </c>
      <c r="B1533" s="113" t="s">
        <v>3948</v>
      </c>
      <c r="C1533" s="114" t="s">
        <v>20</v>
      </c>
      <c r="D1533" s="114">
        <v>0</v>
      </c>
      <c r="E1533" s="133" t="s">
        <v>514</v>
      </c>
      <c r="F1533" s="134" t="str">
        <f t="shared" si="81"/>
        <v/>
      </c>
      <c r="G1533" s="135" t="e">
        <f>IF(A1533&lt;&gt;"",IF(AND(#REF!="Padrão",$H$4=#REF!),BDI!$B$17,IF(AND(#REF!="Padrão",$H$4=#REF!),BDI!#REF!,IF(AND(#REF!="Diferenciado",$H$4=#REF!),BDI!$E$17,IF(AND(#REF!="Diferenciado",$H$4=#REF!),BDI!#REF!,IF(#REF!="ZERO",0))))),"")</f>
        <v>#REF!</v>
      </c>
      <c r="H1533" s="136" t="str">
        <f t="shared" si="82"/>
        <v/>
      </c>
      <c r="I1533" s="134" t="str">
        <f t="shared" si="83"/>
        <v/>
      </c>
      <c r="J1533" s="226"/>
    </row>
    <row r="1534" spans="1:10" hidden="1" x14ac:dyDescent="0.25">
      <c r="A1534" s="112" t="s">
        <v>5142</v>
      </c>
      <c r="B1534" s="113" t="s">
        <v>3949</v>
      </c>
      <c r="C1534" s="114" t="s">
        <v>20</v>
      </c>
      <c r="D1534" s="114">
        <v>0</v>
      </c>
      <c r="E1534" s="133" t="s">
        <v>514</v>
      </c>
      <c r="F1534" s="134" t="str">
        <f t="shared" si="81"/>
        <v/>
      </c>
      <c r="G1534" s="135" t="e">
        <f>IF(A1534&lt;&gt;"",IF(AND(#REF!="Padrão",$H$4=#REF!),BDI!$B$17,IF(AND(#REF!="Padrão",$H$4=#REF!),BDI!#REF!,IF(AND(#REF!="Diferenciado",$H$4=#REF!),BDI!$E$17,IF(AND(#REF!="Diferenciado",$H$4=#REF!),BDI!#REF!,IF(#REF!="ZERO",0))))),"")</f>
        <v>#REF!</v>
      </c>
      <c r="H1534" s="136" t="str">
        <f t="shared" si="82"/>
        <v/>
      </c>
      <c r="I1534" s="134" t="str">
        <f t="shared" si="83"/>
        <v/>
      </c>
      <c r="J1534" s="226"/>
    </row>
    <row r="1535" spans="1:10" hidden="1" x14ac:dyDescent="0.25">
      <c r="A1535" s="112" t="s">
        <v>5143</v>
      </c>
      <c r="B1535" s="113" t="s">
        <v>3950</v>
      </c>
      <c r="C1535" s="114" t="s">
        <v>20</v>
      </c>
      <c r="D1535" s="114">
        <v>0</v>
      </c>
      <c r="E1535" s="133" t="s">
        <v>514</v>
      </c>
      <c r="F1535" s="134" t="str">
        <f t="shared" si="81"/>
        <v/>
      </c>
      <c r="G1535" s="135" t="e">
        <f>IF(A1535&lt;&gt;"",IF(AND(#REF!="Padrão",$H$4=#REF!),BDI!$B$17,IF(AND(#REF!="Padrão",$H$4=#REF!),BDI!#REF!,IF(AND(#REF!="Diferenciado",$H$4=#REF!),BDI!$E$17,IF(AND(#REF!="Diferenciado",$H$4=#REF!),BDI!#REF!,IF(#REF!="ZERO",0))))),"")</f>
        <v>#REF!</v>
      </c>
      <c r="H1535" s="136" t="str">
        <f t="shared" si="82"/>
        <v/>
      </c>
      <c r="I1535" s="134" t="str">
        <f t="shared" si="83"/>
        <v/>
      </c>
      <c r="J1535" s="226"/>
    </row>
    <row r="1536" spans="1:10" hidden="1" x14ac:dyDescent="0.25">
      <c r="A1536" s="112" t="s">
        <v>5144</v>
      </c>
      <c r="B1536" s="113" t="s">
        <v>3951</v>
      </c>
      <c r="C1536" s="114" t="s">
        <v>20</v>
      </c>
      <c r="D1536" s="114">
        <v>0</v>
      </c>
      <c r="E1536" s="133" t="s">
        <v>514</v>
      </c>
      <c r="F1536" s="134" t="str">
        <f t="shared" si="81"/>
        <v/>
      </c>
      <c r="G1536" s="135" t="e">
        <f>IF(A1536&lt;&gt;"",IF(AND(#REF!="Padrão",$H$4=#REF!),BDI!$B$17,IF(AND(#REF!="Padrão",$H$4=#REF!),BDI!#REF!,IF(AND(#REF!="Diferenciado",$H$4=#REF!),BDI!$E$17,IF(AND(#REF!="Diferenciado",$H$4=#REF!),BDI!#REF!,IF(#REF!="ZERO",0))))),"")</f>
        <v>#REF!</v>
      </c>
      <c r="H1536" s="136" t="str">
        <f t="shared" si="82"/>
        <v/>
      </c>
      <c r="I1536" s="134" t="str">
        <f t="shared" si="83"/>
        <v/>
      </c>
      <c r="J1536" s="226"/>
    </row>
    <row r="1537" spans="1:10" hidden="1" x14ac:dyDescent="0.25">
      <c r="A1537" s="112" t="s">
        <v>5145</v>
      </c>
      <c r="B1537" s="113" t="s">
        <v>3952</v>
      </c>
      <c r="C1537" s="114" t="s">
        <v>20</v>
      </c>
      <c r="D1537" s="114">
        <v>0</v>
      </c>
      <c r="E1537" s="133" t="s">
        <v>514</v>
      </c>
      <c r="F1537" s="134" t="str">
        <f t="shared" si="81"/>
        <v/>
      </c>
      <c r="G1537" s="135" t="e">
        <f>IF(A1537&lt;&gt;"",IF(AND(#REF!="Padrão",$H$4=#REF!),BDI!$B$17,IF(AND(#REF!="Padrão",$H$4=#REF!),BDI!#REF!,IF(AND(#REF!="Diferenciado",$H$4=#REF!),BDI!$E$17,IF(AND(#REF!="Diferenciado",$H$4=#REF!),BDI!#REF!,IF(#REF!="ZERO",0))))),"")</f>
        <v>#REF!</v>
      </c>
      <c r="H1537" s="136" t="str">
        <f t="shared" si="82"/>
        <v/>
      </c>
      <c r="I1537" s="134" t="str">
        <f t="shared" si="83"/>
        <v/>
      </c>
      <c r="J1537" s="226"/>
    </row>
    <row r="1538" spans="1:10" hidden="1" x14ac:dyDescent="0.25">
      <c r="A1538" s="112" t="s">
        <v>5146</v>
      </c>
      <c r="B1538" s="113" t="s">
        <v>3953</v>
      </c>
      <c r="C1538" s="114" t="s">
        <v>20</v>
      </c>
      <c r="D1538" s="114">
        <v>0</v>
      </c>
      <c r="E1538" s="133" t="s">
        <v>514</v>
      </c>
      <c r="F1538" s="134" t="str">
        <f t="shared" si="81"/>
        <v/>
      </c>
      <c r="G1538" s="135" t="e">
        <f>IF(A1538&lt;&gt;"",IF(AND(#REF!="Padrão",$H$4=#REF!),BDI!$B$17,IF(AND(#REF!="Padrão",$H$4=#REF!),BDI!#REF!,IF(AND(#REF!="Diferenciado",$H$4=#REF!),BDI!$E$17,IF(AND(#REF!="Diferenciado",$H$4=#REF!),BDI!#REF!,IF(#REF!="ZERO",0))))),"")</f>
        <v>#REF!</v>
      </c>
      <c r="H1538" s="136" t="str">
        <f t="shared" si="82"/>
        <v/>
      </c>
      <c r="I1538" s="134" t="str">
        <f t="shared" si="83"/>
        <v/>
      </c>
      <c r="J1538" s="226"/>
    </row>
    <row r="1539" spans="1:10" hidden="1" x14ac:dyDescent="0.25">
      <c r="A1539" s="112" t="s">
        <v>5147</v>
      </c>
      <c r="B1539" s="113" t="s">
        <v>3954</v>
      </c>
      <c r="C1539" s="114" t="s">
        <v>20</v>
      </c>
      <c r="D1539" s="114">
        <v>0</v>
      </c>
      <c r="E1539" s="133" t="s">
        <v>514</v>
      </c>
      <c r="F1539" s="134" t="str">
        <f t="shared" si="81"/>
        <v/>
      </c>
      <c r="G1539" s="135" t="e">
        <f>IF(A1539&lt;&gt;"",IF(AND(#REF!="Padrão",$H$4=#REF!),BDI!$B$17,IF(AND(#REF!="Padrão",$H$4=#REF!),BDI!#REF!,IF(AND(#REF!="Diferenciado",$H$4=#REF!),BDI!$E$17,IF(AND(#REF!="Diferenciado",$H$4=#REF!),BDI!#REF!,IF(#REF!="ZERO",0))))),"")</f>
        <v>#REF!</v>
      </c>
      <c r="H1539" s="136" t="str">
        <f t="shared" si="82"/>
        <v/>
      </c>
      <c r="I1539" s="134" t="str">
        <f t="shared" si="83"/>
        <v/>
      </c>
      <c r="J1539" s="226"/>
    </row>
    <row r="1540" spans="1:10" hidden="1" x14ac:dyDescent="0.25">
      <c r="A1540" s="112" t="s">
        <v>5148</v>
      </c>
      <c r="B1540" s="113" t="s">
        <v>3955</v>
      </c>
      <c r="C1540" s="114" t="s">
        <v>20</v>
      </c>
      <c r="D1540" s="114">
        <v>0</v>
      </c>
      <c r="E1540" s="133" t="s">
        <v>514</v>
      </c>
      <c r="F1540" s="134" t="str">
        <f t="shared" si="81"/>
        <v/>
      </c>
      <c r="G1540" s="135" t="e">
        <f>IF(A1540&lt;&gt;"",IF(AND(#REF!="Padrão",$H$4=#REF!),BDI!$B$17,IF(AND(#REF!="Padrão",$H$4=#REF!),BDI!#REF!,IF(AND(#REF!="Diferenciado",$H$4=#REF!),BDI!$E$17,IF(AND(#REF!="Diferenciado",$H$4=#REF!),BDI!#REF!,IF(#REF!="ZERO",0))))),"")</f>
        <v>#REF!</v>
      </c>
      <c r="H1540" s="136" t="str">
        <f t="shared" si="82"/>
        <v/>
      </c>
      <c r="I1540" s="134" t="str">
        <f t="shared" si="83"/>
        <v/>
      </c>
      <c r="J1540" s="226"/>
    </row>
    <row r="1541" spans="1:10" hidden="1" x14ac:dyDescent="0.25">
      <c r="A1541" s="112" t="s">
        <v>5149</v>
      </c>
      <c r="B1541" s="113" t="s">
        <v>3956</v>
      </c>
      <c r="C1541" s="114" t="s">
        <v>20</v>
      </c>
      <c r="D1541" s="114">
        <v>0</v>
      </c>
      <c r="E1541" s="133" t="s">
        <v>514</v>
      </c>
      <c r="F1541" s="134" t="str">
        <f t="shared" si="81"/>
        <v/>
      </c>
      <c r="G1541" s="135" t="e">
        <f>IF(A1541&lt;&gt;"",IF(AND(#REF!="Padrão",$H$4=#REF!),BDI!$B$17,IF(AND(#REF!="Padrão",$H$4=#REF!),BDI!#REF!,IF(AND(#REF!="Diferenciado",$H$4=#REF!),BDI!$E$17,IF(AND(#REF!="Diferenciado",$H$4=#REF!),BDI!#REF!,IF(#REF!="ZERO",0))))),"")</f>
        <v>#REF!</v>
      </c>
      <c r="H1541" s="136" t="str">
        <f t="shared" si="82"/>
        <v/>
      </c>
      <c r="I1541" s="134" t="str">
        <f t="shared" si="83"/>
        <v/>
      </c>
      <c r="J1541" s="226"/>
    </row>
    <row r="1542" spans="1:10" hidden="1" x14ac:dyDescent="0.25">
      <c r="A1542" s="112" t="s">
        <v>5150</v>
      </c>
      <c r="B1542" s="113" t="s">
        <v>6420</v>
      </c>
      <c r="C1542" s="114" t="s">
        <v>92</v>
      </c>
      <c r="D1542" s="114">
        <v>0</v>
      </c>
      <c r="E1542" s="133" t="s">
        <v>514</v>
      </c>
      <c r="F1542" s="134" t="str">
        <f t="shared" si="81"/>
        <v/>
      </c>
      <c r="G1542" s="135" t="e">
        <f>IF(A1542&lt;&gt;"",IF(AND(#REF!="Padrão",$H$4=#REF!),BDI!$B$17,IF(AND(#REF!="Padrão",$H$4=#REF!),BDI!#REF!,IF(AND(#REF!="Diferenciado",$H$4=#REF!),BDI!$E$17,IF(AND(#REF!="Diferenciado",$H$4=#REF!),BDI!#REF!,IF(#REF!="ZERO",0))))),"")</f>
        <v>#REF!</v>
      </c>
      <c r="H1542" s="136" t="str">
        <f t="shared" si="82"/>
        <v/>
      </c>
      <c r="I1542" s="134" t="str">
        <f t="shared" si="83"/>
        <v/>
      </c>
      <c r="J1542" s="226"/>
    </row>
    <row r="1543" spans="1:10" hidden="1" x14ac:dyDescent="0.25">
      <c r="A1543" s="112" t="s">
        <v>5151</v>
      </c>
      <c r="B1543" s="113" t="s">
        <v>3957</v>
      </c>
      <c r="C1543" s="114" t="s">
        <v>20</v>
      </c>
      <c r="D1543" s="114">
        <v>0</v>
      </c>
      <c r="E1543" s="133" t="s">
        <v>514</v>
      </c>
      <c r="F1543" s="134" t="str">
        <f t="shared" si="81"/>
        <v/>
      </c>
      <c r="G1543" s="135" t="e">
        <f>IF(A1543&lt;&gt;"",IF(AND(#REF!="Padrão",$H$4=#REF!),BDI!$B$17,IF(AND(#REF!="Padrão",$H$4=#REF!),BDI!#REF!,IF(AND(#REF!="Diferenciado",$H$4=#REF!),BDI!$E$17,IF(AND(#REF!="Diferenciado",$H$4=#REF!),BDI!#REF!,IF(#REF!="ZERO",0))))),"")</f>
        <v>#REF!</v>
      </c>
      <c r="H1543" s="136" t="str">
        <f t="shared" si="82"/>
        <v/>
      </c>
      <c r="I1543" s="134" t="str">
        <f t="shared" si="83"/>
        <v/>
      </c>
      <c r="J1543" s="226"/>
    </row>
    <row r="1544" spans="1:10" hidden="1" x14ac:dyDescent="0.25">
      <c r="A1544" s="112" t="s">
        <v>5152</v>
      </c>
      <c r="B1544" s="113" t="s">
        <v>3958</v>
      </c>
      <c r="C1544" s="114" t="s">
        <v>20</v>
      </c>
      <c r="D1544" s="114">
        <v>0</v>
      </c>
      <c r="E1544" s="133" t="s">
        <v>514</v>
      </c>
      <c r="F1544" s="134" t="str">
        <f t="shared" si="81"/>
        <v/>
      </c>
      <c r="G1544" s="135" t="e">
        <f>IF(A1544&lt;&gt;"",IF(AND(#REF!="Padrão",$H$4=#REF!),BDI!$B$17,IF(AND(#REF!="Padrão",$H$4=#REF!),BDI!#REF!,IF(AND(#REF!="Diferenciado",$H$4=#REF!),BDI!$E$17,IF(AND(#REF!="Diferenciado",$H$4=#REF!),BDI!#REF!,IF(#REF!="ZERO",0))))),"")</f>
        <v>#REF!</v>
      </c>
      <c r="H1544" s="136" t="str">
        <f t="shared" si="82"/>
        <v/>
      </c>
      <c r="I1544" s="134" t="str">
        <f t="shared" si="83"/>
        <v/>
      </c>
      <c r="J1544" s="226"/>
    </row>
    <row r="1545" spans="1:10" hidden="1" x14ac:dyDescent="0.25">
      <c r="A1545" s="112" t="s">
        <v>5153</v>
      </c>
      <c r="B1545" s="113" t="s">
        <v>3959</v>
      </c>
      <c r="C1545" s="114" t="s">
        <v>20</v>
      </c>
      <c r="D1545" s="114">
        <v>0</v>
      </c>
      <c r="E1545" s="133">
        <f ca="1">OFFSET(INDEX(Composições!A:J,MATCH(Orçamentária!A1545,Composições!A:A,0),8),2,0)</f>
        <v>10.696999999999999</v>
      </c>
      <c r="F1545" s="134">
        <f t="shared" ca="1" si="81"/>
        <v>0</v>
      </c>
      <c r="G1545" s="135" t="e">
        <f>IF(A1545&lt;&gt;"",IF(AND(#REF!="Padrão",$H$4=#REF!),BDI!$B$17,IF(AND(#REF!="Padrão",$H$4=#REF!),BDI!#REF!,IF(AND(#REF!="Diferenciado",$H$4=#REF!),BDI!$E$17,IF(AND(#REF!="Diferenciado",$H$4=#REF!),BDI!#REF!,IF(#REF!="ZERO",0))))),"")</f>
        <v>#REF!</v>
      </c>
      <c r="H1545" s="136" t="e">
        <f t="shared" ca="1" si="82"/>
        <v>#REF!</v>
      </c>
      <c r="I1545" s="134" t="e">
        <f t="shared" ca="1" si="83"/>
        <v>#REF!</v>
      </c>
      <c r="J1545" s="226"/>
    </row>
    <row r="1546" spans="1:10" hidden="1" x14ac:dyDescent="0.25">
      <c r="A1546" s="112" t="s">
        <v>5154</v>
      </c>
      <c r="B1546" s="113" t="s">
        <v>3960</v>
      </c>
      <c r="C1546" s="114" t="s">
        <v>20</v>
      </c>
      <c r="D1546" s="114">
        <v>0</v>
      </c>
      <c r="E1546" s="133">
        <f ca="1">OFFSET(INDEX(Composições!A:J,MATCH(Orçamentária!A1546,Composições!A:A,0),8),2,0)</f>
        <v>17.964500000000001</v>
      </c>
      <c r="F1546" s="134">
        <f t="shared" ca="1" si="81"/>
        <v>0</v>
      </c>
      <c r="G1546" s="135" t="e">
        <f>IF(A1546&lt;&gt;"",IF(AND(#REF!="Padrão",$H$4=#REF!),BDI!$B$17,IF(AND(#REF!="Padrão",$H$4=#REF!),BDI!#REF!,IF(AND(#REF!="Diferenciado",$H$4=#REF!),BDI!$E$17,IF(AND(#REF!="Diferenciado",$H$4=#REF!),BDI!#REF!,IF(#REF!="ZERO",0))))),"")</f>
        <v>#REF!</v>
      </c>
      <c r="H1546" s="136" t="e">
        <f t="shared" ca="1" si="82"/>
        <v>#REF!</v>
      </c>
      <c r="I1546" s="134" t="e">
        <f t="shared" ca="1" si="83"/>
        <v>#REF!</v>
      </c>
      <c r="J1546" s="226"/>
    </row>
    <row r="1547" spans="1:10" hidden="1" x14ac:dyDescent="0.25">
      <c r="A1547" s="112" t="s">
        <v>5155</v>
      </c>
      <c r="B1547" s="113" t="s">
        <v>3961</v>
      </c>
      <c r="C1547" s="114" t="s">
        <v>20</v>
      </c>
      <c r="D1547" s="114">
        <v>0</v>
      </c>
      <c r="E1547" s="133">
        <f ca="1">OFFSET(INDEX(Composições!A:J,MATCH(Orçamentária!A1547,Composições!A:A,0),8),2,0)</f>
        <v>22.0305</v>
      </c>
      <c r="F1547" s="134">
        <f t="shared" ca="1" si="81"/>
        <v>0</v>
      </c>
      <c r="G1547" s="135" t="e">
        <f>IF(A1547&lt;&gt;"",IF(AND(#REF!="Padrão",$H$4=#REF!),BDI!$B$17,IF(AND(#REF!="Padrão",$H$4=#REF!),BDI!#REF!,IF(AND(#REF!="Diferenciado",$H$4=#REF!),BDI!$E$17,IF(AND(#REF!="Diferenciado",$H$4=#REF!),BDI!#REF!,IF(#REF!="ZERO",0))))),"")</f>
        <v>#REF!</v>
      </c>
      <c r="H1547" s="136" t="e">
        <f t="shared" ca="1" si="82"/>
        <v>#REF!</v>
      </c>
      <c r="I1547" s="134" t="e">
        <f t="shared" ca="1" si="83"/>
        <v>#REF!</v>
      </c>
      <c r="J1547" s="226"/>
    </row>
    <row r="1548" spans="1:10" hidden="1" x14ac:dyDescent="0.25">
      <c r="A1548" s="112" t="s">
        <v>5156</v>
      </c>
      <c r="B1548" s="113" t="s">
        <v>3962</v>
      </c>
      <c r="C1548" s="114" t="s">
        <v>20</v>
      </c>
      <c r="D1548" s="114">
        <v>0</v>
      </c>
      <c r="E1548" s="133">
        <f ca="1">OFFSET(INDEX(Composições!A:J,MATCH(Orçamentária!A1548,Composições!A:A,0),8),2,0)</f>
        <v>29.279</v>
      </c>
      <c r="F1548" s="134">
        <f t="shared" ca="1" si="81"/>
        <v>0</v>
      </c>
      <c r="G1548" s="135" t="e">
        <f>IF(A1548&lt;&gt;"",IF(AND(#REF!="Padrão",$H$4=#REF!),BDI!$B$17,IF(AND(#REF!="Padrão",$H$4=#REF!),BDI!#REF!,IF(AND(#REF!="Diferenciado",$H$4=#REF!),BDI!$E$17,IF(AND(#REF!="Diferenciado",$H$4=#REF!),BDI!#REF!,IF(#REF!="ZERO",0))))),"")</f>
        <v>#REF!</v>
      </c>
      <c r="H1548" s="136" t="e">
        <f t="shared" ca="1" si="82"/>
        <v>#REF!</v>
      </c>
      <c r="I1548" s="134" t="e">
        <f t="shared" ca="1" si="83"/>
        <v>#REF!</v>
      </c>
      <c r="J1548" s="226"/>
    </row>
    <row r="1549" spans="1:10" hidden="1" x14ac:dyDescent="0.25">
      <c r="A1549" s="112" t="s">
        <v>5157</v>
      </c>
      <c r="B1549" s="113" t="s">
        <v>6421</v>
      </c>
      <c r="C1549" s="114" t="s">
        <v>20</v>
      </c>
      <c r="D1549" s="114">
        <v>0</v>
      </c>
      <c r="E1549" s="133">
        <f ca="1">OFFSET(INDEX(Composições!A:J,MATCH(Orçamentária!A1549,Composições!A:A,0),8),2,0)</f>
        <v>42.9495</v>
      </c>
      <c r="F1549" s="134">
        <f t="shared" ca="1" si="81"/>
        <v>0</v>
      </c>
      <c r="G1549" s="135" t="e">
        <f>IF(A1549&lt;&gt;"",IF(AND(#REF!="Padrão",$H$4=#REF!),BDI!$B$17,IF(AND(#REF!="Padrão",$H$4=#REF!),BDI!#REF!,IF(AND(#REF!="Diferenciado",$H$4=#REF!),BDI!$E$17,IF(AND(#REF!="Diferenciado",$H$4=#REF!),BDI!#REF!,IF(#REF!="ZERO",0))))),"")</f>
        <v>#REF!</v>
      </c>
      <c r="H1549" s="136" t="e">
        <f t="shared" ca="1" si="82"/>
        <v>#REF!</v>
      </c>
      <c r="I1549" s="134" t="e">
        <f t="shared" ca="1" si="83"/>
        <v>#REF!</v>
      </c>
      <c r="J1549" s="226"/>
    </row>
    <row r="1550" spans="1:10" hidden="1" x14ac:dyDescent="0.25">
      <c r="A1550" s="112" t="s">
        <v>5158</v>
      </c>
      <c r="B1550" s="113" t="s">
        <v>3963</v>
      </c>
      <c r="C1550" s="114" t="s">
        <v>20</v>
      </c>
      <c r="D1550" s="114">
        <v>0</v>
      </c>
      <c r="E1550" s="133" t="s">
        <v>514</v>
      </c>
      <c r="F1550" s="134" t="str">
        <f t="shared" si="81"/>
        <v/>
      </c>
      <c r="G1550" s="135" t="e">
        <f>IF(A1550&lt;&gt;"",IF(AND(#REF!="Padrão",$H$4=#REF!),BDI!$B$17,IF(AND(#REF!="Padrão",$H$4=#REF!),BDI!#REF!,IF(AND(#REF!="Diferenciado",$H$4=#REF!),BDI!$E$17,IF(AND(#REF!="Diferenciado",$H$4=#REF!),BDI!#REF!,IF(#REF!="ZERO",0))))),"")</f>
        <v>#REF!</v>
      </c>
      <c r="H1550" s="136" t="str">
        <f t="shared" si="82"/>
        <v/>
      </c>
      <c r="I1550" s="134" t="str">
        <f t="shared" si="83"/>
        <v/>
      </c>
      <c r="J1550" s="226"/>
    </row>
    <row r="1551" spans="1:10" hidden="1" x14ac:dyDescent="0.25">
      <c r="A1551" s="112" t="s">
        <v>5159</v>
      </c>
      <c r="B1551" s="113" t="s">
        <v>3964</v>
      </c>
      <c r="C1551" s="114" t="s">
        <v>20</v>
      </c>
      <c r="D1551" s="114">
        <v>0</v>
      </c>
      <c r="E1551" s="133">
        <f ca="1">OFFSET(INDEX(Composições!A:J,MATCH(Orçamentária!A1551,Composições!A:A,0),8),2,0)</f>
        <v>119.26300000000001</v>
      </c>
      <c r="F1551" s="134">
        <f t="shared" ca="1" si="81"/>
        <v>0</v>
      </c>
      <c r="G1551" s="135" t="e">
        <f>IF(A1551&lt;&gt;"",IF(AND(#REF!="Padrão",$H$4=#REF!),BDI!$B$17,IF(AND(#REF!="Padrão",$H$4=#REF!),BDI!#REF!,IF(AND(#REF!="Diferenciado",$H$4=#REF!),BDI!$E$17,IF(AND(#REF!="Diferenciado",$H$4=#REF!),BDI!#REF!,IF(#REF!="ZERO",0))))),"")</f>
        <v>#REF!</v>
      </c>
      <c r="H1551" s="136" t="e">
        <f t="shared" ca="1" si="82"/>
        <v>#REF!</v>
      </c>
      <c r="I1551" s="134" t="e">
        <f t="shared" ca="1" si="83"/>
        <v>#REF!</v>
      </c>
      <c r="J1551" s="226"/>
    </row>
    <row r="1552" spans="1:10" hidden="1" x14ac:dyDescent="0.25">
      <c r="A1552" s="112" t="s">
        <v>5160</v>
      </c>
      <c r="B1552" s="113" t="s">
        <v>3965</v>
      </c>
      <c r="C1552" s="114" t="s">
        <v>20</v>
      </c>
      <c r="D1552" s="114">
        <v>0</v>
      </c>
      <c r="E1552" s="133">
        <f ca="1">OFFSET(INDEX(Composições!A:J,MATCH(Orçamentária!A1552,Composições!A:A,0),8),2,0)</f>
        <v>218.9085</v>
      </c>
      <c r="F1552" s="134">
        <f t="shared" ca="1" si="81"/>
        <v>0</v>
      </c>
      <c r="G1552" s="135" t="e">
        <f>IF(A1552&lt;&gt;"",IF(AND(#REF!="Padrão",$H$4=#REF!),BDI!$B$17,IF(AND(#REF!="Padrão",$H$4=#REF!),BDI!#REF!,IF(AND(#REF!="Diferenciado",$H$4=#REF!),BDI!$E$17,IF(AND(#REF!="Diferenciado",$H$4=#REF!),BDI!#REF!,IF(#REF!="ZERO",0))))),"")</f>
        <v>#REF!</v>
      </c>
      <c r="H1552" s="136" t="e">
        <f t="shared" ca="1" si="82"/>
        <v>#REF!</v>
      </c>
      <c r="I1552" s="134" t="e">
        <f t="shared" ca="1" si="83"/>
        <v>#REF!</v>
      </c>
      <c r="J1552" s="226"/>
    </row>
    <row r="1553" spans="1:10" hidden="1" x14ac:dyDescent="0.25">
      <c r="A1553" s="112" t="s">
        <v>5161</v>
      </c>
      <c r="B1553" s="113" t="s">
        <v>3966</v>
      </c>
      <c r="C1553" s="114" t="s">
        <v>20</v>
      </c>
      <c r="D1553" s="114">
        <v>0</v>
      </c>
      <c r="E1553" s="133" t="s">
        <v>514</v>
      </c>
      <c r="F1553" s="134" t="str">
        <f t="shared" si="81"/>
        <v/>
      </c>
      <c r="G1553" s="135" t="e">
        <f>IF(A1553&lt;&gt;"",IF(AND(#REF!="Padrão",$H$4=#REF!),BDI!$B$17,IF(AND(#REF!="Padrão",$H$4=#REF!),BDI!#REF!,IF(AND(#REF!="Diferenciado",$H$4=#REF!),BDI!$E$17,IF(AND(#REF!="Diferenciado",$H$4=#REF!),BDI!#REF!,IF(#REF!="ZERO",0))))),"")</f>
        <v>#REF!</v>
      </c>
      <c r="H1553" s="136" t="str">
        <f t="shared" si="82"/>
        <v/>
      </c>
      <c r="I1553" s="134" t="str">
        <f t="shared" si="83"/>
        <v/>
      </c>
      <c r="J1553" s="226"/>
    </row>
    <row r="1554" spans="1:10" hidden="1" x14ac:dyDescent="0.25">
      <c r="A1554" s="112" t="s">
        <v>5162</v>
      </c>
      <c r="B1554" s="113" t="s">
        <v>3967</v>
      </c>
      <c r="C1554" s="114" t="s">
        <v>20</v>
      </c>
      <c r="D1554" s="114">
        <v>0</v>
      </c>
      <c r="E1554" s="133" t="s">
        <v>514</v>
      </c>
      <c r="F1554" s="134" t="str">
        <f t="shared" si="81"/>
        <v/>
      </c>
      <c r="G1554" s="135" t="e">
        <f>IF(A1554&lt;&gt;"",IF(AND(#REF!="Padrão",$H$4=#REF!),BDI!$B$17,IF(AND(#REF!="Padrão",$H$4=#REF!),BDI!#REF!,IF(AND(#REF!="Diferenciado",$H$4=#REF!),BDI!$E$17,IF(AND(#REF!="Diferenciado",$H$4=#REF!),BDI!#REF!,IF(#REF!="ZERO",0))))),"")</f>
        <v>#REF!</v>
      </c>
      <c r="H1554" s="136" t="str">
        <f t="shared" si="82"/>
        <v/>
      </c>
      <c r="I1554" s="134" t="str">
        <f t="shared" si="83"/>
        <v/>
      </c>
      <c r="J1554" s="226"/>
    </row>
    <row r="1555" spans="1:10" hidden="1" x14ac:dyDescent="0.25">
      <c r="A1555" s="112" t="s">
        <v>5163</v>
      </c>
      <c r="B1555" s="113" t="s">
        <v>6422</v>
      </c>
      <c r="C1555" s="114" t="s">
        <v>20</v>
      </c>
      <c r="D1555" s="114">
        <v>0</v>
      </c>
      <c r="E1555" s="133" t="s">
        <v>514</v>
      </c>
      <c r="F1555" s="134" t="str">
        <f t="shared" si="81"/>
        <v/>
      </c>
      <c r="G1555" s="135" t="e">
        <f>IF(A1555&lt;&gt;"",IF(AND(#REF!="Padrão",$H$4=#REF!),BDI!$B$17,IF(AND(#REF!="Padrão",$H$4=#REF!),BDI!#REF!,IF(AND(#REF!="Diferenciado",$H$4=#REF!),BDI!$E$17,IF(AND(#REF!="Diferenciado",$H$4=#REF!),BDI!#REF!,IF(#REF!="ZERO",0))))),"")</f>
        <v>#REF!</v>
      </c>
      <c r="H1555" s="136" t="str">
        <f t="shared" si="82"/>
        <v/>
      </c>
      <c r="I1555" s="134" t="str">
        <f t="shared" si="83"/>
        <v/>
      </c>
      <c r="J1555" s="226"/>
    </row>
    <row r="1556" spans="1:10" hidden="1" x14ac:dyDescent="0.25">
      <c r="A1556" s="112" t="s">
        <v>5164</v>
      </c>
      <c r="B1556" s="113" t="s">
        <v>6423</v>
      </c>
      <c r="C1556" s="114" t="s">
        <v>20</v>
      </c>
      <c r="D1556" s="114">
        <v>0</v>
      </c>
      <c r="E1556" s="133" t="s">
        <v>514</v>
      </c>
      <c r="F1556" s="134" t="str">
        <f t="shared" si="81"/>
        <v/>
      </c>
      <c r="G1556" s="135" t="e">
        <f>IF(A1556&lt;&gt;"",IF(AND(#REF!="Padrão",$H$4=#REF!),BDI!$B$17,IF(AND(#REF!="Padrão",$H$4=#REF!),BDI!#REF!,IF(AND(#REF!="Diferenciado",$H$4=#REF!),BDI!$E$17,IF(AND(#REF!="Diferenciado",$H$4=#REF!),BDI!#REF!,IF(#REF!="ZERO",0))))),"")</f>
        <v>#REF!</v>
      </c>
      <c r="H1556" s="136" t="str">
        <f t="shared" si="82"/>
        <v/>
      </c>
      <c r="I1556" s="134" t="str">
        <f t="shared" si="83"/>
        <v/>
      </c>
      <c r="J1556" s="226"/>
    </row>
    <row r="1557" spans="1:10" hidden="1" x14ac:dyDescent="0.25">
      <c r="A1557" s="112" t="s">
        <v>5165</v>
      </c>
      <c r="B1557" s="113" t="s">
        <v>3968</v>
      </c>
      <c r="C1557" s="114" t="s">
        <v>20</v>
      </c>
      <c r="D1557" s="114">
        <v>0</v>
      </c>
      <c r="E1557" s="133" t="s">
        <v>514</v>
      </c>
      <c r="F1557" s="134" t="str">
        <f t="shared" si="81"/>
        <v/>
      </c>
      <c r="G1557" s="135" t="e">
        <f>IF(A1557&lt;&gt;"",IF(AND(#REF!="Padrão",$H$4=#REF!),BDI!$B$17,IF(AND(#REF!="Padrão",$H$4=#REF!),BDI!#REF!,IF(AND(#REF!="Diferenciado",$H$4=#REF!),BDI!$E$17,IF(AND(#REF!="Diferenciado",$H$4=#REF!),BDI!#REF!,IF(#REF!="ZERO",0))))),"")</f>
        <v>#REF!</v>
      </c>
      <c r="H1557" s="136" t="str">
        <f t="shared" si="82"/>
        <v/>
      </c>
      <c r="I1557" s="134" t="str">
        <f t="shared" si="83"/>
        <v/>
      </c>
      <c r="J1557" s="226"/>
    </row>
    <row r="1558" spans="1:10" hidden="1" x14ac:dyDescent="0.25">
      <c r="A1558" s="112" t="s">
        <v>5166</v>
      </c>
      <c r="B1558" s="113" t="s">
        <v>3969</v>
      </c>
      <c r="C1558" s="114" t="s">
        <v>20</v>
      </c>
      <c r="D1558" s="114">
        <v>0</v>
      </c>
      <c r="E1558" s="133" t="s">
        <v>514</v>
      </c>
      <c r="F1558" s="134" t="str">
        <f t="shared" si="81"/>
        <v/>
      </c>
      <c r="G1558" s="135" t="e">
        <f>IF(A1558&lt;&gt;"",IF(AND(#REF!="Padrão",$H$4=#REF!),BDI!$B$17,IF(AND(#REF!="Padrão",$H$4=#REF!),BDI!#REF!,IF(AND(#REF!="Diferenciado",$H$4=#REF!),BDI!$E$17,IF(AND(#REF!="Diferenciado",$H$4=#REF!),BDI!#REF!,IF(#REF!="ZERO",0))))),"")</f>
        <v>#REF!</v>
      </c>
      <c r="H1558" s="136" t="str">
        <f t="shared" si="82"/>
        <v/>
      </c>
      <c r="I1558" s="134" t="str">
        <f t="shared" si="83"/>
        <v/>
      </c>
      <c r="J1558" s="226"/>
    </row>
    <row r="1559" spans="1:10" hidden="1" x14ac:dyDescent="0.25">
      <c r="A1559" s="112" t="s">
        <v>5167</v>
      </c>
      <c r="B1559" s="113" t="s">
        <v>3970</v>
      </c>
      <c r="C1559" s="114" t="s">
        <v>20</v>
      </c>
      <c r="D1559" s="114">
        <v>0</v>
      </c>
      <c r="E1559" s="133" t="s">
        <v>514</v>
      </c>
      <c r="F1559" s="134" t="str">
        <f t="shared" si="81"/>
        <v/>
      </c>
      <c r="G1559" s="135" t="e">
        <f>IF(A1559&lt;&gt;"",IF(AND(#REF!="Padrão",$H$4=#REF!),BDI!$B$17,IF(AND(#REF!="Padrão",$H$4=#REF!),BDI!#REF!,IF(AND(#REF!="Diferenciado",$H$4=#REF!),BDI!$E$17,IF(AND(#REF!="Diferenciado",$H$4=#REF!),BDI!#REF!,IF(#REF!="ZERO",0))))),"")</f>
        <v>#REF!</v>
      </c>
      <c r="H1559" s="136" t="str">
        <f t="shared" si="82"/>
        <v/>
      </c>
      <c r="I1559" s="134" t="str">
        <f t="shared" si="83"/>
        <v/>
      </c>
      <c r="J1559" s="226"/>
    </row>
    <row r="1560" spans="1:10" hidden="1" x14ac:dyDescent="0.25">
      <c r="A1560" s="112" t="s">
        <v>5168</v>
      </c>
      <c r="B1560" s="113" t="s">
        <v>3971</v>
      </c>
      <c r="C1560" s="114" t="s">
        <v>20</v>
      </c>
      <c r="D1560" s="114">
        <v>0</v>
      </c>
      <c r="E1560" s="133" t="s">
        <v>514</v>
      </c>
      <c r="F1560" s="134" t="str">
        <f t="shared" si="81"/>
        <v/>
      </c>
      <c r="G1560" s="135" t="e">
        <f>IF(A1560&lt;&gt;"",IF(AND(#REF!="Padrão",$H$4=#REF!),BDI!$B$17,IF(AND(#REF!="Padrão",$H$4=#REF!),BDI!#REF!,IF(AND(#REF!="Diferenciado",$H$4=#REF!),BDI!$E$17,IF(AND(#REF!="Diferenciado",$H$4=#REF!),BDI!#REF!,IF(#REF!="ZERO",0))))),"")</f>
        <v>#REF!</v>
      </c>
      <c r="H1560" s="136" t="str">
        <f t="shared" si="82"/>
        <v/>
      </c>
      <c r="I1560" s="134" t="str">
        <f t="shared" si="83"/>
        <v/>
      </c>
      <c r="J1560" s="226"/>
    </row>
    <row r="1561" spans="1:10" hidden="1" x14ac:dyDescent="0.25">
      <c r="A1561" s="112" t="s">
        <v>5169</v>
      </c>
      <c r="B1561" s="113" t="s">
        <v>3972</v>
      </c>
      <c r="C1561" s="114" t="s">
        <v>20</v>
      </c>
      <c r="D1561" s="114">
        <v>0</v>
      </c>
      <c r="E1561" s="133" t="s">
        <v>514</v>
      </c>
      <c r="F1561" s="134" t="str">
        <f t="shared" si="81"/>
        <v/>
      </c>
      <c r="G1561" s="135" t="e">
        <f>IF(A1561&lt;&gt;"",IF(AND(#REF!="Padrão",$H$4=#REF!),BDI!$B$17,IF(AND(#REF!="Padrão",$H$4=#REF!),BDI!#REF!,IF(AND(#REF!="Diferenciado",$H$4=#REF!),BDI!$E$17,IF(AND(#REF!="Diferenciado",$H$4=#REF!),BDI!#REF!,IF(#REF!="ZERO",0))))),"")</f>
        <v>#REF!</v>
      </c>
      <c r="H1561" s="136" t="str">
        <f t="shared" si="82"/>
        <v/>
      </c>
      <c r="I1561" s="134" t="str">
        <f t="shared" si="83"/>
        <v/>
      </c>
      <c r="J1561" s="226"/>
    </row>
    <row r="1562" spans="1:10" hidden="1" x14ac:dyDescent="0.25">
      <c r="A1562" s="112" t="s">
        <v>5170</v>
      </c>
      <c r="B1562" s="113" t="s">
        <v>3973</v>
      </c>
      <c r="C1562" s="114" t="s">
        <v>20</v>
      </c>
      <c r="D1562" s="114">
        <v>0</v>
      </c>
      <c r="E1562" s="133" t="s">
        <v>514</v>
      </c>
      <c r="F1562" s="134" t="str">
        <f t="shared" si="81"/>
        <v/>
      </c>
      <c r="G1562" s="135" t="e">
        <f>IF(A1562&lt;&gt;"",IF(AND(#REF!="Padrão",$H$4=#REF!),BDI!$B$17,IF(AND(#REF!="Padrão",$H$4=#REF!),BDI!#REF!,IF(AND(#REF!="Diferenciado",$H$4=#REF!),BDI!$E$17,IF(AND(#REF!="Diferenciado",$H$4=#REF!),BDI!#REF!,IF(#REF!="ZERO",0))))),"")</f>
        <v>#REF!</v>
      </c>
      <c r="H1562" s="136" t="str">
        <f t="shared" si="82"/>
        <v/>
      </c>
      <c r="I1562" s="134" t="str">
        <f t="shared" si="83"/>
        <v/>
      </c>
      <c r="J1562" s="226"/>
    </row>
    <row r="1563" spans="1:10" hidden="1" x14ac:dyDescent="0.25">
      <c r="A1563" s="112" t="s">
        <v>5171</v>
      </c>
      <c r="B1563" s="113" t="s">
        <v>3974</v>
      </c>
      <c r="C1563" s="114" t="s">
        <v>20</v>
      </c>
      <c r="D1563" s="114">
        <v>0</v>
      </c>
      <c r="E1563" s="133" t="s">
        <v>514</v>
      </c>
      <c r="F1563" s="134" t="str">
        <f t="shared" si="81"/>
        <v/>
      </c>
      <c r="G1563" s="135" t="e">
        <f>IF(A1563&lt;&gt;"",IF(AND(#REF!="Padrão",$H$4=#REF!),BDI!$B$17,IF(AND(#REF!="Padrão",$H$4=#REF!),BDI!#REF!,IF(AND(#REF!="Diferenciado",$H$4=#REF!),BDI!$E$17,IF(AND(#REF!="Diferenciado",$H$4=#REF!),BDI!#REF!,IF(#REF!="ZERO",0))))),"")</f>
        <v>#REF!</v>
      </c>
      <c r="H1563" s="136" t="str">
        <f t="shared" si="82"/>
        <v/>
      </c>
      <c r="I1563" s="134" t="str">
        <f t="shared" si="83"/>
        <v/>
      </c>
      <c r="J1563" s="226"/>
    </row>
    <row r="1564" spans="1:10" hidden="1" x14ac:dyDescent="0.25">
      <c r="A1564" s="112" t="s">
        <v>5172</v>
      </c>
      <c r="B1564" s="113" t="s">
        <v>3975</v>
      </c>
      <c r="C1564" s="114" t="s">
        <v>20</v>
      </c>
      <c r="D1564" s="114">
        <v>0</v>
      </c>
      <c r="E1564" s="133" t="s">
        <v>514</v>
      </c>
      <c r="F1564" s="134" t="str">
        <f t="shared" si="81"/>
        <v/>
      </c>
      <c r="G1564" s="135" t="e">
        <f>IF(A1564&lt;&gt;"",IF(AND(#REF!="Padrão",$H$4=#REF!),BDI!$B$17,IF(AND(#REF!="Padrão",$H$4=#REF!),BDI!#REF!,IF(AND(#REF!="Diferenciado",$H$4=#REF!),BDI!$E$17,IF(AND(#REF!="Diferenciado",$H$4=#REF!),BDI!#REF!,IF(#REF!="ZERO",0))))),"")</f>
        <v>#REF!</v>
      </c>
      <c r="H1564" s="136" t="str">
        <f t="shared" si="82"/>
        <v/>
      </c>
      <c r="I1564" s="134" t="str">
        <f t="shared" si="83"/>
        <v/>
      </c>
      <c r="J1564" s="226"/>
    </row>
    <row r="1565" spans="1:10" hidden="1" x14ac:dyDescent="0.25">
      <c r="A1565" s="112" t="s">
        <v>5173</v>
      </c>
      <c r="B1565" s="113" t="s">
        <v>3976</v>
      </c>
      <c r="C1565" s="114" t="s">
        <v>20</v>
      </c>
      <c r="D1565" s="114">
        <v>0</v>
      </c>
      <c r="E1565" s="133" t="s">
        <v>514</v>
      </c>
      <c r="F1565" s="134" t="str">
        <f t="shared" si="81"/>
        <v/>
      </c>
      <c r="G1565" s="135" t="e">
        <f>IF(A1565&lt;&gt;"",IF(AND(#REF!="Padrão",$H$4=#REF!),BDI!$B$17,IF(AND(#REF!="Padrão",$H$4=#REF!),BDI!#REF!,IF(AND(#REF!="Diferenciado",$H$4=#REF!),BDI!$E$17,IF(AND(#REF!="Diferenciado",$H$4=#REF!),BDI!#REF!,IF(#REF!="ZERO",0))))),"")</f>
        <v>#REF!</v>
      </c>
      <c r="H1565" s="136" t="str">
        <f t="shared" si="82"/>
        <v/>
      </c>
      <c r="I1565" s="134" t="str">
        <f t="shared" si="83"/>
        <v/>
      </c>
      <c r="J1565" s="226"/>
    </row>
    <row r="1566" spans="1:10" hidden="1" x14ac:dyDescent="0.25">
      <c r="A1566" s="112" t="s">
        <v>5174</v>
      </c>
      <c r="B1566" s="113" t="s">
        <v>3977</v>
      </c>
      <c r="C1566" s="114" t="s">
        <v>20</v>
      </c>
      <c r="D1566" s="114">
        <v>0</v>
      </c>
      <c r="E1566" s="133">
        <f ca="1">OFFSET(INDEX(Composições!A:J,MATCH(Orçamentária!A1566,Composições!A:A,0),8),2,0)</f>
        <v>4.3890000000000002</v>
      </c>
      <c r="F1566" s="134">
        <f t="shared" ca="1" si="81"/>
        <v>0</v>
      </c>
      <c r="G1566" s="135" t="e">
        <f>IF(A1566&lt;&gt;"",IF(AND(#REF!="Padrão",$H$4=#REF!),BDI!$B$17,IF(AND(#REF!="Padrão",$H$4=#REF!),BDI!#REF!,IF(AND(#REF!="Diferenciado",$H$4=#REF!),BDI!$E$17,IF(AND(#REF!="Diferenciado",$H$4=#REF!),BDI!#REF!,IF(#REF!="ZERO",0))))),"")</f>
        <v>#REF!</v>
      </c>
      <c r="H1566" s="136" t="e">
        <f t="shared" ca="1" si="82"/>
        <v>#REF!</v>
      </c>
      <c r="I1566" s="134" t="e">
        <f t="shared" ca="1" si="83"/>
        <v>#REF!</v>
      </c>
      <c r="J1566" s="226"/>
    </row>
    <row r="1567" spans="1:10" hidden="1" x14ac:dyDescent="0.25">
      <c r="A1567" s="112" t="s">
        <v>5175</v>
      </c>
      <c r="B1567" s="113" t="s">
        <v>3978</v>
      </c>
      <c r="C1567" s="114" t="s">
        <v>20</v>
      </c>
      <c r="D1567" s="114">
        <v>0</v>
      </c>
      <c r="E1567" s="133" t="s">
        <v>514</v>
      </c>
      <c r="F1567" s="134" t="str">
        <f t="shared" si="81"/>
        <v/>
      </c>
      <c r="G1567" s="135" t="e">
        <f>IF(A1567&lt;&gt;"",IF(AND(#REF!="Padrão",$H$4=#REF!),BDI!$B$17,IF(AND(#REF!="Padrão",$H$4=#REF!),BDI!#REF!,IF(AND(#REF!="Diferenciado",$H$4=#REF!),BDI!$E$17,IF(AND(#REF!="Diferenciado",$H$4=#REF!),BDI!#REF!,IF(#REF!="ZERO",0))))),"")</f>
        <v>#REF!</v>
      </c>
      <c r="H1567" s="136" t="str">
        <f t="shared" si="82"/>
        <v/>
      </c>
      <c r="I1567" s="134" t="str">
        <f t="shared" si="83"/>
        <v/>
      </c>
      <c r="J1567" s="226"/>
    </row>
    <row r="1568" spans="1:10" hidden="1" x14ac:dyDescent="0.25">
      <c r="A1568" s="112" t="s">
        <v>5176</v>
      </c>
      <c r="B1568" s="113" t="s">
        <v>3979</v>
      </c>
      <c r="C1568" s="114" t="s">
        <v>20</v>
      </c>
      <c r="D1568" s="114">
        <v>0</v>
      </c>
      <c r="E1568" s="133">
        <f ca="1">OFFSET(INDEX(Composições!A:J,MATCH(Orçamentária!A1568,Composições!A:A,0),8),2,0)</f>
        <v>2.1755</v>
      </c>
      <c r="F1568" s="134">
        <f t="shared" ca="1" si="81"/>
        <v>0</v>
      </c>
      <c r="G1568" s="135" t="e">
        <f>IF(A1568&lt;&gt;"",IF(AND(#REF!="Padrão",$H$4=#REF!),BDI!$B$17,IF(AND(#REF!="Padrão",$H$4=#REF!),BDI!#REF!,IF(AND(#REF!="Diferenciado",$H$4=#REF!),BDI!$E$17,IF(AND(#REF!="Diferenciado",$H$4=#REF!),BDI!#REF!,IF(#REF!="ZERO",0))))),"")</f>
        <v>#REF!</v>
      </c>
      <c r="H1568" s="136" t="e">
        <f t="shared" ca="1" si="82"/>
        <v>#REF!</v>
      </c>
      <c r="I1568" s="134" t="e">
        <f t="shared" ca="1" si="83"/>
        <v>#REF!</v>
      </c>
      <c r="J1568" s="226"/>
    </row>
    <row r="1569" spans="1:10" hidden="1" x14ac:dyDescent="0.25">
      <c r="A1569" s="112" t="s">
        <v>5177</v>
      </c>
      <c r="B1569" s="113" t="s">
        <v>3980</v>
      </c>
      <c r="C1569" s="114" t="s">
        <v>20</v>
      </c>
      <c r="D1569" s="114">
        <v>0</v>
      </c>
      <c r="E1569" s="133">
        <f ca="1">OFFSET(INDEX(Composições!A:J,MATCH(Orçamentária!A1569,Composições!A:A,0),8),2,0)</f>
        <v>2.4510000000000001</v>
      </c>
      <c r="F1569" s="134">
        <f t="shared" ca="1" si="81"/>
        <v>0</v>
      </c>
      <c r="G1569" s="135" t="e">
        <f>IF(A1569&lt;&gt;"",IF(AND(#REF!="Padrão",$H$4=#REF!),BDI!$B$17,IF(AND(#REF!="Padrão",$H$4=#REF!),BDI!#REF!,IF(AND(#REF!="Diferenciado",$H$4=#REF!),BDI!$E$17,IF(AND(#REF!="Diferenciado",$H$4=#REF!),BDI!#REF!,IF(#REF!="ZERO",0))))),"")</f>
        <v>#REF!</v>
      </c>
      <c r="H1569" s="136" t="e">
        <f t="shared" ca="1" si="82"/>
        <v>#REF!</v>
      </c>
      <c r="I1569" s="134" t="e">
        <f t="shared" ca="1" si="83"/>
        <v>#REF!</v>
      </c>
      <c r="J1569" s="226"/>
    </row>
    <row r="1570" spans="1:10" hidden="1" x14ac:dyDescent="0.25">
      <c r="A1570" s="112" t="s">
        <v>5178</v>
      </c>
      <c r="B1570" s="113" t="s">
        <v>3981</v>
      </c>
      <c r="C1570" s="114" t="s">
        <v>20</v>
      </c>
      <c r="D1570" s="114">
        <v>0</v>
      </c>
      <c r="E1570" s="133">
        <f ca="1">OFFSET(INDEX(Composições!A:J,MATCH(Orçamentária!A1570,Composições!A:A,0),8),2,0)</f>
        <v>4.2560000000000002</v>
      </c>
      <c r="F1570" s="134">
        <f t="shared" ca="1" si="81"/>
        <v>0</v>
      </c>
      <c r="G1570" s="135" t="e">
        <f>IF(A1570&lt;&gt;"",IF(AND(#REF!="Padrão",$H$4=#REF!),BDI!$B$17,IF(AND(#REF!="Padrão",$H$4=#REF!),BDI!#REF!,IF(AND(#REF!="Diferenciado",$H$4=#REF!),BDI!$E$17,IF(AND(#REF!="Diferenciado",$H$4=#REF!),BDI!#REF!,IF(#REF!="ZERO",0))))),"")</f>
        <v>#REF!</v>
      </c>
      <c r="H1570" s="136" t="e">
        <f t="shared" ca="1" si="82"/>
        <v>#REF!</v>
      </c>
      <c r="I1570" s="134" t="e">
        <f t="shared" ca="1" si="83"/>
        <v>#REF!</v>
      </c>
      <c r="J1570" s="226"/>
    </row>
    <row r="1571" spans="1:10" hidden="1" x14ac:dyDescent="0.25">
      <c r="A1571" s="112" t="s">
        <v>5179</v>
      </c>
      <c r="B1571" s="113" t="s">
        <v>3982</v>
      </c>
      <c r="C1571" s="114" t="s">
        <v>20</v>
      </c>
      <c r="D1571" s="114">
        <v>0</v>
      </c>
      <c r="E1571" s="133">
        <f ca="1">OFFSET(INDEX(Composições!A:J,MATCH(Orçamentária!A1571,Composições!A:A,0),8),2,0)</f>
        <v>5.3104999999999993</v>
      </c>
      <c r="F1571" s="134">
        <f t="shared" ca="1" si="81"/>
        <v>0</v>
      </c>
      <c r="G1571" s="135" t="e">
        <f>IF(A1571&lt;&gt;"",IF(AND(#REF!="Padrão",$H$4=#REF!),BDI!$B$17,IF(AND(#REF!="Padrão",$H$4=#REF!),BDI!#REF!,IF(AND(#REF!="Diferenciado",$H$4=#REF!),BDI!$E$17,IF(AND(#REF!="Diferenciado",$H$4=#REF!),BDI!#REF!,IF(#REF!="ZERO",0))))),"")</f>
        <v>#REF!</v>
      </c>
      <c r="H1571" s="136" t="e">
        <f t="shared" ca="1" si="82"/>
        <v>#REF!</v>
      </c>
      <c r="I1571" s="134" t="e">
        <f t="shared" ca="1" si="83"/>
        <v>#REF!</v>
      </c>
      <c r="J1571" s="226"/>
    </row>
    <row r="1572" spans="1:10" hidden="1" x14ac:dyDescent="0.25">
      <c r="A1572" s="112" t="s">
        <v>5180</v>
      </c>
      <c r="B1572" s="113" t="s">
        <v>3983</v>
      </c>
      <c r="C1572" s="114" t="s">
        <v>20</v>
      </c>
      <c r="D1572" s="114">
        <v>0</v>
      </c>
      <c r="E1572" s="133">
        <f ca="1">OFFSET(INDEX(Composições!A:J,MATCH(Orçamentária!A1572,Composições!A:A,0),8),2,0)</f>
        <v>6.5359999999999996</v>
      </c>
      <c r="F1572" s="134">
        <f t="shared" ca="1" si="81"/>
        <v>0</v>
      </c>
      <c r="G1572" s="135" t="e">
        <f>IF(A1572&lt;&gt;"",IF(AND(#REF!="Padrão",$H$4=#REF!),BDI!$B$17,IF(AND(#REF!="Padrão",$H$4=#REF!),BDI!#REF!,IF(AND(#REF!="Diferenciado",$H$4=#REF!),BDI!$E$17,IF(AND(#REF!="Diferenciado",$H$4=#REF!),BDI!#REF!,IF(#REF!="ZERO",0))))),"")</f>
        <v>#REF!</v>
      </c>
      <c r="H1572" s="136" t="e">
        <f t="shared" ca="1" si="82"/>
        <v>#REF!</v>
      </c>
      <c r="I1572" s="134" t="e">
        <f t="shared" ca="1" si="83"/>
        <v>#REF!</v>
      </c>
      <c r="J1572" s="226"/>
    </row>
    <row r="1573" spans="1:10" hidden="1" x14ac:dyDescent="0.25">
      <c r="A1573" s="112" t="s">
        <v>5181</v>
      </c>
      <c r="B1573" s="113" t="s">
        <v>3984</v>
      </c>
      <c r="C1573" s="114" t="s">
        <v>20</v>
      </c>
      <c r="D1573" s="114">
        <v>0</v>
      </c>
      <c r="E1573" s="133">
        <f ca="1">OFFSET(INDEX(Composições!A:J,MATCH(Orçamentária!A1573,Composições!A:A,0),8),2,0)</f>
        <v>9.1959999999999997</v>
      </c>
      <c r="F1573" s="134">
        <f t="shared" ca="1" si="81"/>
        <v>0</v>
      </c>
      <c r="G1573" s="135" t="e">
        <f>IF(A1573&lt;&gt;"",IF(AND(#REF!="Padrão",$H$4=#REF!),BDI!$B$17,IF(AND(#REF!="Padrão",$H$4=#REF!),BDI!#REF!,IF(AND(#REF!="Diferenciado",$H$4=#REF!),BDI!$E$17,IF(AND(#REF!="Diferenciado",$H$4=#REF!),BDI!#REF!,IF(#REF!="ZERO",0))))),"")</f>
        <v>#REF!</v>
      </c>
      <c r="H1573" s="136" t="e">
        <f t="shared" ca="1" si="82"/>
        <v>#REF!</v>
      </c>
      <c r="I1573" s="134" t="e">
        <f t="shared" ca="1" si="83"/>
        <v>#REF!</v>
      </c>
      <c r="J1573" s="226"/>
    </row>
    <row r="1574" spans="1:10" hidden="1" x14ac:dyDescent="0.25">
      <c r="A1574" s="112" t="s">
        <v>5182</v>
      </c>
      <c r="B1574" s="113" t="s">
        <v>3985</v>
      </c>
      <c r="C1574" s="114" t="s">
        <v>20</v>
      </c>
      <c r="D1574" s="114">
        <v>0</v>
      </c>
      <c r="E1574" s="133">
        <f ca="1">OFFSET(INDEX(Composições!A:J,MATCH(Orçamentária!A1574,Composições!A:A,0),8),2,0)</f>
        <v>20.700499999999998</v>
      </c>
      <c r="F1574" s="134">
        <f t="shared" ca="1" si="81"/>
        <v>0</v>
      </c>
      <c r="G1574" s="135" t="e">
        <f>IF(A1574&lt;&gt;"",IF(AND(#REF!="Padrão",$H$4=#REF!),BDI!$B$17,IF(AND(#REF!="Padrão",$H$4=#REF!),BDI!#REF!,IF(AND(#REF!="Diferenciado",$H$4=#REF!),BDI!$E$17,IF(AND(#REF!="Diferenciado",$H$4=#REF!),BDI!#REF!,IF(#REF!="ZERO",0))))),"")</f>
        <v>#REF!</v>
      </c>
      <c r="H1574" s="136" t="e">
        <f t="shared" ca="1" si="82"/>
        <v>#REF!</v>
      </c>
      <c r="I1574" s="134" t="e">
        <f t="shared" ca="1" si="83"/>
        <v>#REF!</v>
      </c>
      <c r="J1574" s="226"/>
    </row>
    <row r="1575" spans="1:10" hidden="1" x14ac:dyDescent="0.25">
      <c r="A1575" s="112" t="s">
        <v>5183</v>
      </c>
      <c r="B1575" s="113" t="s">
        <v>3986</v>
      </c>
      <c r="C1575" s="114" t="s">
        <v>20</v>
      </c>
      <c r="D1575" s="114">
        <v>0</v>
      </c>
      <c r="E1575" s="133">
        <f ca="1">OFFSET(INDEX(Composições!A:J,MATCH(Orçamentária!A1575,Composições!A:A,0),8),2,0)</f>
        <v>22.628999999999998</v>
      </c>
      <c r="F1575" s="134">
        <f t="shared" ca="1" si="81"/>
        <v>0</v>
      </c>
      <c r="G1575" s="135" t="e">
        <f>IF(A1575&lt;&gt;"",IF(AND(#REF!="Padrão",$H$4=#REF!),BDI!$B$17,IF(AND(#REF!="Padrão",$H$4=#REF!),BDI!#REF!,IF(AND(#REF!="Diferenciado",$H$4=#REF!),BDI!$E$17,IF(AND(#REF!="Diferenciado",$H$4=#REF!),BDI!#REF!,IF(#REF!="ZERO",0))))),"")</f>
        <v>#REF!</v>
      </c>
      <c r="H1575" s="136" t="e">
        <f t="shared" ca="1" si="82"/>
        <v>#REF!</v>
      </c>
      <c r="I1575" s="134" t="e">
        <f t="shared" ca="1" si="83"/>
        <v>#REF!</v>
      </c>
      <c r="J1575" s="226"/>
    </row>
    <row r="1576" spans="1:10" hidden="1" x14ac:dyDescent="0.25">
      <c r="A1576" s="112" t="s">
        <v>5184</v>
      </c>
      <c r="B1576" s="113" t="s">
        <v>3987</v>
      </c>
      <c r="C1576" s="114" t="s">
        <v>20</v>
      </c>
      <c r="D1576" s="114">
        <v>0</v>
      </c>
      <c r="E1576" s="133">
        <f ca="1">OFFSET(INDEX(Composições!A:J,MATCH(Orçamentária!A1576,Composições!A:A,0),8),2,0)</f>
        <v>29.858499999999999</v>
      </c>
      <c r="F1576" s="134">
        <f t="shared" ca="1" si="81"/>
        <v>0</v>
      </c>
      <c r="G1576" s="135" t="e">
        <f>IF(A1576&lt;&gt;"",IF(AND(#REF!="Padrão",$H$4=#REF!),BDI!$B$17,IF(AND(#REF!="Padrão",$H$4=#REF!),BDI!#REF!,IF(AND(#REF!="Diferenciado",$H$4=#REF!),BDI!$E$17,IF(AND(#REF!="Diferenciado",$H$4=#REF!),BDI!#REF!,IF(#REF!="ZERO",0))))),"")</f>
        <v>#REF!</v>
      </c>
      <c r="H1576" s="136" t="e">
        <f t="shared" ca="1" si="82"/>
        <v>#REF!</v>
      </c>
      <c r="I1576" s="134" t="e">
        <f t="shared" ca="1" si="83"/>
        <v>#REF!</v>
      </c>
      <c r="J1576" s="226"/>
    </row>
    <row r="1577" spans="1:10" hidden="1" x14ac:dyDescent="0.25">
      <c r="A1577" s="112" t="s">
        <v>5185</v>
      </c>
      <c r="B1577" s="113" t="s">
        <v>3988</v>
      </c>
      <c r="C1577" s="114" t="s">
        <v>20</v>
      </c>
      <c r="D1577" s="114">
        <v>0</v>
      </c>
      <c r="E1577" s="133">
        <f ca="1">OFFSET(INDEX(Composições!A:J,MATCH(Orçamentária!A1577,Composições!A:A,0),8),2,0)</f>
        <v>43.443499999999993</v>
      </c>
      <c r="F1577" s="134">
        <f t="shared" ca="1" si="81"/>
        <v>0</v>
      </c>
      <c r="G1577" s="135" t="e">
        <f>IF(A1577&lt;&gt;"",IF(AND(#REF!="Padrão",$H$4=#REF!),BDI!$B$17,IF(AND(#REF!="Padrão",$H$4=#REF!),BDI!#REF!,IF(AND(#REF!="Diferenciado",$H$4=#REF!),BDI!$E$17,IF(AND(#REF!="Diferenciado",$H$4=#REF!),BDI!#REF!,IF(#REF!="ZERO",0))))),"")</f>
        <v>#REF!</v>
      </c>
      <c r="H1577" s="136" t="e">
        <f t="shared" ca="1" si="82"/>
        <v>#REF!</v>
      </c>
      <c r="I1577" s="134" t="e">
        <f t="shared" ca="1" si="83"/>
        <v>#REF!</v>
      </c>
      <c r="J1577" s="226"/>
    </row>
    <row r="1578" spans="1:10" hidden="1" x14ac:dyDescent="0.25">
      <c r="A1578" s="112" t="s">
        <v>5186</v>
      </c>
      <c r="B1578" s="113" t="s">
        <v>3989</v>
      </c>
      <c r="C1578" s="114" t="s">
        <v>20</v>
      </c>
      <c r="D1578" s="114">
        <v>0</v>
      </c>
      <c r="E1578" s="133" t="s">
        <v>514</v>
      </c>
      <c r="F1578" s="134" t="str">
        <f t="shared" si="81"/>
        <v/>
      </c>
      <c r="G1578" s="135" t="e">
        <f>IF(A1578&lt;&gt;"",IF(AND(#REF!="Padrão",$H$4=#REF!),BDI!$B$17,IF(AND(#REF!="Padrão",$H$4=#REF!),BDI!#REF!,IF(AND(#REF!="Diferenciado",$H$4=#REF!),BDI!$E$17,IF(AND(#REF!="Diferenciado",$H$4=#REF!),BDI!#REF!,IF(#REF!="ZERO",0))))),"")</f>
        <v>#REF!</v>
      </c>
      <c r="H1578" s="136" t="str">
        <f t="shared" si="82"/>
        <v/>
      </c>
      <c r="I1578" s="134" t="str">
        <f t="shared" si="83"/>
        <v/>
      </c>
      <c r="J1578" s="226"/>
    </row>
    <row r="1579" spans="1:10" hidden="1" x14ac:dyDescent="0.25">
      <c r="A1579" s="112" t="s">
        <v>5187</v>
      </c>
      <c r="B1579" s="113" t="s">
        <v>3990</v>
      </c>
      <c r="C1579" s="114" t="s">
        <v>20</v>
      </c>
      <c r="D1579" s="114">
        <v>0</v>
      </c>
      <c r="E1579" s="133" t="s">
        <v>514</v>
      </c>
      <c r="F1579" s="134" t="str">
        <f t="shared" si="81"/>
        <v/>
      </c>
      <c r="G1579" s="135" t="e">
        <f>IF(A1579&lt;&gt;"",IF(AND(#REF!="Padrão",$H$4=#REF!),BDI!$B$17,IF(AND(#REF!="Padrão",$H$4=#REF!),BDI!#REF!,IF(AND(#REF!="Diferenciado",$H$4=#REF!),BDI!$E$17,IF(AND(#REF!="Diferenciado",$H$4=#REF!),BDI!#REF!,IF(#REF!="ZERO",0))))),"")</f>
        <v>#REF!</v>
      </c>
      <c r="H1579" s="136" t="str">
        <f t="shared" si="82"/>
        <v/>
      </c>
      <c r="I1579" s="134" t="str">
        <f t="shared" si="83"/>
        <v/>
      </c>
      <c r="J1579" s="226"/>
    </row>
    <row r="1580" spans="1:10" hidden="1" x14ac:dyDescent="0.25">
      <c r="A1580" s="112" t="s">
        <v>5188</v>
      </c>
      <c r="B1580" s="113" t="s">
        <v>3991</v>
      </c>
      <c r="C1580" s="114" t="s">
        <v>20</v>
      </c>
      <c r="D1580" s="114">
        <v>0</v>
      </c>
      <c r="E1580" s="133" t="s">
        <v>514</v>
      </c>
      <c r="F1580" s="134" t="str">
        <f t="shared" si="81"/>
        <v/>
      </c>
      <c r="G1580" s="135" t="e">
        <f>IF(A1580&lt;&gt;"",IF(AND(#REF!="Padrão",$H$4=#REF!),BDI!$B$17,IF(AND(#REF!="Padrão",$H$4=#REF!),BDI!#REF!,IF(AND(#REF!="Diferenciado",$H$4=#REF!),BDI!$E$17,IF(AND(#REF!="Diferenciado",$H$4=#REF!),BDI!#REF!,IF(#REF!="ZERO",0))))),"")</f>
        <v>#REF!</v>
      </c>
      <c r="H1580" s="136" t="str">
        <f t="shared" si="82"/>
        <v/>
      </c>
      <c r="I1580" s="134" t="str">
        <f t="shared" si="83"/>
        <v/>
      </c>
      <c r="J1580" s="226"/>
    </row>
    <row r="1581" spans="1:10" hidden="1" x14ac:dyDescent="0.25">
      <c r="A1581" s="112" t="s">
        <v>5189</v>
      </c>
      <c r="B1581" s="113" t="s">
        <v>3992</v>
      </c>
      <c r="C1581" s="114" t="s">
        <v>20</v>
      </c>
      <c r="D1581" s="114">
        <v>0</v>
      </c>
      <c r="E1581" s="133" t="s">
        <v>514</v>
      </c>
      <c r="F1581" s="134" t="str">
        <f t="shared" ref="F1581:F1644" si="84">IF(ISNUMBER(E1581),D1581*E1581,"")</f>
        <v/>
      </c>
      <c r="G1581" s="135" t="e">
        <f>IF(A1581&lt;&gt;"",IF(AND(#REF!="Padrão",$H$4=#REF!),BDI!$B$17,IF(AND(#REF!="Padrão",$H$4=#REF!),BDI!#REF!,IF(AND(#REF!="Diferenciado",$H$4=#REF!),BDI!$E$17,IF(AND(#REF!="Diferenciado",$H$4=#REF!),BDI!#REF!,IF(#REF!="ZERO",0))))),"")</f>
        <v>#REF!</v>
      </c>
      <c r="H1581" s="136" t="str">
        <f t="shared" ref="H1581:H1644" si="85">IF(ISNUMBER(E1581),ROUND(E1581*(1+G1581),2),"")</f>
        <v/>
      </c>
      <c r="I1581" s="134" t="str">
        <f t="shared" ref="I1581:I1644" si="86">IF(ISNUMBER(E1581),ROUND(H1581*D1581,2),"")</f>
        <v/>
      </c>
      <c r="J1581" s="226"/>
    </row>
    <row r="1582" spans="1:10" hidden="1" x14ac:dyDescent="0.25">
      <c r="A1582" s="112" t="s">
        <v>5190</v>
      </c>
      <c r="B1582" s="113" t="s">
        <v>3993</v>
      </c>
      <c r="C1582" s="114" t="s">
        <v>20</v>
      </c>
      <c r="D1582" s="114">
        <v>0</v>
      </c>
      <c r="E1582" s="133" t="s">
        <v>514</v>
      </c>
      <c r="F1582" s="134" t="str">
        <f t="shared" si="84"/>
        <v/>
      </c>
      <c r="G1582" s="135" t="e">
        <f>IF(A1582&lt;&gt;"",IF(AND(#REF!="Padrão",$H$4=#REF!),BDI!$B$17,IF(AND(#REF!="Padrão",$H$4=#REF!),BDI!#REF!,IF(AND(#REF!="Diferenciado",$H$4=#REF!),BDI!$E$17,IF(AND(#REF!="Diferenciado",$H$4=#REF!),BDI!#REF!,IF(#REF!="ZERO",0))))),"")</f>
        <v>#REF!</v>
      </c>
      <c r="H1582" s="136" t="str">
        <f t="shared" si="85"/>
        <v/>
      </c>
      <c r="I1582" s="134" t="str">
        <f t="shared" si="86"/>
        <v/>
      </c>
      <c r="J1582" s="226"/>
    </row>
    <row r="1583" spans="1:10" hidden="1" x14ac:dyDescent="0.25">
      <c r="A1583" s="112" t="s">
        <v>5191</v>
      </c>
      <c r="B1583" s="113" t="s">
        <v>3994</v>
      </c>
      <c r="C1583" s="114" t="s">
        <v>20</v>
      </c>
      <c r="D1583" s="114">
        <v>0</v>
      </c>
      <c r="E1583" s="133" t="s">
        <v>514</v>
      </c>
      <c r="F1583" s="134" t="str">
        <f t="shared" si="84"/>
        <v/>
      </c>
      <c r="G1583" s="135" t="e">
        <f>IF(A1583&lt;&gt;"",IF(AND(#REF!="Padrão",$H$4=#REF!),BDI!$B$17,IF(AND(#REF!="Padrão",$H$4=#REF!),BDI!#REF!,IF(AND(#REF!="Diferenciado",$H$4=#REF!),BDI!$E$17,IF(AND(#REF!="Diferenciado",$H$4=#REF!),BDI!#REF!,IF(#REF!="ZERO",0))))),"")</f>
        <v>#REF!</v>
      </c>
      <c r="H1583" s="136" t="str">
        <f t="shared" si="85"/>
        <v/>
      </c>
      <c r="I1583" s="134" t="str">
        <f t="shared" si="86"/>
        <v/>
      </c>
      <c r="J1583" s="226"/>
    </row>
    <row r="1584" spans="1:10" hidden="1" x14ac:dyDescent="0.25">
      <c r="A1584" s="112" t="s">
        <v>5192</v>
      </c>
      <c r="B1584" s="113" t="s">
        <v>3995</v>
      </c>
      <c r="C1584" s="114" t="s">
        <v>20</v>
      </c>
      <c r="D1584" s="114">
        <v>0</v>
      </c>
      <c r="E1584" s="133" t="s">
        <v>514</v>
      </c>
      <c r="F1584" s="134" t="str">
        <f t="shared" si="84"/>
        <v/>
      </c>
      <c r="G1584" s="135" t="e">
        <f>IF(A1584&lt;&gt;"",IF(AND(#REF!="Padrão",$H$4=#REF!),BDI!$B$17,IF(AND(#REF!="Padrão",$H$4=#REF!),BDI!#REF!,IF(AND(#REF!="Diferenciado",$H$4=#REF!),BDI!$E$17,IF(AND(#REF!="Diferenciado",$H$4=#REF!),BDI!#REF!,IF(#REF!="ZERO",0))))),"")</f>
        <v>#REF!</v>
      </c>
      <c r="H1584" s="136" t="str">
        <f t="shared" si="85"/>
        <v/>
      </c>
      <c r="I1584" s="134" t="str">
        <f t="shared" si="86"/>
        <v/>
      </c>
      <c r="J1584" s="226"/>
    </row>
    <row r="1585" spans="1:10" hidden="1" x14ac:dyDescent="0.25">
      <c r="A1585" s="112" t="s">
        <v>5193</v>
      </c>
      <c r="B1585" s="113" t="s">
        <v>3996</v>
      </c>
      <c r="C1585" s="114" t="s">
        <v>20</v>
      </c>
      <c r="D1585" s="114">
        <v>0</v>
      </c>
      <c r="E1585" s="133" t="s">
        <v>514</v>
      </c>
      <c r="F1585" s="134" t="str">
        <f t="shared" si="84"/>
        <v/>
      </c>
      <c r="G1585" s="135" t="e">
        <f>IF(A1585&lt;&gt;"",IF(AND(#REF!="Padrão",$H$4=#REF!),BDI!$B$17,IF(AND(#REF!="Padrão",$H$4=#REF!),BDI!#REF!,IF(AND(#REF!="Diferenciado",$H$4=#REF!),BDI!$E$17,IF(AND(#REF!="Diferenciado",$H$4=#REF!),BDI!#REF!,IF(#REF!="ZERO",0))))),"")</f>
        <v>#REF!</v>
      </c>
      <c r="H1585" s="136" t="str">
        <f t="shared" si="85"/>
        <v/>
      </c>
      <c r="I1585" s="134" t="str">
        <f t="shared" si="86"/>
        <v/>
      </c>
      <c r="J1585" s="226"/>
    </row>
    <row r="1586" spans="1:10" hidden="1" x14ac:dyDescent="0.25">
      <c r="A1586" s="112" t="s">
        <v>5194</v>
      </c>
      <c r="B1586" s="113" t="s">
        <v>3997</v>
      </c>
      <c r="C1586" s="114" t="s">
        <v>20</v>
      </c>
      <c r="D1586" s="114">
        <v>0</v>
      </c>
      <c r="E1586" s="133" t="s">
        <v>514</v>
      </c>
      <c r="F1586" s="134" t="str">
        <f t="shared" si="84"/>
        <v/>
      </c>
      <c r="G1586" s="135" t="e">
        <f>IF(A1586&lt;&gt;"",IF(AND(#REF!="Padrão",$H$4=#REF!),BDI!$B$17,IF(AND(#REF!="Padrão",$H$4=#REF!),BDI!#REF!,IF(AND(#REF!="Diferenciado",$H$4=#REF!),BDI!$E$17,IF(AND(#REF!="Diferenciado",$H$4=#REF!),BDI!#REF!,IF(#REF!="ZERO",0))))),"")</f>
        <v>#REF!</v>
      </c>
      <c r="H1586" s="136" t="str">
        <f t="shared" si="85"/>
        <v/>
      </c>
      <c r="I1586" s="134" t="str">
        <f t="shared" si="86"/>
        <v/>
      </c>
      <c r="J1586" s="226"/>
    </row>
    <row r="1587" spans="1:10" hidden="1" x14ac:dyDescent="0.25">
      <c r="A1587" s="112" t="s">
        <v>5195</v>
      </c>
      <c r="B1587" s="113" t="s">
        <v>3998</v>
      </c>
      <c r="C1587" s="114" t="s">
        <v>20</v>
      </c>
      <c r="D1587" s="114">
        <v>0</v>
      </c>
      <c r="E1587" s="133" t="s">
        <v>514</v>
      </c>
      <c r="F1587" s="134" t="str">
        <f t="shared" si="84"/>
        <v/>
      </c>
      <c r="G1587" s="135" t="e">
        <f>IF(A1587&lt;&gt;"",IF(AND(#REF!="Padrão",$H$4=#REF!),BDI!$B$17,IF(AND(#REF!="Padrão",$H$4=#REF!),BDI!#REF!,IF(AND(#REF!="Diferenciado",$H$4=#REF!),BDI!$E$17,IF(AND(#REF!="Diferenciado",$H$4=#REF!),BDI!#REF!,IF(#REF!="ZERO",0))))),"")</f>
        <v>#REF!</v>
      </c>
      <c r="H1587" s="136" t="str">
        <f t="shared" si="85"/>
        <v/>
      </c>
      <c r="I1587" s="134" t="str">
        <f t="shared" si="86"/>
        <v/>
      </c>
      <c r="J1587" s="226"/>
    </row>
    <row r="1588" spans="1:10" hidden="1" x14ac:dyDescent="0.25">
      <c r="A1588" s="112" t="s">
        <v>5196</v>
      </c>
      <c r="B1588" s="113" t="s">
        <v>3999</v>
      </c>
      <c r="C1588" s="114" t="s">
        <v>92</v>
      </c>
      <c r="D1588" s="114">
        <v>0</v>
      </c>
      <c r="E1588" s="133" t="s">
        <v>514</v>
      </c>
      <c r="F1588" s="134" t="str">
        <f t="shared" si="84"/>
        <v/>
      </c>
      <c r="G1588" s="135" t="e">
        <f>IF(A1588&lt;&gt;"",IF(AND(#REF!="Padrão",$H$4=#REF!),BDI!$B$17,IF(AND(#REF!="Padrão",$H$4=#REF!),BDI!#REF!,IF(AND(#REF!="Diferenciado",$H$4=#REF!),BDI!$E$17,IF(AND(#REF!="Diferenciado",$H$4=#REF!),BDI!#REF!,IF(#REF!="ZERO",0))))),"")</f>
        <v>#REF!</v>
      </c>
      <c r="H1588" s="136" t="str">
        <f t="shared" si="85"/>
        <v/>
      </c>
      <c r="I1588" s="134" t="str">
        <f t="shared" si="86"/>
        <v/>
      </c>
      <c r="J1588" s="226"/>
    </row>
    <row r="1589" spans="1:10" hidden="1" x14ac:dyDescent="0.25">
      <c r="A1589" s="112" t="s">
        <v>5197</v>
      </c>
      <c r="B1589" s="113" t="s">
        <v>4000</v>
      </c>
      <c r="C1589" s="114" t="s">
        <v>92</v>
      </c>
      <c r="D1589" s="114">
        <v>0</v>
      </c>
      <c r="E1589" s="133" t="s">
        <v>514</v>
      </c>
      <c r="F1589" s="134" t="str">
        <f t="shared" si="84"/>
        <v/>
      </c>
      <c r="G1589" s="135" t="e">
        <f>IF(A1589&lt;&gt;"",IF(AND(#REF!="Padrão",$H$4=#REF!),BDI!$B$17,IF(AND(#REF!="Padrão",$H$4=#REF!),BDI!#REF!,IF(AND(#REF!="Diferenciado",$H$4=#REF!),BDI!$E$17,IF(AND(#REF!="Diferenciado",$H$4=#REF!),BDI!#REF!,IF(#REF!="ZERO",0))))),"")</f>
        <v>#REF!</v>
      </c>
      <c r="H1589" s="136" t="str">
        <f t="shared" si="85"/>
        <v/>
      </c>
      <c r="I1589" s="134" t="str">
        <f t="shared" si="86"/>
        <v/>
      </c>
      <c r="J1589" s="226"/>
    </row>
    <row r="1590" spans="1:10" hidden="1" x14ac:dyDescent="0.25">
      <c r="A1590" s="112" t="s">
        <v>5198</v>
      </c>
      <c r="B1590" s="113" t="s">
        <v>6424</v>
      </c>
      <c r="C1590" s="114" t="s">
        <v>92</v>
      </c>
      <c r="D1590" s="114">
        <v>0</v>
      </c>
      <c r="E1590" s="133" t="s">
        <v>514</v>
      </c>
      <c r="F1590" s="134" t="str">
        <f t="shared" si="84"/>
        <v/>
      </c>
      <c r="G1590" s="135" t="e">
        <f>IF(A1590&lt;&gt;"",IF(AND(#REF!="Padrão",$H$4=#REF!),BDI!$B$17,IF(AND(#REF!="Padrão",$H$4=#REF!),BDI!#REF!,IF(AND(#REF!="Diferenciado",$H$4=#REF!),BDI!$E$17,IF(AND(#REF!="Diferenciado",$H$4=#REF!),BDI!#REF!,IF(#REF!="ZERO",0))))),"")</f>
        <v>#REF!</v>
      </c>
      <c r="H1590" s="136" t="str">
        <f t="shared" si="85"/>
        <v/>
      </c>
      <c r="I1590" s="134" t="str">
        <f t="shared" si="86"/>
        <v/>
      </c>
      <c r="J1590" s="226"/>
    </row>
    <row r="1591" spans="1:10" hidden="1" x14ac:dyDescent="0.25">
      <c r="A1591" s="112" t="s">
        <v>5199</v>
      </c>
      <c r="B1591" s="113" t="s">
        <v>6425</v>
      </c>
      <c r="C1591" s="114" t="s">
        <v>92</v>
      </c>
      <c r="D1591" s="114">
        <v>0</v>
      </c>
      <c r="E1591" s="133" t="s">
        <v>514</v>
      </c>
      <c r="F1591" s="134" t="str">
        <f t="shared" si="84"/>
        <v/>
      </c>
      <c r="G1591" s="135" t="e">
        <f>IF(A1591&lt;&gt;"",IF(AND(#REF!="Padrão",$H$4=#REF!),BDI!$B$17,IF(AND(#REF!="Padrão",$H$4=#REF!),BDI!#REF!,IF(AND(#REF!="Diferenciado",$H$4=#REF!),BDI!$E$17,IF(AND(#REF!="Diferenciado",$H$4=#REF!),BDI!#REF!,IF(#REF!="ZERO",0))))),"")</f>
        <v>#REF!</v>
      </c>
      <c r="H1591" s="136" t="str">
        <f t="shared" si="85"/>
        <v/>
      </c>
      <c r="I1591" s="134" t="str">
        <f t="shared" si="86"/>
        <v/>
      </c>
      <c r="J1591" s="226"/>
    </row>
    <row r="1592" spans="1:10" hidden="1" x14ac:dyDescent="0.25">
      <c r="A1592" s="112" t="s">
        <v>5200</v>
      </c>
      <c r="B1592" s="113" t="s">
        <v>6426</v>
      </c>
      <c r="C1592" s="114" t="s">
        <v>92</v>
      </c>
      <c r="D1592" s="114">
        <v>0</v>
      </c>
      <c r="E1592" s="133" t="s">
        <v>514</v>
      </c>
      <c r="F1592" s="134" t="str">
        <f t="shared" si="84"/>
        <v/>
      </c>
      <c r="G1592" s="135" t="e">
        <f>IF(A1592&lt;&gt;"",IF(AND(#REF!="Padrão",$H$4=#REF!),BDI!$B$17,IF(AND(#REF!="Padrão",$H$4=#REF!),BDI!#REF!,IF(AND(#REF!="Diferenciado",$H$4=#REF!),BDI!$E$17,IF(AND(#REF!="Diferenciado",$H$4=#REF!),BDI!#REF!,IF(#REF!="ZERO",0))))),"")</f>
        <v>#REF!</v>
      </c>
      <c r="H1592" s="136" t="str">
        <f t="shared" si="85"/>
        <v/>
      </c>
      <c r="I1592" s="134" t="str">
        <f t="shared" si="86"/>
        <v/>
      </c>
      <c r="J1592" s="226"/>
    </row>
    <row r="1593" spans="1:10" hidden="1" x14ac:dyDescent="0.25">
      <c r="A1593" s="112" t="s">
        <v>5201</v>
      </c>
      <c r="B1593" s="113" t="s">
        <v>6427</v>
      </c>
      <c r="C1593" s="114" t="s">
        <v>92</v>
      </c>
      <c r="D1593" s="114">
        <v>0</v>
      </c>
      <c r="E1593" s="133" t="s">
        <v>514</v>
      </c>
      <c r="F1593" s="134" t="str">
        <f t="shared" si="84"/>
        <v/>
      </c>
      <c r="G1593" s="135" t="e">
        <f>IF(A1593&lt;&gt;"",IF(AND(#REF!="Padrão",$H$4=#REF!),BDI!$B$17,IF(AND(#REF!="Padrão",$H$4=#REF!),BDI!#REF!,IF(AND(#REF!="Diferenciado",$H$4=#REF!),BDI!$E$17,IF(AND(#REF!="Diferenciado",$H$4=#REF!),BDI!#REF!,IF(#REF!="ZERO",0))))),"")</f>
        <v>#REF!</v>
      </c>
      <c r="H1593" s="136" t="str">
        <f t="shared" si="85"/>
        <v/>
      </c>
      <c r="I1593" s="134" t="str">
        <f t="shared" si="86"/>
        <v/>
      </c>
      <c r="J1593" s="226"/>
    </row>
    <row r="1594" spans="1:10" hidden="1" x14ac:dyDescent="0.25">
      <c r="A1594" s="112" t="s">
        <v>5202</v>
      </c>
      <c r="B1594" s="113" t="s">
        <v>6428</v>
      </c>
      <c r="C1594" s="114" t="s">
        <v>92</v>
      </c>
      <c r="D1594" s="114">
        <v>0</v>
      </c>
      <c r="E1594" s="133" t="s">
        <v>514</v>
      </c>
      <c r="F1594" s="134" t="str">
        <f t="shared" si="84"/>
        <v/>
      </c>
      <c r="G1594" s="135" t="e">
        <f>IF(A1594&lt;&gt;"",IF(AND(#REF!="Padrão",$H$4=#REF!),BDI!$B$17,IF(AND(#REF!="Padrão",$H$4=#REF!),BDI!#REF!,IF(AND(#REF!="Diferenciado",$H$4=#REF!),BDI!$E$17,IF(AND(#REF!="Diferenciado",$H$4=#REF!),BDI!#REF!,IF(#REF!="ZERO",0))))),"")</f>
        <v>#REF!</v>
      </c>
      <c r="H1594" s="136" t="str">
        <f t="shared" si="85"/>
        <v/>
      </c>
      <c r="I1594" s="134" t="str">
        <f t="shared" si="86"/>
        <v/>
      </c>
      <c r="J1594" s="226"/>
    </row>
    <row r="1595" spans="1:10" hidden="1" x14ac:dyDescent="0.25">
      <c r="A1595" s="112" t="s">
        <v>5203</v>
      </c>
      <c r="B1595" s="113" t="s">
        <v>6429</v>
      </c>
      <c r="C1595" s="114" t="s">
        <v>92</v>
      </c>
      <c r="D1595" s="114">
        <v>0</v>
      </c>
      <c r="E1595" s="133" t="s">
        <v>514</v>
      </c>
      <c r="F1595" s="134" t="str">
        <f t="shared" si="84"/>
        <v/>
      </c>
      <c r="G1595" s="135" t="e">
        <f>IF(A1595&lt;&gt;"",IF(AND(#REF!="Padrão",$H$4=#REF!),BDI!$B$17,IF(AND(#REF!="Padrão",$H$4=#REF!),BDI!#REF!,IF(AND(#REF!="Diferenciado",$H$4=#REF!),BDI!$E$17,IF(AND(#REF!="Diferenciado",$H$4=#REF!),BDI!#REF!,IF(#REF!="ZERO",0))))),"")</f>
        <v>#REF!</v>
      </c>
      <c r="H1595" s="136" t="str">
        <f t="shared" si="85"/>
        <v/>
      </c>
      <c r="I1595" s="134" t="str">
        <f t="shared" si="86"/>
        <v/>
      </c>
      <c r="J1595" s="226"/>
    </row>
    <row r="1596" spans="1:10" hidden="1" x14ac:dyDescent="0.25">
      <c r="A1596" s="112" t="s">
        <v>5204</v>
      </c>
      <c r="B1596" s="113" t="s">
        <v>6430</v>
      </c>
      <c r="C1596" s="114" t="s">
        <v>92</v>
      </c>
      <c r="D1596" s="114">
        <v>0</v>
      </c>
      <c r="E1596" s="133" t="s">
        <v>514</v>
      </c>
      <c r="F1596" s="134" t="str">
        <f t="shared" si="84"/>
        <v/>
      </c>
      <c r="G1596" s="135" t="e">
        <f>IF(A1596&lt;&gt;"",IF(AND(#REF!="Padrão",$H$4=#REF!),BDI!$B$17,IF(AND(#REF!="Padrão",$H$4=#REF!),BDI!#REF!,IF(AND(#REF!="Diferenciado",$H$4=#REF!),BDI!$E$17,IF(AND(#REF!="Diferenciado",$H$4=#REF!),BDI!#REF!,IF(#REF!="ZERO",0))))),"")</f>
        <v>#REF!</v>
      </c>
      <c r="H1596" s="136" t="str">
        <f t="shared" si="85"/>
        <v/>
      </c>
      <c r="I1596" s="134" t="str">
        <f t="shared" si="86"/>
        <v/>
      </c>
      <c r="J1596" s="226"/>
    </row>
    <row r="1597" spans="1:10" hidden="1" x14ac:dyDescent="0.25">
      <c r="A1597" s="112" t="s">
        <v>5205</v>
      </c>
      <c r="B1597" s="113" t="s">
        <v>6431</v>
      </c>
      <c r="C1597" s="114" t="s">
        <v>92</v>
      </c>
      <c r="D1597" s="114">
        <v>0</v>
      </c>
      <c r="E1597" s="133" t="s">
        <v>514</v>
      </c>
      <c r="F1597" s="134" t="str">
        <f t="shared" si="84"/>
        <v/>
      </c>
      <c r="G1597" s="135" t="e">
        <f>IF(A1597&lt;&gt;"",IF(AND(#REF!="Padrão",$H$4=#REF!),BDI!$B$17,IF(AND(#REF!="Padrão",$H$4=#REF!),BDI!#REF!,IF(AND(#REF!="Diferenciado",$H$4=#REF!),BDI!$E$17,IF(AND(#REF!="Diferenciado",$H$4=#REF!),BDI!#REF!,IF(#REF!="ZERO",0))))),"")</f>
        <v>#REF!</v>
      </c>
      <c r="H1597" s="136" t="str">
        <f t="shared" si="85"/>
        <v/>
      </c>
      <c r="I1597" s="134" t="str">
        <f t="shared" si="86"/>
        <v/>
      </c>
      <c r="J1597" s="226"/>
    </row>
    <row r="1598" spans="1:10" hidden="1" x14ac:dyDescent="0.25">
      <c r="A1598" s="112" t="s">
        <v>5206</v>
      </c>
      <c r="B1598" s="113" t="s">
        <v>6432</v>
      </c>
      <c r="C1598" s="114" t="s">
        <v>92</v>
      </c>
      <c r="D1598" s="114">
        <v>0</v>
      </c>
      <c r="E1598" s="133" t="s">
        <v>514</v>
      </c>
      <c r="F1598" s="134" t="str">
        <f t="shared" si="84"/>
        <v/>
      </c>
      <c r="G1598" s="135" t="e">
        <f>IF(A1598&lt;&gt;"",IF(AND(#REF!="Padrão",$H$4=#REF!),BDI!$B$17,IF(AND(#REF!="Padrão",$H$4=#REF!),BDI!#REF!,IF(AND(#REF!="Diferenciado",$H$4=#REF!),BDI!$E$17,IF(AND(#REF!="Diferenciado",$H$4=#REF!),BDI!#REF!,IF(#REF!="ZERO",0))))),"")</f>
        <v>#REF!</v>
      </c>
      <c r="H1598" s="136" t="str">
        <f t="shared" si="85"/>
        <v/>
      </c>
      <c r="I1598" s="134" t="str">
        <f t="shared" si="86"/>
        <v/>
      </c>
      <c r="J1598" s="226"/>
    </row>
    <row r="1599" spans="1:10" hidden="1" x14ac:dyDescent="0.25">
      <c r="A1599" s="112" t="s">
        <v>5207</v>
      </c>
      <c r="B1599" s="113" t="s">
        <v>6433</v>
      </c>
      <c r="C1599" s="114" t="s">
        <v>92</v>
      </c>
      <c r="D1599" s="114">
        <v>0</v>
      </c>
      <c r="E1599" s="133" t="s">
        <v>514</v>
      </c>
      <c r="F1599" s="134" t="str">
        <f t="shared" si="84"/>
        <v/>
      </c>
      <c r="G1599" s="135" t="e">
        <f>IF(A1599&lt;&gt;"",IF(AND(#REF!="Padrão",$H$4=#REF!),BDI!$B$17,IF(AND(#REF!="Padrão",$H$4=#REF!),BDI!#REF!,IF(AND(#REF!="Diferenciado",$H$4=#REF!),BDI!$E$17,IF(AND(#REF!="Diferenciado",$H$4=#REF!),BDI!#REF!,IF(#REF!="ZERO",0))))),"")</f>
        <v>#REF!</v>
      </c>
      <c r="H1599" s="136" t="str">
        <f t="shared" si="85"/>
        <v/>
      </c>
      <c r="I1599" s="134" t="str">
        <f t="shared" si="86"/>
        <v/>
      </c>
      <c r="J1599" s="226"/>
    </row>
    <row r="1600" spans="1:10" hidden="1" x14ac:dyDescent="0.25">
      <c r="A1600" s="112" t="s">
        <v>5208</v>
      </c>
      <c r="B1600" s="113" t="s">
        <v>6434</v>
      </c>
      <c r="C1600" s="114" t="s">
        <v>92</v>
      </c>
      <c r="D1600" s="114">
        <v>0</v>
      </c>
      <c r="E1600" s="133" t="s">
        <v>514</v>
      </c>
      <c r="F1600" s="134" t="str">
        <f t="shared" si="84"/>
        <v/>
      </c>
      <c r="G1600" s="135" t="e">
        <f>IF(A1600&lt;&gt;"",IF(AND(#REF!="Padrão",$H$4=#REF!),BDI!$B$17,IF(AND(#REF!="Padrão",$H$4=#REF!),BDI!#REF!,IF(AND(#REF!="Diferenciado",$H$4=#REF!),BDI!$E$17,IF(AND(#REF!="Diferenciado",$H$4=#REF!),BDI!#REF!,IF(#REF!="ZERO",0))))),"")</f>
        <v>#REF!</v>
      </c>
      <c r="H1600" s="136" t="str">
        <f t="shared" si="85"/>
        <v/>
      </c>
      <c r="I1600" s="134" t="str">
        <f t="shared" si="86"/>
        <v/>
      </c>
      <c r="J1600" s="226"/>
    </row>
    <row r="1601" spans="1:10" hidden="1" x14ac:dyDescent="0.25">
      <c r="A1601" s="112" t="s">
        <v>5209</v>
      </c>
      <c r="B1601" s="113" t="s">
        <v>6435</v>
      </c>
      <c r="C1601" s="114" t="s">
        <v>92</v>
      </c>
      <c r="D1601" s="114">
        <v>0</v>
      </c>
      <c r="E1601" s="133" t="s">
        <v>514</v>
      </c>
      <c r="F1601" s="134" t="str">
        <f t="shared" si="84"/>
        <v/>
      </c>
      <c r="G1601" s="135" t="e">
        <f>IF(A1601&lt;&gt;"",IF(AND(#REF!="Padrão",$H$4=#REF!),BDI!$B$17,IF(AND(#REF!="Padrão",$H$4=#REF!),BDI!#REF!,IF(AND(#REF!="Diferenciado",$H$4=#REF!),BDI!$E$17,IF(AND(#REF!="Diferenciado",$H$4=#REF!),BDI!#REF!,IF(#REF!="ZERO",0))))),"")</f>
        <v>#REF!</v>
      </c>
      <c r="H1601" s="136" t="str">
        <f t="shared" si="85"/>
        <v/>
      </c>
      <c r="I1601" s="134" t="str">
        <f t="shared" si="86"/>
        <v/>
      </c>
      <c r="J1601" s="226"/>
    </row>
    <row r="1602" spans="1:10" hidden="1" x14ac:dyDescent="0.25">
      <c r="A1602" s="112" t="s">
        <v>5210</v>
      </c>
      <c r="B1602" s="113" t="s">
        <v>6436</v>
      </c>
      <c r="C1602" s="114" t="s">
        <v>92</v>
      </c>
      <c r="D1602" s="114">
        <v>0</v>
      </c>
      <c r="E1602" s="133" t="s">
        <v>514</v>
      </c>
      <c r="F1602" s="134" t="str">
        <f t="shared" si="84"/>
        <v/>
      </c>
      <c r="G1602" s="135" t="e">
        <f>IF(A1602&lt;&gt;"",IF(AND(#REF!="Padrão",$H$4=#REF!),BDI!$B$17,IF(AND(#REF!="Padrão",$H$4=#REF!),BDI!#REF!,IF(AND(#REF!="Diferenciado",$H$4=#REF!),BDI!$E$17,IF(AND(#REF!="Diferenciado",$H$4=#REF!),BDI!#REF!,IF(#REF!="ZERO",0))))),"")</f>
        <v>#REF!</v>
      </c>
      <c r="H1602" s="136" t="str">
        <f t="shared" si="85"/>
        <v/>
      </c>
      <c r="I1602" s="134" t="str">
        <f t="shared" si="86"/>
        <v/>
      </c>
      <c r="J1602" s="226"/>
    </row>
    <row r="1603" spans="1:10" hidden="1" x14ac:dyDescent="0.25">
      <c r="A1603" s="112" t="s">
        <v>5211</v>
      </c>
      <c r="B1603" s="113" t="s">
        <v>6437</v>
      </c>
      <c r="C1603" s="114" t="s">
        <v>92</v>
      </c>
      <c r="D1603" s="114">
        <v>0</v>
      </c>
      <c r="E1603" s="133" t="s">
        <v>514</v>
      </c>
      <c r="F1603" s="134" t="str">
        <f t="shared" si="84"/>
        <v/>
      </c>
      <c r="G1603" s="135" t="e">
        <f>IF(A1603&lt;&gt;"",IF(AND(#REF!="Padrão",$H$4=#REF!),BDI!$B$17,IF(AND(#REF!="Padrão",$H$4=#REF!),BDI!#REF!,IF(AND(#REF!="Diferenciado",$H$4=#REF!),BDI!$E$17,IF(AND(#REF!="Diferenciado",$H$4=#REF!),BDI!#REF!,IF(#REF!="ZERO",0))))),"")</f>
        <v>#REF!</v>
      </c>
      <c r="H1603" s="136" t="str">
        <f t="shared" si="85"/>
        <v/>
      </c>
      <c r="I1603" s="134" t="str">
        <f t="shared" si="86"/>
        <v/>
      </c>
      <c r="J1603" s="226"/>
    </row>
    <row r="1604" spans="1:10" hidden="1" x14ac:dyDescent="0.25">
      <c r="A1604" s="112" t="s">
        <v>5212</v>
      </c>
      <c r="B1604" s="113" t="s">
        <v>4012</v>
      </c>
      <c r="C1604" s="114" t="s">
        <v>92</v>
      </c>
      <c r="D1604" s="114">
        <v>0</v>
      </c>
      <c r="E1604" s="133">
        <f ca="1">OFFSET(INDEX(Composições!A:J,MATCH(Orçamentária!A1604,Composições!A:A,0),8),2,0)</f>
        <v>13.3665</v>
      </c>
      <c r="F1604" s="134">
        <f t="shared" ca="1" si="84"/>
        <v>0</v>
      </c>
      <c r="G1604" s="135" t="e">
        <f>IF(A1604&lt;&gt;"",IF(AND(#REF!="Padrão",$H$4=#REF!),BDI!$B$17,IF(AND(#REF!="Padrão",$H$4=#REF!),BDI!#REF!,IF(AND(#REF!="Diferenciado",$H$4=#REF!),BDI!$E$17,IF(AND(#REF!="Diferenciado",$H$4=#REF!),BDI!#REF!,IF(#REF!="ZERO",0))))),"")</f>
        <v>#REF!</v>
      </c>
      <c r="H1604" s="136" t="e">
        <f t="shared" ca="1" si="85"/>
        <v>#REF!</v>
      </c>
      <c r="I1604" s="134" t="e">
        <f t="shared" ca="1" si="86"/>
        <v>#REF!</v>
      </c>
      <c r="J1604" s="226"/>
    </row>
    <row r="1605" spans="1:10" hidden="1" x14ac:dyDescent="0.25">
      <c r="A1605" s="112" t="s">
        <v>5213</v>
      </c>
      <c r="B1605" s="113" t="s">
        <v>4013</v>
      </c>
      <c r="C1605" s="114" t="s">
        <v>92</v>
      </c>
      <c r="D1605" s="114">
        <v>0</v>
      </c>
      <c r="E1605" s="133">
        <f ca="1">OFFSET(INDEX(Composições!A:J,MATCH(Orçamentária!A1605,Composições!A:A,0),8),2,0)</f>
        <v>20.6435</v>
      </c>
      <c r="F1605" s="134">
        <f t="shared" ca="1" si="84"/>
        <v>0</v>
      </c>
      <c r="G1605" s="135" t="e">
        <f>IF(A1605&lt;&gt;"",IF(AND(#REF!="Padrão",$H$4=#REF!),BDI!$B$17,IF(AND(#REF!="Padrão",$H$4=#REF!),BDI!#REF!,IF(AND(#REF!="Diferenciado",$H$4=#REF!),BDI!$E$17,IF(AND(#REF!="Diferenciado",$H$4=#REF!),BDI!#REF!,IF(#REF!="ZERO",0))))),"")</f>
        <v>#REF!</v>
      </c>
      <c r="H1605" s="136" t="e">
        <f t="shared" ca="1" si="85"/>
        <v>#REF!</v>
      </c>
      <c r="I1605" s="134" t="e">
        <f t="shared" ca="1" si="86"/>
        <v>#REF!</v>
      </c>
      <c r="J1605" s="226"/>
    </row>
    <row r="1606" spans="1:10" hidden="1" x14ac:dyDescent="0.25">
      <c r="A1606" s="112" t="s">
        <v>5214</v>
      </c>
      <c r="B1606" s="113" t="s">
        <v>4014</v>
      </c>
      <c r="C1606" s="114" t="s">
        <v>92</v>
      </c>
      <c r="D1606" s="114">
        <v>0</v>
      </c>
      <c r="E1606" s="133">
        <f ca="1">OFFSET(INDEX(Composições!A:J,MATCH(Orçamentária!A1606,Composições!A:A,0),8),2,0)</f>
        <v>28.518999999999998</v>
      </c>
      <c r="F1606" s="134">
        <f t="shared" ca="1" si="84"/>
        <v>0</v>
      </c>
      <c r="G1606" s="135" t="e">
        <f>IF(A1606&lt;&gt;"",IF(AND(#REF!="Padrão",$H$4=#REF!),BDI!$B$17,IF(AND(#REF!="Padrão",$H$4=#REF!),BDI!#REF!,IF(AND(#REF!="Diferenciado",$H$4=#REF!),BDI!$E$17,IF(AND(#REF!="Diferenciado",$H$4=#REF!),BDI!#REF!,IF(#REF!="ZERO",0))))),"")</f>
        <v>#REF!</v>
      </c>
      <c r="H1606" s="136" t="e">
        <f t="shared" ca="1" si="85"/>
        <v>#REF!</v>
      </c>
      <c r="I1606" s="134" t="e">
        <f t="shared" ca="1" si="86"/>
        <v>#REF!</v>
      </c>
      <c r="J1606" s="226"/>
    </row>
    <row r="1607" spans="1:10" hidden="1" x14ac:dyDescent="0.25">
      <c r="A1607" s="112" t="s">
        <v>5215</v>
      </c>
      <c r="B1607" s="113" t="s">
        <v>4015</v>
      </c>
      <c r="C1607" s="114" t="s">
        <v>92</v>
      </c>
      <c r="D1607" s="114">
        <v>0</v>
      </c>
      <c r="E1607" s="133">
        <f ca="1">OFFSET(INDEX(Composições!A:J,MATCH(Orçamentária!A1607,Composições!A:A,0),8),2,0)</f>
        <v>39.719500000000004</v>
      </c>
      <c r="F1607" s="134">
        <f t="shared" ca="1" si="84"/>
        <v>0</v>
      </c>
      <c r="G1607" s="135" t="e">
        <f>IF(A1607&lt;&gt;"",IF(AND(#REF!="Padrão",$H$4=#REF!),BDI!$B$17,IF(AND(#REF!="Padrão",$H$4=#REF!),BDI!#REF!,IF(AND(#REF!="Diferenciado",$H$4=#REF!),BDI!$E$17,IF(AND(#REF!="Diferenciado",$H$4=#REF!),BDI!#REF!,IF(#REF!="ZERO",0))))),"")</f>
        <v>#REF!</v>
      </c>
      <c r="H1607" s="136" t="e">
        <f t="shared" ca="1" si="85"/>
        <v>#REF!</v>
      </c>
      <c r="I1607" s="134" t="e">
        <f t="shared" ca="1" si="86"/>
        <v>#REF!</v>
      </c>
      <c r="J1607" s="226"/>
    </row>
    <row r="1608" spans="1:10" hidden="1" x14ac:dyDescent="0.25">
      <c r="A1608" s="112" t="s">
        <v>5216</v>
      </c>
      <c r="B1608" s="113" t="s">
        <v>4016</v>
      </c>
      <c r="C1608" s="114" t="s">
        <v>92</v>
      </c>
      <c r="D1608" s="114">
        <v>0</v>
      </c>
      <c r="E1608" s="133">
        <f ca="1">OFFSET(INDEX(Composições!A:J,MATCH(Orçamentária!A1608,Composições!A:A,0),8),2,0)</f>
        <v>55.954999999999998</v>
      </c>
      <c r="F1608" s="134">
        <f t="shared" ca="1" si="84"/>
        <v>0</v>
      </c>
      <c r="G1608" s="135" t="e">
        <f>IF(A1608&lt;&gt;"",IF(AND(#REF!="Padrão",$H$4=#REF!),BDI!$B$17,IF(AND(#REF!="Padrão",$H$4=#REF!),BDI!#REF!,IF(AND(#REF!="Diferenciado",$H$4=#REF!),BDI!$E$17,IF(AND(#REF!="Diferenciado",$H$4=#REF!),BDI!#REF!,IF(#REF!="ZERO",0))))),"")</f>
        <v>#REF!</v>
      </c>
      <c r="H1608" s="136" t="e">
        <f t="shared" ca="1" si="85"/>
        <v>#REF!</v>
      </c>
      <c r="I1608" s="134" t="e">
        <f t="shared" ca="1" si="86"/>
        <v>#REF!</v>
      </c>
      <c r="J1608" s="226"/>
    </row>
    <row r="1609" spans="1:10" hidden="1" x14ac:dyDescent="0.25">
      <c r="A1609" s="112" t="s">
        <v>5217</v>
      </c>
      <c r="B1609" s="113" t="s">
        <v>4017</v>
      </c>
      <c r="C1609" s="114" t="s">
        <v>92</v>
      </c>
      <c r="D1609" s="114">
        <v>0</v>
      </c>
      <c r="E1609" s="133" t="s">
        <v>514</v>
      </c>
      <c r="F1609" s="134" t="str">
        <f t="shared" si="84"/>
        <v/>
      </c>
      <c r="G1609" s="135" t="e">
        <f>IF(A1609&lt;&gt;"",IF(AND(#REF!="Padrão",$H$4=#REF!),BDI!$B$17,IF(AND(#REF!="Padrão",$H$4=#REF!),BDI!#REF!,IF(AND(#REF!="Diferenciado",$H$4=#REF!),BDI!$E$17,IF(AND(#REF!="Diferenciado",$H$4=#REF!),BDI!#REF!,IF(#REF!="ZERO",0))))),"")</f>
        <v>#REF!</v>
      </c>
      <c r="H1609" s="136" t="str">
        <f t="shared" si="85"/>
        <v/>
      </c>
      <c r="I1609" s="134" t="str">
        <f t="shared" si="86"/>
        <v/>
      </c>
      <c r="J1609" s="226"/>
    </row>
    <row r="1610" spans="1:10" hidden="1" x14ac:dyDescent="0.25">
      <c r="A1610" s="112" t="s">
        <v>5218</v>
      </c>
      <c r="B1610" s="113" t="s">
        <v>4018</v>
      </c>
      <c r="C1610" s="114" t="s">
        <v>92</v>
      </c>
      <c r="D1610" s="114">
        <v>0</v>
      </c>
      <c r="E1610" s="133" t="s">
        <v>514</v>
      </c>
      <c r="F1610" s="134" t="str">
        <f t="shared" si="84"/>
        <v/>
      </c>
      <c r="G1610" s="135" t="e">
        <f>IF(A1610&lt;&gt;"",IF(AND(#REF!="Padrão",$H$4=#REF!),BDI!$B$17,IF(AND(#REF!="Padrão",$H$4=#REF!),BDI!#REF!,IF(AND(#REF!="Diferenciado",$H$4=#REF!),BDI!$E$17,IF(AND(#REF!="Diferenciado",$H$4=#REF!),BDI!#REF!,IF(#REF!="ZERO",0))))),"")</f>
        <v>#REF!</v>
      </c>
      <c r="H1610" s="136" t="str">
        <f t="shared" si="85"/>
        <v/>
      </c>
      <c r="I1610" s="134" t="str">
        <f t="shared" si="86"/>
        <v/>
      </c>
      <c r="J1610" s="226"/>
    </row>
    <row r="1611" spans="1:10" hidden="1" x14ac:dyDescent="0.25">
      <c r="A1611" s="112" t="s">
        <v>5219</v>
      </c>
      <c r="B1611" s="113" t="s">
        <v>4019</v>
      </c>
      <c r="C1611" s="114" t="s">
        <v>92</v>
      </c>
      <c r="D1611" s="114">
        <v>0</v>
      </c>
      <c r="E1611" s="133" t="s">
        <v>514</v>
      </c>
      <c r="F1611" s="134" t="str">
        <f t="shared" si="84"/>
        <v/>
      </c>
      <c r="G1611" s="135" t="e">
        <f>IF(A1611&lt;&gt;"",IF(AND(#REF!="Padrão",$H$4=#REF!),BDI!$B$17,IF(AND(#REF!="Padrão",$H$4=#REF!),BDI!#REF!,IF(AND(#REF!="Diferenciado",$H$4=#REF!),BDI!$E$17,IF(AND(#REF!="Diferenciado",$H$4=#REF!),BDI!#REF!,IF(#REF!="ZERO",0))))),"")</f>
        <v>#REF!</v>
      </c>
      <c r="H1611" s="136" t="str">
        <f t="shared" si="85"/>
        <v/>
      </c>
      <c r="I1611" s="134" t="str">
        <f t="shared" si="86"/>
        <v/>
      </c>
      <c r="J1611" s="226"/>
    </row>
    <row r="1612" spans="1:10" hidden="1" x14ac:dyDescent="0.25">
      <c r="A1612" s="112" t="s">
        <v>5220</v>
      </c>
      <c r="B1612" s="113" t="s">
        <v>4020</v>
      </c>
      <c r="C1612" s="114" t="s">
        <v>92</v>
      </c>
      <c r="D1612" s="114">
        <v>0</v>
      </c>
      <c r="E1612" s="133" t="s">
        <v>514</v>
      </c>
      <c r="F1612" s="134" t="str">
        <f t="shared" si="84"/>
        <v/>
      </c>
      <c r="G1612" s="135" t="e">
        <f>IF(A1612&lt;&gt;"",IF(AND(#REF!="Padrão",$H$4=#REF!),BDI!$B$17,IF(AND(#REF!="Padrão",$H$4=#REF!),BDI!#REF!,IF(AND(#REF!="Diferenciado",$H$4=#REF!),BDI!$E$17,IF(AND(#REF!="Diferenciado",$H$4=#REF!),BDI!#REF!,IF(#REF!="ZERO",0))))),"")</f>
        <v>#REF!</v>
      </c>
      <c r="H1612" s="136" t="str">
        <f t="shared" si="85"/>
        <v/>
      </c>
      <c r="I1612" s="134" t="str">
        <f t="shared" si="86"/>
        <v/>
      </c>
      <c r="J1612" s="226"/>
    </row>
    <row r="1613" spans="1:10" hidden="1" x14ac:dyDescent="0.25">
      <c r="A1613" s="112" t="s">
        <v>5221</v>
      </c>
      <c r="B1613" s="113" t="s">
        <v>4021</v>
      </c>
      <c r="C1613" s="114" t="s">
        <v>92</v>
      </c>
      <c r="D1613" s="114">
        <v>0</v>
      </c>
      <c r="E1613" s="133" t="s">
        <v>514</v>
      </c>
      <c r="F1613" s="134" t="str">
        <f t="shared" si="84"/>
        <v/>
      </c>
      <c r="G1613" s="135" t="e">
        <f>IF(A1613&lt;&gt;"",IF(AND(#REF!="Padrão",$H$4=#REF!),BDI!$B$17,IF(AND(#REF!="Padrão",$H$4=#REF!),BDI!#REF!,IF(AND(#REF!="Diferenciado",$H$4=#REF!),BDI!$E$17,IF(AND(#REF!="Diferenciado",$H$4=#REF!),BDI!#REF!,IF(#REF!="ZERO",0))))),"")</f>
        <v>#REF!</v>
      </c>
      <c r="H1613" s="136" t="str">
        <f t="shared" si="85"/>
        <v/>
      </c>
      <c r="I1613" s="134" t="str">
        <f t="shared" si="86"/>
        <v/>
      </c>
      <c r="J1613" s="226"/>
    </row>
    <row r="1614" spans="1:10" hidden="1" x14ac:dyDescent="0.25">
      <c r="A1614" s="112" t="s">
        <v>5222</v>
      </c>
      <c r="B1614" s="113" t="s">
        <v>4022</v>
      </c>
      <c r="C1614" s="114" t="s">
        <v>92</v>
      </c>
      <c r="D1614" s="114">
        <v>0</v>
      </c>
      <c r="E1614" s="133" t="s">
        <v>514</v>
      </c>
      <c r="F1614" s="134" t="str">
        <f t="shared" si="84"/>
        <v/>
      </c>
      <c r="G1614" s="135" t="e">
        <f>IF(A1614&lt;&gt;"",IF(AND(#REF!="Padrão",$H$4=#REF!),BDI!$B$17,IF(AND(#REF!="Padrão",$H$4=#REF!),BDI!#REF!,IF(AND(#REF!="Diferenciado",$H$4=#REF!),BDI!$E$17,IF(AND(#REF!="Diferenciado",$H$4=#REF!),BDI!#REF!,IF(#REF!="ZERO",0))))),"")</f>
        <v>#REF!</v>
      </c>
      <c r="H1614" s="136" t="str">
        <f t="shared" si="85"/>
        <v/>
      </c>
      <c r="I1614" s="134" t="str">
        <f t="shared" si="86"/>
        <v/>
      </c>
      <c r="J1614" s="226"/>
    </row>
    <row r="1615" spans="1:10" hidden="1" x14ac:dyDescent="0.25">
      <c r="A1615" s="112" t="s">
        <v>5223</v>
      </c>
      <c r="B1615" s="113" t="s">
        <v>4023</v>
      </c>
      <c r="C1615" s="114" t="s">
        <v>92</v>
      </c>
      <c r="D1615" s="114">
        <v>0</v>
      </c>
      <c r="E1615" s="133" t="s">
        <v>514</v>
      </c>
      <c r="F1615" s="134" t="str">
        <f t="shared" si="84"/>
        <v/>
      </c>
      <c r="G1615" s="135" t="e">
        <f>IF(A1615&lt;&gt;"",IF(AND(#REF!="Padrão",$H$4=#REF!),BDI!$B$17,IF(AND(#REF!="Padrão",$H$4=#REF!),BDI!#REF!,IF(AND(#REF!="Diferenciado",$H$4=#REF!),BDI!$E$17,IF(AND(#REF!="Diferenciado",$H$4=#REF!),BDI!#REF!,IF(#REF!="ZERO",0))))),"")</f>
        <v>#REF!</v>
      </c>
      <c r="H1615" s="136" t="str">
        <f t="shared" si="85"/>
        <v/>
      </c>
      <c r="I1615" s="134" t="str">
        <f t="shared" si="86"/>
        <v/>
      </c>
      <c r="J1615" s="226"/>
    </row>
    <row r="1616" spans="1:10" hidden="1" x14ac:dyDescent="0.25">
      <c r="A1616" s="112" t="s">
        <v>5224</v>
      </c>
      <c r="B1616" s="113" t="s">
        <v>4024</v>
      </c>
      <c r="C1616" s="114" t="s">
        <v>92</v>
      </c>
      <c r="D1616" s="114">
        <v>0</v>
      </c>
      <c r="E1616" s="133" t="s">
        <v>514</v>
      </c>
      <c r="F1616" s="134" t="str">
        <f t="shared" si="84"/>
        <v/>
      </c>
      <c r="G1616" s="135" t="e">
        <f>IF(A1616&lt;&gt;"",IF(AND(#REF!="Padrão",$H$4=#REF!),BDI!$B$17,IF(AND(#REF!="Padrão",$H$4=#REF!),BDI!#REF!,IF(AND(#REF!="Diferenciado",$H$4=#REF!),BDI!$E$17,IF(AND(#REF!="Diferenciado",$H$4=#REF!),BDI!#REF!,IF(#REF!="ZERO",0))))),"")</f>
        <v>#REF!</v>
      </c>
      <c r="H1616" s="136" t="str">
        <f t="shared" si="85"/>
        <v/>
      </c>
      <c r="I1616" s="134" t="str">
        <f t="shared" si="86"/>
        <v/>
      </c>
      <c r="J1616" s="226"/>
    </row>
    <row r="1617" spans="1:10" hidden="1" x14ac:dyDescent="0.25">
      <c r="A1617" s="112" t="s">
        <v>5225</v>
      </c>
      <c r="B1617" s="113" t="s">
        <v>4025</v>
      </c>
      <c r="C1617" s="114" t="s">
        <v>92</v>
      </c>
      <c r="D1617" s="114">
        <v>0</v>
      </c>
      <c r="E1617" s="133" t="s">
        <v>514</v>
      </c>
      <c r="F1617" s="134" t="str">
        <f t="shared" si="84"/>
        <v/>
      </c>
      <c r="G1617" s="135" t="e">
        <f>IF(A1617&lt;&gt;"",IF(AND(#REF!="Padrão",$H$4=#REF!),BDI!$B$17,IF(AND(#REF!="Padrão",$H$4=#REF!),BDI!#REF!,IF(AND(#REF!="Diferenciado",$H$4=#REF!),BDI!$E$17,IF(AND(#REF!="Diferenciado",$H$4=#REF!),BDI!#REF!,IF(#REF!="ZERO",0))))),"")</f>
        <v>#REF!</v>
      </c>
      <c r="H1617" s="136" t="str">
        <f t="shared" si="85"/>
        <v/>
      </c>
      <c r="I1617" s="134" t="str">
        <f t="shared" si="86"/>
        <v/>
      </c>
      <c r="J1617" s="226"/>
    </row>
    <row r="1618" spans="1:10" hidden="1" x14ac:dyDescent="0.25">
      <c r="A1618" s="112" t="s">
        <v>5226</v>
      </c>
      <c r="B1618" s="113" t="s">
        <v>4026</v>
      </c>
      <c r="C1618" s="114" t="s">
        <v>92</v>
      </c>
      <c r="D1618" s="114">
        <v>0</v>
      </c>
      <c r="E1618" s="133" t="s">
        <v>514</v>
      </c>
      <c r="F1618" s="134" t="str">
        <f t="shared" si="84"/>
        <v/>
      </c>
      <c r="G1618" s="135" t="e">
        <f>IF(A1618&lt;&gt;"",IF(AND(#REF!="Padrão",$H$4=#REF!),BDI!$B$17,IF(AND(#REF!="Padrão",$H$4=#REF!),BDI!#REF!,IF(AND(#REF!="Diferenciado",$H$4=#REF!),BDI!$E$17,IF(AND(#REF!="Diferenciado",$H$4=#REF!),BDI!#REF!,IF(#REF!="ZERO",0))))),"")</f>
        <v>#REF!</v>
      </c>
      <c r="H1618" s="136" t="str">
        <f t="shared" si="85"/>
        <v/>
      </c>
      <c r="I1618" s="134" t="str">
        <f t="shared" si="86"/>
        <v/>
      </c>
      <c r="J1618" s="226"/>
    </row>
    <row r="1619" spans="1:10" hidden="1" x14ac:dyDescent="0.25">
      <c r="A1619" s="112" t="s">
        <v>5227</v>
      </c>
      <c r="B1619" s="113" t="s">
        <v>4027</v>
      </c>
      <c r="C1619" s="114" t="s">
        <v>92</v>
      </c>
      <c r="D1619" s="114">
        <v>0</v>
      </c>
      <c r="E1619" s="133" t="s">
        <v>514</v>
      </c>
      <c r="F1619" s="134" t="str">
        <f t="shared" si="84"/>
        <v/>
      </c>
      <c r="G1619" s="135" t="e">
        <f>IF(A1619&lt;&gt;"",IF(AND(#REF!="Padrão",$H$4=#REF!),BDI!$B$17,IF(AND(#REF!="Padrão",$H$4=#REF!),BDI!#REF!,IF(AND(#REF!="Diferenciado",$H$4=#REF!),BDI!$E$17,IF(AND(#REF!="Diferenciado",$H$4=#REF!),BDI!#REF!,IF(#REF!="ZERO",0))))),"")</f>
        <v>#REF!</v>
      </c>
      <c r="H1619" s="136" t="str">
        <f t="shared" si="85"/>
        <v/>
      </c>
      <c r="I1619" s="134" t="str">
        <f t="shared" si="86"/>
        <v/>
      </c>
      <c r="J1619" s="226"/>
    </row>
    <row r="1620" spans="1:10" hidden="1" x14ac:dyDescent="0.25">
      <c r="A1620" s="112" t="s">
        <v>5228</v>
      </c>
      <c r="B1620" s="113" t="s">
        <v>4028</v>
      </c>
      <c r="C1620" s="114" t="s">
        <v>92</v>
      </c>
      <c r="D1620" s="114">
        <v>0</v>
      </c>
      <c r="E1620" s="133" t="s">
        <v>514</v>
      </c>
      <c r="F1620" s="134" t="str">
        <f t="shared" si="84"/>
        <v/>
      </c>
      <c r="G1620" s="135" t="e">
        <f>IF(A1620&lt;&gt;"",IF(AND(#REF!="Padrão",$H$4=#REF!),BDI!$B$17,IF(AND(#REF!="Padrão",$H$4=#REF!),BDI!#REF!,IF(AND(#REF!="Diferenciado",$H$4=#REF!),BDI!$E$17,IF(AND(#REF!="Diferenciado",$H$4=#REF!),BDI!#REF!,IF(#REF!="ZERO",0))))),"")</f>
        <v>#REF!</v>
      </c>
      <c r="H1620" s="136" t="str">
        <f t="shared" si="85"/>
        <v/>
      </c>
      <c r="I1620" s="134" t="str">
        <f t="shared" si="86"/>
        <v/>
      </c>
      <c r="J1620" s="226"/>
    </row>
    <row r="1621" spans="1:10" hidden="1" x14ac:dyDescent="0.25">
      <c r="A1621" s="112" t="s">
        <v>5229</v>
      </c>
      <c r="B1621" s="113" t="s">
        <v>4029</v>
      </c>
      <c r="C1621" s="114" t="s">
        <v>92</v>
      </c>
      <c r="D1621" s="114">
        <v>0</v>
      </c>
      <c r="E1621" s="133" t="s">
        <v>514</v>
      </c>
      <c r="F1621" s="134" t="str">
        <f t="shared" si="84"/>
        <v/>
      </c>
      <c r="G1621" s="135" t="e">
        <f>IF(A1621&lt;&gt;"",IF(AND(#REF!="Padrão",$H$4=#REF!),BDI!$B$17,IF(AND(#REF!="Padrão",$H$4=#REF!),BDI!#REF!,IF(AND(#REF!="Diferenciado",$H$4=#REF!),BDI!$E$17,IF(AND(#REF!="Diferenciado",$H$4=#REF!),BDI!#REF!,IF(#REF!="ZERO",0))))),"")</f>
        <v>#REF!</v>
      </c>
      <c r="H1621" s="136" t="str">
        <f t="shared" si="85"/>
        <v/>
      </c>
      <c r="I1621" s="134" t="str">
        <f t="shared" si="86"/>
        <v/>
      </c>
      <c r="J1621" s="226"/>
    </row>
    <row r="1622" spans="1:10" hidden="1" x14ac:dyDescent="0.25">
      <c r="A1622" s="112" t="s">
        <v>5230</v>
      </c>
      <c r="B1622" s="113" t="s">
        <v>4030</v>
      </c>
      <c r="C1622" s="114" t="s">
        <v>92</v>
      </c>
      <c r="D1622" s="114">
        <v>0</v>
      </c>
      <c r="E1622" s="133" t="s">
        <v>514</v>
      </c>
      <c r="F1622" s="134" t="str">
        <f t="shared" si="84"/>
        <v/>
      </c>
      <c r="G1622" s="135" t="e">
        <f>IF(A1622&lt;&gt;"",IF(AND(#REF!="Padrão",$H$4=#REF!),BDI!$B$17,IF(AND(#REF!="Padrão",$H$4=#REF!),BDI!#REF!,IF(AND(#REF!="Diferenciado",$H$4=#REF!),BDI!$E$17,IF(AND(#REF!="Diferenciado",$H$4=#REF!),BDI!#REF!,IF(#REF!="ZERO",0))))),"")</f>
        <v>#REF!</v>
      </c>
      <c r="H1622" s="136" t="str">
        <f t="shared" si="85"/>
        <v/>
      </c>
      <c r="I1622" s="134" t="str">
        <f t="shared" si="86"/>
        <v/>
      </c>
      <c r="J1622" s="226"/>
    </row>
    <row r="1623" spans="1:10" hidden="1" x14ac:dyDescent="0.25">
      <c r="A1623" s="112" t="s">
        <v>5231</v>
      </c>
      <c r="B1623" s="113" t="s">
        <v>4031</v>
      </c>
      <c r="C1623" s="114" t="s">
        <v>92</v>
      </c>
      <c r="D1623" s="114">
        <v>0</v>
      </c>
      <c r="E1623" s="133" t="s">
        <v>514</v>
      </c>
      <c r="F1623" s="134" t="str">
        <f t="shared" si="84"/>
        <v/>
      </c>
      <c r="G1623" s="135" t="e">
        <f>IF(A1623&lt;&gt;"",IF(AND(#REF!="Padrão",$H$4=#REF!),BDI!$B$17,IF(AND(#REF!="Padrão",$H$4=#REF!),BDI!#REF!,IF(AND(#REF!="Diferenciado",$H$4=#REF!),BDI!$E$17,IF(AND(#REF!="Diferenciado",$H$4=#REF!),BDI!#REF!,IF(#REF!="ZERO",0))))),"")</f>
        <v>#REF!</v>
      </c>
      <c r="H1623" s="136" t="str">
        <f t="shared" si="85"/>
        <v/>
      </c>
      <c r="I1623" s="134" t="str">
        <f t="shared" si="86"/>
        <v/>
      </c>
      <c r="J1623" s="226"/>
    </row>
    <row r="1624" spans="1:10" hidden="1" x14ac:dyDescent="0.25">
      <c r="A1624" s="112" t="s">
        <v>5232</v>
      </c>
      <c r="B1624" s="113" t="s">
        <v>4032</v>
      </c>
      <c r="C1624" s="114" t="s">
        <v>92</v>
      </c>
      <c r="D1624" s="114">
        <v>0</v>
      </c>
      <c r="E1624" s="133" t="s">
        <v>514</v>
      </c>
      <c r="F1624" s="134" t="str">
        <f t="shared" si="84"/>
        <v/>
      </c>
      <c r="G1624" s="135" t="e">
        <f>IF(A1624&lt;&gt;"",IF(AND(#REF!="Padrão",$H$4=#REF!),BDI!$B$17,IF(AND(#REF!="Padrão",$H$4=#REF!),BDI!#REF!,IF(AND(#REF!="Diferenciado",$H$4=#REF!),BDI!$E$17,IF(AND(#REF!="Diferenciado",$H$4=#REF!),BDI!#REF!,IF(#REF!="ZERO",0))))),"")</f>
        <v>#REF!</v>
      </c>
      <c r="H1624" s="136" t="str">
        <f t="shared" si="85"/>
        <v/>
      </c>
      <c r="I1624" s="134" t="str">
        <f t="shared" si="86"/>
        <v/>
      </c>
      <c r="J1624" s="226"/>
    </row>
    <row r="1625" spans="1:10" hidden="1" x14ac:dyDescent="0.25">
      <c r="A1625" s="112" t="s">
        <v>5233</v>
      </c>
      <c r="B1625" s="113" t="s">
        <v>4033</v>
      </c>
      <c r="C1625" s="114" t="s">
        <v>92</v>
      </c>
      <c r="D1625" s="114">
        <v>0</v>
      </c>
      <c r="E1625" s="133" t="s">
        <v>514</v>
      </c>
      <c r="F1625" s="134" t="str">
        <f t="shared" si="84"/>
        <v/>
      </c>
      <c r="G1625" s="135" t="e">
        <f>IF(A1625&lt;&gt;"",IF(AND(#REF!="Padrão",$H$4=#REF!),BDI!$B$17,IF(AND(#REF!="Padrão",$H$4=#REF!),BDI!#REF!,IF(AND(#REF!="Diferenciado",$H$4=#REF!),BDI!$E$17,IF(AND(#REF!="Diferenciado",$H$4=#REF!),BDI!#REF!,IF(#REF!="ZERO",0))))),"")</f>
        <v>#REF!</v>
      </c>
      <c r="H1625" s="136" t="str">
        <f t="shared" si="85"/>
        <v/>
      </c>
      <c r="I1625" s="134" t="str">
        <f t="shared" si="86"/>
        <v/>
      </c>
      <c r="J1625" s="226"/>
    </row>
    <row r="1626" spans="1:10" hidden="1" x14ac:dyDescent="0.25">
      <c r="A1626" s="112" t="s">
        <v>5234</v>
      </c>
      <c r="B1626" s="113" t="s">
        <v>4034</v>
      </c>
      <c r="C1626" s="114" t="s">
        <v>92</v>
      </c>
      <c r="D1626" s="114">
        <v>0</v>
      </c>
      <c r="E1626" s="133" t="s">
        <v>514</v>
      </c>
      <c r="F1626" s="134" t="str">
        <f t="shared" si="84"/>
        <v/>
      </c>
      <c r="G1626" s="135" t="e">
        <f>IF(A1626&lt;&gt;"",IF(AND(#REF!="Padrão",$H$4=#REF!),BDI!$B$17,IF(AND(#REF!="Padrão",$H$4=#REF!),BDI!#REF!,IF(AND(#REF!="Diferenciado",$H$4=#REF!),BDI!$E$17,IF(AND(#REF!="Diferenciado",$H$4=#REF!),BDI!#REF!,IF(#REF!="ZERO",0))))),"")</f>
        <v>#REF!</v>
      </c>
      <c r="H1626" s="136" t="str">
        <f t="shared" si="85"/>
        <v/>
      </c>
      <c r="I1626" s="134" t="str">
        <f t="shared" si="86"/>
        <v/>
      </c>
      <c r="J1626" s="226"/>
    </row>
    <row r="1627" spans="1:10" hidden="1" x14ac:dyDescent="0.25">
      <c r="A1627" s="112" t="s">
        <v>5235</v>
      </c>
      <c r="B1627" s="113" t="s">
        <v>4035</v>
      </c>
      <c r="C1627" s="114" t="s">
        <v>92</v>
      </c>
      <c r="D1627" s="114">
        <v>0</v>
      </c>
      <c r="E1627" s="133" t="s">
        <v>514</v>
      </c>
      <c r="F1627" s="134" t="str">
        <f t="shared" si="84"/>
        <v/>
      </c>
      <c r="G1627" s="135" t="e">
        <f>IF(A1627&lt;&gt;"",IF(AND(#REF!="Padrão",$H$4=#REF!),BDI!$B$17,IF(AND(#REF!="Padrão",$H$4=#REF!),BDI!#REF!,IF(AND(#REF!="Diferenciado",$H$4=#REF!),BDI!$E$17,IF(AND(#REF!="Diferenciado",$H$4=#REF!),BDI!#REF!,IF(#REF!="ZERO",0))))),"")</f>
        <v>#REF!</v>
      </c>
      <c r="H1627" s="136" t="str">
        <f t="shared" si="85"/>
        <v/>
      </c>
      <c r="I1627" s="134" t="str">
        <f t="shared" si="86"/>
        <v/>
      </c>
      <c r="J1627" s="226"/>
    </row>
    <row r="1628" spans="1:10" hidden="1" x14ac:dyDescent="0.25">
      <c r="A1628" s="112" t="s">
        <v>5236</v>
      </c>
      <c r="B1628" s="113" t="s">
        <v>4036</v>
      </c>
      <c r="C1628" s="114" t="s">
        <v>92</v>
      </c>
      <c r="D1628" s="114">
        <v>0</v>
      </c>
      <c r="E1628" s="133" t="s">
        <v>514</v>
      </c>
      <c r="F1628" s="134" t="str">
        <f t="shared" si="84"/>
        <v/>
      </c>
      <c r="G1628" s="135" t="e">
        <f>IF(A1628&lt;&gt;"",IF(AND(#REF!="Padrão",$H$4=#REF!),BDI!$B$17,IF(AND(#REF!="Padrão",$H$4=#REF!),BDI!#REF!,IF(AND(#REF!="Diferenciado",$H$4=#REF!),BDI!$E$17,IF(AND(#REF!="Diferenciado",$H$4=#REF!),BDI!#REF!,IF(#REF!="ZERO",0))))),"")</f>
        <v>#REF!</v>
      </c>
      <c r="H1628" s="136" t="str">
        <f t="shared" si="85"/>
        <v/>
      </c>
      <c r="I1628" s="134" t="str">
        <f t="shared" si="86"/>
        <v/>
      </c>
      <c r="J1628" s="226"/>
    </row>
    <row r="1629" spans="1:10" hidden="1" x14ac:dyDescent="0.25">
      <c r="A1629" s="112" t="s">
        <v>5237</v>
      </c>
      <c r="B1629" s="113" t="s">
        <v>4037</v>
      </c>
      <c r="C1629" s="114" t="s">
        <v>92</v>
      </c>
      <c r="D1629" s="114">
        <v>0</v>
      </c>
      <c r="E1629" s="133" t="s">
        <v>514</v>
      </c>
      <c r="F1629" s="134" t="str">
        <f t="shared" si="84"/>
        <v/>
      </c>
      <c r="G1629" s="135" t="e">
        <f>IF(A1629&lt;&gt;"",IF(AND(#REF!="Padrão",$H$4=#REF!),BDI!$B$17,IF(AND(#REF!="Padrão",$H$4=#REF!),BDI!#REF!,IF(AND(#REF!="Diferenciado",$H$4=#REF!),BDI!$E$17,IF(AND(#REF!="Diferenciado",$H$4=#REF!),BDI!#REF!,IF(#REF!="ZERO",0))))),"")</f>
        <v>#REF!</v>
      </c>
      <c r="H1629" s="136" t="str">
        <f t="shared" si="85"/>
        <v/>
      </c>
      <c r="I1629" s="134" t="str">
        <f t="shared" si="86"/>
        <v/>
      </c>
      <c r="J1629" s="226"/>
    </row>
    <row r="1630" spans="1:10" hidden="1" x14ac:dyDescent="0.25">
      <c r="A1630" s="112" t="s">
        <v>5238</v>
      </c>
      <c r="B1630" s="113" t="s">
        <v>4038</v>
      </c>
      <c r="C1630" s="114" t="s">
        <v>20</v>
      </c>
      <c r="D1630" s="114">
        <v>0</v>
      </c>
      <c r="E1630" s="133" t="s">
        <v>514</v>
      </c>
      <c r="F1630" s="134" t="str">
        <f t="shared" si="84"/>
        <v/>
      </c>
      <c r="G1630" s="135" t="e">
        <f>IF(A1630&lt;&gt;"",IF(AND(#REF!="Padrão",$H$4=#REF!),BDI!$B$17,IF(AND(#REF!="Padrão",$H$4=#REF!),BDI!#REF!,IF(AND(#REF!="Diferenciado",$H$4=#REF!),BDI!$E$17,IF(AND(#REF!="Diferenciado",$H$4=#REF!),BDI!#REF!,IF(#REF!="ZERO",0))))),"")</f>
        <v>#REF!</v>
      </c>
      <c r="H1630" s="136" t="str">
        <f t="shared" si="85"/>
        <v/>
      </c>
      <c r="I1630" s="134" t="str">
        <f t="shared" si="86"/>
        <v/>
      </c>
      <c r="J1630" s="226"/>
    </row>
    <row r="1631" spans="1:10" hidden="1" x14ac:dyDescent="0.25">
      <c r="A1631" s="112" t="s">
        <v>5239</v>
      </c>
      <c r="B1631" s="113" t="s">
        <v>4039</v>
      </c>
      <c r="C1631" s="114" t="s">
        <v>20</v>
      </c>
      <c r="D1631" s="114">
        <v>0</v>
      </c>
      <c r="E1631" s="133" t="s">
        <v>514</v>
      </c>
      <c r="F1631" s="134" t="str">
        <f t="shared" si="84"/>
        <v/>
      </c>
      <c r="G1631" s="135" t="e">
        <f>IF(A1631&lt;&gt;"",IF(AND(#REF!="Padrão",$H$4=#REF!),BDI!$B$17,IF(AND(#REF!="Padrão",$H$4=#REF!),BDI!#REF!,IF(AND(#REF!="Diferenciado",$H$4=#REF!),BDI!$E$17,IF(AND(#REF!="Diferenciado",$H$4=#REF!),BDI!#REF!,IF(#REF!="ZERO",0))))),"")</f>
        <v>#REF!</v>
      </c>
      <c r="H1631" s="136" t="str">
        <f t="shared" si="85"/>
        <v/>
      </c>
      <c r="I1631" s="134" t="str">
        <f t="shared" si="86"/>
        <v/>
      </c>
      <c r="J1631" s="226"/>
    </row>
    <row r="1632" spans="1:10" hidden="1" x14ac:dyDescent="0.25">
      <c r="A1632" s="112" t="s">
        <v>5240</v>
      </c>
      <c r="B1632" s="113" t="s">
        <v>4040</v>
      </c>
      <c r="C1632" s="114" t="s">
        <v>20</v>
      </c>
      <c r="D1632" s="114">
        <v>0</v>
      </c>
      <c r="E1632" s="133" t="s">
        <v>514</v>
      </c>
      <c r="F1632" s="134" t="str">
        <f t="shared" si="84"/>
        <v/>
      </c>
      <c r="G1632" s="135" t="e">
        <f>IF(A1632&lt;&gt;"",IF(AND(#REF!="Padrão",$H$4=#REF!),BDI!$B$17,IF(AND(#REF!="Padrão",$H$4=#REF!),BDI!#REF!,IF(AND(#REF!="Diferenciado",$H$4=#REF!),BDI!$E$17,IF(AND(#REF!="Diferenciado",$H$4=#REF!),BDI!#REF!,IF(#REF!="ZERO",0))))),"")</f>
        <v>#REF!</v>
      </c>
      <c r="H1632" s="136" t="str">
        <f t="shared" si="85"/>
        <v/>
      </c>
      <c r="I1632" s="134" t="str">
        <f t="shared" si="86"/>
        <v/>
      </c>
      <c r="J1632" s="226"/>
    </row>
    <row r="1633" spans="1:10" hidden="1" x14ac:dyDescent="0.25">
      <c r="A1633" s="112" t="s">
        <v>5241</v>
      </c>
      <c r="B1633" s="113" t="s">
        <v>4041</v>
      </c>
      <c r="C1633" s="114" t="s">
        <v>20</v>
      </c>
      <c r="D1633" s="114">
        <v>0</v>
      </c>
      <c r="E1633" s="133" t="s">
        <v>514</v>
      </c>
      <c r="F1633" s="134" t="str">
        <f t="shared" si="84"/>
        <v/>
      </c>
      <c r="G1633" s="135" t="e">
        <f>IF(A1633&lt;&gt;"",IF(AND(#REF!="Padrão",$H$4=#REF!),BDI!$B$17,IF(AND(#REF!="Padrão",$H$4=#REF!),BDI!#REF!,IF(AND(#REF!="Diferenciado",$H$4=#REF!),BDI!$E$17,IF(AND(#REF!="Diferenciado",$H$4=#REF!),BDI!#REF!,IF(#REF!="ZERO",0))))),"")</f>
        <v>#REF!</v>
      </c>
      <c r="H1633" s="136" t="str">
        <f t="shared" si="85"/>
        <v/>
      </c>
      <c r="I1633" s="134" t="str">
        <f t="shared" si="86"/>
        <v/>
      </c>
      <c r="J1633" s="226"/>
    </row>
    <row r="1634" spans="1:10" hidden="1" x14ac:dyDescent="0.25">
      <c r="A1634" s="112" t="s">
        <v>5242</v>
      </c>
      <c r="B1634" s="113" t="s">
        <v>4042</v>
      </c>
      <c r="C1634" s="114" t="s">
        <v>20</v>
      </c>
      <c r="D1634" s="114">
        <v>0</v>
      </c>
      <c r="E1634" s="133" t="s">
        <v>514</v>
      </c>
      <c r="F1634" s="134" t="str">
        <f t="shared" si="84"/>
        <v/>
      </c>
      <c r="G1634" s="135" t="e">
        <f>IF(A1634&lt;&gt;"",IF(AND(#REF!="Padrão",$H$4=#REF!),BDI!$B$17,IF(AND(#REF!="Padrão",$H$4=#REF!),BDI!#REF!,IF(AND(#REF!="Diferenciado",$H$4=#REF!),BDI!$E$17,IF(AND(#REF!="Diferenciado",$H$4=#REF!),BDI!#REF!,IF(#REF!="ZERO",0))))),"")</f>
        <v>#REF!</v>
      </c>
      <c r="H1634" s="136" t="str">
        <f t="shared" si="85"/>
        <v/>
      </c>
      <c r="I1634" s="134" t="str">
        <f t="shared" si="86"/>
        <v/>
      </c>
      <c r="J1634" s="226"/>
    </row>
    <row r="1635" spans="1:10" hidden="1" x14ac:dyDescent="0.25">
      <c r="A1635" s="112" t="s">
        <v>5243</v>
      </c>
      <c r="B1635" s="113" t="s">
        <v>4043</v>
      </c>
      <c r="C1635" s="114" t="s">
        <v>20</v>
      </c>
      <c r="D1635" s="114">
        <v>0</v>
      </c>
      <c r="E1635" s="133" t="s">
        <v>514</v>
      </c>
      <c r="F1635" s="134" t="str">
        <f t="shared" si="84"/>
        <v/>
      </c>
      <c r="G1635" s="135" t="e">
        <f>IF(A1635&lt;&gt;"",IF(AND(#REF!="Padrão",$H$4=#REF!),BDI!$B$17,IF(AND(#REF!="Padrão",$H$4=#REF!),BDI!#REF!,IF(AND(#REF!="Diferenciado",$H$4=#REF!),BDI!$E$17,IF(AND(#REF!="Diferenciado",$H$4=#REF!),BDI!#REF!,IF(#REF!="ZERO",0))))),"")</f>
        <v>#REF!</v>
      </c>
      <c r="H1635" s="136" t="str">
        <f t="shared" si="85"/>
        <v/>
      </c>
      <c r="I1635" s="134" t="str">
        <f t="shared" si="86"/>
        <v/>
      </c>
      <c r="J1635" s="226"/>
    </row>
    <row r="1636" spans="1:10" hidden="1" x14ac:dyDescent="0.25">
      <c r="A1636" s="112" t="s">
        <v>5244</v>
      </c>
      <c r="B1636" s="113" t="s">
        <v>4044</v>
      </c>
      <c r="C1636" s="114" t="s">
        <v>20</v>
      </c>
      <c r="D1636" s="114">
        <v>0</v>
      </c>
      <c r="E1636" s="133" t="s">
        <v>514</v>
      </c>
      <c r="F1636" s="134" t="str">
        <f t="shared" si="84"/>
        <v/>
      </c>
      <c r="G1636" s="135" t="e">
        <f>IF(A1636&lt;&gt;"",IF(AND(#REF!="Padrão",$H$4=#REF!),BDI!$B$17,IF(AND(#REF!="Padrão",$H$4=#REF!),BDI!#REF!,IF(AND(#REF!="Diferenciado",$H$4=#REF!),BDI!$E$17,IF(AND(#REF!="Diferenciado",$H$4=#REF!),BDI!#REF!,IF(#REF!="ZERO",0))))),"")</f>
        <v>#REF!</v>
      </c>
      <c r="H1636" s="136" t="str">
        <f t="shared" si="85"/>
        <v/>
      </c>
      <c r="I1636" s="134" t="str">
        <f t="shared" si="86"/>
        <v/>
      </c>
      <c r="J1636" s="226"/>
    </row>
    <row r="1637" spans="1:10" hidden="1" x14ac:dyDescent="0.25">
      <c r="A1637" s="112" t="s">
        <v>5245</v>
      </c>
      <c r="B1637" s="113" t="s">
        <v>4045</v>
      </c>
      <c r="C1637" s="114" t="s">
        <v>20</v>
      </c>
      <c r="D1637" s="114">
        <v>0</v>
      </c>
      <c r="E1637" s="133" t="s">
        <v>514</v>
      </c>
      <c r="F1637" s="134" t="str">
        <f t="shared" si="84"/>
        <v/>
      </c>
      <c r="G1637" s="135" t="e">
        <f>IF(A1637&lt;&gt;"",IF(AND(#REF!="Padrão",$H$4=#REF!),BDI!$B$17,IF(AND(#REF!="Padrão",$H$4=#REF!),BDI!#REF!,IF(AND(#REF!="Diferenciado",$H$4=#REF!),BDI!$E$17,IF(AND(#REF!="Diferenciado",$H$4=#REF!),BDI!#REF!,IF(#REF!="ZERO",0))))),"")</f>
        <v>#REF!</v>
      </c>
      <c r="H1637" s="136" t="str">
        <f t="shared" si="85"/>
        <v/>
      </c>
      <c r="I1637" s="134" t="str">
        <f t="shared" si="86"/>
        <v/>
      </c>
      <c r="J1637" s="226"/>
    </row>
    <row r="1638" spans="1:10" hidden="1" x14ac:dyDescent="0.25">
      <c r="A1638" s="112" t="s">
        <v>5246</v>
      </c>
      <c r="B1638" s="113" t="s">
        <v>4046</v>
      </c>
      <c r="C1638" s="114" t="s">
        <v>20</v>
      </c>
      <c r="D1638" s="114">
        <v>0</v>
      </c>
      <c r="E1638" s="133" t="s">
        <v>514</v>
      </c>
      <c r="F1638" s="134" t="str">
        <f t="shared" si="84"/>
        <v/>
      </c>
      <c r="G1638" s="135" t="e">
        <f>IF(A1638&lt;&gt;"",IF(AND(#REF!="Padrão",$H$4=#REF!),BDI!$B$17,IF(AND(#REF!="Padrão",$H$4=#REF!),BDI!#REF!,IF(AND(#REF!="Diferenciado",$H$4=#REF!),BDI!$E$17,IF(AND(#REF!="Diferenciado",$H$4=#REF!),BDI!#REF!,IF(#REF!="ZERO",0))))),"")</f>
        <v>#REF!</v>
      </c>
      <c r="H1638" s="136" t="str">
        <f t="shared" si="85"/>
        <v/>
      </c>
      <c r="I1638" s="134" t="str">
        <f t="shared" si="86"/>
        <v/>
      </c>
      <c r="J1638" s="226"/>
    </row>
    <row r="1639" spans="1:10" hidden="1" x14ac:dyDescent="0.25">
      <c r="A1639" s="112" t="s">
        <v>5247</v>
      </c>
      <c r="B1639" s="113" t="s">
        <v>4047</v>
      </c>
      <c r="C1639" s="114" t="s">
        <v>20</v>
      </c>
      <c r="D1639" s="114">
        <v>0</v>
      </c>
      <c r="E1639" s="133" t="s">
        <v>514</v>
      </c>
      <c r="F1639" s="134" t="str">
        <f t="shared" si="84"/>
        <v/>
      </c>
      <c r="G1639" s="135" t="e">
        <f>IF(A1639&lt;&gt;"",IF(AND(#REF!="Padrão",$H$4=#REF!),BDI!$B$17,IF(AND(#REF!="Padrão",$H$4=#REF!),BDI!#REF!,IF(AND(#REF!="Diferenciado",$H$4=#REF!),BDI!$E$17,IF(AND(#REF!="Diferenciado",$H$4=#REF!),BDI!#REF!,IF(#REF!="ZERO",0))))),"")</f>
        <v>#REF!</v>
      </c>
      <c r="H1639" s="136" t="str">
        <f t="shared" si="85"/>
        <v/>
      </c>
      <c r="I1639" s="134" t="str">
        <f t="shared" si="86"/>
        <v/>
      </c>
      <c r="J1639" s="226"/>
    </row>
    <row r="1640" spans="1:10" hidden="1" x14ac:dyDescent="0.25">
      <c r="A1640" s="112" t="s">
        <v>5248</v>
      </c>
      <c r="B1640" s="113" t="s">
        <v>4048</v>
      </c>
      <c r="C1640" s="114" t="s">
        <v>20</v>
      </c>
      <c r="D1640" s="114">
        <v>0</v>
      </c>
      <c r="E1640" s="133" t="s">
        <v>514</v>
      </c>
      <c r="F1640" s="134" t="str">
        <f t="shared" si="84"/>
        <v/>
      </c>
      <c r="G1640" s="135" t="e">
        <f>IF(A1640&lt;&gt;"",IF(AND(#REF!="Padrão",$H$4=#REF!),BDI!$B$17,IF(AND(#REF!="Padrão",$H$4=#REF!),BDI!#REF!,IF(AND(#REF!="Diferenciado",$H$4=#REF!),BDI!$E$17,IF(AND(#REF!="Diferenciado",$H$4=#REF!),BDI!#REF!,IF(#REF!="ZERO",0))))),"")</f>
        <v>#REF!</v>
      </c>
      <c r="H1640" s="136" t="str">
        <f t="shared" si="85"/>
        <v/>
      </c>
      <c r="I1640" s="134" t="str">
        <f t="shared" si="86"/>
        <v/>
      </c>
      <c r="J1640" s="226"/>
    </row>
    <row r="1641" spans="1:10" hidden="1" x14ac:dyDescent="0.25">
      <c r="A1641" s="112" t="s">
        <v>5249</v>
      </c>
      <c r="B1641" s="113" t="s">
        <v>4049</v>
      </c>
      <c r="C1641" s="114" t="s">
        <v>20</v>
      </c>
      <c r="D1641" s="114">
        <v>0</v>
      </c>
      <c r="E1641" s="133" t="s">
        <v>514</v>
      </c>
      <c r="F1641" s="134" t="str">
        <f t="shared" si="84"/>
        <v/>
      </c>
      <c r="G1641" s="135" t="e">
        <f>IF(A1641&lt;&gt;"",IF(AND(#REF!="Padrão",$H$4=#REF!),BDI!$B$17,IF(AND(#REF!="Padrão",$H$4=#REF!),BDI!#REF!,IF(AND(#REF!="Diferenciado",$H$4=#REF!),BDI!$E$17,IF(AND(#REF!="Diferenciado",$H$4=#REF!),BDI!#REF!,IF(#REF!="ZERO",0))))),"")</f>
        <v>#REF!</v>
      </c>
      <c r="H1641" s="136" t="str">
        <f t="shared" si="85"/>
        <v/>
      </c>
      <c r="I1641" s="134" t="str">
        <f t="shared" si="86"/>
        <v/>
      </c>
      <c r="J1641" s="226"/>
    </row>
    <row r="1642" spans="1:10" hidden="1" x14ac:dyDescent="0.25">
      <c r="A1642" s="112" t="s">
        <v>5250</v>
      </c>
      <c r="B1642" s="113" t="s">
        <v>4050</v>
      </c>
      <c r="C1642" s="114" t="s">
        <v>20</v>
      </c>
      <c r="D1642" s="114">
        <v>0</v>
      </c>
      <c r="E1642" s="133" t="s">
        <v>514</v>
      </c>
      <c r="F1642" s="134" t="str">
        <f t="shared" si="84"/>
        <v/>
      </c>
      <c r="G1642" s="135" t="e">
        <f>IF(A1642&lt;&gt;"",IF(AND(#REF!="Padrão",$H$4=#REF!),BDI!$B$17,IF(AND(#REF!="Padrão",$H$4=#REF!),BDI!#REF!,IF(AND(#REF!="Diferenciado",$H$4=#REF!),BDI!$E$17,IF(AND(#REF!="Diferenciado",$H$4=#REF!),BDI!#REF!,IF(#REF!="ZERO",0))))),"")</f>
        <v>#REF!</v>
      </c>
      <c r="H1642" s="136" t="str">
        <f t="shared" si="85"/>
        <v/>
      </c>
      <c r="I1642" s="134" t="str">
        <f t="shared" si="86"/>
        <v/>
      </c>
      <c r="J1642" s="226"/>
    </row>
    <row r="1643" spans="1:10" hidden="1" x14ac:dyDescent="0.25">
      <c r="A1643" s="112" t="s">
        <v>5251</v>
      </c>
      <c r="B1643" s="113" t="s">
        <v>4051</v>
      </c>
      <c r="C1643" s="114" t="s">
        <v>20</v>
      </c>
      <c r="D1643" s="114">
        <v>0</v>
      </c>
      <c r="E1643" s="133" t="s">
        <v>514</v>
      </c>
      <c r="F1643" s="134" t="str">
        <f t="shared" si="84"/>
        <v/>
      </c>
      <c r="G1643" s="135" t="e">
        <f>IF(A1643&lt;&gt;"",IF(AND(#REF!="Padrão",$H$4=#REF!),BDI!$B$17,IF(AND(#REF!="Padrão",$H$4=#REF!),BDI!#REF!,IF(AND(#REF!="Diferenciado",$H$4=#REF!),BDI!$E$17,IF(AND(#REF!="Diferenciado",$H$4=#REF!),BDI!#REF!,IF(#REF!="ZERO",0))))),"")</f>
        <v>#REF!</v>
      </c>
      <c r="H1643" s="136" t="str">
        <f t="shared" si="85"/>
        <v/>
      </c>
      <c r="I1643" s="134" t="str">
        <f t="shared" si="86"/>
        <v/>
      </c>
      <c r="J1643" s="226"/>
    </row>
    <row r="1644" spans="1:10" hidden="1" x14ac:dyDescent="0.25">
      <c r="A1644" s="112" t="s">
        <v>5252</v>
      </c>
      <c r="B1644" s="113" t="s">
        <v>4052</v>
      </c>
      <c r="C1644" s="114" t="s">
        <v>20</v>
      </c>
      <c r="D1644" s="114">
        <v>0</v>
      </c>
      <c r="E1644" s="133" t="s">
        <v>514</v>
      </c>
      <c r="F1644" s="134" t="str">
        <f t="shared" si="84"/>
        <v/>
      </c>
      <c r="G1644" s="135" t="e">
        <f>IF(A1644&lt;&gt;"",IF(AND(#REF!="Padrão",$H$4=#REF!),BDI!$B$17,IF(AND(#REF!="Padrão",$H$4=#REF!),BDI!#REF!,IF(AND(#REF!="Diferenciado",$H$4=#REF!),BDI!$E$17,IF(AND(#REF!="Diferenciado",$H$4=#REF!),BDI!#REF!,IF(#REF!="ZERO",0))))),"")</f>
        <v>#REF!</v>
      </c>
      <c r="H1644" s="136" t="str">
        <f t="shared" si="85"/>
        <v/>
      </c>
      <c r="I1644" s="134" t="str">
        <f t="shared" si="86"/>
        <v/>
      </c>
      <c r="J1644" s="226"/>
    </row>
    <row r="1645" spans="1:10" hidden="1" x14ac:dyDescent="0.25">
      <c r="A1645" s="112" t="s">
        <v>5253</v>
      </c>
      <c r="B1645" s="113" t="s">
        <v>4053</v>
      </c>
      <c r="C1645" s="114" t="s">
        <v>20</v>
      </c>
      <c r="D1645" s="114">
        <v>0</v>
      </c>
      <c r="E1645" s="133" t="s">
        <v>514</v>
      </c>
      <c r="F1645" s="134" t="str">
        <f t="shared" ref="F1645:F1708" si="87">IF(ISNUMBER(E1645),D1645*E1645,"")</f>
        <v/>
      </c>
      <c r="G1645" s="135" t="e">
        <f>IF(A1645&lt;&gt;"",IF(AND(#REF!="Padrão",$H$4=#REF!),BDI!$B$17,IF(AND(#REF!="Padrão",$H$4=#REF!),BDI!#REF!,IF(AND(#REF!="Diferenciado",$H$4=#REF!),BDI!$E$17,IF(AND(#REF!="Diferenciado",$H$4=#REF!),BDI!#REF!,IF(#REF!="ZERO",0))))),"")</f>
        <v>#REF!</v>
      </c>
      <c r="H1645" s="136" t="str">
        <f t="shared" ref="H1645:H1708" si="88">IF(ISNUMBER(E1645),ROUND(E1645*(1+G1645),2),"")</f>
        <v/>
      </c>
      <c r="I1645" s="134" t="str">
        <f t="shared" ref="I1645:I1708" si="89">IF(ISNUMBER(E1645),ROUND(H1645*D1645,2),"")</f>
        <v/>
      </c>
      <c r="J1645" s="226"/>
    </row>
    <row r="1646" spans="1:10" hidden="1" x14ac:dyDescent="0.25">
      <c r="A1646" s="112" t="s">
        <v>5254</v>
      </c>
      <c r="B1646" s="113" t="s">
        <v>4054</v>
      </c>
      <c r="C1646" s="114" t="s">
        <v>20</v>
      </c>
      <c r="D1646" s="114">
        <v>0</v>
      </c>
      <c r="E1646" s="133" t="s">
        <v>514</v>
      </c>
      <c r="F1646" s="134" t="str">
        <f t="shared" si="87"/>
        <v/>
      </c>
      <c r="G1646" s="135" t="e">
        <f>IF(A1646&lt;&gt;"",IF(AND(#REF!="Padrão",$H$4=#REF!),BDI!$B$17,IF(AND(#REF!="Padrão",$H$4=#REF!),BDI!#REF!,IF(AND(#REF!="Diferenciado",$H$4=#REF!),BDI!$E$17,IF(AND(#REF!="Diferenciado",$H$4=#REF!),BDI!#REF!,IF(#REF!="ZERO",0))))),"")</f>
        <v>#REF!</v>
      </c>
      <c r="H1646" s="136" t="str">
        <f t="shared" si="88"/>
        <v/>
      </c>
      <c r="I1646" s="134" t="str">
        <f t="shared" si="89"/>
        <v/>
      </c>
      <c r="J1646" s="226"/>
    </row>
    <row r="1647" spans="1:10" hidden="1" x14ac:dyDescent="0.25">
      <c r="A1647" s="112" t="s">
        <v>5255</v>
      </c>
      <c r="B1647" s="113" t="s">
        <v>4055</v>
      </c>
      <c r="C1647" s="114" t="s">
        <v>20</v>
      </c>
      <c r="D1647" s="114">
        <v>0</v>
      </c>
      <c r="E1647" s="133" t="s">
        <v>514</v>
      </c>
      <c r="F1647" s="134" t="str">
        <f t="shared" si="87"/>
        <v/>
      </c>
      <c r="G1647" s="135" t="e">
        <f>IF(A1647&lt;&gt;"",IF(AND(#REF!="Padrão",$H$4=#REF!),BDI!$B$17,IF(AND(#REF!="Padrão",$H$4=#REF!),BDI!#REF!,IF(AND(#REF!="Diferenciado",$H$4=#REF!),BDI!$E$17,IF(AND(#REF!="Diferenciado",$H$4=#REF!),BDI!#REF!,IF(#REF!="ZERO",0))))),"")</f>
        <v>#REF!</v>
      </c>
      <c r="H1647" s="136" t="str">
        <f t="shared" si="88"/>
        <v/>
      </c>
      <c r="I1647" s="134" t="str">
        <f t="shared" si="89"/>
        <v/>
      </c>
      <c r="J1647" s="226"/>
    </row>
    <row r="1648" spans="1:10" hidden="1" x14ac:dyDescent="0.25">
      <c r="A1648" s="112" t="s">
        <v>5256</v>
      </c>
      <c r="B1648" s="113" t="s">
        <v>4056</v>
      </c>
      <c r="C1648" s="114" t="s">
        <v>20</v>
      </c>
      <c r="D1648" s="114">
        <v>0</v>
      </c>
      <c r="E1648" s="133" t="s">
        <v>514</v>
      </c>
      <c r="F1648" s="134" t="str">
        <f t="shared" si="87"/>
        <v/>
      </c>
      <c r="G1648" s="135" t="e">
        <f>IF(A1648&lt;&gt;"",IF(AND(#REF!="Padrão",$H$4=#REF!),BDI!$B$17,IF(AND(#REF!="Padrão",$H$4=#REF!),BDI!#REF!,IF(AND(#REF!="Diferenciado",$H$4=#REF!),BDI!$E$17,IF(AND(#REF!="Diferenciado",$H$4=#REF!),BDI!#REF!,IF(#REF!="ZERO",0))))),"")</f>
        <v>#REF!</v>
      </c>
      <c r="H1648" s="136" t="str">
        <f t="shared" si="88"/>
        <v/>
      </c>
      <c r="I1648" s="134" t="str">
        <f t="shared" si="89"/>
        <v/>
      </c>
      <c r="J1648" s="226"/>
    </row>
    <row r="1649" spans="1:10" hidden="1" x14ac:dyDescent="0.25">
      <c r="A1649" s="112" t="s">
        <v>5257</v>
      </c>
      <c r="B1649" s="113" t="s">
        <v>4057</v>
      </c>
      <c r="C1649" s="114" t="s">
        <v>20</v>
      </c>
      <c r="D1649" s="114">
        <v>0</v>
      </c>
      <c r="E1649" s="133" t="s">
        <v>514</v>
      </c>
      <c r="F1649" s="134" t="str">
        <f t="shared" si="87"/>
        <v/>
      </c>
      <c r="G1649" s="135" t="e">
        <f>IF(A1649&lt;&gt;"",IF(AND(#REF!="Padrão",$H$4=#REF!),BDI!$B$17,IF(AND(#REF!="Padrão",$H$4=#REF!),BDI!#REF!,IF(AND(#REF!="Diferenciado",$H$4=#REF!),BDI!$E$17,IF(AND(#REF!="Diferenciado",$H$4=#REF!),BDI!#REF!,IF(#REF!="ZERO",0))))),"")</f>
        <v>#REF!</v>
      </c>
      <c r="H1649" s="136" t="str">
        <f t="shared" si="88"/>
        <v/>
      </c>
      <c r="I1649" s="134" t="str">
        <f t="shared" si="89"/>
        <v/>
      </c>
      <c r="J1649" s="226"/>
    </row>
    <row r="1650" spans="1:10" hidden="1" x14ac:dyDescent="0.25">
      <c r="A1650" s="112" t="s">
        <v>5258</v>
      </c>
      <c r="B1650" s="113" t="s">
        <v>4058</v>
      </c>
      <c r="C1650" s="114" t="s">
        <v>20</v>
      </c>
      <c r="D1650" s="114">
        <v>0</v>
      </c>
      <c r="E1650" s="133" t="s">
        <v>514</v>
      </c>
      <c r="F1650" s="134" t="str">
        <f t="shared" si="87"/>
        <v/>
      </c>
      <c r="G1650" s="135" t="e">
        <f>IF(A1650&lt;&gt;"",IF(AND(#REF!="Padrão",$H$4=#REF!),BDI!$B$17,IF(AND(#REF!="Padrão",$H$4=#REF!),BDI!#REF!,IF(AND(#REF!="Diferenciado",$H$4=#REF!),BDI!$E$17,IF(AND(#REF!="Diferenciado",$H$4=#REF!),BDI!#REF!,IF(#REF!="ZERO",0))))),"")</f>
        <v>#REF!</v>
      </c>
      <c r="H1650" s="136" t="str">
        <f t="shared" si="88"/>
        <v/>
      </c>
      <c r="I1650" s="134" t="str">
        <f t="shared" si="89"/>
        <v/>
      </c>
      <c r="J1650" s="226"/>
    </row>
    <row r="1651" spans="1:10" hidden="1" x14ac:dyDescent="0.25">
      <c r="A1651" s="112" t="s">
        <v>5259</v>
      </c>
      <c r="B1651" s="113" t="s">
        <v>4059</v>
      </c>
      <c r="C1651" s="114" t="s">
        <v>20</v>
      </c>
      <c r="D1651" s="114">
        <v>0</v>
      </c>
      <c r="E1651" s="133" t="s">
        <v>514</v>
      </c>
      <c r="F1651" s="134" t="str">
        <f t="shared" si="87"/>
        <v/>
      </c>
      <c r="G1651" s="135" t="e">
        <f>IF(A1651&lt;&gt;"",IF(AND(#REF!="Padrão",$H$4=#REF!),BDI!$B$17,IF(AND(#REF!="Padrão",$H$4=#REF!),BDI!#REF!,IF(AND(#REF!="Diferenciado",$H$4=#REF!),BDI!$E$17,IF(AND(#REF!="Diferenciado",$H$4=#REF!),BDI!#REF!,IF(#REF!="ZERO",0))))),"")</f>
        <v>#REF!</v>
      </c>
      <c r="H1651" s="136" t="str">
        <f t="shared" si="88"/>
        <v/>
      </c>
      <c r="I1651" s="134" t="str">
        <f t="shared" si="89"/>
        <v/>
      </c>
      <c r="J1651" s="226"/>
    </row>
    <row r="1652" spans="1:10" hidden="1" x14ac:dyDescent="0.25">
      <c r="A1652" s="112" t="s">
        <v>5260</v>
      </c>
      <c r="B1652" s="113" t="s">
        <v>4060</v>
      </c>
      <c r="C1652" s="114" t="s">
        <v>20</v>
      </c>
      <c r="D1652" s="114">
        <v>0</v>
      </c>
      <c r="E1652" s="133" t="s">
        <v>514</v>
      </c>
      <c r="F1652" s="134" t="str">
        <f t="shared" si="87"/>
        <v/>
      </c>
      <c r="G1652" s="135" t="e">
        <f>IF(A1652&lt;&gt;"",IF(AND(#REF!="Padrão",$H$4=#REF!),BDI!$B$17,IF(AND(#REF!="Padrão",$H$4=#REF!),BDI!#REF!,IF(AND(#REF!="Diferenciado",$H$4=#REF!),BDI!$E$17,IF(AND(#REF!="Diferenciado",$H$4=#REF!),BDI!#REF!,IF(#REF!="ZERO",0))))),"")</f>
        <v>#REF!</v>
      </c>
      <c r="H1652" s="136" t="str">
        <f t="shared" si="88"/>
        <v/>
      </c>
      <c r="I1652" s="134" t="str">
        <f t="shared" si="89"/>
        <v/>
      </c>
      <c r="J1652" s="226"/>
    </row>
    <row r="1653" spans="1:10" hidden="1" x14ac:dyDescent="0.25">
      <c r="A1653" s="112" t="s">
        <v>5261</v>
      </c>
      <c r="B1653" s="113" t="s">
        <v>4061</v>
      </c>
      <c r="C1653" s="114" t="s">
        <v>20</v>
      </c>
      <c r="D1653" s="114">
        <v>0</v>
      </c>
      <c r="E1653" s="133" t="s">
        <v>514</v>
      </c>
      <c r="F1653" s="134" t="str">
        <f t="shared" si="87"/>
        <v/>
      </c>
      <c r="G1653" s="135" t="e">
        <f>IF(A1653&lt;&gt;"",IF(AND(#REF!="Padrão",$H$4=#REF!),BDI!$B$17,IF(AND(#REF!="Padrão",$H$4=#REF!),BDI!#REF!,IF(AND(#REF!="Diferenciado",$H$4=#REF!),BDI!$E$17,IF(AND(#REF!="Diferenciado",$H$4=#REF!),BDI!#REF!,IF(#REF!="ZERO",0))))),"")</f>
        <v>#REF!</v>
      </c>
      <c r="H1653" s="136" t="str">
        <f t="shared" si="88"/>
        <v/>
      </c>
      <c r="I1653" s="134" t="str">
        <f t="shared" si="89"/>
        <v/>
      </c>
      <c r="J1653" s="226"/>
    </row>
    <row r="1654" spans="1:10" hidden="1" x14ac:dyDescent="0.25">
      <c r="A1654" s="112" t="s">
        <v>5262</v>
      </c>
      <c r="B1654" s="113" t="s">
        <v>4062</v>
      </c>
      <c r="C1654" s="114" t="s">
        <v>20</v>
      </c>
      <c r="D1654" s="114">
        <v>0</v>
      </c>
      <c r="E1654" s="133" t="s">
        <v>514</v>
      </c>
      <c r="F1654" s="134" t="str">
        <f t="shared" si="87"/>
        <v/>
      </c>
      <c r="G1654" s="135" t="e">
        <f>IF(A1654&lt;&gt;"",IF(AND(#REF!="Padrão",$H$4=#REF!),BDI!$B$17,IF(AND(#REF!="Padrão",$H$4=#REF!),BDI!#REF!,IF(AND(#REF!="Diferenciado",$H$4=#REF!),BDI!$E$17,IF(AND(#REF!="Diferenciado",$H$4=#REF!),BDI!#REF!,IF(#REF!="ZERO",0))))),"")</f>
        <v>#REF!</v>
      </c>
      <c r="H1654" s="136" t="str">
        <f t="shared" si="88"/>
        <v/>
      </c>
      <c r="I1654" s="134" t="str">
        <f t="shared" si="89"/>
        <v/>
      </c>
      <c r="J1654" s="226"/>
    </row>
    <row r="1655" spans="1:10" hidden="1" x14ac:dyDescent="0.25">
      <c r="A1655" s="112" t="s">
        <v>5263</v>
      </c>
      <c r="B1655" s="113" t="s">
        <v>4063</v>
      </c>
      <c r="C1655" s="114" t="s">
        <v>20</v>
      </c>
      <c r="D1655" s="114">
        <v>0</v>
      </c>
      <c r="E1655" s="133" t="s">
        <v>514</v>
      </c>
      <c r="F1655" s="134" t="str">
        <f t="shared" si="87"/>
        <v/>
      </c>
      <c r="G1655" s="135" t="e">
        <f>IF(A1655&lt;&gt;"",IF(AND(#REF!="Padrão",$H$4=#REF!),BDI!$B$17,IF(AND(#REF!="Padrão",$H$4=#REF!),BDI!#REF!,IF(AND(#REF!="Diferenciado",$H$4=#REF!),BDI!$E$17,IF(AND(#REF!="Diferenciado",$H$4=#REF!),BDI!#REF!,IF(#REF!="ZERO",0))))),"")</f>
        <v>#REF!</v>
      </c>
      <c r="H1655" s="136" t="str">
        <f t="shared" si="88"/>
        <v/>
      </c>
      <c r="I1655" s="134" t="str">
        <f t="shared" si="89"/>
        <v/>
      </c>
      <c r="J1655" s="226"/>
    </row>
    <row r="1656" spans="1:10" hidden="1" x14ac:dyDescent="0.25">
      <c r="A1656" s="112" t="s">
        <v>5264</v>
      </c>
      <c r="B1656" s="113" t="s">
        <v>4064</v>
      </c>
      <c r="C1656" s="114" t="s">
        <v>20</v>
      </c>
      <c r="D1656" s="114">
        <v>0</v>
      </c>
      <c r="E1656" s="133" t="s">
        <v>514</v>
      </c>
      <c r="F1656" s="134" t="str">
        <f t="shared" si="87"/>
        <v/>
      </c>
      <c r="G1656" s="135" t="e">
        <f>IF(A1656&lt;&gt;"",IF(AND(#REF!="Padrão",$H$4=#REF!),BDI!$B$17,IF(AND(#REF!="Padrão",$H$4=#REF!),BDI!#REF!,IF(AND(#REF!="Diferenciado",$H$4=#REF!),BDI!$E$17,IF(AND(#REF!="Diferenciado",$H$4=#REF!),BDI!#REF!,IF(#REF!="ZERO",0))))),"")</f>
        <v>#REF!</v>
      </c>
      <c r="H1656" s="136" t="str">
        <f t="shared" si="88"/>
        <v/>
      </c>
      <c r="I1656" s="134" t="str">
        <f t="shared" si="89"/>
        <v/>
      </c>
      <c r="J1656" s="226"/>
    </row>
    <row r="1657" spans="1:10" hidden="1" x14ac:dyDescent="0.25">
      <c r="A1657" s="112" t="s">
        <v>5265</v>
      </c>
      <c r="B1657" s="113" t="s">
        <v>4065</v>
      </c>
      <c r="C1657" s="114" t="s">
        <v>20</v>
      </c>
      <c r="D1657" s="114">
        <v>0</v>
      </c>
      <c r="E1657" s="133" t="s">
        <v>514</v>
      </c>
      <c r="F1657" s="134" t="str">
        <f t="shared" si="87"/>
        <v/>
      </c>
      <c r="G1657" s="135" t="e">
        <f>IF(A1657&lt;&gt;"",IF(AND(#REF!="Padrão",$H$4=#REF!),BDI!$B$17,IF(AND(#REF!="Padrão",$H$4=#REF!),BDI!#REF!,IF(AND(#REF!="Diferenciado",$H$4=#REF!),BDI!$E$17,IF(AND(#REF!="Diferenciado",$H$4=#REF!),BDI!#REF!,IF(#REF!="ZERO",0))))),"")</f>
        <v>#REF!</v>
      </c>
      <c r="H1657" s="136" t="str">
        <f t="shared" si="88"/>
        <v/>
      </c>
      <c r="I1657" s="134" t="str">
        <f t="shared" si="89"/>
        <v/>
      </c>
      <c r="J1657" s="226"/>
    </row>
    <row r="1658" spans="1:10" hidden="1" x14ac:dyDescent="0.25">
      <c r="A1658" s="112" t="s">
        <v>5266</v>
      </c>
      <c r="B1658" s="113" t="s">
        <v>4066</v>
      </c>
      <c r="C1658" s="114" t="s">
        <v>20</v>
      </c>
      <c r="D1658" s="114">
        <v>0</v>
      </c>
      <c r="E1658" s="133" t="s">
        <v>514</v>
      </c>
      <c r="F1658" s="134" t="str">
        <f t="shared" si="87"/>
        <v/>
      </c>
      <c r="G1658" s="135" t="e">
        <f>IF(A1658&lt;&gt;"",IF(AND(#REF!="Padrão",$H$4=#REF!),BDI!$B$17,IF(AND(#REF!="Padrão",$H$4=#REF!),BDI!#REF!,IF(AND(#REF!="Diferenciado",$H$4=#REF!),BDI!$E$17,IF(AND(#REF!="Diferenciado",$H$4=#REF!),BDI!#REF!,IF(#REF!="ZERO",0))))),"")</f>
        <v>#REF!</v>
      </c>
      <c r="H1658" s="136" t="str">
        <f t="shared" si="88"/>
        <v/>
      </c>
      <c r="I1658" s="134" t="str">
        <f t="shared" si="89"/>
        <v/>
      </c>
      <c r="J1658" s="226"/>
    </row>
    <row r="1659" spans="1:10" hidden="1" x14ac:dyDescent="0.25">
      <c r="A1659" s="112" t="s">
        <v>5267</v>
      </c>
      <c r="B1659" s="113" t="s">
        <v>4067</v>
      </c>
      <c r="C1659" s="114" t="s">
        <v>20</v>
      </c>
      <c r="D1659" s="114">
        <v>0</v>
      </c>
      <c r="E1659" s="133" t="s">
        <v>514</v>
      </c>
      <c r="F1659" s="134" t="str">
        <f t="shared" si="87"/>
        <v/>
      </c>
      <c r="G1659" s="135" t="e">
        <f>IF(A1659&lt;&gt;"",IF(AND(#REF!="Padrão",$H$4=#REF!),BDI!$B$17,IF(AND(#REF!="Padrão",$H$4=#REF!),BDI!#REF!,IF(AND(#REF!="Diferenciado",$H$4=#REF!),BDI!$E$17,IF(AND(#REF!="Diferenciado",$H$4=#REF!),BDI!#REF!,IF(#REF!="ZERO",0))))),"")</f>
        <v>#REF!</v>
      </c>
      <c r="H1659" s="136" t="str">
        <f t="shared" si="88"/>
        <v/>
      </c>
      <c r="I1659" s="134" t="str">
        <f t="shared" si="89"/>
        <v/>
      </c>
      <c r="J1659" s="226"/>
    </row>
    <row r="1660" spans="1:10" hidden="1" x14ac:dyDescent="0.25">
      <c r="A1660" s="112" t="s">
        <v>5268</v>
      </c>
      <c r="B1660" s="113" t="s">
        <v>4068</v>
      </c>
      <c r="C1660" s="114" t="s">
        <v>20</v>
      </c>
      <c r="D1660" s="114">
        <v>0</v>
      </c>
      <c r="E1660" s="133" t="s">
        <v>514</v>
      </c>
      <c r="F1660" s="134" t="str">
        <f t="shared" si="87"/>
        <v/>
      </c>
      <c r="G1660" s="135" t="e">
        <f>IF(A1660&lt;&gt;"",IF(AND(#REF!="Padrão",$H$4=#REF!),BDI!$B$17,IF(AND(#REF!="Padrão",$H$4=#REF!),BDI!#REF!,IF(AND(#REF!="Diferenciado",$H$4=#REF!),BDI!$E$17,IF(AND(#REF!="Diferenciado",$H$4=#REF!),BDI!#REF!,IF(#REF!="ZERO",0))))),"")</f>
        <v>#REF!</v>
      </c>
      <c r="H1660" s="136" t="str">
        <f t="shared" si="88"/>
        <v/>
      </c>
      <c r="I1660" s="134" t="str">
        <f t="shared" si="89"/>
        <v/>
      </c>
      <c r="J1660" s="226"/>
    </row>
    <row r="1661" spans="1:10" hidden="1" x14ac:dyDescent="0.25">
      <c r="A1661" s="112" t="s">
        <v>5269</v>
      </c>
      <c r="B1661" s="113" t="s">
        <v>4069</v>
      </c>
      <c r="C1661" s="114" t="s">
        <v>20</v>
      </c>
      <c r="D1661" s="114">
        <v>0</v>
      </c>
      <c r="E1661" s="133" t="s">
        <v>514</v>
      </c>
      <c r="F1661" s="134" t="str">
        <f t="shared" si="87"/>
        <v/>
      </c>
      <c r="G1661" s="135" t="e">
        <f>IF(A1661&lt;&gt;"",IF(AND(#REF!="Padrão",$H$4=#REF!),BDI!$B$17,IF(AND(#REF!="Padrão",$H$4=#REF!),BDI!#REF!,IF(AND(#REF!="Diferenciado",$H$4=#REF!),BDI!$E$17,IF(AND(#REF!="Diferenciado",$H$4=#REF!),BDI!#REF!,IF(#REF!="ZERO",0))))),"")</f>
        <v>#REF!</v>
      </c>
      <c r="H1661" s="136" t="str">
        <f t="shared" si="88"/>
        <v/>
      </c>
      <c r="I1661" s="134" t="str">
        <f t="shared" si="89"/>
        <v/>
      </c>
      <c r="J1661" s="226"/>
    </row>
    <row r="1662" spans="1:10" hidden="1" x14ac:dyDescent="0.25">
      <c r="A1662" s="112" t="s">
        <v>5270</v>
      </c>
      <c r="B1662" s="113" t="s">
        <v>4070</v>
      </c>
      <c r="C1662" s="114" t="s">
        <v>20</v>
      </c>
      <c r="D1662" s="114">
        <v>0</v>
      </c>
      <c r="E1662" s="133" t="s">
        <v>514</v>
      </c>
      <c r="F1662" s="134" t="str">
        <f t="shared" si="87"/>
        <v/>
      </c>
      <c r="G1662" s="135" t="e">
        <f>IF(A1662&lt;&gt;"",IF(AND(#REF!="Padrão",$H$4=#REF!),BDI!$B$17,IF(AND(#REF!="Padrão",$H$4=#REF!),BDI!#REF!,IF(AND(#REF!="Diferenciado",$H$4=#REF!),BDI!$E$17,IF(AND(#REF!="Diferenciado",$H$4=#REF!),BDI!#REF!,IF(#REF!="ZERO",0))))),"")</f>
        <v>#REF!</v>
      </c>
      <c r="H1662" s="136" t="str">
        <f t="shared" si="88"/>
        <v/>
      </c>
      <c r="I1662" s="134" t="str">
        <f t="shared" si="89"/>
        <v/>
      </c>
      <c r="J1662" s="226"/>
    </row>
    <row r="1663" spans="1:10" hidden="1" x14ac:dyDescent="0.25">
      <c r="A1663" s="112" t="s">
        <v>5271</v>
      </c>
      <c r="B1663" s="113" t="s">
        <v>4071</v>
      </c>
      <c r="C1663" s="114" t="s">
        <v>20</v>
      </c>
      <c r="D1663" s="114">
        <v>0</v>
      </c>
      <c r="E1663" s="133" t="s">
        <v>514</v>
      </c>
      <c r="F1663" s="134" t="str">
        <f t="shared" si="87"/>
        <v/>
      </c>
      <c r="G1663" s="135" t="e">
        <f>IF(A1663&lt;&gt;"",IF(AND(#REF!="Padrão",$H$4=#REF!),BDI!$B$17,IF(AND(#REF!="Padrão",$H$4=#REF!),BDI!#REF!,IF(AND(#REF!="Diferenciado",$H$4=#REF!),BDI!$E$17,IF(AND(#REF!="Diferenciado",$H$4=#REF!),BDI!#REF!,IF(#REF!="ZERO",0))))),"")</f>
        <v>#REF!</v>
      </c>
      <c r="H1663" s="136" t="str">
        <f t="shared" si="88"/>
        <v/>
      </c>
      <c r="I1663" s="134" t="str">
        <f t="shared" si="89"/>
        <v/>
      </c>
      <c r="J1663" s="226"/>
    </row>
    <row r="1664" spans="1:10" hidden="1" x14ac:dyDescent="0.25">
      <c r="A1664" s="112" t="s">
        <v>5272</v>
      </c>
      <c r="B1664" s="113" t="s">
        <v>4072</v>
      </c>
      <c r="C1664" s="114" t="s">
        <v>20</v>
      </c>
      <c r="D1664" s="114">
        <v>0</v>
      </c>
      <c r="E1664" s="133" t="s">
        <v>514</v>
      </c>
      <c r="F1664" s="134" t="str">
        <f t="shared" si="87"/>
        <v/>
      </c>
      <c r="G1664" s="135" t="e">
        <f>IF(A1664&lt;&gt;"",IF(AND(#REF!="Padrão",$H$4=#REF!),BDI!$B$17,IF(AND(#REF!="Padrão",$H$4=#REF!),BDI!#REF!,IF(AND(#REF!="Diferenciado",$H$4=#REF!),BDI!$E$17,IF(AND(#REF!="Diferenciado",$H$4=#REF!),BDI!#REF!,IF(#REF!="ZERO",0))))),"")</f>
        <v>#REF!</v>
      </c>
      <c r="H1664" s="136" t="str">
        <f t="shared" si="88"/>
        <v/>
      </c>
      <c r="I1664" s="134" t="str">
        <f t="shared" si="89"/>
        <v/>
      </c>
      <c r="J1664" s="226"/>
    </row>
    <row r="1665" spans="1:10" hidden="1" x14ac:dyDescent="0.25">
      <c r="A1665" s="112" t="s">
        <v>5273</v>
      </c>
      <c r="B1665" s="113" t="s">
        <v>4073</v>
      </c>
      <c r="C1665" s="114" t="s">
        <v>20</v>
      </c>
      <c r="D1665" s="114">
        <v>0</v>
      </c>
      <c r="E1665" s="133" t="s">
        <v>514</v>
      </c>
      <c r="F1665" s="134" t="str">
        <f t="shared" si="87"/>
        <v/>
      </c>
      <c r="G1665" s="135" t="e">
        <f>IF(A1665&lt;&gt;"",IF(AND(#REF!="Padrão",$H$4=#REF!),BDI!$B$17,IF(AND(#REF!="Padrão",$H$4=#REF!),BDI!#REF!,IF(AND(#REF!="Diferenciado",$H$4=#REF!),BDI!$E$17,IF(AND(#REF!="Diferenciado",$H$4=#REF!),BDI!#REF!,IF(#REF!="ZERO",0))))),"")</f>
        <v>#REF!</v>
      </c>
      <c r="H1665" s="136" t="str">
        <f t="shared" si="88"/>
        <v/>
      </c>
      <c r="I1665" s="134" t="str">
        <f t="shared" si="89"/>
        <v/>
      </c>
      <c r="J1665" s="226"/>
    </row>
    <row r="1666" spans="1:10" hidden="1" x14ac:dyDescent="0.25">
      <c r="A1666" s="112" t="s">
        <v>5274</v>
      </c>
      <c r="B1666" s="113" t="s">
        <v>4074</v>
      </c>
      <c r="C1666" s="114" t="s">
        <v>20</v>
      </c>
      <c r="D1666" s="114">
        <v>0</v>
      </c>
      <c r="E1666" s="133" t="s">
        <v>514</v>
      </c>
      <c r="F1666" s="134" t="str">
        <f t="shared" si="87"/>
        <v/>
      </c>
      <c r="G1666" s="135" t="e">
        <f>IF(A1666&lt;&gt;"",IF(AND(#REF!="Padrão",$H$4=#REF!),BDI!$B$17,IF(AND(#REF!="Padrão",$H$4=#REF!),BDI!#REF!,IF(AND(#REF!="Diferenciado",$H$4=#REF!),BDI!$E$17,IF(AND(#REF!="Diferenciado",$H$4=#REF!),BDI!#REF!,IF(#REF!="ZERO",0))))),"")</f>
        <v>#REF!</v>
      </c>
      <c r="H1666" s="136" t="str">
        <f t="shared" si="88"/>
        <v/>
      </c>
      <c r="I1666" s="134" t="str">
        <f t="shared" si="89"/>
        <v/>
      </c>
      <c r="J1666" s="226"/>
    </row>
    <row r="1667" spans="1:10" hidden="1" x14ac:dyDescent="0.25">
      <c r="A1667" s="112" t="s">
        <v>5275</v>
      </c>
      <c r="B1667" s="113" t="s">
        <v>4075</v>
      </c>
      <c r="C1667" s="114" t="s">
        <v>20</v>
      </c>
      <c r="D1667" s="114">
        <v>0</v>
      </c>
      <c r="E1667" s="133" t="s">
        <v>514</v>
      </c>
      <c r="F1667" s="134" t="str">
        <f t="shared" si="87"/>
        <v/>
      </c>
      <c r="G1667" s="135" t="e">
        <f>IF(A1667&lt;&gt;"",IF(AND(#REF!="Padrão",$H$4=#REF!),BDI!$B$17,IF(AND(#REF!="Padrão",$H$4=#REF!),BDI!#REF!,IF(AND(#REF!="Diferenciado",$H$4=#REF!),BDI!$E$17,IF(AND(#REF!="Diferenciado",$H$4=#REF!),BDI!#REF!,IF(#REF!="ZERO",0))))),"")</f>
        <v>#REF!</v>
      </c>
      <c r="H1667" s="136" t="str">
        <f t="shared" si="88"/>
        <v/>
      </c>
      <c r="I1667" s="134" t="str">
        <f t="shared" si="89"/>
        <v/>
      </c>
      <c r="J1667" s="226"/>
    </row>
    <row r="1668" spans="1:10" hidden="1" x14ac:dyDescent="0.25">
      <c r="A1668" s="112" t="s">
        <v>5276</v>
      </c>
      <c r="B1668" s="113" t="s">
        <v>4076</v>
      </c>
      <c r="C1668" s="114" t="s">
        <v>20</v>
      </c>
      <c r="D1668" s="114">
        <v>0</v>
      </c>
      <c r="E1668" s="133" t="s">
        <v>514</v>
      </c>
      <c r="F1668" s="134" t="str">
        <f t="shared" si="87"/>
        <v/>
      </c>
      <c r="G1668" s="135" t="e">
        <f>IF(A1668&lt;&gt;"",IF(AND(#REF!="Padrão",$H$4=#REF!),BDI!$B$17,IF(AND(#REF!="Padrão",$H$4=#REF!),BDI!#REF!,IF(AND(#REF!="Diferenciado",$H$4=#REF!),BDI!$E$17,IF(AND(#REF!="Diferenciado",$H$4=#REF!),BDI!#REF!,IF(#REF!="ZERO",0))))),"")</f>
        <v>#REF!</v>
      </c>
      <c r="H1668" s="136" t="str">
        <f t="shared" si="88"/>
        <v/>
      </c>
      <c r="I1668" s="134" t="str">
        <f t="shared" si="89"/>
        <v/>
      </c>
      <c r="J1668" s="226"/>
    </row>
    <row r="1669" spans="1:10" hidden="1" x14ac:dyDescent="0.25">
      <c r="A1669" s="112" t="s">
        <v>5277</v>
      </c>
      <c r="B1669" s="113" t="s">
        <v>4077</v>
      </c>
      <c r="C1669" s="114" t="s">
        <v>20</v>
      </c>
      <c r="D1669" s="114">
        <v>0</v>
      </c>
      <c r="E1669" s="133" t="s">
        <v>514</v>
      </c>
      <c r="F1669" s="134" t="str">
        <f t="shared" si="87"/>
        <v/>
      </c>
      <c r="G1669" s="135" t="e">
        <f>IF(A1669&lt;&gt;"",IF(AND(#REF!="Padrão",$H$4=#REF!),BDI!$B$17,IF(AND(#REF!="Padrão",$H$4=#REF!),BDI!#REF!,IF(AND(#REF!="Diferenciado",$H$4=#REF!),BDI!$E$17,IF(AND(#REF!="Diferenciado",$H$4=#REF!),BDI!#REF!,IF(#REF!="ZERO",0))))),"")</f>
        <v>#REF!</v>
      </c>
      <c r="H1669" s="136" t="str">
        <f t="shared" si="88"/>
        <v/>
      </c>
      <c r="I1669" s="134" t="str">
        <f t="shared" si="89"/>
        <v/>
      </c>
      <c r="J1669" s="226"/>
    </row>
    <row r="1670" spans="1:10" hidden="1" x14ac:dyDescent="0.25">
      <c r="A1670" s="112" t="s">
        <v>5278</v>
      </c>
      <c r="B1670" s="113" t="s">
        <v>4078</v>
      </c>
      <c r="C1670" s="114" t="s">
        <v>20</v>
      </c>
      <c r="D1670" s="114">
        <v>0</v>
      </c>
      <c r="E1670" s="133" t="s">
        <v>514</v>
      </c>
      <c r="F1670" s="134" t="str">
        <f t="shared" si="87"/>
        <v/>
      </c>
      <c r="G1670" s="135" t="e">
        <f>IF(A1670&lt;&gt;"",IF(AND(#REF!="Padrão",$H$4=#REF!),BDI!$B$17,IF(AND(#REF!="Padrão",$H$4=#REF!),BDI!#REF!,IF(AND(#REF!="Diferenciado",$H$4=#REF!),BDI!$E$17,IF(AND(#REF!="Diferenciado",$H$4=#REF!),BDI!#REF!,IF(#REF!="ZERO",0))))),"")</f>
        <v>#REF!</v>
      </c>
      <c r="H1670" s="136" t="str">
        <f t="shared" si="88"/>
        <v/>
      </c>
      <c r="I1670" s="134" t="str">
        <f t="shared" si="89"/>
        <v/>
      </c>
      <c r="J1670" s="226"/>
    </row>
    <row r="1671" spans="1:10" hidden="1" x14ac:dyDescent="0.25">
      <c r="A1671" s="112" t="s">
        <v>5279</v>
      </c>
      <c r="B1671" s="113" t="s">
        <v>4079</v>
      </c>
      <c r="C1671" s="114" t="s">
        <v>20</v>
      </c>
      <c r="D1671" s="114">
        <v>0</v>
      </c>
      <c r="E1671" s="133" t="s">
        <v>514</v>
      </c>
      <c r="F1671" s="134" t="str">
        <f t="shared" si="87"/>
        <v/>
      </c>
      <c r="G1671" s="135" t="e">
        <f>IF(A1671&lt;&gt;"",IF(AND(#REF!="Padrão",$H$4=#REF!),BDI!$B$17,IF(AND(#REF!="Padrão",$H$4=#REF!),BDI!#REF!,IF(AND(#REF!="Diferenciado",$H$4=#REF!),BDI!$E$17,IF(AND(#REF!="Diferenciado",$H$4=#REF!),BDI!#REF!,IF(#REF!="ZERO",0))))),"")</f>
        <v>#REF!</v>
      </c>
      <c r="H1671" s="136" t="str">
        <f t="shared" si="88"/>
        <v/>
      </c>
      <c r="I1671" s="134" t="str">
        <f t="shared" si="89"/>
        <v/>
      </c>
      <c r="J1671" s="226"/>
    </row>
    <row r="1672" spans="1:10" hidden="1" x14ac:dyDescent="0.25">
      <c r="A1672" s="112" t="s">
        <v>5280</v>
      </c>
      <c r="B1672" s="113" t="s">
        <v>4080</v>
      </c>
      <c r="C1672" s="114" t="s">
        <v>20</v>
      </c>
      <c r="D1672" s="114">
        <v>0</v>
      </c>
      <c r="E1672" s="133" t="s">
        <v>514</v>
      </c>
      <c r="F1672" s="134" t="str">
        <f t="shared" si="87"/>
        <v/>
      </c>
      <c r="G1672" s="135" t="e">
        <f>IF(A1672&lt;&gt;"",IF(AND(#REF!="Padrão",$H$4=#REF!),BDI!$B$17,IF(AND(#REF!="Padrão",$H$4=#REF!),BDI!#REF!,IF(AND(#REF!="Diferenciado",$H$4=#REF!),BDI!$E$17,IF(AND(#REF!="Diferenciado",$H$4=#REF!),BDI!#REF!,IF(#REF!="ZERO",0))))),"")</f>
        <v>#REF!</v>
      </c>
      <c r="H1672" s="136" t="str">
        <f t="shared" si="88"/>
        <v/>
      </c>
      <c r="I1672" s="134" t="str">
        <f t="shared" si="89"/>
        <v/>
      </c>
      <c r="J1672" s="226"/>
    </row>
    <row r="1673" spans="1:10" hidden="1" x14ac:dyDescent="0.25">
      <c r="A1673" s="112" t="s">
        <v>5281</v>
      </c>
      <c r="B1673" s="113" t="s">
        <v>4081</v>
      </c>
      <c r="C1673" s="114" t="s">
        <v>20</v>
      </c>
      <c r="D1673" s="114">
        <v>0</v>
      </c>
      <c r="E1673" s="133" t="s">
        <v>514</v>
      </c>
      <c r="F1673" s="134" t="str">
        <f t="shared" si="87"/>
        <v/>
      </c>
      <c r="G1673" s="135" t="e">
        <f>IF(A1673&lt;&gt;"",IF(AND(#REF!="Padrão",$H$4=#REF!),BDI!$B$17,IF(AND(#REF!="Padrão",$H$4=#REF!),BDI!#REF!,IF(AND(#REF!="Diferenciado",$H$4=#REF!),BDI!$E$17,IF(AND(#REF!="Diferenciado",$H$4=#REF!),BDI!#REF!,IF(#REF!="ZERO",0))))),"")</f>
        <v>#REF!</v>
      </c>
      <c r="H1673" s="136" t="str">
        <f t="shared" si="88"/>
        <v/>
      </c>
      <c r="I1673" s="134" t="str">
        <f t="shared" si="89"/>
        <v/>
      </c>
      <c r="J1673" s="226"/>
    </row>
    <row r="1674" spans="1:10" hidden="1" x14ac:dyDescent="0.25">
      <c r="A1674" s="112" t="s">
        <v>5282</v>
      </c>
      <c r="B1674" s="113" t="s">
        <v>4082</v>
      </c>
      <c r="C1674" s="114" t="s">
        <v>20</v>
      </c>
      <c r="D1674" s="114">
        <v>0</v>
      </c>
      <c r="E1674" s="133" t="s">
        <v>514</v>
      </c>
      <c r="F1674" s="134" t="str">
        <f t="shared" si="87"/>
        <v/>
      </c>
      <c r="G1674" s="135" t="e">
        <f>IF(A1674&lt;&gt;"",IF(AND(#REF!="Padrão",$H$4=#REF!),BDI!$B$17,IF(AND(#REF!="Padrão",$H$4=#REF!),BDI!#REF!,IF(AND(#REF!="Diferenciado",$H$4=#REF!),BDI!$E$17,IF(AND(#REF!="Diferenciado",$H$4=#REF!),BDI!#REF!,IF(#REF!="ZERO",0))))),"")</f>
        <v>#REF!</v>
      </c>
      <c r="H1674" s="136" t="str">
        <f t="shared" si="88"/>
        <v/>
      </c>
      <c r="I1674" s="134" t="str">
        <f t="shared" si="89"/>
        <v/>
      </c>
      <c r="J1674" s="226"/>
    </row>
    <row r="1675" spans="1:10" hidden="1" x14ac:dyDescent="0.25">
      <c r="A1675" s="112" t="s">
        <v>5283</v>
      </c>
      <c r="B1675" s="113" t="s">
        <v>4083</v>
      </c>
      <c r="C1675" s="114" t="s">
        <v>20</v>
      </c>
      <c r="D1675" s="114">
        <v>0</v>
      </c>
      <c r="E1675" s="133" t="s">
        <v>514</v>
      </c>
      <c r="F1675" s="134" t="str">
        <f t="shared" si="87"/>
        <v/>
      </c>
      <c r="G1675" s="135" t="e">
        <f>IF(A1675&lt;&gt;"",IF(AND(#REF!="Padrão",$H$4=#REF!),BDI!$B$17,IF(AND(#REF!="Padrão",$H$4=#REF!),BDI!#REF!,IF(AND(#REF!="Diferenciado",$H$4=#REF!),BDI!$E$17,IF(AND(#REF!="Diferenciado",$H$4=#REF!),BDI!#REF!,IF(#REF!="ZERO",0))))),"")</f>
        <v>#REF!</v>
      </c>
      <c r="H1675" s="136" t="str">
        <f t="shared" si="88"/>
        <v/>
      </c>
      <c r="I1675" s="134" t="str">
        <f t="shared" si="89"/>
        <v/>
      </c>
      <c r="J1675" s="226"/>
    </row>
    <row r="1676" spans="1:10" hidden="1" x14ac:dyDescent="0.25">
      <c r="A1676" s="112" t="s">
        <v>5284</v>
      </c>
      <c r="B1676" s="113" t="s">
        <v>4084</v>
      </c>
      <c r="C1676" s="114" t="s">
        <v>20</v>
      </c>
      <c r="D1676" s="114">
        <v>0</v>
      </c>
      <c r="E1676" s="133" t="s">
        <v>514</v>
      </c>
      <c r="F1676" s="134" t="str">
        <f t="shared" si="87"/>
        <v/>
      </c>
      <c r="G1676" s="135" t="e">
        <f>IF(A1676&lt;&gt;"",IF(AND(#REF!="Padrão",$H$4=#REF!),BDI!$B$17,IF(AND(#REF!="Padrão",$H$4=#REF!),BDI!#REF!,IF(AND(#REF!="Diferenciado",$H$4=#REF!),BDI!$E$17,IF(AND(#REF!="Diferenciado",$H$4=#REF!),BDI!#REF!,IF(#REF!="ZERO",0))))),"")</f>
        <v>#REF!</v>
      </c>
      <c r="H1676" s="136" t="str">
        <f t="shared" si="88"/>
        <v/>
      </c>
      <c r="I1676" s="134" t="str">
        <f t="shared" si="89"/>
        <v/>
      </c>
      <c r="J1676" s="226"/>
    </row>
    <row r="1677" spans="1:10" hidden="1" x14ac:dyDescent="0.25">
      <c r="A1677" s="112" t="s">
        <v>5285</v>
      </c>
      <c r="B1677" s="113" t="s">
        <v>4085</v>
      </c>
      <c r="C1677" s="114" t="s">
        <v>20</v>
      </c>
      <c r="D1677" s="114">
        <v>0</v>
      </c>
      <c r="E1677" s="133" t="s">
        <v>514</v>
      </c>
      <c r="F1677" s="134" t="str">
        <f t="shared" si="87"/>
        <v/>
      </c>
      <c r="G1677" s="135" t="e">
        <f>IF(A1677&lt;&gt;"",IF(AND(#REF!="Padrão",$H$4=#REF!),BDI!$B$17,IF(AND(#REF!="Padrão",$H$4=#REF!),BDI!#REF!,IF(AND(#REF!="Diferenciado",$H$4=#REF!),BDI!$E$17,IF(AND(#REF!="Diferenciado",$H$4=#REF!),BDI!#REF!,IF(#REF!="ZERO",0))))),"")</f>
        <v>#REF!</v>
      </c>
      <c r="H1677" s="136" t="str">
        <f t="shared" si="88"/>
        <v/>
      </c>
      <c r="I1677" s="134" t="str">
        <f t="shared" si="89"/>
        <v/>
      </c>
      <c r="J1677" s="226"/>
    </row>
    <row r="1678" spans="1:10" hidden="1" x14ac:dyDescent="0.25">
      <c r="A1678" s="112" t="s">
        <v>5286</v>
      </c>
      <c r="B1678" s="113" t="s">
        <v>4086</v>
      </c>
      <c r="C1678" s="114" t="s">
        <v>20</v>
      </c>
      <c r="D1678" s="114">
        <v>0</v>
      </c>
      <c r="E1678" s="133" t="s">
        <v>514</v>
      </c>
      <c r="F1678" s="134" t="str">
        <f t="shared" si="87"/>
        <v/>
      </c>
      <c r="G1678" s="135" t="e">
        <f>IF(A1678&lt;&gt;"",IF(AND(#REF!="Padrão",$H$4=#REF!),BDI!$B$17,IF(AND(#REF!="Padrão",$H$4=#REF!),BDI!#REF!,IF(AND(#REF!="Diferenciado",$H$4=#REF!),BDI!$E$17,IF(AND(#REF!="Diferenciado",$H$4=#REF!),BDI!#REF!,IF(#REF!="ZERO",0))))),"")</f>
        <v>#REF!</v>
      </c>
      <c r="H1678" s="136" t="str">
        <f t="shared" si="88"/>
        <v/>
      </c>
      <c r="I1678" s="134" t="str">
        <f t="shared" si="89"/>
        <v/>
      </c>
      <c r="J1678" s="226"/>
    </row>
    <row r="1679" spans="1:10" hidden="1" x14ac:dyDescent="0.25">
      <c r="A1679" s="112" t="s">
        <v>5287</v>
      </c>
      <c r="B1679" s="113" t="s">
        <v>4087</v>
      </c>
      <c r="C1679" s="114" t="s">
        <v>20</v>
      </c>
      <c r="D1679" s="114">
        <v>0</v>
      </c>
      <c r="E1679" s="133" t="s">
        <v>514</v>
      </c>
      <c r="F1679" s="134" t="str">
        <f t="shared" si="87"/>
        <v/>
      </c>
      <c r="G1679" s="135" t="e">
        <f>IF(A1679&lt;&gt;"",IF(AND(#REF!="Padrão",$H$4=#REF!),BDI!$B$17,IF(AND(#REF!="Padrão",$H$4=#REF!),BDI!#REF!,IF(AND(#REF!="Diferenciado",$H$4=#REF!),BDI!$E$17,IF(AND(#REF!="Diferenciado",$H$4=#REF!),BDI!#REF!,IF(#REF!="ZERO",0))))),"")</f>
        <v>#REF!</v>
      </c>
      <c r="H1679" s="136" t="str">
        <f t="shared" si="88"/>
        <v/>
      </c>
      <c r="I1679" s="134" t="str">
        <f t="shared" si="89"/>
        <v/>
      </c>
      <c r="J1679" s="226"/>
    </row>
    <row r="1680" spans="1:10" hidden="1" x14ac:dyDescent="0.25">
      <c r="A1680" s="112" t="s">
        <v>5288</v>
      </c>
      <c r="B1680" s="113" t="s">
        <v>4088</v>
      </c>
      <c r="C1680" s="114" t="s">
        <v>20</v>
      </c>
      <c r="D1680" s="114">
        <v>0</v>
      </c>
      <c r="E1680" s="133" t="s">
        <v>514</v>
      </c>
      <c r="F1680" s="134" t="str">
        <f t="shared" si="87"/>
        <v/>
      </c>
      <c r="G1680" s="135" t="e">
        <f>IF(A1680&lt;&gt;"",IF(AND(#REF!="Padrão",$H$4=#REF!),BDI!$B$17,IF(AND(#REF!="Padrão",$H$4=#REF!),BDI!#REF!,IF(AND(#REF!="Diferenciado",$H$4=#REF!),BDI!$E$17,IF(AND(#REF!="Diferenciado",$H$4=#REF!),BDI!#REF!,IF(#REF!="ZERO",0))))),"")</f>
        <v>#REF!</v>
      </c>
      <c r="H1680" s="136" t="str">
        <f t="shared" si="88"/>
        <v/>
      </c>
      <c r="I1680" s="134" t="str">
        <f t="shared" si="89"/>
        <v/>
      </c>
      <c r="J1680" s="226"/>
    </row>
    <row r="1681" spans="1:10" hidden="1" x14ac:dyDescent="0.25">
      <c r="A1681" s="112" t="s">
        <v>5289</v>
      </c>
      <c r="B1681" s="113" t="s">
        <v>4089</v>
      </c>
      <c r="C1681" s="114" t="s">
        <v>20</v>
      </c>
      <c r="D1681" s="114">
        <v>0</v>
      </c>
      <c r="E1681" s="133" t="s">
        <v>514</v>
      </c>
      <c r="F1681" s="134" t="str">
        <f t="shared" si="87"/>
        <v/>
      </c>
      <c r="G1681" s="135" t="e">
        <f>IF(A1681&lt;&gt;"",IF(AND(#REF!="Padrão",$H$4=#REF!),BDI!$B$17,IF(AND(#REF!="Padrão",$H$4=#REF!),BDI!#REF!,IF(AND(#REF!="Diferenciado",$H$4=#REF!),BDI!$E$17,IF(AND(#REF!="Diferenciado",$H$4=#REF!),BDI!#REF!,IF(#REF!="ZERO",0))))),"")</f>
        <v>#REF!</v>
      </c>
      <c r="H1681" s="136" t="str">
        <f t="shared" si="88"/>
        <v/>
      </c>
      <c r="I1681" s="134" t="str">
        <f t="shared" si="89"/>
        <v/>
      </c>
      <c r="J1681" s="226"/>
    </row>
    <row r="1682" spans="1:10" hidden="1" x14ac:dyDescent="0.25">
      <c r="A1682" s="112" t="s">
        <v>5290</v>
      </c>
      <c r="B1682" s="113" t="s">
        <v>4090</v>
      </c>
      <c r="C1682" s="114" t="s">
        <v>20</v>
      </c>
      <c r="D1682" s="114">
        <v>0</v>
      </c>
      <c r="E1682" s="133" t="s">
        <v>514</v>
      </c>
      <c r="F1682" s="134" t="str">
        <f t="shared" si="87"/>
        <v/>
      </c>
      <c r="G1682" s="135" t="e">
        <f>IF(A1682&lt;&gt;"",IF(AND(#REF!="Padrão",$H$4=#REF!),BDI!$B$17,IF(AND(#REF!="Padrão",$H$4=#REF!),BDI!#REF!,IF(AND(#REF!="Diferenciado",$H$4=#REF!),BDI!$E$17,IF(AND(#REF!="Diferenciado",$H$4=#REF!),BDI!#REF!,IF(#REF!="ZERO",0))))),"")</f>
        <v>#REF!</v>
      </c>
      <c r="H1682" s="136" t="str">
        <f t="shared" si="88"/>
        <v/>
      </c>
      <c r="I1682" s="134" t="str">
        <f t="shared" si="89"/>
        <v/>
      </c>
      <c r="J1682" s="226"/>
    </row>
    <row r="1683" spans="1:10" hidden="1" x14ac:dyDescent="0.25">
      <c r="A1683" s="112" t="s">
        <v>5291</v>
      </c>
      <c r="B1683" s="113" t="s">
        <v>4091</v>
      </c>
      <c r="C1683" s="114" t="s">
        <v>20</v>
      </c>
      <c r="D1683" s="114">
        <v>0</v>
      </c>
      <c r="E1683" s="133" t="s">
        <v>514</v>
      </c>
      <c r="F1683" s="134" t="str">
        <f t="shared" si="87"/>
        <v/>
      </c>
      <c r="G1683" s="135" t="e">
        <f>IF(A1683&lt;&gt;"",IF(AND(#REF!="Padrão",$H$4=#REF!),BDI!$B$17,IF(AND(#REF!="Padrão",$H$4=#REF!),BDI!#REF!,IF(AND(#REF!="Diferenciado",$H$4=#REF!),BDI!$E$17,IF(AND(#REF!="Diferenciado",$H$4=#REF!),BDI!#REF!,IF(#REF!="ZERO",0))))),"")</f>
        <v>#REF!</v>
      </c>
      <c r="H1683" s="136" t="str">
        <f t="shared" si="88"/>
        <v/>
      </c>
      <c r="I1683" s="134" t="str">
        <f t="shared" si="89"/>
        <v/>
      </c>
      <c r="J1683" s="226"/>
    </row>
    <row r="1684" spans="1:10" hidden="1" x14ac:dyDescent="0.25">
      <c r="A1684" s="112" t="s">
        <v>5292</v>
      </c>
      <c r="B1684" s="113" t="s">
        <v>4092</v>
      </c>
      <c r="C1684" s="114" t="s">
        <v>20</v>
      </c>
      <c r="D1684" s="114">
        <v>0</v>
      </c>
      <c r="E1684" s="133" t="s">
        <v>514</v>
      </c>
      <c r="F1684" s="134" t="str">
        <f t="shared" si="87"/>
        <v/>
      </c>
      <c r="G1684" s="135" t="e">
        <f>IF(A1684&lt;&gt;"",IF(AND(#REF!="Padrão",$H$4=#REF!),BDI!$B$17,IF(AND(#REF!="Padrão",$H$4=#REF!),BDI!#REF!,IF(AND(#REF!="Diferenciado",$H$4=#REF!),BDI!$E$17,IF(AND(#REF!="Diferenciado",$H$4=#REF!),BDI!#REF!,IF(#REF!="ZERO",0))))),"")</f>
        <v>#REF!</v>
      </c>
      <c r="H1684" s="136" t="str">
        <f t="shared" si="88"/>
        <v/>
      </c>
      <c r="I1684" s="134" t="str">
        <f t="shared" si="89"/>
        <v/>
      </c>
      <c r="J1684" s="226"/>
    </row>
    <row r="1685" spans="1:10" hidden="1" x14ac:dyDescent="0.25">
      <c r="A1685" s="112" t="s">
        <v>5293</v>
      </c>
      <c r="B1685" s="113" t="s">
        <v>4093</v>
      </c>
      <c r="C1685" s="114" t="s">
        <v>20</v>
      </c>
      <c r="D1685" s="114">
        <v>0</v>
      </c>
      <c r="E1685" s="133" t="s">
        <v>514</v>
      </c>
      <c r="F1685" s="134" t="str">
        <f t="shared" si="87"/>
        <v/>
      </c>
      <c r="G1685" s="135" t="e">
        <f>IF(A1685&lt;&gt;"",IF(AND(#REF!="Padrão",$H$4=#REF!),BDI!$B$17,IF(AND(#REF!="Padrão",$H$4=#REF!),BDI!#REF!,IF(AND(#REF!="Diferenciado",$H$4=#REF!),BDI!$E$17,IF(AND(#REF!="Diferenciado",$H$4=#REF!),BDI!#REF!,IF(#REF!="ZERO",0))))),"")</f>
        <v>#REF!</v>
      </c>
      <c r="H1685" s="136" t="str">
        <f t="shared" si="88"/>
        <v/>
      </c>
      <c r="I1685" s="134" t="str">
        <f t="shared" si="89"/>
        <v/>
      </c>
      <c r="J1685" s="226"/>
    </row>
    <row r="1686" spans="1:10" hidden="1" x14ac:dyDescent="0.25">
      <c r="A1686" s="112" t="s">
        <v>5294</v>
      </c>
      <c r="B1686" s="113" t="s">
        <v>4094</v>
      </c>
      <c r="C1686" s="114" t="s">
        <v>20</v>
      </c>
      <c r="D1686" s="114">
        <v>0</v>
      </c>
      <c r="E1686" s="133" t="s">
        <v>514</v>
      </c>
      <c r="F1686" s="134" t="str">
        <f t="shared" si="87"/>
        <v/>
      </c>
      <c r="G1686" s="135" t="e">
        <f>IF(A1686&lt;&gt;"",IF(AND(#REF!="Padrão",$H$4=#REF!),BDI!$B$17,IF(AND(#REF!="Padrão",$H$4=#REF!),BDI!#REF!,IF(AND(#REF!="Diferenciado",$H$4=#REF!),BDI!$E$17,IF(AND(#REF!="Diferenciado",$H$4=#REF!),BDI!#REF!,IF(#REF!="ZERO",0))))),"")</f>
        <v>#REF!</v>
      </c>
      <c r="H1686" s="136" t="str">
        <f t="shared" si="88"/>
        <v/>
      </c>
      <c r="I1686" s="134" t="str">
        <f t="shared" si="89"/>
        <v/>
      </c>
      <c r="J1686" s="226"/>
    </row>
    <row r="1687" spans="1:10" hidden="1" x14ac:dyDescent="0.25">
      <c r="A1687" s="112" t="s">
        <v>5295</v>
      </c>
      <c r="B1687" s="113" t="s">
        <v>4095</v>
      </c>
      <c r="C1687" s="114" t="s">
        <v>20</v>
      </c>
      <c r="D1687" s="114">
        <v>0</v>
      </c>
      <c r="E1687" s="133" t="s">
        <v>514</v>
      </c>
      <c r="F1687" s="134" t="str">
        <f t="shared" si="87"/>
        <v/>
      </c>
      <c r="G1687" s="135" t="e">
        <f>IF(A1687&lt;&gt;"",IF(AND(#REF!="Padrão",$H$4=#REF!),BDI!$B$17,IF(AND(#REF!="Padrão",$H$4=#REF!),BDI!#REF!,IF(AND(#REF!="Diferenciado",$H$4=#REF!),BDI!$E$17,IF(AND(#REF!="Diferenciado",$H$4=#REF!),BDI!#REF!,IF(#REF!="ZERO",0))))),"")</f>
        <v>#REF!</v>
      </c>
      <c r="H1687" s="136" t="str">
        <f t="shared" si="88"/>
        <v/>
      </c>
      <c r="I1687" s="134" t="str">
        <f t="shared" si="89"/>
        <v/>
      </c>
      <c r="J1687" s="226"/>
    </row>
    <row r="1688" spans="1:10" hidden="1" x14ac:dyDescent="0.25">
      <c r="A1688" s="112" t="s">
        <v>5296</v>
      </c>
      <c r="B1688" s="113" t="s">
        <v>4096</v>
      </c>
      <c r="C1688" s="114" t="s">
        <v>20</v>
      </c>
      <c r="D1688" s="114">
        <v>0</v>
      </c>
      <c r="E1688" s="133" t="s">
        <v>514</v>
      </c>
      <c r="F1688" s="134" t="str">
        <f t="shared" si="87"/>
        <v/>
      </c>
      <c r="G1688" s="135" t="e">
        <f>IF(A1688&lt;&gt;"",IF(AND(#REF!="Padrão",$H$4=#REF!),BDI!$B$17,IF(AND(#REF!="Padrão",$H$4=#REF!),BDI!#REF!,IF(AND(#REF!="Diferenciado",$H$4=#REF!),BDI!$E$17,IF(AND(#REF!="Diferenciado",$H$4=#REF!),BDI!#REF!,IF(#REF!="ZERO",0))))),"")</f>
        <v>#REF!</v>
      </c>
      <c r="H1688" s="136" t="str">
        <f t="shared" si="88"/>
        <v/>
      </c>
      <c r="I1688" s="134" t="str">
        <f t="shared" si="89"/>
        <v/>
      </c>
      <c r="J1688" s="226"/>
    </row>
    <row r="1689" spans="1:10" hidden="1" x14ac:dyDescent="0.25">
      <c r="A1689" s="112" t="s">
        <v>5297</v>
      </c>
      <c r="B1689" s="113" t="s">
        <v>4097</v>
      </c>
      <c r="C1689" s="114" t="s">
        <v>20</v>
      </c>
      <c r="D1689" s="114">
        <v>0</v>
      </c>
      <c r="E1689" s="133" t="s">
        <v>514</v>
      </c>
      <c r="F1689" s="134" t="str">
        <f t="shared" si="87"/>
        <v/>
      </c>
      <c r="G1689" s="135" t="e">
        <f>IF(A1689&lt;&gt;"",IF(AND(#REF!="Padrão",$H$4=#REF!),BDI!$B$17,IF(AND(#REF!="Padrão",$H$4=#REF!),BDI!#REF!,IF(AND(#REF!="Diferenciado",$H$4=#REF!),BDI!$E$17,IF(AND(#REF!="Diferenciado",$H$4=#REF!),BDI!#REF!,IF(#REF!="ZERO",0))))),"")</f>
        <v>#REF!</v>
      </c>
      <c r="H1689" s="136" t="str">
        <f t="shared" si="88"/>
        <v/>
      </c>
      <c r="I1689" s="134" t="str">
        <f t="shared" si="89"/>
        <v/>
      </c>
      <c r="J1689" s="226"/>
    </row>
    <row r="1690" spans="1:10" hidden="1" x14ac:dyDescent="0.25">
      <c r="A1690" s="112" t="s">
        <v>5298</v>
      </c>
      <c r="B1690" s="113" t="s">
        <v>4098</v>
      </c>
      <c r="C1690" s="114" t="s">
        <v>20</v>
      </c>
      <c r="D1690" s="114">
        <v>0</v>
      </c>
      <c r="E1690" s="133" t="s">
        <v>514</v>
      </c>
      <c r="F1690" s="134" t="str">
        <f t="shared" si="87"/>
        <v/>
      </c>
      <c r="G1690" s="135" t="e">
        <f>IF(A1690&lt;&gt;"",IF(AND(#REF!="Padrão",$H$4=#REF!),BDI!$B$17,IF(AND(#REF!="Padrão",$H$4=#REF!),BDI!#REF!,IF(AND(#REF!="Diferenciado",$H$4=#REF!),BDI!$E$17,IF(AND(#REF!="Diferenciado",$H$4=#REF!),BDI!#REF!,IF(#REF!="ZERO",0))))),"")</f>
        <v>#REF!</v>
      </c>
      <c r="H1690" s="136" t="str">
        <f t="shared" si="88"/>
        <v/>
      </c>
      <c r="I1690" s="134" t="str">
        <f t="shared" si="89"/>
        <v/>
      </c>
      <c r="J1690" s="226"/>
    </row>
    <row r="1691" spans="1:10" hidden="1" x14ac:dyDescent="0.25">
      <c r="A1691" s="112" t="s">
        <v>5299</v>
      </c>
      <c r="B1691" s="113" t="s">
        <v>4099</v>
      </c>
      <c r="C1691" s="114" t="s">
        <v>20</v>
      </c>
      <c r="D1691" s="114">
        <v>0</v>
      </c>
      <c r="E1691" s="133" t="s">
        <v>514</v>
      </c>
      <c r="F1691" s="134" t="str">
        <f t="shared" si="87"/>
        <v/>
      </c>
      <c r="G1691" s="135" t="e">
        <f>IF(A1691&lt;&gt;"",IF(AND(#REF!="Padrão",$H$4=#REF!),BDI!$B$17,IF(AND(#REF!="Padrão",$H$4=#REF!),BDI!#REF!,IF(AND(#REF!="Diferenciado",$H$4=#REF!),BDI!$E$17,IF(AND(#REF!="Diferenciado",$H$4=#REF!),BDI!#REF!,IF(#REF!="ZERO",0))))),"")</f>
        <v>#REF!</v>
      </c>
      <c r="H1691" s="136" t="str">
        <f t="shared" si="88"/>
        <v/>
      </c>
      <c r="I1691" s="134" t="str">
        <f t="shared" si="89"/>
        <v/>
      </c>
      <c r="J1691" s="226"/>
    </row>
    <row r="1692" spans="1:10" hidden="1" x14ac:dyDescent="0.25">
      <c r="A1692" s="112" t="s">
        <v>5300</v>
      </c>
      <c r="B1692" s="113" t="s">
        <v>4100</v>
      </c>
      <c r="C1692" s="114" t="s">
        <v>20</v>
      </c>
      <c r="D1692" s="114">
        <v>0</v>
      </c>
      <c r="E1692" s="133" t="s">
        <v>514</v>
      </c>
      <c r="F1692" s="134" t="str">
        <f t="shared" si="87"/>
        <v/>
      </c>
      <c r="G1692" s="135" t="e">
        <f>IF(A1692&lt;&gt;"",IF(AND(#REF!="Padrão",$H$4=#REF!),BDI!$B$17,IF(AND(#REF!="Padrão",$H$4=#REF!),BDI!#REF!,IF(AND(#REF!="Diferenciado",$H$4=#REF!),BDI!$E$17,IF(AND(#REF!="Diferenciado",$H$4=#REF!),BDI!#REF!,IF(#REF!="ZERO",0))))),"")</f>
        <v>#REF!</v>
      </c>
      <c r="H1692" s="136" t="str">
        <f t="shared" si="88"/>
        <v/>
      </c>
      <c r="I1692" s="134" t="str">
        <f t="shared" si="89"/>
        <v/>
      </c>
      <c r="J1692" s="226"/>
    </row>
    <row r="1693" spans="1:10" hidden="1" x14ac:dyDescent="0.25">
      <c r="A1693" s="112" t="s">
        <v>5301</v>
      </c>
      <c r="B1693" s="113" t="s">
        <v>4101</v>
      </c>
      <c r="C1693" s="114" t="s">
        <v>20</v>
      </c>
      <c r="D1693" s="114">
        <v>0</v>
      </c>
      <c r="E1693" s="133" t="s">
        <v>514</v>
      </c>
      <c r="F1693" s="134" t="str">
        <f t="shared" si="87"/>
        <v/>
      </c>
      <c r="G1693" s="135" t="e">
        <f>IF(A1693&lt;&gt;"",IF(AND(#REF!="Padrão",$H$4=#REF!),BDI!$B$17,IF(AND(#REF!="Padrão",$H$4=#REF!),BDI!#REF!,IF(AND(#REF!="Diferenciado",$H$4=#REF!),BDI!$E$17,IF(AND(#REF!="Diferenciado",$H$4=#REF!),BDI!#REF!,IF(#REF!="ZERO",0))))),"")</f>
        <v>#REF!</v>
      </c>
      <c r="H1693" s="136" t="str">
        <f t="shared" si="88"/>
        <v/>
      </c>
      <c r="I1693" s="134" t="str">
        <f t="shared" si="89"/>
        <v/>
      </c>
      <c r="J1693" s="226"/>
    </row>
    <row r="1694" spans="1:10" hidden="1" x14ac:dyDescent="0.25">
      <c r="A1694" s="112" t="s">
        <v>5302</v>
      </c>
      <c r="B1694" s="113" t="s">
        <v>4102</v>
      </c>
      <c r="C1694" s="114" t="s">
        <v>20</v>
      </c>
      <c r="D1694" s="114">
        <v>0</v>
      </c>
      <c r="E1694" s="133" t="s">
        <v>514</v>
      </c>
      <c r="F1694" s="134" t="str">
        <f t="shared" si="87"/>
        <v/>
      </c>
      <c r="G1694" s="135" t="e">
        <f>IF(A1694&lt;&gt;"",IF(AND(#REF!="Padrão",$H$4=#REF!),BDI!$B$17,IF(AND(#REF!="Padrão",$H$4=#REF!),BDI!#REF!,IF(AND(#REF!="Diferenciado",$H$4=#REF!),BDI!$E$17,IF(AND(#REF!="Diferenciado",$H$4=#REF!),BDI!#REF!,IF(#REF!="ZERO",0))))),"")</f>
        <v>#REF!</v>
      </c>
      <c r="H1694" s="136" t="str">
        <f t="shared" si="88"/>
        <v/>
      </c>
      <c r="I1694" s="134" t="str">
        <f t="shared" si="89"/>
        <v/>
      </c>
      <c r="J1694" s="226"/>
    </row>
    <row r="1695" spans="1:10" hidden="1" x14ac:dyDescent="0.25">
      <c r="A1695" s="112" t="s">
        <v>5303</v>
      </c>
      <c r="B1695" s="113" t="s">
        <v>4103</v>
      </c>
      <c r="C1695" s="114" t="s">
        <v>20</v>
      </c>
      <c r="D1695" s="114">
        <v>0</v>
      </c>
      <c r="E1695" s="133" t="s">
        <v>514</v>
      </c>
      <c r="F1695" s="134" t="str">
        <f t="shared" si="87"/>
        <v/>
      </c>
      <c r="G1695" s="135" t="e">
        <f>IF(A1695&lt;&gt;"",IF(AND(#REF!="Padrão",$H$4=#REF!),BDI!$B$17,IF(AND(#REF!="Padrão",$H$4=#REF!),BDI!#REF!,IF(AND(#REF!="Diferenciado",$H$4=#REF!),BDI!$E$17,IF(AND(#REF!="Diferenciado",$H$4=#REF!),BDI!#REF!,IF(#REF!="ZERO",0))))),"")</f>
        <v>#REF!</v>
      </c>
      <c r="H1695" s="136" t="str">
        <f t="shared" si="88"/>
        <v/>
      </c>
      <c r="I1695" s="134" t="str">
        <f t="shared" si="89"/>
        <v/>
      </c>
      <c r="J1695" s="226"/>
    </row>
    <row r="1696" spans="1:10" hidden="1" x14ac:dyDescent="0.25">
      <c r="A1696" s="112" t="s">
        <v>5304</v>
      </c>
      <c r="B1696" s="113" t="s">
        <v>4104</v>
      </c>
      <c r="C1696" s="114" t="s">
        <v>20</v>
      </c>
      <c r="D1696" s="114">
        <v>0</v>
      </c>
      <c r="E1696" s="133" t="s">
        <v>514</v>
      </c>
      <c r="F1696" s="134" t="str">
        <f t="shared" si="87"/>
        <v/>
      </c>
      <c r="G1696" s="135" t="e">
        <f>IF(A1696&lt;&gt;"",IF(AND(#REF!="Padrão",$H$4=#REF!),BDI!$B$17,IF(AND(#REF!="Padrão",$H$4=#REF!),BDI!#REF!,IF(AND(#REF!="Diferenciado",$H$4=#REF!),BDI!$E$17,IF(AND(#REF!="Diferenciado",$H$4=#REF!),BDI!#REF!,IF(#REF!="ZERO",0))))),"")</f>
        <v>#REF!</v>
      </c>
      <c r="H1696" s="136" t="str">
        <f t="shared" si="88"/>
        <v/>
      </c>
      <c r="I1696" s="134" t="str">
        <f t="shared" si="89"/>
        <v/>
      </c>
      <c r="J1696" s="226"/>
    </row>
    <row r="1697" spans="1:10" hidden="1" x14ac:dyDescent="0.25">
      <c r="A1697" s="112" t="s">
        <v>5305</v>
      </c>
      <c r="B1697" s="113" t="s">
        <v>4105</v>
      </c>
      <c r="C1697" s="114" t="s">
        <v>20</v>
      </c>
      <c r="D1697" s="114">
        <v>0</v>
      </c>
      <c r="E1697" s="133" t="s">
        <v>514</v>
      </c>
      <c r="F1697" s="134" t="str">
        <f t="shared" si="87"/>
        <v/>
      </c>
      <c r="G1697" s="135" t="e">
        <f>IF(A1697&lt;&gt;"",IF(AND(#REF!="Padrão",$H$4=#REF!),BDI!$B$17,IF(AND(#REF!="Padrão",$H$4=#REF!),BDI!#REF!,IF(AND(#REF!="Diferenciado",$H$4=#REF!),BDI!$E$17,IF(AND(#REF!="Diferenciado",$H$4=#REF!),BDI!#REF!,IF(#REF!="ZERO",0))))),"")</f>
        <v>#REF!</v>
      </c>
      <c r="H1697" s="136" t="str">
        <f t="shared" si="88"/>
        <v/>
      </c>
      <c r="I1697" s="134" t="str">
        <f t="shared" si="89"/>
        <v/>
      </c>
      <c r="J1697" s="226"/>
    </row>
    <row r="1698" spans="1:10" hidden="1" x14ac:dyDescent="0.25">
      <c r="A1698" s="112" t="s">
        <v>5306</v>
      </c>
      <c r="B1698" s="113" t="s">
        <v>4106</v>
      </c>
      <c r="C1698" s="114" t="s">
        <v>20</v>
      </c>
      <c r="D1698" s="114">
        <v>0</v>
      </c>
      <c r="E1698" s="133" t="s">
        <v>514</v>
      </c>
      <c r="F1698" s="134" t="str">
        <f t="shared" si="87"/>
        <v/>
      </c>
      <c r="G1698" s="135" t="e">
        <f>IF(A1698&lt;&gt;"",IF(AND(#REF!="Padrão",$H$4=#REF!),BDI!$B$17,IF(AND(#REF!="Padrão",$H$4=#REF!),BDI!#REF!,IF(AND(#REF!="Diferenciado",$H$4=#REF!),BDI!$E$17,IF(AND(#REF!="Diferenciado",$H$4=#REF!),BDI!#REF!,IF(#REF!="ZERO",0))))),"")</f>
        <v>#REF!</v>
      </c>
      <c r="H1698" s="136" t="str">
        <f t="shared" si="88"/>
        <v/>
      </c>
      <c r="I1698" s="134" t="str">
        <f t="shared" si="89"/>
        <v/>
      </c>
      <c r="J1698" s="226"/>
    </row>
    <row r="1699" spans="1:10" hidden="1" x14ac:dyDescent="0.25">
      <c r="A1699" s="112" t="s">
        <v>5307</v>
      </c>
      <c r="B1699" s="113" t="s">
        <v>4107</v>
      </c>
      <c r="C1699" s="114" t="s">
        <v>20</v>
      </c>
      <c r="D1699" s="114">
        <v>0</v>
      </c>
      <c r="E1699" s="133" t="s">
        <v>514</v>
      </c>
      <c r="F1699" s="134" t="str">
        <f t="shared" si="87"/>
        <v/>
      </c>
      <c r="G1699" s="135" t="e">
        <f>IF(A1699&lt;&gt;"",IF(AND(#REF!="Padrão",$H$4=#REF!),BDI!$B$17,IF(AND(#REF!="Padrão",$H$4=#REF!),BDI!#REF!,IF(AND(#REF!="Diferenciado",$H$4=#REF!),BDI!$E$17,IF(AND(#REF!="Diferenciado",$H$4=#REF!),BDI!#REF!,IF(#REF!="ZERO",0))))),"")</f>
        <v>#REF!</v>
      </c>
      <c r="H1699" s="136" t="str">
        <f t="shared" si="88"/>
        <v/>
      </c>
      <c r="I1699" s="134" t="str">
        <f t="shared" si="89"/>
        <v/>
      </c>
      <c r="J1699" s="226"/>
    </row>
    <row r="1700" spans="1:10" hidden="1" x14ac:dyDescent="0.25">
      <c r="A1700" s="112" t="s">
        <v>5308</v>
      </c>
      <c r="B1700" s="113" t="s">
        <v>4108</v>
      </c>
      <c r="C1700" s="114" t="s">
        <v>20</v>
      </c>
      <c r="D1700" s="114">
        <v>0</v>
      </c>
      <c r="E1700" s="133" t="s">
        <v>514</v>
      </c>
      <c r="F1700" s="134" t="str">
        <f t="shared" si="87"/>
        <v/>
      </c>
      <c r="G1700" s="135" t="e">
        <f>IF(A1700&lt;&gt;"",IF(AND(#REF!="Padrão",$H$4=#REF!),BDI!$B$17,IF(AND(#REF!="Padrão",$H$4=#REF!),BDI!#REF!,IF(AND(#REF!="Diferenciado",$H$4=#REF!),BDI!$E$17,IF(AND(#REF!="Diferenciado",$H$4=#REF!),BDI!#REF!,IF(#REF!="ZERO",0))))),"")</f>
        <v>#REF!</v>
      </c>
      <c r="H1700" s="136" t="str">
        <f t="shared" si="88"/>
        <v/>
      </c>
      <c r="I1700" s="134" t="str">
        <f t="shared" si="89"/>
        <v/>
      </c>
      <c r="J1700" s="226"/>
    </row>
    <row r="1701" spans="1:10" hidden="1" x14ac:dyDescent="0.25">
      <c r="A1701" s="112" t="s">
        <v>5309</v>
      </c>
      <c r="B1701" s="113" t="s">
        <v>4109</v>
      </c>
      <c r="C1701" s="114" t="s">
        <v>20</v>
      </c>
      <c r="D1701" s="114">
        <v>0</v>
      </c>
      <c r="E1701" s="133" t="s">
        <v>514</v>
      </c>
      <c r="F1701" s="134" t="str">
        <f t="shared" si="87"/>
        <v/>
      </c>
      <c r="G1701" s="135" t="e">
        <f>IF(A1701&lt;&gt;"",IF(AND(#REF!="Padrão",$H$4=#REF!),BDI!$B$17,IF(AND(#REF!="Padrão",$H$4=#REF!),BDI!#REF!,IF(AND(#REF!="Diferenciado",$H$4=#REF!),BDI!$E$17,IF(AND(#REF!="Diferenciado",$H$4=#REF!),BDI!#REF!,IF(#REF!="ZERO",0))))),"")</f>
        <v>#REF!</v>
      </c>
      <c r="H1701" s="136" t="str">
        <f t="shared" si="88"/>
        <v/>
      </c>
      <c r="I1701" s="134" t="str">
        <f t="shared" si="89"/>
        <v/>
      </c>
      <c r="J1701" s="226"/>
    </row>
    <row r="1702" spans="1:10" hidden="1" x14ac:dyDescent="0.25">
      <c r="A1702" s="112" t="s">
        <v>5310</v>
      </c>
      <c r="B1702" s="113" t="s">
        <v>4110</v>
      </c>
      <c r="C1702" s="114" t="s">
        <v>20</v>
      </c>
      <c r="D1702" s="114">
        <v>0</v>
      </c>
      <c r="E1702" s="133" t="s">
        <v>514</v>
      </c>
      <c r="F1702" s="134" t="str">
        <f t="shared" si="87"/>
        <v/>
      </c>
      <c r="G1702" s="135" t="e">
        <f>IF(A1702&lt;&gt;"",IF(AND(#REF!="Padrão",$H$4=#REF!),BDI!$B$17,IF(AND(#REF!="Padrão",$H$4=#REF!),BDI!#REF!,IF(AND(#REF!="Diferenciado",$H$4=#REF!),BDI!$E$17,IF(AND(#REF!="Diferenciado",$H$4=#REF!),BDI!#REF!,IF(#REF!="ZERO",0))))),"")</f>
        <v>#REF!</v>
      </c>
      <c r="H1702" s="136" t="str">
        <f t="shared" si="88"/>
        <v/>
      </c>
      <c r="I1702" s="134" t="str">
        <f t="shared" si="89"/>
        <v/>
      </c>
      <c r="J1702" s="226"/>
    </row>
    <row r="1703" spans="1:10" hidden="1" x14ac:dyDescent="0.25">
      <c r="A1703" s="112" t="s">
        <v>5311</v>
      </c>
      <c r="B1703" s="113" t="s">
        <v>4111</v>
      </c>
      <c r="C1703" s="114" t="s">
        <v>20</v>
      </c>
      <c r="D1703" s="114">
        <v>0</v>
      </c>
      <c r="E1703" s="133" t="s">
        <v>514</v>
      </c>
      <c r="F1703" s="134" t="str">
        <f t="shared" si="87"/>
        <v/>
      </c>
      <c r="G1703" s="135" t="e">
        <f>IF(A1703&lt;&gt;"",IF(AND(#REF!="Padrão",$H$4=#REF!),BDI!$B$17,IF(AND(#REF!="Padrão",$H$4=#REF!),BDI!#REF!,IF(AND(#REF!="Diferenciado",$H$4=#REF!),BDI!$E$17,IF(AND(#REF!="Diferenciado",$H$4=#REF!),BDI!#REF!,IF(#REF!="ZERO",0))))),"")</f>
        <v>#REF!</v>
      </c>
      <c r="H1703" s="136" t="str">
        <f t="shared" si="88"/>
        <v/>
      </c>
      <c r="I1703" s="134" t="str">
        <f t="shared" si="89"/>
        <v/>
      </c>
      <c r="J1703" s="226"/>
    </row>
    <row r="1704" spans="1:10" hidden="1" x14ac:dyDescent="0.25">
      <c r="A1704" s="112" t="s">
        <v>5312</v>
      </c>
      <c r="B1704" s="113" t="s">
        <v>4112</v>
      </c>
      <c r="C1704" s="114" t="s">
        <v>20</v>
      </c>
      <c r="D1704" s="114">
        <v>0</v>
      </c>
      <c r="E1704" s="133" t="s">
        <v>514</v>
      </c>
      <c r="F1704" s="134" t="str">
        <f t="shared" si="87"/>
        <v/>
      </c>
      <c r="G1704" s="135" t="e">
        <f>IF(A1704&lt;&gt;"",IF(AND(#REF!="Padrão",$H$4=#REF!),BDI!$B$17,IF(AND(#REF!="Padrão",$H$4=#REF!),BDI!#REF!,IF(AND(#REF!="Diferenciado",$H$4=#REF!),BDI!$E$17,IF(AND(#REF!="Diferenciado",$H$4=#REF!),BDI!#REF!,IF(#REF!="ZERO",0))))),"")</f>
        <v>#REF!</v>
      </c>
      <c r="H1704" s="136" t="str">
        <f t="shared" si="88"/>
        <v/>
      </c>
      <c r="I1704" s="134" t="str">
        <f t="shared" si="89"/>
        <v/>
      </c>
      <c r="J1704" s="226"/>
    </row>
    <row r="1705" spans="1:10" hidden="1" x14ac:dyDescent="0.25">
      <c r="A1705" s="112" t="s">
        <v>5313</v>
      </c>
      <c r="B1705" s="113" t="s">
        <v>4113</v>
      </c>
      <c r="C1705" s="114" t="s">
        <v>20</v>
      </c>
      <c r="D1705" s="114">
        <v>0</v>
      </c>
      <c r="E1705" s="133" t="s">
        <v>514</v>
      </c>
      <c r="F1705" s="134" t="str">
        <f t="shared" si="87"/>
        <v/>
      </c>
      <c r="G1705" s="135" t="e">
        <f>IF(A1705&lt;&gt;"",IF(AND(#REF!="Padrão",$H$4=#REF!),BDI!$B$17,IF(AND(#REF!="Padrão",$H$4=#REF!),BDI!#REF!,IF(AND(#REF!="Diferenciado",$H$4=#REF!),BDI!$E$17,IF(AND(#REF!="Diferenciado",$H$4=#REF!),BDI!#REF!,IF(#REF!="ZERO",0))))),"")</f>
        <v>#REF!</v>
      </c>
      <c r="H1705" s="136" t="str">
        <f t="shared" si="88"/>
        <v/>
      </c>
      <c r="I1705" s="134" t="str">
        <f t="shared" si="89"/>
        <v/>
      </c>
      <c r="J1705" s="226"/>
    </row>
    <row r="1706" spans="1:10" hidden="1" x14ac:dyDescent="0.25">
      <c r="A1706" s="112" t="s">
        <v>5314</v>
      </c>
      <c r="B1706" s="113" t="s">
        <v>4114</v>
      </c>
      <c r="C1706" s="114" t="s">
        <v>20</v>
      </c>
      <c r="D1706" s="114">
        <v>0</v>
      </c>
      <c r="E1706" s="133" t="s">
        <v>514</v>
      </c>
      <c r="F1706" s="134" t="str">
        <f t="shared" si="87"/>
        <v/>
      </c>
      <c r="G1706" s="135" t="e">
        <f>IF(A1706&lt;&gt;"",IF(AND(#REF!="Padrão",$H$4=#REF!),BDI!$B$17,IF(AND(#REF!="Padrão",$H$4=#REF!),BDI!#REF!,IF(AND(#REF!="Diferenciado",$H$4=#REF!),BDI!$E$17,IF(AND(#REF!="Diferenciado",$H$4=#REF!),BDI!#REF!,IF(#REF!="ZERO",0))))),"")</f>
        <v>#REF!</v>
      </c>
      <c r="H1706" s="136" t="str">
        <f t="shared" si="88"/>
        <v/>
      </c>
      <c r="I1706" s="134" t="str">
        <f t="shared" si="89"/>
        <v/>
      </c>
      <c r="J1706" s="226"/>
    </row>
    <row r="1707" spans="1:10" hidden="1" x14ac:dyDescent="0.25">
      <c r="A1707" s="112" t="s">
        <v>5315</v>
      </c>
      <c r="B1707" s="113" t="s">
        <v>4115</v>
      </c>
      <c r="C1707" s="114" t="s">
        <v>20</v>
      </c>
      <c r="D1707" s="114">
        <v>0</v>
      </c>
      <c r="E1707" s="133" t="s">
        <v>514</v>
      </c>
      <c r="F1707" s="134" t="str">
        <f t="shared" si="87"/>
        <v/>
      </c>
      <c r="G1707" s="135" t="e">
        <f>IF(A1707&lt;&gt;"",IF(AND(#REF!="Padrão",$H$4=#REF!),BDI!$B$17,IF(AND(#REF!="Padrão",$H$4=#REF!),BDI!#REF!,IF(AND(#REF!="Diferenciado",$H$4=#REF!),BDI!$E$17,IF(AND(#REF!="Diferenciado",$H$4=#REF!),BDI!#REF!,IF(#REF!="ZERO",0))))),"")</f>
        <v>#REF!</v>
      </c>
      <c r="H1707" s="136" t="str">
        <f t="shared" si="88"/>
        <v/>
      </c>
      <c r="I1707" s="134" t="str">
        <f t="shared" si="89"/>
        <v/>
      </c>
      <c r="J1707" s="226"/>
    </row>
    <row r="1708" spans="1:10" hidden="1" x14ac:dyDescent="0.25">
      <c r="A1708" s="112" t="s">
        <v>5316</v>
      </c>
      <c r="B1708" s="113" t="s">
        <v>4116</v>
      </c>
      <c r="C1708" s="114" t="s">
        <v>20</v>
      </c>
      <c r="D1708" s="114">
        <v>0</v>
      </c>
      <c r="E1708" s="133" t="s">
        <v>514</v>
      </c>
      <c r="F1708" s="134" t="str">
        <f t="shared" si="87"/>
        <v/>
      </c>
      <c r="G1708" s="135" t="e">
        <f>IF(A1708&lt;&gt;"",IF(AND(#REF!="Padrão",$H$4=#REF!),BDI!$B$17,IF(AND(#REF!="Padrão",$H$4=#REF!),BDI!#REF!,IF(AND(#REF!="Diferenciado",$H$4=#REF!),BDI!$E$17,IF(AND(#REF!="Diferenciado",$H$4=#REF!),BDI!#REF!,IF(#REF!="ZERO",0))))),"")</f>
        <v>#REF!</v>
      </c>
      <c r="H1708" s="136" t="str">
        <f t="shared" si="88"/>
        <v/>
      </c>
      <c r="I1708" s="134" t="str">
        <f t="shared" si="89"/>
        <v/>
      </c>
      <c r="J1708" s="226"/>
    </row>
    <row r="1709" spans="1:10" hidden="1" x14ac:dyDescent="0.25">
      <c r="A1709" s="112" t="s">
        <v>5317</v>
      </c>
      <c r="B1709" s="113" t="s">
        <v>4117</v>
      </c>
      <c r="C1709" s="114" t="s">
        <v>20</v>
      </c>
      <c r="D1709" s="114">
        <v>0</v>
      </c>
      <c r="E1709" s="133" t="s">
        <v>514</v>
      </c>
      <c r="F1709" s="134" t="str">
        <f t="shared" ref="F1709:F1772" si="90">IF(ISNUMBER(E1709),D1709*E1709,"")</f>
        <v/>
      </c>
      <c r="G1709" s="135" t="e">
        <f>IF(A1709&lt;&gt;"",IF(AND(#REF!="Padrão",$H$4=#REF!),BDI!$B$17,IF(AND(#REF!="Padrão",$H$4=#REF!),BDI!#REF!,IF(AND(#REF!="Diferenciado",$H$4=#REF!),BDI!$E$17,IF(AND(#REF!="Diferenciado",$H$4=#REF!),BDI!#REF!,IF(#REF!="ZERO",0))))),"")</f>
        <v>#REF!</v>
      </c>
      <c r="H1709" s="136" t="str">
        <f t="shared" ref="H1709:H1772" si="91">IF(ISNUMBER(E1709),ROUND(E1709*(1+G1709),2),"")</f>
        <v/>
      </c>
      <c r="I1709" s="134" t="str">
        <f t="shared" ref="I1709:I1772" si="92">IF(ISNUMBER(E1709),ROUND(H1709*D1709,2),"")</f>
        <v/>
      </c>
      <c r="J1709" s="226"/>
    </row>
    <row r="1710" spans="1:10" hidden="1" x14ac:dyDescent="0.25">
      <c r="A1710" s="112" t="s">
        <v>5318</v>
      </c>
      <c r="B1710" s="113" t="s">
        <v>4118</v>
      </c>
      <c r="C1710" s="114" t="s">
        <v>20</v>
      </c>
      <c r="D1710" s="114">
        <v>0</v>
      </c>
      <c r="E1710" s="133" t="s">
        <v>514</v>
      </c>
      <c r="F1710" s="134" t="str">
        <f t="shared" si="90"/>
        <v/>
      </c>
      <c r="G1710" s="135" t="e">
        <f>IF(A1710&lt;&gt;"",IF(AND(#REF!="Padrão",$H$4=#REF!),BDI!$B$17,IF(AND(#REF!="Padrão",$H$4=#REF!),BDI!#REF!,IF(AND(#REF!="Diferenciado",$H$4=#REF!),BDI!$E$17,IF(AND(#REF!="Diferenciado",$H$4=#REF!),BDI!#REF!,IF(#REF!="ZERO",0))))),"")</f>
        <v>#REF!</v>
      </c>
      <c r="H1710" s="136" t="str">
        <f t="shared" si="91"/>
        <v/>
      </c>
      <c r="I1710" s="134" t="str">
        <f t="shared" si="92"/>
        <v/>
      </c>
      <c r="J1710" s="226"/>
    </row>
    <row r="1711" spans="1:10" hidden="1" x14ac:dyDescent="0.25">
      <c r="A1711" s="112" t="s">
        <v>5319</v>
      </c>
      <c r="B1711" s="113" t="s">
        <v>4119</v>
      </c>
      <c r="C1711" s="114" t="s">
        <v>20</v>
      </c>
      <c r="D1711" s="114">
        <v>0</v>
      </c>
      <c r="E1711" s="133" t="s">
        <v>514</v>
      </c>
      <c r="F1711" s="134" t="str">
        <f t="shared" si="90"/>
        <v/>
      </c>
      <c r="G1711" s="135" t="e">
        <f>IF(A1711&lt;&gt;"",IF(AND(#REF!="Padrão",$H$4=#REF!),BDI!$B$17,IF(AND(#REF!="Padrão",$H$4=#REF!),BDI!#REF!,IF(AND(#REF!="Diferenciado",$H$4=#REF!),BDI!$E$17,IF(AND(#REF!="Diferenciado",$H$4=#REF!),BDI!#REF!,IF(#REF!="ZERO",0))))),"")</f>
        <v>#REF!</v>
      </c>
      <c r="H1711" s="136" t="str">
        <f t="shared" si="91"/>
        <v/>
      </c>
      <c r="I1711" s="134" t="str">
        <f t="shared" si="92"/>
        <v/>
      </c>
      <c r="J1711" s="226"/>
    </row>
    <row r="1712" spans="1:10" hidden="1" x14ac:dyDescent="0.25">
      <c r="A1712" s="112" t="s">
        <v>5320</v>
      </c>
      <c r="B1712" s="113" t="s">
        <v>4120</v>
      </c>
      <c r="C1712" s="114" t="s">
        <v>20</v>
      </c>
      <c r="D1712" s="114">
        <v>0</v>
      </c>
      <c r="E1712" s="133" t="s">
        <v>514</v>
      </c>
      <c r="F1712" s="134" t="str">
        <f t="shared" si="90"/>
        <v/>
      </c>
      <c r="G1712" s="135" t="e">
        <f>IF(A1712&lt;&gt;"",IF(AND(#REF!="Padrão",$H$4=#REF!),BDI!$B$17,IF(AND(#REF!="Padrão",$H$4=#REF!),BDI!#REF!,IF(AND(#REF!="Diferenciado",$H$4=#REF!),BDI!$E$17,IF(AND(#REF!="Diferenciado",$H$4=#REF!),BDI!#REF!,IF(#REF!="ZERO",0))))),"")</f>
        <v>#REF!</v>
      </c>
      <c r="H1712" s="136" t="str">
        <f t="shared" si="91"/>
        <v/>
      </c>
      <c r="I1712" s="134" t="str">
        <f t="shared" si="92"/>
        <v/>
      </c>
      <c r="J1712" s="226"/>
    </row>
    <row r="1713" spans="1:10" hidden="1" x14ac:dyDescent="0.25">
      <c r="A1713" s="112" t="s">
        <v>5321</v>
      </c>
      <c r="B1713" s="113" t="s">
        <v>4121</v>
      </c>
      <c r="C1713" s="114" t="s">
        <v>20</v>
      </c>
      <c r="D1713" s="114">
        <v>0</v>
      </c>
      <c r="E1713" s="133" t="s">
        <v>514</v>
      </c>
      <c r="F1713" s="134" t="str">
        <f t="shared" si="90"/>
        <v/>
      </c>
      <c r="G1713" s="135" t="e">
        <f>IF(A1713&lt;&gt;"",IF(AND(#REF!="Padrão",$H$4=#REF!),BDI!$B$17,IF(AND(#REF!="Padrão",$H$4=#REF!),BDI!#REF!,IF(AND(#REF!="Diferenciado",$H$4=#REF!),BDI!$E$17,IF(AND(#REF!="Diferenciado",$H$4=#REF!),BDI!#REF!,IF(#REF!="ZERO",0))))),"")</f>
        <v>#REF!</v>
      </c>
      <c r="H1713" s="136" t="str">
        <f t="shared" si="91"/>
        <v/>
      </c>
      <c r="I1713" s="134" t="str">
        <f t="shared" si="92"/>
        <v/>
      </c>
      <c r="J1713" s="226"/>
    </row>
    <row r="1714" spans="1:10" hidden="1" x14ac:dyDescent="0.25">
      <c r="A1714" s="112" t="s">
        <v>5322</v>
      </c>
      <c r="B1714" s="113" t="s">
        <v>4122</v>
      </c>
      <c r="C1714" s="114" t="s">
        <v>20</v>
      </c>
      <c r="D1714" s="114">
        <v>0</v>
      </c>
      <c r="E1714" s="133" t="s">
        <v>514</v>
      </c>
      <c r="F1714" s="134" t="str">
        <f t="shared" si="90"/>
        <v/>
      </c>
      <c r="G1714" s="135" t="e">
        <f>IF(A1714&lt;&gt;"",IF(AND(#REF!="Padrão",$H$4=#REF!),BDI!$B$17,IF(AND(#REF!="Padrão",$H$4=#REF!),BDI!#REF!,IF(AND(#REF!="Diferenciado",$H$4=#REF!),BDI!$E$17,IF(AND(#REF!="Diferenciado",$H$4=#REF!),BDI!#REF!,IF(#REF!="ZERO",0))))),"")</f>
        <v>#REF!</v>
      </c>
      <c r="H1714" s="136" t="str">
        <f t="shared" si="91"/>
        <v/>
      </c>
      <c r="I1714" s="134" t="str">
        <f t="shared" si="92"/>
        <v/>
      </c>
      <c r="J1714" s="226"/>
    </row>
    <row r="1715" spans="1:10" hidden="1" x14ac:dyDescent="0.25">
      <c r="A1715" s="112" t="s">
        <v>5323</v>
      </c>
      <c r="B1715" s="113" t="s">
        <v>4123</v>
      </c>
      <c r="C1715" s="114" t="s">
        <v>20</v>
      </c>
      <c r="D1715" s="114">
        <v>0</v>
      </c>
      <c r="E1715" s="133" t="s">
        <v>514</v>
      </c>
      <c r="F1715" s="134" t="str">
        <f t="shared" si="90"/>
        <v/>
      </c>
      <c r="G1715" s="135" t="e">
        <f>IF(A1715&lt;&gt;"",IF(AND(#REF!="Padrão",$H$4=#REF!),BDI!$B$17,IF(AND(#REF!="Padrão",$H$4=#REF!),BDI!#REF!,IF(AND(#REF!="Diferenciado",$H$4=#REF!),BDI!$E$17,IF(AND(#REF!="Diferenciado",$H$4=#REF!),BDI!#REF!,IF(#REF!="ZERO",0))))),"")</f>
        <v>#REF!</v>
      </c>
      <c r="H1715" s="136" t="str">
        <f t="shared" si="91"/>
        <v/>
      </c>
      <c r="I1715" s="134" t="str">
        <f t="shared" si="92"/>
        <v/>
      </c>
      <c r="J1715" s="226"/>
    </row>
    <row r="1716" spans="1:10" hidden="1" x14ac:dyDescent="0.25">
      <c r="A1716" s="112" t="s">
        <v>5324</v>
      </c>
      <c r="B1716" s="113" t="s">
        <v>4124</v>
      </c>
      <c r="C1716" s="114" t="s">
        <v>20</v>
      </c>
      <c r="D1716" s="114">
        <v>0</v>
      </c>
      <c r="E1716" s="133" t="s">
        <v>514</v>
      </c>
      <c r="F1716" s="134" t="str">
        <f t="shared" si="90"/>
        <v/>
      </c>
      <c r="G1716" s="135" t="e">
        <f>IF(A1716&lt;&gt;"",IF(AND(#REF!="Padrão",$H$4=#REF!),BDI!$B$17,IF(AND(#REF!="Padrão",$H$4=#REF!),BDI!#REF!,IF(AND(#REF!="Diferenciado",$H$4=#REF!),BDI!$E$17,IF(AND(#REF!="Diferenciado",$H$4=#REF!),BDI!#REF!,IF(#REF!="ZERO",0))))),"")</f>
        <v>#REF!</v>
      </c>
      <c r="H1716" s="136" t="str">
        <f t="shared" si="91"/>
        <v/>
      </c>
      <c r="I1716" s="134" t="str">
        <f t="shared" si="92"/>
        <v/>
      </c>
      <c r="J1716" s="226"/>
    </row>
    <row r="1717" spans="1:10" hidden="1" x14ac:dyDescent="0.25">
      <c r="A1717" s="112" t="s">
        <v>5325</v>
      </c>
      <c r="B1717" s="113" t="s">
        <v>4125</v>
      </c>
      <c r="C1717" s="114" t="s">
        <v>20</v>
      </c>
      <c r="D1717" s="114">
        <v>0</v>
      </c>
      <c r="E1717" s="133" t="s">
        <v>514</v>
      </c>
      <c r="F1717" s="134" t="str">
        <f t="shared" si="90"/>
        <v/>
      </c>
      <c r="G1717" s="135" t="e">
        <f>IF(A1717&lt;&gt;"",IF(AND(#REF!="Padrão",$H$4=#REF!),BDI!$B$17,IF(AND(#REF!="Padrão",$H$4=#REF!),BDI!#REF!,IF(AND(#REF!="Diferenciado",$H$4=#REF!),BDI!$E$17,IF(AND(#REF!="Diferenciado",$H$4=#REF!),BDI!#REF!,IF(#REF!="ZERO",0))))),"")</f>
        <v>#REF!</v>
      </c>
      <c r="H1717" s="136" t="str">
        <f t="shared" si="91"/>
        <v/>
      </c>
      <c r="I1717" s="134" t="str">
        <f t="shared" si="92"/>
        <v/>
      </c>
      <c r="J1717" s="226"/>
    </row>
    <row r="1718" spans="1:10" hidden="1" x14ac:dyDescent="0.25">
      <c r="A1718" s="112" t="s">
        <v>5326</v>
      </c>
      <c r="B1718" s="113" t="s">
        <v>4126</v>
      </c>
      <c r="C1718" s="114" t="s">
        <v>20</v>
      </c>
      <c r="D1718" s="114">
        <v>0</v>
      </c>
      <c r="E1718" s="133" t="s">
        <v>514</v>
      </c>
      <c r="F1718" s="134" t="str">
        <f t="shared" si="90"/>
        <v/>
      </c>
      <c r="G1718" s="135" t="e">
        <f>IF(A1718&lt;&gt;"",IF(AND(#REF!="Padrão",$H$4=#REF!),BDI!$B$17,IF(AND(#REF!="Padrão",$H$4=#REF!),BDI!#REF!,IF(AND(#REF!="Diferenciado",$H$4=#REF!),BDI!$E$17,IF(AND(#REF!="Diferenciado",$H$4=#REF!),BDI!#REF!,IF(#REF!="ZERO",0))))),"")</f>
        <v>#REF!</v>
      </c>
      <c r="H1718" s="136" t="str">
        <f t="shared" si="91"/>
        <v/>
      </c>
      <c r="I1718" s="134" t="str">
        <f t="shared" si="92"/>
        <v/>
      </c>
      <c r="J1718" s="226"/>
    </row>
    <row r="1719" spans="1:10" hidden="1" x14ac:dyDescent="0.25">
      <c r="A1719" s="112" t="s">
        <v>5327</v>
      </c>
      <c r="B1719" s="113" t="s">
        <v>4127</v>
      </c>
      <c r="C1719" s="114" t="s">
        <v>20</v>
      </c>
      <c r="D1719" s="114">
        <v>0</v>
      </c>
      <c r="E1719" s="133" t="s">
        <v>514</v>
      </c>
      <c r="F1719" s="134" t="str">
        <f t="shared" si="90"/>
        <v/>
      </c>
      <c r="G1719" s="135" t="e">
        <f>IF(A1719&lt;&gt;"",IF(AND(#REF!="Padrão",$H$4=#REF!),BDI!$B$17,IF(AND(#REF!="Padrão",$H$4=#REF!),BDI!#REF!,IF(AND(#REF!="Diferenciado",$H$4=#REF!),BDI!$E$17,IF(AND(#REF!="Diferenciado",$H$4=#REF!),BDI!#REF!,IF(#REF!="ZERO",0))))),"")</f>
        <v>#REF!</v>
      </c>
      <c r="H1719" s="136" t="str">
        <f t="shared" si="91"/>
        <v/>
      </c>
      <c r="I1719" s="134" t="str">
        <f t="shared" si="92"/>
        <v/>
      </c>
      <c r="J1719" s="226"/>
    </row>
    <row r="1720" spans="1:10" hidden="1" x14ac:dyDescent="0.25">
      <c r="A1720" s="112" t="s">
        <v>5328</v>
      </c>
      <c r="B1720" s="113" t="s">
        <v>4128</v>
      </c>
      <c r="C1720" s="114" t="s">
        <v>20</v>
      </c>
      <c r="D1720" s="114">
        <v>0</v>
      </c>
      <c r="E1720" s="133" t="s">
        <v>514</v>
      </c>
      <c r="F1720" s="134" t="str">
        <f t="shared" si="90"/>
        <v/>
      </c>
      <c r="G1720" s="135" t="e">
        <f>IF(A1720&lt;&gt;"",IF(AND(#REF!="Padrão",$H$4=#REF!),BDI!$B$17,IF(AND(#REF!="Padrão",$H$4=#REF!),BDI!#REF!,IF(AND(#REF!="Diferenciado",$H$4=#REF!),BDI!$E$17,IF(AND(#REF!="Diferenciado",$H$4=#REF!),BDI!#REF!,IF(#REF!="ZERO",0))))),"")</f>
        <v>#REF!</v>
      </c>
      <c r="H1720" s="136" t="str">
        <f t="shared" si="91"/>
        <v/>
      </c>
      <c r="I1720" s="134" t="str">
        <f t="shared" si="92"/>
        <v/>
      </c>
      <c r="J1720" s="226"/>
    </row>
    <row r="1721" spans="1:10" hidden="1" x14ac:dyDescent="0.25">
      <c r="A1721" s="112" t="s">
        <v>5329</v>
      </c>
      <c r="B1721" s="113" t="s">
        <v>4129</v>
      </c>
      <c r="C1721" s="114" t="s">
        <v>20</v>
      </c>
      <c r="D1721" s="114">
        <v>0</v>
      </c>
      <c r="E1721" s="133" t="s">
        <v>514</v>
      </c>
      <c r="F1721" s="134" t="str">
        <f t="shared" si="90"/>
        <v/>
      </c>
      <c r="G1721" s="135" t="e">
        <f>IF(A1721&lt;&gt;"",IF(AND(#REF!="Padrão",$H$4=#REF!),BDI!$B$17,IF(AND(#REF!="Padrão",$H$4=#REF!),BDI!#REF!,IF(AND(#REF!="Diferenciado",$H$4=#REF!),BDI!$E$17,IF(AND(#REF!="Diferenciado",$H$4=#REF!),BDI!#REF!,IF(#REF!="ZERO",0))))),"")</f>
        <v>#REF!</v>
      </c>
      <c r="H1721" s="136" t="str">
        <f t="shared" si="91"/>
        <v/>
      </c>
      <c r="I1721" s="134" t="str">
        <f t="shared" si="92"/>
        <v/>
      </c>
      <c r="J1721" s="226"/>
    </row>
    <row r="1722" spans="1:10" hidden="1" x14ac:dyDescent="0.25">
      <c r="A1722" s="112" t="s">
        <v>5330</v>
      </c>
      <c r="B1722" s="113" t="s">
        <v>4130</v>
      </c>
      <c r="C1722" s="114" t="s">
        <v>20</v>
      </c>
      <c r="D1722" s="114">
        <v>0</v>
      </c>
      <c r="E1722" s="133" t="s">
        <v>514</v>
      </c>
      <c r="F1722" s="134" t="str">
        <f t="shared" si="90"/>
        <v/>
      </c>
      <c r="G1722" s="135" t="e">
        <f>IF(A1722&lt;&gt;"",IF(AND(#REF!="Padrão",$H$4=#REF!),BDI!$B$17,IF(AND(#REF!="Padrão",$H$4=#REF!),BDI!#REF!,IF(AND(#REF!="Diferenciado",$H$4=#REF!),BDI!$E$17,IF(AND(#REF!="Diferenciado",$H$4=#REF!),BDI!#REF!,IF(#REF!="ZERO",0))))),"")</f>
        <v>#REF!</v>
      </c>
      <c r="H1722" s="136" t="str">
        <f t="shared" si="91"/>
        <v/>
      </c>
      <c r="I1722" s="134" t="str">
        <f t="shared" si="92"/>
        <v/>
      </c>
      <c r="J1722" s="226"/>
    </row>
    <row r="1723" spans="1:10" hidden="1" x14ac:dyDescent="0.25">
      <c r="A1723" s="112" t="s">
        <v>5331</v>
      </c>
      <c r="B1723" s="113" t="s">
        <v>4131</v>
      </c>
      <c r="C1723" s="114" t="s">
        <v>20</v>
      </c>
      <c r="D1723" s="114">
        <v>0</v>
      </c>
      <c r="E1723" s="133" t="s">
        <v>514</v>
      </c>
      <c r="F1723" s="134" t="str">
        <f t="shared" si="90"/>
        <v/>
      </c>
      <c r="G1723" s="135" t="e">
        <f>IF(A1723&lt;&gt;"",IF(AND(#REF!="Padrão",$H$4=#REF!),BDI!$B$17,IF(AND(#REF!="Padrão",$H$4=#REF!),BDI!#REF!,IF(AND(#REF!="Diferenciado",$H$4=#REF!),BDI!$E$17,IF(AND(#REF!="Diferenciado",$H$4=#REF!),BDI!#REF!,IF(#REF!="ZERO",0))))),"")</f>
        <v>#REF!</v>
      </c>
      <c r="H1723" s="136" t="str">
        <f t="shared" si="91"/>
        <v/>
      </c>
      <c r="I1723" s="134" t="str">
        <f t="shared" si="92"/>
        <v/>
      </c>
      <c r="J1723" s="226"/>
    </row>
    <row r="1724" spans="1:10" hidden="1" x14ac:dyDescent="0.25">
      <c r="A1724" s="112" t="s">
        <v>5332</v>
      </c>
      <c r="B1724" s="113" t="s">
        <v>4132</v>
      </c>
      <c r="C1724" s="114" t="s">
        <v>20</v>
      </c>
      <c r="D1724" s="114">
        <v>0</v>
      </c>
      <c r="E1724" s="133" t="s">
        <v>514</v>
      </c>
      <c r="F1724" s="134" t="str">
        <f t="shared" si="90"/>
        <v/>
      </c>
      <c r="G1724" s="135" t="e">
        <f>IF(A1724&lt;&gt;"",IF(AND(#REF!="Padrão",$H$4=#REF!),BDI!$B$17,IF(AND(#REF!="Padrão",$H$4=#REF!),BDI!#REF!,IF(AND(#REF!="Diferenciado",$H$4=#REF!),BDI!$E$17,IF(AND(#REF!="Diferenciado",$H$4=#REF!),BDI!#REF!,IF(#REF!="ZERO",0))))),"")</f>
        <v>#REF!</v>
      </c>
      <c r="H1724" s="136" t="str">
        <f t="shared" si="91"/>
        <v/>
      </c>
      <c r="I1724" s="134" t="str">
        <f t="shared" si="92"/>
        <v/>
      </c>
      <c r="J1724" s="226"/>
    </row>
    <row r="1725" spans="1:10" hidden="1" x14ac:dyDescent="0.25">
      <c r="A1725" s="112" t="s">
        <v>5333</v>
      </c>
      <c r="B1725" s="113" t="s">
        <v>4133</v>
      </c>
      <c r="C1725" s="114" t="s">
        <v>20</v>
      </c>
      <c r="D1725" s="114">
        <v>0</v>
      </c>
      <c r="E1725" s="133" t="s">
        <v>514</v>
      </c>
      <c r="F1725" s="134" t="str">
        <f t="shared" si="90"/>
        <v/>
      </c>
      <c r="G1725" s="135" t="e">
        <f>IF(A1725&lt;&gt;"",IF(AND(#REF!="Padrão",$H$4=#REF!),BDI!$B$17,IF(AND(#REF!="Padrão",$H$4=#REF!),BDI!#REF!,IF(AND(#REF!="Diferenciado",$H$4=#REF!),BDI!$E$17,IF(AND(#REF!="Diferenciado",$H$4=#REF!),BDI!#REF!,IF(#REF!="ZERO",0))))),"")</f>
        <v>#REF!</v>
      </c>
      <c r="H1725" s="136" t="str">
        <f t="shared" si="91"/>
        <v/>
      </c>
      <c r="I1725" s="134" t="str">
        <f t="shared" si="92"/>
        <v/>
      </c>
      <c r="J1725" s="226"/>
    </row>
    <row r="1726" spans="1:10" hidden="1" x14ac:dyDescent="0.25">
      <c r="A1726" s="112" t="s">
        <v>5334</v>
      </c>
      <c r="B1726" s="113" t="s">
        <v>4134</v>
      </c>
      <c r="C1726" s="114" t="s">
        <v>20</v>
      </c>
      <c r="D1726" s="114">
        <v>0</v>
      </c>
      <c r="E1726" s="133" t="s">
        <v>514</v>
      </c>
      <c r="F1726" s="134" t="str">
        <f t="shared" si="90"/>
        <v/>
      </c>
      <c r="G1726" s="135" t="e">
        <f>IF(A1726&lt;&gt;"",IF(AND(#REF!="Padrão",$H$4=#REF!),BDI!$B$17,IF(AND(#REF!="Padrão",$H$4=#REF!),BDI!#REF!,IF(AND(#REF!="Diferenciado",$H$4=#REF!),BDI!$E$17,IF(AND(#REF!="Diferenciado",$H$4=#REF!),BDI!#REF!,IF(#REF!="ZERO",0))))),"")</f>
        <v>#REF!</v>
      </c>
      <c r="H1726" s="136" t="str">
        <f t="shared" si="91"/>
        <v/>
      </c>
      <c r="I1726" s="134" t="str">
        <f t="shared" si="92"/>
        <v/>
      </c>
      <c r="J1726" s="226"/>
    </row>
    <row r="1727" spans="1:10" hidden="1" x14ac:dyDescent="0.25">
      <c r="A1727" s="112" t="s">
        <v>5335</v>
      </c>
      <c r="B1727" s="113" t="s">
        <v>4135</v>
      </c>
      <c r="C1727" s="114" t="s">
        <v>20</v>
      </c>
      <c r="D1727" s="114">
        <v>0</v>
      </c>
      <c r="E1727" s="133" t="s">
        <v>514</v>
      </c>
      <c r="F1727" s="134" t="str">
        <f t="shared" si="90"/>
        <v/>
      </c>
      <c r="G1727" s="135" t="e">
        <f>IF(A1727&lt;&gt;"",IF(AND(#REF!="Padrão",$H$4=#REF!),BDI!$B$17,IF(AND(#REF!="Padrão",$H$4=#REF!),BDI!#REF!,IF(AND(#REF!="Diferenciado",$H$4=#REF!),BDI!$E$17,IF(AND(#REF!="Diferenciado",$H$4=#REF!),BDI!#REF!,IF(#REF!="ZERO",0))))),"")</f>
        <v>#REF!</v>
      </c>
      <c r="H1727" s="136" t="str">
        <f t="shared" si="91"/>
        <v/>
      </c>
      <c r="I1727" s="134" t="str">
        <f t="shared" si="92"/>
        <v/>
      </c>
      <c r="J1727" s="226"/>
    </row>
    <row r="1728" spans="1:10" hidden="1" x14ac:dyDescent="0.25">
      <c r="A1728" s="112" t="s">
        <v>5336</v>
      </c>
      <c r="B1728" s="113" t="s">
        <v>4136</v>
      </c>
      <c r="C1728" s="114" t="s">
        <v>20</v>
      </c>
      <c r="D1728" s="114">
        <v>0</v>
      </c>
      <c r="E1728" s="133" t="s">
        <v>514</v>
      </c>
      <c r="F1728" s="134" t="str">
        <f t="shared" si="90"/>
        <v/>
      </c>
      <c r="G1728" s="135" t="e">
        <f>IF(A1728&lt;&gt;"",IF(AND(#REF!="Padrão",$H$4=#REF!),BDI!$B$17,IF(AND(#REF!="Padrão",$H$4=#REF!),BDI!#REF!,IF(AND(#REF!="Diferenciado",$H$4=#REF!),BDI!$E$17,IF(AND(#REF!="Diferenciado",$H$4=#REF!),BDI!#REF!,IF(#REF!="ZERO",0))))),"")</f>
        <v>#REF!</v>
      </c>
      <c r="H1728" s="136" t="str">
        <f t="shared" si="91"/>
        <v/>
      </c>
      <c r="I1728" s="134" t="str">
        <f t="shared" si="92"/>
        <v/>
      </c>
      <c r="J1728" s="226"/>
    </row>
    <row r="1729" spans="1:10" hidden="1" x14ac:dyDescent="0.25">
      <c r="A1729" s="112" t="s">
        <v>5337</v>
      </c>
      <c r="B1729" s="113" t="s">
        <v>4137</v>
      </c>
      <c r="C1729" s="114" t="s">
        <v>20</v>
      </c>
      <c r="D1729" s="114">
        <v>0</v>
      </c>
      <c r="E1729" s="133" t="s">
        <v>514</v>
      </c>
      <c r="F1729" s="134" t="str">
        <f t="shared" si="90"/>
        <v/>
      </c>
      <c r="G1729" s="135" t="e">
        <f>IF(A1729&lt;&gt;"",IF(AND(#REF!="Padrão",$H$4=#REF!),BDI!$B$17,IF(AND(#REF!="Padrão",$H$4=#REF!),BDI!#REF!,IF(AND(#REF!="Diferenciado",$H$4=#REF!),BDI!$E$17,IF(AND(#REF!="Diferenciado",$H$4=#REF!),BDI!#REF!,IF(#REF!="ZERO",0))))),"")</f>
        <v>#REF!</v>
      </c>
      <c r="H1729" s="136" t="str">
        <f t="shared" si="91"/>
        <v/>
      </c>
      <c r="I1729" s="134" t="str">
        <f t="shared" si="92"/>
        <v/>
      </c>
      <c r="J1729" s="226"/>
    </row>
    <row r="1730" spans="1:10" hidden="1" x14ac:dyDescent="0.25">
      <c r="A1730" s="112" t="s">
        <v>5338</v>
      </c>
      <c r="B1730" s="113" t="s">
        <v>4138</v>
      </c>
      <c r="C1730" s="114" t="s">
        <v>20</v>
      </c>
      <c r="D1730" s="114">
        <v>0</v>
      </c>
      <c r="E1730" s="133" t="s">
        <v>514</v>
      </c>
      <c r="F1730" s="134" t="str">
        <f t="shared" si="90"/>
        <v/>
      </c>
      <c r="G1730" s="135" t="e">
        <f>IF(A1730&lt;&gt;"",IF(AND(#REF!="Padrão",$H$4=#REF!),BDI!$B$17,IF(AND(#REF!="Padrão",$H$4=#REF!),BDI!#REF!,IF(AND(#REF!="Diferenciado",$H$4=#REF!),BDI!$E$17,IF(AND(#REF!="Diferenciado",$H$4=#REF!),BDI!#REF!,IF(#REF!="ZERO",0))))),"")</f>
        <v>#REF!</v>
      </c>
      <c r="H1730" s="136" t="str">
        <f t="shared" si="91"/>
        <v/>
      </c>
      <c r="I1730" s="134" t="str">
        <f t="shared" si="92"/>
        <v/>
      </c>
      <c r="J1730" s="226"/>
    </row>
    <row r="1731" spans="1:10" hidden="1" x14ac:dyDescent="0.25">
      <c r="A1731" s="112" t="s">
        <v>5339</v>
      </c>
      <c r="B1731" s="113" t="s">
        <v>4139</v>
      </c>
      <c r="C1731" s="114" t="s">
        <v>20</v>
      </c>
      <c r="D1731" s="114">
        <v>0</v>
      </c>
      <c r="E1731" s="133" t="s">
        <v>514</v>
      </c>
      <c r="F1731" s="134" t="str">
        <f t="shared" si="90"/>
        <v/>
      </c>
      <c r="G1731" s="135" t="e">
        <f>IF(A1731&lt;&gt;"",IF(AND(#REF!="Padrão",$H$4=#REF!),BDI!$B$17,IF(AND(#REF!="Padrão",$H$4=#REF!),BDI!#REF!,IF(AND(#REF!="Diferenciado",$H$4=#REF!),BDI!$E$17,IF(AND(#REF!="Diferenciado",$H$4=#REF!),BDI!#REF!,IF(#REF!="ZERO",0))))),"")</f>
        <v>#REF!</v>
      </c>
      <c r="H1731" s="136" t="str">
        <f t="shared" si="91"/>
        <v/>
      </c>
      <c r="I1731" s="134" t="str">
        <f t="shared" si="92"/>
        <v/>
      </c>
      <c r="J1731" s="226"/>
    </row>
    <row r="1732" spans="1:10" hidden="1" x14ac:dyDescent="0.25">
      <c r="A1732" s="112" t="s">
        <v>5340</v>
      </c>
      <c r="B1732" s="113" t="s">
        <v>4140</v>
      </c>
      <c r="C1732" s="114" t="s">
        <v>20</v>
      </c>
      <c r="D1732" s="114">
        <v>0</v>
      </c>
      <c r="E1732" s="133" t="s">
        <v>514</v>
      </c>
      <c r="F1732" s="134" t="str">
        <f t="shared" si="90"/>
        <v/>
      </c>
      <c r="G1732" s="135" t="e">
        <f>IF(A1732&lt;&gt;"",IF(AND(#REF!="Padrão",$H$4=#REF!),BDI!$B$17,IF(AND(#REF!="Padrão",$H$4=#REF!),BDI!#REF!,IF(AND(#REF!="Diferenciado",$H$4=#REF!),BDI!$E$17,IF(AND(#REF!="Diferenciado",$H$4=#REF!),BDI!#REF!,IF(#REF!="ZERO",0))))),"")</f>
        <v>#REF!</v>
      </c>
      <c r="H1732" s="136" t="str">
        <f t="shared" si="91"/>
        <v/>
      </c>
      <c r="I1732" s="134" t="str">
        <f t="shared" si="92"/>
        <v/>
      </c>
      <c r="J1732" s="226"/>
    </row>
    <row r="1733" spans="1:10" hidden="1" x14ac:dyDescent="0.25">
      <c r="A1733" s="112" t="s">
        <v>5341</v>
      </c>
      <c r="B1733" s="113" t="s">
        <v>4141</v>
      </c>
      <c r="C1733" s="114" t="s">
        <v>20</v>
      </c>
      <c r="D1733" s="114">
        <v>0</v>
      </c>
      <c r="E1733" s="133" t="s">
        <v>514</v>
      </c>
      <c r="F1733" s="134" t="str">
        <f t="shared" si="90"/>
        <v/>
      </c>
      <c r="G1733" s="135" t="e">
        <f>IF(A1733&lt;&gt;"",IF(AND(#REF!="Padrão",$H$4=#REF!),BDI!$B$17,IF(AND(#REF!="Padrão",$H$4=#REF!),BDI!#REF!,IF(AND(#REF!="Diferenciado",$H$4=#REF!),BDI!$E$17,IF(AND(#REF!="Diferenciado",$H$4=#REF!),BDI!#REF!,IF(#REF!="ZERO",0))))),"")</f>
        <v>#REF!</v>
      </c>
      <c r="H1733" s="136" t="str">
        <f t="shared" si="91"/>
        <v/>
      </c>
      <c r="I1733" s="134" t="str">
        <f t="shared" si="92"/>
        <v/>
      </c>
      <c r="J1733" s="226"/>
    </row>
    <row r="1734" spans="1:10" hidden="1" x14ac:dyDescent="0.25">
      <c r="A1734" s="112" t="s">
        <v>5342</v>
      </c>
      <c r="B1734" s="113" t="s">
        <v>4142</v>
      </c>
      <c r="C1734" s="114" t="s">
        <v>20</v>
      </c>
      <c r="D1734" s="114">
        <v>0</v>
      </c>
      <c r="E1734" s="133" t="s">
        <v>514</v>
      </c>
      <c r="F1734" s="134" t="str">
        <f t="shared" si="90"/>
        <v/>
      </c>
      <c r="G1734" s="135" t="e">
        <f>IF(A1734&lt;&gt;"",IF(AND(#REF!="Padrão",$H$4=#REF!),BDI!$B$17,IF(AND(#REF!="Padrão",$H$4=#REF!),BDI!#REF!,IF(AND(#REF!="Diferenciado",$H$4=#REF!),BDI!$E$17,IF(AND(#REF!="Diferenciado",$H$4=#REF!),BDI!#REF!,IF(#REF!="ZERO",0))))),"")</f>
        <v>#REF!</v>
      </c>
      <c r="H1734" s="136" t="str">
        <f t="shared" si="91"/>
        <v/>
      </c>
      <c r="I1734" s="134" t="str">
        <f t="shared" si="92"/>
        <v/>
      </c>
      <c r="J1734" s="226"/>
    </row>
    <row r="1735" spans="1:10" hidden="1" x14ac:dyDescent="0.25">
      <c r="A1735" s="112" t="s">
        <v>5343</v>
      </c>
      <c r="B1735" s="113" t="s">
        <v>4143</v>
      </c>
      <c r="C1735" s="114" t="s">
        <v>20</v>
      </c>
      <c r="D1735" s="114">
        <v>0</v>
      </c>
      <c r="E1735" s="133" t="s">
        <v>514</v>
      </c>
      <c r="F1735" s="134" t="str">
        <f t="shared" si="90"/>
        <v/>
      </c>
      <c r="G1735" s="135" t="e">
        <f>IF(A1735&lt;&gt;"",IF(AND(#REF!="Padrão",$H$4=#REF!),BDI!$B$17,IF(AND(#REF!="Padrão",$H$4=#REF!),BDI!#REF!,IF(AND(#REF!="Diferenciado",$H$4=#REF!),BDI!$E$17,IF(AND(#REF!="Diferenciado",$H$4=#REF!),BDI!#REF!,IF(#REF!="ZERO",0))))),"")</f>
        <v>#REF!</v>
      </c>
      <c r="H1735" s="136" t="str">
        <f t="shared" si="91"/>
        <v/>
      </c>
      <c r="I1735" s="134" t="str">
        <f t="shared" si="92"/>
        <v/>
      </c>
      <c r="J1735" s="226"/>
    </row>
    <row r="1736" spans="1:10" hidden="1" x14ac:dyDescent="0.25">
      <c r="A1736" s="112" t="s">
        <v>5344</v>
      </c>
      <c r="B1736" s="113" t="s">
        <v>4144</v>
      </c>
      <c r="C1736" s="114" t="s">
        <v>20</v>
      </c>
      <c r="D1736" s="114">
        <v>0</v>
      </c>
      <c r="E1736" s="133" t="s">
        <v>514</v>
      </c>
      <c r="F1736" s="134" t="str">
        <f t="shared" si="90"/>
        <v/>
      </c>
      <c r="G1736" s="135" t="e">
        <f>IF(A1736&lt;&gt;"",IF(AND(#REF!="Padrão",$H$4=#REF!),BDI!$B$17,IF(AND(#REF!="Padrão",$H$4=#REF!),BDI!#REF!,IF(AND(#REF!="Diferenciado",$H$4=#REF!),BDI!$E$17,IF(AND(#REF!="Diferenciado",$H$4=#REF!),BDI!#REF!,IF(#REF!="ZERO",0))))),"")</f>
        <v>#REF!</v>
      </c>
      <c r="H1736" s="136" t="str">
        <f t="shared" si="91"/>
        <v/>
      </c>
      <c r="I1736" s="134" t="str">
        <f t="shared" si="92"/>
        <v/>
      </c>
      <c r="J1736" s="226"/>
    </row>
    <row r="1737" spans="1:10" hidden="1" x14ac:dyDescent="0.25">
      <c r="A1737" s="112" t="s">
        <v>5345</v>
      </c>
      <c r="B1737" s="113" t="s">
        <v>4145</v>
      </c>
      <c r="C1737" s="114" t="s">
        <v>20</v>
      </c>
      <c r="D1737" s="114">
        <v>0</v>
      </c>
      <c r="E1737" s="133" t="s">
        <v>514</v>
      </c>
      <c r="F1737" s="134" t="str">
        <f t="shared" si="90"/>
        <v/>
      </c>
      <c r="G1737" s="135" t="e">
        <f>IF(A1737&lt;&gt;"",IF(AND(#REF!="Padrão",$H$4=#REF!),BDI!$B$17,IF(AND(#REF!="Padrão",$H$4=#REF!),BDI!#REF!,IF(AND(#REF!="Diferenciado",$H$4=#REF!),BDI!$E$17,IF(AND(#REF!="Diferenciado",$H$4=#REF!),BDI!#REF!,IF(#REF!="ZERO",0))))),"")</f>
        <v>#REF!</v>
      </c>
      <c r="H1737" s="136" t="str">
        <f t="shared" si="91"/>
        <v/>
      </c>
      <c r="I1737" s="134" t="str">
        <f t="shared" si="92"/>
        <v/>
      </c>
      <c r="J1737" s="226"/>
    </row>
    <row r="1738" spans="1:10" hidden="1" x14ac:dyDescent="0.25">
      <c r="A1738" s="112" t="s">
        <v>5346</v>
      </c>
      <c r="B1738" s="113" t="s">
        <v>6438</v>
      </c>
      <c r="C1738" s="114" t="s">
        <v>92</v>
      </c>
      <c r="D1738" s="114">
        <v>0</v>
      </c>
      <c r="E1738" s="133" t="s">
        <v>514</v>
      </c>
      <c r="F1738" s="134" t="str">
        <f t="shared" si="90"/>
        <v/>
      </c>
      <c r="G1738" s="135" t="e">
        <f>IF(A1738&lt;&gt;"",IF(AND(#REF!="Padrão",$H$4=#REF!),BDI!$B$17,IF(AND(#REF!="Padrão",$H$4=#REF!),BDI!#REF!,IF(AND(#REF!="Diferenciado",$H$4=#REF!),BDI!$E$17,IF(AND(#REF!="Diferenciado",$H$4=#REF!),BDI!#REF!,IF(#REF!="ZERO",0))))),"")</f>
        <v>#REF!</v>
      </c>
      <c r="H1738" s="136" t="str">
        <f t="shared" si="91"/>
        <v/>
      </c>
      <c r="I1738" s="134" t="str">
        <f t="shared" si="92"/>
        <v/>
      </c>
      <c r="J1738" s="226"/>
    </row>
    <row r="1739" spans="1:10" hidden="1" x14ac:dyDescent="0.25">
      <c r="A1739" s="112" t="s">
        <v>5347</v>
      </c>
      <c r="B1739" s="113" t="s">
        <v>6439</v>
      </c>
      <c r="C1739" s="114" t="s">
        <v>92</v>
      </c>
      <c r="D1739" s="114">
        <v>0</v>
      </c>
      <c r="E1739" s="133" t="s">
        <v>514</v>
      </c>
      <c r="F1739" s="134" t="str">
        <f t="shared" si="90"/>
        <v/>
      </c>
      <c r="G1739" s="135" t="e">
        <f>IF(A1739&lt;&gt;"",IF(AND(#REF!="Padrão",$H$4=#REF!),BDI!$B$17,IF(AND(#REF!="Padrão",$H$4=#REF!),BDI!#REF!,IF(AND(#REF!="Diferenciado",$H$4=#REF!),BDI!$E$17,IF(AND(#REF!="Diferenciado",$H$4=#REF!),BDI!#REF!,IF(#REF!="ZERO",0))))),"")</f>
        <v>#REF!</v>
      </c>
      <c r="H1739" s="136" t="str">
        <f t="shared" si="91"/>
        <v/>
      </c>
      <c r="I1739" s="134" t="str">
        <f t="shared" si="92"/>
        <v/>
      </c>
      <c r="J1739" s="226"/>
    </row>
    <row r="1740" spans="1:10" hidden="1" x14ac:dyDescent="0.25">
      <c r="A1740" s="112" t="s">
        <v>5348</v>
      </c>
      <c r="B1740" s="113" t="s">
        <v>4146</v>
      </c>
      <c r="C1740" s="114" t="s">
        <v>92</v>
      </c>
      <c r="D1740" s="114">
        <v>0</v>
      </c>
      <c r="E1740" s="133" t="s">
        <v>514</v>
      </c>
      <c r="F1740" s="134" t="str">
        <f t="shared" si="90"/>
        <v/>
      </c>
      <c r="G1740" s="135" t="e">
        <f>IF(A1740&lt;&gt;"",IF(AND(#REF!="Padrão",$H$4=#REF!),BDI!$B$17,IF(AND(#REF!="Padrão",$H$4=#REF!),BDI!#REF!,IF(AND(#REF!="Diferenciado",$H$4=#REF!),BDI!$E$17,IF(AND(#REF!="Diferenciado",$H$4=#REF!),BDI!#REF!,IF(#REF!="ZERO",0))))),"")</f>
        <v>#REF!</v>
      </c>
      <c r="H1740" s="136" t="str">
        <f t="shared" si="91"/>
        <v/>
      </c>
      <c r="I1740" s="134" t="str">
        <f t="shared" si="92"/>
        <v/>
      </c>
      <c r="J1740" s="226"/>
    </row>
    <row r="1741" spans="1:10" hidden="1" x14ac:dyDescent="0.25">
      <c r="A1741" s="112" t="s">
        <v>5349</v>
      </c>
      <c r="B1741" s="113" t="s">
        <v>6440</v>
      </c>
      <c r="C1741" s="114" t="s">
        <v>92</v>
      </c>
      <c r="D1741" s="114">
        <v>0</v>
      </c>
      <c r="E1741" s="133" t="s">
        <v>514</v>
      </c>
      <c r="F1741" s="134" t="str">
        <f t="shared" si="90"/>
        <v/>
      </c>
      <c r="G1741" s="135" t="e">
        <f>IF(A1741&lt;&gt;"",IF(AND(#REF!="Padrão",$H$4=#REF!),BDI!$B$17,IF(AND(#REF!="Padrão",$H$4=#REF!),BDI!#REF!,IF(AND(#REF!="Diferenciado",$H$4=#REF!),BDI!$E$17,IF(AND(#REF!="Diferenciado",$H$4=#REF!),BDI!#REF!,IF(#REF!="ZERO",0))))),"")</f>
        <v>#REF!</v>
      </c>
      <c r="H1741" s="136" t="str">
        <f t="shared" si="91"/>
        <v/>
      </c>
      <c r="I1741" s="134" t="str">
        <f t="shared" si="92"/>
        <v/>
      </c>
      <c r="J1741" s="226"/>
    </row>
    <row r="1742" spans="1:10" hidden="1" x14ac:dyDescent="0.25">
      <c r="A1742" s="112" t="s">
        <v>5350</v>
      </c>
      <c r="B1742" s="113" t="s">
        <v>6441</v>
      </c>
      <c r="C1742" s="114" t="s">
        <v>92</v>
      </c>
      <c r="D1742" s="114">
        <v>0</v>
      </c>
      <c r="E1742" s="133" t="s">
        <v>514</v>
      </c>
      <c r="F1742" s="134" t="str">
        <f t="shared" si="90"/>
        <v/>
      </c>
      <c r="G1742" s="135" t="e">
        <f>IF(A1742&lt;&gt;"",IF(AND(#REF!="Padrão",$H$4=#REF!),BDI!$B$17,IF(AND(#REF!="Padrão",$H$4=#REF!),BDI!#REF!,IF(AND(#REF!="Diferenciado",$H$4=#REF!),BDI!$E$17,IF(AND(#REF!="Diferenciado",$H$4=#REF!),BDI!#REF!,IF(#REF!="ZERO",0))))),"")</f>
        <v>#REF!</v>
      </c>
      <c r="H1742" s="136" t="str">
        <f t="shared" si="91"/>
        <v/>
      </c>
      <c r="I1742" s="134" t="str">
        <f t="shared" si="92"/>
        <v/>
      </c>
      <c r="J1742" s="226"/>
    </row>
    <row r="1743" spans="1:10" hidden="1" x14ac:dyDescent="0.25">
      <c r="A1743" s="112" t="s">
        <v>5351</v>
      </c>
      <c r="B1743" s="113" t="s">
        <v>6442</v>
      </c>
      <c r="C1743" s="114" t="s">
        <v>92</v>
      </c>
      <c r="D1743" s="114">
        <v>0</v>
      </c>
      <c r="E1743" s="133" t="s">
        <v>514</v>
      </c>
      <c r="F1743" s="134" t="str">
        <f t="shared" si="90"/>
        <v/>
      </c>
      <c r="G1743" s="135" t="e">
        <f>IF(A1743&lt;&gt;"",IF(AND(#REF!="Padrão",$H$4=#REF!),BDI!$B$17,IF(AND(#REF!="Padrão",$H$4=#REF!),BDI!#REF!,IF(AND(#REF!="Diferenciado",$H$4=#REF!),BDI!$E$17,IF(AND(#REF!="Diferenciado",$H$4=#REF!),BDI!#REF!,IF(#REF!="ZERO",0))))),"")</f>
        <v>#REF!</v>
      </c>
      <c r="H1743" s="136" t="str">
        <f t="shared" si="91"/>
        <v/>
      </c>
      <c r="I1743" s="134" t="str">
        <f t="shared" si="92"/>
        <v/>
      </c>
      <c r="J1743" s="226"/>
    </row>
    <row r="1744" spans="1:10" hidden="1" x14ac:dyDescent="0.25">
      <c r="A1744" s="112" t="s">
        <v>5352</v>
      </c>
      <c r="B1744" s="113" t="s">
        <v>6443</v>
      </c>
      <c r="C1744" s="114" t="s">
        <v>92</v>
      </c>
      <c r="D1744" s="114">
        <v>0</v>
      </c>
      <c r="E1744" s="133" t="s">
        <v>514</v>
      </c>
      <c r="F1744" s="134" t="str">
        <f t="shared" si="90"/>
        <v/>
      </c>
      <c r="G1744" s="135" t="e">
        <f>IF(A1744&lt;&gt;"",IF(AND(#REF!="Padrão",$H$4=#REF!),BDI!$B$17,IF(AND(#REF!="Padrão",$H$4=#REF!),BDI!#REF!,IF(AND(#REF!="Diferenciado",$H$4=#REF!),BDI!$E$17,IF(AND(#REF!="Diferenciado",$H$4=#REF!),BDI!#REF!,IF(#REF!="ZERO",0))))),"")</f>
        <v>#REF!</v>
      </c>
      <c r="H1744" s="136" t="str">
        <f t="shared" si="91"/>
        <v/>
      </c>
      <c r="I1744" s="134" t="str">
        <f t="shared" si="92"/>
        <v/>
      </c>
      <c r="J1744" s="226"/>
    </row>
    <row r="1745" spans="1:10" hidden="1" x14ac:dyDescent="0.25">
      <c r="A1745" s="112" t="s">
        <v>5353</v>
      </c>
      <c r="B1745" s="113" t="s">
        <v>6444</v>
      </c>
      <c r="C1745" s="114" t="s">
        <v>92</v>
      </c>
      <c r="D1745" s="114">
        <v>0</v>
      </c>
      <c r="E1745" s="133" t="s">
        <v>514</v>
      </c>
      <c r="F1745" s="134" t="str">
        <f t="shared" si="90"/>
        <v/>
      </c>
      <c r="G1745" s="135" t="e">
        <f>IF(A1745&lt;&gt;"",IF(AND(#REF!="Padrão",$H$4=#REF!),BDI!$B$17,IF(AND(#REF!="Padrão",$H$4=#REF!),BDI!#REF!,IF(AND(#REF!="Diferenciado",$H$4=#REF!),BDI!$E$17,IF(AND(#REF!="Diferenciado",$H$4=#REF!),BDI!#REF!,IF(#REF!="ZERO",0))))),"")</f>
        <v>#REF!</v>
      </c>
      <c r="H1745" s="136" t="str">
        <f t="shared" si="91"/>
        <v/>
      </c>
      <c r="I1745" s="134" t="str">
        <f t="shared" si="92"/>
        <v/>
      </c>
      <c r="J1745" s="226"/>
    </row>
    <row r="1746" spans="1:10" hidden="1" x14ac:dyDescent="0.25">
      <c r="A1746" s="112" t="s">
        <v>5354</v>
      </c>
      <c r="B1746" s="113" t="s">
        <v>4147</v>
      </c>
      <c r="C1746" s="114" t="s">
        <v>92</v>
      </c>
      <c r="D1746" s="114">
        <v>0</v>
      </c>
      <c r="E1746" s="133" t="s">
        <v>514</v>
      </c>
      <c r="F1746" s="134" t="str">
        <f t="shared" si="90"/>
        <v/>
      </c>
      <c r="G1746" s="135" t="e">
        <f>IF(A1746&lt;&gt;"",IF(AND(#REF!="Padrão",$H$4=#REF!),BDI!$B$17,IF(AND(#REF!="Padrão",$H$4=#REF!),BDI!#REF!,IF(AND(#REF!="Diferenciado",$H$4=#REF!),BDI!$E$17,IF(AND(#REF!="Diferenciado",$H$4=#REF!),BDI!#REF!,IF(#REF!="ZERO",0))))),"")</f>
        <v>#REF!</v>
      </c>
      <c r="H1746" s="136" t="str">
        <f t="shared" si="91"/>
        <v/>
      </c>
      <c r="I1746" s="134" t="str">
        <f t="shared" si="92"/>
        <v/>
      </c>
      <c r="J1746" s="226"/>
    </row>
    <row r="1747" spans="1:10" hidden="1" x14ac:dyDescent="0.25">
      <c r="A1747" s="112" t="s">
        <v>5355</v>
      </c>
      <c r="B1747" s="113" t="s">
        <v>4148</v>
      </c>
      <c r="C1747" s="114" t="s">
        <v>92</v>
      </c>
      <c r="D1747" s="114">
        <v>0</v>
      </c>
      <c r="E1747" s="133" t="s">
        <v>514</v>
      </c>
      <c r="F1747" s="134" t="str">
        <f t="shared" si="90"/>
        <v/>
      </c>
      <c r="G1747" s="135" t="e">
        <f>IF(A1747&lt;&gt;"",IF(AND(#REF!="Padrão",$H$4=#REF!),BDI!$B$17,IF(AND(#REF!="Padrão",$H$4=#REF!),BDI!#REF!,IF(AND(#REF!="Diferenciado",$H$4=#REF!),BDI!$E$17,IF(AND(#REF!="Diferenciado",$H$4=#REF!),BDI!#REF!,IF(#REF!="ZERO",0))))),"")</f>
        <v>#REF!</v>
      </c>
      <c r="H1747" s="136" t="str">
        <f t="shared" si="91"/>
        <v/>
      </c>
      <c r="I1747" s="134" t="str">
        <f t="shared" si="92"/>
        <v/>
      </c>
      <c r="J1747" s="226"/>
    </row>
    <row r="1748" spans="1:10" hidden="1" x14ac:dyDescent="0.25">
      <c r="A1748" s="112" t="s">
        <v>5356</v>
      </c>
      <c r="B1748" s="113" t="s">
        <v>4149</v>
      </c>
      <c r="C1748" s="114" t="s">
        <v>92</v>
      </c>
      <c r="D1748" s="114">
        <v>0</v>
      </c>
      <c r="E1748" s="133" t="s">
        <v>514</v>
      </c>
      <c r="F1748" s="134" t="str">
        <f t="shared" si="90"/>
        <v/>
      </c>
      <c r="G1748" s="135" t="e">
        <f>IF(A1748&lt;&gt;"",IF(AND(#REF!="Padrão",$H$4=#REF!),BDI!$B$17,IF(AND(#REF!="Padrão",$H$4=#REF!),BDI!#REF!,IF(AND(#REF!="Diferenciado",$H$4=#REF!),BDI!$E$17,IF(AND(#REF!="Diferenciado",$H$4=#REF!),BDI!#REF!,IF(#REF!="ZERO",0))))),"")</f>
        <v>#REF!</v>
      </c>
      <c r="H1748" s="136" t="str">
        <f t="shared" si="91"/>
        <v/>
      </c>
      <c r="I1748" s="134" t="str">
        <f t="shared" si="92"/>
        <v/>
      </c>
      <c r="J1748" s="226"/>
    </row>
    <row r="1749" spans="1:10" hidden="1" x14ac:dyDescent="0.25">
      <c r="A1749" s="112" t="s">
        <v>5357</v>
      </c>
      <c r="B1749" s="113" t="s">
        <v>4150</v>
      </c>
      <c r="C1749" s="114" t="s">
        <v>92</v>
      </c>
      <c r="D1749" s="114">
        <v>0</v>
      </c>
      <c r="E1749" s="133" t="s">
        <v>514</v>
      </c>
      <c r="F1749" s="134" t="str">
        <f t="shared" si="90"/>
        <v/>
      </c>
      <c r="G1749" s="135" t="e">
        <f>IF(A1749&lt;&gt;"",IF(AND(#REF!="Padrão",$H$4=#REF!),BDI!$B$17,IF(AND(#REF!="Padrão",$H$4=#REF!),BDI!#REF!,IF(AND(#REF!="Diferenciado",$H$4=#REF!),BDI!$E$17,IF(AND(#REF!="Diferenciado",$H$4=#REF!),BDI!#REF!,IF(#REF!="ZERO",0))))),"")</f>
        <v>#REF!</v>
      </c>
      <c r="H1749" s="136" t="str">
        <f t="shared" si="91"/>
        <v/>
      </c>
      <c r="I1749" s="134" t="str">
        <f t="shared" si="92"/>
        <v/>
      </c>
      <c r="J1749" s="226"/>
    </row>
    <row r="1750" spans="1:10" hidden="1" x14ac:dyDescent="0.25">
      <c r="A1750" s="112" t="s">
        <v>5358</v>
      </c>
      <c r="B1750" s="113" t="s">
        <v>4151</v>
      </c>
      <c r="C1750" s="114" t="s">
        <v>92</v>
      </c>
      <c r="D1750" s="114">
        <v>0</v>
      </c>
      <c r="E1750" s="133" t="s">
        <v>514</v>
      </c>
      <c r="F1750" s="134" t="str">
        <f t="shared" si="90"/>
        <v/>
      </c>
      <c r="G1750" s="135" t="e">
        <f>IF(A1750&lt;&gt;"",IF(AND(#REF!="Padrão",$H$4=#REF!),BDI!$B$17,IF(AND(#REF!="Padrão",$H$4=#REF!),BDI!#REF!,IF(AND(#REF!="Diferenciado",$H$4=#REF!),BDI!$E$17,IF(AND(#REF!="Diferenciado",$H$4=#REF!),BDI!#REF!,IF(#REF!="ZERO",0))))),"")</f>
        <v>#REF!</v>
      </c>
      <c r="H1750" s="136" t="str">
        <f t="shared" si="91"/>
        <v/>
      </c>
      <c r="I1750" s="134" t="str">
        <f t="shared" si="92"/>
        <v/>
      </c>
      <c r="J1750" s="226"/>
    </row>
    <row r="1751" spans="1:10" hidden="1" x14ac:dyDescent="0.25">
      <c r="A1751" s="112" t="s">
        <v>5359</v>
      </c>
      <c r="B1751" s="113" t="s">
        <v>4152</v>
      </c>
      <c r="C1751" s="114" t="s">
        <v>92</v>
      </c>
      <c r="D1751" s="114">
        <v>0</v>
      </c>
      <c r="E1751" s="133" t="s">
        <v>514</v>
      </c>
      <c r="F1751" s="134" t="str">
        <f t="shared" si="90"/>
        <v/>
      </c>
      <c r="G1751" s="135" t="e">
        <f>IF(A1751&lt;&gt;"",IF(AND(#REF!="Padrão",$H$4=#REF!),BDI!$B$17,IF(AND(#REF!="Padrão",$H$4=#REF!),BDI!#REF!,IF(AND(#REF!="Diferenciado",$H$4=#REF!),BDI!$E$17,IF(AND(#REF!="Diferenciado",$H$4=#REF!),BDI!#REF!,IF(#REF!="ZERO",0))))),"")</f>
        <v>#REF!</v>
      </c>
      <c r="H1751" s="136" t="str">
        <f t="shared" si="91"/>
        <v/>
      </c>
      <c r="I1751" s="134" t="str">
        <f t="shared" si="92"/>
        <v/>
      </c>
      <c r="J1751" s="226"/>
    </row>
    <row r="1752" spans="1:10" hidden="1" x14ac:dyDescent="0.25">
      <c r="A1752" s="112" t="s">
        <v>5360</v>
      </c>
      <c r="B1752" s="113" t="s">
        <v>4153</v>
      </c>
      <c r="C1752" s="114" t="s">
        <v>92</v>
      </c>
      <c r="D1752" s="114">
        <v>0</v>
      </c>
      <c r="E1752" s="133" t="s">
        <v>514</v>
      </c>
      <c r="F1752" s="134" t="str">
        <f t="shared" si="90"/>
        <v/>
      </c>
      <c r="G1752" s="135" t="e">
        <f>IF(A1752&lt;&gt;"",IF(AND(#REF!="Padrão",$H$4=#REF!),BDI!$B$17,IF(AND(#REF!="Padrão",$H$4=#REF!),BDI!#REF!,IF(AND(#REF!="Diferenciado",$H$4=#REF!),BDI!$E$17,IF(AND(#REF!="Diferenciado",$H$4=#REF!),BDI!#REF!,IF(#REF!="ZERO",0))))),"")</f>
        <v>#REF!</v>
      </c>
      <c r="H1752" s="136" t="str">
        <f t="shared" si="91"/>
        <v/>
      </c>
      <c r="I1752" s="134" t="str">
        <f t="shared" si="92"/>
        <v/>
      </c>
      <c r="J1752" s="226"/>
    </row>
    <row r="1753" spans="1:10" hidden="1" x14ac:dyDescent="0.25">
      <c r="A1753" s="112" t="s">
        <v>5361</v>
      </c>
      <c r="B1753" s="113" t="s">
        <v>4154</v>
      </c>
      <c r="C1753" s="114" t="s">
        <v>92</v>
      </c>
      <c r="D1753" s="114">
        <v>0</v>
      </c>
      <c r="E1753" s="133" t="s">
        <v>514</v>
      </c>
      <c r="F1753" s="134" t="str">
        <f t="shared" si="90"/>
        <v/>
      </c>
      <c r="G1753" s="135" t="e">
        <f>IF(A1753&lt;&gt;"",IF(AND(#REF!="Padrão",$H$4=#REF!),BDI!$B$17,IF(AND(#REF!="Padrão",$H$4=#REF!),BDI!#REF!,IF(AND(#REF!="Diferenciado",$H$4=#REF!),BDI!$E$17,IF(AND(#REF!="Diferenciado",$H$4=#REF!),BDI!#REF!,IF(#REF!="ZERO",0))))),"")</f>
        <v>#REF!</v>
      </c>
      <c r="H1753" s="136" t="str">
        <f t="shared" si="91"/>
        <v/>
      </c>
      <c r="I1753" s="134" t="str">
        <f t="shared" si="92"/>
        <v/>
      </c>
      <c r="J1753" s="226"/>
    </row>
    <row r="1754" spans="1:10" hidden="1" x14ac:dyDescent="0.25">
      <c r="A1754" s="112" t="s">
        <v>5362</v>
      </c>
      <c r="B1754" s="113" t="s">
        <v>4155</v>
      </c>
      <c r="C1754" s="114" t="s">
        <v>92</v>
      </c>
      <c r="D1754" s="114">
        <v>0</v>
      </c>
      <c r="E1754" s="133" t="s">
        <v>514</v>
      </c>
      <c r="F1754" s="134" t="str">
        <f t="shared" si="90"/>
        <v/>
      </c>
      <c r="G1754" s="135" t="e">
        <f>IF(A1754&lt;&gt;"",IF(AND(#REF!="Padrão",$H$4=#REF!),BDI!$B$17,IF(AND(#REF!="Padrão",$H$4=#REF!),BDI!#REF!,IF(AND(#REF!="Diferenciado",$H$4=#REF!),BDI!$E$17,IF(AND(#REF!="Diferenciado",$H$4=#REF!),BDI!#REF!,IF(#REF!="ZERO",0))))),"")</f>
        <v>#REF!</v>
      </c>
      <c r="H1754" s="136" t="str">
        <f t="shared" si="91"/>
        <v/>
      </c>
      <c r="I1754" s="134" t="str">
        <f t="shared" si="92"/>
        <v/>
      </c>
      <c r="J1754" s="226"/>
    </row>
    <row r="1755" spans="1:10" hidden="1" x14ac:dyDescent="0.25">
      <c r="A1755" s="112" t="s">
        <v>5363</v>
      </c>
      <c r="B1755" s="113" t="s">
        <v>4156</v>
      </c>
      <c r="C1755" s="114" t="s">
        <v>20</v>
      </c>
      <c r="D1755" s="114">
        <v>0</v>
      </c>
      <c r="E1755" s="133" t="s">
        <v>514</v>
      </c>
      <c r="F1755" s="134" t="str">
        <f t="shared" si="90"/>
        <v/>
      </c>
      <c r="G1755" s="135" t="e">
        <f>IF(A1755&lt;&gt;"",IF(AND(#REF!="Padrão",$H$4=#REF!),BDI!$B$17,IF(AND(#REF!="Padrão",$H$4=#REF!),BDI!#REF!,IF(AND(#REF!="Diferenciado",$H$4=#REF!),BDI!$E$17,IF(AND(#REF!="Diferenciado",$H$4=#REF!),BDI!#REF!,IF(#REF!="ZERO",0))))),"")</f>
        <v>#REF!</v>
      </c>
      <c r="H1755" s="136" t="str">
        <f t="shared" si="91"/>
        <v/>
      </c>
      <c r="I1755" s="134" t="str">
        <f t="shared" si="92"/>
        <v/>
      </c>
      <c r="J1755" s="226"/>
    </row>
    <row r="1756" spans="1:10" hidden="1" x14ac:dyDescent="0.25">
      <c r="A1756" s="112" t="s">
        <v>5364</v>
      </c>
      <c r="B1756" s="113" t="s">
        <v>4157</v>
      </c>
      <c r="C1756" s="114" t="s">
        <v>20</v>
      </c>
      <c r="D1756" s="114">
        <v>0</v>
      </c>
      <c r="E1756" s="133" t="s">
        <v>514</v>
      </c>
      <c r="F1756" s="134" t="str">
        <f t="shared" si="90"/>
        <v/>
      </c>
      <c r="G1756" s="135" t="e">
        <f>IF(A1756&lt;&gt;"",IF(AND(#REF!="Padrão",$H$4=#REF!),BDI!$B$17,IF(AND(#REF!="Padrão",$H$4=#REF!),BDI!#REF!,IF(AND(#REF!="Diferenciado",$H$4=#REF!),BDI!$E$17,IF(AND(#REF!="Diferenciado",$H$4=#REF!),BDI!#REF!,IF(#REF!="ZERO",0))))),"")</f>
        <v>#REF!</v>
      </c>
      <c r="H1756" s="136" t="str">
        <f t="shared" si="91"/>
        <v/>
      </c>
      <c r="I1756" s="134" t="str">
        <f t="shared" si="92"/>
        <v/>
      </c>
      <c r="J1756" s="226"/>
    </row>
    <row r="1757" spans="1:10" hidden="1" x14ac:dyDescent="0.25">
      <c r="A1757" s="112" t="s">
        <v>5365</v>
      </c>
      <c r="B1757" s="113" t="s">
        <v>4158</v>
      </c>
      <c r="C1757" s="114" t="s">
        <v>20</v>
      </c>
      <c r="D1757" s="114">
        <v>0</v>
      </c>
      <c r="E1757" s="133" t="s">
        <v>514</v>
      </c>
      <c r="F1757" s="134" t="str">
        <f t="shared" si="90"/>
        <v/>
      </c>
      <c r="G1757" s="135" t="e">
        <f>IF(A1757&lt;&gt;"",IF(AND(#REF!="Padrão",$H$4=#REF!),BDI!$B$17,IF(AND(#REF!="Padrão",$H$4=#REF!),BDI!#REF!,IF(AND(#REF!="Diferenciado",$H$4=#REF!),BDI!$E$17,IF(AND(#REF!="Diferenciado",$H$4=#REF!),BDI!#REF!,IF(#REF!="ZERO",0))))),"")</f>
        <v>#REF!</v>
      </c>
      <c r="H1757" s="136" t="str">
        <f t="shared" si="91"/>
        <v/>
      </c>
      <c r="I1757" s="134" t="str">
        <f t="shared" si="92"/>
        <v/>
      </c>
      <c r="J1757" s="226"/>
    </row>
    <row r="1758" spans="1:10" hidden="1" x14ac:dyDescent="0.25">
      <c r="A1758" s="112" t="s">
        <v>5366</v>
      </c>
      <c r="B1758" s="113" t="s">
        <v>4159</v>
      </c>
      <c r="C1758" s="114" t="s">
        <v>20</v>
      </c>
      <c r="D1758" s="114">
        <v>0</v>
      </c>
      <c r="E1758" s="133" t="s">
        <v>514</v>
      </c>
      <c r="F1758" s="134" t="str">
        <f t="shared" si="90"/>
        <v/>
      </c>
      <c r="G1758" s="135" t="e">
        <f>IF(A1758&lt;&gt;"",IF(AND(#REF!="Padrão",$H$4=#REF!),BDI!$B$17,IF(AND(#REF!="Padrão",$H$4=#REF!),BDI!#REF!,IF(AND(#REF!="Diferenciado",$H$4=#REF!),BDI!$E$17,IF(AND(#REF!="Diferenciado",$H$4=#REF!),BDI!#REF!,IF(#REF!="ZERO",0))))),"")</f>
        <v>#REF!</v>
      </c>
      <c r="H1758" s="136" t="str">
        <f t="shared" si="91"/>
        <v/>
      </c>
      <c r="I1758" s="134" t="str">
        <f t="shared" si="92"/>
        <v/>
      </c>
      <c r="J1758" s="226"/>
    </row>
    <row r="1759" spans="1:10" hidden="1" x14ac:dyDescent="0.25">
      <c r="A1759" s="112" t="s">
        <v>5367</v>
      </c>
      <c r="B1759" s="113" t="s">
        <v>4160</v>
      </c>
      <c r="C1759" s="114" t="s">
        <v>20</v>
      </c>
      <c r="D1759" s="114">
        <v>0</v>
      </c>
      <c r="E1759" s="133" t="s">
        <v>514</v>
      </c>
      <c r="F1759" s="134" t="str">
        <f t="shared" si="90"/>
        <v/>
      </c>
      <c r="G1759" s="135" t="e">
        <f>IF(A1759&lt;&gt;"",IF(AND(#REF!="Padrão",$H$4=#REF!),BDI!$B$17,IF(AND(#REF!="Padrão",$H$4=#REF!),BDI!#REF!,IF(AND(#REF!="Diferenciado",$H$4=#REF!),BDI!$E$17,IF(AND(#REF!="Diferenciado",$H$4=#REF!),BDI!#REF!,IF(#REF!="ZERO",0))))),"")</f>
        <v>#REF!</v>
      </c>
      <c r="H1759" s="136" t="str">
        <f t="shared" si="91"/>
        <v/>
      </c>
      <c r="I1759" s="134" t="str">
        <f t="shared" si="92"/>
        <v/>
      </c>
      <c r="J1759" s="226"/>
    </row>
    <row r="1760" spans="1:10" hidden="1" x14ac:dyDescent="0.25">
      <c r="A1760" s="112" t="s">
        <v>5368</v>
      </c>
      <c r="B1760" s="113" t="s">
        <v>4161</v>
      </c>
      <c r="C1760" s="114" t="s">
        <v>20</v>
      </c>
      <c r="D1760" s="114">
        <v>0</v>
      </c>
      <c r="E1760" s="133" t="s">
        <v>514</v>
      </c>
      <c r="F1760" s="134" t="str">
        <f t="shared" si="90"/>
        <v/>
      </c>
      <c r="G1760" s="135" t="e">
        <f>IF(A1760&lt;&gt;"",IF(AND(#REF!="Padrão",$H$4=#REF!),BDI!$B$17,IF(AND(#REF!="Padrão",$H$4=#REF!),BDI!#REF!,IF(AND(#REF!="Diferenciado",$H$4=#REF!),BDI!$E$17,IF(AND(#REF!="Diferenciado",$H$4=#REF!),BDI!#REF!,IF(#REF!="ZERO",0))))),"")</f>
        <v>#REF!</v>
      </c>
      <c r="H1760" s="136" t="str">
        <f t="shared" si="91"/>
        <v/>
      </c>
      <c r="I1760" s="134" t="str">
        <f t="shared" si="92"/>
        <v/>
      </c>
      <c r="J1760" s="226"/>
    </row>
    <row r="1761" spans="1:10" hidden="1" x14ac:dyDescent="0.25">
      <c r="A1761" s="112" t="s">
        <v>5369</v>
      </c>
      <c r="B1761" s="113" t="s">
        <v>4162</v>
      </c>
      <c r="C1761" s="114" t="s">
        <v>20</v>
      </c>
      <c r="D1761" s="114">
        <v>0</v>
      </c>
      <c r="E1761" s="133" t="s">
        <v>514</v>
      </c>
      <c r="F1761" s="134" t="str">
        <f t="shared" si="90"/>
        <v/>
      </c>
      <c r="G1761" s="135" t="e">
        <f>IF(A1761&lt;&gt;"",IF(AND(#REF!="Padrão",$H$4=#REF!),BDI!$B$17,IF(AND(#REF!="Padrão",$H$4=#REF!),BDI!#REF!,IF(AND(#REF!="Diferenciado",$H$4=#REF!),BDI!$E$17,IF(AND(#REF!="Diferenciado",$H$4=#REF!),BDI!#REF!,IF(#REF!="ZERO",0))))),"")</f>
        <v>#REF!</v>
      </c>
      <c r="H1761" s="136" t="str">
        <f t="shared" si="91"/>
        <v/>
      </c>
      <c r="I1761" s="134" t="str">
        <f t="shared" si="92"/>
        <v/>
      </c>
      <c r="J1761" s="226"/>
    </row>
    <row r="1762" spans="1:10" hidden="1" x14ac:dyDescent="0.25">
      <c r="A1762" s="112" t="s">
        <v>5370</v>
      </c>
      <c r="B1762" s="113" t="s">
        <v>4163</v>
      </c>
      <c r="C1762" s="114" t="s">
        <v>20</v>
      </c>
      <c r="D1762" s="114">
        <v>0</v>
      </c>
      <c r="E1762" s="133" t="s">
        <v>514</v>
      </c>
      <c r="F1762" s="134" t="str">
        <f t="shared" si="90"/>
        <v/>
      </c>
      <c r="G1762" s="135" t="e">
        <f>IF(A1762&lt;&gt;"",IF(AND(#REF!="Padrão",$H$4=#REF!),BDI!$B$17,IF(AND(#REF!="Padrão",$H$4=#REF!),BDI!#REF!,IF(AND(#REF!="Diferenciado",$H$4=#REF!),BDI!$E$17,IF(AND(#REF!="Diferenciado",$H$4=#REF!),BDI!#REF!,IF(#REF!="ZERO",0))))),"")</f>
        <v>#REF!</v>
      </c>
      <c r="H1762" s="136" t="str">
        <f t="shared" si="91"/>
        <v/>
      </c>
      <c r="I1762" s="134" t="str">
        <f t="shared" si="92"/>
        <v/>
      </c>
      <c r="J1762" s="226"/>
    </row>
    <row r="1763" spans="1:10" hidden="1" x14ac:dyDescent="0.25">
      <c r="A1763" s="112" t="s">
        <v>5371</v>
      </c>
      <c r="B1763" s="113" t="s">
        <v>4164</v>
      </c>
      <c r="C1763" s="114" t="s">
        <v>20</v>
      </c>
      <c r="D1763" s="114">
        <v>0</v>
      </c>
      <c r="E1763" s="133" t="s">
        <v>514</v>
      </c>
      <c r="F1763" s="134" t="str">
        <f t="shared" si="90"/>
        <v/>
      </c>
      <c r="G1763" s="135" t="e">
        <f>IF(A1763&lt;&gt;"",IF(AND(#REF!="Padrão",$H$4=#REF!),BDI!$B$17,IF(AND(#REF!="Padrão",$H$4=#REF!),BDI!#REF!,IF(AND(#REF!="Diferenciado",$H$4=#REF!),BDI!$E$17,IF(AND(#REF!="Diferenciado",$H$4=#REF!),BDI!#REF!,IF(#REF!="ZERO",0))))),"")</f>
        <v>#REF!</v>
      </c>
      <c r="H1763" s="136" t="str">
        <f t="shared" si="91"/>
        <v/>
      </c>
      <c r="I1763" s="134" t="str">
        <f t="shared" si="92"/>
        <v/>
      </c>
      <c r="J1763" s="226"/>
    </row>
    <row r="1764" spans="1:10" ht="25.5" hidden="1" x14ac:dyDescent="0.25">
      <c r="A1764" s="112" t="s">
        <v>5372</v>
      </c>
      <c r="B1764" s="113" t="s">
        <v>4165</v>
      </c>
      <c r="C1764" s="114" t="s">
        <v>20</v>
      </c>
      <c r="D1764" s="114">
        <v>0</v>
      </c>
      <c r="E1764" s="133" t="s">
        <v>514</v>
      </c>
      <c r="F1764" s="134" t="str">
        <f t="shared" si="90"/>
        <v/>
      </c>
      <c r="G1764" s="135" t="e">
        <f>IF(A1764&lt;&gt;"",IF(AND(#REF!="Padrão",$H$4=#REF!),BDI!$B$17,IF(AND(#REF!="Padrão",$H$4=#REF!),BDI!#REF!,IF(AND(#REF!="Diferenciado",$H$4=#REF!),BDI!$E$17,IF(AND(#REF!="Diferenciado",$H$4=#REF!),BDI!#REF!,IF(#REF!="ZERO",0))))),"")</f>
        <v>#REF!</v>
      </c>
      <c r="H1764" s="136" t="str">
        <f t="shared" si="91"/>
        <v/>
      </c>
      <c r="I1764" s="134" t="str">
        <f t="shared" si="92"/>
        <v/>
      </c>
      <c r="J1764" s="226"/>
    </row>
    <row r="1765" spans="1:10" hidden="1" x14ac:dyDescent="0.25">
      <c r="A1765" s="112" t="s">
        <v>5373</v>
      </c>
      <c r="B1765" s="113" t="s">
        <v>4166</v>
      </c>
      <c r="C1765" s="114" t="s">
        <v>20</v>
      </c>
      <c r="D1765" s="114">
        <v>0</v>
      </c>
      <c r="E1765" s="133" t="s">
        <v>514</v>
      </c>
      <c r="F1765" s="134" t="str">
        <f t="shared" si="90"/>
        <v/>
      </c>
      <c r="G1765" s="135" t="e">
        <f>IF(A1765&lt;&gt;"",IF(AND(#REF!="Padrão",$H$4=#REF!),BDI!$B$17,IF(AND(#REF!="Padrão",$H$4=#REF!),BDI!#REF!,IF(AND(#REF!="Diferenciado",$H$4=#REF!),BDI!$E$17,IF(AND(#REF!="Diferenciado",$H$4=#REF!),BDI!#REF!,IF(#REF!="ZERO",0))))),"")</f>
        <v>#REF!</v>
      </c>
      <c r="H1765" s="136" t="str">
        <f t="shared" si="91"/>
        <v/>
      </c>
      <c r="I1765" s="134" t="str">
        <f t="shared" si="92"/>
        <v/>
      </c>
      <c r="J1765" s="226"/>
    </row>
    <row r="1766" spans="1:10" hidden="1" x14ac:dyDescent="0.25">
      <c r="A1766" s="112" t="s">
        <v>5374</v>
      </c>
      <c r="B1766" s="113" t="s">
        <v>4167</v>
      </c>
      <c r="C1766" s="114" t="s">
        <v>20</v>
      </c>
      <c r="D1766" s="114">
        <v>0</v>
      </c>
      <c r="E1766" s="133" t="s">
        <v>514</v>
      </c>
      <c r="F1766" s="134" t="str">
        <f t="shared" si="90"/>
        <v/>
      </c>
      <c r="G1766" s="135" t="e">
        <f>IF(A1766&lt;&gt;"",IF(AND(#REF!="Padrão",$H$4=#REF!),BDI!$B$17,IF(AND(#REF!="Padrão",$H$4=#REF!),BDI!#REF!,IF(AND(#REF!="Diferenciado",$H$4=#REF!),BDI!$E$17,IF(AND(#REF!="Diferenciado",$H$4=#REF!),BDI!#REF!,IF(#REF!="ZERO",0))))),"")</f>
        <v>#REF!</v>
      </c>
      <c r="H1766" s="136" t="str">
        <f t="shared" si="91"/>
        <v/>
      </c>
      <c r="I1766" s="134" t="str">
        <f t="shared" si="92"/>
        <v/>
      </c>
      <c r="J1766" s="226"/>
    </row>
    <row r="1767" spans="1:10" hidden="1" x14ac:dyDescent="0.25">
      <c r="A1767" s="112" t="s">
        <v>5375</v>
      </c>
      <c r="B1767" s="113" t="s">
        <v>4168</v>
      </c>
      <c r="C1767" s="114" t="s">
        <v>20</v>
      </c>
      <c r="D1767" s="114">
        <v>0</v>
      </c>
      <c r="E1767" s="133" t="s">
        <v>514</v>
      </c>
      <c r="F1767" s="134" t="str">
        <f t="shared" si="90"/>
        <v/>
      </c>
      <c r="G1767" s="135" t="e">
        <f>IF(A1767&lt;&gt;"",IF(AND(#REF!="Padrão",$H$4=#REF!),BDI!$B$17,IF(AND(#REF!="Padrão",$H$4=#REF!),BDI!#REF!,IF(AND(#REF!="Diferenciado",$H$4=#REF!),BDI!$E$17,IF(AND(#REF!="Diferenciado",$H$4=#REF!),BDI!#REF!,IF(#REF!="ZERO",0))))),"")</f>
        <v>#REF!</v>
      </c>
      <c r="H1767" s="136" t="str">
        <f t="shared" si="91"/>
        <v/>
      </c>
      <c r="I1767" s="134" t="str">
        <f t="shared" si="92"/>
        <v/>
      </c>
      <c r="J1767" s="226"/>
    </row>
    <row r="1768" spans="1:10" hidden="1" x14ac:dyDescent="0.25">
      <c r="A1768" s="112" t="s">
        <v>5376</v>
      </c>
      <c r="B1768" s="113" t="s">
        <v>4169</v>
      </c>
      <c r="C1768" s="114" t="s">
        <v>20</v>
      </c>
      <c r="D1768" s="114">
        <v>0</v>
      </c>
      <c r="E1768" s="133" t="s">
        <v>514</v>
      </c>
      <c r="F1768" s="134" t="str">
        <f t="shared" si="90"/>
        <v/>
      </c>
      <c r="G1768" s="135" t="e">
        <f>IF(A1768&lt;&gt;"",IF(AND(#REF!="Padrão",$H$4=#REF!),BDI!$B$17,IF(AND(#REF!="Padrão",$H$4=#REF!),BDI!#REF!,IF(AND(#REF!="Diferenciado",$H$4=#REF!),BDI!$E$17,IF(AND(#REF!="Diferenciado",$H$4=#REF!),BDI!#REF!,IF(#REF!="ZERO",0))))),"")</f>
        <v>#REF!</v>
      </c>
      <c r="H1768" s="136" t="str">
        <f t="shared" si="91"/>
        <v/>
      </c>
      <c r="I1768" s="134" t="str">
        <f t="shared" si="92"/>
        <v/>
      </c>
      <c r="J1768" s="226"/>
    </row>
    <row r="1769" spans="1:10" hidden="1" x14ac:dyDescent="0.25">
      <c r="A1769" s="112" t="s">
        <v>5377</v>
      </c>
      <c r="B1769" s="113" t="s">
        <v>4170</v>
      </c>
      <c r="C1769" s="114" t="s">
        <v>20</v>
      </c>
      <c r="D1769" s="114">
        <v>0</v>
      </c>
      <c r="E1769" s="133" t="s">
        <v>514</v>
      </c>
      <c r="F1769" s="134" t="str">
        <f t="shared" si="90"/>
        <v/>
      </c>
      <c r="G1769" s="135" t="e">
        <f>IF(A1769&lt;&gt;"",IF(AND(#REF!="Padrão",$H$4=#REF!),BDI!$B$17,IF(AND(#REF!="Padrão",$H$4=#REF!),BDI!#REF!,IF(AND(#REF!="Diferenciado",$H$4=#REF!),BDI!$E$17,IF(AND(#REF!="Diferenciado",$H$4=#REF!),BDI!#REF!,IF(#REF!="ZERO",0))))),"")</f>
        <v>#REF!</v>
      </c>
      <c r="H1769" s="136" t="str">
        <f t="shared" si="91"/>
        <v/>
      </c>
      <c r="I1769" s="134" t="str">
        <f t="shared" si="92"/>
        <v/>
      </c>
      <c r="J1769" s="226"/>
    </row>
    <row r="1770" spans="1:10" hidden="1" x14ac:dyDescent="0.25">
      <c r="A1770" s="112" t="s">
        <v>5378</v>
      </c>
      <c r="B1770" s="113" t="s">
        <v>4171</v>
      </c>
      <c r="C1770" s="114" t="s">
        <v>20</v>
      </c>
      <c r="D1770" s="114">
        <v>0</v>
      </c>
      <c r="E1770" s="133" t="s">
        <v>514</v>
      </c>
      <c r="F1770" s="134" t="str">
        <f t="shared" si="90"/>
        <v/>
      </c>
      <c r="G1770" s="135" t="e">
        <f>IF(A1770&lt;&gt;"",IF(AND(#REF!="Padrão",$H$4=#REF!),BDI!$B$17,IF(AND(#REF!="Padrão",$H$4=#REF!),BDI!#REF!,IF(AND(#REF!="Diferenciado",$H$4=#REF!),BDI!$E$17,IF(AND(#REF!="Diferenciado",$H$4=#REF!),BDI!#REF!,IF(#REF!="ZERO",0))))),"")</f>
        <v>#REF!</v>
      </c>
      <c r="H1770" s="136" t="str">
        <f t="shared" si="91"/>
        <v/>
      </c>
      <c r="I1770" s="134" t="str">
        <f t="shared" si="92"/>
        <v/>
      </c>
      <c r="J1770" s="226"/>
    </row>
    <row r="1771" spans="1:10" hidden="1" x14ac:dyDescent="0.25">
      <c r="A1771" s="112" t="s">
        <v>5379</v>
      </c>
      <c r="B1771" s="113" t="s">
        <v>4172</v>
      </c>
      <c r="C1771" s="114" t="s">
        <v>20</v>
      </c>
      <c r="D1771" s="114">
        <v>0</v>
      </c>
      <c r="E1771" s="133" t="s">
        <v>514</v>
      </c>
      <c r="F1771" s="134" t="str">
        <f t="shared" si="90"/>
        <v/>
      </c>
      <c r="G1771" s="135" t="e">
        <f>IF(A1771&lt;&gt;"",IF(AND(#REF!="Padrão",$H$4=#REF!),BDI!$B$17,IF(AND(#REF!="Padrão",$H$4=#REF!),BDI!#REF!,IF(AND(#REF!="Diferenciado",$H$4=#REF!),BDI!$E$17,IF(AND(#REF!="Diferenciado",$H$4=#REF!),BDI!#REF!,IF(#REF!="ZERO",0))))),"")</f>
        <v>#REF!</v>
      </c>
      <c r="H1771" s="136" t="str">
        <f t="shared" si="91"/>
        <v/>
      </c>
      <c r="I1771" s="134" t="str">
        <f t="shared" si="92"/>
        <v/>
      </c>
      <c r="J1771" s="226"/>
    </row>
    <row r="1772" spans="1:10" hidden="1" x14ac:dyDescent="0.25">
      <c r="A1772" s="112" t="s">
        <v>5380</v>
      </c>
      <c r="B1772" s="113" t="s">
        <v>4173</v>
      </c>
      <c r="C1772" s="114" t="s">
        <v>20</v>
      </c>
      <c r="D1772" s="114">
        <v>0</v>
      </c>
      <c r="E1772" s="133" t="s">
        <v>514</v>
      </c>
      <c r="F1772" s="134" t="str">
        <f t="shared" si="90"/>
        <v/>
      </c>
      <c r="G1772" s="135" t="e">
        <f>IF(A1772&lt;&gt;"",IF(AND(#REF!="Padrão",$H$4=#REF!),BDI!$B$17,IF(AND(#REF!="Padrão",$H$4=#REF!),BDI!#REF!,IF(AND(#REF!="Diferenciado",$H$4=#REF!),BDI!$E$17,IF(AND(#REF!="Diferenciado",$H$4=#REF!),BDI!#REF!,IF(#REF!="ZERO",0))))),"")</f>
        <v>#REF!</v>
      </c>
      <c r="H1772" s="136" t="str">
        <f t="shared" si="91"/>
        <v/>
      </c>
      <c r="I1772" s="134" t="str">
        <f t="shared" si="92"/>
        <v/>
      </c>
      <c r="J1772" s="226"/>
    </row>
    <row r="1773" spans="1:10" hidden="1" x14ac:dyDescent="0.25">
      <c r="A1773" s="112" t="s">
        <v>5381</v>
      </c>
      <c r="B1773" s="113" t="s">
        <v>4174</v>
      </c>
      <c r="C1773" s="114" t="s">
        <v>20</v>
      </c>
      <c r="D1773" s="114">
        <v>0</v>
      </c>
      <c r="E1773" s="133" t="s">
        <v>514</v>
      </c>
      <c r="F1773" s="134" t="str">
        <f t="shared" ref="F1773:F1836" si="93">IF(ISNUMBER(E1773),D1773*E1773,"")</f>
        <v/>
      </c>
      <c r="G1773" s="135" t="e">
        <f>IF(A1773&lt;&gt;"",IF(AND(#REF!="Padrão",$H$4=#REF!),BDI!$B$17,IF(AND(#REF!="Padrão",$H$4=#REF!),BDI!#REF!,IF(AND(#REF!="Diferenciado",$H$4=#REF!),BDI!$E$17,IF(AND(#REF!="Diferenciado",$H$4=#REF!),BDI!#REF!,IF(#REF!="ZERO",0))))),"")</f>
        <v>#REF!</v>
      </c>
      <c r="H1773" s="136" t="str">
        <f t="shared" ref="H1773:H1836" si="94">IF(ISNUMBER(E1773),ROUND(E1773*(1+G1773),2),"")</f>
        <v/>
      </c>
      <c r="I1773" s="134" t="str">
        <f t="shared" ref="I1773:I1836" si="95">IF(ISNUMBER(E1773),ROUND(H1773*D1773,2),"")</f>
        <v/>
      </c>
      <c r="J1773" s="226"/>
    </row>
    <row r="1774" spans="1:10" ht="25.5" hidden="1" x14ac:dyDescent="0.25">
      <c r="A1774" s="112" t="s">
        <v>5382</v>
      </c>
      <c r="B1774" s="113" t="s">
        <v>4175</v>
      </c>
      <c r="C1774" s="114" t="s">
        <v>20</v>
      </c>
      <c r="D1774" s="114">
        <v>0</v>
      </c>
      <c r="E1774" s="133" t="s">
        <v>514</v>
      </c>
      <c r="F1774" s="134" t="str">
        <f t="shared" si="93"/>
        <v/>
      </c>
      <c r="G1774" s="135" t="e">
        <f>IF(A1774&lt;&gt;"",IF(AND(#REF!="Padrão",$H$4=#REF!),BDI!$B$17,IF(AND(#REF!="Padrão",$H$4=#REF!),BDI!#REF!,IF(AND(#REF!="Diferenciado",$H$4=#REF!),BDI!$E$17,IF(AND(#REF!="Diferenciado",$H$4=#REF!),BDI!#REF!,IF(#REF!="ZERO",0))))),"")</f>
        <v>#REF!</v>
      </c>
      <c r="H1774" s="136" t="str">
        <f t="shared" si="94"/>
        <v/>
      </c>
      <c r="I1774" s="134" t="str">
        <f t="shared" si="95"/>
        <v/>
      </c>
      <c r="J1774" s="226"/>
    </row>
    <row r="1775" spans="1:10" hidden="1" x14ac:dyDescent="0.25">
      <c r="A1775" s="112" t="s">
        <v>5383</v>
      </c>
      <c r="B1775" s="113" t="s">
        <v>4176</v>
      </c>
      <c r="C1775" s="114" t="s">
        <v>20</v>
      </c>
      <c r="D1775" s="114">
        <v>0</v>
      </c>
      <c r="E1775" s="133" t="s">
        <v>514</v>
      </c>
      <c r="F1775" s="134" t="str">
        <f t="shared" si="93"/>
        <v/>
      </c>
      <c r="G1775" s="135" t="e">
        <f>IF(A1775&lt;&gt;"",IF(AND(#REF!="Padrão",$H$4=#REF!),BDI!$B$17,IF(AND(#REF!="Padrão",$H$4=#REF!),BDI!#REF!,IF(AND(#REF!="Diferenciado",$H$4=#REF!),BDI!$E$17,IF(AND(#REF!="Diferenciado",$H$4=#REF!),BDI!#REF!,IF(#REF!="ZERO",0))))),"")</f>
        <v>#REF!</v>
      </c>
      <c r="H1775" s="136" t="str">
        <f t="shared" si="94"/>
        <v/>
      </c>
      <c r="I1775" s="134" t="str">
        <f t="shared" si="95"/>
        <v/>
      </c>
      <c r="J1775" s="226"/>
    </row>
    <row r="1776" spans="1:10" hidden="1" x14ac:dyDescent="0.25">
      <c r="A1776" s="112" t="s">
        <v>5384</v>
      </c>
      <c r="B1776" s="113" t="s">
        <v>4177</v>
      </c>
      <c r="C1776" s="114" t="s">
        <v>20</v>
      </c>
      <c r="D1776" s="114">
        <v>0</v>
      </c>
      <c r="E1776" s="133" t="s">
        <v>514</v>
      </c>
      <c r="F1776" s="134" t="str">
        <f t="shared" si="93"/>
        <v/>
      </c>
      <c r="G1776" s="135" t="e">
        <f>IF(A1776&lt;&gt;"",IF(AND(#REF!="Padrão",$H$4=#REF!),BDI!$B$17,IF(AND(#REF!="Padrão",$H$4=#REF!),BDI!#REF!,IF(AND(#REF!="Diferenciado",$H$4=#REF!),BDI!$E$17,IF(AND(#REF!="Diferenciado",$H$4=#REF!),BDI!#REF!,IF(#REF!="ZERO",0))))),"")</f>
        <v>#REF!</v>
      </c>
      <c r="H1776" s="136" t="str">
        <f t="shared" si="94"/>
        <v/>
      </c>
      <c r="I1776" s="134" t="str">
        <f t="shared" si="95"/>
        <v/>
      </c>
      <c r="J1776" s="226"/>
    </row>
    <row r="1777" spans="1:10" hidden="1" x14ac:dyDescent="0.25">
      <c r="A1777" s="112" t="s">
        <v>5385</v>
      </c>
      <c r="B1777" s="113" t="s">
        <v>4178</v>
      </c>
      <c r="C1777" s="114" t="s">
        <v>20</v>
      </c>
      <c r="D1777" s="114">
        <v>0</v>
      </c>
      <c r="E1777" s="133" t="s">
        <v>514</v>
      </c>
      <c r="F1777" s="134" t="str">
        <f t="shared" si="93"/>
        <v/>
      </c>
      <c r="G1777" s="135" t="e">
        <f>IF(A1777&lt;&gt;"",IF(AND(#REF!="Padrão",$H$4=#REF!),BDI!$B$17,IF(AND(#REF!="Padrão",$H$4=#REF!),BDI!#REF!,IF(AND(#REF!="Diferenciado",$H$4=#REF!),BDI!$E$17,IF(AND(#REF!="Diferenciado",$H$4=#REF!),BDI!#REF!,IF(#REF!="ZERO",0))))),"")</f>
        <v>#REF!</v>
      </c>
      <c r="H1777" s="136" t="str">
        <f t="shared" si="94"/>
        <v/>
      </c>
      <c r="I1777" s="134" t="str">
        <f t="shared" si="95"/>
        <v/>
      </c>
      <c r="J1777" s="226"/>
    </row>
    <row r="1778" spans="1:10" hidden="1" x14ac:dyDescent="0.25">
      <c r="A1778" s="112" t="s">
        <v>5386</v>
      </c>
      <c r="B1778" s="113" t="s">
        <v>4179</v>
      </c>
      <c r="C1778" s="114" t="s">
        <v>20</v>
      </c>
      <c r="D1778" s="114">
        <v>0</v>
      </c>
      <c r="E1778" s="133" t="s">
        <v>514</v>
      </c>
      <c r="F1778" s="134" t="str">
        <f t="shared" si="93"/>
        <v/>
      </c>
      <c r="G1778" s="135" t="e">
        <f>IF(A1778&lt;&gt;"",IF(AND(#REF!="Padrão",$H$4=#REF!),BDI!$B$17,IF(AND(#REF!="Padrão",$H$4=#REF!),BDI!#REF!,IF(AND(#REF!="Diferenciado",$H$4=#REF!),BDI!$E$17,IF(AND(#REF!="Diferenciado",$H$4=#REF!),BDI!#REF!,IF(#REF!="ZERO",0))))),"")</f>
        <v>#REF!</v>
      </c>
      <c r="H1778" s="136" t="str">
        <f t="shared" si="94"/>
        <v/>
      </c>
      <c r="I1778" s="134" t="str">
        <f t="shared" si="95"/>
        <v/>
      </c>
      <c r="J1778" s="226"/>
    </row>
    <row r="1779" spans="1:10" hidden="1" x14ac:dyDescent="0.25">
      <c r="A1779" s="112" t="s">
        <v>5387</v>
      </c>
      <c r="B1779" s="113" t="s">
        <v>4180</v>
      </c>
      <c r="C1779" s="114" t="s">
        <v>20</v>
      </c>
      <c r="D1779" s="114">
        <v>0</v>
      </c>
      <c r="E1779" s="133" t="s">
        <v>514</v>
      </c>
      <c r="F1779" s="134" t="str">
        <f t="shared" si="93"/>
        <v/>
      </c>
      <c r="G1779" s="135" t="e">
        <f>IF(A1779&lt;&gt;"",IF(AND(#REF!="Padrão",$H$4=#REF!),BDI!$B$17,IF(AND(#REF!="Padrão",$H$4=#REF!),BDI!#REF!,IF(AND(#REF!="Diferenciado",$H$4=#REF!),BDI!$E$17,IF(AND(#REF!="Diferenciado",$H$4=#REF!),BDI!#REF!,IF(#REF!="ZERO",0))))),"")</f>
        <v>#REF!</v>
      </c>
      <c r="H1779" s="136" t="str">
        <f t="shared" si="94"/>
        <v/>
      </c>
      <c r="I1779" s="134" t="str">
        <f t="shared" si="95"/>
        <v/>
      </c>
      <c r="J1779" s="226"/>
    </row>
    <row r="1780" spans="1:10" hidden="1" x14ac:dyDescent="0.25">
      <c r="A1780" s="112" t="s">
        <v>5388</v>
      </c>
      <c r="B1780" s="113" t="s">
        <v>4181</v>
      </c>
      <c r="C1780" s="114" t="s">
        <v>20</v>
      </c>
      <c r="D1780" s="114">
        <v>0</v>
      </c>
      <c r="E1780" s="133" t="s">
        <v>514</v>
      </c>
      <c r="F1780" s="134" t="str">
        <f t="shared" si="93"/>
        <v/>
      </c>
      <c r="G1780" s="135" t="e">
        <f>IF(A1780&lt;&gt;"",IF(AND(#REF!="Padrão",$H$4=#REF!),BDI!$B$17,IF(AND(#REF!="Padrão",$H$4=#REF!),BDI!#REF!,IF(AND(#REF!="Diferenciado",$H$4=#REF!),BDI!$E$17,IF(AND(#REF!="Diferenciado",$H$4=#REF!),BDI!#REF!,IF(#REF!="ZERO",0))))),"")</f>
        <v>#REF!</v>
      </c>
      <c r="H1780" s="136" t="str">
        <f t="shared" si="94"/>
        <v/>
      </c>
      <c r="I1780" s="134" t="str">
        <f t="shared" si="95"/>
        <v/>
      </c>
      <c r="J1780" s="226"/>
    </row>
    <row r="1781" spans="1:10" hidden="1" x14ac:dyDescent="0.25">
      <c r="A1781" s="112" t="s">
        <v>5389</v>
      </c>
      <c r="B1781" s="113" t="s">
        <v>4182</v>
      </c>
      <c r="C1781" s="114" t="s">
        <v>20</v>
      </c>
      <c r="D1781" s="114">
        <v>0</v>
      </c>
      <c r="E1781" s="133" t="s">
        <v>514</v>
      </c>
      <c r="F1781" s="134" t="str">
        <f t="shared" si="93"/>
        <v/>
      </c>
      <c r="G1781" s="135" t="e">
        <f>IF(A1781&lt;&gt;"",IF(AND(#REF!="Padrão",$H$4=#REF!),BDI!$B$17,IF(AND(#REF!="Padrão",$H$4=#REF!),BDI!#REF!,IF(AND(#REF!="Diferenciado",$H$4=#REF!),BDI!$E$17,IF(AND(#REF!="Diferenciado",$H$4=#REF!),BDI!#REF!,IF(#REF!="ZERO",0))))),"")</f>
        <v>#REF!</v>
      </c>
      <c r="H1781" s="136" t="str">
        <f t="shared" si="94"/>
        <v/>
      </c>
      <c r="I1781" s="134" t="str">
        <f t="shared" si="95"/>
        <v/>
      </c>
      <c r="J1781" s="226"/>
    </row>
    <row r="1782" spans="1:10" hidden="1" x14ac:dyDescent="0.25">
      <c r="A1782" s="112" t="s">
        <v>5390</v>
      </c>
      <c r="B1782" s="113" t="s">
        <v>4183</v>
      </c>
      <c r="C1782" s="114" t="s">
        <v>20</v>
      </c>
      <c r="D1782" s="114">
        <v>0</v>
      </c>
      <c r="E1782" s="133" t="s">
        <v>514</v>
      </c>
      <c r="F1782" s="134" t="str">
        <f t="shared" si="93"/>
        <v/>
      </c>
      <c r="G1782" s="135" t="e">
        <f>IF(A1782&lt;&gt;"",IF(AND(#REF!="Padrão",$H$4=#REF!),BDI!$B$17,IF(AND(#REF!="Padrão",$H$4=#REF!),BDI!#REF!,IF(AND(#REF!="Diferenciado",$H$4=#REF!),BDI!$E$17,IF(AND(#REF!="Diferenciado",$H$4=#REF!),BDI!#REF!,IF(#REF!="ZERO",0))))),"")</f>
        <v>#REF!</v>
      </c>
      <c r="H1782" s="136" t="str">
        <f t="shared" si="94"/>
        <v/>
      </c>
      <c r="I1782" s="134" t="str">
        <f t="shared" si="95"/>
        <v/>
      </c>
      <c r="J1782" s="226"/>
    </row>
    <row r="1783" spans="1:10" hidden="1" x14ac:dyDescent="0.25">
      <c r="A1783" s="112" t="s">
        <v>5391</v>
      </c>
      <c r="B1783" s="113" t="s">
        <v>4184</v>
      </c>
      <c r="C1783" s="114" t="s">
        <v>20</v>
      </c>
      <c r="D1783" s="114">
        <v>0</v>
      </c>
      <c r="E1783" s="133" t="s">
        <v>514</v>
      </c>
      <c r="F1783" s="134" t="str">
        <f t="shared" si="93"/>
        <v/>
      </c>
      <c r="G1783" s="135" t="e">
        <f>IF(A1783&lt;&gt;"",IF(AND(#REF!="Padrão",$H$4=#REF!),BDI!$B$17,IF(AND(#REF!="Padrão",$H$4=#REF!),BDI!#REF!,IF(AND(#REF!="Diferenciado",$H$4=#REF!),BDI!$E$17,IF(AND(#REF!="Diferenciado",$H$4=#REF!),BDI!#REF!,IF(#REF!="ZERO",0))))),"")</f>
        <v>#REF!</v>
      </c>
      <c r="H1783" s="136" t="str">
        <f t="shared" si="94"/>
        <v/>
      </c>
      <c r="I1783" s="134" t="str">
        <f t="shared" si="95"/>
        <v/>
      </c>
      <c r="J1783" s="226"/>
    </row>
    <row r="1784" spans="1:10" hidden="1" x14ac:dyDescent="0.25">
      <c r="A1784" s="112" t="s">
        <v>5392</v>
      </c>
      <c r="B1784" s="113" t="s">
        <v>4185</v>
      </c>
      <c r="C1784" s="114" t="s">
        <v>20</v>
      </c>
      <c r="D1784" s="114">
        <v>0</v>
      </c>
      <c r="E1784" s="133" t="s">
        <v>514</v>
      </c>
      <c r="F1784" s="134" t="str">
        <f t="shared" si="93"/>
        <v/>
      </c>
      <c r="G1784" s="135" t="e">
        <f>IF(A1784&lt;&gt;"",IF(AND(#REF!="Padrão",$H$4=#REF!),BDI!$B$17,IF(AND(#REF!="Padrão",$H$4=#REF!),BDI!#REF!,IF(AND(#REF!="Diferenciado",$H$4=#REF!),BDI!$E$17,IF(AND(#REF!="Diferenciado",$H$4=#REF!),BDI!#REF!,IF(#REF!="ZERO",0))))),"")</f>
        <v>#REF!</v>
      </c>
      <c r="H1784" s="136" t="str">
        <f t="shared" si="94"/>
        <v/>
      </c>
      <c r="I1784" s="134" t="str">
        <f t="shared" si="95"/>
        <v/>
      </c>
      <c r="J1784" s="226"/>
    </row>
    <row r="1785" spans="1:10" hidden="1" x14ac:dyDescent="0.25">
      <c r="A1785" s="112" t="s">
        <v>5393</v>
      </c>
      <c r="B1785" s="113" t="s">
        <v>4186</v>
      </c>
      <c r="C1785" s="114" t="s">
        <v>20</v>
      </c>
      <c r="D1785" s="114">
        <v>0</v>
      </c>
      <c r="E1785" s="133" t="s">
        <v>514</v>
      </c>
      <c r="F1785" s="134" t="str">
        <f t="shared" si="93"/>
        <v/>
      </c>
      <c r="G1785" s="135" t="e">
        <f>IF(A1785&lt;&gt;"",IF(AND(#REF!="Padrão",$H$4=#REF!),BDI!$B$17,IF(AND(#REF!="Padrão",$H$4=#REF!),BDI!#REF!,IF(AND(#REF!="Diferenciado",$H$4=#REF!),BDI!$E$17,IF(AND(#REF!="Diferenciado",$H$4=#REF!),BDI!#REF!,IF(#REF!="ZERO",0))))),"")</f>
        <v>#REF!</v>
      </c>
      <c r="H1785" s="136" t="str">
        <f t="shared" si="94"/>
        <v/>
      </c>
      <c r="I1785" s="134" t="str">
        <f t="shared" si="95"/>
        <v/>
      </c>
      <c r="J1785" s="226"/>
    </row>
    <row r="1786" spans="1:10" hidden="1" x14ac:dyDescent="0.25">
      <c r="A1786" s="112" t="s">
        <v>5394</v>
      </c>
      <c r="B1786" s="113" t="s">
        <v>4187</v>
      </c>
      <c r="C1786" s="114" t="s">
        <v>20</v>
      </c>
      <c r="D1786" s="114">
        <v>0</v>
      </c>
      <c r="E1786" s="133" t="s">
        <v>514</v>
      </c>
      <c r="F1786" s="134" t="str">
        <f t="shared" si="93"/>
        <v/>
      </c>
      <c r="G1786" s="135" t="e">
        <f>IF(A1786&lt;&gt;"",IF(AND(#REF!="Padrão",$H$4=#REF!),BDI!$B$17,IF(AND(#REF!="Padrão",$H$4=#REF!),BDI!#REF!,IF(AND(#REF!="Diferenciado",$H$4=#REF!),BDI!$E$17,IF(AND(#REF!="Diferenciado",$H$4=#REF!),BDI!#REF!,IF(#REF!="ZERO",0))))),"")</f>
        <v>#REF!</v>
      </c>
      <c r="H1786" s="136" t="str">
        <f t="shared" si="94"/>
        <v/>
      </c>
      <c r="I1786" s="134" t="str">
        <f t="shared" si="95"/>
        <v/>
      </c>
      <c r="J1786" s="226"/>
    </row>
    <row r="1787" spans="1:10" hidden="1" x14ac:dyDescent="0.25">
      <c r="A1787" s="112" t="s">
        <v>5395</v>
      </c>
      <c r="B1787" s="113" t="s">
        <v>4188</v>
      </c>
      <c r="C1787" s="114" t="s">
        <v>20</v>
      </c>
      <c r="D1787" s="114">
        <v>0</v>
      </c>
      <c r="E1787" s="133" t="s">
        <v>514</v>
      </c>
      <c r="F1787" s="134" t="str">
        <f t="shared" si="93"/>
        <v/>
      </c>
      <c r="G1787" s="135" t="e">
        <f>IF(A1787&lt;&gt;"",IF(AND(#REF!="Padrão",$H$4=#REF!),BDI!$B$17,IF(AND(#REF!="Padrão",$H$4=#REF!),BDI!#REF!,IF(AND(#REF!="Diferenciado",$H$4=#REF!),BDI!$E$17,IF(AND(#REF!="Diferenciado",$H$4=#REF!),BDI!#REF!,IF(#REF!="ZERO",0))))),"")</f>
        <v>#REF!</v>
      </c>
      <c r="H1787" s="136" t="str">
        <f t="shared" si="94"/>
        <v/>
      </c>
      <c r="I1787" s="134" t="str">
        <f t="shared" si="95"/>
        <v/>
      </c>
      <c r="J1787" s="226"/>
    </row>
    <row r="1788" spans="1:10" hidden="1" x14ac:dyDescent="0.25">
      <c r="A1788" s="112" t="s">
        <v>5396</v>
      </c>
      <c r="B1788" s="113" t="s">
        <v>4189</v>
      </c>
      <c r="C1788" s="114" t="s">
        <v>20</v>
      </c>
      <c r="D1788" s="114">
        <v>0</v>
      </c>
      <c r="E1788" s="133" t="s">
        <v>514</v>
      </c>
      <c r="F1788" s="134" t="str">
        <f t="shared" si="93"/>
        <v/>
      </c>
      <c r="G1788" s="135" t="e">
        <f>IF(A1788&lt;&gt;"",IF(AND(#REF!="Padrão",$H$4=#REF!),BDI!$B$17,IF(AND(#REF!="Padrão",$H$4=#REF!),BDI!#REF!,IF(AND(#REF!="Diferenciado",$H$4=#REF!),BDI!$E$17,IF(AND(#REF!="Diferenciado",$H$4=#REF!),BDI!#REF!,IF(#REF!="ZERO",0))))),"")</f>
        <v>#REF!</v>
      </c>
      <c r="H1788" s="136" t="str">
        <f t="shared" si="94"/>
        <v/>
      </c>
      <c r="I1788" s="134" t="str">
        <f t="shared" si="95"/>
        <v/>
      </c>
      <c r="J1788" s="226"/>
    </row>
    <row r="1789" spans="1:10" hidden="1" x14ac:dyDescent="0.25">
      <c r="A1789" s="112" t="s">
        <v>5397</v>
      </c>
      <c r="B1789" s="113" t="s">
        <v>4190</v>
      </c>
      <c r="C1789" s="114" t="s">
        <v>20</v>
      </c>
      <c r="D1789" s="114">
        <v>0</v>
      </c>
      <c r="E1789" s="133" t="s">
        <v>514</v>
      </c>
      <c r="F1789" s="134" t="str">
        <f t="shared" si="93"/>
        <v/>
      </c>
      <c r="G1789" s="135" t="e">
        <f>IF(A1789&lt;&gt;"",IF(AND(#REF!="Padrão",$H$4=#REF!),BDI!$B$17,IF(AND(#REF!="Padrão",$H$4=#REF!),BDI!#REF!,IF(AND(#REF!="Diferenciado",$H$4=#REF!),BDI!$E$17,IF(AND(#REF!="Diferenciado",$H$4=#REF!),BDI!#REF!,IF(#REF!="ZERO",0))))),"")</f>
        <v>#REF!</v>
      </c>
      <c r="H1789" s="136" t="str">
        <f t="shared" si="94"/>
        <v/>
      </c>
      <c r="I1789" s="134" t="str">
        <f t="shared" si="95"/>
        <v/>
      </c>
      <c r="J1789" s="226"/>
    </row>
    <row r="1790" spans="1:10" hidden="1" x14ac:dyDescent="0.25">
      <c r="A1790" s="112" t="s">
        <v>5398</v>
      </c>
      <c r="B1790" s="113" t="s">
        <v>4191</v>
      </c>
      <c r="C1790" s="114" t="s">
        <v>20</v>
      </c>
      <c r="D1790" s="114">
        <v>0</v>
      </c>
      <c r="E1790" s="133" t="s">
        <v>514</v>
      </c>
      <c r="F1790" s="134" t="str">
        <f t="shared" si="93"/>
        <v/>
      </c>
      <c r="G1790" s="135" t="e">
        <f>IF(A1790&lt;&gt;"",IF(AND(#REF!="Padrão",$H$4=#REF!),BDI!$B$17,IF(AND(#REF!="Padrão",$H$4=#REF!),BDI!#REF!,IF(AND(#REF!="Diferenciado",$H$4=#REF!),BDI!$E$17,IF(AND(#REF!="Diferenciado",$H$4=#REF!),BDI!#REF!,IF(#REF!="ZERO",0))))),"")</f>
        <v>#REF!</v>
      </c>
      <c r="H1790" s="136" t="str">
        <f t="shared" si="94"/>
        <v/>
      </c>
      <c r="I1790" s="134" t="str">
        <f t="shared" si="95"/>
        <v/>
      </c>
      <c r="J1790" s="226"/>
    </row>
    <row r="1791" spans="1:10" hidden="1" x14ac:dyDescent="0.25">
      <c r="A1791" s="112" t="s">
        <v>5399</v>
      </c>
      <c r="B1791" s="113" t="s">
        <v>4192</v>
      </c>
      <c r="C1791" s="114" t="s">
        <v>20</v>
      </c>
      <c r="D1791" s="114">
        <v>0</v>
      </c>
      <c r="E1791" s="133" t="s">
        <v>514</v>
      </c>
      <c r="F1791" s="134" t="str">
        <f t="shared" si="93"/>
        <v/>
      </c>
      <c r="G1791" s="135" t="e">
        <f>IF(A1791&lt;&gt;"",IF(AND(#REF!="Padrão",$H$4=#REF!),BDI!$B$17,IF(AND(#REF!="Padrão",$H$4=#REF!),BDI!#REF!,IF(AND(#REF!="Diferenciado",$H$4=#REF!),BDI!$E$17,IF(AND(#REF!="Diferenciado",$H$4=#REF!),BDI!#REF!,IF(#REF!="ZERO",0))))),"")</f>
        <v>#REF!</v>
      </c>
      <c r="H1791" s="136" t="str">
        <f t="shared" si="94"/>
        <v/>
      </c>
      <c r="I1791" s="134" t="str">
        <f t="shared" si="95"/>
        <v/>
      </c>
      <c r="J1791" s="226"/>
    </row>
    <row r="1792" spans="1:10" hidden="1" x14ac:dyDescent="0.25">
      <c r="A1792" s="112" t="s">
        <v>5400</v>
      </c>
      <c r="B1792" s="113" t="s">
        <v>4193</v>
      </c>
      <c r="C1792" s="114" t="s">
        <v>20</v>
      </c>
      <c r="D1792" s="114">
        <v>0</v>
      </c>
      <c r="E1792" s="133" t="s">
        <v>514</v>
      </c>
      <c r="F1792" s="134" t="str">
        <f t="shared" si="93"/>
        <v/>
      </c>
      <c r="G1792" s="135" t="e">
        <f>IF(A1792&lt;&gt;"",IF(AND(#REF!="Padrão",$H$4=#REF!),BDI!$B$17,IF(AND(#REF!="Padrão",$H$4=#REF!),BDI!#REF!,IF(AND(#REF!="Diferenciado",$H$4=#REF!),BDI!$E$17,IF(AND(#REF!="Diferenciado",$H$4=#REF!),BDI!#REF!,IF(#REF!="ZERO",0))))),"")</f>
        <v>#REF!</v>
      </c>
      <c r="H1792" s="136" t="str">
        <f t="shared" si="94"/>
        <v/>
      </c>
      <c r="I1792" s="134" t="str">
        <f t="shared" si="95"/>
        <v/>
      </c>
      <c r="J1792" s="226"/>
    </row>
    <row r="1793" spans="1:10" hidden="1" x14ac:dyDescent="0.25">
      <c r="A1793" s="112" t="s">
        <v>5401</v>
      </c>
      <c r="B1793" s="113" t="s">
        <v>4194</v>
      </c>
      <c r="C1793" s="114" t="s">
        <v>20</v>
      </c>
      <c r="D1793" s="114">
        <v>0</v>
      </c>
      <c r="E1793" s="133" t="s">
        <v>514</v>
      </c>
      <c r="F1793" s="134" t="str">
        <f t="shared" si="93"/>
        <v/>
      </c>
      <c r="G1793" s="135" t="e">
        <f>IF(A1793&lt;&gt;"",IF(AND(#REF!="Padrão",$H$4=#REF!),BDI!$B$17,IF(AND(#REF!="Padrão",$H$4=#REF!),BDI!#REF!,IF(AND(#REF!="Diferenciado",$H$4=#REF!),BDI!$E$17,IF(AND(#REF!="Diferenciado",$H$4=#REF!),BDI!#REF!,IF(#REF!="ZERO",0))))),"")</f>
        <v>#REF!</v>
      </c>
      <c r="H1793" s="136" t="str">
        <f t="shared" si="94"/>
        <v/>
      </c>
      <c r="I1793" s="134" t="str">
        <f t="shared" si="95"/>
        <v/>
      </c>
      <c r="J1793" s="226"/>
    </row>
    <row r="1794" spans="1:10" hidden="1" x14ac:dyDescent="0.25">
      <c r="A1794" s="112" t="s">
        <v>5402</v>
      </c>
      <c r="B1794" s="113" t="s">
        <v>4195</v>
      </c>
      <c r="C1794" s="114" t="s">
        <v>20</v>
      </c>
      <c r="D1794" s="114">
        <v>0</v>
      </c>
      <c r="E1794" s="133" t="s">
        <v>514</v>
      </c>
      <c r="F1794" s="134" t="str">
        <f t="shared" si="93"/>
        <v/>
      </c>
      <c r="G1794" s="135" t="e">
        <f>IF(A1794&lt;&gt;"",IF(AND(#REF!="Padrão",$H$4=#REF!),BDI!$B$17,IF(AND(#REF!="Padrão",$H$4=#REF!),BDI!#REF!,IF(AND(#REF!="Diferenciado",$H$4=#REF!),BDI!$E$17,IF(AND(#REF!="Diferenciado",$H$4=#REF!),BDI!#REF!,IF(#REF!="ZERO",0))))),"")</f>
        <v>#REF!</v>
      </c>
      <c r="H1794" s="136" t="str">
        <f t="shared" si="94"/>
        <v/>
      </c>
      <c r="I1794" s="134" t="str">
        <f t="shared" si="95"/>
        <v/>
      </c>
      <c r="J1794" s="226"/>
    </row>
    <row r="1795" spans="1:10" hidden="1" x14ac:dyDescent="0.25">
      <c r="A1795" s="112" t="s">
        <v>5403</v>
      </c>
      <c r="B1795" s="113" t="s">
        <v>4196</v>
      </c>
      <c r="C1795" s="114" t="s">
        <v>20</v>
      </c>
      <c r="D1795" s="114">
        <v>0</v>
      </c>
      <c r="E1795" s="133" t="s">
        <v>514</v>
      </c>
      <c r="F1795" s="134" t="str">
        <f t="shared" si="93"/>
        <v/>
      </c>
      <c r="G1795" s="135" t="e">
        <f>IF(A1795&lt;&gt;"",IF(AND(#REF!="Padrão",$H$4=#REF!),BDI!$B$17,IF(AND(#REF!="Padrão",$H$4=#REF!),BDI!#REF!,IF(AND(#REF!="Diferenciado",$H$4=#REF!),BDI!$E$17,IF(AND(#REF!="Diferenciado",$H$4=#REF!),BDI!#REF!,IF(#REF!="ZERO",0))))),"")</f>
        <v>#REF!</v>
      </c>
      <c r="H1795" s="136" t="str">
        <f t="shared" si="94"/>
        <v/>
      </c>
      <c r="I1795" s="134" t="str">
        <f t="shared" si="95"/>
        <v/>
      </c>
      <c r="J1795" s="226"/>
    </row>
    <row r="1796" spans="1:10" hidden="1" x14ac:dyDescent="0.25">
      <c r="A1796" s="112" t="s">
        <v>5404</v>
      </c>
      <c r="B1796" s="113" t="s">
        <v>4197</v>
      </c>
      <c r="C1796" s="114" t="s">
        <v>20</v>
      </c>
      <c r="D1796" s="114">
        <v>0</v>
      </c>
      <c r="E1796" s="133" t="s">
        <v>514</v>
      </c>
      <c r="F1796" s="134" t="str">
        <f t="shared" si="93"/>
        <v/>
      </c>
      <c r="G1796" s="135" t="e">
        <f>IF(A1796&lt;&gt;"",IF(AND(#REF!="Padrão",$H$4=#REF!),BDI!$B$17,IF(AND(#REF!="Padrão",$H$4=#REF!),BDI!#REF!,IF(AND(#REF!="Diferenciado",$H$4=#REF!),BDI!$E$17,IF(AND(#REF!="Diferenciado",$H$4=#REF!),BDI!#REF!,IF(#REF!="ZERO",0))))),"")</f>
        <v>#REF!</v>
      </c>
      <c r="H1796" s="136" t="str">
        <f t="shared" si="94"/>
        <v/>
      </c>
      <c r="I1796" s="134" t="str">
        <f t="shared" si="95"/>
        <v/>
      </c>
      <c r="J1796" s="226"/>
    </row>
    <row r="1797" spans="1:10" hidden="1" x14ac:dyDescent="0.25">
      <c r="A1797" s="112" t="s">
        <v>5405</v>
      </c>
      <c r="B1797" s="113" t="s">
        <v>4198</v>
      </c>
      <c r="C1797" s="114" t="s">
        <v>20</v>
      </c>
      <c r="D1797" s="114">
        <v>0</v>
      </c>
      <c r="E1797" s="133" t="s">
        <v>514</v>
      </c>
      <c r="F1797" s="134" t="str">
        <f t="shared" si="93"/>
        <v/>
      </c>
      <c r="G1797" s="135" t="e">
        <f>IF(A1797&lt;&gt;"",IF(AND(#REF!="Padrão",$H$4=#REF!),BDI!$B$17,IF(AND(#REF!="Padrão",$H$4=#REF!),BDI!#REF!,IF(AND(#REF!="Diferenciado",$H$4=#REF!),BDI!$E$17,IF(AND(#REF!="Diferenciado",$H$4=#REF!),BDI!#REF!,IF(#REF!="ZERO",0))))),"")</f>
        <v>#REF!</v>
      </c>
      <c r="H1797" s="136" t="str">
        <f t="shared" si="94"/>
        <v/>
      </c>
      <c r="I1797" s="134" t="str">
        <f t="shared" si="95"/>
        <v/>
      </c>
      <c r="J1797" s="226"/>
    </row>
    <row r="1798" spans="1:10" hidden="1" x14ac:dyDescent="0.25">
      <c r="A1798" s="112" t="s">
        <v>5406</v>
      </c>
      <c r="B1798" s="113" t="s">
        <v>4199</v>
      </c>
      <c r="C1798" s="114" t="s">
        <v>20</v>
      </c>
      <c r="D1798" s="114">
        <v>0</v>
      </c>
      <c r="E1798" s="133" t="s">
        <v>514</v>
      </c>
      <c r="F1798" s="134" t="str">
        <f t="shared" si="93"/>
        <v/>
      </c>
      <c r="G1798" s="135" t="e">
        <f>IF(A1798&lt;&gt;"",IF(AND(#REF!="Padrão",$H$4=#REF!),BDI!$B$17,IF(AND(#REF!="Padrão",$H$4=#REF!),BDI!#REF!,IF(AND(#REF!="Diferenciado",$H$4=#REF!),BDI!$E$17,IF(AND(#REF!="Diferenciado",$H$4=#REF!),BDI!#REF!,IF(#REF!="ZERO",0))))),"")</f>
        <v>#REF!</v>
      </c>
      <c r="H1798" s="136" t="str">
        <f t="shared" si="94"/>
        <v/>
      </c>
      <c r="I1798" s="134" t="str">
        <f t="shared" si="95"/>
        <v/>
      </c>
      <c r="J1798" s="226"/>
    </row>
    <row r="1799" spans="1:10" hidden="1" x14ac:dyDescent="0.25">
      <c r="A1799" s="112" t="s">
        <v>5407</v>
      </c>
      <c r="B1799" s="113" t="s">
        <v>4200</v>
      </c>
      <c r="C1799" s="114" t="s">
        <v>20</v>
      </c>
      <c r="D1799" s="114">
        <v>0</v>
      </c>
      <c r="E1799" s="133" t="s">
        <v>514</v>
      </c>
      <c r="F1799" s="134" t="str">
        <f t="shared" si="93"/>
        <v/>
      </c>
      <c r="G1799" s="135" t="e">
        <f>IF(A1799&lt;&gt;"",IF(AND(#REF!="Padrão",$H$4=#REF!),BDI!$B$17,IF(AND(#REF!="Padrão",$H$4=#REF!),BDI!#REF!,IF(AND(#REF!="Diferenciado",$H$4=#REF!),BDI!$E$17,IF(AND(#REF!="Diferenciado",$H$4=#REF!),BDI!#REF!,IF(#REF!="ZERO",0))))),"")</f>
        <v>#REF!</v>
      </c>
      <c r="H1799" s="136" t="str">
        <f t="shared" si="94"/>
        <v/>
      </c>
      <c r="I1799" s="134" t="str">
        <f t="shared" si="95"/>
        <v/>
      </c>
      <c r="J1799" s="226"/>
    </row>
    <row r="1800" spans="1:10" hidden="1" x14ac:dyDescent="0.25">
      <c r="A1800" s="112" t="s">
        <v>5408</v>
      </c>
      <c r="B1800" s="113" t="s">
        <v>4201</v>
      </c>
      <c r="C1800" s="114" t="s">
        <v>20</v>
      </c>
      <c r="D1800" s="114">
        <v>0</v>
      </c>
      <c r="E1800" s="133" t="s">
        <v>514</v>
      </c>
      <c r="F1800" s="134" t="str">
        <f t="shared" si="93"/>
        <v/>
      </c>
      <c r="G1800" s="135" t="e">
        <f>IF(A1800&lt;&gt;"",IF(AND(#REF!="Padrão",$H$4=#REF!),BDI!$B$17,IF(AND(#REF!="Padrão",$H$4=#REF!),BDI!#REF!,IF(AND(#REF!="Diferenciado",$H$4=#REF!),BDI!$E$17,IF(AND(#REF!="Diferenciado",$H$4=#REF!),BDI!#REF!,IF(#REF!="ZERO",0))))),"")</f>
        <v>#REF!</v>
      </c>
      <c r="H1800" s="136" t="str">
        <f t="shared" si="94"/>
        <v/>
      </c>
      <c r="I1800" s="134" t="str">
        <f t="shared" si="95"/>
        <v/>
      </c>
      <c r="J1800" s="226"/>
    </row>
    <row r="1801" spans="1:10" hidden="1" x14ac:dyDescent="0.25">
      <c r="A1801" s="112" t="s">
        <v>5409</v>
      </c>
      <c r="B1801" s="113" t="s">
        <v>4202</v>
      </c>
      <c r="C1801" s="114" t="s">
        <v>20</v>
      </c>
      <c r="D1801" s="114">
        <v>0</v>
      </c>
      <c r="E1801" s="133" t="s">
        <v>514</v>
      </c>
      <c r="F1801" s="134" t="str">
        <f t="shared" si="93"/>
        <v/>
      </c>
      <c r="G1801" s="135" t="e">
        <f>IF(A1801&lt;&gt;"",IF(AND(#REF!="Padrão",$H$4=#REF!),BDI!$B$17,IF(AND(#REF!="Padrão",$H$4=#REF!),BDI!#REF!,IF(AND(#REF!="Diferenciado",$H$4=#REF!),BDI!$E$17,IF(AND(#REF!="Diferenciado",$H$4=#REF!),BDI!#REF!,IF(#REF!="ZERO",0))))),"")</f>
        <v>#REF!</v>
      </c>
      <c r="H1801" s="136" t="str">
        <f t="shared" si="94"/>
        <v/>
      </c>
      <c r="I1801" s="134" t="str">
        <f t="shared" si="95"/>
        <v/>
      </c>
      <c r="J1801" s="226"/>
    </row>
    <row r="1802" spans="1:10" hidden="1" x14ac:dyDescent="0.25">
      <c r="A1802" s="112" t="s">
        <v>5410</v>
      </c>
      <c r="B1802" s="113" t="s">
        <v>4203</v>
      </c>
      <c r="C1802" s="114" t="s">
        <v>20</v>
      </c>
      <c r="D1802" s="114">
        <v>0</v>
      </c>
      <c r="E1802" s="133" t="s">
        <v>514</v>
      </c>
      <c r="F1802" s="134" t="str">
        <f t="shared" si="93"/>
        <v/>
      </c>
      <c r="G1802" s="135" t="e">
        <f>IF(A1802&lt;&gt;"",IF(AND(#REF!="Padrão",$H$4=#REF!),BDI!$B$17,IF(AND(#REF!="Padrão",$H$4=#REF!),BDI!#REF!,IF(AND(#REF!="Diferenciado",$H$4=#REF!),BDI!$E$17,IF(AND(#REF!="Diferenciado",$H$4=#REF!),BDI!#REF!,IF(#REF!="ZERO",0))))),"")</f>
        <v>#REF!</v>
      </c>
      <c r="H1802" s="136" t="str">
        <f t="shared" si="94"/>
        <v/>
      </c>
      <c r="I1802" s="134" t="str">
        <f t="shared" si="95"/>
        <v/>
      </c>
      <c r="J1802" s="226"/>
    </row>
    <row r="1803" spans="1:10" hidden="1" x14ac:dyDescent="0.25">
      <c r="A1803" s="112" t="s">
        <v>5411</v>
      </c>
      <c r="B1803" s="113" t="s">
        <v>4204</v>
      </c>
      <c r="C1803" s="114" t="s">
        <v>20</v>
      </c>
      <c r="D1803" s="114">
        <v>0</v>
      </c>
      <c r="E1803" s="133" t="s">
        <v>514</v>
      </c>
      <c r="F1803" s="134" t="str">
        <f t="shared" si="93"/>
        <v/>
      </c>
      <c r="G1803" s="135" t="e">
        <f>IF(A1803&lt;&gt;"",IF(AND(#REF!="Padrão",$H$4=#REF!),BDI!$B$17,IF(AND(#REF!="Padrão",$H$4=#REF!),BDI!#REF!,IF(AND(#REF!="Diferenciado",$H$4=#REF!),BDI!$E$17,IF(AND(#REF!="Diferenciado",$H$4=#REF!),BDI!#REF!,IF(#REF!="ZERO",0))))),"")</f>
        <v>#REF!</v>
      </c>
      <c r="H1803" s="136" t="str">
        <f t="shared" si="94"/>
        <v/>
      </c>
      <c r="I1803" s="134" t="str">
        <f t="shared" si="95"/>
        <v/>
      </c>
      <c r="J1803" s="226"/>
    </row>
    <row r="1804" spans="1:10" hidden="1" x14ac:dyDescent="0.25">
      <c r="A1804" s="112" t="s">
        <v>5412</v>
      </c>
      <c r="B1804" s="113" t="s">
        <v>4205</v>
      </c>
      <c r="C1804" s="114" t="s">
        <v>20</v>
      </c>
      <c r="D1804" s="114">
        <v>0</v>
      </c>
      <c r="E1804" s="133" t="s">
        <v>514</v>
      </c>
      <c r="F1804" s="134" t="str">
        <f t="shared" si="93"/>
        <v/>
      </c>
      <c r="G1804" s="135" t="e">
        <f>IF(A1804&lt;&gt;"",IF(AND(#REF!="Padrão",$H$4=#REF!),BDI!$B$17,IF(AND(#REF!="Padrão",$H$4=#REF!),BDI!#REF!,IF(AND(#REF!="Diferenciado",$H$4=#REF!),BDI!$E$17,IF(AND(#REF!="Diferenciado",$H$4=#REF!),BDI!#REF!,IF(#REF!="ZERO",0))))),"")</f>
        <v>#REF!</v>
      </c>
      <c r="H1804" s="136" t="str">
        <f t="shared" si="94"/>
        <v/>
      </c>
      <c r="I1804" s="134" t="str">
        <f t="shared" si="95"/>
        <v/>
      </c>
      <c r="J1804" s="226"/>
    </row>
    <row r="1805" spans="1:10" hidden="1" x14ac:dyDescent="0.25">
      <c r="A1805" s="112" t="s">
        <v>5413</v>
      </c>
      <c r="B1805" s="113" t="s">
        <v>4206</v>
      </c>
      <c r="C1805" s="114" t="s">
        <v>20</v>
      </c>
      <c r="D1805" s="114">
        <v>0</v>
      </c>
      <c r="E1805" s="133" t="s">
        <v>514</v>
      </c>
      <c r="F1805" s="134" t="str">
        <f t="shared" si="93"/>
        <v/>
      </c>
      <c r="G1805" s="135" t="e">
        <f>IF(A1805&lt;&gt;"",IF(AND(#REF!="Padrão",$H$4=#REF!),BDI!$B$17,IF(AND(#REF!="Padrão",$H$4=#REF!),BDI!#REF!,IF(AND(#REF!="Diferenciado",$H$4=#REF!),BDI!$E$17,IF(AND(#REF!="Diferenciado",$H$4=#REF!),BDI!#REF!,IF(#REF!="ZERO",0))))),"")</f>
        <v>#REF!</v>
      </c>
      <c r="H1805" s="136" t="str">
        <f t="shared" si="94"/>
        <v/>
      </c>
      <c r="I1805" s="134" t="str">
        <f t="shared" si="95"/>
        <v/>
      </c>
      <c r="J1805" s="226"/>
    </row>
    <row r="1806" spans="1:10" hidden="1" x14ac:dyDescent="0.25">
      <c r="A1806" s="112" t="s">
        <v>5414</v>
      </c>
      <c r="B1806" s="113" t="s">
        <v>4207</v>
      </c>
      <c r="C1806" s="114" t="s">
        <v>20</v>
      </c>
      <c r="D1806" s="114">
        <v>0</v>
      </c>
      <c r="E1806" s="133" t="s">
        <v>514</v>
      </c>
      <c r="F1806" s="134" t="str">
        <f t="shared" si="93"/>
        <v/>
      </c>
      <c r="G1806" s="135" t="e">
        <f>IF(A1806&lt;&gt;"",IF(AND(#REF!="Padrão",$H$4=#REF!),BDI!$B$17,IF(AND(#REF!="Padrão",$H$4=#REF!),BDI!#REF!,IF(AND(#REF!="Diferenciado",$H$4=#REF!),BDI!$E$17,IF(AND(#REF!="Diferenciado",$H$4=#REF!),BDI!#REF!,IF(#REF!="ZERO",0))))),"")</f>
        <v>#REF!</v>
      </c>
      <c r="H1806" s="136" t="str">
        <f t="shared" si="94"/>
        <v/>
      </c>
      <c r="I1806" s="134" t="str">
        <f t="shared" si="95"/>
        <v/>
      </c>
      <c r="J1806" s="226"/>
    </row>
    <row r="1807" spans="1:10" hidden="1" x14ac:dyDescent="0.25">
      <c r="A1807" s="112" t="s">
        <v>5415</v>
      </c>
      <c r="B1807" s="113" t="s">
        <v>4208</v>
      </c>
      <c r="C1807" s="114" t="s">
        <v>20</v>
      </c>
      <c r="D1807" s="114">
        <v>0</v>
      </c>
      <c r="E1807" s="133" t="s">
        <v>514</v>
      </c>
      <c r="F1807" s="134" t="str">
        <f t="shared" si="93"/>
        <v/>
      </c>
      <c r="G1807" s="135" t="e">
        <f>IF(A1807&lt;&gt;"",IF(AND(#REF!="Padrão",$H$4=#REF!),BDI!$B$17,IF(AND(#REF!="Padrão",$H$4=#REF!),BDI!#REF!,IF(AND(#REF!="Diferenciado",$H$4=#REF!),BDI!$E$17,IF(AND(#REF!="Diferenciado",$H$4=#REF!),BDI!#REF!,IF(#REF!="ZERO",0))))),"")</f>
        <v>#REF!</v>
      </c>
      <c r="H1807" s="136" t="str">
        <f t="shared" si="94"/>
        <v/>
      </c>
      <c r="I1807" s="134" t="str">
        <f t="shared" si="95"/>
        <v/>
      </c>
      <c r="J1807" s="226"/>
    </row>
    <row r="1808" spans="1:10" hidden="1" x14ac:dyDescent="0.25">
      <c r="A1808" s="112" t="s">
        <v>5416</v>
      </c>
      <c r="B1808" s="113" t="s">
        <v>4209</v>
      </c>
      <c r="C1808" s="114" t="s">
        <v>20</v>
      </c>
      <c r="D1808" s="114">
        <v>0</v>
      </c>
      <c r="E1808" s="133" t="s">
        <v>514</v>
      </c>
      <c r="F1808" s="134" t="str">
        <f t="shared" si="93"/>
        <v/>
      </c>
      <c r="G1808" s="135" t="e">
        <f>IF(A1808&lt;&gt;"",IF(AND(#REF!="Padrão",$H$4=#REF!),BDI!$B$17,IF(AND(#REF!="Padrão",$H$4=#REF!),BDI!#REF!,IF(AND(#REF!="Diferenciado",$H$4=#REF!),BDI!$E$17,IF(AND(#REF!="Diferenciado",$H$4=#REF!),BDI!#REF!,IF(#REF!="ZERO",0))))),"")</f>
        <v>#REF!</v>
      </c>
      <c r="H1808" s="136" t="str">
        <f t="shared" si="94"/>
        <v/>
      </c>
      <c r="I1808" s="134" t="str">
        <f t="shared" si="95"/>
        <v/>
      </c>
      <c r="J1808" s="226"/>
    </row>
    <row r="1809" spans="1:10" hidden="1" x14ac:dyDescent="0.25">
      <c r="A1809" s="112" t="s">
        <v>5417</v>
      </c>
      <c r="B1809" s="113" t="s">
        <v>4210</v>
      </c>
      <c r="C1809" s="114" t="s">
        <v>20</v>
      </c>
      <c r="D1809" s="114">
        <v>0</v>
      </c>
      <c r="E1809" s="133" t="s">
        <v>514</v>
      </c>
      <c r="F1809" s="134" t="str">
        <f t="shared" si="93"/>
        <v/>
      </c>
      <c r="G1809" s="135" t="e">
        <f>IF(A1809&lt;&gt;"",IF(AND(#REF!="Padrão",$H$4=#REF!),BDI!$B$17,IF(AND(#REF!="Padrão",$H$4=#REF!),BDI!#REF!,IF(AND(#REF!="Diferenciado",$H$4=#REF!),BDI!$E$17,IF(AND(#REF!="Diferenciado",$H$4=#REF!),BDI!#REF!,IF(#REF!="ZERO",0))))),"")</f>
        <v>#REF!</v>
      </c>
      <c r="H1809" s="136" t="str">
        <f t="shared" si="94"/>
        <v/>
      </c>
      <c r="I1809" s="134" t="str">
        <f t="shared" si="95"/>
        <v/>
      </c>
      <c r="J1809" s="226"/>
    </row>
    <row r="1810" spans="1:10" hidden="1" x14ac:dyDescent="0.25">
      <c r="A1810" s="112" t="s">
        <v>5418</v>
      </c>
      <c r="B1810" s="113" t="s">
        <v>4211</v>
      </c>
      <c r="C1810" s="114" t="s">
        <v>20</v>
      </c>
      <c r="D1810" s="114">
        <v>0</v>
      </c>
      <c r="E1810" s="133" t="s">
        <v>514</v>
      </c>
      <c r="F1810" s="134" t="str">
        <f t="shared" si="93"/>
        <v/>
      </c>
      <c r="G1810" s="135" t="e">
        <f>IF(A1810&lt;&gt;"",IF(AND(#REF!="Padrão",$H$4=#REF!),BDI!$B$17,IF(AND(#REF!="Padrão",$H$4=#REF!),BDI!#REF!,IF(AND(#REF!="Diferenciado",$H$4=#REF!),BDI!$E$17,IF(AND(#REF!="Diferenciado",$H$4=#REF!),BDI!#REF!,IF(#REF!="ZERO",0))))),"")</f>
        <v>#REF!</v>
      </c>
      <c r="H1810" s="136" t="str">
        <f t="shared" si="94"/>
        <v/>
      </c>
      <c r="I1810" s="134" t="str">
        <f t="shared" si="95"/>
        <v/>
      </c>
      <c r="J1810" s="226"/>
    </row>
    <row r="1811" spans="1:10" hidden="1" x14ac:dyDescent="0.25">
      <c r="A1811" s="112" t="s">
        <v>5419</v>
      </c>
      <c r="B1811" s="113" t="s">
        <v>4212</v>
      </c>
      <c r="C1811" s="114" t="s">
        <v>92</v>
      </c>
      <c r="D1811" s="114">
        <v>0</v>
      </c>
      <c r="E1811" s="133" t="s">
        <v>514</v>
      </c>
      <c r="F1811" s="134" t="str">
        <f t="shared" si="93"/>
        <v/>
      </c>
      <c r="G1811" s="135" t="e">
        <f>IF(A1811&lt;&gt;"",IF(AND(#REF!="Padrão",$H$4=#REF!),BDI!$B$17,IF(AND(#REF!="Padrão",$H$4=#REF!),BDI!#REF!,IF(AND(#REF!="Diferenciado",$H$4=#REF!),BDI!$E$17,IF(AND(#REF!="Diferenciado",$H$4=#REF!),BDI!#REF!,IF(#REF!="ZERO",0))))),"")</f>
        <v>#REF!</v>
      </c>
      <c r="H1811" s="136" t="str">
        <f t="shared" si="94"/>
        <v/>
      </c>
      <c r="I1811" s="134" t="str">
        <f t="shared" si="95"/>
        <v/>
      </c>
      <c r="J1811" s="226"/>
    </row>
    <row r="1812" spans="1:10" hidden="1" x14ac:dyDescent="0.25">
      <c r="A1812" s="112" t="s">
        <v>5420</v>
      </c>
      <c r="B1812" s="113" t="s">
        <v>4213</v>
      </c>
      <c r="C1812" s="114" t="s">
        <v>92</v>
      </c>
      <c r="D1812" s="114">
        <v>0</v>
      </c>
      <c r="E1812" s="133">
        <f ca="1">OFFSET(INDEX(Composições!A:J,MATCH(Orçamentária!A1812,Composições!A:A,0),8),2,0)</f>
        <v>0</v>
      </c>
      <c r="F1812" s="134">
        <f t="shared" ca="1" si="93"/>
        <v>0</v>
      </c>
      <c r="G1812" s="135" t="e">
        <f>IF(A1812&lt;&gt;"",IF(AND(#REF!="Padrão",$H$4=#REF!),BDI!$B$17,IF(AND(#REF!="Padrão",$H$4=#REF!),BDI!#REF!,IF(AND(#REF!="Diferenciado",$H$4=#REF!),BDI!$E$17,IF(AND(#REF!="Diferenciado",$H$4=#REF!),BDI!#REF!,IF(#REF!="ZERO",0))))),"")</f>
        <v>#REF!</v>
      </c>
      <c r="H1812" s="136" t="e">
        <f t="shared" ca="1" si="94"/>
        <v>#REF!</v>
      </c>
      <c r="I1812" s="134" t="e">
        <f t="shared" ca="1" si="95"/>
        <v>#REF!</v>
      </c>
      <c r="J1812" s="226"/>
    </row>
    <row r="1813" spans="1:10" hidden="1" x14ac:dyDescent="0.25">
      <c r="A1813" s="112" t="s">
        <v>5421</v>
      </c>
      <c r="B1813" s="113" t="s">
        <v>4214</v>
      </c>
      <c r="C1813" s="114" t="s">
        <v>92</v>
      </c>
      <c r="D1813" s="114">
        <v>0</v>
      </c>
      <c r="E1813" s="133">
        <f ca="1">OFFSET(INDEX(Composições!A:J,MATCH(Orçamentária!A1813,Composições!A:A,0),8),2,0)</f>
        <v>0</v>
      </c>
      <c r="F1813" s="134">
        <f t="shared" ca="1" si="93"/>
        <v>0</v>
      </c>
      <c r="G1813" s="135" t="e">
        <f>IF(A1813&lt;&gt;"",IF(AND(#REF!="Padrão",$H$4=#REF!),BDI!$B$17,IF(AND(#REF!="Padrão",$H$4=#REF!),BDI!#REF!,IF(AND(#REF!="Diferenciado",$H$4=#REF!),BDI!$E$17,IF(AND(#REF!="Diferenciado",$H$4=#REF!),BDI!#REF!,IF(#REF!="ZERO",0))))),"")</f>
        <v>#REF!</v>
      </c>
      <c r="H1813" s="136" t="e">
        <f t="shared" ca="1" si="94"/>
        <v>#REF!</v>
      </c>
      <c r="I1813" s="134" t="e">
        <f t="shared" ca="1" si="95"/>
        <v>#REF!</v>
      </c>
      <c r="J1813" s="226"/>
    </row>
    <row r="1814" spans="1:10" hidden="1" x14ac:dyDescent="0.25">
      <c r="A1814" s="112" t="s">
        <v>5422</v>
      </c>
      <c r="B1814" s="113" t="s">
        <v>4215</v>
      </c>
      <c r="C1814" s="114" t="s">
        <v>92</v>
      </c>
      <c r="D1814" s="114">
        <v>0</v>
      </c>
      <c r="E1814" s="133">
        <f ca="1">OFFSET(INDEX(Composições!A:J,MATCH(Orçamentária!A1814,Composições!A:A,0),8),2,0)</f>
        <v>0</v>
      </c>
      <c r="F1814" s="134">
        <f t="shared" ca="1" si="93"/>
        <v>0</v>
      </c>
      <c r="G1814" s="135" t="e">
        <f>IF(A1814&lt;&gt;"",IF(AND(#REF!="Padrão",$H$4=#REF!),BDI!$B$17,IF(AND(#REF!="Padrão",$H$4=#REF!),BDI!#REF!,IF(AND(#REF!="Diferenciado",$H$4=#REF!),BDI!$E$17,IF(AND(#REF!="Diferenciado",$H$4=#REF!),BDI!#REF!,IF(#REF!="ZERO",0))))),"")</f>
        <v>#REF!</v>
      </c>
      <c r="H1814" s="136" t="e">
        <f t="shared" ca="1" si="94"/>
        <v>#REF!</v>
      </c>
      <c r="I1814" s="134" t="e">
        <f t="shared" ca="1" si="95"/>
        <v>#REF!</v>
      </c>
      <c r="J1814" s="226"/>
    </row>
    <row r="1815" spans="1:10" hidden="1" x14ac:dyDescent="0.25">
      <c r="A1815" s="112" t="s">
        <v>5423</v>
      </c>
      <c r="B1815" s="113" t="s">
        <v>4216</v>
      </c>
      <c r="C1815" s="114" t="s">
        <v>92</v>
      </c>
      <c r="D1815" s="114">
        <v>0</v>
      </c>
      <c r="E1815" s="133">
        <f ca="1">OFFSET(INDEX(Composições!A:J,MATCH(Orçamentária!A1815,Composições!A:A,0),8),2,0)</f>
        <v>0</v>
      </c>
      <c r="F1815" s="134">
        <f t="shared" ca="1" si="93"/>
        <v>0</v>
      </c>
      <c r="G1815" s="135" t="e">
        <f>IF(A1815&lt;&gt;"",IF(AND(#REF!="Padrão",$H$4=#REF!),BDI!$B$17,IF(AND(#REF!="Padrão",$H$4=#REF!),BDI!#REF!,IF(AND(#REF!="Diferenciado",$H$4=#REF!),BDI!$E$17,IF(AND(#REF!="Diferenciado",$H$4=#REF!),BDI!#REF!,IF(#REF!="ZERO",0))))),"")</f>
        <v>#REF!</v>
      </c>
      <c r="H1815" s="136" t="e">
        <f t="shared" ca="1" si="94"/>
        <v>#REF!</v>
      </c>
      <c r="I1815" s="134" t="e">
        <f t="shared" ca="1" si="95"/>
        <v>#REF!</v>
      </c>
      <c r="J1815" s="226"/>
    </row>
    <row r="1816" spans="1:10" hidden="1" x14ac:dyDescent="0.25">
      <c r="A1816" s="112" t="s">
        <v>5424</v>
      </c>
      <c r="B1816" s="113" t="s">
        <v>4217</v>
      </c>
      <c r="C1816" s="114" t="s">
        <v>92</v>
      </c>
      <c r="D1816" s="114">
        <v>0</v>
      </c>
      <c r="E1816" s="133">
        <f ca="1">OFFSET(INDEX(Composições!A:J,MATCH(Orçamentária!A1816,Composições!A:A,0),8),2,0)</f>
        <v>0</v>
      </c>
      <c r="F1816" s="134">
        <f t="shared" ca="1" si="93"/>
        <v>0</v>
      </c>
      <c r="G1816" s="135" t="e">
        <f>IF(A1816&lt;&gt;"",IF(AND(#REF!="Padrão",$H$4=#REF!),BDI!$B$17,IF(AND(#REF!="Padrão",$H$4=#REF!),BDI!#REF!,IF(AND(#REF!="Diferenciado",$H$4=#REF!),BDI!$E$17,IF(AND(#REF!="Diferenciado",$H$4=#REF!),BDI!#REF!,IF(#REF!="ZERO",0))))),"")</f>
        <v>#REF!</v>
      </c>
      <c r="H1816" s="136" t="e">
        <f t="shared" ca="1" si="94"/>
        <v>#REF!</v>
      </c>
      <c r="I1816" s="134" t="e">
        <f t="shared" ca="1" si="95"/>
        <v>#REF!</v>
      </c>
      <c r="J1816" s="226"/>
    </row>
    <row r="1817" spans="1:10" hidden="1" x14ac:dyDescent="0.25">
      <c r="A1817" s="112" t="s">
        <v>5425</v>
      </c>
      <c r="B1817" s="113" t="s">
        <v>4218</v>
      </c>
      <c r="C1817" s="114" t="s">
        <v>92</v>
      </c>
      <c r="D1817" s="114">
        <v>0</v>
      </c>
      <c r="E1817" s="133">
        <f ca="1">OFFSET(INDEX(Composições!A:J,MATCH(Orçamentária!A1817,Composições!A:A,0),8),2,0)</f>
        <v>0</v>
      </c>
      <c r="F1817" s="134">
        <f t="shared" ca="1" si="93"/>
        <v>0</v>
      </c>
      <c r="G1817" s="135" t="e">
        <f>IF(A1817&lt;&gt;"",IF(AND(#REF!="Padrão",$H$4=#REF!),BDI!$B$17,IF(AND(#REF!="Padrão",$H$4=#REF!),BDI!#REF!,IF(AND(#REF!="Diferenciado",$H$4=#REF!),BDI!$E$17,IF(AND(#REF!="Diferenciado",$H$4=#REF!),BDI!#REF!,IF(#REF!="ZERO",0))))),"")</f>
        <v>#REF!</v>
      </c>
      <c r="H1817" s="136" t="e">
        <f t="shared" ca="1" si="94"/>
        <v>#REF!</v>
      </c>
      <c r="I1817" s="134" t="e">
        <f t="shared" ca="1" si="95"/>
        <v>#REF!</v>
      </c>
      <c r="J1817" s="226"/>
    </row>
    <row r="1818" spans="1:10" hidden="1" x14ac:dyDescent="0.25">
      <c r="A1818" s="112" t="s">
        <v>5426</v>
      </c>
      <c r="B1818" s="113" t="s">
        <v>6445</v>
      </c>
      <c r="C1818" s="114" t="s">
        <v>92</v>
      </c>
      <c r="D1818" s="114">
        <v>0</v>
      </c>
      <c r="E1818" s="133">
        <f ca="1">OFFSET(INDEX(Composições!A:J,MATCH(Orçamentária!A1818,Composições!A:A,0),8),2,0)</f>
        <v>0</v>
      </c>
      <c r="F1818" s="134">
        <f t="shared" ca="1" si="93"/>
        <v>0</v>
      </c>
      <c r="G1818" s="135" t="e">
        <f>IF(A1818&lt;&gt;"",IF(AND(#REF!="Padrão",$H$4=#REF!),BDI!$B$17,IF(AND(#REF!="Padrão",$H$4=#REF!),BDI!#REF!,IF(AND(#REF!="Diferenciado",$H$4=#REF!),BDI!$E$17,IF(AND(#REF!="Diferenciado",$H$4=#REF!),BDI!#REF!,IF(#REF!="ZERO",0))))),"")</f>
        <v>#REF!</v>
      </c>
      <c r="H1818" s="136" t="e">
        <f t="shared" ca="1" si="94"/>
        <v>#REF!</v>
      </c>
      <c r="I1818" s="134" t="e">
        <f t="shared" ca="1" si="95"/>
        <v>#REF!</v>
      </c>
      <c r="J1818" s="226"/>
    </row>
    <row r="1819" spans="1:10" hidden="1" x14ac:dyDescent="0.25">
      <c r="A1819" s="112" t="s">
        <v>5427</v>
      </c>
      <c r="B1819" s="113" t="s">
        <v>4219</v>
      </c>
      <c r="C1819" s="114" t="s">
        <v>92</v>
      </c>
      <c r="D1819" s="114">
        <v>0</v>
      </c>
      <c r="E1819" s="133">
        <f ca="1">OFFSET(INDEX(Composições!A:J,MATCH(Orçamentária!A1819,Composições!A:A,0),8),2,0)</f>
        <v>0</v>
      </c>
      <c r="F1819" s="134">
        <f t="shared" ca="1" si="93"/>
        <v>0</v>
      </c>
      <c r="G1819" s="135" t="e">
        <f>IF(A1819&lt;&gt;"",IF(AND(#REF!="Padrão",$H$4=#REF!),BDI!$B$17,IF(AND(#REF!="Padrão",$H$4=#REF!),BDI!#REF!,IF(AND(#REF!="Diferenciado",$H$4=#REF!),BDI!$E$17,IF(AND(#REF!="Diferenciado",$H$4=#REF!),BDI!#REF!,IF(#REF!="ZERO",0))))),"")</f>
        <v>#REF!</v>
      </c>
      <c r="H1819" s="136" t="e">
        <f t="shared" ca="1" si="94"/>
        <v>#REF!</v>
      </c>
      <c r="I1819" s="134" t="e">
        <f t="shared" ca="1" si="95"/>
        <v>#REF!</v>
      </c>
      <c r="J1819" s="226"/>
    </row>
    <row r="1820" spans="1:10" hidden="1" x14ac:dyDescent="0.25">
      <c r="A1820" s="112" t="s">
        <v>5428</v>
      </c>
      <c r="B1820" s="113" t="s">
        <v>4220</v>
      </c>
      <c r="C1820" s="114" t="s">
        <v>92</v>
      </c>
      <c r="D1820" s="114">
        <v>0</v>
      </c>
      <c r="E1820" s="133" t="s">
        <v>514</v>
      </c>
      <c r="F1820" s="134" t="str">
        <f t="shared" si="93"/>
        <v/>
      </c>
      <c r="G1820" s="135" t="e">
        <f>IF(A1820&lt;&gt;"",IF(AND(#REF!="Padrão",$H$4=#REF!),BDI!$B$17,IF(AND(#REF!="Padrão",$H$4=#REF!),BDI!#REF!,IF(AND(#REF!="Diferenciado",$H$4=#REF!),BDI!$E$17,IF(AND(#REF!="Diferenciado",$H$4=#REF!),BDI!#REF!,IF(#REF!="ZERO",0))))),"")</f>
        <v>#REF!</v>
      </c>
      <c r="H1820" s="136" t="str">
        <f t="shared" si="94"/>
        <v/>
      </c>
      <c r="I1820" s="134" t="str">
        <f t="shared" si="95"/>
        <v/>
      </c>
      <c r="J1820" s="226"/>
    </row>
    <row r="1821" spans="1:10" hidden="1" x14ac:dyDescent="0.25">
      <c r="A1821" s="112" t="s">
        <v>5429</v>
      </c>
      <c r="B1821" s="113" t="s">
        <v>4221</v>
      </c>
      <c r="C1821" s="114" t="s">
        <v>92</v>
      </c>
      <c r="D1821" s="114">
        <v>0</v>
      </c>
      <c r="E1821" s="133" t="s">
        <v>514</v>
      </c>
      <c r="F1821" s="134" t="str">
        <f t="shared" si="93"/>
        <v/>
      </c>
      <c r="G1821" s="135" t="e">
        <f>IF(A1821&lt;&gt;"",IF(AND(#REF!="Padrão",$H$4=#REF!),BDI!$B$17,IF(AND(#REF!="Padrão",$H$4=#REF!),BDI!#REF!,IF(AND(#REF!="Diferenciado",$H$4=#REF!),BDI!$E$17,IF(AND(#REF!="Diferenciado",$H$4=#REF!),BDI!#REF!,IF(#REF!="ZERO",0))))),"")</f>
        <v>#REF!</v>
      </c>
      <c r="H1821" s="136" t="str">
        <f t="shared" si="94"/>
        <v/>
      </c>
      <c r="I1821" s="134" t="str">
        <f t="shared" si="95"/>
        <v/>
      </c>
      <c r="J1821" s="226"/>
    </row>
    <row r="1822" spans="1:10" hidden="1" x14ac:dyDescent="0.25">
      <c r="A1822" s="112" t="s">
        <v>5430</v>
      </c>
      <c r="B1822" s="113" t="s">
        <v>4222</v>
      </c>
      <c r="C1822" s="114" t="s">
        <v>92</v>
      </c>
      <c r="D1822" s="114">
        <v>0</v>
      </c>
      <c r="E1822" s="133" t="s">
        <v>514</v>
      </c>
      <c r="F1822" s="134" t="str">
        <f t="shared" si="93"/>
        <v/>
      </c>
      <c r="G1822" s="135" t="e">
        <f>IF(A1822&lt;&gt;"",IF(AND(#REF!="Padrão",$H$4=#REF!),BDI!$B$17,IF(AND(#REF!="Padrão",$H$4=#REF!),BDI!#REF!,IF(AND(#REF!="Diferenciado",$H$4=#REF!),BDI!$E$17,IF(AND(#REF!="Diferenciado",$H$4=#REF!),BDI!#REF!,IF(#REF!="ZERO",0))))),"")</f>
        <v>#REF!</v>
      </c>
      <c r="H1822" s="136" t="str">
        <f t="shared" si="94"/>
        <v/>
      </c>
      <c r="I1822" s="134" t="str">
        <f t="shared" si="95"/>
        <v/>
      </c>
      <c r="J1822" s="226"/>
    </row>
    <row r="1823" spans="1:10" hidden="1" x14ac:dyDescent="0.25">
      <c r="A1823" s="112" t="s">
        <v>5431</v>
      </c>
      <c r="B1823" s="113" t="s">
        <v>4223</v>
      </c>
      <c r="C1823" s="114" t="s">
        <v>92</v>
      </c>
      <c r="D1823" s="114">
        <v>0</v>
      </c>
      <c r="E1823" s="133" t="s">
        <v>514</v>
      </c>
      <c r="F1823" s="134" t="str">
        <f t="shared" si="93"/>
        <v/>
      </c>
      <c r="G1823" s="135" t="e">
        <f>IF(A1823&lt;&gt;"",IF(AND(#REF!="Padrão",$H$4=#REF!),BDI!$B$17,IF(AND(#REF!="Padrão",$H$4=#REF!),BDI!#REF!,IF(AND(#REF!="Diferenciado",$H$4=#REF!),BDI!$E$17,IF(AND(#REF!="Diferenciado",$H$4=#REF!),BDI!#REF!,IF(#REF!="ZERO",0))))),"")</f>
        <v>#REF!</v>
      </c>
      <c r="H1823" s="136" t="str">
        <f t="shared" si="94"/>
        <v/>
      </c>
      <c r="I1823" s="134" t="str">
        <f t="shared" si="95"/>
        <v/>
      </c>
      <c r="J1823" s="226"/>
    </row>
    <row r="1824" spans="1:10" hidden="1" x14ac:dyDescent="0.25">
      <c r="A1824" s="112" t="s">
        <v>5432</v>
      </c>
      <c r="B1824" s="113" t="s">
        <v>4224</v>
      </c>
      <c r="C1824" s="114" t="s">
        <v>92</v>
      </c>
      <c r="D1824" s="114">
        <v>0</v>
      </c>
      <c r="E1824" s="133" t="s">
        <v>514</v>
      </c>
      <c r="F1824" s="134" t="str">
        <f t="shared" si="93"/>
        <v/>
      </c>
      <c r="G1824" s="135" t="e">
        <f>IF(A1824&lt;&gt;"",IF(AND(#REF!="Padrão",$H$4=#REF!),BDI!$B$17,IF(AND(#REF!="Padrão",$H$4=#REF!),BDI!#REF!,IF(AND(#REF!="Diferenciado",$H$4=#REF!),BDI!$E$17,IF(AND(#REF!="Diferenciado",$H$4=#REF!),BDI!#REF!,IF(#REF!="ZERO",0))))),"")</f>
        <v>#REF!</v>
      </c>
      <c r="H1824" s="136" t="str">
        <f t="shared" si="94"/>
        <v/>
      </c>
      <c r="I1824" s="134" t="str">
        <f t="shared" si="95"/>
        <v/>
      </c>
      <c r="J1824" s="226"/>
    </row>
    <row r="1825" spans="1:10" hidden="1" x14ac:dyDescent="0.25">
      <c r="A1825" s="112" t="s">
        <v>5433</v>
      </c>
      <c r="B1825" s="113" t="s">
        <v>4225</v>
      </c>
      <c r="C1825" s="114" t="s">
        <v>92</v>
      </c>
      <c r="D1825" s="114">
        <v>0</v>
      </c>
      <c r="E1825" s="133" t="s">
        <v>514</v>
      </c>
      <c r="F1825" s="134" t="str">
        <f t="shared" si="93"/>
        <v/>
      </c>
      <c r="G1825" s="135" t="e">
        <f>IF(A1825&lt;&gt;"",IF(AND(#REF!="Padrão",$H$4=#REF!),BDI!$B$17,IF(AND(#REF!="Padrão",$H$4=#REF!),BDI!#REF!,IF(AND(#REF!="Diferenciado",$H$4=#REF!),BDI!$E$17,IF(AND(#REF!="Diferenciado",$H$4=#REF!),BDI!#REF!,IF(#REF!="ZERO",0))))),"")</f>
        <v>#REF!</v>
      </c>
      <c r="H1825" s="136" t="str">
        <f t="shared" si="94"/>
        <v/>
      </c>
      <c r="I1825" s="134" t="str">
        <f t="shared" si="95"/>
        <v/>
      </c>
      <c r="J1825" s="226"/>
    </row>
    <row r="1826" spans="1:10" hidden="1" x14ac:dyDescent="0.25">
      <c r="A1826" s="112" t="s">
        <v>5434</v>
      </c>
      <c r="B1826" s="113" t="s">
        <v>4226</v>
      </c>
      <c r="C1826" s="114" t="s">
        <v>92</v>
      </c>
      <c r="D1826" s="114">
        <v>0</v>
      </c>
      <c r="E1826" s="133" t="s">
        <v>514</v>
      </c>
      <c r="F1826" s="134" t="str">
        <f t="shared" si="93"/>
        <v/>
      </c>
      <c r="G1826" s="135" t="e">
        <f>IF(A1826&lt;&gt;"",IF(AND(#REF!="Padrão",$H$4=#REF!),BDI!$B$17,IF(AND(#REF!="Padrão",$H$4=#REF!),BDI!#REF!,IF(AND(#REF!="Diferenciado",$H$4=#REF!),BDI!$E$17,IF(AND(#REF!="Diferenciado",$H$4=#REF!),BDI!#REF!,IF(#REF!="ZERO",0))))),"")</f>
        <v>#REF!</v>
      </c>
      <c r="H1826" s="136" t="str">
        <f t="shared" si="94"/>
        <v/>
      </c>
      <c r="I1826" s="134" t="str">
        <f t="shared" si="95"/>
        <v/>
      </c>
      <c r="J1826" s="226"/>
    </row>
    <row r="1827" spans="1:10" hidden="1" x14ac:dyDescent="0.25">
      <c r="A1827" s="112" t="s">
        <v>5435</v>
      </c>
      <c r="B1827" s="113" t="s">
        <v>4227</v>
      </c>
      <c r="C1827" s="114" t="s">
        <v>92</v>
      </c>
      <c r="D1827" s="114">
        <v>0</v>
      </c>
      <c r="E1827" s="133" t="s">
        <v>514</v>
      </c>
      <c r="F1827" s="134" t="str">
        <f t="shared" si="93"/>
        <v/>
      </c>
      <c r="G1827" s="135" t="e">
        <f>IF(A1827&lt;&gt;"",IF(AND(#REF!="Padrão",$H$4=#REF!),BDI!$B$17,IF(AND(#REF!="Padrão",$H$4=#REF!),BDI!#REF!,IF(AND(#REF!="Diferenciado",$H$4=#REF!),BDI!$E$17,IF(AND(#REF!="Diferenciado",$H$4=#REF!),BDI!#REF!,IF(#REF!="ZERO",0))))),"")</f>
        <v>#REF!</v>
      </c>
      <c r="H1827" s="136" t="str">
        <f t="shared" si="94"/>
        <v/>
      </c>
      <c r="I1827" s="134" t="str">
        <f t="shared" si="95"/>
        <v/>
      </c>
      <c r="J1827" s="226"/>
    </row>
    <row r="1828" spans="1:10" hidden="1" x14ac:dyDescent="0.25">
      <c r="A1828" s="112" t="s">
        <v>5436</v>
      </c>
      <c r="B1828" s="113" t="s">
        <v>4228</v>
      </c>
      <c r="C1828" s="114" t="s">
        <v>20</v>
      </c>
      <c r="D1828" s="114">
        <v>0</v>
      </c>
      <c r="E1828" s="133" t="s">
        <v>514</v>
      </c>
      <c r="F1828" s="134" t="str">
        <f t="shared" si="93"/>
        <v/>
      </c>
      <c r="G1828" s="135" t="e">
        <f>IF(A1828&lt;&gt;"",IF(AND(#REF!="Padrão",$H$4=#REF!),BDI!$B$17,IF(AND(#REF!="Padrão",$H$4=#REF!),BDI!#REF!,IF(AND(#REF!="Diferenciado",$H$4=#REF!),BDI!$E$17,IF(AND(#REF!="Diferenciado",$H$4=#REF!),BDI!#REF!,IF(#REF!="ZERO",0))))),"")</f>
        <v>#REF!</v>
      </c>
      <c r="H1828" s="136" t="str">
        <f t="shared" si="94"/>
        <v/>
      </c>
      <c r="I1828" s="134" t="str">
        <f t="shared" si="95"/>
        <v/>
      </c>
      <c r="J1828" s="226"/>
    </row>
    <row r="1829" spans="1:10" hidden="1" x14ac:dyDescent="0.25">
      <c r="A1829" s="112" t="s">
        <v>5437</v>
      </c>
      <c r="B1829" s="113" t="s">
        <v>4229</v>
      </c>
      <c r="C1829" s="114" t="s">
        <v>20</v>
      </c>
      <c r="D1829" s="114">
        <v>0</v>
      </c>
      <c r="E1829" s="133">
        <f ca="1">OFFSET(INDEX(Composições!A:J,MATCH(Orçamentária!A1829,Composições!A:A,0),8),2,0)</f>
        <v>2.242</v>
      </c>
      <c r="F1829" s="134">
        <f t="shared" ca="1" si="93"/>
        <v>0</v>
      </c>
      <c r="G1829" s="135" t="e">
        <f>IF(A1829&lt;&gt;"",IF(AND(#REF!="Padrão",$H$4=#REF!),BDI!$B$17,IF(AND(#REF!="Padrão",$H$4=#REF!),BDI!#REF!,IF(AND(#REF!="Diferenciado",$H$4=#REF!),BDI!$E$17,IF(AND(#REF!="Diferenciado",$H$4=#REF!),BDI!#REF!,IF(#REF!="ZERO",0))))),"")</f>
        <v>#REF!</v>
      </c>
      <c r="H1829" s="136" t="e">
        <f t="shared" ca="1" si="94"/>
        <v>#REF!</v>
      </c>
      <c r="I1829" s="134" t="e">
        <f t="shared" ca="1" si="95"/>
        <v>#REF!</v>
      </c>
      <c r="J1829" s="226"/>
    </row>
    <row r="1830" spans="1:10" hidden="1" x14ac:dyDescent="0.25">
      <c r="A1830" s="112" t="s">
        <v>5438</v>
      </c>
      <c r="B1830" s="113" t="s">
        <v>4230</v>
      </c>
      <c r="C1830" s="114" t="s">
        <v>20</v>
      </c>
      <c r="D1830" s="114">
        <v>0</v>
      </c>
      <c r="E1830" s="133" t="s">
        <v>514</v>
      </c>
      <c r="F1830" s="134" t="str">
        <f t="shared" si="93"/>
        <v/>
      </c>
      <c r="G1830" s="135" t="e">
        <f>IF(A1830&lt;&gt;"",IF(AND(#REF!="Padrão",$H$4=#REF!),BDI!$B$17,IF(AND(#REF!="Padrão",$H$4=#REF!),BDI!#REF!,IF(AND(#REF!="Diferenciado",$H$4=#REF!),BDI!$E$17,IF(AND(#REF!="Diferenciado",$H$4=#REF!),BDI!#REF!,IF(#REF!="ZERO",0))))),"")</f>
        <v>#REF!</v>
      </c>
      <c r="H1830" s="136" t="str">
        <f t="shared" si="94"/>
        <v/>
      </c>
      <c r="I1830" s="134" t="str">
        <f t="shared" si="95"/>
        <v/>
      </c>
      <c r="J1830" s="226"/>
    </row>
    <row r="1831" spans="1:10" hidden="1" x14ac:dyDescent="0.25">
      <c r="A1831" s="112" t="s">
        <v>5439</v>
      </c>
      <c r="B1831" s="113" t="s">
        <v>4231</v>
      </c>
      <c r="C1831" s="114" t="s">
        <v>20</v>
      </c>
      <c r="D1831" s="114">
        <v>0</v>
      </c>
      <c r="E1831" s="133">
        <f ca="1">OFFSET(INDEX(Composições!A:J,MATCH(Orçamentária!A1831,Composições!A:A,0),8),2,0)</f>
        <v>5.5954999999999995</v>
      </c>
      <c r="F1831" s="134">
        <f t="shared" ca="1" si="93"/>
        <v>0</v>
      </c>
      <c r="G1831" s="135" t="e">
        <f>IF(A1831&lt;&gt;"",IF(AND(#REF!="Padrão",$H$4=#REF!),BDI!$B$17,IF(AND(#REF!="Padrão",$H$4=#REF!),BDI!#REF!,IF(AND(#REF!="Diferenciado",$H$4=#REF!),BDI!$E$17,IF(AND(#REF!="Diferenciado",$H$4=#REF!),BDI!#REF!,IF(#REF!="ZERO",0))))),"")</f>
        <v>#REF!</v>
      </c>
      <c r="H1831" s="136" t="e">
        <f t="shared" ca="1" si="94"/>
        <v>#REF!</v>
      </c>
      <c r="I1831" s="134" t="e">
        <f t="shared" ca="1" si="95"/>
        <v>#REF!</v>
      </c>
      <c r="J1831" s="226"/>
    </row>
    <row r="1832" spans="1:10" hidden="1" x14ac:dyDescent="0.25">
      <c r="A1832" s="112" t="s">
        <v>5440</v>
      </c>
      <c r="B1832" s="113" t="s">
        <v>4232</v>
      </c>
      <c r="C1832" s="114" t="s">
        <v>20</v>
      </c>
      <c r="D1832" s="114">
        <v>0</v>
      </c>
      <c r="E1832" s="133">
        <f ca="1">OFFSET(INDEX(Composições!A:J,MATCH(Orçamentária!A1832,Composições!A:A,0),8),2,0)</f>
        <v>2.1469999999999998</v>
      </c>
      <c r="F1832" s="134">
        <f t="shared" ca="1" si="93"/>
        <v>0</v>
      </c>
      <c r="G1832" s="135" t="e">
        <f>IF(A1832&lt;&gt;"",IF(AND(#REF!="Padrão",$H$4=#REF!),BDI!$B$17,IF(AND(#REF!="Padrão",$H$4=#REF!),BDI!#REF!,IF(AND(#REF!="Diferenciado",$H$4=#REF!),BDI!$E$17,IF(AND(#REF!="Diferenciado",$H$4=#REF!),BDI!#REF!,IF(#REF!="ZERO",0))))),"")</f>
        <v>#REF!</v>
      </c>
      <c r="H1832" s="136" t="e">
        <f t="shared" ca="1" si="94"/>
        <v>#REF!</v>
      </c>
      <c r="I1832" s="134" t="e">
        <f t="shared" ca="1" si="95"/>
        <v>#REF!</v>
      </c>
      <c r="J1832" s="226"/>
    </row>
    <row r="1833" spans="1:10" hidden="1" x14ac:dyDescent="0.25">
      <c r="A1833" s="112" t="s">
        <v>5441</v>
      </c>
      <c r="B1833" s="113" t="s">
        <v>4233</v>
      </c>
      <c r="C1833" s="114" t="s">
        <v>20</v>
      </c>
      <c r="D1833" s="114">
        <v>0</v>
      </c>
      <c r="E1833" s="133">
        <f ca="1">OFFSET(INDEX(Composições!A:J,MATCH(Orçamentária!A1833,Composições!A:A,0),8),2,0)</f>
        <v>10.1175</v>
      </c>
      <c r="F1833" s="134">
        <f t="shared" ca="1" si="93"/>
        <v>0</v>
      </c>
      <c r="G1833" s="135" t="e">
        <f>IF(A1833&lt;&gt;"",IF(AND(#REF!="Padrão",$H$4=#REF!),BDI!$B$17,IF(AND(#REF!="Padrão",$H$4=#REF!),BDI!#REF!,IF(AND(#REF!="Diferenciado",$H$4=#REF!),BDI!$E$17,IF(AND(#REF!="Diferenciado",$H$4=#REF!),BDI!#REF!,IF(#REF!="ZERO",0))))),"")</f>
        <v>#REF!</v>
      </c>
      <c r="H1833" s="136" t="e">
        <f t="shared" ca="1" si="94"/>
        <v>#REF!</v>
      </c>
      <c r="I1833" s="134" t="e">
        <f t="shared" ca="1" si="95"/>
        <v>#REF!</v>
      </c>
      <c r="J1833" s="226"/>
    </row>
    <row r="1834" spans="1:10" hidden="1" x14ac:dyDescent="0.25">
      <c r="A1834" s="112" t="s">
        <v>5442</v>
      </c>
      <c r="B1834" s="113" t="s">
        <v>4234</v>
      </c>
      <c r="C1834" s="114" t="s">
        <v>20</v>
      </c>
      <c r="D1834" s="114">
        <v>0</v>
      </c>
      <c r="E1834" s="133">
        <f ca="1">OFFSET(INDEX(Composições!A:J,MATCH(Orçamentária!A1834,Composições!A:A,0),8),2,0)</f>
        <v>2.3844999999999996</v>
      </c>
      <c r="F1834" s="134">
        <f t="shared" ca="1" si="93"/>
        <v>0</v>
      </c>
      <c r="G1834" s="135" t="e">
        <f>IF(A1834&lt;&gt;"",IF(AND(#REF!="Padrão",$H$4=#REF!),BDI!$B$17,IF(AND(#REF!="Padrão",$H$4=#REF!),BDI!#REF!,IF(AND(#REF!="Diferenciado",$H$4=#REF!),BDI!$E$17,IF(AND(#REF!="Diferenciado",$H$4=#REF!),BDI!#REF!,IF(#REF!="ZERO",0))))),"")</f>
        <v>#REF!</v>
      </c>
      <c r="H1834" s="136" t="e">
        <f t="shared" ca="1" si="94"/>
        <v>#REF!</v>
      </c>
      <c r="I1834" s="134" t="e">
        <f t="shared" ca="1" si="95"/>
        <v>#REF!</v>
      </c>
      <c r="J1834" s="226"/>
    </row>
    <row r="1835" spans="1:10" hidden="1" x14ac:dyDescent="0.25">
      <c r="A1835" s="112" t="s">
        <v>5443</v>
      </c>
      <c r="B1835" s="113" t="s">
        <v>4235</v>
      </c>
      <c r="C1835" s="114" t="s">
        <v>20</v>
      </c>
      <c r="D1835" s="114">
        <v>0</v>
      </c>
      <c r="E1835" s="133" t="s">
        <v>514</v>
      </c>
      <c r="F1835" s="134" t="str">
        <f t="shared" si="93"/>
        <v/>
      </c>
      <c r="G1835" s="135" t="e">
        <f>IF(A1835&lt;&gt;"",IF(AND(#REF!="Padrão",$H$4=#REF!),BDI!$B$17,IF(AND(#REF!="Padrão",$H$4=#REF!),BDI!#REF!,IF(AND(#REF!="Diferenciado",$H$4=#REF!),BDI!$E$17,IF(AND(#REF!="Diferenciado",$H$4=#REF!),BDI!#REF!,IF(#REF!="ZERO",0))))),"")</f>
        <v>#REF!</v>
      </c>
      <c r="H1835" s="136" t="str">
        <f t="shared" si="94"/>
        <v/>
      </c>
      <c r="I1835" s="134" t="str">
        <f t="shared" si="95"/>
        <v/>
      </c>
      <c r="J1835" s="226"/>
    </row>
    <row r="1836" spans="1:10" hidden="1" x14ac:dyDescent="0.25">
      <c r="A1836" s="112" t="s">
        <v>5444</v>
      </c>
      <c r="B1836" s="113" t="s">
        <v>4236</v>
      </c>
      <c r="C1836" s="114" t="s">
        <v>20</v>
      </c>
      <c r="D1836" s="114">
        <v>0</v>
      </c>
      <c r="E1836" s="133">
        <f ca="1">OFFSET(INDEX(Composições!A:J,MATCH(Orçamentária!A1836,Composições!A:A,0),8),2,0)</f>
        <v>6.327</v>
      </c>
      <c r="F1836" s="134">
        <f t="shared" ca="1" si="93"/>
        <v>0</v>
      </c>
      <c r="G1836" s="135" t="e">
        <f>IF(A1836&lt;&gt;"",IF(AND(#REF!="Padrão",$H$4=#REF!),BDI!$B$17,IF(AND(#REF!="Padrão",$H$4=#REF!),BDI!#REF!,IF(AND(#REF!="Diferenciado",$H$4=#REF!),BDI!$E$17,IF(AND(#REF!="Diferenciado",$H$4=#REF!),BDI!#REF!,IF(#REF!="ZERO",0))))),"")</f>
        <v>#REF!</v>
      </c>
      <c r="H1836" s="136" t="e">
        <f t="shared" ca="1" si="94"/>
        <v>#REF!</v>
      </c>
      <c r="I1836" s="134" t="e">
        <f t="shared" ca="1" si="95"/>
        <v>#REF!</v>
      </c>
      <c r="J1836" s="226"/>
    </row>
    <row r="1837" spans="1:10" hidden="1" x14ac:dyDescent="0.25">
      <c r="A1837" s="112" t="s">
        <v>5445</v>
      </c>
      <c r="B1837" s="113" t="s">
        <v>4237</v>
      </c>
      <c r="C1837" s="114" t="s">
        <v>20</v>
      </c>
      <c r="D1837" s="114">
        <v>0</v>
      </c>
      <c r="E1837" s="133">
        <f ca="1">OFFSET(INDEX(Composições!A:J,MATCH(Orçamentária!A1837,Composições!A:A,0),8),2,0)</f>
        <v>3.8285</v>
      </c>
      <c r="F1837" s="134">
        <f t="shared" ref="F1837:F1900" ca="1" si="96">IF(ISNUMBER(E1837),D1837*E1837,"")</f>
        <v>0</v>
      </c>
      <c r="G1837" s="135" t="e">
        <f>IF(A1837&lt;&gt;"",IF(AND(#REF!="Padrão",$H$4=#REF!),BDI!$B$17,IF(AND(#REF!="Padrão",$H$4=#REF!),BDI!#REF!,IF(AND(#REF!="Diferenciado",$H$4=#REF!),BDI!$E$17,IF(AND(#REF!="Diferenciado",$H$4=#REF!),BDI!#REF!,IF(#REF!="ZERO",0))))),"")</f>
        <v>#REF!</v>
      </c>
      <c r="H1837" s="136" t="e">
        <f t="shared" ref="H1837:H1900" ca="1" si="97">IF(ISNUMBER(E1837),ROUND(E1837*(1+G1837),2),"")</f>
        <v>#REF!</v>
      </c>
      <c r="I1837" s="134" t="e">
        <f t="shared" ref="I1837:I1900" ca="1" si="98">IF(ISNUMBER(E1837),ROUND(H1837*D1837,2),"")</f>
        <v>#REF!</v>
      </c>
      <c r="J1837" s="226"/>
    </row>
    <row r="1838" spans="1:10" hidden="1" x14ac:dyDescent="0.25">
      <c r="A1838" s="112" t="s">
        <v>5446</v>
      </c>
      <c r="B1838" s="113" t="s">
        <v>4238</v>
      </c>
      <c r="C1838" s="114" t="s">
        <v>20</v>
      </c>
      <c r="D1838" s="114">
        <v>0</v>
      </c>
      <c r="E1838" s="133">
        <f ca="1">OFFSET(INDEX(Composições!A:J,MATCH(Orçamentária!A1838,Composições!A:A,0),8),2,0)</f>
        <v>12.16</v>
      </c>
      <c r="F1838" s="134">
        <f t="shared" ca="1" si="96"/>
        <v>0</v>
      </c>
      <c r="G1838" s="135" t="e">
        <f>IF(A1838&lt;&gt;"",IF(AND(#REF!="Padrão",$H$4=#REF!),BDI!$B$17,IF(AND(#REF!="Padrão",$H$4=#REF!),BDI!#REF!,IF(AND(#REF!="Diferenciado",$H$4=#REF!),BDI!$E$17,IF(AND(#REF!="Diferenciado",$H$4=#REF!),BDI!#REF!,IF(#REF!="ZERO",0))))),"")</f>
        <v>#REF!</v>
      </c>
      <c r="H1838" s="136" t="e">
        <f t="shared" ca="1" si="97"/>
        <v>#REF!</v>
      </c>
      <c r="I1838" s="134" t="e">
        <f t="shared" ca="1" si="98"/>
        <v>#REF!</v>
      </c>
      <c r="J1838" s="226"/>
    </row>
    <row r="1839" spans="1:10" hidden="1" x14ac:dyDescent="0.25">
      <c r="A1839" s="112" t="s">
        <v>5447</v>
      </c>
      <c r="B1839" s="113" t="s">
        <v>4239</v>
      </c>
      <c r="C1839" s="114" t="s">
        <v>20</v>
      </c>
      <c r="D1839" s="114">
        <v>0</v>
      </c>
      <c r="E1839" s="133">
        <f ca="1">OFFSET(INDEX(Composições!A:J,MATCH(Orçamentária!A1839,Composições!A:A,0),8),2,0)</f>
        <v>2.774</v>
      </c>
      <c r="F1839" s="134">
        <f t="shared" ca="1" si="96"/>
        <v>0</v>
      </c>
      <c r="G1839" s="135" t="e">
        <f>IF(A1839&lt;&gt;"",IF(AND(#REF!="Padrão",$H$4=#REF!),BDI!$B$17,IF(AND(#REF!="Padrão",$H$4=#REF!),BDI!#REF!,IF(AND(#REF!="Diferenciado",$H$4=#REF!),BDI!$E$17,IF(AND(#REF!="Diferenciado",$H$4=#REF!),BDI!#REF!,IF(#REF!="ZERO",0))))),"")</f>
        <v>#REF!</v>
      </c>
      <c r="H1839" s="136" t="e">
        <f t="shared" ca="1" si="97"/>
        <v>#REF!</v>
      </c>
      <c r="I1839" s="134" t="e">
        <f t="shared" ca="1" si="98"/>
        <v>#REF!</v>
      </c>
      <c r="J1839" s="226"/>
    </row>
    <row r="1840" spans="1:10" hidden="1" x14ac:dyDescent="0.25">
      <c r="A1840" s="112" t="s">
        <v>5448</v>
      </c>
      <c r="B1840" s="113" t="s">
        <v>4240</v>
      </c>
      <c r="C1840" s="114" t="s">
        <v>20</v>
      </c>
      <c r="D1840" s="114">
        <v>0</v>
      </c>
      <c r="E1840" s="133" t="s">
        <v>514</v>
      </c>
      <c r="F1840" s="134" t="str">
        <f t="shared" si="96"/>
        <v/>
      </c>
      <c r="G1840" s="135" t="e">
        <f>IF(A1840&lt;&gt;"",IF(AND(#REF!="Padrão",$H$4=#REF!),BDI!$B$17,IF(AND(#REF!="Padrão",$H$4=#REF!),BDI!#REF!,IF(AND(#REF!="Diferenciado",$H$4=#REF!),BDI!$E$17,IF(AND(#REF!="Diferenciado",$H$4=#REF!),BDI!#REF!,IF(#REF!="ZERO",0))))),"")</f>
        <v>#REF!</v>
      </c>
      <c r="H1840" s="136" t="str">
        <f t="shared" si="97"/>
        <v/>
      </c>
      <c r="I1840" s="134" t="str">
        <f t="shared" si="98"/>
        <v/>
      </c>
      <c r="J1840" s="226"/>
    </row>
    <row r="1841" spans="1:10" hidden="1" x14ac:dyDescent="0.25">
      <c r="A1841" s="112" t="s">
        <v>5449</v>
      </c>
      <c r="B1841" s="113" t="s">
        <v>4241</v>
      </c>
      <c r="C1841" s="114" t="s">
        <v>20</v>
      </c>
      <c r="D1841" s="114">
        <v>0</v>
      </c>
      <c r="E1841" s="133">
        <f ca="1">OFFSET(INDEX(Composições!A:J,MATCH(Orçamentária!A1841,Composições!A:A,0),8),2,0)</f>
        <v>8.5975000000000001</v>
      </c>
      <c r="F1841" s="134">
        <f t="shared" ca="1" si="96"/>
        <v>0</v>
      </c>
      <c r="G1841" s="135" t="e">
        <f>IF(A1841&lt;&gt;"",IF(AND(#REF!="Padrão",$H$4=#REF!),BDI!$B$17,IF(AND(#REF!="Padrão",$H$4=#REF!),BDI!#REF!,IF(AND(#REF!="Diferenciado",$H$4=#REF!),BDI!$E$17,IF(AND(#REF!="Diferenciado",$H$4=#REF!),BDI!#REF!,IF(#REF!="ZERO",0))))),"")</f>
        <v>#REF!</v>
      </c>
      <c r="H1841" s="136" t="e">
        <f t="shared" ca="1" si="97"/>
        <v>#REF!</v>
      </c>
      <c r="I1841" s="134" t="e">
        <f t="shared" ca="1" si="98"/>
        <v>#REF!</v>
      </c>
      <c r="J1841" s="226"/>
    </row>
    <row r="1842" spans="1:10" hidden="1" x14ac:dyDescent="0.25">
      <c r="A1842" s="112" t="s">
        <v>5450</v>
      </c>
      <c r="B1842" s="113" t="s">
        <v>4242</v>
      </c>
      <c r="C1842" s="114" t="s">
        <v>20</v>
      </c>
      <c r="D1842" s="114">
        <v>0</v>
      </c>
      <c r="E1842" s="133">
        <f ca="1">OFFSET(INDEX(Composições!A:J,MATCH(Orçamentária!A1842,Composições!A:A,0),8),2,0)</f>
        <v>5.3769999999999998</v>
      </c>
      <c r="F1842" s="134">
        <f t="shared" ca="1" si="96"/>
        <v>0</v>
      </c>
      <c r="G1842" s="135" t="e">
        <f>IF(A1842&lt;&gt;"",IF(AND(#REF!="Padrão",$H$4=#REF!),BDI!$B$17,IF(AND(#REF!="Padrão",$H$4=#REF!),BDI!#REF!,IF(AND(#REF!="Diferenciado",$H$4=#REF!),BDI!$E$17,IF(AND(#REF!="Diferenciado",$H$4=#REF!),BDI!#REF!,IF(#REF!="ZERO",0))))),"")</f>
        <v>#REF!</v>
      </c>
      <c r="H1842" s="136" t="e">
        <f t="shared" ca="1" si="97"/>
        <v>#REF!</v>
      </c>
      <c r="I1842" s="134" t="e">
        <f t="shared" ca="1" si="98"/>
        <v>#REF!</v>
      </c>
      <c r="J1842" s="226"/>
    </row>
    <row r="1843" spans="1:10" hidden="1" x14ac:dyDescent="0.25">
      <c r="A1843" s="112" t="s">
        <v>5451</v>
      </c>
      <c r="B1843" s="113" t="s">
        <v>4243</v>
      </c>
      <c r="C1843" s="114" t="s">
        <v>20</v>
      </c>
      <c r="D1843" s="114">
        <v>0</v>
      </c>
      <c r="E1843" s="133">
        <f ca="1">OFFSET(INDEX(Composições!A:J,MATCH(Orçamentária!A1843,Composições!A:A,0),8),2,0)</f>
        <v>15.142999999999999</v>
      </c>
      <c r="F1843" s="134">
        <f t="shared" ca="1" si="96"/>
        <v>0</v>
      </c>
      <c r="G1843" s="135" t="e">
        <f>IF(A1843&lt;&gt;"",IF(AND(#REF!="Padrão",$H$4=#REF!),BDI!$B$17,IF(AND(#REF!="Padrão",$H$4=#REF!),BDI!#REF!,IF(AND(#REF!="Diferenciado",$H$4=#REF!),BDI!$E$17,IF(AND(#REF!="Diferenciado",$H$4=#REF!),BDI!#REF!,IF(#REF!="ZERO",0))))),"")</f>
        <v>#REF!</v>
      </c>
      <c r="H1843" s="136" t="e">
        <f t="shared" ca="1" si="97"/>
        <v>#REF!</v>
      </c>
      <c r="I1843" s="134" t="e">
        <f t="shared" ca="1" si="98"/>
        <v>#REF!</v>
      </c>
      <c r="J1843" s="226"/>
    </row>
    <row r="1844" spans="1:10" hidden="1" x14ac:dyDescent="0.25">
      <c r="A1844" s="112" t="s">
        <v>5452</v>
      </c>
      <c r="B1844" s="113" t="s">
        <v>4244</v>
      </c>
      <c r="C1844" s="114" t="s">
        <v>20</v>
      </c>
      <c r="D1844" s="114">
        <v>0</v>
      </c>
      <c r="E1844" s="133">
        <f ca="1">OFFSET(INDEX(Composições!A:J,MATCH(Orçamentária!A1844,Composições!A:A,0),8),2,0)</f>
        <v>4.9114999999999993</v>
      </c>
      <c r="F1844" s="134">
        <f t="shared" ca="1" si="96"/>
        <v>0</v>
      </c>
      <c r="G1844" s="135" t="e">
        <f>IF(A1844&lt;&gt;"",IF(AND(#REF!="Padrão",$H$4=#REF!),BDI!$B$17,IF(AND(#REF!="Padrão",$H$4=#REF!),BDI!#REF!,IF(AND(#REF!="Diferenciado",$H$4=#REF!),BDI!$E$17,IF(AND(#REF!="Diferenciado",$H$4=#REF!),BDI!#REF!,IF(#REF!="ZERO",0))))),"")</f>
        <v>#REF!</v>
      </c>
      <c r="H1844" s="136" t="e">
        <f t="shared" ca="1" si="97"/>
        <v>#REF!</v>
      </c>
      <c r="I1844" s="134" t="e">
        <f t="shared" ca="1" si="98"/>
        <v>#REF!</v>
      </c>
      <c r="J1844" s="226"/>
    </row>
    <row r="1845" spans="1:10" hidden="1" x14ac:dyDescent="0.25">
      <c r="A1845" s="112" t="s">
        <v>5453</v>
      </c>
      <c r="B1845" s="113" t="s">
        <v>4245</v>
      </c>
      <c r="C1845" s="114" t="s">
        <v>20</v>
      </c>
      <c r="D1845" s="114">
        <v>0</v>
      </c>
      <c r="E1845" s="133" t="s">
        <v>514</v>
      </c>
      <c r="F1845" s="134" t="str">
        <f t="shared" si="96"/>
        <v/>
      </c>
      <c r="G1845" s="135" t="e">
        <f>IF(A1845&lt;&gt;"",IF(AND(#REF!="Padrão",$H$4=#REF!),BDI!$B$17,IF(AND(#REF!="Padrão",$H$4=#REF!),BDI!#REF!,IF(AND(#REF!="Diferenciado",$H$4=#REF!),BDI!$E$17,IF(AND(#REF!="Diferenciado",$H$4=#REF!),BDI!#REF!,IF(#REF!="ZERO",0))))),"")</f>
        <v>#REF!</v>
      </c>
      <c r="H1845" s="136" t="str">
        <f t="shared" si="97"/>
        <v/>
      </c>
      <c r="I1845" s="134" t="str">
        <f t="shared" si="98"/>
        <v/>
      </c>
      <c r="J1845" s="226"/>
    </row>
    <row r="1846" spans="1:10" hidden="1" x14ac:dyDescent="0.25">
      <c r="A1846" s="112" t="s">
        <v>5454</v>
      </c>
      <c r="B1846" s="113" t="s">
        <v>4246</v>
      </c>
      <c r="C1846" s="114" t="s">
        <v>20</v>
      </c>
      <c r="D1846" s="114">
        <v>0</v>
      </c>
      <c r="E1846" s="133">
        <f ca="1">OFFSET(INDEX(Composições!A:J,MATCH(Orçamentária!A1846,Composições!A:A,0),8),2,0)</f>
        <v>19.579499999999999</v>
      </c>
      <c r="F1846" s="134">
        <f t="shared" ca="1" si="96"/>
        <v>0</v>
      </c>
      <c r="G1846" s="135" t="e">
        <f>IF(A1846&lt;&gt;"",IF(AND(#REF!="Padrão",$H$4=#REF!),BDI!$B$17,IF(AND(#REF!="Padrão",$H$4=#REF!),BDI!#REF!,IF(AND(#REF!="Diferenciado",$H$4=#REF!),BDI!$E$17,IF(AND(#REF!="Diferenciado",$H$4=#REF!),BDI!#REF!,IF(#REF!="ZERO",0))))),"")</f>
        <v>#REF!</v>
      </c>
      <c r="H1846" s="136" t="e">
        <f t="shared" ca="1" si="97"/>
        <v>#REF!</v>
      </c>
      <c r="I1846" s="134" t="e">
        <f t="shared" ca="1" si="98"/>
        <v>#REF!</v>
      </c>
      <c r="J1846" s="226"/>
    </row>
    <row r="1847" spans="1:10" hidden="1" x14ac:dyDescent="0.25">
      <c r="A1847" s="112" t="s">
        <v>5455</v>
      </c>
      <c r="B1847" s="113" t="s">
        <v>4247</v>
      </c>
      <c r="C1847" s="114" t="s">
        <v>20</v>
      </c>
      <c r="D1847" s="114">
        <v>0</v>
      </c>
      <c r="E1847" s="133">
        <f ca="1">OFFSET(INDEX(Composições!A:J,MATCH(Orçamentária!A1847,Composições!A:A,0),8),2,0)</f>
        <v>8.3885000000000005</v>
      </c>
      <c r="F1847" s="134">
        <f t="shared" ca="1" si="96"/>
        <v>0</v>
      </c>
      <c r="G1847" s="135" t="e">
        <f>IF(A1847&lt;&gt;"",IF(AND(#REF!="Padrão",$H$4=#REF!),BDI!$B$17,IF(AND(#REF!="Padrão",$H$4=#REF!),BDI!#REF!,IF(AND(#REF!="Diferenciado",$H$4=#REF!),BDI!$E$17,IF(AND(#REF!="Diferenciado",$H$4=#REF!),BDI!#REF!,IF(#REF!="ZERO",0))))),"")</f>
        <v>#REF!</v>
      </c>
      <c r="H1847" s="136" t="e">
        <f t="shared" ca="1" si="97"/>
        <v>#REF!</v>
      </c>
      <c r="I1847" s="134" t="e">
        <f t="shared" ca="1" si="98"/>
        <v>#REF!</v>
      </c>
      <c r="J1847" s="226"/>
    </row>
    <row r="1848" spans="1:10" hidden="1" x14ac:dyDescent="0.25">
      <c r="A1848" s="112" t="s">
        <v>5456</v>
      </c>
      <c r="B1848" s="113" t="s">
        <v>4248</v>
      </c>
      <c r="C1848" s="114" t="s">
        <v>20</v>
      </c>
      <c r="D1848" s="114">
        <v>0</v>
      </c>
      <c r="E1848" s="133">
        <f ca="1">OFFSET(INDEX(Composições!A:J,MATCH(Orçamentária!A1848,Composições!A:A,0),8),2,0)</f>
        <v>23.436499999999999</v>
      </c>
      <c r="F1848" s="134">
        <f t="shared" ca="1" si="96"/>
        <v>0</v>
      </c>
      <c r="G1848" s="135" t="e">
        <f>IF(A1848&lt;&gt;"",IF(AND(#REF!="Padrão",$H$4=#REF!),BDI!$B$17,IF(AND(#REF!="Padrão",$H$4=#REF!),BDI!#REF!,IF(AND(#REF!="Diferenciado",$H$4=#REF!),BDI!$E$17,IF(AND(#REF!="Diferenciado",$H$4=#REF!),BDI!#REF!,IF(#REF!="ZERO",0))))),"")</f>
        <v>#REF!</v>
      </c>
      <c r="H1848" s="136" t="e">
        <f t="shared" ca="1" si="97"/>
        <v>#REF!</v>
      </c>
      <c r="I1848" s="134" t="e">
        <f t="shared" ca="1" si="98"/>
        <v>#REF!</v>
      </c>
      <c r="J1848" s="226"/>
    </row>
    <row r="1849" spans="1:10" hidden="1" x14ac:dyDescent="0.25">
      <c r="A1849" s="112" t="s">
        <v>5457</v>
      </c>
      <c r="B1849" s="113" t="s">
        <v>4249</v>
      </c>
      <c r="C1849" s="114" t="s">
        <v>20</v>
      </c>
      <c r="D1849" s="114">
        <v>0</v>
      </c>
      <c r="E1849" s="133">
        <f ca="1">OFFSET(INDEX(Composições!A:J,MATCH(Orçamentária!A1849,Composições!A:A,0),8),2,0)</f>
        <v>7.1154999999999999</v>
      </c>
      <c r="F1849" s="134">
        <f t="shared" ca="1" si="96"/>
        <v>0</v>
      </c>
      <c r="G1849" s="135" t="e">
        <f>IF(A1849&lt;&gt;"",IF(AND(#REF!="Padrão",$H$4=#REF!),BDI!$B$17,IF(AND(#REF!="Padrão",$H$4=#REF!),BDI!#REF!,IF(AND(#REF!="Diferenciado",$H$4=#REF!),BDI!$E$17,IF(AND(#REF!="Diferenciado",$H$4=#REF!),BDI!#REF!,IF(#REF!="ZERO",0))))),"")</f>
        <v>#REF!</v>
      </c>
      <c r="H1849" s="136" t="e">
        <f t="shared" ca="1" si="97"/>
        <v>#REF!</v>
      </c>
      <c r="I1849" s="134" t="e">
        <f t="shared" ca="1" si="98"/>
        <v>#REF!</v>
      </c>
      <c r="J1849" s="226"/>
    </row>
    <row r="1850" spans="1:10" hidden="1" x14ac:dyDescent="0.25">
      <c r="A1850" s="112" t="s">
        <v>5458</v>
      </c>
      <c r="B1850" s="113" t="s">
        <v>4250</v>
      </c>
      <c r="C1850" s="114" t="s">
        <v>20</v>
      </c>
      <c r="D1850" s="114">
        <v>0</v>
      </c>
      <c r="E1850" s="133" t="s">
        <v>514</v>
      </c>
      <c r="F1850" s="134" t="str">
        <f t="shared" si="96"/>
        <v/>
      </c>
      <c r="G1850" s="135" t="e">
        <f>IF(A1850&lt;&gt;"",IF(AND(#REF!="Padrão",$H$4=#REF!),BDI!$B$17,IF(AND(#REF!="Padrão",$H$4=#REF!),BDI!#REF!,IF(AND(#REF!="Diferenciado",$H$4=#REF!),BDI!$E$17,IF(AND(#REF!="Diferenciado",$H$4=#REF!),BDI!#REF!,IF(#REF!="ZERO",0))))),"")</f>
        <v>#REF!</v>
      </c>
      <c r="H1850" s="136" t="str">
        <f t="shared" si="97"/>
        <v/>
      </c>
      <c r="I1850" s="134" t="str">
        <f t="shared" si="98"/>
        <v/>
      </c>
      <c r="J1850" s="226"/>
    </row>
    <row r="1851" spans="1:10" hidden="1" x14ac:dyDescent="0.25">
      <c r="A1851" s="112" t="s">
        <v>5459</v>
      </c>
      <c r="B1851" s="113" t="s">
        <v>4251</v>
      </c>
      <c r="C1851" s="114" t="s">
        <v>20</v>
      </c>
      <c r="D1851" s="114">
        <v>0</v>
      </c>
      <c r="E1851" s="133">
        <f ca="1">OFFSET(INDEX(Composições!A:J,MATCH(Orçamentária!A1851,Composições!A:A,0),8),2,0)</f>
        <v>23.882999999999999</v>
      </c>
      <c r="F1851" s="134">
        <f t="shared" ca="1" si="96"/>
        <v>0</v>
      </c>
      <c r="G1851" s="135" t="e">
        <f>IF(A1851&lt;&gt;"",IF(AND(#REF!="Padrão",$H$4=#REF!),BDI!$B$17,IF(AND(#REF!="Padrão",$H$4=#REF!),BDI!#REF!,IF(AND(#REF!="Diferenciado",$H$4=#REF!),BDI!$E$17,IF(AND(#REF!="Diferenciado",$H$4=#REF!),BDI!#REF!,IF(#REF!="ZERO",0))))),"")</f>
        <v>#REF!</v>
      </c>
      <c r="H1851" s="136" t="e">
        <f t="shared" ca="1" si="97"/>
        <v>#REF!</v>
      </c>
      <c r="I1851" s="134" t="e">
        <f t="shared" ca="1" si="98"/>
        <v>#REF!</v>
      </c>
      <c r="J1851" s="226"/>
    </row>
    <row r="1852" spans="1:10" hidden="1" x14ac:dyDescent="0.25">
      <c r="A1852" s="112" t="s">
        <v>5460</v>
      </c>
      <c r="B1852" s="113" t="s">
        <v>4252</v>
      </c>
      <c r="C1852" s="114" t="s">
        <v>20</v>
      </c>
      <c r="D1852" s="114">
        <v>0</v>
      </c>
      <c r="E1852" s="133">
        <f ca="1">OFFSET(INDEX(Composições!A:J,MATCH(Orçamentária!A1852,Composições!A:A,0),8),2,0)</f>
        <v>9.3004999999999995</v>
      </c>
      <c r="F1852" s="134">
        <f t="shared" ca="1" si="96"/>
        <v>0</v>
      </c>
      <c r="G1852" s="135" t="e">
        <f>IF(A1852&lt;&gt;"",IF(AND(#REF!="Padrão",$H$4=#REF!),BDI!$B$17,IF(AND(#REF!="Padrão",$H$4=#REF!),BDI!#REF!,IF(AND(#REF!="Diferenciado",$H$4=#REF!),BDI!$E$17,IF(AND(#REF!="Diferenciado",$H$4=#REF!),BDI!#REF!,IF(#REF!="ZERO",0))))),"")</f>
        <v>#REF!</v>
      </c>
      <c r="H1852" s="136" t="e">
        <f t="shared" ca="1" si="97"/>
        <v>#REF!</v>
      </c>
      <c r="I1852" s="134" t="e">
        <f t="shared" ca="1" si="98"/>
        <v>#REF!</v>
      </c>
      <c r="J1852" s="226"/>
    </row>
    <row r="1853" spans="1:10" hidden="1" x14ac:dyDescent="0.25">
      <c r="A1853" s="112" t="s">
        <v>5461</v>
      </c>
      <c r="B1853" s="113" t="s">
        <v>4253</v>
      </c>
      <c r="C1853" s="114" t="s">
        <v>20</v>
      </c>
      <c r="D1853" s="114">
        <v>0</v>
      </c>
      <c r="E1853" s="133">
        <f ca="1">OFFSET(INDEX(Composições!A:J,MATCH(Orçamentária!A1853,Composições!A:A,0),8),2,0)</f>
        <v>47.490499999999997</v>
      </c>
      <c r="F1853" s="134">
        <f t="shared" ca="1" si="96"/>
        <v>0</v>
      </c>
      <c r="G1853" s="135" t="e">
        <f>IF(A1853&lt;&gt;"",IF(AND(#REF!="Padrão",$H$4=#REF!),BDI!$B$17,IF(AND(#REF!="Padrão",$H$4=#REF!),BDI!#REF!,IF(AND(#REF!="Diferenciado",$H$4=#REF!),BDI!$E$17,IF(AND(#REF!="Diferenciado",$H$4=#REF!),BDI!#REF!,IF(#REF!="ZERO",0))))),"")</f>
        <v>#REF!</v>
      </c>
      <c r="H1853" s="136" t="e">
        <f t="shared" ca="1" si="97"/>
        <v>#REF!</v>
      </c>
      <c r="I1853" s="134" t="e">
        <f t="shared" ca="1" si="98"/>
        <v>#REF!</v>
      </c>
      <c r="J1853" s="226"/>
    </row>
    <row r="1854" spans="1:10" hidden="1" x14ac:dyDescent="0.25">
      <c r="A1854" s="112" t="s">
        <v>5462</v>
      </c>
      <c r="B1854" s="113" t="s">
        <v>4254</v>
      </c>
      <c r="C1854" s="114" t="s">
        <v>20</v>
      </c>
      <c r="D1854" s="114">
        <v>0</v>
      </c>
      <c r="E1854" s="133">
        <f ca="1">OFFSET(INDEX(Composições!A:J,MATCH(Orçamentária!A1854,Composições!A:A,0),8),2,0)</f>
        <v>9.9179999999999993</v>
      </c>
      <c r="F1854" s="134">
        <f t="shared" ca="1" si="96"/>
        <v>0</v>
      </c>
      <c r="G1854" s="135" t="e">
        <f>IF(A1854&lt;&gt;"",IF(AND(#REF!="Padrão",$H$4=#REF!),BDI!$B$17,IF(AND(#REF!="Padrão",$H$4=#REF!),BDI!#REF!,IF(AND(#REF!="Diferenciado",$H$4=#REF!),BDI!$E$17,IF(AND(#REF!="Diferenciado",$H$4=#REF!),BDI!#REF!,IF(#REF!="ZERO",0))))),"")</f>
        <v>#REF!</v>
      </c>
      <c r="H1854" s="136" t="e">
        <f t="shared" ca="1" si="97"/>
        <v>#REF!</v>
      </c>
      <c r="I1854" s="134" t="e">
        <f t="shared" ca="1" si="98"/>
        <v>#REF!</v>
      </c>
      <c r="J1854" s="226"/>
    </row>
    <row r="1855" spans="1:10" hidden="1" x14ac:dyDescent="0.25">
      <c r="A1855" s="112" t="s">
        <v>5463</v>
      </c>
      <c r="B1855" s="113" t="s">
        <v>4255</v>
      </c>
      <c r="C1855" s="114" t="s">
        <v>20</v>
      </c>
      <c r="D1855" s="114">
        <v>0</v>
      </c>
      <c r="E1855" s="133" t="s">
        <v>514</v>
      </c>
      <c r="F1855" s="134" t="str">
        <f t="shared" si="96"/>
        <v/>
      </c>
      <c r="G1855" s="135" t="e">
        <f>IF(A1855&lt;&gt;"",IF(AND(#REF!="Padrão",$H$4=#REF!),BDI!$B$17,IF(AND(#REF!="Padrão",$H$4=#REF!),BDI!#REF!,IF(AND(#REF!="Diferenciado",$H$4=#REF!),BDI!$E$17,IF(AND(#REF!="Diferenciado",$H$4=#REF!),BDI!#REF!,IF(#REF!="ZERO",0))))),"")</f>
        <v>#REF!</v>
      </c>
      <c r="H1855" s="136" t="str">
        <f t="shared" si="97"/>
        <v/>
      </c>
      <c r="I1855" s="134" t="str">
        <f t="shared" si="98"/>
        <v/>
      </c>
      <c r="J1855" s="226"/>
    </row>
    <row r="1856" spans="1:10" hidden="1" x14ac:dyDescent="0.25">
      <c r="A1856" s="112" t="s">
        <v>5464</v>
      </c>
      <c r="B1856" s="113" t="s">
        <v>4256</v>
      </c>
      <c r="C1856" s="114" t="s">
        <v>20</v>
      </c>
      <c r="D1856" s="114">
        <v>0</v>
      </c>
      <c r="E1856" s="133">
        <f ca="1">OFFSET(INDEX(Composições!A:J,MATCH(Orçamentária!A1856,Composições!A:A,0),8),2,0)</f>
        <v>35.055</v>
      </c>
      <c r="F1856" s="134">
        <f t="shared" ca="1" si="96"/>
        <v>0</v>
      </c>
      <c r="G1856" s="135" t="e">
        <f>IF(A1856&lt;&gt;"",IF(AND(#REF!="Padrão",$H$4=#REF!),BDI!$B$17,IF(AND(#REF!="Padrão",$H$4=#REF!),BDI!#REF!,IF(AND(#REF!="Diferenciado",$H$4=#REF!),BDI!$E$17,IF(AND(#REF!="Diferenciado",$H$4=#REF!),BDI!#REF!,IF(#REF!="ZERO",0))))),"")</f>
        <v>#REF!</v>
      </c>
      <c r="H1856" s="136" t="e">
        <f t="shared" ca="1" si="97"/>
        <v>#REF!</v>
      </c>
      <c r="I1856" s="134" t="e">
        <f t="shared" ca="1" si="98"/>
        <v>#REF!</v>
      </c>
      <c r="J1856" s="226"/>
    </row>
    <row r="1857" spans="1:10" hidden="1" x14ac:dyDescent="0.25">
      <c r="A1857" s="112" t="s">
        <v>5465</v>
      </c>
      <c r="B1857" s="113" t="s">
        <v>4257</v>
      </c>
      <c r="C1857" s="114" t="s">
        <v>20</v>
      </c>
      <c r="D1857" s="114">
        <v>0</v>
      </c>
      <c r="E1857" s="133" t="s">
        <v>514</v>
      </c>
      <c r="F1857" s="134" t="str">
        <f t="shared" si="96"/>
        <v/>
      </c>
      <c r="G1857" s="135" t="e">
        <f>IF(A1857&lt;&gt;"",IF(AND(#REF!="Padrão",$H$4=#REF!),BDI!$B$17,IF(AND(#REF!="Padrão",$H$4=#REF!),BDI!#REF!,IF(AND(#REF!="Diferenciado",$H$4=#REF!),BDI!$E$17,IF(AND(#REF!="Diferenciado",$H$4=#REF!),BDI!#REF!,IF(#REF!="ZERO",0))))),"")</f>
        <v>#REF!</v>
      </c>
      <c r="H1857" s="136" t="str">
        <f t="shared" si="97"/>
        <v/>
      </c>
      <c r="I1857" s="134" t="str">
        <f t="shared" si="98"/>
        <v/>
      </c>
      <c r="J1857" s="226"/>
    </row>
    <row r="1858" spans="1:10" hidden="1" x14ac:dyDescent="0.25">
      <c r="A1858" s="112" t="s">
        <v>5466</v>
      </c>
      <c r="B1858" s="113" t="s">
        <v>4258</v>
      </c>
      <c r="C1858" s="114" t="s">
        <v>20</v>
      </c>
      <c r="D1858" s="114">
        <v>0</v>
      </c>
      <c r="E1858" s="133">
        <f ca="1">OFFSET(INDEX(Composições!A:J,MATCH(Orçamentária!A1858,Composições!A:A,0),8),2,0)</f>
        <v>111.568</v>
      </c>
      <c r="F1858" s="134">
        <f t="shared" ca="1" si="96"/>
        <v>0</v>
      </c>
      <c r="G1858" s="135" t="e">
        <f>IF(A1858&lt;&gt;"",IF(AND(#REF!="Padrão",$H$4=#REF!),BDI!$B$17,IF(AND(#REF!="Padrão",$H$4=#REF!),BDI!#REF!,IF(AND(#REF!="Diferenciado",$H$4=#REF!),BDI!$E$17,IF(AND(#REF!="Diferenciado",$H$4=#REF!),BDI!#REF!,IF(#REF!="ZERO",0))))),"")</f>
        <v>#REF!</v>
      </c>
      <c r="H1858" s="136" t="e">
        <f t="shared" ca="1" si="97"/>
        <v>#REF!</v>
      </c>
      <c r="I1858" s="134" t="e">
        <f t="shared" ca="1" si="98"/>
        <v>#REF!</v>
      </c>
      <c r="J1858" s="226"/>
    </row>
    <row r="1859" spans="1:10" hidden="1" x14ac:dyDescent="0.25">
      <c r="A1859" s="112" t="s">
        <v>5467</v>
      </c>
      <c r="B1859" s="113" t="s">
        <v>4259</v>
      </c>
      <c r="C1859" s="114" t="s">
        <v>20</v>
      </c>
      <c r="D1859" s="114">
        <v>0</v>
      </c>
      <c r="E1859" s="133">
        <f ca="1">OFFSET(INDEX(Composições!A:J,MATCH(Orçamentária!A1859,Composições!A:A,0),8),2,0)</f>
        <v>14.487499999999999</v>
      </c>
      <c r="F1859" s="134">
        <f t="shared" ca="1" si="96"/>
        <v>0</v>
      </c>
      <c r="G1859" s="135" t="e">
        <f>IF(A1859&lt;&gt;"",IF(AND(#REF!="Padrão",$H$4=#REF!),BDI!$B$17,IF(AND(#REF!="Padrão",$H$4=#REF!),BDI!#REF!,IF(AND(#REF!="Diferenciado",$H$4=#REF!),BDI!$E$17,IF(AND(#REF!="Diferenciado",$H$4=#REF!),BDI!#REF!,IF(#REF!="ZERO",0))))),"")</f>
        <v>#REF!</v>
      </c>
      <c r="H1859" s="136" t="e">
        <f t="shared" ca="1" si="97"/>
        <v>#REF!</v>
      </c>
      <c r="I1859" s="134" t="e">
        <f t="shared" ca="1" si="98"/>
        <v>#REF!</v>
      </c>
      <c r="J1859" s="226"/>
    </row>
    <row r="1860" spans="1:10" hidden="1" x14ac:dyDescent="0.25">
      <c r="A1860" s="112" t="s">
        <v>5468</v>
      </c>
      <c r="B1860" s="113" t="s">
        <v>4260</v>
      </c>
      <c r="C1860" s="114" t="s">
        <v>20</v>
      </c>
      <c r="D1860" s="114">
        <v>0</v>
      </c>
      <c r="E1860" s="133" t="s">
        <v>514</v>
      </c>
      <c r="F1860" s="134" t="str">
        <f t="shared" si="96"/>
        <v/>
      </c>
      <c r="G1860" s="135" t="e">
        <f>IF(A1860&lt;&gt;"",IF(AND(#REF!="Padrão",$H$4=#REF!),BDI!$B$17,IF(AND(#REF!="Padrão",$H$4=#REF!),BDI!#REF!,IF(AND(#REF!="Diferenciado",$H$4=#REF!),BDI!$E$17,IF(AND(#REF!="Diferenciado",$H$4=#REF!),BDI!#REF!,IF(#REF!="ZERO",0))))),"")</f>
        <v>#REF!</v>
      </c>
      <c r="H1860" s="136" t="str">
        <f t="shared" si="97"/>
        <v/>
      </c>
      <c r="I1860" s="134" t="str">
        <f t="shared" si="98"/>
        <v/>
      </c>
      <c r="J1860" s="226"/>
    </row>
    <row r="1861" spans="1:10" hidden="1" x14ac:dyDescent="0.25">
      <c r="A1861" s="112" t="s">
        <v>5469</v>
      </c>
      <c r="B1861" s="113" t="s">
        <v>4261</v>
      </c>
      <c r="C1861" s="114" t="s">
        <v>20</v>
      </c>
      <c r="D1861" s="114">
        <v>0</v>
      </c>
      <c r="E1861" s="133">
        <f ca="1">OFFSET(INDEX(Composições!A:J,MATCH(Orçamentária!A1861,Composições!A:A,0),8),2,0)</f>
        <v>88.768000000000001</v>
      </c>
      <c r="F1861" s="134">
        <f t="shared" ca="1" si="96"/>
        <v>0</v>
      </c>
      <c r="G1861" s="135" t="e">
        <f>IF(A1861&lt;&gt;"",IF(AND(#REF!="Padrão",$H$4=#REF!),BDI!$B$17,IF(AND(#REF!="Padrão",$H$4=#REF!),BDI!#REF!,IF(AND(#REF!="Diferenciado",$H$4=#REF!),BDI!$E$17,IF(AND(#REF!="Diferenciado",$H$4=#REF!),BDI!#REF!,IF(#REF!="ZERO",0))))),"")</f>
        <v>#REF!</v>
      </c>
      <c r="H1861" s="136" t="e">
        <f t="shared" ca="1" si="97"/>
        <v>#REF!</v>
      </c>
      <c r="I1861" s="134" t="e">
        <f t="shared" ca="1" si="98"/>
        <v>#REF!</v>
      </c>
      <c r="J1861" s="226"/>
    </row>
    <row r="1862" spans="1:10" hidden="1" x14ac:dyDescent="0.25">
      <c r="A1862" s="112" t="s">
        <v>5470</v>
      </c>
      <c r="B1862" s="113" t="s">
        <v>4262</v>
      </c>
      <c r="C1862" s="114" t="s">
        <v>20</v>
      </c>
      <c r="D1862" s="114">
        <v>0</v>
      </c>
      <c r="E1862" s="133">
        <f ca="1">OFFSET(INDEX(Composições!A:J,MATCH(Orçamentária!A1862,Composições!A:A,0),8),2,0)</f>
        <v>30.666</v>
      </c>
      <c r="F1862" s="134">
        <f t="shared" ca="1" si="96"/>
        <v>0</v>
      </c>
      <c r="G1862" s="135" t="e">
        <f>IF(A1862&lt;&gt;"",IF(AND(#REF!="Padrão",$H$4=#REF!),BDI!$B$17,IF(AND(#REF!="Padrão",$H$4=#REF!),BDI!#REF!,IF(AND(#REF!="Diferenciado",$H$4=#REF!),BDI!$E$17,IF(AND(#REF!="Diferenciado",$H$4=#REF!),BDI!#REF!,IF(#REF!="ZERO",0))))),"")</f>
        <v>#REF!</v>
      </c>
      <c r="H1862" s="136" t="e">
        <f t="shared" ca="1" si="97"/>
        <v>#REF!</v>
      </c>
      <c r="I1862" s="134" t="e">
        <f t="shared" ca="1" si="98"/>
        <v>#REF!</v>
      </c>
      <c r="J1862" s="226"/>
    </row>
    <row r="1863" spans="1:10" hidden="1" x14ac:dyDescent="0.25">
      <c r="A1863" s="112" t="s">
        <v>5471</v>
      </c>
      <c r="B1863" s="113" t="s">
        <v>4263</v>
      </c>
      <c r="C1863" s="114" t="s">
        <v>20</v>
      </c>
      <c r="D1863" s="114">
        <v>0</v>
      </c>
      <c r="E1863" s="133">
        <f ca="1">OFFSET(INDEX(Composições!A:J,MATCH(Orçamentária!A1863,Composições!A:A,0),8),2,0)</f>
        <v>134.52950000000001</v>
      </c>
      <c r="F1863" s="134">
        <f t="shared" ca="1" si="96"/>
        <v>0</v>
      </c>
      <c r="G1863" s="135" t="e">
        <f>IF(A1863&lt;&gt;"",IF(AND(#REF!="Padrão",$H$4=#REF!),BDI!$B$17,IF(AND(#REF!="Padrão",$H$4=#REF!),BDI!#REF!,IF(AND(#REF!="Diferenciado",$H$4=#REF!),BDI!$E$17,IF(AND(#REF!="Diferenciado",$H$4=#REF!),BDI!#REF!,IF(#REF!="ZERO",0))))),"")</f>
        <v>#REF!</v>
      </c>
      <c r="H1863" s="136" t="e">
        <f t="shared" ca="1" si="97"/>
        <v>#REF!</v>
      </c>
      <c r="I1863" s="134" t="e">
        <f t="shared" ca="1" si="98"/>
        <v>#REF!</v>
      </c>
      <c r="J1863" s="226"/>
    </row>
    <row r="1864" spans="1:10" hidden="1" x14ac:dyDescent="0.25">
      <c r="A1864" s="112" t="s">
        <v>5472</v>
      </c>
      <c r="B1864" s="113" t="s">
        <v>4264</v>
      </c>
      <c r="C1864" s="114" t="s">
        <v>20</v>
      </c>
      <c r="D1864" s="114">
        <v>0</v>
      </c>
      <c r="E1864" s="133">
        <f ca="1">OFFSET(INDEX(Composições!A:J,MATCH(Orçamentária!A1864,Composições!A:A,0),8),2,0)</f>
        <v>22.049499999999998</v>
      </c>
      <c r="F1864" s="134">
        <f t="shared" ca="1" si="96"/>
        <v>0</v>
      </c>
      <c r="G1864" s="135" t="e">
        <f>IF(A1864&lt;&gt;"",IF(AND(#REF!="Padrão",$H$4=#REF!),BDI!$B$17,IF(AND(#REF!="Padrão",$H$4=#REF!),BDI!#REF!,IF(AND(#REF!="Diferenciado",$H$4=#REF!),BDI!$E$17,IF(AND(#REF!="Diferenciado",$H$4=#REF!),BDI!#REF!,IF(#REF!="ZERO",0))))),"")</f>
        <v>#REF!</v>
      </c>
      <c r="H1864" s="136" t="e">
        <f t="shared" ca="1" si="97"/>
        <v>#REF!</v>
      </c>
      <c r="I1864" s="134" t="e">
        <f t="shared" ca="1" si="98"/>
        <v>#REF!</v>
      </c>
      <c r="J1864" s="226"/>
    </row>
    <row r="1865" spans="1:10" hidden="1" x14ac:dyDescent="0.25">
      <c r="A1865" s="112" t="s">
        <v>5473</v>
      </c>
      <c r="B1865" s="113" t="s">
        <v>4265</v>
      </c>
      <c r="C1865" s="114" t="s">
        <v>20</v>
      </c>
      <c r="D1865" s="114">
        <v>0</v>
      </c>
      <c r="E1865" s="133" t="s">
        <v>514</v>
      </c>
      <c r="F1865" s="134" t="str">
        <f t="shared" si="96"/>
        <v/>
      </c>
      <c r="G1865" s="135" t="e">
        <f>IF(A1865&lt;&gt;"",IF(AND(#REF!="Padrão",$H$4=#REF!),BDI!$B$17,IF(AND(#REF!="Padrão",$H$4=#REF!),BDI!#REF!,IF(AND(#REF!="Diferenciado",$H$4=#REF!),BDI!$E$17,IF(AND(#REF!="Diferenciado",$H$4=#REF!),BDI!#REF!,IF(#REF!="ZERO",0))))),"")</f>
        <v>#REF!</v>
      </c>
      <c r="H1865" s="136" t="str">
        <f t="shared" si="97"/>
        <v/>
      </c>
      <c r="I1865" s="134" t="str">
        <f t="shared" si="98"/>
        <v/>
      </c>
      <c r="J1865" s="226"/>
    </row>
    <row r="1866" spans="1:10" hidden="1" x14ac:dyDescent="0.25">
      <c r="A1866" s="112" t="s">
        <v>5474</v>
      </c>
      <c r="B1866" s="113" t="s">
        <v>4266</v>
      </c>
      <c r="C1866" s="114" t="s">
        <v>20</v>
      </c>
      <c r="D1866" s="114">
        <v>0</v>
      </c>
      <c r="E1866" s="133">
        <f ca="1">OFFSET(INDEX(Composições!A:J,MATCH(Orçamentária!A1866,Composições!A:A,0),8),2,0)</f>
        <v>116.53649999999999</v>
      </c>
      <c r="F1866" s="134">
        <f t="shared" ca="1" si="96"/>
        <v>0</v>
      </c>
      <c r="G1866" s="135" t="e">
        <f>IF(A1866&lt;&gt;"",IF(AND(#REF!="Padrão",$H$4=#REF!),BDI!$B$17,IF(AND(#REF!="Padrão",$H$4=#REF!),BDI!#REF!,IF(AND(#REF!="Diferenciado",$H$4=#REF!),BDI!$E$17,IF(AND(#REF!="Diferenciado",$H$4=#REF!),BDI!#REF!,IF(#REF!="ZERO",0))))),"")</f>
        <v>#REF!</v>
      </c>
      <c r="H1866" s="136" t="e">
        <f t="shared" ca="1" si="97"/>
        <v>#REF!</v>
      </c>
      <c r="I1866" s="134" t="e">
        <f t="shared" ca="1" si="98"/>
        <v>#REF!</v>
      </c>
      <c r="J1866" s="226"/>
    </row>
    <row r="1867" spans="1:10" hidden="1" x14ac:dyDescent="0.25">
      <c r="A1867" s="112" t="s">
        <v>5475</v>
      </c>
      <c r="B1867" s="113" t="s">
        <v>4267</v>
      </c>
      <c r="C1867" s="114" t="s">
        <v>20</v>
      </c>
      <c r="D1867" s="114">
        <v>0</v>
      </c>
      <c r="E1867" s="133">
        <f ca="1">OFFSET(INDEX(Composições!A:J,MATCH(Orçamentária!A1867,Composições!A:A,0),8),2,0)</f>
        <v>48.060499999999998</v>
      </c>
      <c r="F1867" s="134">
        <f t="shared" ca="1" si="96"/>
        <v>0</v>
      </c>
      <c r="G1867" s="135" t="e">
        <f>IF(A1867&lt;&gt;"",IF(AND(#REF!="Padrão",$H$4=#REF!),BDI!$B$17,IF(AND(#REF!="Padrão",$H$4=#REF!),BDI!#REF!,IF(AND(#REF!="Diferenciado",$H$4=#REF!),BDI!$E$17,IF(AND(#REF!="Diferenciado",$H$4=#REF!),BDI!#REF!,IF(#REF!="ZERO",0))))),"")</f>
        <v>#REF!</v>
      </c>
      <c r="H1867" s="136" t="e">
        <f t="shared" ca="1" si="97"/>
        <v>#REF!</v>
      </c>
      <c r="I1867" s="134" t="e">
        <f t="shared" ca="1" si="98"/>
        <v>#REF!</v>
      </c>
      <c r="J1867" s="226"/>
    </row>
    <row r="1868" spans="1:10" hidden="1" x14ac:dyDescent="0.25">
      <c r="A1868" s="112" t="s">
        <v>5476</v>
      </c>
      <c r="B1868" s="113" t="s">
        <v>4268</v>
      </c>
      <c r="C1868" s="114" t="s">
        <v>20</v>
      </c>
      <c r="D1868" s="114">
        <v>0</v>
      </c>
      <c r="E1868" s="133">
        <f ca="1">OFFSET(INDEX(Composições!A:J,MATCH(Orçamentária!A1868,Composições!A:A,0),8),2,0)</f>
        <v>247.60799999999998</v>
      </c>
      <c r="F1868" s="134">
        <f t="shared" ca="1" si="96"/>
        <v>0</v>
      </c>
      <c r="G1868" s="135" t="e">
        <f>IF(A1868&lt;&gt;"",IF(AND(#REF!="Padrão",$H$4=#REF!),BDI!$B$17,IF(AND(#REF!="Padrão",$H$4=#REF!),BDI!#REF!,IF(AND(#REF!="Diferenciado",$H$4=#REF!),BDI!$E$17,IF(AND(#REF!="Diferenciado",$H$4=#REF!),BDI!#REF!,IF(#REF!="ZERO",0))))),"")</f>
        <v>#REF!</v>
      </c>
      <c r="H1868" s="136" t="e">
        <f t="shared" ca="1" si="97"/>
        <v>#REF!</v>
      </c>
      <c r="I1868" s="134" t="e">
        <f t="shared" ca="1" si="98"/>
        <v>#REF!</v>
      </c>
      <c r="J1868" s="226"/>
    </row>
    <row r="1869" spans="1:10" hidden="1" x14ac:dyDescent="0.25">
      <c r="A1869" s="112" t="s">
        <v>5477</v>
      </c>
      <c r="B1869" s="113" t="s">
        <v>4269</v>
      </c>
      <c r="C1869" s="114" t="s">
        <v>20</v>
      </c>
      <c r="D1869" s="114">
        <v>0</v>
      </c>
      <c r="E1869" s="133">
        <f ca="1">OFFSET(INDEX(Composições!A:J,MATCH(Orçamentária!A1869,Composições!A:A,0),8),2,0)</f>
        <v>34.798500000000004</v>
      </c>
      <c r="F1869" s="134">
        <f t="shared" ca="1" si="96"/>
        <v>0</v>
      </c>
      <c r="G1869" s="135" t="e">
        <f>IF(A1869&lt;&gt;"",IF(AND(#REF!="Padrão",$H$4=#REF!),BDI!$B$17,IF(AND(#REF!="Padrão",$H$4=#REF!),BDI!#REF!,IF(AND(#REF!="Diferenciado",$H$4=#REF!),BDI!$E$17,IF(AND(#REF!="Diferenciado",$H$4=#REF!),BDI!#REF!,IF(#REF!="ZERO",0))))),"")</f>
        <v>#REF!</v>
      </c>
      <c r="H1869" s="136" t="e">
        <f t="shared" ca="1" si="97"/>
        <v>#REF!</v>
      </c>
      <c r="I1869" s="134" t="e">
        <f t="shared" ca="1" si="98"/>
        <v>#REF!</v>
      </c>
      <c r="J1869" s="226"/>
    </row>
    <row r="1870" spans="1:10" hidden="1" x14ac:dyDescent="0.25">
      <c r="A1870" s="112" t="s">
        <v>5478</v>
      </c>
      <c r="B1870" s="113" t="s">
        <v>4270</v>
      </c>
      <c r="C1870" s="114" t="s">
        <v>20</v>
      </c>
      <c r="D1870" s="114">
        <v>0</v>
      </c>
      <c r="E1870" s="133" t="s">
        <v>514</v>
      </c>
      <c r="F1870" s="134" t="str">
        <f t="shared" si="96"/>
        <v/>
      </c>
      <c r="G1870" s="135" t="e">
        <f>IF(A1870&lt;&gt;"",IF(AND(#REF!="Padrão",$H$4=#REF!),BDI!$B$17,IF(AND(#REF!="Padrão",$H$4=#REF!),BDI!#REF!,IF(AND(#REF!="Diferenciado",$H$4=#REF!),BDI!$E$17,IF(AND(#REF!="Diferenciado",$H$4=#REF!),BDI!#REF!,IF(#REF!="ZERO",0))))),"")</f>
        <v>#REF!</v>
      </c>
      <c r="H1870" s="136" t="str">
        <f t="shared" si="97"/>
        <v/>
      </c>
      <c r="I1870" s="134" t="str">
        <f t="shared" si="98"/>
        <v/>
      </c>
      <c r="J1870" s="226"/>
    </row>
    <row r="1871" spans="1:10" hidden="1" x14ac:dyDescent="0.25">
      <c r="A1871" s="112" t="s">
        <v>5479</v>
      </c>
      <c r="B1871" s="113" t="s">
        <v>4271</v>
      </c>
      <c r="C1871" s="114" t="s">
        <v>20</v>
      </c>
      <c r="D1871" s="114">
        <v>0</v>
      </c>
      <c r="E1871" s="133">
        <f ca="1">OFFSET(INDEX(Composições!A:J,MATCH(Orçamentária!A1871,Composições!A:A,0),8),2,0)</f>
        <v>197.64750000000001</v>
      </c>
      <c r="F1871" s="134">
        <f t="shared" ca="1" si="96"/>
        <v>0</v>
      </c>
      <c r="G1871" s="135" t="e">
        <f>IF(A1871&lt;&gt;"",IF(AND(#REF!="Padrão",$H$4=#REF!),BDI!$B$17,IF(AND(#REF!="Padrão",$H$4=#REF!),BDI!#REF!,IF(AND(#REF!="Diferenciado",$H$4=#REF!),BDI!$E$17,IF(AND(#REF!="Diferenciado",$H$4=#REF!),BDI!#REF!,IF(#REF!="ZERO",0))))),"")</f>
        <v>#REF!</v>
      </c>
      <c r="H1871" s="136" t="e">
        <f t="shared" ca="1" si="97"/>
        <v>#REF!</v>
      </c>
      <c r="I1871" s="134" t="e">
        <f t="shared" ca="1" si="98"/>
        <v>#REF!</v>
      </c>
      <c r="J1871" s="226"/>
    </row>
    <row r="1872" spans="1:10" hidden="1" x14ac:dyDescent="0.25">
      <c r="A1872" s="112" t="s">
        <v>5480</v>
      </c>
      <c r="B1872" s="113" t="s">
        <v>4272</v>
      </c>
      <c r="C1872" s="114" t="s">
        <v>92</v>
      </c>
      <c r="D1872" s="114">
        <v>0</v>
      </c>
      <c r="E1872" s="133">
        <f ca="1">OFFSET(INDEX(Composições!A:J,MATCH(Orçamentária!A1872,Composições!A:A,0),8),2,0)</f>
        <v>4.1324999999999994</v>
      </c>
      <c r="F1872" s="134">
        <f t="shared" ca="1" si="96"/>
        <v>0</v>
      </c>
      <c r="G1872" s="135" t="e">
        <f>IF(A1872&lt;&gt;"",IF(AND(#REF!="Padrão",$H$4=#REF!),BDI!$B$17,IF(AND(#REF!="Padrão",$H$4=#REF!),BDI!#REF!,IF(AND(#REF!="Diferenciado",$H$4=#REF!),BDI!$E$17,IF(AND(#REF!="Diferenciado",$H$4=#REF!),BDI!#REF!,IF(#REF!="ZERO",0))))),"")</f>
        <v>#REF!</v>
      </c>
      <c r="H1872" s="136" t="e">
        <f t="shared" ca="1" si="97"/>
        <v>#REF!</v>
      </c>
      <c r="I1872" s="134" t="e">
        <f t="shared" ca="1" si="98"/>
        <v>#REF!</v>
      </c>
      <c r="J1872" s="226"/>
    </row>
    <row r="1873" spans="1:10" hidden="1" x14ac:dyDescent="0.25">
      <c r="A1873" s="112" t="s">
        <v>5481</v>
      </c>
      <c r="B1873" s="113" t="s">
        <v>4273</v>
      </c>
      <c r="C1873" s="114" t="s">
        <v>92</v>
      </c>
      <c r="D1873" s="114">
        <v>0</v>
      </c>
      <c r="E1873" s="133">
        <f ca="1">OFFSET(INDEX(Composições!A:J,MATCH(Orçamentária!A1873,Composições!A:A,0),8),2,0)</f>
        <v>7.9514999999999985</v>
      </c>
      <c r="F1873" s="134">
        <f t="shared" ca="1" si="96"/>
        <v>0</v>
      </c>
      <c r="G1873" s="135" t="e">
        <f>IF(A1873&lt;&gt;"",IF(AND(#REF!="Padrão",$H$4=#REF!),BDI!$B$17,IF(AND(#REF!="Padrão",$H$4=#REF!),BDI!#REF!,IF(AND(#REF!="Diferenciado",$H$4=#REF!),BDI!$E$17,IF(AND(#REF!="Diferenciado",$H$4=#REF!),BDI!#REF!,IF(#REF!="ZERO",0))))),"")</f>
        <v>#REF!</v>
      </c>
      <c r="H1873" s="136" t="e">
        <f t="shared" ca="1" si="97"/>
        <v>#REF!</v>
      </c>
      <c r="I1873" s="134" t="e">
        <f t="shared" ca="1" si="98"/>
        <v>#REF!</v>
      </c>
      <c r="J1873" s="226"/>
    </row>
    <row r="1874" spans="1:10" hidden="1" x14ac:dyDescent="0.25">
      <c r="A1874" s="112" t="s">
        <v>5482</v>
      </c>
      <c r="B1874" s="113" t="s">
        <v>4274</v>
      </c>
      <c r="C1874" s="114" t="s">
        <v>92</v>
      </c>
      <c r="D1874" s="114">
        <v>0</v>
      </c>
      <c r="E1874" s="133">
        <f ca="1">OFFSET(INDEX(Composições!A:J,MATCH(Orçamentária!A1874,Composições!A:A,0),8),2,0)</f>
        <v>14.363999999999999</v>
      </c>
      <c r="F1874" s="134">
        <f t="shared" ca="1" si="96"/>
        <v>0</v>
      </c>
      <c r="G1874" s="135" t="e">
        <f>IF(A1874&lt;&gt;"",IF(AND(#REF!="Padrão",$H$4=#REF!),BDI!$B$17,IF(AND(#REF!="Padrão",$H$4=#REF!),BDI!#REF!,IF(AND(#REF!="Diferenciado",$H$4=#REF!),BDI!$E$17,IF(AND(#REF!="Diferenciado",$H$4=#REF!),BDI!#REF!,IF(#REF!="ZERO",0))))),"")</f>
        <v>#REF!</v>
      </c>
      <c r="H1874" s="136" t="e">
        <f t="shared" ca="1" si="97"/>
        <v>#REF!</v>
      </c>
      <c r="I1874" s="134" t="e">
        <f t="shared" ca="1" si="98"/>
        <v>#REF!</v>
      </c>
      <c r="J1874" s="226"/>
    </row>
    <row r="1875" spans="1:10" hidden="1" x14ac:dyDescent="0.25">
      <c r="A1875" s="112" t="s">
        <v>5483</v>
      </c>
      <c r="B1875" s="113" t="s">
        <v>4275</v>
      </c>
      <c r="C1875" s="114" t="s">
        <v>20</v>
      </c>
      <c r="D1875" s="114">
        <v>0</v>
      </c>
      <c r="E1875" s="133" t="s">
        <v>514</v>
      </c>
      <c r="F1875" s="134" t="str">
        <f t="shared" si="96"/>
        <v/>
      </c>
      <c r="G1875" s="135" t="e">
        <f>IF(A1875&lt;&gt;"",IF(AND(#REF!="Padrão",$H$4=#REF!),BDI!$B$17,IF(AND(#REF!="Padrão",$H$4=#REF!),BDI!#REF!,IF(AND(#REF!="Diferenciado",$H$4=#REF!),BDI!$E$17,IF(AND(#REF!="Diferenciado",$H$4=#REF!),BDI!#REF!,IF(#REF!="ZERO",0))))),"")</f>
        <v>#REF!</v>
      </c>
      <c r="H1875" s="136" t="str">
        <f t="shared" si="97"/>
        <v/>
      </c>
      <c r="I1875" s="134" t="str">
        <f t="shared" si="98"/>
        <v/>
      </c>
      <c r="J1875" s="226"/>
    </row>
    <row r="1876" spans="1:10" hidden="1" x14ac:dyDescent="0.25">
      <c r="A1876" s="112" t="s">
        <v>5484</v>
      </c>
      <c r="B1876" s="113" t="s">
        <v>4276</v>
      </c>
      <c r="C1876" s="114" t="s">
        <v>92</v>
      </c>
      <c r="D1876" s="114">
        <v>0</v>
      </c>
      <c r="E1876" s="133">
        <f ca="1">OFFSET(INDEX(Composições!A:J,MATCH(Orçamentária!A1876,Composições!A:A,0),8),2,0)</f>
        <v>18.838499999999996</v>
      </c>
      <c r="F1876" s="134">
        <f t="shared" ca="1" si="96"/>
        <v>0</v>
      </c>
      <c r="G1876" s="135" t="e">
        <f>IF(A1876&lt;&gt;"",IF(AND(#REF!="Padrão",$H$4=#REF!),BDI!$B$17,IF(AND(#REF!="Padrão",$H$4=#REF!),BDI!#REF!,IF(AND(#REF!="Diferenciado",$H$4=#REF!),BDI!$E$17,IF(AND(#REF!="Diferenciado",$H$4=#REF!),BDI!#REF!,IF(#REF!="ZERO",0))))),"")</f>
        <v>#REF!</v>
      </c>
      <c r="H1876" s="136" t="e">
        <f t="shared" ca="1" si="97"/>
        <v>#REF!</v>
      </c>
      <c r="I1876" s="134" t="e">
        <f t="shared" ca="1" si="98"/>
        <v>#REF!</v>
      </c>
      <c r="J1876" s="226"/>
    </row>
    <row r="1877" spans="1:10" hidden="1" x14ac:dyDescent="0.25">
      <c r="A1877" s="112" t="s">
        <v>5485</v>
      </c>
      <c r="B1877" s="113" t="s">
        <v>4277</v>
      </c>
      <c r="C1877" s="114" t="s">
        <v>20</v>
      </c>
      <c r="D1877" s="114">
        <v>0</v>
      </c>
      <c r="E1877" s="133" t="s">
        <v>514</v>
      </c>
      <c r="F1877" s="134" t="str">
        <f t="shared" si="96"/>
        <v/>
      </c>
      <c r="G1877" s="135" t="e">
        <f>IF(A1877&lt;&gt;"",IF(AND(#REF!="Padrão",$H$4=#REF!),BDI!$B$17,IF(AND(#REF!="Padrão",$H$4=#REF!),BDI!#REF!,IF(AND(#REF!="Diferenciado",$H$4=#REF!),BDI!$E$17,IF(AND(#REF!="Diferenciado",$H$4=#REF!),BDI!#REF!,IF(#REF!="ZERO",0))))),"")</f>
        <v>#REF!</v>
      </c>
      <c r="H1877" s="136" t="str">
        <f t="shared" si="97"/>
        <v/>
      </c>
      <c r="I1877" s="134" t="str">
        <f t="shared" si="98"/>
        <v/>
      </c>
      <c r="J1877" s="226"/>
    </row>
    <row r="1878" spans="1:10" hidden="1" x14ac:dyDescent="0.25">
      <c r="A1878" s="112" t="s">
        <v>5486</v>
      </c>
      <c r="B1878" s="113" t="s">
        <v>4278</v>
      </c>
      <c r="C1878" s="114" t="s">
        <v>92</v>
      </c>
      <c r="D1878" s="114">
        <v>0</v>
      </c>
      <c r="E1878" s="133">
        <f ca="1">OFFSET(INDEX(Composições!A:J,MATCH(Orçamentária!A1878,Composições!A:A,0),8),2,0)</f>
        <v>28.433499999999999</v>
      </c>
      <c r="F1878" s="134">
        <f t="shared" ca="1" si="96"/>
        <v>0</v>
      </c>
      <c r="G1878" s="135" t="e">
        <f>IF(A1878&lt;&gt;"",IF(AND(#REF!="Padrão",$H$4=#REF!),BDI!$B$17,IF(AND(#REF!="Padrão",$H$4=#REF!),BDI!#REF!,IF(AND(#REF!="Diferenciado",$H$4=#REF!),BDI!$E$17,IF(AND(#REF!="Diferenciado",$H$4=#REF!),BDI!#REF!,IF(#REF!="ZERO",0))))),"")</f>
        <v>#REF!</v>
      </c>
      <c r="H1878" s="136" t="e">
        <f t="shared" ca="1" si="97"/>
        <v>#REF!</v>
      </c>
      <c r="I1878" s="134" t="e">
        <f t="shared" ca="1" si="98"/>
        <v>#REF!</v>
      </c>
      <c r="J1878" s="226"/>
    </row>
    <row r="1879" spans="1:10" hidden="1" x14ac:dyDescent="0.25">
      <c r="A1879" s="112" t="s">
        <v>5487</v>
      </c>
      <c r="B1879" s="113" t="s">
        <v>4279</v>
      </c>
      <c r="C1879" s="114" t="s">
        <v>20</v>
      </c>
      <c r="D1879" s="114">
        <v>0</v>
      </c>
      <c r="E1879" s="133" t="s">
        <v>514</v>
      </c>
      <c r="F1879" s="134" t="str">
        <f t="shared" si="96"/>
        <v/>
      </c>
      <c r="G1879" s="135" t="e">
        <f>IF(A1879&lt;&gt;"",IF(AND(#REF!="Padrão",$H$4=#REF!),BDI!$B$17,IF(AND(#REF!="Padrão",$H$4=#REF!),BDI!#REF!,IF(AND(#REF!="Diferenciado",$H$4=#REF!),BDI!$E$17,IF(AND(#REF!="Diferenciado",$H$4=#REF!),BDI!#REF!,IF(#REF!="ZERO",0))))),"")</f>
        <v>#REF!</v>
      </c>
      <c r="H1879" s="136" t="str">
        <f t="shared" si="97"/>
        <v/>
      </c>
      <c r="I1879" s="134" t="str">
        <f t="shared" si="98"/>
        <v/>
      </c>
      <c r="J1879" s="226"/>
    </row>
    <row r="1880" spans="1:10" hidden="1" x14ac:dyDescent="0.25">
      <c r="A1880" s="112" t="s">
        <v>5488</v>
      </c>
      <c r="B1880" s="113" t="s">
        <v>4280</v>
      </c>
      <c r="C1880" s="114" t="s">
        <v>92</v>
      </c>
      <c r="D1880" s="114">
        <v>0</v>
      </c>
      <c r="E1880" s="133">
        <f ca="1">OFFSET(INDEX(Composições!A:J,MATCH(Orçamentária!A1880,Composições!A:A,0),8),2,0)</f>
        <v>36.584499999999998</v>
      </c>
      <c r="F1880" s="134">
        <f t="shared" ca="1" si="96"/>
        <v>0</v>
      </c>
      <c r="G1880" s="135" t="e">
        <f>IF(A1880&lt;&gt;"",IF(AND(#REF!="Padrão",$H$4=#REF!),BDI!$B$17,IF(AND(#REF!="Padrão",$H$4=#REF!),BDI!#REF!,IF(AND(#REF!="Diferenciado",$H$4=#REF!),BDI!$E$17,IF(AND(#REF!="Diferenciado",$H$4=#REF!),BDI!#REF!,IF(#REF!="ZERO",0))))),"")</f>
        <v>#REF!</v>
      </c>
      <c r="H1880" s="136" t="e">
        <f t="shared" ca="1" si="97"/>
        <v>#REF!</v>
      </c>
      <c r="I1880" s="134" t="e">
        <f t="shared" ca="1" si="98"/>
        <v>#REF!</v>
      </c>
      <c r="J1880" s="226"/>
    </row>
    <row r="1881" spans="1:10" hidden="1" x14ac:dyDescent="0.25">
      <c r="A1881" s="112" t="s">
        <v>5489</v>
      </c>
      <c r="B1881" s="113" t="s">
        <v>4281</v>
      </c>
      <c r="C1881" s="114" t="s">
        <v>20</v>
      </c>
      <c r="D1881" s="114">
        <v>0</v>
      </c>
      <c r="E1881" s="133" t="s">
        <v>514</v>
      </c>
      <c r="F1881" s="134" t="str">
        <f t="shared" si="96"/>
        <v/>
      </c>
      <c r="G1881" s="135" t="e">
        <f>IF(A1881&lt;&gt;"",IF(AND(#REF!="Padrão",$H$4=#REF!),BDI!$B$17,IF(AND(#REF!="Padrão",$H$4=#REF!),BDI!#REF!,IF(AND(#REF!="Diferenciado",$H$4=#REF!),BDI!$E$17,IF(AND(#REF!="Diferenciado",$H$4=#REF!),BDI!#REF!,IF(#REF!="ZERO",0))))),"")</f>
        <v>#REF!</v>
      </c>
      <c r="H1881" s="136" t="str">
        <f t="shared" si="97"/>
        <v/>
      </c>
      <c r="I1881" s="134" t="str">
        <f t="shared" si="98"/>
        <v/>
      </c>
      <c r="J1881" s="226"/>
    </row>
    <row r="1882" spans="1:10" hidden="1" x14ac:dyDescent="0.25">
      <c r="A1882" s="112" t="s">
        <v>5490</v>
      </c>
      <c r="B1882" s="113" t="s">
        <v>4282</v>
      </c>
      <c r="C1882" s="114" t="s">
        <v>92</v>
      </c>
      <c r="D1882" s="114">
        <v>0</v>
      </c>
      <c r="E1882" s="133">
        <f ca="1">OFFSET(INDEX(Composições!A:J,MATCH(Orçamentária!A1882,Composições!A:A,0),8),2,0)</f>
        <v>48.734999999999992</v>
      </c>
      <c r="F1882" s="134">
        <f t="shared" ca="1" si="96"/>
        <v>0</v>
      </c>
      <c r="G1882" s="135" t="e">
        <f>IF(A1882&lt;&gt;"",IF(AND(#REF!="Padrão",$H$4=#REF!),BDI!$B$17,IF(AND(#REF!="Padrão",$H$4=#REF!),BDI!#REF!,IF(AND(#REF!="Diferenciado",$H$4=#REF!),BDI!$E$17,IF(AND(#REF!="Diferenciado",$H$4=#REF!),BDI!#REF!,IF(#REF!="ZERO",0))))),"")</f>
        <v>#REF!</v>
      </c>
      <c r="H1882" s="136" t="e">
        <f t="shared" ca="1" si="97"/>
        <v>#REF!</v>
      </c>
      <c r="I1882" s="134" t="e">
        <f t="shared" ca="1" si="98"/>
        <v>#REF!</v>
      </c>
      <c r="J1882" s="226"/>
    </row>
    <row r="1883" spans="1:10" hidden="1" x14ac:dyDescent="0.25">
      <c r="A1883" s="112" t="s">
        <v>5491</v>
      </c>
      <c r="B1883" s="113" t="s">
        <v>4283</v>
      </c>
      <c r="C1883" s="114" t="s">
        <v>20</v>
      </c>
      <c r="D1883" s="114">
        <v>0</v>
      </c>
      <c r="E1883" s="133" t="s">
        <v>514</v>
      </c>
      <c r="F1883" s="134" t="str">
        <f t="shared" si="96"/>
        <v/>
      </c>
      <c r="G1883" s="135" t="e">
        <f>IF(A1883&lt;&gt;"",IF(AND(#REF!="Padrão",$H$4=#REF!),BDI!$B$17,IF(AND(#REF!="Padrão",$H$4=#REF!),BDI!#REF!,IF(AND(#REF!="Diferenciado",$H$4=#REF!),BDI!$E$17,IF(AND(#REF!="Diferenciado",$H$4=#REF!),BDI!#REF!,IF(#REF!="ZERO",0))))),"")</f>
        <v>#REF!</v>
      </c>
      <c r="H1883" s="136" t="str">
        <f t="shared" si="97"/>
        <v/>
      </c>
      <c r="I1883" s="134" t="str">
        <f t="shared" si="98"/>
        <v/>
      </c>
      <c r="J1883" s="226"/>
    </row>
    <row r="1884" spans="1:10" hidden="1" x14ac:dyDescent="0.25">
      <c r="A1884" s="112" t="s">
        <v>5492</v>
      </c>
      <c r="B1884" s="113" t="s">
        <v>4284</v>
      </c>
      <c r="C1884" s="114" t="s">
        <v>92</v>
      </c>
      <c r="D1884" s="114">
        <v>0</v>
      </c>
      <c r="E1884" s="133">
        <f ca="1">OFFSET(INDEX(Composições!A:J,MATCH(Orçamentária!A1884,Composições!A:A,0),8),2,0)</f>
        <v>4.0564999999999998</v>
      </c>
      <c r="F1884" s="134">
        <f t="shared" ca="1" si="96"/>
        <v>0</v>
      </c>
      <c r="G1884" s="135" t="e">
        <f>IF(A1884&lt;&gt;"",IF(AND(#REF!="Padrão",$H$4=#REF!),BDI!$B$17,IF(AND(#REF!="Padrão",$H$4=#REF!),BDI!#REF!,IF(AND(#REF!="Diferenciado",$H$4=#REF!),BDI!$E$17,IF(AND(#REF!="Diferenciado",$H$4=#REF!),BDI!#REF!,IF(#REF!="ZERO",0))))),"")</f>
        <v>#REF!</v>
      </c>
      <c r="H1884" s="136" t="e">
        <f t="shared" ca="1" si="97"/>
        <v>#REF!</v>
      </c>
      <c r="I1884" s="134" t="e">
        <f t="shared" ca="1" si="98"/>
        <v>#REF!</v>
      </c>
      <c r="J1884" s="226"/>
    </row>
    <row r="1885" spans="1:10" hidden="1" x14ac:dyDescent="0.25">
      <c r="A1885" s="112" t="s">
        <v>5493</v>
      </c>
      <c r="B1885" s="113" t="s">
        <v>4285</v>
      </c>
      <c r="C1885" s="114" t="s">
        <v>20</v>
      </c>
      <c r="D1885" s="114">
        <v>0</v>
      </c>
      <c r="E1885" s="133">
        <f ca="1">OFFSET(INDEX(Composições!A:J,MATCH(Orçamentária!A1885,Composições!A:A,0),8),2,0)</f>
        <v>6.7449999999999992</v>
      </c>
      <c r="F1885" s="134">
        <f t="shared" ca="1" si="96"/>
        <v>0</v>
      </c>
      <c r="G1885" s="135" t="e">
        <f>IF(A1885&lt;&gt;"",IF(AND(#REF!="Padrão",$H$4=#REF!),BDI!$B$17,IF(AND(#REF!="Padrão",$H$4=#REF!),BDI!#REF!,IF(AND(#REF!="Diferenciado",$H$4=#REF!),BDI!$E$17,IF(AND(#REF!="Diferenciado",$H$4=#REF!),BDI!#REF!,IF(#REF!="ZERO",0))))),"")</f>
        <v>#REF!</v>
      </c>
      <c r="H1885" s="136" t="e">
        <f t="shared" ca="1" si="97"/>
        <v>#REF!</v>
      </c>
      <c r="I1885" s="134" t="e">
        <f t="shared" ca="1" si="98"/>
        <v>#REF!</v>
      </c>
      <c r="J1885" s="226"/>
    </row>
    <row r="1886" spans="1:10" hidden="1" x14ac:dyDescent="0.25">
      <c r="A1886" s="112" t="s">
        <v>5494</v>
      </c>
      <c r="B1886" s="113" t="s">
        <v>4286</v>
      </c>
      <c r="C1886" s="114" t="s">
        <v>92</v>
      </c>
      <c r="D1886" s="114">
        <v>0</v>
      </c>
      <c r="E1886" s="133">
        <f ca="1">OFFSET(INDEX(Composições!A:J,MATCH(Orçamentária!A1886,Composições!A:A,0),8),2,0)</f>
        <v>6.6879999999999997</v>
      </c>
      <c r="F1886" s="134">
        <f t="shared" ca="1" si="96"/>
        <v>0</v>
      </c>
      <c r="G1886" s="135" t="e">
        <f>IF(A1886&lt;&gt;"",IF(AND(#REF!="Padrão",$H$4=#REF!),BDI!$B$17,IF(AND(#REF!="Padrão",$H$4=#REF!),BDI!#REF!,IF(AND(#REF!="Diferenciado",$H$4=#REF!),BDI!$E$17,IF(AND(#REF!="Diferenciado",$H$4=#REF!),BDI!#REF!,IF(#REF!="ZERO",0))))),"")</f>
        <v>#REF!</v>
      </c>
      <c r="H1886" s="136" t="e">
        <f t="shared" ca="1" si="97"/>
        <v>#REF!</v>
      </c>
      <c r="I1886" s="134" t="e">
        <f t="shared" ca="1" si="98"/>
        <v>#REF!</v>
      </c>
      <c r="J1886" s="226"/>
    </row>
    <row r="1887" spans="1:10" hidden="1" x14ac:dyDescent="0.25">
      <c r="A1887" s="112" t="s">
        <v>5495</v>
      </c>
      <c r="B1887" s="113" t="s">
        <v>4287</v>
      </c>
      <c r="C1887" s="114" t="s">
        <v>20</v>
      </c>
      <c r="D1887" s="114">
        <v>0</v>
      </c>
      <c r="E1887" s="133">
        <f ca="1">OFFSET(INDEX(Composições!A:J,MATCH(Orçamentária!A1887,Composições!A:A,0),8),2,0)</f>
        <v>7.7044999999999995</v>
      </c>
      <c r="F1887" s="134">
        <f t="shared" ca="1" si="96"/>
        <v>0</v>
      </c>
      <c r="G1887" s="135" t="e">
        <f>IF(A1887&lt;&gt;"",IF(AND(#REF!="Padrão",$H$4=#REF!),BDI!$B$17,IF(AND(#REF!="Padrão",$H$4=#REF!),BDI!#REF!,IF(AND(#REF!="Diferenciado",$H$4=#REF!),BDI!$E$17,IF(AND(#REF!="Diferenciado",$H$4=#REF!),BDI!#REF!,IF(#REF!="ZERO",0))))),"")</f>
        <v>#REF!</v>
      </c>
      <c r="H1887" s="136" t="e">
        <f t="shared" ca="1" si="97"/>
        <v>#REF!</v>
      </c>
      <c r="I1887" s="134" t="e">
        <f t="shared" ca="1" si="98"/>
        <v>#REF!</v>
      </c>
      <c r="J1887" s="226"/>
    </row>
    <row r="1888" spans="1:10" hidden="1" x14ac:dyDescent="0.25">
      <c r="A1888" s="112" t="s">
        <v>5496</v>
      </c>
      <c r="B1888" s="113" t="s">
        <v>4288</v>
      </c>
      <c r="C1888" s="114" t="s">
        <v>92</v>
      </c>
      <c r="D1888" s="114">
        <v>0</v>
      </c>
      <c r="E1888" s="133">
        <f ca="1">OFFSET(INDEX(Composições!A:J,MATCH(Orçamentária!A1888,Composições!A:A,0),8),2,0)</f>
        <v>9.3669999999999991</v>
      </c>
      <c r="F1888" s="134">
        <f t="shared" ca="1" si="96"/>
        <v>0</v>
      </c>
      <c r="G1888" s="135" t="e">
        <f>IF(A1888&lt;&gt;"",IF(AND(#REF!="Padrão",$H$4=#REF!),BDI!$B$17,IF(AND(#REF!="Padrão",$H$4=#REF!),BDI!#REF!,IF(AND(#REF!="Diferenciado",$H$4=#REF!),BDI!$E$17,IF(AND(#REF!="Diferenciado",$H$4=#REF!),BDI!#REF!,IF(#REF!="ZERO",0))))),"")</f>
        <v>#REF!</v>
      </c>
      <c r="H1888" s="136" t="e">
        <f t="shared" ca="1" si="97"/>
        <v>#REF!</v>
      </c>
      <c r="I1888" s="134" t="e">
        <f t="shared" ca="1" si="98"/>
        <v>#REF!</v>
      </c>
      <c r="J1888" s="226"/>
    </row>
    <row r="1889" spans="1:10" hidden="1" x14ac:dyDescent="0.25">
      <c r="A1889" s="112" t="s">
        <v>5497</v>
      </c>
      <c r="B1889" s="113" t="s">
        <v>4289</v>
      </c>
      <c r="C1889" s="114" t="s">
        <v>20</v>
      </c>
      <c r="D1889" s="114">
        <v>0</v>
      </c>
      <c r="E1889" s="133">
        <f ca="1">OFFSET(INDEX(Composições!A:J,MATCH(Orçamentária!A1889,Composições!A:A,0),8),2,0)</f>
        <v>11.371499999999999</v>
      </c>
      <c r="F1889" s="134">
        <f t="shared" ca="1" si="96"/>
        <v>0</v>
      </c>
      <c r="G1889" s="135" t="e">
        <f>IF(A1889&lt;&gt;"",IF(AND(#REF!="Padrão",$H$4=#REF!),BDI!$B$17,IF(AND(#REF!="Padrão",$H$4=#REF!),BDI!#REF!,IF(AND(#REF!="Diferenciado",$H$4=#REF!),BDI!$E$17,IF(AND(#REF!="Diferenciado",$H$4=#REF!),BDI!#REF!,IF(#REF!="ZERO",0))))),"")</f>
        <v>#REF!</v>
      </c>
      <c r="H1889" s="136" t="e">
        <f t="shared" ca="1" si="97"/>
        <v>#REF!</v>
      </c>
      <c r="I1889" s="134" t="e">
        <f t="shared" ca="1" si="98"/>
        <v>#REF!</v>
      </c>
      <c r="J1889" s="226"/>
    </row>
    <row r="1890" spans="1:10" hidden="1" x14ac:dyDescent="0.25">
      <c r="A1890" s="112" t="s">
        <v>5498</v>
      </c>
      <c r="B1890" s="113" t="s">
        <v>4290</v>
      </c>
      <c r="C1890" s="114" t="s">
        <v>92</v>
      </c>
      <c r="D1890" s="114">
        <v>0</v>
      </c>
      <c r="E1890" s="133">
        <f ca="1">OFFSET(INDEX(Composições!A:J,MATCH(Orçamentária!A1890,Composições!A:A,0),8),2,0)</f>
        <v>5.1584999999999992</v>
      </c>
      <c r="F1890" s="134">
        <f t="shared" ca="1" si="96"/>
        <v>0</v>
      </c>
      <c r="G1890" s="135" t="e">
        <f>IF(A1890&lt;&gt;"",IF(AND(#REF!="Padrão",$H$4=#REF!),BDI!$B$17,IF(AND(#REF!="Padrão",$H$4=#REF!),BDI!#REF!,IF(AND(#REF!="Diferenciado",$H$4=#REF!),BDI!$E$17,IF(AND(#REF!="Diferenciado",$H$4=#REF!),BDI!#REF!,IF(#REF!="ZERO",0))))),"")</f>
        <v>#REF!</v>
      </c>
      <c r="H1890" s="136" t="e">
        <f t="shared" ca="1" si="97"/>
        <v>#REF!</v>
      </c>
      <c r="I1890" s="134" t="e">
        <f t="shared" ca="1" si="98"/>
        <v>#REF!</v>
      </c>
      <c r="J1890" s="226"/>
    </row>
    <row r="1891" spans="1:10" hidden="1" x14ac:dyDescent="0.25">
      <c r="A1891" s="112" t="s">
        <v>5499</v>
      </c>
      <c r="B1891" s="113" t="s">
        <v>4291</v>
      </c>
      <c r="C1891" s="114" t="s">
        <v>20</v>
      </c>
      <c r="D1891" s="114">
        <v>0</v>
      </c>
      <c r="E1891" s="133">
        <f ca="1">OFFSET(INDEX(Composições!A:J,MATCH(Orçamentária!A1891,Composições!A:A,0),8),2,0)</f>
        <v>1.4724999999999999</v>
      </c>
      <c r="F1891" s="134">
        <f t="shared" ca="1" si="96"/>
        <v>0</v>
      </c>
      <c r="G1891" s="135" t="e">
        <f>IF(A1891&lt;&gt;"",IF(AND(#REF!="Padrão",$H$4=#REF!),BDI!$B$17,IF(AND(#REF!="Padrão",$H$4=#REF!),BDI!#REF!,IF(AND(#REF!="Diferenciado",$H$4=#REF!),BDI!$E$17,IF(AND(#REF!="Diferenciado",$H$4=#REF!),BDI!#REF!,IF(#REF!="ZERO",0))))),"")</f>
        <v>#REF!</v>
      </c>
      <c r="H1891" s="136" t="e">
        <f t="shared" ca="1" si="97"/>
        <v>#REF!</v>
      </c>
      <c r="I1891" s="134" t="e">
        <f t="shared" ca="1" si="98"/>
        <v>#REF!</v>
      </c>
      <c r="J1891" s="226"/>
    </row>
    <row r="1892" spans="1:10" hidden="1" x14ac:dyDescent="0.25">
      <c r="A1892" s="112" t="s">
        <v>5500</v>
      </c>
      <c r="B1892" s="113" t="s">
        <v>4292</v>
      </c>
      <c r="C1892" s="114" t="s">
        <v>20</v>
      </c>
      <c r="D1892" s="114">
        <v>0</v>
      </c>
      <c r="E1892" s="133">
        <f ca="1">OFFSET(INDEX(Composições!A:J,MATCH(Orçamentária!A1892,Composições!A:A,0),8),2,0)</f>
        <v>3.1825000000000001</v>
      </c>
      <c r="F1892" s="134">
        <f t="shared" ca="1" si="96"/>
        <v>0</v>
      </c>
      <c r="G1892" s="135" t="e">
        <f>IF(A1892&lt;&gt;"",IF(AND(#REF!="Padrão",$H$4=#REF!),BDI!$B$17,IF(AND(#REF!="Padrão",$H$4=#REF!),BDI!#REF!,IF(AND(#REF!="Diferenciado",$H$4=#REF!),BDI!$E$17,IF(AND(#REF!="Diferenciado",$H$4=#REF!),BDI!#REF!,IF(#REF!="ZERO",0))))),"")</f>
        <v>#REF!</v>
      </c>
      <c r="H1892" s="136" t="e">
        <f t="shared" ca="1" si="97"/>
        <v>#REF!</v>
      </c>
      <c r="I1892" s="134" t="e">
        <f t="shared" ca="1" si="98"/>
        <v>#REF!</v>
      </c>
      <c r="J1892" s="226"/>
    </row>
    <row r="1893" spans="1:10" hidden="1" x14ac:dyDescent="0.25">
      <c r="A1893" s="112" t="s">
        <v>5501</v>
      </c>
      <c r="B1893" s="113" t="s">
        <v>4293</v>
      </c>
      <c r="C1893" s="114" t="s">
        <v>92</v>
      </c>
      <c r="D1893" s="114">
        <v>0</v>
      </c>
      <c r="E1893" s="133">
        <f ca="1">OFFSET(INDEX(Composições!A:J,MATCH(Orçamentária!A1893,Composições!A:A,0),8),2,0)</f>
        <v>8.0559999999999992</v>
      </c>
      <c r="F1893" s="134">
        <f t="shared" ca="1" si="96"/>
        <v>0</v>
      </c>
      <c r="G1893" s="135" t="e">
        <f>IF(A1893&lt;&gt;"",IF(AND(#REF!="Padrão",$H$4=#REF!),BDI!$B$17,IF(AND(#REF!="Padrão",$H$4=#REF!),BDI!#REF!,IF(AND(#REF!="Diferenciado",$H$4=#REF!),BDI!$E$17,IF(AND(#REF!="Diferenciado",$H$4=#REF!),BDI!#REF!,IF(#REF!="ZERO",0))))),"")</f>
        <v>#REF!</v>
      </c>
      <c r="H1893" s="136" t="e">
        <f t="shared" ca="1" si="97"/>
        <v>#REF!</v>
      </c>
      <c r="I1893" s="134" t="e">
        <f t="shared" ca="1" si="98"/>
        <v>#REF!</v>
      </c>
      <c r="J1893" s="226"/>
    </row>
    <row r="1894" spans="1:10" hidden="1" x14ac:dyDescent="0.25">
      <c r="A1894" s="112" t="s">
        <v>5502</v>
      </c>
      <c r="B1894" s="113" t="s">
        <v>4294</v>
      </c>
      <c r="C1894" s="114" t="s">
        <v>20</v>
      </c>
      <c r="D1894" s="114">
        <v>0</v>
      </c>
      <c r="E1894" s="133">
        <f ca="1">OFFSET(INDEX(Composições!A:J,MATCH(Orçamentária!A1894,Composições!A:A,0),8),2,0)</f>
        <v>2.052</v>
      </c>
      <c r="F1894" s="134">
        <f t="shared" ca="1" si="96"/>
        <v>0</v>
      </c>
      <c r="G1894" s="135" t="e">
        <f>IF(A1894&lt;&gt;"",IF(AND(#REF!="Padrão",$H$4=#REF!),BDI!$B$17,IF(AND(#REF!="Padrão",$H$4=#REF!),BDI!#REF!,IF(AND(#REF!="Diferenciado",$H$4=#REF!),BDI!$E$17,IF(AND(#REF!="Diferenciado",$H$4=#REF!),BDI!#REF!,IF(#REF!="ZERO",0))))),"")</f>
        <v>#REF!</v>
      </c>
      <c r="H1894" s="136" t="e">
        <f t="shared" ca="1" si="97"/>
        <v>#REF!</v>
      </c>
      <c r="I1894" s="134" t="e">
        <f t="shared" ca="1" si="98"/>
        <v>#REF!</v>
      </c>
      <c r="J1894" s="226"/>
    </row>
    <row r="1895" spans="1:10" hidden="1" x14ac:dyDescent="0.25">
      <c r="A1895" s="112" t="s">
        <v>5503</v>
      </c>
      <c r="B1895" s="113" t="s">
        <v>4295</v>
      </c>
      <c r="C1895" s="114" t="s">
        <v>20</v>
      </c>
      <c r="D1895" s="114">
        <v>0</v>
      </c>
      <c r="E1895" s="133">
        <f ca="1">OFFSET(INDEX(Composições!A:J,MATCH(Orçamentária!A1895,Composições!A:A,0),8),2,0)</f>
        <v>4.3984999999999994</v>
      </c>
      <c r="F1895" s="134">
        <f t="shared" ca="1" si="96"/>
        <v>0</v>
      </c>
      <c r="G1895" s="135" t="e">
        <f>IF(A1895&lt;&gt;"",IF(AND(#REF!="Padrão",$H$4=#REF!),BDI!$B$17,IF(AND(#REF!="Padrão",$H$4=#REF!),BDI!#REF!,IF(AND(#REF!="Diferenciado",$H$4=#REF!),BDI!$E$17,IF(AND(#REF!="Diferenciado",$H$4=#REF!),BDI!#REF!,IF(#REF!="ZERO",0))))),"")</f>
        <v>#REF!</v>
      </c>
      <c r="H1895" s="136" t="e">
        <f t="shared" ca="1" si="97"/>
        <v>#REF!</v>
      </c>
      <c r="I1895" s="134" t="e">
        <f t="shared" ca="1" si="98"/>
        <v>#REF!</v>
      </c>
      <c r="J1895" s="226"/>
    </row>
    <row r="1896" spans="1:10" hidden="1" x14ac:dyDescent="0.25">
      <c r="A1896" s="112" t="s">
        <v>5504</v>
      </c>
      <c r="B1896" s="113" t="s">
        <v>4296</v>
      </c>
      <c r="C1896" s="114" t="s">
        <v>92</v>
      </c>
      <c r="D1896" s="114">
        <v>0</v>
      </c>
      <c r="E1896" s="133">
        <f ca="1">OFFSET(INDEX(Composições!A:J,MATCH(Orçamentária!A1896,Composições!A:A,0),8),2,0)</f>
        <v>10.725499999999998</v>
      </c>
      <c r="F1896" s="134">
        <f t="shared" ca="1" si="96"/>
        <v>0</v>
      </c>
      <c r="G1896" s="135" t="e">
        <f>IF(A1896&lt;&gt;"",IF(AND(#REF!="Padrão",$H$4=#REF!),BDI!$B$17,IF(AND(#REF!="Padrão",$H$4=#REF!),BDI!#REF!,IF(AND(#REF!="Diferenciado",$H$4=#REF!),BDI!$E$17,IF(AND(#REF!="Diferenciado",$H$4=#REF!),BDI!#REF!,IF(#REF!="ZERO",0))))),"")</f>
        <v>#REF!</v>
      </c>
      <c r="H1896" s="136" t="e">
        <f t="shared" ca="1" si="97"/>
        <v>#REF!</v>
      </c>
      <c r="I1896" s="134" t="e">
        <f t="shared" ca="1" si="98"/>
        <v>#REF!</v>
      </c>
      <c r="J1896" s="226"/>
    </row>
    <row r="1897" spans="1:10" hidden="1" x14ac:dyDescent="0.25">
      <c r="A1897" s="112" t="s">
        <v>5505</v>
      </c>
      <c r="B1897" s="113" t="s">
        <v>4297</v>
      </c>
      <c r="C1897" s="114" t="s">
        <v>20</v>
      </c>
      <c r="D1897" s="114">
        <v>0</v>
      </c>
      <c r="E1897" s="133">
        <f ca="1">OFFSET(INDEX(Composições!A:J,MATCH(Orçamentária!A1897,Composições!A:A,0),8),2,0)</f>
        <v>3.1919999999999997</v>
      </c>
      <c r="F1897" s="134">
        <f t="shared" ca="1" si="96"/>
        <v>0</v>
      </c>
      <c r="G1897" s="135" t="e">
        <f>IF(A1897&lt;&gt;"",IF(AND(#REF!="Padrão",$H$4=#REF!),BDI!$B$17,IF(AND(#REF!="Padrão",$H$4=#REF!),BDI!#REF!,IF(AND(#REF!="Diferenciado",$H$4=#REF!),BDI!$E$17,IF(AND(#REF!="Diferenciado",$H$4=#REF!),BDI!#REF!,IF(#REF!="ZERO",0))))),"")</f>
        <v>#REF!</v>
      </c>
      <c r="H1897" s="136" t="e">
        <f t="shared" ca="1" si="97"/>
        <v>#REF!</v>
      </c>
      <c r="I1897" s="134" t="e">
        <f t="shared" ca="1" si="98"/>
        <v>#REF!</v>
      </c>
      <c r="J1897" s="226"/>
    </row>
    <row r="1898" spans="1:10" hidden="1" x14ac:dyDescent="0.25">
      <c r="A1898" s="112" t="s">
        <v>5506</v>
      </c>
      <c r="B1898" s="113" t="s">
        <v>4298</v>
      </c>
      <c r="C1898" s="114" t="s">
        <v>20</v>
      </c>
      <c r="D1898" s="114">
        <v>0</v>
      </c>
      <c r="E1898" s="133">
        <f ca="1">OFFSET(INDEX(Composições!A:J,MATCH(Orçamentária!A1898,Composições!A:A,0),8),2,0)</f>
        <v>5.8045</v>
      </c>
      <c r="F1898" s="134">
        <f t="shared" ca="1" si="96"/>
        <v>0</v>
      </c>
      <c r="G1898" s="135" t="e">
        <f>IF(A1898&lt;&gt;"",IF(AND(#REF!="Padrão",$H$4=#REF!),BDI!$B$17,IF(AND(#REF!="Padrão",$H$4=#REF!),BDI!#REF!,IF(AND(#REF!="Diferenciado",$H$4=#REF!),BDI!$E$17,IF(AND(#REF!="Diferenciado",$H$4=#REF!),BDI!#REF!,IF(#REF!="ZERO",0))))),"")</f>
        <v>#REF!</v>
      </c>
      <c r="H1898" s="136" t="e">
        <f t="shared" ca="1" si="97"/>
        <v>#REF!</v>
      </c>
      <c r="I1898" s="134" t="e">
        <f t="shared" ca="1" si="98"/>
        <v>#REF!</v>
      </c>
      <c r="J1898" s="226"/>
    </row>
    <row r="1899" spans="1:10" hidden="1" x14ac:dyDescent="0.25">
      <c r="A1899" s="112" t="s">
        <v>5507</v>
      </c>
      <c r="B1899" s="113" t="s">
        <v>4299</v>
      </c>
      <c r="C1899" s="114" t="s">
        <v>92</v>
      </c>
      <c r="D1899" s="114">
        <v>0</v>
      </c>
      <c r="E1899" s="133">
        <f ca="1">OFFSET(INDEX(Composições!A:J,MATCH(Orçamentária!A1899,Composições!A:A,0),8),2,0)</f>
        <v>11.7895</v>
      </c>
      <c r="F1899" s="134">
        <f t="shared" ca="1" si="96"/>
        <v>0</v>
      </c>
      <c r="G1899" s="135" t="e">
        <f>IF(A1899&lt;&gt;"",IF(AND(#REF!="Padrão",$H$4=#REF!),BDI!$B$17,IF(AND(#REF!="Padrão",$H$4=#REF!),BDI!#REF!,IF(AND(#REF!="Diferenciado",$H$4=#REF!),BDI!$E$17,IF(AND(#REF!="Diferenciado",$H$4=#REF!),BDI!#REF!,IF(#REF!="ZERO",0))))),"")</f>
        <v>#REF!</v>
      </c>
      <c r="H1899" s="136" t="e">
        <f t="shared" ca="1" si="97"/>
        <v>#REF!</v>
      </c>
      <c r="I1899" s="134" t="e">
        <f t="shared" ca="1" si="98"/>
        <v>#REF!</v>
      </c>
      <c r="J1899" s="226"/>
    </row>
    <row r="1900" spans="1:10" hidden="1" x14ac:dyDescent="0.25">
      <c r="A1900" s="112" t="s">
        <v>5508</v>
      </c>
      <c r="B1900" s="113" t="s">
        <v>4300</v>
      </c>
      <c r="C1900" s="114" t="s">
        <v>20</v>
      </c>
      <c r="D1900" s="114">
        <v>0</v>
      </c>
      <c r="E1900" s="133">
        <f ca="1">OFFSET(INDEX(Composições!A:J,MATCH(Orçamentária!A1900,Composições!A:A,0),8),2,0)</f>
        <v>4.3890000000000002</v>
      </c>
      <c r="F1900" s="134">
        <f t="shared" ca="1" si="96"/>
        <v>0</v>
      </c>
      <c r="G1900" s="135" t="e">
        <f>IF(A1900&lt;&gt;"",IF(AND(#REF!="Padrão",$H$4=#REF!),BDI!$B$17,IF(AND(#REF!="Padrão",$H$4=#REF!),BDI!#REF!,IF(AND(#REF!="Diferenciado",$H$4=#REF!),BDI!$E$17,IF(AND(#REF!="Diferenciado",$H$4=#REF!),BDI!#REF!,IF(#REF!="ZERO",0))))),"")</f>
        <v>#REF!</v>
      </c>
      <c r="H1900" s="136" t="e">
        <f t="shared" ca="1" si="97"/>
        <v>#REF!</v>
      </c>
      <c r="I1900" s="134" t="e">
        <f t="shared" ca="1" si="98"/>
        <v>#REF!</v>
      </c>
      <c r="J1900" s="226"/>
    </row>
    <row r="1901" spans="1:10" hidden="1" x14ac:dyDescent="0.25">
      <c r="A1901" s="112" t="s">
        <v>5509</v>
      </c>
      <c r="B1901" s="113" t="s">
        <v>4301</v>
      </c>
      <c r="C1901" s="114" t="s">
        <v>20</v>
      </c>
      <c r="D1901" s="114">
        <v>0</v>
      </c>
      <c r="E1901" s="133">
        <f ca="1">OFFSET(INDEX(Composições!A:J,MATCH(Orçamentária!A1901,Composições!A:A,0),8),2,0)</f>
        <v>7.03</v>
      </c>
      <c r="F1901" s="134">
        <f t="shared" ref="F1901:F1964" ca="1" si="99">IF(ISNUMBER(E1901),D1901*E1901,"")</f>
        <v>0</v>
      </c>
      <c r="G1901" s="135" t="e">
        <f>IF(A1901&lt;&gt;"",IF(AND(#REF!="Padrão",$H$4=#REF!),BDI!$B$17,IF(AND(#REF!="Padrão",$H$4=#REF!),BDI!#REF!,IF(AND(#REF!="Diferenciado",$H$4=#REF!),BDI!$E$17,IF(AND(#REF!="Diferenciado",$H$4=#REF!),BDI!#REF!,IF(#REF!="ZERO",0))))),"")</f>
        <v>#REF!</v>
      </c>
      <c r="H1901" s="136" t="e">
        <f t="shared" ref="H1901:H1964" ca="1" si="100">IF(ISNUMBER(E1901),ROUND(E1901*(1+G1901),2),"")</f>
        <v>#REF!</v>
      </c>
      <c r="I1901" s="134" t="e">
        <f t="shared" ref="I1901:I1964" ca="1" si="101">IF(ISNUMBER(E1901),ROUND(H1901*D1901,2),"")</f>
        <v>#REF!</v>
      </c>
      <c r="J1901" s="226"/>
    </row>
    <row r="1902" spans="1:10" hidden="1" x14ac:dyDescent="0.25">
      <c r="A1902" s="112" t="s">
        <v>5510</v>
      </c>
      <c r="B1902" s="113" t="s">
        <v>4302</v>
      </c>
      <c r="C1902" s="114" t="s">
        <v>92</v>
      </c>
      <c r="D1902" s="114">
        <v>0</v>
      </c>
      <c r="E1902" s="133">
        <f ca="1">OFFSET(INDEX(Composições!A:J,MATCH(Orçamentária!A1902,Composições!A:A,0),8),2,0)</f>
        <v>19.275499999999997</v>
      </c>
      <c r="F1902" s="134">
        <f t="shared" ca="1" si="99"/>
        <v>0</v>
      </c>
      <c r="G1902" s="135" t="e">
        <f>IF(A1902&lt;&gt;"",IF(AND(#REF!="Padrão",$H$4=#REF!),BDI!$B$17,IF(AND(#REF!="Padrão",$H$4=#REF!),BDI!#REF!,IF(AND(#REF!="Diferenciado",$H$4=#REF!),BDI!$E$17,IF(AND(#REF!="Diferenciado",$H$4=#REF!),BDI!#REF!,IF(#REF!="ZERO",0))))),"")</f>
        <v>#REF!</v>
      </c>
      <c r="H1902" s="136" t="e">
        <f t="shared" ca="1" si="100"/>
        <v>#REF!</v>
      </c>
      <c r="I1902" s="134" t="e">
        <f t="shared" ca="1" si="101"/>
        <v>#REF!</v>
      </c>
      <c r="J1902" s="226"/>
    </row>
    <row r="1903" spans="1:10" hidden="1" x14ac:dyDescent="0.25">
      <c r="A1903" s="112" t="s">
        <v>5511</v>
      </c>
      <c r="B1903" s="113" t="s">
        <v>4303</v>
      </c>
      <c r="C1903" s="114" t="s">
        <v>20</v>
      </c>
      <c r="D1903" s="114">
        <v>0</v>
      </c>
      <c r="E1903" s="133">
        <f ca="1">OFFSET(INDEX(Composições!A:J,MATCH(Orçamentária!A1903,Composições!A:A,0),8),2,0)</f>
        <v>6.3555000000000001</v>
      </c>
      <c r="F1903" s="134">
        <f t="shared" ca="1" si="99"/>
        <v>0</v>
      </c>
      <c r="G1903" s="135" t="e">
        <f>IF(A1903&lt;&gt;"",IF(AND(#REF!="Padrão",$H$4=#REF!),BDI!$B$17,IF(AND(#REF!="Padrão",$H$4=#REF!),BDI!#REF!,IF(AND(#REF!="Diferenciado",$H$4=#REF!),BDI!$E$17,IF(AND(#REF!="Diferenciado",$H$4=#REF!),BDI!#REF!,IF(#REF!="ZERO",0))))),"")</f>
        <v>#REF!</v>
      </c>
      <c r="H1903" s="136" t="e">
        <f t="shared" ca="1" si="100"/>
        <v>#REF!</v>
      </c>
      <c r="I1903" s="134" t="e">
        <f t="shared" ca="1" si="101"/>
        <v>#REF!</v>
      </c>
      <c r="J1903" s="226"/>
    </row>
    <row r="1904" spans="1:10" hidden="1" x14ac:dyDescent="0.25">
      <c r="A1904" s="112" t="s">
        <v>5512</v>
      </c>
      <c r="B1904" s="113" t="s">
        <v>4304</v>
      </c>
      <c r="C1904" s="114" t="s">
        <v>20</v>
      </c>
      <c r="D1904" s="114">
        <v>0</v>
      </c>
      <c r="E1904" s="133">
        <f ca="1">OFFSET(INDEX(Composições!A:J,MATCH(Orçamentária!A1904,Composições!A:A,0),8),2,0)</f>
        <v>11.4285</v>
      </c>
      <c r="F1904" s="134">
        <f t="shared" ca="1" si="99"/>
        <v>0</v>
      </c>
      <c r="G1904" s="135" t="e">
        <f>IF(A1904&lt;&gt;"",IF(AND(#REF!="Padrão",$H$4=#REF!),BDI!$B$17,IF(AND(#REF!="Padrão",$H$4=#REF!),BDI!#REF!,IF(AND(#REF!="Diferenciado",$H$4=#REF!),BDI!$E$17,IF(AND(#REF!="Diferenciado",$H$4=#REF!),BDI!#REF!,IF(#REF!="ZERO",0))))),"")</f>
        <v>#REF!</v>
      </c>
      <c r="H1904" s="136" t="e">
        <f t="shared" ca="1" si="100"/>
        <v>#REF!</v>
      </c>
      <c r="I1904" s="134" t="e">
        <f t="shared" ca="1" si="101"/>
        <v>#REF!</v>
      </c>
      <c r="J1904" s="226"/>
    </row>
    <row r="1905" spans="1:10" hidden="1" x14ac:dyDescent="0.25">
      <c r="A1905" s="112" t="s">
        <v>5513</v>
      </c>
      <c r="B1905" s="113" t="s">
        <v>4305</v>
      </c>
      <c r="C1905" s="114" t="s">
        <v>92</v>
      </c>
      <c r="D1905" s="114">
        <v>0</v>
      </c>
      <c r="E1905" s="133">
        <f ca="1">OFFSET(INDEX(Composições!A:J,MATCH(Orçamentária!A1905,Composições!A:A,0),8),2,0)</f>
        <v>35.263999999999996</v>
      </c>
      <c r="F1905" s="134">
        <f t="shared" ca="1" si="99"/>
        <v>0</v>
      </c>
      <c r="G1905" s="135" t="e">
        <f>IF(A1905&lt;&gt;"",IF(AND(#REF!="Padrão",$H$4=#REF!),BDI!$B$17,IF(AND(#REF!="Padrão",$H$4=#REF!),BDI!#REF!,IF(AND(#REF!="Diferenciado",$H$4=#REF!),BDI!$E$17,IF(AND(#REF!="Diferenciado",$H$4=#REF!),BDI!#REF!,IF(#REF!="ZERO",0))))),"")</f>
        <v>#REF!</v>
      </c>
      <c r="H1905" s="136" t="e">
        <f t="shared" ca="1" si="100"/>
        <v>#REF!</v>
      </c>
      <c r="I1905" s="134" t="e">
        <f t="shared" ca="1" si="101"/>
        <v>#REF!</v>
      </c>
      <c r="J1905" s="226"/>
    </row>
    <row r="1906" spans="1:10" hidden="1" x14ac:dyDescent="0.25">
      <c r="A1906" s="112" t="s">
        <v>5514</v>
      </c>
      <c r="B1906" s="113" t="s">
        <v>4306</v>
      </c>
      <c r="C1906" s="114" t="s">
        <v>20</v>
      </c>
      <c r="D1906" s="114">
        <v>0</v>
      </c>
      <c r="E1906" s="133">
        <f ca="1">OFFSET(INDEX(Composições!A:J,MATCH(Orçamentária!A1906,Composições!A:A,0),8),2,0)</f>
        <v>18.971499999999999</v>
      </c>
      <c r="F1906" s="134">
        <f t="shared" ca="1" si="99"/>
        <v>0</v>
      </c>
      <c r="G1906" s="135" t="e">
        <f>IF(A1906&lt;&gt;"",IF(AND(#REF!="Padrão",$H$4=#REF!),BDI!$B$17,IF(AND(#REF!="Padrão",$H$4=#REF!),BDI!#REF!,IF(AND(#REF!="Diferenciado",$H$4=#REF!),BDI!$E$17,IF(AND(#REF!="Diferenciado",$H$4=#REF!),BDI!#REF!,IF(#REF!="ZERO",0))))),"")</f>
        <v>#REF!</v>
      </c>
      <c r="H1906" s="136" t="e">
        <f t="shared" ca="1" si="100"/>
        <v>#REF!</v>
      </c>
      <c r="I1906" s="134" t="e">
        <f t="shared" ca="1" si="101"/>
        <v>#REF!</v>
      </c>
      <c r="J1906" s="226"/>
    </row>
    <row r="1907" spans="1:10" hidden="1" x14ac:dyDescent="0.25">
      <c r="A1907" s="112" t="s">
        <v>5515</v>
      </c>
      <c r="B1907" s="113" t="s">
        <v>4307</v>
      </c>
      <c r="C1907" s="114" t="s">
        <v>20</v>
      </c>
      <c r="D1907" s="114">
        <v>0</v>
      </c>
      <c r="E1907" s="133">
        <f ca="1">OFFSET(INDEX(Composições!A:J,MATCH(Orçamentária!A1907,Composições!A:A,0),8),2,0)</f>
        <v>29.1935</v>
      </c>
      <c r="F1907" s="134">
        <f t="shared" ca="1" si="99"/>
        <v>0</v>
      </c>
      <c r="G1907" s="135" t="e">
        <f>IF(A1907&lt;&gt;"",IF(AND(#REF!="Padrão",$H$4=#REF!),BDI!$B$17,IF(AND(#REF!="Padrão",$H$4=#REF!),BDI!#REF!,IF(AND(#REF!="Diferenciado",$H$4=#REF!),BDI!$E$17,IF(AND(#REF!="Diferenciado",$H$4=#REF!),BDI!#REF!,IF(#REF!="ZERO",0))))),"")</f>
        <v>#REF!</v>
      </c>
      <c r="H1907" s="136" t="e">
        <f t="shared" ca="1" si="100"/>
        <v>#REF!</v>
      </c>
      <c r="I1907" s="134" t="e">
        <f t="shared" ca="1" si="101"/>
        <v>#REF!</v>
      </c>
      <c r="J1907" s="226"/>
    </row>
    <row r="1908" spans="1:10" hidden="1" x14ac:dyDescent="0.25">
      <c r="A1908" s="112" t="s">
        <v>5516</v>
      </c>
      <c r="B1908" s="113" t="s">
        <v>4308</v>
      </c>
      <c r="C1908" s="114" t="s">
        <v>20</v>
      </c>
      <c r="D1908" s="114">
        <v>0</v>
      </c>
      <c r="E1908" s="133" t="s">
        <v>514</v>
      </c>
      <c r="F1908" s="134" t="str">
        <f t="shared" si="99"/>
        <v/>
      </c>
      <c r="G1908" s="135" t="e">
        <f>IF(A1908&lt;&gt;"",IF(AND(#REF!="Padrão",$H$4=#REF!),BDI!$B$17,IF(AND(#REF!="Padrão",$H$4=#REF!),BDI!#REF!,IF(AND(#REF!="Diferenciado",$H$4=#REF!),BDI!$E$17,IF(AND(#REF!="Diferenciado",$H$4=#REF!),BDI!#REF!,IF(#REF!="ZERO",0))))),"")</f>
        <v>#REF!</v>
      </c>
      <c r="H1908" s="136" t="str">
        <f t="shared" si="100"/>
        <v/>
      </c>
      <c r="I1908" s="134" t="str">
        <f t="shared" si="101"/>
        <v/>
      </c>
      <c r="J1908" s="226"/>
    </row>
    <row r="1909" spans="1:10" hidden="1" x14ac:dyDescent="0.25">
      <c r="A1909" s="112" t="s">
        <v>5517</v>
      </c>
      <c r="B1909" s="113" t="s">
        <v>4309</v>
      </c>
      <c r="C1909" s="114" t="s">
        <v>20</v>
      </c>
      <c r="D1909" s="114">
        <v>0</v>
      </c>
      <c r="E1909" s="133" t="s">
        <v>514</v>
      </c>
      <c r="F1909" s="134" t="str">
        <f t="shared" si="99"/>
        <v/>
      </c>
      <c r="G1909" s="135" t="e">
        <f>IF(A1909&lt;&gt;"",IF(AND(#REF!="Padrão",$H$4=#REF!),BDI!$B$17,IF(AND(#REF!="Padrão",$H$4=#REF!),BDI!#REF!,IF(AND(#REF!="Diferenciado",$H$4=#REF!),BDI!$E$17,IF(AND(#REF!="Diferenciado",$H$4=#REF!),BDI!#REF!,IF(#REF!="ZERO",0))))),"")</f>
        <v>#REF!</v>
      </c>
      <c r="H1909" s="136" t="str">
        <f t="shared" si="100"/>
        <v/>
      </c>
      <c r="I1909" s="134" t="str">
        <f t="shared" si="101"/>
        <v/>
      </c>
      <c r="J1909" s="226"/>
    </row>
    <row r="1910" spans="1:10" hidden="1" x14ac:dyDescent="0.25">
      <c r="A1910" s="112" t="s">
        <v>5518</v>
      </c>
      <c r="B1910" s="113" t="s">
        <v>4310</v>
      </c>
      <c r="C1910" s="114" t="s">
        <v>20</v>
      </c>
      <c r="D1910" s="114">
        <v>0</v>
      </c>
      <c r="E1910" s="133" t="s">
        <v>514</v>
      </c>
      <c r="F1910" s="134" t="str">
        <f t="shared" si="99"/>
        <v/>
      </c>
      <c r="G1910" s="135" t="e">
        <f>IF(A1910&lt;&gt;"",IF(AND(#REF!="Padrão",$H$4=#REF!),BDI!$B$17,IF(AND(#REF!="Padrão",$H$4=#REF!),BDI!#REF!,IF(AND(#REF!="Diferenciado",$H$4=#REF!),BDI!$E$17,IF(AND(#REF!="Diferenciado",$H$4=#REF!),BDI!#REF!,IF(#REF!="ZERO",0))))),"")</f>
        <v>#REF!</v>
      </c>
      <c r="H1910" s="136" t="str">
        <f t="shared" si="100"/>
        <v/>
      </c>
      <c r="I1910" s="134" t="str">
        <f t="shared" si="101"/>
        <v/>
      </c>
      <c r="J1910" s="226"/>
    </row>
    <row r="1911" spans="1:10" hidden="1" x14ac:dyDescent="0.25">
      <c r="A1911" s="112" t="s">
        <v>5519</v>
      </c>
      <c r="B1911" s="113" t="s">
        <v>4311</v>
      </c>
      <c r="C1911" s="114" t="s">
        <v>20</v>
      </c>
      <c r="D1911" s="114">
        <v>0</v>
      </c>
      <c r="E1911" s="133" t="s">
        <v>514</v>
      </c>
      <c r="F1911" s="134" t="str">
        <f t="shared" si="99"/>
        <v/>
      </c>
      <c r="G1911" s="135" t="e">
        <f>IF(A1911&lt;&gt;"",IF(AND(#REF!="Padrão",$H$4=#REF!),BDI!$B$17,IF(AND(#REF!="Padrão",$H$4=#REF!),BDI!#REF!,IF(AND(#REF!="Diferenciado",$H$4=#REF!),BDI!$E$17,IF(AND(#REF!="Diferenciado",$H$4=#REF!),BDI!#REF!,IF(#REF!="ZERO",0))))),"")</f>
        <v>#REF!</v>
      </c>
      <c r="H1911" s="136" t="str">
        <f t="shared" si="100"/>
        <v/>
      </c>
      <c r="I1911" s="134" t="str">
        <f t="shared" si="101"/>
        <v/>
      </c>
      <c r="J1911" s="226"/>
    </row>
    <row r="1912" spans="1:10" hidden="1" x14ac:dyDescent="0.25">
      <c r="A1912" s="112" t="s">
        <v>5520</v>
      </c>
      <c r="B1912" s="113" t="s">
        <v>4312</v>
      </c>
      <c r="C1912" s="114" t="s">
        <v>20</v>
      </c>
      <c r="D1912" s="114">
        <v>0</v>
      </c>
      <c r="E1912" s="133" t="s">
        <v>514</v>
      </c>
      <c r="F1912" s="134" t="str">
        <f t="shared" si="99"/>
        <v/>
      </c>
      <c r="G1912" s="135" t="e">
        <f>IF(A1912&lt;&gt;"",IF(AND(#REF!="Padrão",$H$4=#REF!),BDI!$B$17,IF(AND(#REF!="Padrão",$H$4=#REF!),BDI!#REF!,IF(AND(#REF!="Diferenciado",$H$4=#REF!),BDI!$E$17,IF(AND(#REF!="Diferenciado",$H$4=#REF!),BDI!#REF!,IF(#REF!="ZERO",0))))),"")</f>
        <v>#REF!</v>
      </c>
      <c r="H1912" s="136" t="str">
        <f t="shared" si="100"/>
        <v/>
      </c>
      <c r="I1912" s="134" t="str">
        <f t="shared" si="101"/>
        <v/>
      </c>
      <c r="J1912" s="226"/>
    </row>
    <row r="1913" spans="1:10" hidden="1" x14ac:dyDescent="0.25">
      <c r="A1913" s="112" t="s">
        <v>5521</v>
      </c>
      <c r="B1913" s="113" t="s">
        <v>4313</v>
      </c>
      <c r="C1913" s="114" t="s">
        <v>20</v>
      </c>
      <c r="D1913" s="114">
        <v>0</v>
      </c>
      <c r="E1913" s="133" t="s">
        <v>514</v>
      </c>
      <c r="F1913" s="134" t="str">
        <f t="shared" si="99"/>
        <v/>
      </c>
      <c r="G1913" s="135" t="e">
        <f>IF(A1913&lt;&gt;"",IF(AND(#REF!="Padrão",$H$4=#REF!),BDI!$B$17,IF(AND(#REF!="Padrão",$H$4=#REF!),BDI!#REF!,IF(AND(#REF!="Diferenciado",$H$4=#REF!),BDI!$E$17,IF(AND(#REF!="Diferenciado",$H$4=#REF!),BDI!#REF!,IF(#REF!="ZERO",0))))),"")</f>
        <v>#REF!</v>
      </c>
      <c r="H1913" s="136" t="str">
        <f t="shared" si="100"/>
        <v/>
      </c>
      <c r="I1913" s="134" t="str">
        <f t="shared" si="101"/>
        <v/>
      </c>
      <c r="J1913" s="226"/>
    </row>
    <row r="1914" spans="1:10" hidden="1" x14ac:dyDescent="0.25">
      <c r="A1914" s="112" t="s">
        <v>5522</v>
      </c>
      <c r="B1914" s="113" t="s">
        <v>4314</v>
      </c>
      <c r="C1914" s="114" t="s">
        <v>20</v>
      </c>
      <c r="D1914" s="114">
        <v>0</v>
      </c>
      <c r="E1914" s="133" t="s">
        <v>514</v>
      </c>
      <c r="F1914" s="134" t="str">
        <f t="shared" si="99"/>
        <v/>
      </c>
      <c r="G1914" s="135" t="e">
        <f>IF(A1914&lt;&gt;"",IF(AND(#REF!="Padrão",$H$4=#REF!),BDI!$B$17,IF(AND(#REF!="Padrão",$H$4=#REF!),BDI!#REF!,IF(AND(#REF!="Diferenciado",$H$4=#REF!),BDI!$E$17,IF(AND(#REF!="Diferenciado",$H$4=#REF!),BDI!#REF!,IF(#REF!="ZERO",0))))),"")</f>
        <v>#REF!</v>
      </c>
      <c r="H1914" s="136" t="str">
        <f t="shared" si="100"/>
        <v/>
      </c>
      <c r="I1914" s="134" t="str">
        <f t="shared" si="101"/>
        <v/>
      </c>
      <c r="J1914" s="226"/>
    </row>
    <row r="1915" spans="1:10" hidden="1" x14ac:dyDescent="0.25">
      <c r="A1915" s="112" t="s">
        <v>5523</v>
      </c>
      <c r="B1915" s="113" t="s">
        <v>4315</v>
      </c>
      <c r="C1915" s="114" t="s">
        <v>20</v>
      </c>
      <c r="D1915" s="114">
        <v>0</v>
      </c>
      <c r="E1915" s="133" t="s">
        <v>514</v>
      </c>
      <c r="F1915" s="134" t="str">
        <f t="shared" si="99"/>
        <v/>
      </c>
      <c r="G1915" s="135" t="e">
        <f>IF(A1915&lt;&gt;"",IF(AND(#REF!="Padrão",$H$4=#REF!),BDI!$B$17,IF(AND(#REF!="Padrão",$H$4=#REF!),BDI!#REF!,IF(AND(#REF!="Diferenciado",$H$4=#REF!),BDI!$E$17,IF(AND(#REF!="Diferenciado",$H$4=#REF!),BDI!#REF!,IF(#REF!="ZERO",0))))),"")</f>
        <v>#REF!</v>
      </c>
      <c r="H1915" s="136" t="str">
        <f t="shared" si="100"/>
        <v/>
      </c>
      <c r="I1915" s="134" t="str">
        <f t="shared" si="101"/>
        <v/>
      </c>
      <c r="J1915" s="226"/>
    </row>
    <row r="1916" spans="1:10" hidden="1" x14ac:dyDescent="0.25">
      <c r="A1916" s="112" t="s">
        <v>5524</v>
      </c>
      <c r="B1916" s="113" t="s">
        <v>4316</v>
      </c>
      <c r="C1916" s="114" t="s">
        <v>20</v>
      </c>
      <c r="D1916" s="114">
        <v>0</v>
      </c>
      <c r="E1916" s="133" t="s">
        <v>514</v>
      </c>
      <c r="F1916" s="134" t="str">
        <f t="shared" si="99"/>
        <v/>
      </c>
      <c r="G1916" s="135" t="e">
        <f>IF(A1916&lt;&gt;"",IF(AND(#REF!="Padrão",$H$4=#REF!),BDI!$B$17,IF(AND(#REF!="Padrão",$H$4=#REF!),BDI!#REF!,IF(AND(#REF!="Diferenciado",$H$4=#REF!),BDI!$E$17,IF(AND(#REF!="Diferenciado",$H$4=#REF!),BDI!#REF!,IF(#REF!="ZERO",0))))),"")</f>
        <v>#REF!</v>
      </c>
      <c r="H1916" s="136" t="str">
        <f t="shared" si="100"/>
        <v/>
      </c>
      <c r="I1916" s="134" t="str">
        <f t="shared" si="101"/>
        <v/>
      </c>
      <c r="J1916" s="226"/>
    </row>
    <row r="1917" spans="1:10" hidden="1" x14ac:dyDescent="0.25">
      <c r="A1917" s="112" t="s">
        <v>5525</v>
      </c>
      <c r="B1917" s="113" t="s">
        <v>4317</v>
      </c>
      <c r="C1917" s="114" t="s">
        <v>20</v>
      </c>
      <c r="D1917" s="114">
        <v>0</v>
      </c>
      <c r="E1917" s="133" t="s">
        <v>514</v>
      </c>
      <c r="F1917" s="134" t="str">
        <f t="shared" si="99"/>
        <v/>
      </c>
      <c r="G1917" s="135" t="e">
        <f>IF(A1917&lt;&gt;"",IF(AND(#REF!="Padrão",$H$4=#REF!),BDI!$B$17,IF(AND(#REF!="Padrão",$H$4=#REF!),BDI!#REF!,IF(AND(#REF!="Diferenciado",$H$4=#REF!),BDI!$E$17,IF(AND(#REF!="Diferenciado",$H$4=#REF!),BDI!#REF!,IF(#REF!="ZERO",0))))),"")</f>
        <v>#REF!</v>
      </c>
      <c r="H1917" s="136" t="str">
        <f t="shared" si="100"/>
        <v/>
      </c>
      <c r="I1917" s="134" t="str">
        <f t="shared" si="101"/>
        <v/>
      </c>
      <c r="J1917" s="226"/>
    </row>
    <row r="1918" spans="1:10" hidden="1" x14ac:dyDescent="0.25">
      <c r="A1918" s="112" t="s">
        <v>5526</v>
      </c>
      <c r="B1918" s="113" t="s">
        <v>4318</v>
      </c>
      <c r="C1918" s="114" t="s">
        <v>20</v>
      </c>
      <c r="D1918" s="114">
        <v>0</v>
      </c>
      <c r="E1918" s="133" t="s">
        <v>514</v>
      </c>
      <c r="F1918" s="134" t="str">
        <f t="shared" si="99"/>
        <v/>
      </c>
      <c r="G1918" s="135" t="e">
        <f>IF(A1918&lt;&gt;"",IF(AND(#REF!="Padrão",$H$4=#REF!),BDI!$B$17,IF(AND(#REF!="Padrão",$H$4=#REF!),BDI!#REF!,IF(AND(#REF!="Diferenciado",$H$4=#REF!),BDI!$E$17,IF(AND(#REF!="Diferenciado",$H$4=#REF!),BDI!#REF!,IF(#REF!="ZERO",0))))),"")</f>
        <v>#REF!</v>
      </c>
      <c r="H1918" s="136" t="str">
        <f t="shared" si="100"/>
        <v/>
      </c>
      <c r="I1918" s="134" t="str">
        <f t="shared" si="101"/>
        <v/>
      </c>
      <c r="J1918" s="226"/>
    </row>
    <row r="1919" spans="1:10" hidden="1" x14ac:dyDescent="0.25">
      <c r="A1919" s="112" t="s">
        <v>5527</v>
      </c>
      <c r="B1919" s="113" t="s">
        <v>4319</v>
      </c>
      <c r="C1919" s="114" t="s">
        <v>20</v>
      </c>
      <c r="D1919" s="114">
        <v>0</v>
      </c>
      <c r="E1919" s="133" t="s">
        <v>514</v>
      </c>
      <c r="F1919" s="134" t="str">
        <f t="shared" si="99"/>
        <v/>
      </c>
      <c r="G1919" s="135" t="e">
        <f>IF(A1919&lt;&gt;"",IF(AND(#REF!="Padrão",$H$4=#REF!),BDI!$B$17,IF(AND(#REF!="Padrão",$H$4=#REF!),BDI!#REF!,IF(AND(#REF!="Diferenciado",$H$4=#REF!),BDI!$E$17,IF(AND(#REF!="Diferenciado",$H$4=#REF!),BDI!#REF!,IF(#REF!="ZERO",0))))),"")</f>
        <v>#REF!</v>
      </c>
      <c r="H1919" s="136" t="str">
        <f t="shared" si="100"/>
        <v/>
      </c>
      <c r="I1919" s="134" t="str">
        <f t="shared" si="101"/>
        <v/>
      </c>
      <c r="J1919" s="226"/>
    </row>
    <row r="1920" spans="1:10" hidden="1" x14ac:dyDescent="0.25">
      <c r="A1920" s="112" t="s">
        <v>5528</v>
      </c>
      <c r="B1920" s="113" t="s">
        <v>4320</v>
      </c>
      <c r="C1920" s="114" t="s">
        <v>20</v>
      </c>
      <c r="D1920" s="114">
        <v>0</v>
      </c>
      <c r="E1920" s="133">
        <f ca="1">OFFSET(INDEX(Composições!A:J,MATCH(Orçamentária!A1920,Composições!A:A,0),8),2,0)</f>
        <v>0</v>
      </c>
      <c r="F1920" s="134">
        <f t="shared" ca="1" si="99"/>
        <v>0</v>
      </c>
      <c r="G1920" s="135" t="e">
        <f>IF(A1920&lt;&gt;"",IF(AND(#REF!="Padrão",$H$4=#REF!),BDI!$B$17,IF(AND(#REF!="Padrão",$H$4=#REF!),BDI!#REF!,IF(AND(#REF!="Diferenciado",$H$4=#REF!),BDI!$E$17,IF(AND(#REF!="Diferenciado",$H$4=#REF!),BDI!#REF!,IF(#REF!="ZERO",0))))),"")</f>
        <v>#REF!</v>
      </c>
      <c r="H1920" s="136" t="e">
        <f t="shared" ca="1" si="100"/>
        <v>#REF!</v>
      </c>
      <c r="I1920" s="134" t="e">
        <f t="shared" ca="1" si="101"/>
        <v>#REF!</v>
      </c>
      <c r="J1920" s="226"/>
    </row>
    <row r="1921" spans="1:10" hidden="1" x14ac:dyDescent="0.25">
      <c r="A1921" s="112" t="s">
        <v>5529</v>
      </c>
      <c r="B1921" s="113" t="s">
        <v>4321</v>
      </c>
      <c r="C1921" s="114" t="s">
        <v>20</v>
      </c>
      <c r="D1921" s="114">
        <v>0</v>
      </c>
      <c r="E1921" s="133">
        <f ca="1">OFFSET(INDEX(Composições!A:J,MATCH(Orçamentária!A1921,Composições!A:A,0),8),2,0)</f>
        <v>0</v>
      </c>
      <c r="F1921" s="134">
        <f t="shared" ca="1" si="99"/>
        <v>0</v>
      </c>
      <c r="G1921" s="135" t="e">
        <f>IF(A1921&lt;&gt;"",IF(AND(#REF!="Padrão",$H$4=#REF!),BDI!$B$17,IF(AND(#REF!="Padrão",$H$4=#REF!),BDI!#REF!,IF(AND(#REF!="Diferenciado",$H$4=#REF!),BDI!$E$17,IF(AND(#REF!="Diferenciado",$H$4=#REF!),BDI!#REF!,IF(#REF!="ZERO",0))))),"")</f>
        <v>#REF!</v>
      </c>
      <c r="H1921" s="136" t="e">
        <f t="shared" ca="1" si="100"/>
        <v>#REF!</v>
      </c>
      <c r="I1921" s="134" t="e">
        <f t="shared" ca="1" si="101"/>
        <v>#REF!</v>
      </c>
      <c r="J1921" s="226"/>
    </row>
    <row r="1922" spans="1:10" hidden="1" x14ac:dyDescent="0.25">
      <c r="A1922" s="112" t="s">
        <v>5530</v>
      </c>
      <c r="B1922" s="113" t="s">
        <v>4322</v>
      </c>
      <c r="C1922" s="114" t="s">
        <v>20</v>
      </c>
      <c r="D1922" s="114">
        <v>0</v>
      </c>
      <c r="E1922" s="133">
        <f ca="1">OFFSET(INDEX(Composições!A:J,MATCH(Orçamentária!A1922,Composições!A:A,0),8),2,0)</f>
        <v>0</v>
      </c>
      <c r="F1922" s="134">
        <f t="shared" ca="1" si="99"/>
        <v>0</v>
      </c>
      <c r="G1922" s="135" t="e">
        <f>IF(A1922&lt;&gt;"",IF(AND(#REF!="Padrão",$H$4=#REF!),BDI!$B$17,IF(AND(#REF!="Padrão",$H$4=#REF!),BDI!#REF!,IF(AND(#REF!="Diferenciado",$H$4=#REF!),BDI!$E$17,IF(AND(#REF!="Diferenciado",$H$4=#REF!),BDI!#REF!,IF(#REF!="ZERO",0))))),"")</f>
        <v>#REF!</v>
      </c>
      <c r="H1922" s="136" t="e">
        <f t="shared" ca="1" si="100"/>
        <v>#REF!</v>
      </c>
      <c r="I1922" s="134" t="e">
        <f t="shared" ca="1" si="101"/>
        <v>#REF!</v>
      </c>
      <c r="J1922" s="226"/>
    </row>
    <row r="1923" spans="1:10" hidden="1" x14ac:dyDescent="0.25">
      <c r="A1923" s="112" t="s">
        <v>5531</v>
      </c>
      <c r="B1923" s="113" t="s">
        <v>4323</v>
      </c>
      <c r="C1923" s="114" t="s">
        <v>20</v>
      </c>
      <c r="D1923" s="114">
        <v>0</v>
      </c>
      <c r="E1923" s="133">
        <f ca="1">OFFSET(INDEX(Composições!A:J,MATCH(Orçamentária!A1923,Composições!A:A,0),8),2,0)</f>
        <v>0</v>
      </c>
      <c r="F1923" s="134">
        <f t="shared" ca="1" si="99"/>
        <v>0</v>
      </c>
      <c r="G1923" s="135" t="e">
        <f>IF(A1923&lt;&gt;"",IF(AND(#REF!="Padrão",$H$4=#REF!),BDI!$B$17,IF(AND(#REF!="Padrão",$H$4=#REF!),BDI!#REF!,IF(AND(#REF!="Diferenciado",$H$4=#REF!),BDI!$E$17,IF(AND(#REF!="Diferenciado",$H$4=#REF!),BDI!#REF!,IF(#REF!="ZERO",0))))),"")</f>
        <v>#REF!</v>
      </c>
      <c r="H1923" s="136" t="e">
        <f t="shared" ca="1" si="100"/>
        <v>#REF!</v>
      </c>
      <c r="I1923" s="134" t="e">
        <f t="shared" ca="1" si="101"/>
        <v>#REF!</v>
      </c>
      <c r="J1923" s="226"/>
    </row>
    <row r="1924" spans="1:10" hidden="1" x14ac:dyDescent="0.25">
      <c r="A1924" s="112" t="s">
        <v>5532</v>
      </c>
      <c r="B1924" s="113" t="s">
        <v>4324</v>
      </c>
      <c r="C1924" s="114" t="s">
        <v>20</v>
      </c>
      <c r="D1924" s="114">
        <v>0</v>
      </c>
      <c r="E1924" s="133">
        <f ca="1">OFFSET(INDEX(Composições!A:J,MATCH(Orçamentária!A1924,Composições!A:A,0),8),2,0)</f>
        <v>0</v>
      </c>
      <c r="F1924" s="134">
        <f t="shared" ca="1" si="99"/>
        <v>0</v>
      </c>
      <c r="G1924" s="135" t="e">
        <f>IF(A1924&lt;&gt;"",IF(AND(#REF!="Padrão",$H$4=#REF!),BDI!$B$17,IF(AND(#REF!="Padrão",$H$4=#REF!),BDI!#REF!,IF(AND(#REF!="Diferenciado",$H$4=#REF!),BDI!$E$17,IF(AND(#REF!="Diferenciado",$H$4=#REF!),BDI!#REF!,IF(#REF!="ZERO",0))))),"")</f>
        <v>#REF!</v>
      </c>
      <c r="H1924" s="136" t="e">
        <f t="shared" ca="1" si="100"/>
        <v>#REF!</v>
      </c>
      <c r="I1924" s="134" t="e">
        <f t="shared" ca="1" si="101"/>
        <v>#REF!</v>
      </c>
      <c r="J1924" s="226"/>
    </row>
    <row r="1925" spans="1:10" hidden="1" x14ac:dyDescent="0.25">
      <c r="A1925" s="112" t="s">
        <v>5533</v>
      </c>
      <c r="B1925" s="113" t="s">
        <v>4325</v>
      </c>
      <c r="C1925" s="114" t="s">
        <v>20</v>
      </c>
      <c r="D1925" s="114">
        <v>0</v>
      </c>
      <c r="E1925" s="133" t="s">
        <v>514</v>
      </c>
      <c r="F1925" s="134" t="str">
        <f t="shared" si="99"/>
        <v/>
      </c>
      <c r="G1925" s="135" t="e">
        <f>IF(A1925&lt;&gt;"",IF(AND(#REF!="Padrão",$H$4=#REF!),BDI!$B$17,IF(AND(#REF!="Padrão",$H$4=#REF!),BDI!#REF!,IF(AND(#REF!="Diferenciado",$H$4=#REF!),BDI!$E$17,IF(AND(#REF!="Diferenciado",$H$4=#REF!),BDI!#REF!,IF(#REF!="ZERO",0))))),"")</f>
        <v>#REF!</v>
      </c>
      <c r="H1925" s="136" t="str">
        <f t="shared" si="100"/>
        <v/>
      </c>
      <c r="I1925" s="134" t="str">
        <f t="shared" si="101"/>
        <v/>
      </c>
      <c r="J1925" s="226"/>
    </row>
    <row r="1926" spans="1:10" hidden="1" x14ac:dyDescent="0.25">
      <c r="A1926" s="112" t="s">
        <v>5534</v>
      </c>
      <c r="B1926" s="113" t="s">
        <v>4326</v>
      </c>
      <c r="C1926" s="114" t="s">
        <v>20</v>
      </c>
      <c r="D1926" s="114">
        <v>0</v>
      </c>
      <c r="E1926" s="133">
        <f ca="1">OFFSET(INDEX(Composições!A:J,MATCH(Orçamentária!A1926,Composições!A:A,0),8),2,0)</f>
        <v>0</v>
      </c>
      <c r="F1926" s="134">
        <f t="shared" ca="1" si="99"/>
        <v>0</v>
      </c>
      <c r="G1926" s="135" t="e">
        <f>IF(A1926&lt;&gt;"",IF(AND(#REF!="Padrão",$H$4=#REF!),BDI!$B$17,IF(AND(#REF!="Padrão",$H$4=#REF!),BDI!#REF!,IF(AND(#REF!="Diferenciado",$H$4=#REF!),BDI!$E$17,IF(AND(#REF!="Diferenciado",$H$4=#REF!),BDI!#REF!,IF(#REF!="ZERO",0))))),"")</f>
        <v>#REF!</v>
      </c>
      <c r="H1926" s="136" t="e">
        <f t="shared" ca="1" si="100"/>
        <v>#REF!</v>
      </c>
      <c r="I1926" s="134" t="e">
        <f t="shared" ca="1" si="101"/>
        <v>#REF!</v>
      </c>
      <c r="J1926" s="226"/>
    </row>
    <row r="1927" spans="1:10" hidden="1" x14ac:dyDescent="0.25">
      <c r="A1927" s="112" t="s">
        <v>5535</v>
      </c>
      <c r="B1927" s="113" t="s">
        <v>4327</v>
      </c>
      <c r="C1927" s="114" t="s">
        <v>20</v>
      </c>
      <c r="D1927" s="114">
        <v>0</v>
      </c>
      <c r="E1927" s="133" t="s">
        <v>514</v>
      </c>
      <c r="F1927" s="134" t="str">
        <f t="shared" si="99"/>
        <v/>
      </c>
      <c r="G1927" s="135" t="e">
        <f>IF(A1927&lt;&gt;"",IF(AND(#REF!="Padrão",$H$4=#REF!),BDI!$B$17,IF(AND(#REF!="Padrão",$H$4=#REF!),BDI!#REF!,IF(AND(#REF!="Diferenciado",$H$4=#REF!),BDI!$E$17,IF(AND(#REF!="Diferenciado",$H$4=#REF!),BDI!#REF!,IF(#REF!="ZERO",0))))),"")</f>
        <v>#REF!</v>
      </c>
      <c r="H1927" s="136" t="str">
        <f t="shared" si="100"/>
        <v/>
      </c>
      <c r="I1927" s="134" t="str">
        <f t="shared" si="101"/>
        <v/>
      </c>
      <c r="J1927" s="226"/>
    </row>
    <row r="1928" spans="1:10" hidden="1" x14ac:dyDescent="0.25">
      <c r="A1928" s="112" t="s">
        <v>5536</v>
      </c>
      <c r="B1928" s="113" t="s">
        <v>4328</v>
      </c>
      <c r="C1928" s="114" t="s">
        <v>20</v>
      </c>
      <c r="D1928" s="114">
        <v>0</v>
      </c>
      <c r="E1928" s="133">
        <f ca="1">OFFSET(INDEX(Composições!A:J,MATCH(Orçamentária!A1928,Composições!A:A,0),8),2,0)</f>
        <v>0</v>
      </c>
      <c r="F1928" s="134">
        <f t="shared" ca="1" si="99"/>
        <v>0</v>
      </c>
      <c r="G1928" s="135" t="e">
        <f>IF(A1928&lt;&gt;"",IF(AND(#REF!="Padrão",$H$4=#REF!),BDI!$B$17,IF(AND(#REF!="Padrão",$H$4=#REF!),BDI!#REF!,IF(AND(#REF!="Diferenciado",$H$4=#REF!),BDI!$E$17,IF(AND(#REF!="Diferenciado",$H$4=#REF!),BDI!#REF!,IF(#REF!="ZERO",0))))),"")</f>
        <v>#REF!</v>
      </c>
      <c r="H1928" s="136" t="e">
        <f t="shared" ca="1" si="100"/>
        <v>#REF!</v>
      </c>
      <c r="I1928" s="134" t="e">
        <f t="shared" ca="1" si="101"/>
        <v>#REF!</v>
      </c>
      <c r="J1928" s="226"/>
    </row>
    <row r="1929" spans="1:10" hidden="1" x14ac:dyDescent="0.25">
      <c r="A1929" s="112" t="s">
        <v>5537</v>
      </c>
      <c r="B1929" s="113" t="s">
        <v>4329</v>
      </c>
      <c r="C1929" s="114" t="s">
        <v>20</v>
      </c>
      <c r="D1929" s="114">
        <v>0</v>
      </c>
      <c r="E1929" s="133" t="s">
        <v>514</v>
      </c>
      <c r="F1929" s="134" t="str">
        <f t="shared" si="99"/>
        <v/>
      </c>
      <c r="G1929" s="135" t="e">
        <f>IF(A1929&lt;&gt;"",IF(AND(#REF!="Padrão",$H$4=#REF!),BDI!$B$17,IF(AND(#REF!="Padrão",$H$4=#REF!),BDI!#REF!,IF(AND(#REF!="Diferenciado",$H$4=#REF!),BDI!$E$17,IF(AND(#REF!="Diferenciado",$H$4=#REF!),BDI!#REF!,IF(#REF!="ZERO",0))))),"")</f>
        <v>#REF!</v>
      </c>
      <c r="H1929" s="136" t="str">
        <f t="shared" si="100"/>
        <v/>
      </c>
      <c r="I1929" s="134" t="str">
        <f t="shared" si="101"/>
        <v/>
      </c>
      <c r="J1929" s="226"/>
    </row>
    <row r="1930" spans="1:10" hidden="1" x14ac:dyDescent="0.25">
      <c r="A1930" s="112" t="s">
        <v>5538</v>
      </c>
      <c r="B1930" s="113" t="s">
        <v>4330</v>
      </c>
      <c r="C1930" s="114" t="s">
        <v>20</v>
      </c>
      <c r="D1930" s="114">
        <v>0</v>
      </c>
      <c r="E1930" s="133">
        <f ca="1">OFFSET(INDEX(Composições!A:J,MATCH(Orçamentária!A1930,Composições!A:A,0),8),2,0)</f>
        <v>0</v>
      </c>
      <c r="F1930" s="134">
        <f t="shared" ca="1" si="99"/>
        <v>0</v>
      </c>
      <c r="G1930" s="135" t="e">
        <f>IF(A1930&lt;&gt;"",IF(AND(#REF!="Padrão",$H$4=#REF!),BDI!$B$17,IF(AND(#REF!="Padrão",$H$4=#REF!),BDI!#REF!,IF(AND(#REF!="Diferenciado",$H$4=#REF!),BDI!$E$17,IF(AND(#REF!="Diferenciado",$H$4=#REF!),BDI!#REF!,IF(#REF!="ZERO",0))))),"")</f>
        <v>#REF!</v>
      </c>
      <c r="H1930" s="136" t="e">
        <f t="shared" ca="1" si="100"/>
        <v>#REF!</v>
      </c>
      <c r="I1930" s="134" t="e">
        <f t="shared" ca="1" si="101"/>
        <v>#REF!</v>
      </c>
      <c r="J1930" s="226"/>
    </row>
    <row r="1931" spans="1:10" hidden="1" x14ac:dyDescent="0.25">
      <c r="A1931" s="112" t="s">
        <v>5539</v>
      </c>
      <c r="B1931" s="113" t="s">
        <v>4331</v>
      </c>
      <c r="C1931" s="114" t="s">
        <v>20</v>
      </c>
      <c r="D1931" s="114">
        <v>0</v>
      </c>
      <c r="E1931" s="133" t="s">
        <v>514</v>
      </c>
      <c r="F1931" s="134" t="str">
        <f t="shared" si="99"/>
        <v/>
      </c>
      <c r="G1931" s="135" t="e">
        <f>IF(A1931&lt;&gt;"",IF(AND(#REF!="Padrão",$H$4=#REF!),BDI!$B$17,IF(AND(#REF!="Padrão",$H$4=#REF!),BDI!#REF!,IF(AND(#REF!="Diferenciado",$H$4=#REF!),BDI!$E$17,IF(AND(#REF!="Diferenciado",$H$4=#REF!),BDI!#REF!,IF(#REF!="ZERO",0))))),"")</f>
        <v>#REF!</v>
      </c>
      <c r="H1931" s="136" t="str">
        <f t="shared" si="100"/>
        <v/>
      </c>
      <c r="I1931" s="134" t="str">
        <f t="shared" si="101"/>
        <v/>
      </c>
      <c r="J1931" s="226"/>
    </row>
    <row r="1932" spans="1:10" hidden="1" x14ac:dyDescent="0.25">
      <c r="A1932" s="112" t="s">
        <v>5540</v>
      </c>
      <c r="B1932" s="113" t="s">
        <v>4332</v>
      </c>
      <c r="C1932" s="114" t="s">
        <v>20</v>
      </c>
      <c r="D1932" s="114">
        <v>0</v>
      </c>
      <c r="E1932" s="133" t="s">
        <v>514</v>
      </c>
      <c r="F1932" s="134" t="str">
        <f t="shared" si="99"/>
        <v/>
      </c>
      <c r="G1932" s="135" t="e">
        <f>IF(A1932&lt;&gt;"",IF(AND(#REF!="Padrão",$H$4=#REF!),BDI!$B$17,IF(AND(#REF!="Padrão",$H$4=#REF!),BDI!#REF!,IF(AND(#REF!="Diferenciado",$H$4=#REF!),BDI!$E$17,IF(AND(#REF!="Diferenciado",$H$4=#REF!),BDI!#REF!,IF(#REF!="ZERO",0))))),"")</f>
        <v>#REF!</v>
      </c>
      <c r="H1932" s="136" t="str">
        <f t="shared" si="100"/>
        <v/>
      </c>
      <c r="I1932" s="134" t="str">
        <f t="shared" si="101"/>
        <v/>
      </c>
      <c r="J1932" s="226"/>
    </row>
    <row r="1933" spans="1:10" hidden="1" x14ac:dyDescent="0.25">
      <c r="A1933" s="112" t="s">
        <v>5541</v>
      </c>
      <c r="B1933" s="113" t="s">
        <v>4333</v>
      </c>
      <c r="C1933" s="114" t="s">
        <v>20</v>
      </c>
      <c r="D1933" s="114">
        <v>0</v>
      </c>
      <c r="E1933" s="133">
        <f ca="1">OFFSET(INDEX(Composições!A:J,MATCH(Orçamentária!A1933,Composições!A:A,0),8),2,0)</f>
        <v>5.0919999999999996</v>
      </c>
      <c r="F1933" s="134">
        <f t="shared" ca="1" si="99"/>
        <v>0</v>
      </c>
      <c r="G1933" s="135" t="e">
        <f>IF(A1933&lt;&gt;"",IF(AND(#REF!="Padrão",$H$4=#REF!),BDI!$B$17,IF(AND(#REF!="Padrão",$H$4=#REF!),BDI!#REF!,IF(AND(#REF!="Diferenciado",$H$4=#REF!),BDI!$E$17,IF(AND(#REF!="Diferenciado",$H$4=#REF!),BDI!#REF!,IF(#REF!="ZERO",0))))),"")</f>
        <v>#REF!</v>
      </c>
      <c r="H1933" s="136" t="e">
        <f t="shared" ca="1" si="100"/>
        <v>#REF!</v>
      </c>
      <c r="I1933" s="134" t="e">
        <f t="shared" ca="1" si="101"/>
        <v>#REF!</v>
      </c>
      <c r="J1933" s="226"/>
    </row>
    <row r="1934" spans="1:10" hidden="1" x14ac:dyDescent="0.25">
      <c r="A1934" s="112" t="s">
        <v>5542</v>
      </c>
      <c r="B1934" s="113" t="s">
        <v>4334</v>
      </c>
      <c r="C1934" s="114" t="s">
        <v>20</v>
      </c>
      <c r="D1934" s="114">
        <v>0</v>
      </c>
      <c r="E1934" s="133" t="s">
        <v>514</v>
      </c>
      <c r="F1934" s="134" t="str">
        <f t="shared" si="99"/>
        <v/>
      </c>
      <c r="G1934" s="135" t="e">
        <f>IF(A1934&lt;&gt;"",IF(AND(#REF!="Padrão",$H$4=#REF!),BDI!$B$17,IF(AND(#REF!="Padrão",$H$4=#REF!),BDI!#REF!,IF(AND(#REF!="Diferenciado",$H$4=#REF!),BDI!$E$17,IF(AND(#REF!="Diferenciado",$H$4=#REF!),BDI!#REF!,IF(#REF!="ZERO",0))))),"")</f>
        <v>#REF!</v>
      </c>
      <c r="H1934" s="136" t="str">
        <f t="shared" si="100"/>
        <v/>
      </c>
      <c r="I1934" s="134" t="str">
        <f t="shared" si="101"/>
        <v/>
      </c>
      <c r="J1934" s="226"/>
    </row>
    <row r="1935" spans="1:10" hidden="1" x14ac:dyDescent="0.25">
      <c r="A1935" s="112" t="s">
        <v>5543</v>
      </c>
      <c r="B1935" s="113" t="s">
        <v>4335</v>
      </c>
      <c r="C1935" s="114" t="s">
        <v>20</v>
      </c>
      <c r="D1935" s="114">
        <v>0</v>
      </c>
      <c r="E1935" s="133" t="s">
        <v>514</v>
      </c>
      <c r="F1935" s="134" t="str">
        <f t="shared" si="99"/>
        <v/>
      </c>
      <c r="G1935" s="135" t="e">
        <f>IF(A1935&lt;&gt;"",IF(AND(#REF!="Padrão",$H$4=#REF!),BDI!$B$17,IF(AND(#REF!="Padrão",$H$4=#REF!),BDI!#REF!,IF(AND(#REF!="Diferenciado",$H$4=#REF!),BDI!$E$17,IF(AND(#REF!="Diferenciado",$H$4=#REF!),BDI!#REF!,IF(#REF!="ZERO",0))))),"")</f>
        <v>#REF!</v>
      </c>
      <c r="H1935" s="136" t="str">
        <f t="shared" si="100"/>
        <v/>
      </c>
      <c r="I1935" s="134" t="str">
        <f t="shared" si="101"/>
        <v/>
      </c>
      <c r="J1935" s="226"/>
    </row>
    <row r="1936" spans="1:10" hidden="1" x14ac:dyDescent="0.25">
      <c r="A1936" s="112" t="s">
        <v>5544</v>
      </c>
      <c r="B1936" s="113" t="s">
        <v>4336</v>
      </c>
      <c r="C1936" s="114" t="s">
        <v>20</v>
      </c>
      <c r="D1936" s="114">
        <v>0</v>
      </c>
      <c r="E1936" s="133" t="s">
        <v>514</v>
      </c>
      <c r="F1936" s="134" t="str">
        <f t="shared" si="99"/>
        <v/>
      </c>
      <c r="G1936" s="135" t="e">
        <f>IF(A1936&lt;&gt;"",IF(AND(#REF!="Padrão",$H$4=#REF!),BDI!$B$17,IF(AND(#REF!="Padrão",$H$4=#REF!),BDI!#REF!,IF(AND(#REF!="Diferenciado",$H$4=#REF!),BDI!$E$17,IF(AND(#REF!="Diferenciado",$H$4=#REF!),BDI!#REF!,IF(#REF!="ZERO",0))))),"")</f>
        <v>#REF!</v>
      </c>
      <c r="H1936" s="136" t="str">
        <f t="shared" si="100"/>
        <v/>
      </c>
      <c r="I1936" s="134" t="str">
        <f t="shared" si="101"/>
        <v/>
      </c>
      <c r="J1936" s="226"/>
    </row>
    <row r="1937" spans="1:10" hidden="1" x14ac:dyDescent="0.25">
      <c r="A1937" s="112" t="s">
        <v>5545</v>
      </c>
      <c r="B1937" s="113" t="s">
        <v>4337</v>
      </c>
      <c r="C1937" s="114" t="s">
        <v>20</v>
      </c>
      <c r="D1937" s="114">
        <v>0</v>
      </c>
      <c r="E1937" s="133" t="s">
        <v>514</v>
      </c>
      <c r="F1937" s="134" t="str">
        <f t="shared" si="99"/>
        <v/>
      </c>
      <c r="G1937" s="135" t="e">
        <f>IF(A1937&lt;&gt;"",IF(AND(#REF!="Padrão",$H$4=#REF!),BDI!$B$17,IF(AND(#REF!="Padrão",$H$4=#REF!),BDI!#REF!,IF(AND(#REF!="Diferenciado",$H$4=#REF!),BDI!$E$17,IF(AND(#REF!="Diferenciado",$H$4=#REF!),BDI!#REF!,IF(#REF!="ZERO",0))))),"")</f>
        <v>#REF!</v>
      </c>
      <c r="H1937" s="136" t="str">
        <f t="shared" si="100"/>
        <v/>
      </c>
      <c r="I1937" s="134" t="str">
        <f t="shared" si="101"/>
        <v/>
      </c>
      <c r="J1937" s="226"/>
    </row>
    <row r="1938" spans="1:10" hidden="1" x14ac:dyDescent="0.25">
      <c r="A1938" s="112" t="s">
        <v>5546</v>
      </c>
      <c r="B1938" s="113" t="s">
        <v>4338</v>
      </c>
      <c r="C1938" s="114" t="s">
        <v>20</v>
      </c>
      <c r="D1938" s="114">
        <v>0</v>
      </c>
      <c r="E1938" s="133" t="s">
        <v>514</v>
      </c>
      <c r="F1938" s="134" t="str">
        <f t="shared" si="99"/>
        <v/>
      </c>
      <c r="G1938" s="135" t="e">
        <f>IF(A1938&lt;&gt;"",IF(AND(#REF!="Padrão",$H$4=#REF!),BDI!$B$17,IF(AND(#REF!="Padrão",$H$4=#REF!),BDI!#REF!,IF(AND(#REF!="Diferenciado",$H$4=#REF!),BDI!$E$17,IF(AND(#REF!="Diferenciado",$H$4=#REF!),BDI!#REF!,IF(#REF!="ZERO",0))))),"")</f>
        <v>#REF!</v>
      </c>
      <c r="H1938" s="136" t="str">
        <f t="shared" si="100"/>
        <v/>
      </c>
      <c r="I1938" s="134" t="str">
        <f t="shared" si="101"/>
        <v/>
      </c>
      <c r="J1938" s="226"/>
    </row>
    <row r="1939" spans="1:10" hidden="1" x14ac:dyDescent="0.25">
      <c r="A1939" s="112" t="s">
        <v>5547</v>
      </c>
      <c r="B1939" s="113" t="s">
        <v>4339</v>
      </c>
      <c r="C1939" s="114" t="s">
        <v>20</v>
      </c>
      <c r="D1939" s="114">
        <v>0</v>
      </c>
      <c r="E1939" s="133" t="s">
        <v>514</v>
      </c>
      <c r="F1939" s="134" t="str">
        <f t="shared" si="99"/>
        <v/>
      </c>
      <c r="G1939" s="135" t="e">
        <f>IF(A1939&lt;&gt;"",IF(AND(#REF!="Padrão",$H$4=#REF!),BDI!$B$17,IF(AND(#REF!="Padrão",$H$4=#REF!),BDI!#REF!,IF(AND(#REF!="Diferenciado",$H$4=#REF!),BDI!$E$17,IF(AND(#REF!="Diferenciado",$H$4=#REF!),BDI!#REF!,IF(#REF!="ZERO",0))))),"")</f>
        <v>#REF!</v>
      </c>
      <c r="H1939" s="136" t="str">
        <f t="shared" si="100"/>
        <v/>
      </c>
      <c r="I1939" s="134" t="str">
        <f t="shared" si="101"/>
        <v/>
      </c>
      <c r="J1939" s="226"/>
    </row>
    <row r="1940" spans="1:10" hidden="1" x14ac:dyDescent="0.25">
      <c r="A1940" s="112" t="s">
        <v>5548</v>
      </c>
      <c r="B1940" s="113" t="s">
        <v>4340</v>
      </c>
      <c r="C1940" s="114" t="s">
        <v>20</v>
      </c>
      <c r="D1940" s="114">
        <v>0</v>
      </c>
      <c r="E1940" s="133" t="s">
        <v>514</v>
      </c>
      <c r="F1940" s="134" t="str">
        <f t="shared" si="99"/>
        <v/>
      </c>
      <c r="G1940" s="135" t="e">
        <f>IF(A1940&lt;&gt;"",IF(AND(#REF!="Padrão",$H$4=#REF!),BDI!$B$17,IF(AND(#REF!="Padrão",$H$4=#REF!),BDI!#REF!,IF(AND(#REF!="Diferenciado",$H$4=#REF!),BDI!$E$17,IF(AND(#REF!="Diferenciado",$H$4=#REF!),BDI!#REF!,IF(#REF!="ZERO",0))))),"")</f>
        <v>#REF!</v>
      </c>
      <c r="H1940" s="136" t="str">
        <f t="shared" si="100"/>
        <v/>
      </c>
      <c r="I1940" s="134" t="str">
        <f t="shared" si="101"/>
        <v/>
      </c>
      <c r="J1940" s="226"/>
    </row>
    <row r="1941" spans="1:10" hidden="1" x14ac:dyDescent="0.25">
      <c r="A1941" s="112" t="s">
        <v>5549</v>
      </c>
      <c r="B1941" s="113" t="s">
        <v>4341</v>
      </c>
      <c r="C1941" s="114" t="s">
        <v>20</v>
      </c>
      <c r="D1941" s="114">
        <v>0</v>
      </c>
      <c r="E1941" s="133" t="s">
        <v>514</v>
      </c>
      <c r="F1941" s="134" t="str">
        <f t="shared" si="99"/>
        <v/>
      </c>
      <c r="G1941" s="135" t="e">
        <f>IF(A1941&lt;&gt;"",IF(AND(#REF!="Padrão",$H$4=#REF!),BDI!$B$17,IF(AND(#REF!="Padrão",$H$4=#REF!),BDI!#REF!,IF(AND(#REF!="Diferenciado",$H$4=#REF!),BDI!$E$17,IF(AND(#REF!="Diferenciado",$H$4=#REF!),BDI!#REF!,IF(#REF!="ZERO",0))))),"")</f>
        <v>#REF!</v>
      </c>
      <c r="H1941" s="136" t="str">
        <f t="shared" si="100"/>
        <v/>
      </c>
      <c r="I1941" s="134" t="str">
        <f t="shared" si="101"/>
        <v/>
      </c>
      <c r="J1941" s="226"/>
    </row>
    <row r="1942" spans="1:10" hidden="1" x14ac:dyDescent="0.25">
      <c r="A1942" s="112" t="s">
        <v>5550</v>
      </c>
      <c r="B1942" s="113" t="s">
        <v>4342</v>
      </c>
      <c r="C1942" s="114" t="s">
        <v>20</v>
      </c>
      <c r="D1942" s="114">
        <v>0</v>
      </c>
      <c r="E1942" s="133" t="s">
        <v>514</v>
      </c>
      <c r="F1942" s="134" t="str">
        <f t="shared" si="99"/>
        <v/>
      </c>
      <c r="G1942" s="135" t="e">
        <f>IF(A1942&lt;&gt;"",IF(AND(#REF!="Padrão",$H$4=#REF!),BDI!$B$17,IF(AND(#REF!="Padrão",$H$4=#REF!),BDI!#REF!,IF(AND(#REF!="Diferenciado",$H$4=#REF!),BDI!$E$17,IF(AND(#REF!="Diferenciado",$H$4=#REF!),BDI!#REF!,IF(#REF!="ZERO",0))))),"")</f>
        <v>#REF!</v>
      </c>
      <c r="H1942" s="136" t="str">
        <f t="shared" si="100"/>
        <v/>
      </c>
      <c r="I1942" s="134" t="str">
        <f t="shared" si="101"/>
        <v/>
      </c>
      <c r="J1942" s="226"/>
    </row>
    <row r="1943" spans="1:10" hidden="1" x14ac:dyDescent="0.25">
      <c r="A1943" s="112" t="s">
        <v>5551</v>
      </c>
      <c r="B1943" s="113" t="s">
        <v>4343</v>
      </c>
      <c r="C1943" s="114" t="s">
        <v>20</v>
      </c>
      <c r="D1943" s="114">
        <v>0</v>
      </c>
      <c r="E1943" s="133" t="s">
        <v>514</v>
      </c>
      <c r="F1943" s="134" t="str">
        <f t="shared" si="99"/>
        <v/>
      </c>
      <c r="G1943" s="135" t="e">
        <f>IF(A1943&lt;&gt;"",IF(AND(#REF!="Padrão",$H$4=#REF!),BDI!$B$17,IF(AND(#REF!="Padrão",$H$4=#REF!),BDI!#REF!,IF(AND(#REF!="Diferenciado",$H$4=#REF!),BDI!$E$17,IF(AND(#REF!="Diferenciado",$H$4=#REF!),BDI!#REF!,IF(#REF!="ZERO",0))))),"")</f>
        <v>#REF!</v>
      </c>
      <c r="H1943" s="136" t="str">
        <f t="shared" si="100"/>
        <v/>
      </c>
      <c r="I1943" s="134" t="str">
        <f t="shared" si="101"/>
        <v/>
      </c>
      <c r="J1943" s="226"/>
    </row>
    <row r="1944" spans="1:10" hidden="1" x14ac:dyDescent="0.25">
      <c r="A1944" s="112" t="s">
        <v>5552</v>
      </c>
      <c r="B1944" s="113" t="s">
        <v>4344</v>
      </c>
      <c r="C1944" s="114" t="s">
        <v>20</v>
      </c>
      <c r="D1944" s="114">
        <v>0</v>
      </c>
      <c r="E1944" s="133" t="s">
        <v>514</v>
      </c>
      <c r="F1944" s="134" t="str">
        <f t="shared" si="99"/>
        <v/>
      </c>
      <c r="G1944" s="135" t="e">
        <f>IF(A1944&lt;&gt;"",IF(AND(#REF!="Padrão",$H$4=#REF!),BDI!$B$17,IF(AND(#REF!="Padrão",$H$4=#REF!),BDI!#REF!,IF(AND(#REF!="Diferenciado",$H$4=#REF!),BDI!$E$17,IF(AND(#REF!="Diferenciado",$H$4=#REF!),BDI!#REF!,IF(#REF!="ZERO",0))))),"")</f>
        <v>#REF!</v>
      </c>
      <c r="H1944" s="136" t="str">
        <f t="shared" si="100"/>
        <v/>
      </c>
      <c r="I1944" s="134" t="str">
        <f t="shared" si="101"/>
        <v/>
      </c>
      <c r="J1944" s="226"/>
    </row>
    <row r="1945" spans="1:10" hidden="1" x14ac:dyDescent="0.25">
      <c r="A1945" s="112" t="s">
        <v>5553</v>
      </c>
      <c r="B1945" s="113" t="s">
        <v>4345</v>
      </c>
      <c r="C1945" s="114" t="s">
        <v>20</v>
      </c>
      <c r="D1945" s="114">
        <v>0</v>
      </c>
      <c r="E1945" s="133" t="s">
        <v>514</v>
      </c>
      <c r="F1945" s="134" t="str">
        <f t="shared" si="99"/>
        <v/>
      </c>
      <c r="G1945" s="135" t="e">
        <f>IF(A1945&lt;&gt;"",IF(AND(#REF!="Padrão",$H$4=#REF!),BDI!$B$17,IF(AND(#REF!="Padrão",$H$4=#REF!),BDI!#REF!,IF(AND(#REF!="Diferenciado",$H$4=#REF!),BDI!$E$17,IF(AND(#REF!="Diferenciado",$H$4=#REF!),BDI!#REF!,IF(#REF!="ZERO",0))))),"")</f>
        <v>#REF!</v>
      </c>
      <c r="H1945" s="136" t="str">
        <f t="shared" si="100"/>
        <v/>
      </c>
      <c r="I1945" s="134" t="str">
        <f t="shared" si="101"/>
        <v/>
      </c>
      <c r="J1945" s="226"/>
    </row>
    <row r="1946" spans="1:10" hidden="1" x14ac:dyDescent="0.25">
      <c r="A1946" s="112" t="s">
        <v>5554</v>
      </c>
      <c r="B1946" s="113" t="s">
        <v>4346</v>
      </c>
      <c r="C1946" s="114" t="s">
        <v>20</v>
      </c>
      <c r="D1946" s="114">
        <v>0</v>
      </c>
      <c r="E1946" s="133" t="s">
        <v>514</v>
      </c>
      <c r="F1946" s="134" t="str">
        <f t="shared" si="99"/>
        <v/>
      </c>
      <c r="G1946" s="135" t="e">
        <f>IF(A1946&lt;&gt;"",IF(AND(#REF!="Padrão",$H$4=#REF!),BDI!$B$17,IF(AND(#REF!="Padrão",$H$4=#REF!),BDI!#REF!,IF(AND(#REF!="Diferenciado",$H$4=#REF!),BDI!$E$17,IF(AND(#REF!="Diferenciado",$H$4=#REF!),BDI!#REF!,IF(#REF!="ZERO",0))))),"")</f>
        <v>#REF!</v>
      </c>
      <c r="H1946" s="136" t="str">
        <f t="shared" si="100"/>
        <v/>
      </c>
      <c r="I1946" s="134" t="str">
        <f t="shared" si="101"/>
        <v/>
      </c>
      <c r="J1946" s="226"/>
    </row>
    <row r="1947" spans="1:10" hidden="1" x14ac:dyDescent="0.25">
      <c r="A1947" s="112" t="s">
        <v>5555</v>
      </c>
      <c r="B1947" s="113" t="s">
        <v>4347</v>
      </c>
      <c r="C1947" s="114" t="s">
        <v>20</v>
      </c>
      <c r="D1947" s="114">
        <v>0</v>
      </c>
      <c r="E1947" s="133" t="s">
        <v>514</v>
      </c>
      <c r="F1947" s="134" t="str">
        <f t="shared" si="99"/>
        <v/>
      </c>
      <c r="G1947" s="135" t="e">
        <f>IF(A1947&lt;&gt;"",IF(AND(#REF!="Padrão",$H$4=#REF!),BDI!$B$17,IF(AND(#REF!="Padrão",$H$4=#REF!),BDI!#REF!,IF(AND(#REF!="Diferenciado",$H$4=#REF!),BDI!$E$17,IF(AND(#REF!="Diferenciado",$H$4=#REF!),BDI!#REF!,IF(#REF!="ZERO",0))))),"")</f>
        <v>#REF!</v>
      </c>
      <c r="H1947" s="136" t="str">
        <f t="shared" si="100"/>
        <v/>
      </c>
      <c r="I1947" s="134" t="str">
        <f t="shared" si="101"/>
        <v/>
      </c>
      <c r="J1947" s="226"/>
    </row>
    <row r="1948" spans="1:10" hidden="1" x14ac:dyDescent="0.25">
      <c r="A1948" s="112" t="s">
        <v>5556</v>
      </c>
      <c r="B1948" s="113" t="s">
        <v>4348</v>
      </c>
      <c r="C1948" s="114" t="s">
        <v>20</v>
      </c>
      <c r="D1948" s="114">
        <v>0</v>
      </c>
      <c r="E1948" s="133" t="s">
        <v>514</v>
      </c>
      <c r="F1948" s="134" t="str">
        <f t="shared" si="99"/>
        <v/>
      </c>
      <c r="G1948" s="135" t="e">
        <f>IF(A1948&lt;&gt;"",IF(AND(#REF!="Padrão",$H$4=#REF!),BDI!$B$17,IF(AND(#REF!="Padrão",$H$4=#REF!),BDI!#REF!,IF(AND(#REF!="Diferenciado",$H$4=#REF!),BDI!$E$17,IF(AND(#REF!="Diferenciado",$H$4=#REF!),BDI!#REF!,IF(#REF!="ZERO",0))))),"")</f>
        <v>#REF!</v>
      </c>
      <c r="H1948" s="136" t="str">
        <f t="shared" si="100"/>
        <v/>
      </c>
      <c r="I1948" s="134" t="str">
        <f t="shared" si="101"/>
        <v/>
      </c>
      <c r="J1948" s="226"/>
    </row>
    <row r="1949" spans="1:10" hidden="1" x14ac:dyDescent="0.25">
      <c r="A1949" s="112" t="s">
        <v>5557</v>
      </c>
      <c r="B1949" s="113" t="s">
        <v>4349</v>
      </c>
      <c r="C1949" s="114" t="s">
        <v>20</v>
      </c>
      <c r="D1949" s="114">
        <v>0</v>
      </c>
      <c r="E1949" s="133">
        <f ca="1">OFFSET(INDEX(Composições!A:J,MATCH(Orçamentária!A1949,Composições!A:A,0),8),2,0)</f>
        <v>515.83100000000002</v>
      </c>
      <c r="F1949" s="134">
        <f t="shared" ca="1" si="99"/>
        <v>0</v>
      </c>
      <c r="G1949" s="135" t="e">
        <f>IF(A1949&lt;&gt;"",IF(AND(#REF!="Padrão",$H$4=#REF!),BDI!$B$17,IF(AND(#REF!="Padrão",$H$4=#REF!),BDI!#REF!,IF(AND(#REF!="Diferenciado",$H$4=#REF!),BDI!$E$17,IF(AND(#REF!="Diferenciado",$H$4=#REF!),BDI!#REF!,IF(#REF!="ZERO",0))))),"")</f>
        <v>#REF!</v>
      </c>
      <c r="H1949" s="136" t="e">
        <f t="shared" ca="1" si="100"/>
        <v>#REF!</v>
      </c>
      <c r="I1949" s="134" t="e">
        <f t="shared" ca="1" si="101"/>
        <v>#REF!</v>
      </c>
      <c r="J1949" s="226"/>
    </row>
    <row r="1950" spans="1:10" hidden="1" x14ac:dyDescent="0.25">
      <c r="A1950" s="112" t="s">
        <v>5558</v>
      </c>
      <c r="B1950" s="113" t="s">
        <v>4350</v>
      </c>
      <c r="C1950" s="114" t="s">
        <v>20</v>
      </c>
      <c r="D1950" s="114">
        <v>0</v>
      </c>
      <c r="E1950" s="133" t="s">
        <v>514</v>
      </c>
      <c r="F1950" s="134" t="str">
        <f t="shared" si="99"/>
        <v/>
      </c>
      <c r="G1950" s="135" t="e">
        <f>IF(A1950&lt;&gt;"",IF(AND(#REF!="Padrão",$H$4=#REF!),BDI!$B$17,IF(AND(#REF!="Padrão",$H$4=#REF!),BDI!#REF!,IF(AND(#REF!="Diferenciado",$H$4=#REF!),BDI!$E$17,IF(AND(#REF!="Diferenciado",$H$4=#REF!),BDI!#REF!,IF(#REF!="ZERO",0))))),"")</f>
        <v>#REF!</v>
      </c>
      <c r="H1950" s="136" t="str">
        <f t="shared" si="100"/>
        <v/>
      </c>
      <c r="I1950" s="134" t="str">
        <f t="shared" si="101"/>
        <v/>
      </c>
      <c r="J1950" s="226"/>
    </row>
    <row r="1951" spans="1:10" hidden="1" x14ac:dyDescent="0.25">
      <c r="A1951" s="112" t="s">
        <v>5559</v>
      </c>
      <c r="B1951" s="113" t="s">
        <v>4351</v>
      </c>
      <c r="C1951" s="114" t="s">
        <v>20</v>
      </c>
      <c r="D1951" s="114">
        <v>0</v>
      </c>
      <c r="E1951" s="133">
        <f ca="1">OFFSET(INDEX(Composições!A:J,MATCH(Orçamentária!A1951,Composições!A:A,0),8),2,0)</f>
        <v>2002.1345000000001</v>
      </c>
      <c r="F1951" s="134">
        <f t="shared" ca="1" si="99"/>
        <v>0</v>
      </c>
      <c r="G1951" s="135" t="e">
        <f>IF(A1951&lt;&gt;"",IF(AND(#REF!="Padrão",$H$4=#REF!),BDI!$B$17,IF(AND(#REF!="Padrão",$H$4=#REF!),BDI!#REF!,IF(AND(#REF!="Diferenciado",$H$4=#REF!),BDI!$E$17,IF(AND(#REF!="Diferenciado",$H$4=#REF!),BDI!#REF!,IF(#REF!="ZERO",0))))),"")</f>
        <v>#REF!</v>
      </c>
      <c r="H1951" s="136" t="e">
        <f t="shared" ca="1" si="100"/>
        <v>#REF!</v>
      </c>
      <c r="I1951" s="134" t="e">
        <f t="shared" ca="1" si="101"/>
        <v>#REF!</v>
      </c>
      <c r="J1951" s="226"/>
    </row>
    <row r="1952" spans="1:10" hidden="1" x14ac:dyDescent="0.25">
      <c r="A1952" s="112" t="s">
        <v>5560</v>
      </c>
      <c r="B1952" s="113" t="s">
        <v>4352</v>
      </c>
      <c r="C1952" s="114" t="s">
        <v>20</v>
      </c>
      <c r="D1952" s="114">
        <v>0</v>
      </c>
      <c r="E1952" s="133" t="s">
        <v>514</v>
      </c>
      <c r="F1952" s="134" t="str">
        <f t="shared" si="99"/>
        <v/>
      </c>
      <c r="G1952" s="135" t="e">
        <f>IF(A1952&lt;&gt;"",IF(AND(#REF!="Padrão",$H$4=#REF!),BDI!$B$17,IF(AND(#REF!="Padrão",$H$4=#REF!),BDI!#REF!,IF(AND(#REF!="Diferenciado",$H$4=#REF!),BDI!$E$17,IF(AND(#REF!="Diferenciado",$H$4=#REF!),BDI!#REF!,IF(#REF!="ZERO",0))))),"")</f>
        <v>#REF!</v>
      </c>
      <c r="H1952" s="136" t="str">
        <f t="shared" si="100"/>
        <v/>
      </c>
      <c r="I1952" s="134" t="str">
        <f t="shared" si="101"/>
        <v/>
      </c>
      <c r="J1952" s="226"/>
    </row>
    <row r="1953" spans="1:10" hidden="1" x14ac:dyDescent="0.25">
      <c r="A1953" s="112" t="s">
        <v>5561</v>
      </c>
      <c r="B1953" s="113" t="s">
        <v>4353</v>
      </c>
      <c r="C1953" s="114" t="s">
        <v>20</v>
      </c>
      <c r="D1953" s="114">
        <v>0</v>
      </c>
      <c r="E1953" s="133">
        <f ca="1">OFFSET(INDEX(Composições!A:J,MATCH(Orçamentária!A1953,Composições!A:A,0),8),2,0)</f>
        <v>2357.5295000000001</v>
      </c>
      <c r="F1953" s="134">
        <f t="shared" ca="1" si="99"/>
        <v>0</v>
      </c>
      <c r="G1953" s="135" t="e">
        <f>IF(A1953&lt;&gt;"",IF(AND(#REF!="Padrão",$H$4=#REF!),BDI!$B$17,IF(AND(#REF!="Padrão",$H$4=#REF!),BDI!#REF!,IF(AND(#REF!="Diferenciado",$H$4=#REF!),BDI!$E$17,IF(AND(#REF!="Diferenciado",$H$4=#REF!),BDI!#REF!,IF(#REF!="ZERO",0))))),"")</f>
        <v>#REF!</v>
      </c>
      <c r="H1953" s="136" t="e">
        <f t="shared" ca="1" si="100"/>
        <v>#REF!</v>
      </c>
      <c r="I1953" s="134" t="e">
        <f t="shared" ca="1" si="101"/>
        <v>#REF!</v>
      </c>
      <c r="J1953" s="226"/>
    </row>
    <row r="1954" spans="1:10" hidden="1" x14ac:dyDescent="0.25">
      <c r="A1954" s="112" t="s">
        <v>5562</v>
      </c>
      <c r="B1954" s="113" t="s">
        <v>4354</v>
      </c>
      <c r="C1954" s="114" t="s">
        <v>20</v>
      </c>
      <c r="D1954" s="114">
        <v>0</v>
      </c>
      <c r="E1954" s="133">
        <f ca="1">OFFSET(INDEX(Composições!A:J,MATCH(Orçamentária!A1954,Composições!A:A,0),8),2,0)</f>
        <v>23.75</v>
      </c>
      <c r="F1954" s="134">
        <f t="shared" ca="1" si="99"/>
        <v>0</v>
      </c>
      <c r="G1954" s="135" t="e">
        <f>IF(A1954&lt;&gt;"",IF(AND(#REF!="Padrão",$H$4=#REF!),BDI!$B$17,IF(AND(#REF!="Padrão",$H$4=#REF!),BDI!#REF!,IF(AND(#REF!="Diferenciado",$H$4=#REF!),BDI!$E$17,IF(AND(#REF!="Diferenciado",$H$4=#REF!),BDI!#REF!,IF(#REF!="ZERO",0))))),"")</f>
        <v>#REF!</v>
      </c>
      <c r="H1954" s="136" t="e">
        <f t="shared" ca="1" si="100"/>
        <v>#REF!</v>
      </c>
      <c r="I1954" s="134" t="e">
        <f t="shared" ca="1" si="101"/>
        <v>#REF!</v>
      </c>
      <c r="J1954" s="226"/>
    </row>
    <row r="1955" spans="1:10" hidden="1" x14ac:dyDescent="0.25">
      <c r="A1955" s="112" t="s">
        <v>5563</v>
      </c>
      <c r="B1955" s="113" t="s">
        <v>4355</v>
      </c>
      <c r="C1955" s="114" t="s">
        <v>20</v>
      </c>
      <c r="D1955" s="114">
        <v>0</v>
      </c>
      <c r="E1955" s="133" t="s">
        <v>514</v>
      </c>
      <c r="F1955" s="134" t="str">
        <f t="shared" si="99"/>
        <v/>
      </c>
      <c r="G1955" s="135" t="e">
        <f>IF(A1955&lt;&gt;"",IF(AND(#REF!="Padrão",$H$4=#REF!),BDI!$B$17,IF(AND(#REF!="Padrão",$H$4=#REF!),BDI!#REF!,IF(AND(#REF!="Diferenciado",$H$4=#REF!),BDI!$E$17,IF(AND(#REF!="Diferenciado",$H$4=#REF!),BDI!#REF!,IF(#REF!="ZERO",0))))),"")</f>
        <v>#REF!</v>
      </c>
      <c r="H1955" s="136" t="str">
        <f t="shared" si="100"/>
        <v/>
      </c>
      <c r="I1955" s="134" t="str">
        <f t="shared" si="101"/>
        <v/>
      </c>
      <c r="J1955" s="226"/>
    </row>
    <row r="1956" spans="1:10" hidden="1" x14ac:dyDescent="0.25">
      <c r="A1956" s="112" t="s">
        <v>5564</v>
      </c>
      <c r="B1956" s="113" t="s">
        <v>4356</v>
      </c>
      <c r="C1956" s="114" t="s">
        <v>20</v>
      </c>
      <c r="D1956" s="114">
        <v>0</v>
      </c>
      <c r="E1956" s="133" t="s">
        <v>514</v>
      </c>
      <c r="F1956" s="134" t="str">
        <f t="shared" si="99"/>
        <v/>
      </c>
      <c r="G1956" s="135" t="e">
        <f>IF(A1956&lt;&gt;"",IF(AND(#REF!="Padrão",$H$4=#REF!),BDI!$B$17,IF(AND(#REF!="Padrão",$H$4=#REF!),BDI!#REF!,IF(AND(#REF!="Diferenciado",$H$4=#REF!),BDI!$E$17,IF(AND(#REF!="Diferenciado",$H$4=#REF!),BDI!#REF!,IF(#REF!="ZERO",0))))),"")</f>
        <v>#REF!</v>
      </c>
      <c r="H1956" s="136" t="str">
        <f t="shared" si="100"/>
        <v/>
      </c>
      <c r="I1956" s="134" t="str">
        <f t="shared" si="101"/>
        <v/>
      </c>
      <c r="J1956" s="226"/>
    </row>
    <row r="1957" spans="1:10" hidden="1" x14ac:dyDescent="0.25">
      <c r="A1957" s="112" t="s">
        <v>5565</v>
      </c>
      <c r="B1957" s="113" t="s">
        <v>4357</v>
      </c>
      <c r="C1957" s="114" t="s">
        <v>20</v>
      </c>
      <c r="D1957" s="114">
        <v>0</v>
      </c>
      <c r="E1957" s="133" t="s">
        <v>514</v>
      </c>
      <c r="F1957" s="134" t="str">
        <f t="shared" si="99"/>
        <v/>
      </c>
      <c r="G1957" s="135" t="e">
        <f>IF(A1957&lt;&gt;"",IF(AND(#REF!="Padrão",$H$4=#REF!),BDI!$B$17,IF(AND(#REF!="Padrão",$H$4=#REF!),BDI!#REF!,IF(AND(#REF!="Diferenciado",$H$4=#REF!),BDI!$E$17,IF(AND(#REF!="Diferenciado",$H$4=#REF!),BDI!#REF!,IF(#REF!="ZERO",0))))),"")</f>
        <v>#REF!</v>
      </c>
      <c r="H1957" s="136" t="str">
        <f t="shared" si="100"/>
        <v/>
      </c>
      <c r="I1957" s="134" t="str">
        <f t="shared" si="101"/>
        <v/>
      </c>
      <c r="J1957" s="226"/>
    </row>
    <row r="1958" spans="1:10" hidden="1" x14ac:dyDescent="0.25">
      <c r="A1958" s="112" t="s">
        <v>5566</v>
      </c>
      <c r="B1958" s="113" t="s">
        <v>4358</v>
      </c>
      <c r="C1958" s="114" t="s">
        <v>20</v>
      </c>
      <c r="D1958" s="114">
        <v>0</v>
      </c>
      <c r="E1958" s="133" t="s">
        <v>514</v>
      </c>
      <c r="F1958" s="134" t="str">
        <f t="shared" si="99"/>
        <v/>
      </c>
      <c r="G1958" s="135" t="e">
        <f>IF(A1958&lt;&gt;"",IF(AND(#REF!="Padrão",$H$4=#REF!),BDI!$B$17,IF(AND(#REF!="Padrão",$H$4=#REF!),BDI!#REF!,IF(AND(#REF!="Diferenciado",$H$4=#REF!),BDI!$E$17,IF(AND(#REF!="Diferenciado",$H$4=#REF!),BDI!#REF!,IF(#REF!="ZERO",0))))),"")</f>
        <v>#REF!</v>
      </c>
      <c r="H1958" s="136" t="str">
        <f t="shared" si="100"/>
        <v/>
      </c>
      <c r="I1958" s="134" t="str">
        <f t="shared" si="101"/>
        <v/>
      </c>
      <c r="J1958" s="226"/>
    </row>
    <row r="1959" spans="1:10" hidden="1" x14ac:dyDescent="0.25">
      <c r="A1959" s="112" t="s">
        <v>5567</v>
      </c>
      <c r="B1959" s="113" t="s">
        <v>4359</v>
      </c>
      <c r="C1959" s="114" t="s">
        <v>20</v>
      </c>
      <c r="D1959" s="114">
        <v>0</v>
      </c>
      <c r="E1959" s="133" t="s">
        <v>514</v>
      </c>
      <c r="F1959" s="134" t="str">
        <f t="shared" si="99"/>
        <v/>
      </c>
      <c r="G1959" s="135" t="e">
        <f>IF(A1959&lt;&gt;"",IF(AND(#REF!="Padrão",$H$4=#REF!),BDI!$B$17,IF(AND(#REF!="Padrão",$H$4=#REF!),BDI!#REF!,IF(AND(#REF!="Diferenciado",$H$4=#REF!),BDI!$E$17,IF(AND(#REF!="Diferenciado",$H$4=#REF!),BDI!#REF!,IF(#REF!="ZERO",0))))),"")</f>
        <v>#REF!</v>
      </c>
      <c r="H1959" s="136" t="str">
        <f t="shared" si="100"/>
        <v/>
      </c>
      <c r="I1959" s="134" t="str">
        <f t="shared" si="101"/>
        <v/>
      </c>
      <c r="J1959" s="226"/>
    </row>
    <row r="1960" spans="1:10" hidden="1" x14ac:dyDescent="0.25">
      <c r="A1960" s="112" t="s">
        <v>5568</v>
      </c>
      <c r="B1960" s="113" t="s">
        <v>4360</v>
      </c>
      <c r="C1960" s="114" t="s">
        <v>20</v>
      </c>
      <c r="D1960" s="114">
        <v>0</v>
      </c>
      <c r="E1960" s="133" t="s">
        <v>514</v>
      </c>
      <c r="F1960" s="134" t="str">
        <f t="shared" si="99"/>
        <v/>
      </c>
      <c r="G1960" s="135" t="e">
        <f>IF(A1960&lt;&gt;"",IF(AND(#REF!="Padrão",$H$4=#REF!),BDI!$B$17,IF(AND(#REF!="Padrão",$H$4=#REF!),BDI!#REF!,IF(AND(#REF!="Diferenciado",$H$4=#REF!),BDI!$E$17,IF(AND(#REF!="Diferenciado",$H$4=#REF!),BDI!#REF!,IF(#REF!="ZERO",0))))),"")</f>
        <v>#REF!</v>
      </c>
      <c r="H1960" s="136" t="str">
        <f t="shared" si="100"/>
        <v/>
      </c>
      <c r="I1960" s="134" t="str">
        <f t="shared" si="101"/>
        <v/>
      </c>
      <c r="J1960" s="226"/>
    </row>
    <row r="1961" spans="1:10" hidden="1" x14ac:dyDescent="0.25">
      <c r="A1961" s="112" t="s">
        <v>5569</v>
      </c>
      <c r="B1961" s="113" t="s">
        <v>4361</v>
      </c>
      <c r="C1961" s="114" t="s">
        <v>20</v>
      </c>
      <c r="D1961" s="114">
        <v>0</v>
      </c>
      <c r="E1961" s="133" t="s">
        <v>514</v>
      </c>
      <c r="F1961" s="134" t="str">
        <f t="shared" si="99"/>
        <v/>
      </c>
      <c r="G1961" s="135" t="e">
        <f>IF(A1961&lt;&gt;"",IF(AND(#REF!="Padrão",$H$4=#REF!),BDI!$B$17,IF(AND(#REF!="Padrão",$H$4=#REF!),BDI!#REF!,IF(AND(#REF!="Diferenciado",$H$4=#REF!),BDI!$E$17,IF(AND(#REF!="Diferenciado",$H$4=#REF!),BDI!#REF!,IF(#REF!="ZERO",0))))),"")</f>
        <v>#REF!</v>
      </c>
      <c r="H1961" s="136" t="str">
        <f t="shared" si="100"/>
        <v/>
      </c>
      <c r="I1961" s="134" t="str">
        <f t="shared" si="101"/>
        <v/>
      </c>
      <c r="J1961" s="226"/>
    </row>
    <row r="1962" spans="1:10" hidden="1" x14ac:dyDescent="0.25">
      <c r="A1962" s="112" t="s">
        <v>5570</v>
      </c>
      <c r="B1962" s="113" t="s">
        <v>4362</v>
      </c>
      <c r="C1962" s="114" t="s">
        <v>20</v>
      </c>
      <c r="D1962" s="114">
        <v>0</v>
      </c>
      <c r="E1962" s="133" t="s">
        <v>514</v>
      </c>
      <c r="F1962" s="134" t="str">
        <f t="shared" si="99"/>
        <v/>
      </c>
      <c r="G1962" s="135" t="e">
        <f>IF(A1962&lt;&gt;"",IF(AND(#REF!="Padrão",$H$4=#REF!),BDI!$B$17,IF(AND(#REF!="Padrão",$H$4=#REF!),BDI!#REF!,IF(AND(#REF!="Diferenciado",$H$4=#REF!),BDI!$E$17,IF(AND(#REF!="Diferenciado",$H$4=#REF!),BDI!#REF!,IF(#REF!="ZERO",0))))),"")</f>
        <v>#REF!</v>
      </c>
      <c r="H1962" s="136" t="str">
        <f t="shared" si="100"/>
        <v/>
      </c>
      <c r="I1962" s="134" t="str">
        <f t="shared" si="101"/>
        <v/>
      </c>
      <c r="J1962" s="226"/>
    </row>
    <row r="1963" spans="1:10" hidden="1" x14ac:dyDescent="0.25">
      <c r="A1963" s="112" t="s">
        <v>5571</v>
      </c>
      <c r="B1963" s="113" t="s">
        <v>4363</v>
      </c>
      <c r="C1963" s="114" t="s">
        <v>20</v>
      </c>
      <c r="D1963" s="114">
        <v>0</v>
      </c>
      <c r="E1963" s="133" t="s">
        <v>514</v>
      </c>
      <c r="F1963" s="134" t="str">
        <f t="shared" si="99"/>
        <v/>
      </c>
      <c r="G1963" s="135" t="e">
        <f>IF(A1963&lt;&gt;"",IF(AND(#REF!="Padrão",$H$4=#REF!),BDI!$B$17,IF(AND(#REF!="Padrão",$H$4=#REF!),BDI!#REF!,IF(AND(#REF!="Diferenciado",$H$4=#REF!),BDI!$E$17,IF(AND(#REF!="Diferenciado",$H$4=#REF!),BDI!#REF!,IF(#REF!="ZERO",0))))),"")</f>
        <v>#REF!</v>
      </c>
      <c r="H1963" s="136" t="str">
        <f t="shared" si="100"/>
        <v/>
      </c>
      <c r="I1963" s="134" t="str">
        <f t="shared" si="101"/>
        <v/>
      </c>
      <c r="J1963" s="226"/>
    </row>
    <row r="1964" spans="1:10" hidden="1" x14ac:dyDescent="0.25">
      <c r="A1964" s="112" t="s">
        <v>5572</v>
      </c>
      <c r="B1964" s="113" t="s">
        <v>4364</v>
      </c>
      <c r="C1964" s="114" t="s">
        <v>20</v>
      </c>
      <c r="D1964" s="114">
        <v>0</v>
      </c>
      <c r="E1964" s="133" t="s">
        <v>514</v>
      </c>
      <c r="F1964" s="134" t="str">
        <f t="shared" si="99"/>
        <v/>
      </c>
      <c r="G1964" s="135" t="e">
        <f>IF(A1964&lt;&gt;"",IF(AND(#REF!="Padrão",$H$4=#REF!),BDI!$B$17,IF(AND(#REF!="Padrão",$H$4=#REF!),BDI!#REF!,IF(AND(#REF!="Diferenciado",$H$4=#REF!),BDI!$E$17,IF(AND(#REF!="Diferenciado",$H$4=#REF!),BDI!#REF!,IF(#REF!="ZERO",0))))),"")</f>
        <v>#REF!</v>
      </c>
      <c r="H1964" s="136" t="str">
        <f t="shared" si="100"/>
        <v/>
      </c>
      <c r="I1964" s="134" t="str">
        <f t="shared" si="101"/>
        <v/>
      </c>
      <c r="J1964" s="226"/>
    </row>
    <row r="1965" spans="1:10" hidden="1" x14ac:dyDescent="0.25">
      <c r="A1965" s="112" t="s">
        <v>5573</v>
      </c>
      <c r="B1965" s="113" t="s">
        <v>4365</v>
      </c>
      <c r="C1965" s="114" t="s">
        <v>20</v>
      </c>
      <c r="D1965" s="114">
        <v>0</v>
      </c>
      <c r="E1965" s="133" t="s">
        <v>514</v>
      </c>
      <c r="F1965" s="134" t="str">
        <f t="shared" ref="F1965:F2028" si="102">IF(ISNUMBER(E1965),D1965*E1965,"")</f>
        <v/>
      </c>
      <c r="G1965" s="135" t="e">
        <f>IF(A1965&lt;&gt;"",IF(AND(#REF!="Padrão",$H$4=#REF!),BDI!$B$17,IF(AND(#REF!="Padrão",$H$4=#REF!),BDI!#REF!,IF(AND(#REF!="Diferenciado",$H$4=#REF!),BDI!$E$17,IF(AND(#REF!="Diferenciado",$H$4=#REF!),BDI!#REF!,IF(#REF!="ZERO",0))))),"")</f>
        <v>#REF!</v>
      </c>
      <c r="H1965" s="136" t="str">
        <f t="shared" ref="H1965:H2028" si="103">IF(ISNUMBER(E1965),ROUND(E1965*(1+G1965),2),"")</f>
        <v/>
      </c>
      <c r="I1965" s="134" t="str">
        <f t="shared" ref="I1965:I2028" si="104">IF(ISNUMBER(E1965),ROUND(H1965*D1965,2),"")</f>
        <v/>
      </c>
      <c r="J1965" s="226"/>
    </row>
    <row r="1966" spans="1:10" hidden="1" x14ac:dyDescent="0.25">
      <c r="A1966" s="112" t="s">
        <v>5574</v>
      </c>
      <c r="B1966" s="113" t="s">
        <v>4366</v>
      </c>
      <c r="C1966" s="114" t="s">
        <v>20</v>
      </c>
      <c r="D1966" s="114">
        <v>0</v>
      </c>
      <c r="E1966" s="133" t="s">
        <v>514</v>
      </c>
      <c r="F1966" s="134" t="str">
        <f t="shared" si="102"/>
        <v/>
      </c>
      <c r="G1966" s="135" t="e">
        <f>IF(A1966&lt;&gt;"",IF(AND(#REF!="Padrão",$H$4=#REF!),BDI!$B$17,IF(AND(#REF!="Padrão",$H$4=#REF!),BDI!#REF!,IF(AND(#REF!="Diferenciado",$H$4=#REF!),BDI!$E$17,IF(AND(#REF!="Diferenciado",$H$4=#REF!),BDI!#REF!,IF(#REF!="ZERO",0))))),"")</f>
        <v>#REF!</v>
      </c>
      <c r="H1966" s="136" t="str">
        <f t="shared" si="103"/>
        <v/>
      </c>
      <c r="I1966" s="134" t="str">
        <f t="shared" si="104"/>
        <v/>
      </c>
      <c r="J1966" s="226"/>
    </row>
    <row r="1967" spans="1:10" hidden="1" x14ac:dyDescent="0.25">
      <c r="A1967" s="112" t="s">
        <v>5575</v>
      </c>
      <c r="B1967" s="113" t="s">
        <v>4367</v>
      </c>
      <c r="C1967" s="114" t="s">
        <v>20</v>
      </c>
      <c r="D1967" s="114">
        <v>0</v>
      </c>
      <c r="E1967" s="133" t="s">
        <v>514</v>
      </c>
      <c r="F1967" s="134" t="str">
        <f t="shared" si="102"/>
        <v/>
      </c>
      <c r="G1967" s="135" t="e">
        <f>IF(A1967&lt;&gt;"",IF(AND(#REF!="Padrão",$H$4=#REF!),BDI!$B$17,IF(AND(#REF!="Padrão",$H$4=#REF!),BDI!#REF!,IF(AND(#REF!="Diferenciado",$H$4=#REF!),BDI!$E$17,IF(AND(#REF!="Diferenciado",$H$4=#REF!),BDI!#REF!,IF(#REF!="ZERO",0))))),"")</f>
        <v>#REF!</v>
      </c>
      <c r="H1967" s="136" t="str">
        <f t="shared" si="103"/>
        <v/>
      </c>
      <c r="I1967" s="134" t="str">
        <f t="shared" si="104"/>
        <v/>
      </c>
      <c r="J1967" s="226"/>
    </row>
    <row r="1968" spans="1:10" hidden="1" x14ac:dyDescent="0.25">
      <c r="A1968" s="112" t="s">
        <v>5576</v>
      </c>
      <c r="B1968" s="113" t="s">
        <v>4368</v>
      </c>
      <c r="C1968" s="114" t="s">
        <v>20</v>
      </c>
      <c r="D1968" s="114">
        <v>0</v>
      </c>
      <c r="E1968" s="133" t="s">
        <v>514</v>
      </c>
      <c r="F1968" s="134" t="str">
        <f t="shared" si="102"/>
        <v/>
      </c>
      <c r="G1968" s="135" t="e">
        <f>IF(A1968&lt;&gt;"",IF(AND(#REF!="Padrão",$H$4=#REF!),BDI!$B$17,IF(AND(#REF!="Padrão",$H$4=#REF!),BDI!#REF!,IF(AND(#REF!="Diferenciado",$H$4=#REF!),BDI!$E$17,IF(AND(#REF!="Diferenciado",$H$4=#REF!),BDI!#REF!,IF(#REF!="ZERO",0))))),"")</f>
        <v>#REF!</v>
      </c>
      <c r="H1968" s="136" t="str">
        <f t="shared" si="103"/>
        <v/>
      </c>
      <c r="I1968" s="134" t="str">
        <f t="shared" si="104"/>
        <v/>
      </c>
      <c r="J1968" s="226"/>
    </row>
    <row r="1969" spans="1:10" hidden="1" x14ac:dyDescent="0.25">
      <c r="A1969" s="112" t="s">
        <v>5577</v>
      </c>
      <c r="B1969" s="113" t="s">
        <v>4369</v>
      </c>
      <c r="C1969" s="114" t="s">
        <v>20</v>
      </c>
      <c r="D1969" s="114">
        <v>0</v>
      </c>
      <c r="E1969" s="133" t="s">
        <v>514</v>
      </c>
      <c r="F1969" s="134" t="str">
        <f t="shared" si="102"/>
        <v/>
      </c>
      <c r="G1969" s="135" t="e">
        <f>IF(A1969&lt;&gt;"",IF(AND(#REF!="Padrão",$H$4=#REF!),BDI!$B$17,IF(AND(#REF!="Padrão",$H$4=#REF!),BDI!#REF!,IF(AND(#REF!="Diferenciado",$H$4=#REF!),BDI!$E$17,IF(AND(#REF!="Diferenciado",$H$4=#REF!),BDI!#REF!,IF(#REF!="ZERO",0))))),"")</f>
        <v>#REF!</v>
      </c>
      <c r="H1969" s="136" t="str">
        <f t="shared" si="103"/>
        <v/>
      </c>
      <c r="I1969" s="134" t="str">
        <f t="shared" si="104"/>
        <v/>
      </c>
      <c r="J1969" s="226"/>
    </row>
    <row r="1970" spans="1:10" hidden="1" x14ac:dyDescent="0.25">
      <c r="A1970" s="112" t="s">
        <v>5578</v>
      </c>
      <c r="B1970" s="113" t="s">
        <v>4370</v>
      </c>
      <c r="C1970" s="114" t="s">
        <v>20</v>
      </c>
      <c r="D1970" s="114">
        <v>0</v>
      </c>
      <c r="E1970" s="133" t="s">
        <v>514</v>
      </c>
      <c r="F1970" s="134" t="str">
        <f t="shared" si="102"/>
        <v/>
      </c>
      <c r="G1970" s="135" t="e">
        <f>IF(A1970&lt;&gt;"",IF(AND(#REF!="Padrão",$H$4=#REF!),BDI!$B$17,IF(AND(#REF!="Padrão",$H$4=#REF!),BDI!#REF!,IF(AND(#REF!="Diferenciado",$H$4=#REF!),BDI!$E$17,IF(AND(#REF!="Diferenciado",$H$4=#REF!),BDI!#REF!,IF(#REF!="ZERO",0))))),"")</f>
        <v>#REF!</v>
      </c>
      <c r="H1970" s="136" t="str">
        <f t="shared" si="103"/>
        <v/>
      </c>
      <c r="I1970" s="134" t="str">
        <f t="shared" si="104"/>
        <v/>
      </c>
      <c r="J1970" s="226"/>
    </row>
    <row r="1971" spans="1:10" hidden="1" x14ac:dyDescent="0.25">
      <c r="A1971" s="112" t="s">
        <v>5579</v>
      </c>
      <c r="B1971" s="113" t="s">
        <v>4371</v>
      </c>
      <c r="C1971" s="114" t="s">
        <v>20</v>
      </c>
      <c r="D1971" s="114">
        <v>0</v>
      </c>
      <c r="E1971" s="133" t="s">
        <v>514</v>
      </c>
      <c r="F1971" s="134" t="str">
        <f t="shared" si="102"/>
        <v/>
      </c>
      <c r="G1971" s="135" t="e">
        <f>IF(A1971&lt;&gt;"",IF(AND(#REF!="Padrão",$H$4=#REF!),BDI!$B$17,IF(AND(#REF!="Padrão",$H$4=#REF!),BDI!#REF!,IF(AND(#REF!="Diferenciado",$H$4=#REF!),BDI!$E$17,IF(AND(#REF!="Diferenciado",$H$4=#REF!),BDI!#REF!,IF(#REF!="ZERO",0))))),"")</f>
        <v>#REF!</v>
      </c>
      <c r="H1971" s="136" t="str">
        <f t="shared" si="103"/>
        <v/>
      </c>
      <c r="I1971" s="134" t="str">
        <f t="shared" si="104"/>
        <v/>
      </c>
      <c r="J1971" s="226"/>
    </row>
    <row r="1972" spans="1:10" hidden="1" x14ac:dyDescent="0.25">
      <c r="A1972" s="112" t="s">
        <v>5580</v>
      </c>
      <c r="B1972" s="113" t="s">
        <v>4372</v>
      </c>
      <c r="C1972" s="114" t="s">
        <v>20</v>
      </c>
      <c r="D1972" s="114">
        <v>0</v>
      </c>
      <c r="E1972" s="133" t="s">
        <v>514</v>
      </c>
      <c r="F1972" s="134" t="str">
        <f t="shared" si="102"/>
        <v/>
      </c>
      <c r="G1972" s="135" t="e">
        <f>IF(A1972&lt;&gt;"",IF(AND(#REF!="Padrão",$H$4=#REF!),BDI!$B$17,IF(AND(#REF!="Padrão",$H$4=#REF!),BDI!#REF!,IF(AND(#REF!="Diferenciado",$H$4=#REF!),BDI!$E$17,IF(AND(#REF!="Diferenciado",$H$4=#REF!),BDI!#REF!,IF(#REF!="ZERO",0))))),"")</f>
        <v>#REF!</v>
      </c>
      <c r="H1972" s="136" t="str">
        <f t="shared" si="103"/>
        <v/>
      </c>
      <c r="I1972" s="134" t="str">
        <f t="shared" si="104"/>
        <v/>
      </c>
      <c r="J1972" s="226"/>
    </row>
    <row r="1973" spans="1:10" hidden="1" x14ac:dyDescent="0.25">
      <c r="A1973" s="112" t="s">
        <v>5581</v>
      </c>
      <c r="B1973" s="113" t="s">
        <v>4373</v>
      </c>
      <c r="C1973" s="114" t="s">
        <v>20</v>
      </c>
      <c r="D1973" s="114">
        <v>0</v>
      </c>
      <c r="E1973" s="133" t="s">
        <v>514</v>
      </c>
      <c r="F1973" s="134" t="str">
        <f t="shared" si="102"/>
        <v/>
      </c>
      <c r="G1973" s="135" t="e">
        <f>IF(A1973&lt;&gt;"",IF(AND(#REF!="Padrão",$H$4=#REF!),BDI!$B$17,IF(AND(#REF!="Padrão",$H$4=#REF!),BDI!#REF!,IF(AND(#REF!="Diferenciado",$H$4=#REF!),BDI!$E$17,IF(AND(#REF!="Diferenciado",$H$4=#REF!),BDI!#REF!,IF(#REF!="ZERO",0))))),"")</f>
        <v>#REF!</v>
      </c>
      <c r="H1973" s="136" t="str">
        <f t="shared" si="103"/>
        <v/>
      </c>
      <c r="I1973" s="134" t="str">
        <f t="shared" si="104"/>
        <v/>
      </c>
      <c r="J1973" s="226"/>
    </row>
    <row r="1974" spans="1:10" hidden="1" x14ac:dyDescent="0.25">
      <c r="A1974" s="112" t="s">
        <v>5582</v>
      </c>
      <c r="B1974" s="113" t="s">
        <v>4374</v>
      </c>
      <c r="C1974" s="114" t="s">
        <v>20</v>
      </c>
      <c r="D1974" s="114">
        <v>0</v>
      </c>
      <c r="E1974" s="133" t="s">
        <v>514</v>
      </c>
      <c r="F1974" s="134" t="str">
        <f t="shared" si="102"/>
        <v/>
      </c>
      <c r="G1974" s="135" t="e">
        <f>IF(A1974&lt;&gt;"",IF(AND(#REF!="Padrão",$H$4=#REF!),BDI!$B$17,IF(AND(#REF!="Padrão",$H$4=#REF!),BDI!#REF!,IF(AND(#REF!="Diferenciado",$H$4=#REF!),BDI!$E$17,IF(AND(#REF!="Diferenciado",$H$4=#REF!),BDI!#REF!,IF(#REF!="ZERO",0))))),"")</f>
        <v>#REF!</v>
      </c>
      <c r="H1974" s="136" t="str">
        <f t="shared" si="103"/>
        <v/>
      </c>
      <c r="I1974" s="134" t="str">
        <f t="shared" si="104"/>
        <v/>
      </c>
      <c r="J1974" s="226"/>
    </row>
    <row r="1975" spans="1:10" hidden="1" x14ac:dyDescent="0.25">
      <c r="A1975" s="112" t="s">
        <v>5583</v>
      </c>
      <c r="B1975" s="113" t="s">
        <v>4375</v>
      </c>
      <c r="C1975" s="114" t="s">
        <v>20</v>
      </c>
      <c r="D1975" s="114">
        <v>0</v>
      </c>
      <c r="E1975" s="133" t="s">
        <v>514</v>
      </c>
      <c r="F1975" s="134" t="str">
        <f t="shared" si="102"/>
        <v/>
      </c>
      <c r="G1975" s="135" t="e">
        <f>IF(A1975&lt;&gt;"",IF(AND(#REF!="Padrão",$H$4=#REF!),BDI!$B$17,IF(AND(#REF!="Padrão",$H$4=#REF!),BDI!#REF!,IF(AND(#REF!="Diferenciado",$H$4=#REF!),BDI!$E$17,IF(AND(#REF!="Diferenciado",$H$4=#REF!),BDI!#REF!,IF(#REF!="ZERO",0))))),"")</f>
        <v>#REF!</v>
      </c>
      <c r="H1975" s="136" t="str">
        <f t="shared" si="103"/>
        <v/>
      </c>
      <c r="I1975" s="134" t="str">
        <f t="shared" si="104"/>
        <v/>
      </c>
      <c r="J1975" s="226"/>
    </row>
    <row r="1976" spans="1:10" hidden="1" x14ac:dyDescent="0.25">
      <c r="A1976" s="112" t="s">
        <v>5584</v>
      </c>
      <c r="B1976" s="113" t="s">
        <v>4376</v>
      </c>
      <c r="C1976" s="114" t="s">
        <v>20</v>
      </c>
      <c r="D1976" s="114">
        <v>0</v>
      </c>
      <c r="E1976" s="133" t="s">
        <v>514</v>
      </c>
      <c r="F1976" s="134" t="str">
        <f t="shared" si="102"/>
        <v/>
      </c>
      <c r="G1976" s="135" t="e">
        <f>IF(A1976&lt;&gt;"",IF(AND(#REF!="Padrão",$H$4=#REF!),BDI!$B$17,IF(AND(#REF!="Padrão",$H$4=#REF!),BDI!#REF!,IF(AND(#REF!="Diferenciado",$H$4=#REF!),BDI!$E$17,IF(AND(#REF!="Diferenciado",$H$4=#REF!),BDI!#REF!,IF(#REF!="ZERO",0))))),"")</f>
        <v>#REF!</v>
      </c>
      <c r="H1976" s="136" t="str">
        <f t="shared" si="103"/>
        <v/>
      </c>
      <c r="I1976" s="134" t="str">
        <f t="shared" si="104"/>
        <v/>
      </c>
      <c r="J1976" s="226"/>
    </row>
    <row r="1977" spans="1:10" hidden="1" x14ac:dyDescent="0.25">
      <c r="A1977" s="112" t="s">
        <v>5585</v>
      </c>
      <c r="B1977" s="113" t="s">
        <v>4377</v>
      </c>
      <c r="C1977" s="114" t="s">
        <v>20</v>
      </c>
      <c r="D1977" s="114">
        <v>0</v>
      </c>
      <c r="E1977" s="133" t="s">
        <v>514</v>
      </c>
      <c r="F1977" s="134" t="str">
        <f t="shared" si="102"/>
        <v/>
      </c>
      <c r="G1977" s="135" t="e">
        <f>IF(A1977&lt;&gt;"",IF(AND(#REF!="Padrão",$H$4=#REF!),BDI!$B$17,IF(AND(#REF!="Padrão",$H$4=#REF!),BDI!#REF!,IF(AND(#REF!="Diferenciado",$H$4=#REF!),BDI!$E$17,IF(AND(#REF!="Diferenciado",$H$4=#REF!),BDI!#REF!,IF(#REF!="ZERO",0))))),"")</f>
        <v>#REF!</v>
      </c>
      <c r="H1977" s="136" t="str">
        <f t="shared" si="103"/>
        <v/>
      </c>
      <c r="I1977" s="134" t="str">
        <f t="shared" si="104"/>
        <v/>
      </c>
      <c r="J1977" s="226"/>
    </row>
    <row r="1978" spans="1:10" hidden="1" x14ac:dyDescent="0.25">
      <c r="A1978" s="112" t="s">
        <v>5586</v>
      </c>
      <c r="B1978" s="113" t="s">
        <v>4378</v>
      </c>
      <c r="C1978" s="114" t="s">
        <v>20</v>
      </c>
      <c r="D1978" s="114">
        <v>0</v>
      </c>
      <c r="E1978" s="133" t="s">
        <v>514</v>
      </c>
      <c r="F1978" s="134" t="str">
        <f t="shared" si="102"/>
        <v/>
      </c>
      <c r="G1978" s="135" t="e">
        <f>IF(A1978&lt;&gt;"",IF(AND(#REF!="Padrão",$H$4=#REF!),BDI!$B$17,IF(AND(#REF!="Padrão",$H$4=#REF!),BDI!#REF!,IF(AND(#REF!="Diferenciado",$H$4=#REF!),BDI!$E$17,IF(AND(#REF!="Diferenciado",$H$4=#REF!),BDI!#REF!,IF(#REF!="ZERO",0))))),"")</f>
        <v>#REF!</v>
      </c>
      <c r="H1978" s="136" t="str">
        <f t="shared" si="103"/>
        <v/>
      </c>
      <c r="I1978" s="134" t="str">
        <f t="shared" si="104"/>
        <v/>
      </c>
      <c r="J1978" s="226"/>
    </row>
    <row r="1979" spans="1:10" hidden="1" x14ac:dyDescent="0.25">
      <c r="A1979" s="112" t="s">
        <v>5587</v>
      </c>
      <c r="B1979" s="113" t="s">
        <v>4379</v>
      </c>
      <c r="C1979" s="114" t="s">
        <v>20</v>
      </c>
      <c r="D1979" s="114">
        <v>0</v>
      </c>
      <c r="E1979" s="133" t="s">
        <v>514</v>
      </c>
      <c r="F1979" s="134" t="str">
        <f t="shared" si="102"/>
        <v/>
      </c>
      <c r="G1979" s="135" t="e">
        <f>IF(A1979&lt;&gt;"",IF(AND(#REF!="Padrão",$H$4=#REF!),BDI!$B$17,IF(AND(#REF!="Padrão",$H$4=#REF!),BDI!#REF!,IF(AND(#REF!="Diferenciado",$H$4=#REF!),BDI!$E$17,IF(AND(#REF!="Diferenciado",$H$4=#REF!),BDI!#REF!,IF(#REF!="ZERO",0))))),"")</f>
        <v>#REF!</v>
      </c>
      <c r="H1979" s="136" t="str">
        <f t="shared" si="103"/>
        <v/>
      </c>
      <c r="I1979" s="134" t="str">
        <f t="shared" si="104"/>
        <v/>
      </c>
      <c r="J1979" s="226"/>
    </row>
    <row r="1980" spans="1:10" hidden="1" x14ac:dyDescent="0.25">
      <c r="A1980" s="112" t="s">
        <v>5588</v>
      </c>
      <c r="B1980" s="113" t="s">
        <v>4380</v>
      </c>
      <c r="C1980" s="114" t="s">
        <v>20</v>
      </c>
      <c r="D1980" s="114">
        <v>0</v>
      </c>
      <c r="E1980" s="133" t="s">
        <v>514</v>
      </c>
      <c r="F1980" s="134" t="str">
        <f t="shared" si="102"/>
        <v/>
      </c>
      <c r="G1980" s="135" t="e">
        <f>IF(A1980&lt;&gt;"",IF(AND(#REF!="Padrão",$H$4=#REF!),BDI!$B$17,IF(AND(#REF!="Padrão",$H$4=#REF!),BDI!#REF!,IF(AND(#REF!="Diferenciado",$H$4=#REF!),BDI!$E$17,IF(AND(#REF!="Diferenciado",$H$4=#REF!),BDI!#REF!,IF(#REF!="ZERO",0))))),"")</f>
        <v>#REF!</v>
      </c>
      <c r="H1980" s="136" t="str">
        <f t="shared" si="103"/>
        <v/>
      </c>
      <c r="I1980" s="134" t="str">
        <f t="shared" si="104"/>
        <v/>
      </c>
      <c r="J1980" s="226"/>
    </row>
    <row r="1981" spans="1:10" hidden="1" x14ac:dyDescent="0.25">
      <c r="A1981" s="112" t="s">
        <v>5589</v>
      </c>
      <c r="B1981" s="113" t="s">
        <v>4381</v>
      </c>
      <c r="C1981" s="114" t="s">
        <v>20</v>
      </c>
      <c r="D1981" s="114">
        <v>0</v>
      </c>
      <c r="E1981" s="133" t="s">
        <v>514</v>
      </c>
      <c r="F1981" s="134" t="str">
        <f t="shared" si="102"/>
        <v/>
      </c>
      <c r="G1981" s="135" t="e">
        <f>IF(A1981&lt;&gt;"",IF(AND(#REF!="Padrão",$H$4=#REF!),BDI!$B$17,IF(AND(#REF!="Padrão",$H$4=#REF!),BDI!#REF!,IF(AND(#REF!="Diferenciado",$H$4=#REF!),BDI!$E$17,IF(AND(#REF!="Diferenciado",$H$4=#REF!),BDI!#REF!,IF(#REF!="ZERO",0))))),"")</f>
        <v>#REF!</v>
      </c>
      <c r="H1981" s="136" t="str">
        <f t="shared" si="103"/>
        <v/>
      </c>
      <c r="I1981" s="134" t="str">
        <f t="shared" si="104"/>
        <v/>
      </c>
      <c r="J1981" s="226"/>
    </row>
    <row r="1982" spans="1:10" hidden="1" x14ac:dyDescent="0.25">
      <c r="A1982" s="112" t="s">
        <v>5590</v>
      </c>
      <c r="B1982" s="113" t="s">
        <v>4382</v>
      </c>
      <c r="C1982" s="114" t="s">
        <v>20</v>
      </c>
      <c r="D1982" s="114">
        <v>0</v>
      </c>
      <c r="E1982" s="133" t="s">
        <v>514</v>
      </c>
      <c r="F1982" s="134" t="str">
        <f t="shared" si="102"/>
        <v/>
      </c>
      <c r="G1982" s="135" t="e">
        <f>IF(A1982&lt;&gt;"",IF(AND(#REF!="Padrão",$H$4=#REF!),BDI!$B$17,IF(AND(#REF!="Padrão",$H$4=#REF!),BDI!#REF!,IF(AND(#REF!="Diferenciado",$H$4=#REF!),BDI!$E$17,IF(AND(#REF!="Diferenciado",$H$4=#REF!),BDI!#REF!,IF(#REF!="ZERO",0))))),"")</f>
        <v>#REF!</v>
      </c>
      <c r="H1982" s="136" t="str">
        <f t="shared" si="103"/>
        <v/>
      </c>
      <c r="I1982" s="134" t="str">
        <f t="shared" si="104"/>
        <v/>
      </c>
      <c r="J1982" s="226"/>
    </row>
    <row r="1983" spans="1:10" hidden="1" x14ac:dyDescent="0.25">
      <c r="A1983" s="112" t="s">
        <v>5591</v>
      </c>
      <c r="B1983" s="113" t="s">
        <v>4383</v>
      </c>
      <c r="C1983" s="114" t="s">
        <v>20</v>
      </c>
      <c r="D1983" s="114">
        <v>0</v>
      </c>
      <c r="E1983" s="133" t="s">
        <v>514</v>
      </c>
      <c r="F1983" s="134" t="str">
        <f t="shared" si="102"/>
        <v/>
      </c>
      <c r="G1983" s="135" t="e">
        <f>IF(A1983&lt;&gt;"",IF(AND(#REF!="Padrão",$H$4=#REF!),BDI!$B$17,IF(AND(#REF!="Padrão",$H$4=#REF!),BDI!#REF!,IF(AND(#REF!="Diferenciado",$H$4=#REF!),BDI!$E$17,IF(AND(#REF!="Diferenciado",$H$4=#REF!),BDI!#REF!,IF(#REF!="ZERO",0))))),"")</f>
        <v>#REF!</v>
      </c>
      <c r="H1983" s="136" t="str">
        <f t="shared" si="103"/>
        <v/>
      </c>
      <c r="I1983" s="134" t="str">
        <f t="shared" si="104"/>
        <v/>
      </c>
      <c r="J1983" s="226"/>
    </row>
    <row r="1984" spans="1:10" hidden="1" x14ac:dyDescent="0.25">
      <c r="A1984" s="112" t="s">
        <v>5592</v>
      </c>
      <c r="B1984" s="113" t="s">
        <v>4384</v>
      </c>
      <c r="C1984" s="114" t="s">
        <v>20</v>
      </c>
      <c r="D1984" s="114">
        <v>0</v>
      </c>
      <c r="E1984" s="133" t="s">
        <v>514</v>
      </c>
      <c r="F1984" s="134" t="str">
        <f t="shared" si="102"/>
        <v/>
      </c>
      <c r="G1984" s="135" t="e">
        <f>IF(A1984&lt;&gt;"",IF(AND(#REF!="Padrão",$H$4=#REF!),BDI!$B$17,IF(AND(#REF!="Padrão",$H$4=#REF!),BDI!#REF!,IF(AND(#REF!="Diferenciado",$H$4=#REF!),BDI!$E$17,IF(AND(#REF!="Diferenciado",$H$4=#REF!),BDI!#REF!,IF(#REF!="ZERO",0))))),"")</f>
        <v>#REF!</v>
      </c>
      <c r="H1984" s="136" t="str">
        <f t="shared" si="103"/>
        <v/>
      </c>
      <c r="I1984" s="134" t="str">
        <f t="shared" si="104"/>
        <v/>
      </c>
      <c r="J1984" s="226"/>
    </row>
    <row r="1985" spans="1:10" hidden="1" x14ac:dyDescent="0.25">
      <c r="A1985" s="112" t="s">
        <v>5593</v>
      </c>
      <c r="B1985" s="113" t="s">
        <v>4385</v>
      </c>
      <c r="C1985" s="114" t="s">
        <v>20</v>
      </c>
      <c r="D1985" s="114">
        <v>0</v>
      </c>
      <c r="E1985" s="133" t="s">
        <v>514</v>
      </c>
      <c r="F1985" s="134" t="str">
        <f t="shared" si="102"/>
        <v/>
      </c>
      <c r="G1985" s="135" t="e">
        <f>IF(A1985&lt;&gt;"",IF(AND(#REF!="Padrão",$H$4=#REF!),BDI!$B$17,IF(AND(#REF!="Padrão",$H$4=#REF!),BDI!#REF!,IF(AND(#REF!="Diferenciado",$H$4=#REF!),BDI!$E$17,IF(AND(#REF!="Diferenciado",$H$4=#REF!),BDI!#REF!,IF(#REF!="ZERO",0))))),"")</f>
        <v>#REF!</v>
      </c>
      <c r="H1985" s="136" t="str">
        <f t="shared" si="103"/>
        <v/>
      </c>
      <c r="I1985" s="134" t="str">
        <f t="shared" si="104"/>
        <v/>
      </c>
      <c r="J1985" s="226"/>
    </row>
    <row r="1986" spans="1:10" hidden="1" x14ac:dyDescent="0.25">
      <c r="A1986" s="112" t="s">
        <v>5594</v>
      </c>
      <c r="B1986" s="113" t="s">
        <v>4386</v>
      </c>
      <c r="C1986" s="114" t="s">
        <v>20</v>
      </c>
      <c r="D1986" s="114">
        <v>0</v>
      </c>
      <c r="E1986" s="133" t="s">
        <v>514</v>
      </c>
      <c r="F1986" s="134" t="str">
        <f t="shared" si="102"/>
        <v/>
      </c>
      <c r="G1986" s="135" t="e">
        <f>IF(A1986&lt;&gt;"",IF(AND(#REF!="Padrão",$H$4=#REF!),BDI!$B$17,IF(AND(#REF!="Padrão",$H$4=#REF!),BDI!#REF!,IF(AND(#REF!="Diferenciado",$H$4=#REF!),BDI!$E$17,IF(AND(#REF!="Diferenciado",$H$4=#REF!),BDI!#REF!,IF(#REF!="ZERO",0))))),"")</f>
        <v>#REF!</v>
      </c>
      <c r="H1986" s="136" t="str">
        <f t="shared" si="103"/>
        <v/>
      </c>
      <c r="I1986" s="134" t="str">
        <f t="shared" si="104"/>
        <v/>
      </c>
      <c r="J1986" s="226"/>
    </row>
    <row r="1987" spans="1:10" hidden="1" x14ac:dyDescent="0.25">
      <c r="A1987" s="112" t="s">
        <v>5595</v>
      </c>
      <c r="B1987" s="113" t="s">
        <v>4387</v>
      </c>
      <c r="C1987" s="114" t="s">
        <v>20</v>
      </c>
      <c r="D1987" s="114">
        <v>0</v>
      </c>
      <c r="E1987" s="133" t="s">
        <v>514</v>
      </c>
      <c r="F1987" s="134" t="str">
        <f t="shared" si="102"/>
        <v/>
      </c>
      <c r="G1987" s="135" t="e">
        <f>IF(A1987&lt;&gt;"",IF(AND(#REF!="Padrão",$H$4=#REF!),BDI!$B$17,IF(AND(#REF!="Padrão",$H$4=#REF!),BDI!#REF!,IF(AND(#REF!="Diferenciado",$H$4=#REF!),BDI!$E$17,IF(AND(#REF!="Diferenciado",$H$4=#REF!),BDI!#REF!,IF(#REF!="ZERO",0))))),"")</f>
        <v>#REF!</v>
      </c>
      <c r="H1987" s="136" t="str">
        <f t="shared" si="103"/>
        <v/>
      </c>
      <c r="I1987" s="134" t="str">
        <f t="shared" si="104"/>
        <v/>
      </c>
      <c r="J1987" s="226"/>
    </row>
    <row r="1988" spans="1:10" hidden="1" x14ac:dyDescent="0.25">
      <c r="A1988" s="112" t="s">
        <v>5596</v>
      </c>
      <c r="B1988" s="113" t="s">
        <v>4388</v>
      </c>
      <c r="C1988" s="114" t="s">
        <v>20</v>
      </c>
      <c r="D1988" s="114">
        <v>0</v>
      </c>
      <c r="E1988" s="133" t="s">
        <v>514</v>
      </c>
      <c r="F1988" s="134" t="str">
        <f t="shared" si="102"/>
        <v/>
      </c>
      <c r="G1988" s="135" t="e">
        <f>IF(A1988&lt;&gt;"",IF(AND(#REF!="Padrão",$H$4=#REF!),BDI!$B$17,IF(AND(#REF!="Padrão",$H$4=#REF!),BDI!#REF!,IF(AND(#REF!="Diferenciado",$H$4=#REF!),BDI!$E$17,IF(AND(#REF!="Diferenciado",$H$4=#REF!),BDI!#REF!,IF(#REF!="ZERO",0))))),"")</f>
        <v>#REF!</v>
      </c>
      <c r="H1988" s="136" t="str">
        <f t="shared" si="103"/>
        <v/>
      </c>
      <c r="I1988" s="134" t="str">
        <f t="shared" si="104"/>
        <v/>
      </c>
      <c r="J1988" s="226"/>
    </row>
    <row r="1989" spans="1:10" hidden="1" x14ac:dyDescent="0.25">
      <c r="A1989" s="112" t="s">
        <v>5597</v>
      </c>
      <c r="B1989" s="113" t="s">
        <v>4389</v>
      </c>
      <c r="C1989" s="114" t="s">
        <v>20</v>
      </c>
      <c r="D1989" s="114">
        <v>0</v>
      </c>
      <c r="E1989" s="133" t="s">
        <v>514</v>
      </c>
      <c r="F1989" s="134" t="str">
        <f t="shared" si="102"/>
        <v/>
      </c>
      <c r="G1989" s="135" t="e">
        <f>IF(A1989&lt;&gt;"",IF(AND(#REF!="Padrão",$H$4=#REF!),BDI!$B$17,IF(AND(#REF!="Padrão",$H$4=#REF!),BDI!#REF!,IF(AND(#REF!="Diferenciado",$H$4=#REF!),BDI!$E$17,IF(AND(#REF!="Diferenciado",$H$4=#REF!),BDI!#REF!,IF(#REF!="ZERO",0))))),"")</f>
        <v>#REF!</v>
      </c>
      <c r="H1989" s="136" t="str">
        <f t="shared" si="103"/>
        <v/>
      </c>
      <c r="I1989" s="134" t="str">
        <f t="shared" si="104"/>
        <v/>
      </c>
      <c r="J1989" s="226"/>
    </row>
    <row r="1990" spans="1:10" hidden="1" x14ac:dyDescent="0.25">
      <c r="A1990" s="112" t="s">
        <v>5598</v>
      </c>
      <c r="B1990" s="113" t="s">
        <v>4390</v>
      </c>
      <c r="C1990" s="114" t="s">
        <v>20</v>
      </c>
      <c r="D1990" s="114">
        <v>0</v>
      </c>
      <c r="E1990" s="133" t="s">
        <v>514</v>
      </c>
      <c r="F1990" s="134" t="str">
        <f t="shared" si="102"/>
        <v/>
      </c>
      <c r="G1990" s="135" t="e">
        <f>IF(A1990&lt;&gt;"",IF(AND(#REF!="Padrão",$H$4=#REF!),BDI!$B$17,IF(AND(#REF!="Padrão",$H$4=#REF!),BDI!#REF!,IF(AND(#REF!="Diferenciado",$H$4=#REF!),BDI!$E$17,IF(AND(#REF!="Diferenciado",$H$4=#REF!),BDI!#REF!,IF(#REF!="ZERO",0))))),"")</f>
        <v>#REF!</v>
      </c>
      <c r="H1990" s="136" t="str">
        <f t="shared" si="103"/>
        <v/>
      </c>
      <c r="I1990" s="134" t="str">
        <f t="shared" si="104"/>
        <v/>
      </c>
      <c r="J1990" s="226"/>
    </row>
    <row r="1991" spans="1:10" hidden="1" x14ac:dyDescent="0.25">
      <c r="A1991" s="112" t="s">
        <v>5599</v>
      </c>
      <c r="B1991" s="113" t="s">
        <v>4391</v>
      </c>
      <c r="C1991" s="114" t="s">
        <v>20</v>
      </c>
      <c r="D1991" s="114">
        <v>0</v>
      </c>
      <c r="E1991" s="133" t="s">
        <v>514</v>
      </c>
      <c r="F1991" s="134" t="str">
        <f t="shared" si="102"/>
        <v/>
      </c>
      <c r="G1991" s="135" t="e">
        <f>IF(A1991&lt;&gt;"",IF(AND(#REF!="Padrão",$H$4=#REF!),BDI!$B$17,IF(AND(#REF!="Padrão",$H$4=#REF!),BDI!#REF!,IF(AND(#REF!="Diferenciado",$H$4=#REF!),BDI!$E$17,IF(AND(#REF!="Diferenciado",$H$4=#REF!),BDI!#REF!,IF(#REF!="ZERO",0))))),"")</f>
        <v>#REF!</v>
      </c>
      <c r="H1991" s="136" t="str">
        <f t="shared" si="103"/>
        <v/>
      </c>
      <c r="I1991" s="134" t="str">
        <f t="shared" si="104"/>
        <v/>
      </c>
      <c r="J1991" s="226"/>
    </row>
    <row r="1992" spans="1:10" hidden="1" x14ac:dyDescent="0.25">
      <c r="A1992" s="112" t="s">
        <v>5600</v>
      </c>
      <c r="B1992" s="113" t="s">
        <v>4392</v>
      </c>
      <c r="C1992" s="114" t="s">
        <v>20</v>
      </c>
      <c r="D1992" s="114">
        <v>0</v>
      </c>
      <c r="E1992" s="133" t="s">
        <v>514</v>
      </c>
      <c r="F1992" s="134" t="str">
        <f t="shared" si="102"/>
        <v/>
      </c>
      <c r="G1992" s="135" t="e">
        <f>IF(A1992&lt;&gt;"",IF(AND(#REF!="Padrão",$H$4=#REF!),BDI!$B$17,IF(AND(#REF!="Padrão",$H$4=#REF!),BDI!#REF!,IF(AND(#REF!="Diferenciado",$H$4=#REF!),BDI!$E$17,IF(AND(#REF!="Diferenciado",$H$4=#REF!),BDI!#REF!,IF(#REF!="ZERO",0))))),"")</f>
        <v>#REF!</v>
      </c>
      <c r="H1992" s="136" t="str">
        <f t="shared" si="103"/>
        <v/>
      </c>
      <c r="I1992" s="134" t="str">
        <f t="shared" si="104"/>
        <v/>
      </c>
      <c r="J1992" s="226"/>
    </row>
    <row r="1993" spans="1:10" hidden="1" x14ac:dyDescent="0.25">
      <c r="A1993" s="112" t="s">
        <v>5601</v>
      </c>
      <c r="B1993" s="113" t="s">
        <v>4393</v>
      </c>
      <c r="C1993" s="114" t="s">
        <v>20</v>
      </c>
      <c r="D1993" s="114">
        <v>0</v>
      </c>
      <c r="E1993" s="133" t="s">
        <v>514</v>
      </c>
      <c r="F1993" s="134" t="str">
        <f t="shared" si="102"/>
        <v/>
      </c>
      <c r="G1993" s="135" t="e">
        <f>IF(A1993&lt;&gt;"",IF(AND(#REF!="Padrão",$H$4=#REF!),BDI!$B$17,IF(AND(#REF!="Padrão",$H$4=#REF!),BDI!#REF!,IF(AND(#REF!="Diferenciado",$H$4=#REF!),BDI!$E$17,IF(AND(#REF!="Diferenciado",$H$4=#REF!),BDI!#REF!,IF(#REF!="ZERO",0))))),"")</f>
        <v>#REF!</v>
      </c>
      <c r="H1993" s="136" t="str">
        <f t="shared" si="103"/>
        <v/>
      </c>
      <c r="I1993" s="134" t="str">
        <f t="shared" si="104"/>
        <v/>
      </c>
      <c r="J1993" s="226"/>
    </row>
    <row r="1994" spans="1:10" hidden="1" x14ac:dyDescent="0.25">
      <c r="A1994" s="112" t="s">
        <v>5602</v>
      </c>
      <c r="B1994" s="113" t="s">
        <v>4394</v>
      </c>
      <c r="C1994" s="114" t="s">
        <v>20</v>
      </c>
      <c r="D1994" s="114">
        <v>0</v>
      </c>
      <c r="E1994" s="133" t="s">
        <v>514</v>
      </c>
      <c r="F1994" s="134" t="str">
        <f t="shared" si="102"/>
        <v/>
      </c>
      <c r="G1994" s="135" t="e">
        <f>IF(A1994&lt;&gt;"",IF(AND(#REF!="Padrão",$H$4=#REF!),BDI!$B$17,IF(AND(#REF!="Padrão",$H$4=#REF!),BDI!#REF!,IF(AND(#REF!="Diferenciado",$H$4=#REF!),BDI!$E$17,IF(AND(#REF!="Diferenciado",$H$4=#REF!),BDI!#REF!,IF(#REF!="ZERO",0))))),"")</f>
        <v>#REF!</v>
      </c>
      <c r="H1994" s="136" t="str">
        <f t="shared" si="103"/>
        <v/>
      </c>
      <c r="I1994" s="134" t="str">
        <f t="shared" si="104"/>
        <v/>
      </c>
      <c r="J1994" s="226"/>
    </row>
    <row r="1995" spans="1:10" hidden="1" x14ac:dyDescent="0.25">
      <c r="A1995" s="112" t="s">
        <v>5603</v>
      </c>
      <c r="B1995" s="113" t="s">
        <v>4395</v>
      </c>
      <c r="C1995" s="114" t="s">
        <v>20</v>
      </c>
      <c r="D1995" s="114">
        <v>0</v>
      </c>
      <c r="E1995" s="133" t="s">
        <v>514</v>
      </c>
      <c r="F1995" s="134" t="str">
        <f t="shared" si="102"/>
        <v/>
      </c>
      <c r="G1995" s="135" t="e">
        <f>IF(A1995&lt;&gt;"",IF(AND(#REF!="Padrão",$H$4=#REF!),BDI!$B$17,IF(AND(#REF!="Padrão",$H$4=#REF!),BDI!#REF!,IF(AND(#REF!="Diferenciado",$H$4=#REF!),BDI!$E$17,IF(AND(#REF!="Diferenciado",$H$4=#REF!),BDI!#REF!,IF(#REF!="ZERO",0))))),"")</f>
        <v>#REF!</v>
      </c>
      <c r="H1995" s="136" t="str">
        <f t="shared" si="103"/>
        <v/>
      </c>
      <c r="I1995" s="134" t="str">
        <f t="shared" si="104"/>
        <v/>
      </c>
      <c r="J1995" s="226"/>
    </row>
    <row r="1996" spans="1:10" hidden="1" x14ac:dyDescent="0.25">
      <c r="A1996" s="112" t="s">
        <v>5604</v>
      </c>
      <c r="B1996" s="113" t="s">
        <v>4396</v>
      </c>
      <c r="C1996" s="114" t="s">
        <v>20</v>
      </c>
      <c r="D1996" s="114">
        <v>0</v>
      </c>
      <c r="E1996" s="133" t="s">
        <v>514</v>
      </c>
      <c r="F1996" s="134" t="str">
        <f t="shared" si="102"/>
        <v/>
      </c>
      <c r="G1996" s="135" t="e">
        <f>IF(A1996&lt;&gt;"",IF(AND(#REF!="Padrão",$H$4=#REF!),BDI!$B$17,IF(AND(#REF!="Padrão",$H$4=#REF!),BDI!#REF!,IF(AND(#REF!="Diferenciado",$H$4=#REF!),BDI!$E$17,IF(AND(#REF!="Diferenciado",$H$4=#REF!),BDI!#REF!,IF(#REF!="ZERO",0))))),"")</f>
        <v>#REF!</v>
      </c>
      <c r="H1996" s="136" t="str">
        <f t="shared" si="103"/>
        <v/>
      </c>
      <c r="I1996" s="134" t="str">
        <f t="shared" si="104"/>
        <v/>
      </c>
      <c r="J1996" s="226"/>
    </row>
    <row r="1997" spans="1:10" hidden="1" x14ac:dyDescent="0.25">
      <c r="A1997" s="112" t="s">
        <v>5605</v>
      </c>
      <c r="B1997" s="113" t="s">
        <v>4397</v>
      </c>
      <c r="C1997" s="114" t="s">
        <v>20</v>
      </c>
      <c r="D1997" s="114">
        <v>0</v>
      </c>
      <c r="E1997" s="133" t="s">
        <v>514</v>
      </c>
      <c r="F1997" s="134" t="str">
        <f t="shared" si="102"/>
        <v/>
      </c>
      <c r="G1997" s="135" t="e">
        <f>IF(A1997&lt;&gt;"",IF(AND(#REF!="Padrão",$H$4=#REF!),BDI!$B$17,IF(AND(#REF!="Padrão",$H$4=#REF!),BDI!#REF!,IF(AND(#REF!="Diferenciado",$H$4=#REF!),BDI!$E$17,IF(AND(#REF!="Diferenciado",$H$4=#REF!),BDI!#REF!,IF(#REF!="ZERO",0))))),"")</f>
        <v>#REF!</v>
      </c>
      <c r="H1997" s="136" t="str">
        <f t="shared" si="103"/>
        <v/>
      </c>
      <c r="I1997" s="134" t="str">
        <f t="shared" si="104"/>
        <v/>
      </c>
      <c r="J1997" s="226"/>
    </row>
    <row r="1998" spans="1:10" hidden="1" x14ac:dyDescent="0.25">
      <c r="A1998" s="112" t="s">
        <v>5606</v>
      </c>
      <c r="B1998" s="113" t="s">
        <v>4398</v>
      </c>
      <c r="C1998" s="114" t="s">
        <v>20</v>
      </c>
      <c r="D1998" s="114">
        <v>0</v>
      </c>
      <c r="E1998" s="133" t="s">
        <v>514</v>
      </c>
      <c r="F1998" s="134" t="str">
        <f t="shared" si="102"/>
        <v/>
      </c>
      <c r="G1998" s="135" t="e">
        <f>IF(A1998&lt;&gt;"",IF(AND(#REF!="Padrão",$H$4=#REF!),BDI!$B$17,IF(AND(#REF!="Padrão",$H$4=#REF!),BDI!#REF!,IF(AND(#REF!="Diferenciado",$H$4=#REF!),BDI!$E$17,IF(AND(#REF!="Diferenciado",$H$4=#REF!),BDI!#REF!,IF(#REF!="ZERO",0))))),"")</f>
        <v>#REF!</v>
      </c>
      <c r="H1998" s="136" t="str">
        <f t="shared" si="103"/>
        <v/>
      </c>
      <c r="I1998" s="134" t="str">
        <f t="shared" si="104"/>
        <v/>
      </c>
      <c r="J1998" s="226"/>
    </row>
    <row r="1999" spans="1:10" hidden="1" x14ac:dyDescent="0.25">
      <c r="A1999" s="112" t="s">
        <v>5607</v>
      </c>
      <c r="B1999" s="113" t="s">
        <v>4399</v>
      </c>
      <c r="C1999" s="114" t="s">
        <v>20</v>
      </c>
      <c r="D1999" s="114">
        <v>0</v>
      </c>
      <c r="E1999" s="133" t="s">
        <v>514</v>
      </c>
      <c r="F1999" s="134" t="str">
        <f t="shared" si="102"/>
        <v/>
      </c>
      <c r="G1999" s="135" t="e">
        <f>IF(A1999&lt;&gt;"",IF(AND(#REF!="Padrão",$H$4=#REF!),BDI!$B$17,IF(AND(#REF!="Padrão",$H$4=#REF!),BDI!#REF!,IF(AND(#REF!="Diferenciado",$H$4=#REF!),BDI!$E$17,IF(AND(#REF!="Diferenciado",$H$4=#REF!),BDI!#REF!,IF(#REF!="ZERO",0))))),"")</f>
        <v>#REF!</v>
      </c>
      <c r="H1999" s="136" t="str">
        <f t="shared" si="103"/>
        <v/>
      </c>
      <c r="I1999" s="134" t="str">
        <f t="shared" si="104"/>
        <v/>
      </c>
      <c r="J1999" s="226"/>
    </row>
    <row r="2000" spans="1:10" hidden="1" x14ac:dyDescent="0.25">
      <c r="A2000" s="112" t="s">
        <v>5608</v>
      </c>
      <c r="B2000" s="113" t="s">
        <v>4400</v>
      </c>
      <c r="C2000" s="114" t="s">
        <v>20</v>
      </c>
      <c r="D2000" s="114">
        <v>0</v>
      </c>
      <c r="E2000" s="133" t="s">
        <v>514</v>
      </c>
      <c r="F2000" s="134" t="str">
        <f t="shared" si="102"/>
        <v/>
      </c>
      <c r="G2000" s="135" t="e">
        <f>IF(A2000&lt;&gt;"",IF(AND(#REF!="Padrão",$H$4=#REF!),BDI!$B$17,IF(AND(#REF!="Padrão",$H$4=#REF!),BDI!#REF!,IF(AND(#REF!="Diferenciado",$H$4=#REF!),BDI!$E$17,IF(AND(#REF!="Diferenciado",$H$4=#REF!),BDI!#REF!,IF(#REF!="ZERO",0))))),"")</f>
        <v>#REF!</v>
      </c>
      <c r="H2000" s="136" t="str">
        <f t="shared" si="103"/>
        <v/>
      </c>
      <c r="I2000" s="134" t="str">
        <f t="shared" si="104"/>
        <v/>
      </c>
      <c r="J2000" s="226"/>
    </row>
    <row r="2001" spans="1:10" hidden="1" x14ac:dyDescent="0.25">
      <c r="A2001" s="112" t="s">
        <v>5609</v>
      </c>
      <c r="B2001" s="113" t="s">
        <v>4401</v>
      </c>
      <c r="C2001" s="114" t="s">
        <v>20</v>
      </c>
      <c r="D2001" s="114">
        <v>0</v>
      </c>
      <c r="E2001" s="133" t="s">
        <v>514</v>
      </c>
      <c r="F2001" s="134" t="str">
        <f t="shared" si="102"/>
        <v/>
      </c>
      <c r="G2001" s="135" t="e">
        <f>IF(A2001&lt;&gt;"",IF(AND(#REF!="Padrão",$H$4=#REF!),BDI!$B$17,IF(AND(#REF!="Padrão",$H$4=#REF!),BDI!#REF!,IF(AND(#REF!="Diferenciado",$H$4=#REF!),BDI!$E$17,IF(AND(#REF!="Diferenciado",$H$4=#REF!),BDI!#REF!,IF(#REF!="ZERO",0))))),"")</f>
        <v>#REF!</v>
      </c>
      <c r="H2001" s="136" t="str">
        <f t="shared" si="103"/>
        <v/>
      </c>
      <c r="I2001" s="134" t="str">
        <f t="shared" si="104"/>
        <v/>
      </c>
      <c r="J2001" s="226"/>
    </row>
    <row r="2002" spans="1:10" hidden="1" x14ac:dyDescent="0.25">
      <c r="A2002" s="112" t="s">
        <v>5610</v>
      </c>
      <c r="B2002" s="113" t="s">
        <v>4402</v>
      </c>
      <c r="C2002" s="114" t="s">
        <v>20</v>
      </c>
      <c r="D2002" s="114">
        <v>0</v>
      </c>
      <c r="E2002" s="133" t="s">
        <v>514</v>
      </c>
      <c r="F2002" s="134" t="str">
        <f t="shared" si="102"/>
        <v/>
      </c>
      <c r="G2002" s="135" t="e">
        <f>IF(A2002&lt;&gt;"",IF(AND(#REF!="Padrão",$H$4=#REF!),BDI!$B$17,IF(AND(#REF!="Padrão",$H$4=#REF!),BDI!#REF!,IF(AND(#REF!="Diferenciado",$H$4=#REF!),BDI!$E$17,IF(AND(#REF!="Diferenciado",$H$4=#REF!),BDI!#REF!,IF(#REF!="ZERO",0))))),"")</f>
        <v>#REF!</v>
      </c>
      <c r="H2002" s="136" t="str">
        <f t="shared" si="103"/>
        <v/>
      </c>
      <c r="I2002" s="134" t="str">
        <f t="shared" si="104"/>
        <v/>
      </c>
      <c r="J2002" s="226"/>
    </row>
    <row r="2003" spans="1:10" hidden="1" x14ac:dyDescent="0.25">
      <c r="A2003" s="112" t="s">
        <v>5611</v>
      </c>
      <c r="B2003" s="113" t="s">
        <v>4403</v>
      </c>
      <c r="C2003" s="114" t="s">
        <v>20</v>
      </c>
      <c r="D2003" s="114">
        <v>0</v>
      </c>
      <c r="E2003" s="133" t="s">
        <v>514</v>
      </c>
      <c r="F2003" s="134" t="str">
        <f t="shared" si="102"/>
        <v/>
      </c>
      <c r="G2003" s="135" t="e">
        <f>IF(A2003&lt;&gt;"",IF(AND(#REF!="Padrão",$H$4=#REF!),BDI!$B$17,IF(AND(#REF!="Padrão",$H$4=#REF!),BDI!#REF!,IF(AND(#REF!="Diferenciado",$H$4=#REF!),BDI!$E$17,IF(AND(#REF!="Diferenciado",$H$4=#REF!),BDI!#REF!,IF(#REF!="ZERO",0))))),"")</f>
        <v>#REF!</v>
      </c>
      <c r="H2003" s="136" t="str">
        <f t="shared" si="103"/>
        <v/>
      </c>
      <c r="I2003" s="134" t="str">
        <f t="shared" si="104"/>
        <v/>
      </c>
      <c r="J2003" s="226"/>
    </row>
    <row r="2004" spans="1:10" hidden="1" x14ac:dyDescent="0.25">
      <c r="A2004" s="112" t="s">
        <v>5612</v>
      </c>
      <c r="B2004" s="113" t="s">
        <v>4404</v>
      </c>
      <c r="C2004" s="114" t="s">
        <v>20</v>
      </c>
      <c r="D2004" s="114">
        <v>0</v>
      </c>
      <c r="E2004" s="133" t="s">
        <v>514</v>
      </c>
      <c r="F2004" s="134" t="str">
        <f t="shared" si="102"/>
        <v/>
      </c>
      <c r="G2004" s="135" t="e">
        <f>IF(A2004&lt;&gt;"",IF(AND(#REF!="Padrão",$H$4=#REF!),BDI!$B$17,IF(AND(#REF!="Padrão",$H$4=#REF!),BDI!#REF!,IF(AND(#REF!="Diferenciado",$H$4=#REF!),BDI!$E$17,IF(AND(#REF!="Diferenciado",$H$4=#REF!),BDI!#REF!,IF(#REF!="ZERO",0))))),"")</f>
        <v>#REF!</v>
      </c>
      <c r="H2004" s="136" t="str">
        <f t="shared" si="103"/>
        <v/>
      </c>
      <c r="I2004" s="134" t="str">
        <f t="shared" si="104"/>
        <v/>
      </c>
      <c r="J2004" s="226"/>
    </row>
    <row r="2005" spans="1:10" hidden="1" x14ac:dyDescent="0.25">
      <c r="A2005" s="112" t="s">
        <v>5613</v>
      </c>
      <c r="B2005" s="113" t="s">
        <v>4405</v>
      </c>
      <c r="C2005" s="114" t="s">
        <v>20</v>
      </c>
      <c r="D2005" s="114">
        <v>0</v>
      </c>
      <c r="E2005" s="133" t="s">
        <v>514</v>
      </c>
      <c r="F2005" s="134" t="str">
        <f t="shared" si="102"/>
        <v/>
      </c>
      <c r="G2005" s="135" t="e">
        <f>IF(A2005&lt;&gt;"",IF(AND(#REF!="Padrão",$H$4=#REF!),BDI!$B$17,IF(AND(#REF!="Padrão",$H$4=#REF!),BDI!#REF!,IF(AND(#REF!="Diferenciado",$H$4=#REF!),BDI!$E$17,IF(AND(#REF!="Diferenciado",$H$4=#REF!),BDI!#REF!,IF(#REF!="ZERO",0))))),"")</f>
        <v>#REF!</v>
      </c>
      <c r="H2005" s="136" t="str">
        <f t="shared" si="103"/>
        <v/>
      </c>
      <c r="I2005" s="134" t="str">
        <f t="shared" si="104"/>
        <v/>
      </c>
      <c r="J2005" s="226"/>
    </row>
    <row r="2006" spans="1:10" hidden="1" x14ac:dyDescent="0.25">
      <c r="A2006" s="112" t="s">
        <v>5614</v>
      </c>
      <c r="B2006" s="113" t="s">
        <v>4406</v>
      </c>
      <c r="C2006" s="114" t="s">
        <v>20</v>
      </c>
      <c r="D2006" s="114">
        <v>0</v>
      </c>
      <c r="E2006" s="133" t="s">
        <v>514</v>
      </c>
      <c r="F2006" s="134" t="str">
        <f t="shared" si="102"/>
        <v/>
      </c>
      <c r="G2006" s="135" t="e">
        <f>IF(A2006&lt;&gt;"",IF(AND(#REF!="Padrão",$H$4=#REF!),BDI!$B$17,IF(AND(#REF!="Padrão",$H$4=#REF!),BDI!#REF!,IF(AND(#REF!="Diferenciado",$H$4=#REF!),BDI!$E$17,IF(AND(#REF!="Diferenciado",$H$4=#REF!),BDI!#REF!,IF(#REF!="ZERO",0))))),"")</f>
        <v>#REF!</v>
      </c>
      <c r="H2006" s="136" t="str">
        <f t="shared" si="103"/>
        <v/>
      </c>
      <c r="I2006" s="134" t="str">
        <f t="shared" si="104"/>
        <v/>
      </c>
      <c r="J2006" s="226"/>
    </row>
    <row r="2007" spans="1:10" hidden="1" x14ac:dyDescent="0.25">
      <c r="A2007" s="112" t="s">
        <v>5615</v>
      </c>
      <c r="B2007" s="113" t="s">
        <v>4407</v>
      </c>
      <c r="C2007" s="114" t="s">
        <v>20</v>
      </c>
      <c r="D2007" s="114">
        <v>0</v>
      </c>
      <c r="E2007" s="133" t="s">
        <v>514</v>
      </c>
      <c r="F2007" s="134" t="str">
        <f t="shared" si="102"/>
        <v/>
      </c>
      <c r="G2007" s="135" t="e">
        <f>IF(A2007&lt;&gt;"",IF(AND(#REF!="Padrão",$H$4=#REF!),BDI!$B$17,IF(AND(#REF!="Padrão",$H$4=#REF!),BDI!#REF!,IF(AND(#REF!="Diferenciado",$H$4=#REF!),BDI!$E$17,IF(AND(#REF!="Diferenciado",$H$4=#REF!),BDI!#REF!,IF(#REF!="ZERO",0))))),"")</f>
        <v>#REF!</v>
      </c>
      <c r="H2007" s="136" t="str">
        <f t="shared" si="103"/>
        <v/>
      </c>
      <c r="I2007" s="134" t="str">
        <f t="shared" si="104"/>
        <v/>
      </c>
      <c r="J2007" s="226"/>
    </row>
    <row r="2008" spans="1:10" hidden="1" x14ac:dyDescent="0.25">
      <c r="A2008" s="112" t="s">
        <v>5616</v>
      </c>
      <c r="B2008" s="113" t="s">
        <v>4408</v>
      </c>
      <c r="C2008" s="114" t="s">
        <v>20</v>
      </c>
      <c r="D2008" s="114">
        <v>0</v>
      </c>
      <c r="E2008" s="133" t="s">
        <v>514</v>
      </c>
      <c r="F2008" s="134" t="str">
        <f t="shared" si="102"/>
        <v/>
      </c>
      <c r="G2008" s="135" t="e">
        <f>IF(A2008&lt;&gt;"",IF(AND(#REF!="Padrão",$H$4=#REF!),BDI!$B$17,IF(AND(#REF!="Padrão",$H$4=#REF!),BDI!#REF!,IF(AND(#REF!="Diferenciado",$H$4=#REF!),BDI!$E$17,IF(AND(#REF!="Diferenciado",$H$4=#REF!),BDI!#REF!,IF(#REF!="ZERO",0))))),"")</f>
        <v>#REF!</v>
      </c>
      <c r="H2008" s="136" t="str">
        <f t="shared" si="103"/>
        <v/>
      </c>
      <c r="I2008" s="134" t="str">
        <f t="shared" si="104"/>
        <v/>
      </c>
      <c r="J2008" s="226"/>
    </row>
    <row r="2009" spans="1:10" hidden="1" x14ac:dyDescent="0.25">
      <c r="A2009" s="112" t="s">
        <v>5617</v>
      </c>
      <c r="B2009" s="113" t="s">
        <v>4409</v>
      </c>
      <c r="C2009" s="114" t="s">
        <v>20</v>
      </c>
      <c r="D2009" s="114">
        <v>0</v>
      </c>
      <c r="E2009" s="133" t="s">
        <v>514</v>
      </c>
      <c r="F2009" s="134" t="str">
        <f t="shared" si="102"/>
        <v/>
      </c>
      <c r="G2009" s="135" t="e">
        <f>IF(A2009&lt;&gt;"",IF(AND(#REF!="Padrão",$H$4=#REF!),BDI!$B$17,IF(AND(#REF!="Padrão",$H$4=#REF!),BDI!#REF!,IF(AND(#REF!="Diferenciado",$H$4=#REF!),BDI!$E$17,IF(AND(#REF!="Diferenciado",$H$4=#REF!),BDI!#REF!,IF(#REF!="ZERO",0))))),"")</f>
        <v>#REF!</v>
      </c>
      <c r="H2009" s="136" t="str">
        <f t="shared" si="103"/>
        <v/>
      </c>
      <c r="I2009" s="134" t="str">
        <f t="shared" si="104"/>
        <v/>
      </c>
      <c r="J2009" s="226"/>
    </row>
    <row r="2010" spans="1:10" hidden="1" x14ac:dyDescent="0.25">
      <c r="A2010" s="112" t="s">
        <v>5618</v>
      </c>
      <c r="B2010" s="113" t="s">
        <v>4410</v>
      </c>
      <c r="C2010" s="114" t="s">
        <v>20</v>
      </c>
      <c r="D2010" s="114">
        <v>0</v>
      </c>
      <c r="E2010" s="133" t="s">
        <v>514</v>
      </c>
      <c r="F2010" s="134" t="str">
        <f t="shared" si="102"/>
        <v/>
      </c>
      <c r="G2010" s="135" t="e">
        <f>IF(A2010&lt;&gt;"",IF(AND(#REF!="Padrão",$H$4=#REF!),BDI!$B$17,IF(AND(#REF!="Padrão",$H$4=#REF!),BDI!#REF!,IF(AND(#REF!="Diferenciado",$H$4=#REF!),BDI!$E$17,IF(AND(#REF!="Diferenciado",$H$4=#REF!),BDI!#REF!,IF(#REF!="ZERO",0))))),"")</f>
        <v>#REF!</v>
      </c>
      <c r="H2010" s="136" t="str">
        <f t="shared" si="103"/>
        <v/>
      </c>
      <c r="I2010" s="134" t="str">
        <f t="shared" si="104"/>
        <v/>
      </c>
      <c r="J2010" s="226"/>
    </row>
    <row r="2011" spans="1:10" hidden="1" x14ac:dyDescent="0.25">
      <c r="A2011" s="112" t="s">
        <v>5619</v>
      </c>
      <c r="B2011" s="113" t="s">
        <v>4411</v>
      </c>
      <c r="C2011" s="114" t="s">
        <v>20</v>
      </c>
      <c r="D2011" s="114">
        <v>0</v>
      </c>
      <c r="E2011" s="133" t="s">
        <v>514</v>
      </c>
      <c r="F2011" s="134" t="str">
        <f t="shared" si="102"/>
        <v/>
      </c>
      <c r="G2011" s="135" t="e">
        <f>IF(A2011&lt;&gt;"",IF(AND(#REF!="Padrão",$H$4=#REF!),BDI!$B$17,IF(AND(#REF!="Padrão",$H$4=#REF!),BDI!#REF!,IF(AND(#REF!="Diferenciado",$H$4=#REF!),BDI!$E$17,IF(AND(#REF!="Diferenciado",$H$4=#REF!),BDI!#REF!,IF(#REF!="ZERO",0))))),"")</f>
        <v>#REF!</v>
      </c>
      <c r="H2011" s="136" t="str">
        <f t="shared" si="103"/>
        <v/>
      </c>
      <c r="I2011" s="134" t="str">
        <f t="shared" si="104"/>
        <v/>
      </c>
      <c r="J2011" s="226"/>
    </row>
    <row r="2012" spans="1:10" hidden="1" x14ac:dyDescent="0.25">
      <c r="A2012" s="112" t="s">
        <v>5620</v>
      </c>
      <c r="B2012" s="113" t="s">
        <v>4412</v>
      </c>
      <c r="C2012" s="114" t="s">
        <v>20</v>
      </c>
      <c r="D2012" s="114">
        <v>0</v>
      </c>
      <c r="E2012" s="133" t="s">
        <v>514</v>
      </c>
      <c r="F2012" s="134" t="str">
        <f t="shared" si="102"/>
        <v/>
      </c>
      <c r="G2012" s="135" t="e">
        <f>IF(A2012&lt;&gt;"",IF(AND(#REF!="Padrão",$H$4=#REF!),BDI!$B$17,IF(AND(#REF!="Padrão",$H$4=#REF!),BDI!#REF!,IF(AND(#REF!="Diferenciado",$H$4=#REF!),BDI!$E$17,IF(AND(#REF!="Diferenciado",$H$4=#REF!),BDI!#REF!,IF(#REF!="ZERO",0))))),"")</f>
        <v>#REF!</v>
      </c>
      <c r="H2012" s="136" t="str">
        <f t="shared" si="103"/>
        <v/>
      </c>
      <c r="I2012" s="134" t="str">
        <f t="shared" si="104"/>
        <v/>
      </c>
      <c r="J2012" s="226"/>
    </row>
    <row r="2013" spans="1:10" hidden="1" x14ac:dyDescent="0.25">
      <c r="A2013" s="112" t="s">
        <v>5621</v>
      </c>
      <c r="B2013" s="113" t="s">
        <v>4413</v>
      </c>
      <c r="C2013" s="114" t="s">
        <v>20</v>
      </c>
      <c r="D2013" s="114">
        <v>0</v>
      </c>
      <c r="E2013" s="133" t="s">
        <v>514</v>
      </c>
      <c r="F2013" s="134" t="str">
        <f t="shared" si="102"/>
        <v/>
      </c>
      <c r="G2013" s="135" t="e">
        <f>IF(A2013&lt;&gt;"",IF(AND(#REF!="Padrão",$H$4=#REF!),BDI!$B$17,IF(AND(#REF!="Padrão",$H$4=#REF!),BDI!#REF!,IF(AND(#REF!="Diferenciado",$H$4=#REF!),BDI!$E$17,IF(AND(#REF!="Diferenciado",$H$4=#REF!),BDI!#REF!,IF(#REF!="ZERO",0))))),"")</f>
        <v>#REF!</v>
      </c>
      <c r="H2013" s="136" t="str">
        <f t="shared" si="103"/>
        <v/>
      </c>
      <c r="I2013" s="134" t="str">
        <f t="shared" si="104"/>
        <v/>
      </c>
      <c r="J2013" s="226"/>
    </row>
    <row r="2014" spans="1:10" hidden="1" x14ac:dyDescent="0.25">
      <c r="A2014" s="112" t="s">
        <v>5622</v>
      </c>
      <c r="B2014" s="113" t="s">
        <v>4414</v>
      </c>
      <c r="C2014" s="114" t="s">
        <v>20</v>
      </c>
      <c r="D2014" s="114">
        <v>0</v>
      </c>
      <c r="E2014" s="133" t="s">
        <v>514</v>
      </c>
      <c r="F2014" s="134" t="str">
        <f t="shared" si="102"/>
        <v/>
      </c>
      <c r="G2014" s="135" t="e">
        <f>IF(A2014&lt;&gt;"",IF(AND(#REF!="Padrão",$H$4=#REF!),BDI!$B$17,IF(AND(#REF!="Padrão",$H$4=#REF!),BDI!#REF!,IF(AND(#REF!="Diferenciado",$H$4=#REF!),BDI!$E$17,IF(AND(#REF!="Diferenciado",$H$4=#REF!),BDI!#REF!,IF(#REF!="ZERO",0))))),"")</f>
        <v>#REF!</v>
      </c>
      <c r="H2014" s="136" t="str">
        <f t="shared" si="103"/>
        <v/>
      </c>
      <c r="I2014" s="134" t="str">
        <f t="shared" si="104"/>
        <v/>
      </c>
      <c r="J2014" s="226"/>
    </row>
    <row r="2015" spans="1:10" hidden="1" x14ac:dyDescent="0.25">
      <c r="A2015" s="112" t="s">
        <v>5623</v>
      </c>
      <c r="B2015" s="113" t="s">
        <v>4415</v>
      </c>
      <c r="C2015" s="114" t="s">
        <v>20</v>
      </c>
      <c r="D2015" s="114">
        <v>0</v>
      </c>
      <c r="E2015" s="133" t="s">
        <v>514</v>
      </c>
      <c r="F2015" s="134" t="str">
        <f t="shared" si="102"/>
        <v/>
      </c>
      <c r="G2015" s="135" t="e">
        <f>IF(A2015&lt;&gt;"",IF(AND(#REF!="Padrão",$H$4=#REF!),BDI!$B$17,IF(AND(#REF!="Padrão",$H$4=#REF!),BDI!#REF!,IF(AND(#REF!="Diferenciado",$H$4=#REF!),BDI!$E$17,IF(AND(#REF!="Diferenciado",$H$4=#REF!),BDI!#REF!,IF(#REF!="ZERO",0))))),"")</f>
        <v>#REF!</v>
      </c>
      <c r="H2015" s="136" t="str">
        <f t="shared" si="103"/>
        <v/>
      </c>
      <c r="I2015" s="134" t="str">
        <f t="shared" si="104"/>
        <v/>
      </c>
      <c r="J2015" s="226"/>
    </row>
    <row r="2016" spans="1:10" hidden="1" x14ac:dyDescent="0.25">
      <c r="A2016" s="112" t="s">
        <v>5624</v>
      </c>
      <c r="B2016" s="113" t="s">
        <v>4416</v>
      </c>
      <c r="C2016" s="114" t="s">
        <v>20</v>
      </c>
      <c r="D2016" s="114">
        <v>0</v>
      </c>
      <c r="E2016" s="133" t="s">
        <v>514</v>
      </c>
      <c r="F2016" s="134" t="str">
        <f t="shared" si="102"/>
        <v/>
      </c>
      <c r="G2016" s="135" t="e">
        <f>IF(A2016&lt;&gt;"",IF(AND(#REF!="Padrão",$H$4=#REF!),BDI!$B$17,IF(AND(#REF!="Padrão",$H$4=#REF!),BDI!#REF!,IF(AND(#REF!="Diferenciado",$H$4=#REF!),BDI!$E$17,IF(AND(#REF!="Diferenciado",$H$4=#REF!),BDI!#REF!,IF(#REF!="ZERO",0))))),"")</f>
        <v>#REF!</v>
      </c>
      <c r="H2016" s="136" t="str">
        <f t="shared" si="103"/>
        <v/>
      </c>
      <c r="I2016" s="134" t="str">
        <f t="shared" si="104"/>
        <v/>
      </c>
      <c r="J2016" s="226"/>
    </row>
    <row r="2017" spans="1:10" hidden="1" x14ac:dyDescent="0.25">
      <c r="A2017" s="112" t="s">
        <v>5625</v>
      </c>
      <c r="B2017" s="113" t="s">
        <v>4417</v>
      </c>
      <c r="C2017" s="114" t="s">
        <v>20</v>
      </c>
      <c r="D2017" s="114">
        <v>0</v>
      </c>
      <c r="E2017" s="133" t="s">
        <v>514</v>
      </c>
      <c r="F2017" s="134" t="str">
        <f t="shared" si="102"/>
        <v/>
      </c>
      <c r="G2017" s="135" t="e">
        <f>IF(A2017&lt;&gt;"",IF(AND(#REF!="Padrão",$H$4=#REF!),BDI!$B$17,IF(AND(#REF!="Padrão",$H$4=#REF!),BDI!#REF!,IF(AND(#REF!="Diferenciado",$H$4=#REF!),BDI!$E$17,IF(AND(#REF!="Diferenciado",$H$4=#REF!),BDI!#REF!,IF(#REF!="ZERO",0))))),"")</f>
        <v>#REF!</v>
      </c>
      <c r="H2017" s="136" t="str">
        <f t="shared" si="103"/>
        <v/>
      </c>
      <c r="I2017" s="134" t="str">
        <f t="shared" si="104"/>
        <v/>
      </c>
      <c r="J2017" s="226"/>
    </row>
    <row r="2018" spans="1:10" hidden="1" x14ac:dyDescent="0.25">
      <c r="A2018" s="112" t="s">
        <v>5626</v>
      </c>
      <c r="B2018" s="113" t="s">
        <v>4418</v>
      </c>
      <c r="C2018" s="114" t="s">
        <v>20</v>
      </c>
      <c r="D2018" s="114">
        <v>0</v>
      </c>
      <c r="E2018" s="133" t="s">
        <v>514</v>
      </c>
      <c r="F2018" s="134" t="str">
        <f t="shared" si="102"/>
        <v/>
      </c>
      <c r="G2018" s="135" t="e">
        <f>IF(A2018&lt;&gt;"",IF(AND(#REF!="Padrão",$H$4=#REF!),BDI!$B$17,IF(AND(#REF!="Padrão",$H$4=#REF!),BDI!#REF!,IF(AND(#REF!="Diferenciado",$H$4=#REF!),BDI!$E$17,IF(AND(#REF!="Diferenciado",$H$4=#REF!),BDI!#REF!,IF(#REF!="ZERO",0))))),"")</f>
        <v>#REF!</v>
      </c>
      <c r="H2018" s="136" t="str">
        <f t="shared" si="103"/>
        <v/>
      </c>
      <c r="I2018" s="134" t="str">
        <f t="shared" si="104"/>
        <v/>
      </c>
      <c r="J2018" s="226"/>
    </row>
    <row r="2019" spans="1:10" hidden="1" x14ac:dyDescent="0.25">
      <c r="A2019" s="112" t="s">
        <v>5627</v>
      </c>
      <c r="B2019" s="113" t="s">
        <v>4419</v>
      </c>
      <c r="C2019" s="114" t="s">
        <v>20</v>
      </c>
      <c r="D2019" s="114">
        <v>0</v>
      </c>
      <c r="E2019" s="133" t="s">
        <v>514</v>
      </c>
      <c r="F2019" s="134" t="str">
        <f t="shared" si="102"/>
        <v/>
      </c>
      <c r="G2019" s="135" t="e">
        <f>IF(A2019&lt;&gt;"",IF(AND(#REF!="Padrão",$H$4=#REF!),BDI!$B$17,IF(AND(#REF!="Padrão",$H$4=#REF!),BDI!#REF!,IF(AND(#REF!="Diferenciado",$H$4=#REF!),BDI!$E$17,IF(AND(#REF!="Diferenciado",$H$4=#REF!),BDI!#REF!,IF(#REF!="ZERO",0))))),"")</f>
        <v>#REF!</v>
      </c>
      <c r="H2019" s="136" t="str">
        <f t="shared" si="103"/>
        <v/>
      </c>
      <c r="I2019" s="134" t="str">
        <f t="shared" si="104"/>
        <v/>
      </c>
      <c r="J2019" s="226"/>
    </row>
    <row r="2020" spans="1:10" hidden="1" x14ac:dyDescent="0.25">
      <c r="A2020" s="112" t="s">
        <v>5628</v>
      </c>
      <c r="B2020" s="113" t="s">
        <v>4420</v>
      </c>
      <c r="C2020" s="114" t="s">
        <v>20</v>
      </c>
      <c r="D2020" s="114">
        <v>0</v>
      </c>
      <c r="E2020" s="133" t="s">
        <v>514</v>
      </c>
      <c r="F2020" s="134" t="str">
        <f t="shared" si="102"/>
        <v/>
      </c>
      <c r="G2020" s="135" t="e">
        <f>IF(A2020&lt;&gt;"",IF(AND(#REF!="Padrão",$H$4=#REF!),BDI!$B$17,IF(AND(#REF!="Padrão",$H$4=#REF!),BDI!#REF!,IF(AND(#REF!="Diferenciado",$H$4=#REF!),BDI!$E$17,IF(AND(#REF!="Diferenciado",$H$4=#REF!),BDI!#REF!,IF(#REF!="ZERO",0))))),"")</f>
        <v>#REF!</v>
      </c>
      <c r="H2020" s="136" t="str">
        <f t="shared" si="103"/>
        <v/>
      </c>
      <c r="I2020" s="134" t="str">
        <f t="shared" si="104"/>
        <v/>
      </c>
      <c r="J2020" s="226"/>
    </row>
    <row r="2021" spans="1:10" hidden="1" x14ac:dyDescent="0.25">
      <c r="A2021" s="112" t="s">
        <v>5629</v>
      </c>
      <c r="B2021" s="113" t="s">
        <v>4421</v>
      </c>
      <c r="C2021" s="114" t="s">
        <v>20</v>
      </c>
      <c r="D2021" s="114">
        <v>0</v>
      </c>
      <c r="E2021" s="133" t="s">
        <v>514</v>
      </c>
      <c r="F2021" s="134" t="str">
        <f t="shared" si="102"/>
        <v/>
      </c>
      <c r="G2021" s="135" t="e">
        <f>IF(A2021&lt;&gt;"",IF(AND(#REF!="Padrão",$H$4=#REF!),BDI!$B$17,IF(AND(#REF!="Padrão",$H$4=#REF!),BDI!#REF!,IF(AND(#REF!="Diferenciado",$H$4=#REF!),BDI!$E$17,IF(AND(#REF!="Diferenciado",$H$4=#REF!),BDI!#REF!,IF(#REF!="ZERO",0))))),"")</f>
        <v>#REF!</v>
      </c>
      <c r="H2021" s="136" t="str">
        <f t="shared" si="103"/>
        <v/>
      </c>
      <c r="I2021" s="134" t="str">
        <f t="shared" si="104"/>
        <v/>
      </c>
      <c r="J2021" s="226"/>
    </row>
    <row r="2022" spans="1:10" hidden="1" x14ac:dyDescent="0.25">
      <c r="A2022" s="112" t="s">
        <v>5630</v>
      </c>
      <c r="B2022" s="113" t="s">
        <v>4422</v>
      </c>
      <c r="C2022" s="114" t="s">
        <v>20</v>
      </c>
      <c r="D2022" s="114">
        <v>0</v>
      </c>
      <c r="E2022" s="133" t="s">
        <v>514</v>
      </c>
      <c r="F2022" s="134" t="str">
        <f t="shared" si="102"/>
        <v/>
      </c>
      <c r="G2022" s="135" t="e">
        <f>IF(A2022&lt;&gt;"",IF(AND(#REF!="Padrão",$H$4=#REF!),BDI!$B$17,IF(AND(#REF!="Padrão",$H$4=#REF!),BDI!#REF!,IF(AND(#REF!="Diferenciado",$H$4=#REF!),BDI!$E$17,IF(AND(#REF!="Diferenciado",$H$4=#REF!),BDI!#REF!,IF(#REF!="ZERO",0))))),"")</f>
        <v>#REF!</v>
      </c>
      <c r="H2022" s="136" t="str">
        <f t="shared" si="103"/>
        <v/>
      </c>
      <c r="I2022" s="134" t="str">
        <f t="shared" si="104"/>
        <v/>
      </c>
      <c r="J2022" s="226"/>
    </row>
    <row r="2023" spans="1:10" hidden="1" x14ac:dyDescent="0.25">
      <c r="A2023" s="112" t="s">
        <v>5631</v>
      </c>
      <c r="B2023" s="113" t="s">
        <v>4423</v>
      </c>
      <c r="C2023" s="114" t="s">
        <v>20</v>
      </c>
      <c r="D2023" s="114">
        <v>0</v>
      </c>
      <c r="E2023" s="133" t="s">
        <v>514</v>
      </c>
      <c r="F2023" s="134" t="str">
        <f t="shared" si="102"/>
        <v/>
      </c>
      <c r="G2023" s="135" t="e">
        <f>IF(A2023&lt;&gt;"",IF(AND(#REF!="Padrão",$H$4=#REF!),BDI!$B$17,IF(AND(#REF!="Padrão",$H$4=#REF!),BDI!#REF!,IF(AND(#REF!="Diferenciado",$H$4=#REF!),BDI!$E$17,IF(AND(#REF!="Diferenciado",$H$4=#REF!),BDI!#REF!,IF(#REF!="ZERO",0))))),"")</f>
        <v>#REF!</v>
      </c>
      <c r="H2023" s="136" t="str">
        <f t="shared" si="103"/>
        <v/>
      </c>
      <c r="I2023" s="134" t="str">
        <f t="shared" si="104"/>
        <v/>
      </c>
      <c r="J2023" s="226"/>
    </row>
    <row r="2024" spans="1:10" hidden="1" x14ac:dyDescent="0.25">
      <c r="A2024" s="112" t="s">
        <v>5632</v>
      </c>
      <c r="B2024" s="113" t="s">
        <v>4424</v>
      </c>
      <c r="C2024" s="114" t="s">
        <v>20</v>
      </c>
      <c r="D2024" s="114">
        <v>0</v>
      </c>
      <c r="E2024" s="133" t="s">
        <v>514</v>
      </c>
      <c r="F2024" s="134" t="str">
        <f t="shared" si="102"/>
        <v/>
      </c>
      <c r="G2024" s="135" t="e">
        <f>IF(A2024&lt;&gt;"",IF(AND(#REF!="Padrão",$H$4=#REF!),BDI!$B$17,IF(AND(#REF!="Padrão",$H$4=#REF!),BDI!#REF!,IF(AND(#REF!="Diferenciado",$H$4=#REF!),BDI!$E$17,IF(AND(#REF!="Diferenciado",$H$4=#REF!),BDI!#REF!,IF(#REF!="ZERO",0))))),"")</f>
        <v>#REF!</v>
      </c>
      <c r="H2024" s="136" t="str">
        <f t="shared" si="103"/>
        <v/>
      </c>
      <c r="I2024" s="134" t="str">
        <f t="shared" si="104"/>
        <v/>
      </c>
      <c r="J2024" s="226"/>
    </row>
    <row r="2025" spans="1:10" hidden="1" x14ac:dyDescent="0.25">
      <c r="A2025" s="112" t="s">
        <v>5633</v>
      </c>
      <c r="B2025" s="113" t="s">
        <v>4425</v>
      </c>
      <c r="C2025" s="114" t="s">
        <v>20</v>
      </c>
      <c r="D2025" s="114">
        <v>0</v>
      </c>
      <c r="E2025" s="133" t="s">
        <v>514</v>
      </c>
      <c r="F2025" s="134" t="str">
        <f t="shared" si="102"/>
        <v/>
      </c>
      <c r="G2025" s="135" t="e">
        <f>IF(A2025&lt;&gt;"",IF(AND(#REF!="Padrão",$H$4=#REF!),BDI!$B$17,IF(AND(#REF!="Padrão",$H$4=#REF!),BDI!#REF!,IF(AND(#REF!="Diferenciado",$H$4=#REF!),BDI!$E$17,IF(AND(#REF!="Diferenciado",$H$4=#REF!),BDI!#REF!,IF(#REF!="ZERO",0))))),"")</f>
        <v>#REF!</v>
      </c>
      <c r="H2025" s="136" t="str">
        <f t="shared" si="103"/>
        <v/>
      </c>
      <c r="I2025" s="134" t="str">
        <f t="shared" si="104"/>
        <v/>
      </c>
      <c r="J2025" s="226"/>
    </row>
    <row r="2026" spans="1:10" hidden="1" x14ac:dyDescent="0.25">
      <c r="A2026" s="112" t="s">
        <v>5634</v>
      </c>
      <c r="B2026" s="113" t="s">
        <v>4426</v>
      </c>
      <c r="C2026" s="114" t="s">
        <v>20</v>
      </c>
      <c r="D2026" s="114">
        <v>0</v>
      </c>
      <c r="E2026" s="133" t="s">
        <v>514</v>
      </c>
      <c r="F2026" s="134" t="str">
        <f t="shared" si="102"/>
        <v/>
      </c>
      <c r="G2026" s="135" t="e">
        <f>IF(A2026&lt;&gt;"",IF(AND(#REF!="Padrão",$H$4=#REF!),BDI!$B$17,IF(AND(#REF!="Padrão",$H$4=#REF!),BDI!#REF!,IF(AND(#REF!="Diferenciado",$H$4=#REF!),BDI!$E$17,IF(AND(#REF!="Diferenciado",$H$4=#REF!),BDI!#REF!,IF(#REF!="ZERO",0))))),"")</f>
        <v>#REF!</v>
      </c>
      <c r="H2026" s="136" t="str">
        <f t="shared" si="103"/>
        <v/>
      </c>
      <c r="I2026" s="134" t="str">
        <f t="shared" si="104"/>
        <v/>
      </c>
      <c r="J2026" s="226"/>
    </row>
    <row r="2027" spans="1:10" hidden="1" x14ac:dyDescent="0.25">
      <c r="A2027" s="112" t="s">
        <v>5635</v>
      </c>
      <c r="B2027" s="113" t="s">
        <v>4427</v>
      </c>
      <c r="C2027" s="114" t="s">
        <v>20</v>
      </c>
      <c r="D2027" s="114">
        <v>0</v>
      </c>
      <c r="E2027" s="133" t="s">
        <v>514</v>
      </c>
      <c r="F2027" s="134" t="str">
        <f t="shared" si="102"/>
        <v/>
      </c>
      <c r="G2027" s="135" t="e">
        <f>IF(A2027&lt;&gt;"",IF(AND(#REF!="Padrão",$H$4=#REF!),BDI!$B$17,IF(AND(#REF!="Padrão",$H$4=#REF!),BDI!#REF!,IF(AND(#REF!="Diferenciado",$H$4=#REF!),BDI!$E$17,IF(AND(#REF!="Diferenciado",$H$4=#REF!),BDI!#REF!,IF(#REF!="ZERO",0))))),"")</f>
        <v>#REF!</v>
      </c>
      <c r="H2027" s="136" t="str">
        <f t="shared" si="103"/>
        <v/>
      </c>
      <c r="I2027" s="134" t="str">
        <f t="shared" si="104"/>
        <v/>
      </c>
      <c r="J2027" s="226"/>
    </row>
    <row r="2028" spans="1:10" hidden="1" x14ac:dyDescent="0.25">
      <c r="A2028" s="112" t="s">
        <v>5636</v>
      </c>
      <c r="B2028" s="113" t="s">
        <v>4428</v>
      </c>
      <c r="C2028" s="114" t="s">
        <v>20</v>
      </c>
      <c r="D2028" s="114">
        <v>0</v>
      </c>
      <c r="E2028" s="133" t="s">
        <v>514</v>
      </c>
      <c r="F2028" s="134" t="str">
        <f t="shared" si="102"/>
        <v/>
      </c>
      <c r="G2028" s="135" t="e">
        <f>IF(A2028&lt;&gt;"",IF(AND(#REF!="Padrão",$H$4=#REF!),BDI!$B$17,IF(AND(#REF!="Padrão",$H$4=#REF!),BDI!#REF!,IF(AND(#REF!="Diferenciado",$H$4=#REF!),BDI!$E$17,IF(AND(#REF!="Diferenciado",$H$4=#REF!),BDI!#REF!,IF(#REF!="ZERO",0))))),"")</f>
        <v>#REF!</v>
      </c>
      <c r="H2028" s="136" t="str">
        <f t="shared" si="103"/>
        <v/>
      </c>
      <c r="I2028" s="134" t="str">
        <f t="shared" si="104"/>
        <v/>
      </c>
      <c r="J2028" s="226"/>
    </row>
    <row r="2029" spans="1:10" hidden="1" x14ac:dyDescent="0.25">
      <c r="A2029" s="112" t="s">
        <v>5637</v>
      </c>
      <c r="B2029" s="113" t="s">
        <v>4429</v>
      </c>
      <c r="C2029" s="114" t="s">
        <v>20</v>
      </c>
      <c r="D2029" s="114">
        <v>0</v>
      </c>
      <c r="E2029" s="133" t="s">
        <v>514</v>
      </c>
      <c r="F2029" s="134" t="str">
        <f t="shared" ref="F2029:F2092" si="105">IF(ISNUMBER(E2029),D2029*E2029,"")</f>
        <v/>
      </c>
      <c r="G2029" s="135" t="e">
        <f>IF(A2029&lt;&gt;"",IF(AND(#REF!="Padrão",$H$4=#REF!),BDI!$B$17,IF(AND(#REF!="Padrão",$H$4=#REF!),BDI!#REF!,IF(AND(#REF!="Diferenciado",$H$4=#REF!),BDI!$E$17,IF(AND(#REF!="Diferenciado",$H$4=#REF!),BDI!#REF!,IF(#REF!="ZERO",0))))),"")</f>
        <v>#REF!</v>
      </c>
      <c r="H2029" s="136" t="str">
        <f t="shared" ref="H2029:H2092" si="106">IF(ISNUMBER(E2029),ROUND(E2029*(1+G2029),2),"")</f>
        <v/>
      </c>
      <c r="I2029" s="134" t="str">
        <f t="shared" ref="I2029:I2092" si="107">IF(ISNUMBER(E2029),ROUND(H2029*D2029,2),"")</f>
        <v/>
      </c>
      <c r="J2029" s="226"/>
    </row>
    <row r="2030" spans="1:10" hidden="1" x14ac:dyDescent="0.25">
      <c r="A2030" s="112" t="s">
        <v>5638</v>
      </c>
      <c r="B2030" s="113" t="s">
        <v>4430</v>
      </c>
      <c r="C2030" s="114" t="s">
        <v>20</v>
      </c>
      <c r="D2030" s="114">
        <v>0</v>
      </c>
      <c r="E2030" s="133" t="s">
        <v>514</v>
      </c>
      <c r="F2030" s="134" t="str">
        <f t="shared" si="105"/>
        <v/>
      </c>
      <c r="G2030" s="135" t="e">
        <f>IF(A2030&lt;&gt;"",IF(AND(#REF!="Padrão",$H$4=#REF!),BDI!$B$17,IF(AND(#REF!="Padrão",$H$4=#REF!),BDI!#REF!,IF(AND(#REF!="Diferenciado",$H$4=#REF!),BDI!$E$17,IF(AND(#REF!="Diferenciado",$H$4=#REF!),BDI!#REF!,IF(#REF!="ZERO",0))))),"")</f>
        <v>#REF!</v>
      </c>
      <c r="H2030" s="136" t="str">
        <f t="shared" si="106"/>
        <v/>
      </c>
      <c r="I2030" s="134" t="str">
        <f t="shared" si="107"/>
        <v/>
      </c>
      <c r="J2030" s="226"/>
    </row>
    <row r="2031" spans="1:10" hidden="1" x14ac:dyDescent="0.25">
      <c r="A2031" s="112" t="s">
        <v>5639</v>
      </c>
      <c r="B2031" s="113" t="s">
        <v>4431</v>
      </c>
      <c r="C2031" s="114" t="s">
        <v>20</v>
      </c>
      <c r="D2031" s="114">
        <v>0</v>
      </c>
      <c r="E2031" s="133" t="s">
        <v>514</v>
      </c>
      <c r="F2031" s="134" t="str">
        <f t="shared" si="105"/>
        <v/>
      </c>
      <c r="G2031" s="135" t="e">
        <f>IF(A2031&lt;&gt;"",IF(AND(#REF!="Padrão",$H$4=#REF!),BDI!$B$17,IF(AND(#REF!="Padrão",$H$4=#REF!),BDI!#REF!,IF(AND(#REF!="Diferenciado",$H$4=#REF!),BDI!$E$17,IF(AND(#REF!="Diferenciado",$H$4=#REF!),BDI!#REF!,IF(#REF!="ZERO",0))))),"")</f>
        <v>#REF!</v>
      </c>
      <c r="H2031" s="136" t="str">
        <f t="shared" si="106"/>
        <v/>
      </c>
      <c r="I2031" s="134" t="str">
        <f t="shared" si="107"/>
        <v/>
      </c>
      <c r="J2031" s="226"/>
    </row>
    <row r="2032" spans="1:10" hidden="1" x14ac:dyDescent="0.25">
      <c r="A2032" s="112" t="s">
        <v>5640</v>
      </c>
      <c r="B2032" s="113" t="s">
        <v>4432</v>
      </c>
      <c r="C2032" s="114" t="s">
        <v>20</v>
      </c>
      <c r="D2032" s="114">
        <v>0</v>
      </c>
      <c r="E2032" s="133" t="s">
        <v>514</v>
      </c>
      <c r="F2032" s="134" t="str">
        <f t="shared" si="105"/>
        <v/>
      </c>
      <c r="G2032" s="135" t="e">
        <f>IF(A2032&lt;&gt;"",IF(AND(#REF!="Padrão",$H$4=#REF!),BDI!$B$17,IF(AND(#REF!="Padrão",$H$4=#REF!),BDI!#REF!,IF(AND(#REF!="Diferenciado",$H$4=#REF!),BDI!$E$17,IF(AND(#REF!="Diferenciado",$H$4=#REF!),BDI!#REF!,IF(#REF!="ZERO",0))))),"")</f>
        <v>#REF!</v>
      </c>
      <c r="H2032" s="136" t="str">
        <f t="shared" si="106"/>
        <v/>
      </c>
      <c r="I2032" s="134" t="str">
        <f t="shared" si="107"/>
        <v/>
      </c>
      <c r="J2032" s="226"/>
    </row>
    <row r="2033" spans="1:10" hidden="1" x14ac:dyDescent="0.25">
      <c r="A2033" s="112" t="s">
        <v>5641</v>
      </c>
      <c r="B2033" s="113" t="s">
        <v>4433</v>
      </c>
      <c r="C2033" s="114" t="s">
        <v>20</v>
      </c>
      <c r="D2033" s="114">
        <v>0</v>
      </c>
      <c r="E2033" s="133" t="s">
        <v>514</v>
      </c>
      <c r="F2033" s="134" t="str">
        <f t="shared" si="105"/>
        <v/>
      </c>
      <c r="G2033" s="135" t="e">
        <f>IF(A2033&lt;&gt;"",IF(AND(#REF!="Padrão",$H$4=#REF!),BDI!$B$17,IF(AND(#REF!="Padrão",$H$4=#REF!),BDI!#REF!,IF(AND(#REF!="Diferenciado",$H$4=#REF!),BDI!$E$17,IF(AND(#REF!="Diferenciado",$H$4=#REF!),BDI!#REF!,IF(#REF!="ZERO",0))))),"")</f>
        <v>#REF!</v>
      </c>
      <c r="H2033" s="136" t="str">
        <f t="shared" si="106"/>
        <v/>
      </c>
      <c r="I2033" s="134" t="str">
        <f t="shared" si="107"/>
        <v/>
      </c>
      <c r="J2033" s="226"/>
    </row>
    <row r="2034" spans="1:10" hidden="1" x14ac:dyDescent="0.25">
      <c r="A2034" s="112" t="s">
        <v>5642</v>
      </c>
      <c r="B2034" s="113" t="s">
        <v>4434</v>
      </c>
      <c r="C2034" s="114" t="s">
        <v>20</v>
      </c>
      <c r="D2034" s="114">
        <v>0</v>
      </c>
      <c r="E2034" s="133" t="s">
        <v>514</v>
      </c>
      <c r="F2034" s="134" t="str">
        <f t="shared" si="105"/>
        <v/>
      </c>
      <c r="G2034" s="135" t="e">
        <f>IF(A2034&lt;&gt;"",IF(AND(#REF!="Padrão",$H$4=#REF!),BDI!$B$17,IF(AND(#REF!="Padrão",$H$4=#REF!),BDI!#REF!,IF(AND(#REF!="Diferenciado",$H$4=#REF!),BDI!$E$17,IF(AND(#REF!="Diferenciado",$H$4=#REF!),BDI!#REF!,IF(#REF!="ZERO",0))))),"")</f>
        <v>#REF!</v>
      </c>
      <c r="H2034" s="136" t="str">
        <f t="shared" si="106"/>
        <v/>
      </c>
      <c r="I2034" s="134" t="str">
        <f t="shared" si="107"/>
        <v/>
      </c>
      <c r="J2034" s="226"/>
    </row>
    <row r="2035" spans="1:10" hidden="1" x14ac:dyDescent="0.25">
      <c r="A2035" s="112" t="s">
        <v>5643</v>
      </c>
      <c r="B2035" s="113" t="s">
        <v>4435</v>
      </c>
      <c r="C2035" s="114" t="s">
        <v>20</v>
      </c>
      <c r="D2035" s="114">
        <v>0</v>
      </c>
      <c r="E2035" s="133" t="s">
        <v>514</v>
      </c>
      <c r="F2035" s="134" t="str">
        <f t="shared" si="105"/>
        <v/>
      </c>
      <c r="G2035" s="135" t="e">
        <f>IF(A2035&lt;&gt;"",IF(AND(#REF!="Padrão",$H$4=#REF!),BDI!$B$17,IF(AND(#REF!="Padrão",$H$4=#REF!),BDI!#REF!,IF(AND(#REF!="Diferenciado",$H$4=#REF!),BDI!$E$17,IF(AND(#REF!="Diferenciado",$H$4=#REF!),BDI!#REF!,IF(#REF!="ZERO",0))))),"")</f>
        <v>#REF!</v>
      </c>
      <c r="H2035" s="136" t="str">
        <f t="shared" si="106"/>
        <v/>
      </c>
      <c r="I2035" s="134" t="str">
        <f t="shared" si="107"/>
        <v/>
      </c>
      <c r="J2035" s="226"/>
    </row>
    <row r="2036" spans="1:10" hidden="1" x14ac:dyDescent="0.25">
      <c r="A2036" s="112" t="s">
        <v>5644</v>
      </c>
      <c r="B2036" s="113" t="s">
        <v>4436</v>
      </c>
      <c r="C2036" s="114" t="s">
        <v>20</v>
      </c>
      <c r="D2036" s="114">
        <v>0</v>
      </c>
      <c r="E2036" s="133" t="s">
        <v>514</v>
      </c>
      <c r="F2036" s="134" t="str">
        <f t="shared" si="105"/>
        <v/>
      </c>
      <c r="G2036" s="135" t="e">
        <f>IF(A2036&lt;&gt;"",IF(AND(#REF!="Padrão",$H$4=#REF!),BDI!$B$17,IF(AND(#REF!="Padrão",$H$4=#REF!),BDI!#REF!,IF(AND(#REF!="Diferenciado",$H$4=#REF!),BDI!$E$17,IF(AND(#REF!="Diferenciado",$H$4=#REF!),BDI!#REF!,IF(#REF!="ZERO",0))))),"")</f>
        <v>#REF!</v>
      </c>
      <c r="H2036" s="136" t="str">
        <f t="shared" si="106"/>
        <v/>
      </c>
      <c r="I2036" s="134" t="str">
        <f t="shared" si="107"/>
        <v/>
      </c>
      <c r="J2036" s="226"/>
    </row>
    <row r="2037" spans="1:10" hidden="1" x14ac:dyDescent="0.25">
      <c r="A2037" s="112" t="s">
        <v>5645</v>
      </c>
      <c r="B2037" s="113" t="s">
        <v>4437</v>
      </c>
      <c r="C2037" s="114" t="s">
        <v>20</v>
      </c>
      <c r="D2037" s="114">
        <v>0</v>
      </c>
      <c r="E2037" s="133" t="s">
        <v>514</v>
      </c>
      <c r="F2037" s="134" t="str">
        <f t="shared" si="105"/>
        <v/>
      </c>
      <c r="G2037" s="135" t="e">
        <f>IF(A2037&lt;&gt;"",IF(AND(#REF!="Padrão",$H$4=#REF!),BDI!$B$17,IF(AND(#REF!="Padrão",$H$4=#REF!),BDI!#REF!,IF(AND(#REF!="Diferenciado",$H$4=#REF!),BDI!$E$17,IF(AND(#REF!="Diferenciado",$H$4=#REF!),BDI!#REF!,IF(#REF!="ZERO",0))))),"")</f>
        <v>#REF!</v>
      </c>
      <c r="H2037" s="136" t="str">
        <f t="shared" si="106"/>
        <v/>
      </c>
      <c r="I2037" s="134" t="str">
        <f t="shared" si="107"/>
        <v/>
      </c>
      <c r="J2037" s="226"/>
    </row>
    <row r="2038" spans="1:10" hidden="1" x14ac:dyDescent="0.25">
      <c r="A2038" s="112" t="s">
        <v>5646</v>
      </c>
      <c r="B2038" s="113" t="s">
        <v>4438</v>
      </c>
      <c r="C2038" s="114" t="s">
        <v>20</v>
      </c>
      <c r="D2038" s="114">
        <v>0</v>
      </c>
      <c r="E2038" s="133" t="s">
        <v>514</v>
      </c>
      <c r="F2038" s="134" t="str">
        <f t="shared" si="105"/>
        <v/>
      </c>
      <c r="G2038" s="135" t="e">
        <f>IF(A2038&lt;&gt;"",IF(AND(#REF!="Padrão",$H$4=#REF!),BDI!$B$17,IF(AND(#REF!="Padrão",$H$4=#REF!),BDI!#REF!,IF(AND(#REF!="Diferenciado",$H$4=#REF!),BDI!$E$17,IF(AND(#REF!="Diferenciado",$H$4=#REF!),BDI!#REF!,IF(#REF!="ZERO",0))))),"")</f>
        <v>#REF!</v>
      </c>
      <c r="H2038" s="136" t="str">
        <f t="shared" si="106"/>
        <v/>
      </c>
      <c r="I2038" s="134" t="str">
        <f t="shared" si="107"/>
        <v/>
      </c>
      <c r="J2038" s="226"/>
    </row>
    <row r="2039" spans="1:10" hidden="1" x14ac:dyDescent="0.25">
      <c r="A2039" s="112" t="s">
        <v>5647</v>
      </c>
      <c r="B2039" s="113" t="s">
        <v>4439</v>
      </c>
      <c r="C2039" s="114" t="s">
        <v>20</v>
      </c>
      <c r="D2039" s="114">
        <v>0</v>
      </c>
      <c r="E2039" s="133" t="s">
        <v>514</v>
      </c>
      <c r="F2039" s="134" t="str">
        <f t="shared" si="105"/>
        <v/>
      </c>
      <c r="G2039" s="135" t="e">
        <f>IF(A2039&lt;&gt;"",IF(AND(#REF!="Padrão",$H$4=#REF!),BDI!$B$17,IF(AND(#REF!="Padrão",$H$4=#REF!),BDI!#REF!,IF(AND(#REF!="Diferenciado",$H$4=#REF!),BDI!$E$17,IF(AND(#REF!="Diferenciado",$H$4=#REF!),BDI!#REF!,IF(#REF!="ZERO",0))))),"")</f>
        <v>#REF!</v>
      </c>
      <c r="H2039" s="136" t="str">
        <f t="shared" si="106"/>
        <v/>
      </c>
      <c r="I2039" s="134" t="str">
        <f t="shared" si="107"/>
        <v/>
      </c>
      <c r="J2039" s="226"/>
    </row>
    <row r="2040" spans="1:10" hidden="1" x14ac:dyDescent="0.25">
      <c r="A2040" s="112" t="s">
        <v>5648</v>
      </c>
      <c r="B2040" s="113" t="s">
        <v>4440</v>
      </c>
      <c r="C2040" s="114" t="s">
        <v>20</v>
      </c>
      <c r="D2040" s="114">
        <v>0</v>
      </c>
      <c r="E2040" s="133" t="s">
        <v>514</v>
      </c>
      <c r="F2040" s="134" t="str">
        <f t="shared" si="105"/>
        <v/>
      </c>
      <c r="G2040" s="135" t="e">
        <f>IF(A2040&lt;&gt;"",IF(AND(#REF!="Padrão",$H$4=#REF!),BDI!$B$17,IF(AND(#REF!="Padrão",$H$4=#REF!),BDI!#REF!,IF(AND(#REF!="Diferenciado",$H$4=#REF!),BDI!$E$17,IF(AND(#REF!="Diferenciado",$H$4=#REF!),BDI!#REF!,IF(#REF!="ZERO",0))))),"")</f>
        <v>#REF!</v>
      </c>
      <c r="H2040" s="136" t="str">
        <f t="shared" si="106"/>
        <v/>
      </c>
      <c r="I2040" s="134" t="str">
        <f t="shared" si="107"/>
        <v/>
      </c>
      <c r="J2040" s="226"/>
    </row>
    <row r="2041" spans="1:10" hidden="1" x14ac:dyDescent="0.25">
      <c r="A2041" s="112" t="s">
        <v>5649</v>
      </c>
      <c r="B2041" s="113" t="s">
        <v>4441</v>
      </c>
      <c r="C2041" s="114" t="s">
        <v>20</v>
      </c>
      <c r="D2041" s="114">
        <v>0</v>
      </c>
      <c r="E2041" s="133" t="s">
        <v>514</v>
      </c>
      <c r="F2041" s="134" t="str">
        <f t="shared" si="105"/>
        <v/>
      </c>
      <c r="G2041" s="135" t="e">
        <f>IF(A2041&lt;&gt;"",IF(AND(#REF!="Padrão",$H$4=#REF!),BDI!$B$17,IF(AND(#REF!="Padrão",$H$4=#REF!),BDI!#REF!,IF(AND(#REF!="Diferenciado",$H$4=#REF!),BDI!$E$17,IF(AND(#REF!="Diferenciado",$H$4=#REF!),BDI!#REF!,IF(#REF!="ZERO",0))))),"")</f>
        <v>#REF!</v>
      </c>
      <c r="H2041" s="136" t="str">
        <f t="shared" si="106"/>
        <v/>
      </c>
      <c r="I2041" s="134" t="str">
        <f t="shared" si="107"/>
        <v/>
      </c>
      <c r="J2041" s="226"/>
    </row>
    <row r="2042" spans="1:10" hidden="1" x14ac:dyDescent="0.25">
      <c r="A2042" s="112" t="s">
        <v>5650</v>
      </c>
      <c r="B2042" s="113" t="s">
        <v>4442</v>
      </c>
      <c r="C2042" s="114" t="s">
        <v>20</v>
      </c>
      <c r="D2042" s="114">
        <v>0</v>
      </c>
      <c r="E2042" s="133" t="s">
        <v>514</v>
      </c>
      <c r="F2042" s="134" t="str">
        <f t="shared" si="105"/>
        <v/>
      </c>
      <c r="G2042" s="135" t="e">
        <f>IF(A2042&lt;&gt;"",IF(AND(#REF!="Padrão",$H$4=#REF!),BDI!$B$17,IF(AND(#REF!="Padrão",$H$4=#REF!),BDI!#REF!,IF(AND(#REF!="Diferenciado",$H$4=#REF!),BDI!$E$17,IF(AND(#REF!="Diferenciado",$H$4=#REF!),BDI!#REF!,IF(#REF!="ZERO",0))))),"")</f>
        <v>#REF!</v>
      </c>
      <c r="H2042" s="136" t="str">
        <f t="shared" si="106"/>
        <v/>
      </c>
      <c r="I2042" s="134" t="str">
        <f t="shared" si="107"/>
        <v/>
      </c>
      <c r="J2042" s="226"/>
    </row>
    <row r="2043" spans="1:10" hidden="1" x14ac:dyDescent="0.25">
      <c r="A2043" s="112" t="s">
        <v>5651</v>
      </c>
      <c r="B2043" s="113" t="s">
        <v>4443</v>
      </c>
      <c r="C2043" s="114" t="s">
        <v>20</v>
      </c>
      <c r="D2043" s="114">
        <v>0</v>
      </c>
      <c r="E2043" s="133" t="s">
        <v>514</v>
      </c>
      <c r="F2043" s="134" t="str">
        <f t="shared" si="105"/>
        <v/>
      </c>
      <c r="G2043" s="135" t="e">
        <f>IF(A2043&lt;&gt;"",IF(AND(#REF!="Padrão",$H$4=#REF!),BDI!$B$17,IF(AND(#REF!="Padrão",$H$4=#REF!),BDI!#REF!,IF(AND(#REF!="Diferenciado",$H$4=#REF!),BDI!$E$17,IF(AND(#REF!="Diferenciado",$H$4=#REF!),BDI!#REF!,IF(#REF!="ZERO",0))))),"")</f>
        <v>#REF!</v>
      </c>
      <c r="H2043" s="136" t="str">
        <f t="shared" si="106"/>
        <v/>
      </c>
      <c r="I2043" s="134" t="str">
        <f t="shared" si="107"/>
        <v/>
      </c>
      <c r="J2043" s="226"/>
    </row>
    <row r="2044" spans="1:10" hidden="1" x14ac:dyDescent="0.25">
      <c r="A2044" s="112" t="s">
        <v>5652</v>
      </c>
      <c r="B2044" s="113" t="s">
        <v>4444</v>
      </c>
      <c r="C2044" s="114" t="s">
        <v>20</v>
      </c>
      <c r="D2044" s="114">
        <v>0</v>
      </c>
      <c r="E2044" s="133" t="s">
        <v>514</v>
      </c>
      <c r="F2044" s="134" t="str">
        <f t="shared" si="105"/>
        <v/>
      </c>
      <c r="G2044" s="135" t="e">
        <f>IF(A2044&lt;&gt;"",IF(AND(#REF!="Padrão",$H$4=#REF!),BDI!$B$17,IF(AND(#REF!="Padrão",$H$4=#REF!),BDI!#REF!,IF(AND(#REF!="Diferenciado",$H$4=#REF!),BDI!$E$17,IF(AND(#REF!="Diferenciado",$H$4=#REF!),BDI!#REF!,IF(#REF!="ZERO",0))))),"")</f>
        <v>#REF!</v>
      </c>
      <c r="H2044" s="136" t="str">
        <f t="shared" si="106"/>
        <v/>
      </c>
      <c r="I2044" s="134" t="str">
        <f t="shared" si="107"/>
        <v/>
      </c>
      <c r="J2044" s="226"/>
    </row>
    <row r="2045" spans="1:10" hidden="1" x14ac:dyDescent="0.25">
      <c r="A2045" s="112" t="s">
        <v>5653</v>
      </c>
      <c r="B2045" s="113" t="s">
        <v>4445</v>
      </c>
      <c r="C2045" s="114" t="s">
        <v>20</v>
      </c>
      <c r="D2045" s="114">
        <v>0</v>
      </c>
      <c r="E2045" s="133" t="s">
        <v>514</v>
      </c>
      <c r="F2045" s="134" t="str">
        <f t="shared" si="105"/>
        <v/>
      </c>
      <c r="G2045" s="135" t="e">
        <f>IF(A2045&lt;&gt;"",IF(AND(#REF!="Padrão",$H$4=#REF!),BDI!$B$17,IF(AND(#REF!="Padrão",$H$4=#REF!),BDI!#REF!,IF(AND(#REF!="Diferenciado",$H$4=#REF!),BDI!$E$17,IF(AND(#REF!="Diferenciado",$H$4=#REF!),BDI!#REF!,IF(#REF!="ZERO",0))))),"")</f>
        <v>#REF!</v>
      </c>
      <c r="H2045" s="136" t="str">
        <f t="shared" si="106"/>
        <v/>
      </c>
      <c r="I2045" s="134" t="str">
        <f t="shared" si="107"/>
        <v/>
      </c>
      <c r="J2045" s="226"/>
    </row>
    <row r="2046" spans="1:10" hidden="1" x14ac:dyDescent="0.25">
      <c r="A2046" s="112" t="s">
        <v>5654</v>
      </c>
      <c r="B2046" s="113" t="s">
        <v>4446</v>
      </c>
      <c r="C2046" s="114" t="s">
        <v>20</v>
      </c>
      <c r="D2046" s="114">
        <v>0</v>
      </c>
      <c r="E2046" s="133" t="s">
        <v>514</v>
      </c>
      <c r="F2046" s="134" t="str">
        <f t="shared" si="105"/>
        <v/>
      </c>
      <c r="G2046" s="135" t="e">
        <f>IF(A2046&lt;&gt;"",IF(AND(#REF!="Padrão",$H$4=#REF!),BDI!$B$17,IF(AND(#REF!="Padrão",$H$4=#REF!),BDI!#REF!,IF(AND(#REF!="Diferenciado",$H$4=#REF!),BDI!$E$17,IF(AND(#REF!="Diferenciado",$H$4=#REF!),BDI!#REF!,IF(#REF!="ZERO",0))))),"")</f>
        <v>#REF!</v>
      </c>
      <c r="H2046" s="136" t="str">
        <f t="shared" si="106"/>
        <v/>
      </c>
      <c r="I2046" s="134" t="str">
        <f t="shared" si="107"/>
        <v/>
      </c>
      <c r="J2046" s="226"/>
    </row>
    <row r="2047" spans="1:10" hidden="1" x14ac:dyDescent="0.25">
      <c r="A2047" s="112" t="s">
        <v>5655</v>
      </c>
      <c r="B2047" s="113" t="s">
        <v>4447</v>
      </c>
      <c r="C2047" s="114" t="s">
        <v>20</v>
      </c>
      <c r="D2047" s="114">
        <v>0</v>
      </c>
      <c r="E2047" s="133" t="s">
        <v>514</v>
      </c>
      <c r="F2047" s="134" t="str">
        <f t="shared" si="105"/>
        <v/>
      </c>
      <c r="G2047" s="135" t="e">
        <f>IF(A2047&lt;&gt;"",IF(AND(#REF!="Padrão",$H$4=#REF!),BDI!$B$17,IF(AND(#REF!="Padrão",$H$4=#REF!),BDI!#REF!,IF(AND(#REF!="Diferenciado",$H$4=#REF!),BDI!$E$17,IF(AND(#REF!="Diferenciado",$H$4=#REF!),BDI!#REF!,IF(#REF!="ZERO",0))))),"")</f>
        <v>#REF!</v>
      </c>
      <c r="H2047" s="136" t="str">
        <f t="shared" si="106"/>
        <v/>
      </c>
      <c r="I2047" s="134" t="str">
        <f t="shared" si="107"/>
        <v/>
      </c>
      <c r="J2047" s="226"/>
    </row>
    <row r="2048" spans="1:10" hidden="1" x14ac:dyDescent="0.25">
      <c r="A2048" s="112" t="s">
        <v>5656</v>
      </c>
      <c r="B2048" s="113" t="s">
        <v>4448</v>
      </c>
      <c r="C2048" s="114" t="s">
        <v>20</v>
      </c>
      <c r="D2048" s="114">
        <v>0</v>
      </c>
      <c r="E2048" s="133" t="s">
        <v>514</v>
      </c>
      <c r="F2048" s="134" t="str">
        <f t="shared" si="105"/>
        <v/>
      </c>
      <c r="G2048" s="135" t="e">
        <f>IF(A2048&lt;&gt;"",IF(AND(#REF!="Padrão",$H$4=#REF!),BDI!$B$17,IF(AND(#REF!="Padrão",$H$4=#REF!),BDI!#REF!,IF(AND(#REF!="Diferenciado",$H$4=#REF!),BDI!$E$17,IF(AND(#REF!="Diferenciado",$H$4=#REF!),BDI!#REF!,IF(#REF!="ZERO",0))))),"")</f>
        <v>#REF!</v>
      </c>
      <c r="H2048" s="136" t="str">
        <f t="shared" si="106"/>
        <v/>
      </c>
      <c r="I2048" s="134" t="str">
        <f t="shared" si="107"/>
        <v/>
      </c>
      <c r="J2048" s="226"/>
    </row>
    <row r="2049" spans="1:10" hidden="1" x14ac:dyDescent="0.25">
      <c r="A2049" s="112" t="s">
        <v>5657</v>
      </c>
      <c r="B2049" s="113" t="s">
        <v>4449</v>
      </c>
      <c r="C2049" s="114" t="s">
        <v>20</v>
      </c>
      <c r="D2049" s="114">
        <v>0</v>
      </c>
      <c r="E2049" s="133" t="s">
        <v>514</v>
      </c>
      <c r="F2049" s="134" t="str">
        <f t="shared" si="105"/>
        <v/>
      </c>
      <c r="G2049" s="135" t="e">
        <f>IF(A2049&lt;&gt;"",IF(AND(#REF!="Padrão",$H$4=#REF!),BDI!$B$17,IF(AND(#REF!="Padrão",$H$4=#REF!),BDI!#REF!,IF(AND(#REF!="Diferenciado",$H$4=#REF!),BDI!$E$17,IF(AND(#REF!="Diferenciado",$H$4=#REF!),BDI!#REF!,IF(#REF!="ZERO",0))))),"")</f>
        <v>#REF!</v>
      </c>
      <c r="H2049" s="136" t="str">
        <f t="shared" si="106"/>
        <v/>
      </c>
      <c r="I2049" s="134" t="str">
        <f t="shared" si="107"/>
        <v/>
      </c>
      <c r="J2049" s="226"/>
    </row>
    <row r="2050" spans="1:10" hidden="1" x14ac:dyDescent="0.25">
      <c r="A2050" s="112" t="s">
        <v>5658</v>
      </c>
      <c r="B2050" s="113" t="s">
        <v>4450</v>
      </c>
      <c r="C2050" s="114" t="s">
        <v>20</v>
      </c>
      <c r="D2050" s="114">
        <v>0</v>
      </c>
      <c r="E2050" s="133" t="s">
        <v>514</v>
      </c>
      <c r="F2050" s="134" t="str">
        <f t="shared" si="105"/>
        <v/>
      </c>
      <c r="G2050" s="135" t="e">
        <f>IF(A2050&lt;&gt;"",IF(AND(#REF!="Padrão",$H$4=#REF!),BDI!$B$17,IF(AND(#REF!="Padrão",$H$4=#REF!),BDI!#REF!,IF(AND(#REF!="Diferenciado",$H$4=#REF!),BDI!$E$17,IF(AND(#REF!="Diferenciado",$H$4=#REF!),BDI!#REF!,IF(#REF!="ZERO",0))))),"")</f>
        <v>#REF!</v>
      </c>
      <c r="H2050" s="136" t="str">
        <f t="shared" si="106"/>
        <v/>
      </c>
      <c r="I2050" s="134" t="str">
        <f t="shared" si="107"/>
        <v/>
      </c>
      <c r="J2050" s="226"/>
    </row>
    <row r="2051" spans="1:10" hidden="1" x14ac:dyDescent="0.25">
      <c r="A2051" s="112" t="s">
        <v>5659</v>
      </c>
      <c r="B2051" s="113" t="s">
        <v>4451</v>
      </c>
      <c r="C2051" s="114" t="s">
        <v>20</v>
      </c>
      <c r="D2051" s="114">
        <v>0</v>
      </c>
      <c r="E2051" s="133" t="s">
        <v>514</v>
      </c>
      <c r="F2051" s="134" t="str">
        <f t="shared" si="105"/>
        <v/>
      </c>
      <c r="G2051" s="135" t="e">
        <f>IF(A2051&lt;&gt;"",IF(AND(#REF!="Padrão",$H$4=#REF!),BDI!$B$17,IF(AND(#REF!="Padrão",$H$4=#REF!),BDI!#REF!,IF(AND(#REF!="Diferenciado",$H$4=#REF!),BDI!$E$17,IF(AND(#REF!="Diferenciado",$H$4=#REF!),BDI!#REF!,IF(#REF!="ZERO",0))))),"")</f>
        <v>#REF!</v>
      </c>
      <c r="H2051" s="136" t="str">
        <f t="shared" si="106"/>
        <v/>
      </c>
      <c r="I2051" s="134" t="str">
        <f t="shared" si="107"/>
        <v/>
      </c>
      <c r="J2051" s="226"/>
    </row>
    <row r="2052" spans="1:10" hidden="1" x14ac:dyDescent="0.25">
      <c r="A2052" s="112" t="s">
        <v>5660</v>
      </c>
      <c r="B2052" s="113" t="s">
        <v>4452</v>
      </c>
      <c r="C2052" s="114" t="s">
        <v>20</v>
      </c>
      <c r="D2052" s="114">
        <v>0</v>
      </c>
      <c r="E2052" s="133" t="s">
        <v>514</v>
      </c>
      <c r="F2052" s="134" t="str">
        <f t="shared" si="105"/>
        <v/>
      </c>
      <c r="G2052" s="135" t="e">
        <f>IF(A2052&lt;&gt;"",IF(AND(#REF!="Padrão",$H$4=#REF!),BDI!$B$17,IF(AND(#REF!="Padrão",$H$4=#REF!),BDI!#REF!,IF(AND(#REF!="Diferenciado",$H$4=#REF!),BDI!$E$17,IF(AND(#REF!="Diferenciado",$H$4=#REF!),BDI!#REF!,IF(#REF!="ZERO",0))))),"")</f>
        <v>#REF!</v>
      </c>
      <c r="H2052" s="136" t="str">
        <f t="shared" si="106"/>
        <v/>
      </c>
      <c r="I2052" s="134" t="str">
        <f t="shared" si="107"/>
        <v/>
      </c>
      <c r="J2052" s="226"/>
    </row>
    <row r="2053" spans="1:10" hidden="1" x14ac:dyDescent="0.25">
      <c r="A2053" s="112" t="s">
        <v>5661</v>
      </c>
      <c r="B2053" s="113" t="s">
        <v>4453</v>
      </c>
      <c r="C2053" s="114" t="s">
        <v>20</v>
      </c>
      <c r="D2053" s="114">
        <v>0</v>
      </c>
      <c r="E2053" s="133" t="s">
        <v>514</v>
      </c>
      <c r="F2053" s="134" t="str">
        <f t="shared" si="105"/>
        <v/>
      </c>
      <c r="G2053" s="135" t="e">
        <f>IF(A2053&lt;&gt;"",IF(AND(#REF!="Padrão",$H$4=#REF!),BDI!$B$17,IF(AND(#REF!="Padrão",$H$4=#REF!),BDI!#REF!,IF(AND(#REF!="Diferenciado",$H$4=#REF!),BDI!$E$17,IF(AND(#REF!="Diferenciado",$H$4=#REF!),BDI!#REF!,IF(#REF!="ZERO",0))))),"")</f>
        <v>#REF!</v>
      </c>
      <c r="H2053" s="136" t="str">
        <f t="shared" si="106"/>
        <v/>
      </c>
      <c r="I2053" s="134" t="str">
        <f t="shared" si="107"/>
        <v/>
      </c>
      <c r="J2053" s="226"/>
    </row>
    <row r="2054" spans="1:10" hidden="1" x14ac:dyDescent="0.25">
      <c r="A2054" s="112" t="s">
        <v>5662</v>
      </c>
      <c r="B2054" s="113" t="s">
        <v>4454</v>
      </c>
      <c r="C2054" s="114" t="s">
        <v>20</v>
      </c>
      <c r="D2054" s="114">
        <v>0</v>
      </c>
      <c r="E2054" s="133" t="s">
        <v>514</v>
      </c>
      <c r="F2054" s="134" t="str">
        <f t="shared" si="105"/>
        <v/>
      </c>
      <c r="G2054" s="135" t="e">
        <f>IF(A2054&lt;&gt;"",IF(AND(#REF!="Padrão",$H$4=#REF!),BDI!$B$17,IF(AND(#REF!="Padrão",$H$4=#REF!),BDI!#REF!,IF(AND(#REF!="Diferenciado",$H$4=#REF!),BDI!$E$17,IF(AND(#REF!="Diferenciado",$H$4=#REF!),BDI!#REF!,IF(#REF!="ZERO",0))))),"")</f>
        <v>#REF!</v>
      </c>
      <c r="H2054" s="136" t="str">
        <f t="shared" si="106"/>
        <v/>
      </c>
      <c r="I2054" s="134" t="str">
        <f t="shared" si="107"/>
        <v/>
      </c>
      <c r="J2054" s="226"/>
    </row>
    <row r="2055" spans="1:10" hidden="1" x14ac:dyDescent="0.25">
      <c r="A2055" s="112" t="s">
        <v>5663</v>
      </c>
      <c r="B2055" s="113" t="s">
        <v>4455</v>
      </c>
      <c r="C2055" s="114" t="s">
        <v>20</v>
      </c>
      <c r="D2055" s="114">
        <v>0</v>
      </c>
      <c r="E2055" s="133" t="s">
        <v>514</v>
      </c>
      <c r="F2055" s="134" t="str">
        <f t="shared" si="105"/>
        <v/>
      </c>
      <c r="G2055" s="135" t="e">
        <f>IF(A2055&lt;&gt;"",IF(AND(#REF!="Padrão",$H$4=#REF!),BDI!$B$17,IF(AND(#REF!="Padrão",$H$4=#REF!),BDI!#REF!,IF(AND(#REF!="Diferenciado",$H$4=#REF!),BDI!$E$17,IF(AND(#REF!="Diferenciado",$H$4=#REF!),BDI!#REF!,IF(#REF!="ZERO",0))))),"")</f>
        <v>#REF!</v>
      </c>
      <c r="H2055" s="136" t="str">
        <f t="shared" si="106"/>
        <v/>
      </c>
      <c r="I2055" s="134" t="str">
        <f t="shared" si="107"/>
        <v/>
      </c>
      <c r="J2055" s="226"/>
    </row>
    <row r="2056" spans="1:10" hidden="1" x14ac:dyDescent="0.25">
      <c r="A2056" s="112" t="s">
        <v>5664</v>
      </c>
      <c r="B2056" s="113" t="s">
        <v>4456</v>
      </c>
      <c r="C2056" s="114" t="s">
        <v>20</v>
      </c>
      <c r="D2056" s="114">
        <v>0</v>
      </c>
      <c r="E2056" s="133" t="s">
        <v>514</v>
      </c>
      <c r="F2056" s="134" t="str">
        <f t="shared" si="105"/>
        <v/>
      </c>
      <c r="G2056" s="135" t="e">
        <f>IF(A2056&lt;&gt;"",IF(AND(#REF!="Padrão",$H$4=#REF!),BDI!$B$17,IF(AND(#REF!="Padrão",$H$4=#REF!),BDI!#REF!,IF(AND(#REF!="Diferenciado",$H$4=#REF!),BDI!$E$17,IF(AND(#REF!="Diferenciado",$H$4=#REF!),BDI!#REF!,IF(#REF!="ZERO",0))))),"")</f>
        <v>#REF!</v>
      </c>
      <c r="H2056" s="136" t="str">
        <f t="shared" si="106"/>
        <v/>
      </c>
      <c r="I2056" s="134" t="str">
        <f t="shared" si="107"/>
        <v/>
      </c>
      <c r="J2056" s="226"/>
    </row>
    <row r="2057" spans="1:10" hidden="1" x14ac:dyDescent="0.25">
      <c r="A2057" s="112" t="s">
        <v>5665</v>
      </c>
      <c r="B2057" s="113" t="s">
        <v>4457</v>
      </c>
      <c r="C2057" s="114" t="s">
        <v>20</v>
      </c>
      <c r="D2057" s="114">
        <v>0</v>
      </c>
      <c r="E2057" s="133" t="s">
        <v>514</v>
      </c>
      <c r="F2057" s="134" t="str">
        <f t="shared" si="105"/>
        <v/>
      </c>
      <c r="G2057" s="135" t="e">
        <f>IF(A2057&lt;&gt;"",IF(AND(#REF!="Padrão",$H$4=#REF!),BDI!$B$17,IF(AND(#REF!="Padrão",$H$4=#REF!),BDI!#REF!,IF(AND(#REF!="Diferenciado",$H$4=#REF!),BDI!$E$17,IF(AND(#REF!="Diferenciado",$H$4=#REF!),BDI!#REF!,IF(#REF!="ZERO",0))))),"")</f>
        <v>#REF!</v>
      </c>
      <c r="H2057" s="136" t="str">
        <f t="shared" si="106"/>
        <v/>
      </c>
      <c r="I2057" s="134" t="str">
        <f t="shared" si="107"/>
        <v/>
      </c>
      <c r="J2057" s="226"/>
    </row>
    <row r="2058" spans="1:10" hidden="1" x14ac:dyDescent="0.25">
      <c r="A2058" s="112" t="s">
        <v>5666</v>
      </c>
      <c r="B2058" s="113" t="s">
        <v>4458</v>
      </c>
      <c r="C2058" s="114" t="s">
        <v>20</v>
      </c>
      <c r="D2058" s="114">
        <v>0</v>
      </c>
      <c r="E2058" s="133" t="s">
        <v>514</v>
      </c>
      <c r="F2058" s="134" t="str">
        <f t="shared" si="105"/>
        <v/>
      </c>
      <c r="G2058" s="135" t="e">
        <f>IF(A2058&lt;&gt;"",IF(AND(#REF!="Padrão",$H$4=#REF!),BDI!$B$17,IF(AND(#REF!="Padrão",$H$4=#REF!),BDI!#REF!,IF(AND(#REF!="Diferenciado",$H$4=#REF!),BDI!$E$17,IF(AND(#REF!="Diferenciado",$H$4=#REF!),BDI!#REF!,IF(#REF!="ZERO",0))))),"")</f>
        <v>#REF!</v>
      </c>
      <c r="H2058" s="136" t="str">
        <f t="shared" si="106"/>
        <v/>
      </c>
      <c r="I2058" s="134" t="str">
        <f t="shared" si="107"/>
        <v/>
      </c>
      <c r="J2058" s="226"/>
    </row>
    <row r="2059" spans="1:10" hidden="1" x14ac:dyDescent="0.25">
      <c r="A2059" s="112" t="s">
        <v>5667</v>
      </c>
      <c r="B2059" s="113" t="s">
        <v>4459</v>
      </c>
      <c r="C2059" s="114" t="s">
        <v>20</v>
      </c>
      <c r="D2059" s="114">
        <v>0</v>
      </c>
      <c r="E2059" s="133" t="s">
        <v>514</v>
      </c>
      <c r="F2059" s="134" t="str">
        <f t="shared" si="105"/>
        <v/>
      </c>
      <c r="G2059" s="135" t="e">
        <f>IF(A2059&lt;&gt;"",IF(AND(#REF!="Padrão",$H$4=#REF!),BDI!$B$17,IF(AND(#REF!="Padrão",$H$4=#REF!),BDI!#REF!,IF(AND(#REF!="Diferenciado",$H$4=#REF!),BDI!$E$17,IF(AND(#REF!="Diferenciado",$H$4=#REF!),BDI!#REF!,IF(#REF!="ZERO",0))))),"")</f>
        <v>#REF!</v>
      </c>
      <c r="H2059" s="136" t="str">
        <f t="shared" si="106"/>
        <v/>
      </c>
      <c r="I2059" s="134" t="str">
        <f t="shared" si="107"/>
        <v/>
      </c>
      <c r="J2059" s="226"/>
    </row>
    <row r="2060" spans="1:10" hidden="1" x14ac:dyDescent="0.25">
      <c r="A2060" s="112" t="s">
        <v>5668</v>
      </c>
      <c r="B2060" s="113" t="s">
        <v>4460</v>
      </c>
      <c r="C2060" s="114" t="s">
        <v>20</v>
      </c>
      <c r="D2060" s="114">
        <v>0</v>
      </c>
      <c r="E2060" s="133" t="s">
        <v>514</v>
      </c>
      <c r="F2060" s="134" t="str">
        <f t="shared" si="105"/>
        <v/>
      </c>
      <c r="G2060" s="135" t="e">
        <f>IF(A2060&lt;&gt;"",IF(AND(#REF!="Padrão",$H$4=#REF!),BDI!$B$17,IF(AND(#REF!="Padrão",$H$4=#REF!),BDI!#REF!,IF(AND(#REF!="Diferenciado",$H$4=#REF!),BDI!$E$17,IF(AND(#REF!="Diferenciado",$H$4=#REF!),BDI!#REF!,IF(#REF!="ZERO",0))))),"")</f>
        <v>#REF!</v>
      </c>
      <c r="H2060" s="136" t="str">
        <f t="shared" si="106"/>
        <v/>
      </c>
      <c r="I2060" s="134" t="str">
        <f t="shared" si="107"/>
        <v/>
      </c>
      <c r="J2060" s="226"/>
    </row>
    <row r="2061" spans="1:10" hidden="1" x14ac:dyDescent="0.25">
      <c r="A2061" s="112" t="s">
        <v>5669</v>
      </c>
      <c r="B2061" s="113" t="s">
        <v>4461</v>
      </c>
      <c r="C2061" s="114" t="s">
        <v>20</v>
      </c>
      <c r="D2061" s="114">
        <v>0</v>
      </c>
      <c r="E2061" s="133" t="s">
        <v>514</v>
      </c>
      <c r="F2061" s="134" t="str">
        <f t="shared" si="105"/>
        <v/>
      </c>
      <c r="G2061" s="135" t="e">
        <f>IF(A2061&lt;&gt;"",IF(AND(#REF!="Padrão",$H$4=#REF!),BDI!$B$17,IF(AND(#REF!="Padrão",$H$4=#REF!),BDI!#REF!,IF(AND(#REF!="Diferenciado",$H$4=#REF!),BDI!$E$17,IF(AND(#REF!="Diferenciado",$H$4=#REF!),BDI!#REF!,IF(#REF!="ZERO",0))))),"")</f>
        <v>#REF!</v>
      </c>
      <c r="H2061" s="136" t="str">
        <f t="shared" si="106"/>
        <v/>
      </c>
      <c r="I2061" s="134" t="str">
        <f t="shared" si="107"/>
        <v/>
      </c>
      <c r="J2061" s="226"/>
    </row>
    <row r="2062" spans="1:10" hidden="1" x14ac:dyDescent="0.25">
      <c r="A2062" s="112" t="s">
        <v>5670</v>
      </c>
      <c r="B2062" s="113" t="s">
        <v>4462</v>
      </c>
      <c r="C2062" s="114" t="s">
        <v>20</v>
      </c>
      <c r="D2062" s="114">
        <v>0</v>
      </c>
      <c r="E2062" s="133" t="s">
        <v>514</v>
      </c>
      <c r="F2062" s="134" t="str">
        <f t="shared" si="105"/>
        <v/>
      </c>
      <c r="G2062" s="135" t="e">
        <f>IF(A2062&lt;&gt;"",IF(AND(#REF!="Padrão",$H$4=#REF!),BDI!$B$17,IF(AND(#REF!="Padrão",$H$4=#REF!),BDI!#REF!,IF(AND(#REF!="Diferenciado",$H$4=#REF!),BDI!$E$17,IF(AND(#REF!="Diferenciado",$H$4=#REF!),BDI!#REF!,IF(#REF!="ZERO",0))))),"")</f>
        <v>#REF!</v>
      </c>
      <c r="H2062" s="136" t="str">
        <f t="shared" si="106"/>
        <v/>
      </c>
      <c r="I2062" s="134" t="str">
        <f t="shared" si="107"/>
        <v/>
      </c>
      <c r="J2062" s="226"/>
    </row>
    <row r="2063" spans="1:10" hidden="1" x14ac:dyDescent="0.25">
      <c r="A2063" s="112" t="s">
        <v>5671</v>
      </c>
      <c r="B2063" s="113" t="s">
        <v>4463</v>
      </c>
      <c r="C2063" s="114" t="s">
        <v>20</v>
      </c>
      <c r="D2063" s="114">
        <v>0</v>
      </c>
      <c r="E2063" s="133" t="s">
        <v>514</v>
      </c>
      <c r="F2063" s="134" t="str">
        <f t="shared" si="105"/>
        <v/>
      </c>
      <c r="G2063" s="135" t="e">
        <f>IF(A2063&lt;&gt;"",IF(AND(#REF!="Padrão",$H$4=#REF!),BDI!$B$17,IF(AND(#REF!="Padrão",$H$4=#REF!),BDI!#REF!,IF(AND(#REF!="Diferenciado",$H$4=#REF!),BDI!$E$17,IF(AND(#REF!="Diferenciado",$H$4=#REF!),BDI!#REF!,IF(#REF!="ZERO",0))))),"")</f>
        <v>#REF!</v>
      </c>
      <c r="H2063" s="136" t="str">
        <f t="shared" si="106"/>
        <v/>
      </c>
      <c r="I2063" s="134" t="str">
        <f t="shared" si="107"/>
        <v/>
      </c>
      <c r="J2063" s="226"/>
    </row>
    <row r="2064" spans="1:10" hidden="1" x14ac:dyDescent="0.25">
      <c r="A2064" s="112" t="s">
        <v>5672</v>
      </c>
      <c r="B2064" s="113" t="s">
        <v>4464</v>
      </c>
      <c r="C2064" s="114" t="s">
        <v>20</v>
      </c>
      <c r="D2064" s="114">
        <v>0</v>
      </c>
      <c r="E2064" s="133" t="s">
        <v>514</v>
      </c>
      <c r="F2064" s="134" t="str">
        <f t="shared" si="105"/>
        <v/>
      </c>
      <c r="G2064" s="135" t="e">
        <f>IF(A2064&lt;&gt;"",IF(AND(#REF!="Padrão",$H$4=#REF!),BDI!$B$17,IF(AND(#REF!="Padrão",$H$4=#REF!),BDI!#REF!,IF(AND(#REF!="Diferenciado",$H$4=#REF!),BDI!$E$17,IF(AND(#REF!="Diferenciado",$H$4=#REF!),BDI!#REF!,IF(#REF!="ZERO",0))))),"")</f>
        <v>#REF!</v>
      </c>
      <c r="H2064" s="136" t="str">
        <f t="shared" si="106"/>
        <v/>
      </c>
      <c r="I2064" s="134" t="str">
        <f t="shared" si="107"/>
        <v/>
      </c>
      <c r="J2064" s="226"/>
    </row>
    <row r="2065" spans="1:10" hidden="1" x14ac:dyDescent="0.25">
      <c r="A2065" s="112" t="s">
        <v>5673</v>
      </c>
      <c r="B2065" s="113" t="s">
        <v>4465</v>
      </c>
      <c r="C2065" s="114" t="s">
        <v>20</v>
      </c>
      <c r="D2065" s="114">
        <v>0</v>
      </c>
      <c r="E2065" s="133" t="s">
        <v>514</v>
      </c>
      <c r="F2065" s="134" t="str">
        <f t="shared" si="105"/>
        <v/>
      </c>
      <c r="G2065" s="135" t="e">
        <f>IF(A2065&lt;&gt;"",IF(AND(#REF!="Padrão",$H$4=#REF!),BDI!$B$17,IF(AND(#REF!="Padrão",$H$4=#REF!),BDI!#REF!,IF(AND(#REF!="Diferenciado",$H$4=#REF!),BDI!$E$17,IF(AND(#REF!="Diferenciado",$H$4=#REF!),BDI!#REF!,IF(#REF!="ZERO",0))))),"")</f>
        <v>#REF!</v>
      </c>
      <c r="H2065" s="136" t="str">
        <f t="shared" si="106"/>
        <v/>
      </c>
      <c r="I2065" s="134" t="str">
        <f t="shared" si="107"/>
        <v/>
      </c>
      <c r="J2065" s="226"/>
    </row>
    <row r="2066" spans="1:10" hidden="1" x14ac:dyDescent="0.25">
      <c r="A2066" s="112" t="s">
        <v>5674</v>
      </c>
      <c r="B2066" s="113" t="s">
        <v>4466</v>
      </c>
      <c r="C2066" s="114" t="s">
        <v>20</v>
      </c>
      <c r="D2066" s="114">
        <v>0</v>
      </c>
      <c r="E2066" s="133" t="s">
        <v>514</v>
      </c>
      <c r="F2066" s="134" t="str">
        <f t="shared" si="105"/>
        <v/>
      </c>
      <c r="G2066" s="135" t="e">
        <f>IF(A2066&lt;&gt;"",IF(AND(#REF!="Padrão",$H$4=#REF!),BDI!$B$17,IF(AND(#REF!="Padrão",$H$4=#REF!),BDI!#REF!,IF(AND(#REF!="Diferenciado",$H$4=#REF!),BDI!$E$17,IF(AND(#REF!="Diferenciado",$H$4=#REF!),BDI!#REF!,IF(#REF!="ZERO",0))))),"")</f>
        <v>#REF!</v>
      </c>
      <c r="H2066" s="136" t="str">
        <f t="shared" si="106"/>
        <v/>
      </c>
      <c r="I2066" s="134" t="str">
        <f t="shared" si="107"/>
        <v/>
      </c>
      <c r="J2066" s="226"/>
    </row>
    <row r="2067" spans="1:10" hidden="1" x14ac:dyDescent="0.25">
      <c r="A2067" s="112" t="s">
        <v>5675</v>
      </c>
      <c r="B2067" s="113" t="s">
        <v>4467</v>
      </c>
      <c r="C2067" s="114" t="s">
        <v>20</v>
      </c>
      <c r="D2067" s="114">
        <v>0</v>
      </c>
      <c r="E2067" s="133" t="s">
        <v>514</v>
      </c>
      <c r="F2067" s="134" t="str">
        <f t="shared" si="105"/>
        <v/>
      </c>
      <c r="G2067" s="135" t="e">
        <f>IF(A2067&lt;&gt;"",IF(AND(#REF!="Padrão",$H$4=#REF!),BDI!$B$17,IF(AND(#REF!="Padrão",$H$4=#REF!),BDI!#REF!,IF(AND(#REF!="Diferenciado",$H$4=#REF!),BDI!$E$17,IF(AND(#REF!="Diferenciado",$H$4=#REF!),BDI!#REF!,IF(#REF!="ZERO",0))))),"")</f>
        <v>#REF!</v>
      </c>
      <c r="H2067" s="136" t="str">
        <f t="shared" si="106"/>
        <v/>
      </c>
      <c r="I2067" s="134" t="str">
        <f t="shared" si="107"/>
        <v/>
      </c>
      <c r="J2067" s="226"/>
    </row>
    <row r="2068" spans="1:10" hidden="1" x14ac:dyDescent="0.25">
      <c r="A2068" s="112" t="s">
        <v>5676</v>
      </c>
      <c r="B2068" s="113" t="s">
        <v>4468</v>
      </c>
      <c r="C2068" s="114" t="s">
        <v>20</v>
      </c>
      <c r="D2068" s="114">
        <v>0</v>
      </c>
      <c r="E2068" s="133" t="s">
        <v>514</v>
      </c>
      <c r="F2068" s="134" t="str">
        <f t="shared" si="105"/>
        <v/>
      </c>
      <c r="G2068" s="135" t="e">
        <f>IF(A2068&lt;&gt;"",IF(AND(#REF!="Padrão",$H$4=#REF!),BDI!$B$17,IF(AND(#REF!="Padrão",$H$4=#REF!),BDI!#REF!,IF(AND(#REF!="Diferenciado",$H$4=#REF!),BDI!$E$17,IF(AND(#REF!="Diferenciado",$H$4=#REF!),BDI!#REF!,IF(#REF!="ZERO",0))))),"")</f>
        <v>#REF!</v>
      </c>
      <c r="H2068" s="136" t="str">
        <f t="shared" si="106"/>
        <v/>
      </c>
      <c r="I2068" s="134" t="str">
        <f t="shared" si="107"/>
        <v/>
      </c>
      <c r="J2068" s="226"/>
    </row>
    <row r="2069" spans="1:10" hidden="1" x14ac:dyDescent="0.25">
      <c r="A2069" s="112" t="s">
        <v>5677</v>
      </c>
      <c r="B2069" s="113" t="s">
        <v>4469</v>
      </c>
      <c r="C2069" s="114" t="s">
        <v>92</v>
      </c>
      <c r="D2069" s="114">
        <v>0</v>
      </c>
      <c r="E2069" s="133" t="s">
        <v>514</v>
      </c>
      <c r="F2069" s="134" t="str">
        <f t="shared" si="105"/>
        <v/>
      </c>
      <c r="G2069" s="135" t="e">
        <f>IF(A2069&lt;&gt;"",IF(AND(#REF!="Padrão",$H$4=#REF!),BDI!$B$17,IF(AND(#REF!="Padrão",$H$4=#REF!),BDI!#REF!,IF(AND(#REF!="Diferenciado",$H$4=#REF!),BDI!$E$17,IF(AND(#REF!="Diferenciado",$H$4=#REF!),BDI!#REF!,IF(#REF!="ZERO",0))))),"")</f>
        <v>#REF!</v>
      </c>
      <c r="H2069" s="136" t="str">
        <f t="shared" si="106"/>
        <v/>
      </c>
      <c r="I2069" s="134" t="str">
        <f t="shared" si="107"/>
        <v/>
      </c>
      <c r="J2069" s="226"/>
    </row>
    <row r="2070" spans="1:10" hidden="1" x14ac:dyDescent="0.25">
      <c r="A2070" s="112" t="s">
        <v>5678</v>
      </c>
      <c r="B2070" s="113" t="s">
        <v>4470</v>
      </c>
      <c r="C2070" s="114" t="s">
        <v>20</v>
      </c>
      <c r="D2070" s="114">
        <v>0</v>
      </c>
      <c r="E2070" s="133" t="s">
        <v>514</v>
      </c>
      <c r="F2070" s="134" t="str">
        <f t="shared" si="105"/>
        <v/>
      </c>
      <c r="G2070" s="135" t="e">
        <f>IF(A2070&lt;&gt;"",IF(AND(#REF!="Padrão",$H$4=#REF!),BDI!$B$17,IF(AND(#REF!="Padrão",$H$4=#REF!),BDI!#REF!,IF(AND(#REF!="Diferenciado",$H$4=#REF!),BDI!$E$17,IF(AND(#REF!="Diferenciado",$H$4=#REF!),BDI!#REF!,IF(#REF!="ZERO",0))))),"")</f>
        <v>#REF!</v>
      </c>
      <c r="H2070" s="136" t="str">
        <f t="shared" si="106"/>
        <v/>
      </c>
      <c r="I2070" s="134" t="str">
        <f t="shared" si="107"/>
        <v/>
      </c>
      <c r="J2070" s="226"/>
    </row>
    <row r="2071" spans="1:10" hidden="1" x14ac:dyDescent="0.25">
      <c r="A2071" s="112" t="s">
        <v>5679</v>
      </c>
      <c r="B2071" s="113" t="s">
        <v>4471</v>
      </c>
      <c r="C2071" s="114" t="s">
        <v>20</v>
      </c>
      <c r="D2071" s="114">
        <v>0</v>
      </c>
      <c r="E2071" s="133" t="s">
        <v>514</v>
      </c>
      <c r="F2071" s="134" t="str">
        <f t="shared" si="105"/>
        <v/>
      </c>
      <c r="G2071" s="135" t="e">
        <f>IF(A2071&lt;&gt;"",IF(AND(#REF!="Padrão",$H$4=#REF!),BDI!$B$17,IF(AND(#REF!="Padrão",$H$4=#REF!),BDI!#REF!,IF(AND(#REF!="Diferenciado",$H$4=#REF!),BDI!$E$17,IF(AND(#REF!="Diferenciado",$H$4=#REF!),BDI!#REF!,IF(#REF!="ZERO",0))))),"")</f>
        <v>#REF!</v>
      </c>
      <c r="H2071" s="136" t="str">
        <f t="shared" si="106"/>
        <v/>
      </c>
      <c r="I2071" s="134" t="str">
        <f t="shared" si="107"/>
        <v/>
      </c>
      <c r="J2071" s="226"/>
    </row>
    <row r="2072" spans="1:10" hidden="1" x14ac:dyDescent="0.25">
      <c r="A2072" s="112" t="s">
        <v>5680</v>
      </c>
      <c r="B2072" s="113" t="s">
        <v>4472</v>
      </c>
      <c r="C2072" s="114" t="s">
        <v>20</v>
      </c>
      <c r="D2072" s="114">
        <v>0</v>
      </c>
      <c r="E2072" s="133" t="s">
        <v>514</v>
      </c>
      <c r="F2072" s="134" t="str">
        <f t="shared" si="105"/>
        <v/>
      </c>
      <c r="G2072" s="135" t="e">
        <f>IF(A2072&lt;&gt;"",IF(AND(#REF!="Padrão",$H$4=#REF!),BDI!$B$17,IF(AND(#REF!="Padrão",$H$4=#REF!),BDI!#REF!,IF(AND(#REF!="Diferenciado",$H$4=#REF!),BDI!$E$17,IF(AND(#REF!="Diferenciado",$H$4=#REF!),BDI!#REF!,IF(#REF!="ZERO",0))))),"")</f>
        <v>#REF!</v>
      </c>
      <c r="H2072" s="136" t="str">
        <f t="shared" si="106"/>
        <v/>
      </c>
      <c r="I2072" s="134" t="str">
        <f t="shared" si="107"/>
        <v/>
      </c>
      <c r="J2072" s="226"/>
    </row>
    <row r="2073" spans="1:10" hidden="1" x14ac:dyDescent="0.25">
      <c r="A2073" s="112" t="s">
        <v>5681</v>
      </c>
      <c r="B2073" s="113" t="s">
        <v>4473</v>
      </c>
      <c r="C2073" s="114" t="s">
        <v>20</v>
      </c>
      <c r="D2073" s="114">
        <v>0</v>
      </c>
      <c r="E2073" s="133" t="s">
        <v>514</v>
      </c>
      <c r="F2073" s="134" t="str">
        <f t="shared" si="105"/>
        <v/>
      </c>
      <c r="G2073" s="135" t="e">
        <f>IF(A2073&lt;&gt;"",IF(AND(#REF!="Padrão",$H$4=#REF!),BDI!$B$17,IF(AND(#REF!="Padrão",$H$4=#REF!),BDI!#REF!,IF(AND(#REF!="Diferenciado",$H$4=#REF!),BDI!$E$17,IF(AND(#REF!="Diferenciado",$H$4=#REF!),BDI!#REF!,IF(#REF!="ZERO",0))))),"")</f>
        <v>#REF!</v>
      </c>
      <c r="H2073" s="136" t="str">
        <f t="shared" si="106"/>
        <v/>
      </c>
      <c r="I2073" s="134" t="str">
        <f t="shared" si="107"/>
        <v/>
      </c>
      <c r="J2073" s="226"/>
    </row>
    <row r="2074" spans="1:10" hidden="1" x14ac:dyDescent="0.25">
      <c r="A2074" s="112" t="s">
        <v>5682</v>
      </c>
      <c r="B2074" s="113" t="s">
        <v>4474</v>
      </c>
      <c r="C2074" s="114" t="s">
        <v>20</v>
      </c>
      <c r="D2074" s="114">
        <v>0</v>
      </c>
      <c r="E2074" s="133" t="s">
        <v>514</v>
      </c>
      <c r="F2074" s="134" t="str">
        <f t="shared" si="105"/>
        <v/>
      </c>
      <c r="G2074" s="135" t="e">
        <f>IF(A2074&lt;&gt;"",IF(AND(#REF!="Padrão",$H$4=#REF!),BDI!$B$17,IF(AND(#REF!="Padrão",$H$4=#REF!),BDI!#REF!,IF(AND(#REF!="Diferenciado",$H$4=#REF!),BDI!$E$17,IF(AND(#REF!="Diferenciado",$H$4=#REF!),BDI!#REF!,IF(#REF!="ZERO",0))))),"")</f>
        <v>#REF!</v>
      </c>
      <c r="H2074" s="136" t="str">
        <f t="shared" si="106"/>
        <v/>
      </c>
      <c r="I2074" s="134" t="str">
        <f t="shared" si="107"/>
        <v/>
      </c>
      <c r="J2074" s="226"/>
    </row>
    <row r="2075" spans="1:10" hidden="1" x14ac:dyDescent="0.25">
      <c r="A2075" s="112" t="s">
        <v>5683</v>
      </c>
      <c r="B2075" s="113" t="s">
        <v>4475</v>
      </c>
      <c r="C2075" s="114" t="s">
        <v>20</v>
      </c>
      <c r="D2075" s="114">
        <v>0</v>
      </c>
      <c r="E2075" s="133" t="s">
        <v>514</v>
      </c>
      <c r="F2075" s="134" t="str">
        <f t="shared" si="105"/>
        <v/>
      </c>
      <c r="G2075" s="135" t="e">
        <f>IF(A2075&lt;&gt;"",IF(AND(#REF!="Padrão",$H$4=#REF!),BDI!$B$17,IF(AND(#REF!="Padrão",$H$4=#REF!),BDI!#REF!,IF(AND(#REF!="Diferenciado",$H$4=#REF!),BDI!$E$17,IF(AND(#REF!="Diferenciado",$H$4=#REF!),BDI!#REF!,IF(#REF!="ZERO",0))))),"")</f>
        <v>#REF!</v>
      </c>
      <c r="H2075" s="136" t="str">
        <f t="shared" si="106"/>
        <v/>
      </c>
      <c r="I2075" s="134" t="str">
        <f t="shared" si="107"/>
        <v/>
      </c>
      <c r="J2075" s="226"/>
    </row>
    <row r="2076" spans="1:10" hidden="1" x14ac:dyDescent="0.25">
      <c r="A2076" s="112" t="s">
        <v>5684</v>
      </c>
      <c r="B2076" s="113" t="s">
        <v>4476</v>
      </c>
      <c r="C2076" s="114" t="s">
        <v>20</v>
      </c>
      <c r="D2076" s="114">
        <v>0</v>
      </c>
      <c r="E2076" s="133" t="s">
        <v>514</v>
      </c>
      <c r="F2076" s="134" t="str">
        <f t="shared" si="105"/>
        <v/>
      </c>
      <c r="G2076" s="135" t="e">
        <f>IF(A2076&lt;&gt;"",IF(AND(#REF!="Padrão",$H$4=#REF!),BDI!$B$17,IF(AND(#REF!="Padrão",$H$4=#REF!),BDI!#REF!,IF(AND(#REF!="Diferenciado",$H$4=#REF!),BDI!$E$17,IF(AND(#REF!="Diferenciado",$H$4=#REF!),BDI!#REF!,IF(#REF!="ZERO",0))))),"")</f>
        <v>#REF!</v>
      </c>
      <c r="H2076" s="136" t="str">
        <f t="shared" si="106"/>
        <v/>
      </c>
      <c r="I2076" s="134" t="str">
        <f t="shared" si="107"/>
        <v/>
      </c>
      <c r="J2076" s="226"/>
    </row>
    <row r="2077" spans="1:10" hidden="1" x14ac:dyDescent="0.25">
      <c r="A2077" s="112" t="s">
        <v>5685</v>
      </c>
      <c r="B2077" s="113" t="s">
        <v>4477</v>
      </c>
      <c r="C2077" s="114" t="s">
        <v>20</v>
      </c>
      <c r="D2077" s="114">
        <v>0</v>
      </c>
      <c r="E2077" s="133" t="s">
        <v>514</v>
      </c>
      <c r="F2077" s="134" t="str">
        <f t="shared" si="105"/>
        <v/>
      </c>
      <c r="G2077" s="135" t="e">
        <f>IF(A2077&lt;&gt;"",IF(AND(#REF!="Padrão",$H$4=#REF!),BDI!$B$17,IF(AND(#REF!="Padrão",$H$4=#REF!),BDI!#REF!,IF(AND(#REF!="Diferenciado",$H$4=#REF!),BDI!$E$17,IF(AND(#REF!="Diferenciado",$H$4=#REF!),BDI!#REF!,IF(#REF!="ZERO",0))))),"")</f>
        <v>#REF!</v>
      </c>
      <c r="H2077" s="136" t="str">
        <f t="shared" si="106"/>
        <v/>
      </c>
      <c r="I2077" s="134" t="str">
        <f t="shared" si="107"/>
        <v/>
      </c>
      <c r="J2077" s="226"/>
    </row>
    <row r="2078" spans="1:10" hidden="1" x14ac:dyDescent="0.25">
      <c r="A2078" s="112" t="s">
        <v>5686</v>
      </c>
      <c r="B2078" s="113" t="s">
        <v>4478</v>
      </c>
      <c r="C2078" s="114" t="s">
        <v>20</v>
      </c>
      <c r="D2078" s="114">
        <v>0</v>
      </c>
      <c r="E2078" s="133" t="s">
        <v>514</v>
      </c>
      <c r="F2078" s="134" t="str">
        <f t="shared" si="105"/>
        <v/>
      </c>
      <c r="G2078" s="135" t="e">
        <f>IF(A2078&lt;&gt;"",IF(AND(#REF!="Padrão",$H$4=#REF!),BDI!$B$17,IF(AND(#REF!="Padrão",$H$4=#REF!),BDI!#REF!,IF(AND(#REF!="Diferenciado",$H$4=#REF!),BDI!$E$17,IF(AND(#REF!="Diferenciado",$H$4=#REF!),BDI!#REF!,IF(#REF!="ZERO",0))))),"")</f>
        <v>#REF!</v>
      </c>
      <c r="H2078" s="136" t="str">
        <f t="shared" si="106"/>
        <v/>
      </c>
      <c r="I2078" s="134" t="str">
        <f t="shared" si="107"/>
        <v/>
      </c>
      <c r="J2078" s="226"/>
    </row>
    <row r="2079" spans="1:10" hidden="1" x14ac:dyDescent="0.25">
      <c r="A2079" s="112" t="s">
        <v>5687</v>
      </c>
      <c r="B2079" s="113" t="s">
        <v>4479</v>
      </c>
      <c r="C2079" s="114" t="s">
        <v>20</v>
      </c>
      <c r="D2079" s="114">
        <v>0</v>
      </c>
      <c r="E2079" s="133" t="s">
        <v>514</v>
      </c>
      <c r="F2079" s="134" t="str">
        <f t="shared" si="105"/>
        <v/>
      </c>
      <c r="G2079" s="135" t="e">
        <f>IF(A2079&lt;&gt;"",IF(AND(#REF!="Padrão",$H$4=#REF!),BDI!$B$17,IF(AND(#REF!="Padrão",$H$4=#REF!),BDI!#REF!,IF(AND(#REF!="Diferenciado",$H$4=#REF!),BDI!$E$17,IF(AND(#REF!="Diferenciado",$H$4=#REF!),BDI!#REF!,IF(#REF!="ZERO",0))))),"")</f>
        <v>#REF!</v>
      </c>
      <c r="H2079" s="136" t="str">
        <f t="shared" si="106"/>
        <v/>
      </c>
      <c r="I2079" s="134" t="str">
        <f t="shared" si="107"/>
        <v/>
      </c>
      <c r="J2079" s="226"/>
    </row>
    <row r="2080" spans="1:10" hidden="1" x14ac:dyDescent="0.25">
      <c r="A2080" s="112" t="s">
        <v>5688</v>
      </c>
      <c r="B2080" s="113" t="s">
        <v>4480</v>
      </c>
      <c r="C2080" s="114" t="s">
        <v>20</v>
      </c>
      <c r="D2080" s="114">
        <v>0</v>
      </c>
      <c r="E2080" s="133" t="s">
        <v>514</v>
      </c>
      <c r="F2080" s="134" t="str">
        <f t="shared" si="105"/>
        <v/>
      </c>
      <c r="G2080" s="135" t="e">
        <f>IF(A2080&lt;&gt;"",IF(AND(#REF!="Padrão",$H$4=#REF!),BDI!$B$17,IF(AND(#REF!="Padrão",$H$4=#REF!),BDI!#REF!,IF(AND(#REF!="Diferenciado",$H$4=#REF!),BDI!$E$17,IF(AND(#REF!="Diferenciado",$H$4=#REF!),BDI!#REF!,IF(#REF!="ZERO",0))))),"")</f>
        <v>#REF!</v>
      </c>
      <c r="H2080" s="136" t="str">
        <f t="shared" si="106"/>
        <v/>
      </c>
      <c r="I2080" s="134" t="str">
        <f t="shared" si="107"/>
        <v/>
      </c>
      <c r="J2080" s="226"/>
    </row>
    <row r="2081" spans="1:10" hidden="1" x14ac:dyDescent="0.25">
      <c r="A2081" s="112" t="s">
        <v>5689</v>
      </c>
      <c r="B2081" s="113" t="s">
        <v>4481</v>
      </c>
      <c r="C2081" s="114" t="s">
        <v>20</v>
      </c>
      <c r="D2081" s="114">
        <v>0</v>
      </c>
      <c r="E2081" s="133">
        <f ca="1">OFFSET(INDEX(Composições!A:J,MATCH(Orçamentária!A2081,Composições!A:A,0),8),2,0)</f>
        <v>1.159</v>
      </c>
      <c r="F2081" s="134">
        <f t="shared" ca="1" si="105"/>
        <v>0</v>
      </c>
      <c r="G2081" s="135" t="e">
        <f>IF(A2081&lt;&gt;"",IF(AND(#REF!="Padrão",$H$4=#REF!),BDI!$B$17,IF(AND(#REF!="Padrão",$H$4=#REF!),BDI!#REF!,IF(AND(#REF!="Diferenciado",$H$4=#REF!),BDI!$E$17,IF(AND(#REF!="Diferenciado",$H$4=#REF!),BDI!#REF!,IF(#REF!="ZERO",0))))),"")</f>
        <v>#REF!</v>
      </c>
      <c r="H2081" s="136" t="e">
        <f t="shared" ca="1" si="106"/>
        <v>#REF!</v>
      </c>
      <c r="I2081" s="134" t="e">
        <f t="shared" ca="1" si="107"/>
        <v>#REF!</v>
      </c>
      <c r="J2081" s="226"/>
    </row>
    <row r="2082" spans="1:10" hidden="1" x14ac:dyDescent="0.25">
      <c r="A2082" s="112" t="s">
        <v>5690</v>
      </c>
      <c r="B2082" s="113" t="s">
        <v>4482</v>
      </c>
      <c r="C2082" s="114" t="s">
        <v>20</v>
      </c>
      <c r="D2082" s="114">
        <v>0</v>
      </c>
      <c r="E2082" s="133" t="s">
        <v>514</v>
      </c>
      <c r="F2082" s="134" t="str">
        <f t="shared" si="105"/>
        <v/>
      </c>
      <c r="G2082" s="135" t="e">
        <f>IF(A2082&lt;&gt;"",IF(AND(#REF!="Padrão",$H$4=#REF!),BDI!$B$17,IF(AND(#REF!="Padrão",$H$4=#REF!),BDI!#REF!,IF(AND(#REF!="Diferenciado",$H$4=#REF!),BDI!$E$17,IF(AND(#REF!="Diferenciado",$H$4=#REF!),BDI!#REF!,IF(#REF!="ZERO",0))))),"")</f>
        <v>#REF!</v>
      </c>
      <c r="H2082" s="136" t="str">
        <f t="shared" si="106"/>
        <v/>
      </c>
      <c r="I2082" s="134" t="str">
        <f t="shared" si="107"/>
        <v/>
      </c>
      <c r="J2082" s="226"/>
    </row>
    <row r="2083" spans="1:10" hidden="1" x14ac:dyDescent="0.25">
      <c r="A2083" s="112" t="s">
        <v>5691</v>
      </c>
      <c r="B2083" s="113" t="s">
        <v>4483</v>
      </c>
      <c r="C2083" s="114" t="s">
        <v>20</v>
      </c>
      <c r="D2083" s="114">
        <v>0</v>
      </c>
      <c r="E2083" s="133" t="s">
        <v>514</v>
      </c>
      <c r="F2083" s="134" t="str">
        <f t="shared" si="105"/>
        <v/>
      </c>
      <c r="G2083" s="135" t="e">
        <f>IF(A2083&lt;&gt;"",IF(AND(#REF!="Padrão",$H$4=#REF!),BDI!$B$17,IF(AND(#REF!="Padrão",$H$4=#REF!),BDI!#REF!,IF(AND(#REF!="Diferenciado",$H$4=#REF!),BDI!$E$17,IF(AND(#REF!="Diferenciado",$H$4=#REF!),BDI!#REF!,IF(#REF!="ZERO",0))))),"")</f>
        <v>#REF!</v>
      </c>
      <c r="H2083" s="136" t="str">
        <f t="shared" si="106"/>
        <v/>
      </c>
      <c r="I2083" s="134" t="str">
        <f t="shared" si="107"/>
        <v/>
      </c>
      <c r="J2083" s="226"/>
    </row>
    <row r="2084" spans="1:10" hidden="1" x14ac:dyDescent="0.25">
      <c r="A2084" s="112" t="s">
        <v>5692</v>
      </c>
      <c r="B2084" s="113" t="s">
        <v>4484</v>
      </c>
      <c r="C2084" s="114" t="s">
        <v>92</v>
      </c>
      <c r="D2084" s="114">
        <v>0</v>
      </c>
      <c r="E2084" s="133" t="s">
        <v>514</v>
      </c>
      <c r="F2084" s="134" t="str">
        <f t="shared" si="105"/>
        <v/>
      </c>
      <c r="G2084" s="135" t="e">
        <f>IF(A2084&lt;&gt;"",IF(AND(#REF!="Padrão",$H$4=#REF!),BDI!$B$17,IF(AND(#REF!="Padrão",$H$4=#REF!),BDI!#REF!,IF(AND(#REF!="Diferenciado",$H$4=#REF!),BDI!$E$17,IF(AND(#REF!="Diferenciado",$H$4=#REF!),BDI!#REF!,IF(#REF!="ZERO",0))))),"")</f>
        <v>#REF!</v>
      </c>
      <c r="H2084" s="136" t="str">
        <f t="shared" si="106"/>
        <v/>
      </c>
      <c r="I2084" s="134" t="str">
        <f t="shared" si="107"/>
        <v/>
      </c>
      <c r="J2084" s="226"/>
    </row>
    <row r="2085" spans="1:10" hidden="1" x14ac:dyDescent="0.25">
      <c r="A2085" s="112" t="s">
        <v>5693</v>
      </c>
      <c r="B2085" s="113" t="s">
        <v>4485</v>
      </c>
      <c r="C2085" s="114" t="s">
        <v>92</v>
      </c>
      <c r="D2085" s="114">
        <v>0</v>
      </c>
      <c r="E2085" s="133" t="s">
        <v>514</v>
      </c>
      <c r="F2085" s="134" t="str">
        <f t="shared" si="105"/>
        <v/>
      </c>
      <c r="G2085" s="135" t="e">
        <f>IF(A2085&lt;&gt;"",IF(AND(#REF!="Padrão",$H$4=#REF!),BDI!$B$17,IF(AND(#REF!="Padrão",$H$4=#REF!),BDI!#REF!,IF(AND(#REF!="Diferenciado",$H$4=#REF!),BDI!$E$17,IF(AND(#REF!="Diferenciado",$H$4=#REF!),BDI!#REF!,IF(#REF!="ZERO",0))))),"")</f>
        <v>#REF!</v>
      </c>
      <c r="H2085" s="136" t="str">
        <f t="shared" si="106"/>
        <v/>
      </c>
      <c r="I2085" s="134" t="str">
        <f t="shared" si="107"/>
        <v/>
      </c>
      <c r="J2085" s="226"/>
    </row>
    <row r="2086" spans="1:10" hidden="1" x14ac:dyDescent="0.25">
      <c r="A2086" s="112" t="s">
        <v>5694</v>
      </c>
      <c r="B2086" s="113" t="s">
        <v>4486</v>
      </c>
      <c r="C2086" s="114" t="s">
        <v>92</v>
      </c>
      <c r="D2086" s="114">
        <v>0</v>
      </c>
      <c r="E2086" s="133" t="s">
        <v>514</v>
      </c>
      <c r="F2086" s="134" t="str">
        <f t="shared" si="105"/>
        <v/>
      </c>
      <c r="G2086" s="135" t="e">
        <f>IF(A2086&lt;&gt;"",IF(AND(#REF!="Padrão",$H$4=#REF!),BDI!$B$17,IF(AND(#REF!="Padrão",$H$4=#REF!),BDI!#REF!,IF(AND(#REF!="Diferenciado",$H$4=#REF!),BDI!$E$17,IF(AND(#REF!="Diferenciado",$H$4=#REF!),BDI!#REF!,IF(#REF!="ZERO",0))))),"")</f>
        <v>#REF!</v>
      </c>
      <c r="H2086" s="136" t="str">
        <f t="shared" si="106"/>
        <v/>
      </c>
      <c r="I2086" s="134" t="str">
        <f t="shared" si="107"/>
        <v/>
      </c>
      <c r="J2086" s="226"/>
    </row>
    <row r="2087" spans="1:10" hidden="1" x14ac:dyDescent="0.25">
      <c r="A2087" s="112" t="s">
        <v>5695</v>
      </c>
      <c r="B2087" s="113" t="s">
        <v>6446</v>
      </c>
      <c r="C2087" s="114" t="s">
        <v>20</v>
      </c>
      <c r="D2087" s="114">
        <v>0</v>
      </c>
      <c r="E2087" s="133">
        <f ca="1">OFFSET(INDEX(Composições!A:J,MATCH(Orçamentária!A2087,Composições!A:A,0),8),2,0)</f>
        <v>2.9354999999999998</v>
      </c>
      <c r="F2087" s="134">
        <f t="shared" ca="1" si="105"/>
        <v>0</v>
      </c>
      <c r="G2087" s="135" t="e">
        <f>IF(A2087&lt;&gt;"",IF(AND(#REF!="Padrão",$H$4=#REF!),BDI!$B$17,IF(AND(#REF!="Padrão",$H$4=#REF!),BDI!#REF!,IF(AND(#REF!="Diferenciado",$H$4=#REF!),BDI!$E$17,IF(AND(#REF!="Diferenciado",$H$4=#REF!),BDI!#REF!,IF(#REF!="ZERO",0))))),"")</f>
        <v>#REF!</v>
      </c>
      <c r="H2087" s="136" t="e">
        <f t="shared" ca="1" si="106"/>
        <v>#REF!</v>
      </c>
      <c r="I2087" s="134" t="e">
        <f t="shared" ca="1" si="107"/>
        <v>#REF!</v>
      </c>
      <c r="J2087" s="226"/>
    </row>
    <row r="2088" spans="1:10" hidden="1" x14ac:dyDescent="0.25">
      <c r="A2088" s="112" t="s">
        <v>5696</v>
      </c>
      <c r="B2088" s="113" t="s">
        <v>6447</v>
      </c>
      <c r="C2088" s="114" t="s">
        <v>20</v>
      </c>
      <c r="D2088" s="114">
        <v>0</v>
      </c>
      <c r="E2088" s="133">
        <f ca="1">OFFSET(INDEX(Composições!A:J,MATCH(Orçamentária!A2088,Composições!A:A,0),8),2,0)</f>
        <v>5.8234999999999992</v>
      </c>
      <c r="F2088" s="134">
        <f t="shared" ca="1" si="105"/>
        <v>0</v>
      </c>
      <c r="G2088" s="135" t="e">
        <f>IF(A2088&lt;&gt;"",IF(AND(#REF!="Padrão",$H$4=#REF!),BDI!$B$17,IF(AND(#REF!="Padrão",$H$4=#REF!),BDI!#REF!,IF(AND(#REF!="Diferenciado",$H$4=#REF!),BDI!$E$17,IF(AND(#REF!="Diferenciado",$H$4=#REF!),BDI!#REF!,IF(#REF!="ZERO",0))))),"")</f>
        <v>#REF!</v>
      </c>
      <c r="H2088" s="136" t="e">
        <f t="shared" ca="1" si="106"/>
        <v>#REF!</v>
      </c>
      <c r="I2088" s="134" t="e">
        <f t="shared" ca="1" si="107"/>
        <v>#REF!</v>
      </c>
      <c r="J2088" s="226"/>
    </row>
    <row r="2089" spans="1:10" hidden="1" x14ac:dyDescent="0.25">
      <c r="A2089" s="112" t="s">
        <v>5697</v>
      </c>
      <c r="B2089" s="113" t="s">
        <v>6448</v>
      </c>
      <c r="C2089" s="114" t="s">
        <v>20</v>
      </c>
      <c r="D2089" s="114">
        <v>0</v>
      </c>
      <c r="E2089" s="133" t="s">
        <v>514</v>
      </c>
      <c r="F2089" s="134" t="str">
        <f t="shared" si="105"/>
        <v/>
      </c>
      <c r="G2089" s="135" t="e">
        <f>IF(A2089&lt;&gt;"",IF(AND(#REF!="Padrão",$H$4=#REF!),BDI!$B$17,IF(AND(#REF!="Padrão",$H$4=#REF!),BDI!#REF!,IF(AND(#REF!="Diferenciado",$H$4=#REF!),BDI!$E$17,IF(AND(#REF!="Diferenciado",$H$4=#REF!),BDI!#REF!,IF(#REF!="ZERO",0))))),"")</f>
        <v>#REF!</v>
      </c>
      <c r="H2089" s="136" t="str">
        <f t="shared" si="106"/>
        <v/>
      </c>
      <c r="I2089" s="134" t="str">
        <f t="shared" si="107"/>
        <v/>
      </c>
      <c r="J2089" s="226"/>
    </row>
    <row r="2090" spans="1:10" hidden="1" x14ac:dyDescent="0.25">
      <c r="A2090" s="112" t="s">
        <v>5698</v>
      </c>
      <c r="B2090" s="113" t="s">
        <v>6449</v>
      </c>
      <c r="C2090" s="114" t="s">
        <v>20</v>
      </c>
      <c r="D2090" s="114">
        <v>0</v>
      </c>
      <c r="E2090" s="133" t="s">
        <v>514</v>
      </c>
      <c r="F2090" s="134" t="str">
        <f t="shared" si="105"/>
        <v/>
      </c>
      <c r="G2090" s="135" t="e">
        <f>IF(A2090&lt;&gt;"",IF(AND(#REF!="Padrão",$H$4=#REF!),BDI!$B$17,IF(AND(#REF!="Padrão",$H$4=#REF!),BDI!#REF!,IF(AND(#REF!="Diferenciado",$H$4=#REF!),BDI!$E$17,IF(AND(#REF!="Diferenciado",$H$4=#REF!),BDI!#REF!,IF(#REF!="ZERO",0))))),"")</f>
        <v>#REF!</v>
      </c>
      <c r="H2090" s="136" t="str">
        <f t="shared" si="106"/>
        <v/>
      </c>
      <c r="I2090" s="134" t="str">
        <f t="shared" si="107"/>
        <v/>
      </c>
      <c r="J2090" s="226"/>
    </row>
    <row r="2091" spans="1:10" hidden="1" x14ac:dyDescent="0.25">
      <c r="A2091" s="112" t="s">
        <v>5699</v>
      </c>
      <c r="B2091" s="113" t="s">
        <v>6450</v>
      </c>
      <c r="C2091" s="114" t="s">
        <v>20</v>
      </c>
      <c r="D2091" s="114">
        <v>0</v>
      </c>
      <c r="E2091" s="133" t="s">
        <v>514</v>
      </c>
      <c r="F2091" s="134" t="str">
        <f t="shared" si="105"/>
        <v/>
      </c>
      <c r="G2091" s="135" t="e">
        <f>IF(A2091&lt;&gt;"",IF(AND(#REF!="Padrão",$H$4=#REF!),BDI!$B$17,IF(AND(#REF!="Padrão",$H$4=#REF!),BDI!#REF!,IF(AND(#REF!="Diferenciado",$H$4=#REF!),BDI!$E$17,IF(AND(#REF!="Diferenciado",$H$4=#REF!),BDI!#REF!,IF(#REF!="ZERO",0))))),"")</f>
        <v>#REF!</v>
      </c>
      <c r="H2091" s="136" t="str">
        <f t="shared" si="106"/>
        <v/>
      </c>
      <c r="I2091" s="134" t="str">
        <f t="shared" si="107"/>
        <v/>
      </c>
      <c r="J2091" s="226"/>
    </row>
    <row r="2092" spans="1:10" hidden="1" x14ac:dyDescent="0.25">
      <c r="A2092" s="112" t="s">
        <v>5700</v>
      </c>
      <c r="B2092" s="113" t="s">
        <v>4487</v>
      </c>
      <c r="C2092" s="114" t="s">
        <v>20</v>
      </c>
      <c r="D2092" s="114">
        <v>0</v>
      </c>
      <c r="E2092" s="133" t="s">
        <v>514</v>
      </c>
      <c r="F2092" s="134" t="str">
        <f t="shared" si="105"/>
        <v/>
      </c>
      <c r="G2092" s="135" t="e">
        <f>IF(A2092&lt;&gt;"",IF(AND(#REF!="Padrão",$H$4=#REF!),BDI!$B$17,IF(AND(#REF!="Padrão",$H$4=#REF!),BDI!#REF!,IF(AND(#REF!="Diferenciado",$H$4=#REF!),BDI!$E$17,IF(AND(#REF!="Diferenciado",$H$4=#REF!),BDI!#REF!,IF(#REF!="ZERO",0))))),"")</f>
        <v>#REF!</v>
      </c>
      <c r="H2092" s="136" t="str">
        <f t="shared" si="106"/>
        <v/>
      </c>
      <c r="I2092" s="134" t="str">
        <f t="shared" si="107"/>
        <v/>
      </c>
      <c r="J2092" s="226"/>
    </row>
    <row r="2093" spans="1:10" hidden="1" x14ac:dyDescent="0.25">
      <c r="A2093" s="112" t="s">
        <v>5701</v>
      </c>
      <c r="B2093" s="113" t="s">
        <v>6451</v>
      </c>
      <c r="C2093" s="114" t="s">
        <v>20</v>
      </c>
      <c r="D2093" s="114">
        <v>0</v>
      </c>
      <c r="E2093" s="133" t="s">
        <v>514</v>
      </c>
      <c r="F2093" s="134" t="str">
        <f t="shared" ref="F2093:F2156" si="108">IF(ISNUMBER(E2093),D2093*E2093,"")</f>
        <v/>
      </c>
      <c r="G2093" s="135" t="e">
        <f>IF(A2093&lt;&gt;"",IF(AND(#REF!="Padrão",$H$4=#REF!),BDI!$B$17,IF(AND(#REF!="Padrão",$H$4=#REF!),BDI!#REF!,IF(AND(#REF!="Diferenciado",$H$4=#REF!),BDI!$E$17,IF(AND(#REF!="Diferenciado",$H$4=#REF!),BDI!#REF!,IF(#REF!="ZERO",0))))),"")</f>
        <v>#REF!</v>
      </c>
      <c r="H2093" s="136" t="str">
        <f t="shared" ref="H2093:H2156" si="109">IF(ISNUMBER(E2093),ROUND(E2093*(1+G2093),2),"")</f>
        <v/>
      </c>
      <c r="I2093" s="134" t="str">
        <f t="shared" ref="I2093:I2156" si="110">IF(ISNUMBER(E2093),ROUND(H2093*D2093,2),"")</f>
        <v/>
      </c>
      <c r="J2093" s="226"/>
    </row>
    <row r="2094" spans="1:10" hidden="1" x14ac:dyDescent="0.25">
      <c r="A2094" s="112" t="s">
        <v>5702</v>
      </c>
      <c r="B2094" s="113" t="s">
        <v>3640</v>
      </c>
      <c r="C2094" s="114" t="s">
        <v>20</v>
      </c>
      <c r="D2094" s="114">
        <v>0</v>
      </c>
      <c r="E2094" s="133" t="s">
        <v>514</v>
      </c>
      <c r="F2094" s="134" t="str">
        <f t="shared" si="108"/>
        <v/>
      </c>
      <c r="G2094" s="135" t="e">
        <f>IF(A2094&lt;&gt;"",IF(AND(#REF!="Padrão",$H$4=#REF!),BDI!$B$17,IF(AND(#REF!="Padrão",$H$4=#REF!),BDI!#REF!,IF(AND(#REF!="Diferenciado",$H$4=#REF!),BDI!$E$17,IF(AND(#REF!="Diferenciado",$H$4=#REF!),BDI!#REF!,IF(#REF!="ZERO",0))))),"")</f>
        <v>#REF!</v>
      </c>
      <c r="H2094" s="136" t="str">
        <f t="shared" si="109"/>
        <v/>
      </c>
      <c r="I2094" s="134" t="str">
        <f t="shared" si="110"/>
        <v/>
      </c>
      <c r="J2094" s="226"/>
    </row>
    <row r="2095" spans="1:10" hidden="1" x14ac:dyDescent="0.25">
      <c r="A2095" s="112" t="s">
        <v>5703</v>
      </c>
      <c r="B2095" s="113" t="s">
        <v>4488</v>
      </c>
      <c r="C2095" s="114" t="s">
        <v>20</v>
      </c>
      <c r="D2095" s="114">
        <v>0</v>
      </c>
      <c r="E2095" s="133" t="s">
        <v>514</v>
      </c>
      <c r="F2095" s="134" t="str">
        <f t="shared" si="108"/>
        <v/>
      </c>
      <c r="G2095" s="135" t="e">
        <f>IF(A2095&lt;&gt;"",IF(AND(#REF!="Padrão",$H$4=#REF!),BDI!$B$17,IF(AND(#REF!="Padrão",$H$4=#REF!),BDI!#REF!,IF(AND(#REF!="Diferenciado",$H$4=#REF!),BDI!$E$17,IF(AND(#REF!="Diferenciado",$H$4=#REF!),BDI!#REF!,IF(#REF!="ZERO",0))))),"")</f>
        <v>#REF!</v>
      </c>
      <c r="H2095" s="136" t="str">
        <f t="shared" si="109"/>
        <v/>
      </c>
      <c r="I2095" s="134" t="str">
        <f t="shared" si="110"/>
        <v/>
      </c>
      <c r="J2095" s="226"/>
    </row>
    <row r="2096" spans="1:10" hidden="1" x14ac:dyDescent="0.25">
      <c r="A2096" s="112" t="s">
        <v>5704</v>
      </c>
      <c r="B2096" s="113" t="s">
        <v>4489</v>
      </c>
      <c r="C2096" s="114" t="s">
        <v>20</v>
      </c>
      <c r="D2096" s="114">
        <v>0</v>
      </c>
      <c r="E2096" s="133">
        <f ca="1">OFFSET(INDEX(Composições!A:J,MATCH(Orçamentária!A2096,Composições!A:A,0),8),2,0)</f>
        <v>0</v>
      </c>
      <c r="F2096" s="134">
        <f t="shared" ca="1" si="108"/>
        <v>0</v>
      </c>
      <c r="G2096" s="135" t="e">
        <f>IF(A2096&lt;&gt;"",IF(AND(#REF!="Padrão",$H$4=#REF!),BDI!$B$17,IF(AND(#REF!="Padrão",$H$4=#REF!),BDI!#REF!,IF(AND(#REF!="Diferenciado",$H$4=#REF!),BDI!$E$17,IF(AND(#REF!="Diferenciado",$H$4=#REF!),BDI!#REF!,IF(#REF!="ZERO",0))))),"")</f>
        <v>#REF!</v>
      </c>
      <c r="H2096" s="136" t="e">
        <f t="shared" ca="1" si="109"/>
        <v>#REF!</v>
      </c>
      <c r="I2096" s="134" t="e">
        <f t="shared" ca="1" si="110"/>
        <v>#REF!</v>
      </c>
      <c r="J2096" s="226"/>
    </row>
    <row r="2097" spans="1:10" hidden="1" x14ac:dyDescent="0.25">
      <c r="A2097" s="112" t="s">
        <v>5705</v>
      </c>
      <c r="B2097" s="113" t="s">
        <v>6452</v>
      </c>
      <c r="C2097" s="114" t="s">
        <v>20</v>
      </c>
      <c r="D2097" s="114">
        <v>0</v>
      </c>
      <c r="E2097" s="133" t="s">
        <v>514</v>
      </c>
      <c r="F2097" s="134" t="str">
        <f t="shared" si="108"/>
        <v/>
      </c>
      <c r="G2097" s="135" t="e">
        <f>IF(A2097&lt;&gt;"",IF(AND(#REF!="Padrão",$H$4=#REF!),BDI!$B$17,IF(AND(#REF!="Padrão",$H$4=#REF!),BDI!#REF!,IF(AND(#REF!="Diferenciado",$H$4=#REF!),BDI!$E$17,IF(AND(#REF!="Diferenciado",$H$4=#REF!),BDI!#REF!,IF(#REF!="ZERO",0))))),"")</f>
        <v>#REF!</v>
      </c>
      <c r="H2097" s="136" t="str">
        <f t="shared" si="109"/>
        <v/>
      </c>
      <c r="I2097" s="134" t="str">
        <f t="shared" si="110"/>
        <v/>
      </c>
      <c r="J2097" s="226"/>
    </row>
    <row r="2098" spans="1:10" hidden="1" x14ac:dyDescent="0.25">
      <c r="A2098" s="112" t="s">
        <v>5706</v>
      </c>
      <c r="B2098" s="113" t="s">
        <v>4490</v>
      </c>
      <c r="C2098" s="114" t="s">
        <v>20</v>
      </c>
      <c r="D2098" s="114">
        <v>0</v>
      </c>
      <c r="E2098" s="133" t="s">
        <v>514</v>
      </c>
      <c r="F2098" s="134" t="str">
        <f t="shared" si="108"/>
        <v/>
      </c>
      <c r="G2098" s="135" t="e">
        <f>IF(A2098&lt;&gt;"",IF(AND(#REF!="Padrão",$H$4=#REF!),BDI!$B$17,IF(AND(#REF!="Padrão",$H$4=#REF!),BDI!#REF!,IF(AND(#REF!="Diferenciado",$H$4=#REF!),BDI!$E$17,IF(AND(#REF!="Diferenciado",$H$4=#REF!),BDI!#REF!,IF(#REF!="ZERO",0))))),"")</f>
        <v>#REF!</v>
      </c>
      <c r="H2098" s="136" t="str">
        <f t="shared" si="109"/>
        <v/>
      </c>
      <c r="I2098" s="134" t="str">
        <f t="shared" si="110"/>
        <v/>
      </c>
      <c r="J2098" s="226"/>
    </row>
    <row r="2099" spans="1:10" hidden="1" x14ac:dyDescent="0.25">
      <c r="A2099" s="112" t="s">
        <v>5707</v>
      </c>
      <c r="B2099" s="113" t="s">
        <v>4491</v>
      </c>
      <c r="C2099" s="114" t="s">
        <v>20</v>
      </c>
      <c r="D2099" s="114">
        <v>0</v>
      </c>
      <c r="E2099" s="133">
        <f ca="1">OFFSET(INDEX(Composições!A:J,MATCH(Orçamentária!A2099,Composições!A:A,0),8),2,0)</f>
        <v>5.4719999999999995</v>
      </c>
      <c r="F2099" s="134">
        <f t="shared" ca="1" si="108"/>
        <v>0</v>
      </c>
      <c r="G2099" s="135" t="e">
        <f>IF(A2099&lt;&gt;"",IF(AND(#REF!="Padrão",$H$4=#REF!),BDI!$B$17,IF(AND(#REF!="Padrão",$H$4=#REF!),BDI!#REF!,IF(AND(#REF!="Diferenciado",$H$4=#REF!),BDI!$E$17,IF(AND(#REF!="Diferenciado",$H$4=#REF!),BDI!#REF!,IF(#REF!="ZERO",0))))),"")</f>
        <v>#REF!</v>
      </c>
      <c r="H2099" s="136" t="e">
        <f t="shared" ca="1" si="109"/>
        <v>#REF!</v>
      </c>
      <c r="I2099" s="134" t="e">
        <f t="shared" ca="1" si="110"/>
        <v>#REF!</v>
      </c>
      <c r="J2099" s="226"/>
    </row>
    <row r="2100" spans="1:10" hidden="1" x14ac:dyDescent="0.25">
      <c r="A2100" s="112" t="s">
        <v>5708</v>
      </c>
      <c r="B2100" s="113" t="s">
        <v>4492</v>
      </c>
      <c r="C2100" s="114" t="s">
        <v>20</v>
      </c>
      <c r="D2100" s="114">
        <v>0</v>
      </c>
      <c r="E2100" s="133">
        <f ca="1">OFFSET(INDEX(Composições!A:J,MATCH(Orçamentária!A2100,Composições!A:A,0),8),2,0)</f>
        <v>0</v>
      </c>
      <c r="F2100" s="134">
        <f t="shared" ca="1" si="108"/>
        <v>0</v>
      </c>
      <c r="G2100" s="135" t="e">
        <f>IF(A2100&lt;&gt;"",IF(AND(#REF!="Padrão",$H$4=#REF!),BDI!$B$17,IF(AND(#REF!="Padrão",$H$4=#REF!),BDI!#REF!,IF(AND(#REF!="Diferenciado",$H$4=#REF!),BDI!$E$17,IF(AND(#REF!="Diferenciado",$H$4=#REF!),BDI!#REF!,IF(#REF!="ZERO",0))))),"")</f>
        <v>#REF!</v>
      </c>
      <c r="H2100" s="136" t="e">
        <f t="shared" ca="1" si="109"/>
        <v>#REF!</v>
      </c>
      <c r="I2100" s="134" t="e">
        <f t="shared" ca="1" si="110"/>
        <v>#REF!</v>
      </c>
      <c r="J2100" s="226"/>
    </row>
    <row r="2101" spans="1:10" hidden="1" x14ac:dyDescent="0.25">
      <c r="A2101" s="112" t="s">
        <v>5709</v>
      </c>
      <c r="B2101" s="113" t="s">
        <v>6453</v>
      </c>
      <c r="C2101" s="114" t="s">
        <v>20</v>
      </c>
      <c r="D2101" s="114">
        <v>0</v>
      </c>
      <c r="E2101" s="133" t="s">
        <v>514</v>
      </c>
      <c r="F2101" s="134" t="str">
        <f t="shared" si="108"/>
        <v/>
      </c>
      <c r="G2101" s="135" t="e">
        <f>IF(A2101&lt;&gt;"",IF(AND(#REF!="Padrão",$H$4=#REF!),BDI!$B$17,IF(AND(#REF!="Padrão",$H$4=#REF!),BDI!#REF!,IF(AND(#REF!="Diferenciado",$H$4=#REF!),BDI!$E$17,IF(AND(#REF!="Diferenciado",$H$4=#REF!),BDI!#REF!,IF(#REF!="ZERO",0))))),"")</f>
        <v>#REF!</v>
      </c>
      <c r="H2101" s="136" t="str">
        <f t="shared" si="109"/>
        <v/>
      </c>
      <c r="I2101" s="134" t="str">
        <f t="shared" si="110"/>
        <v/>
      </c>
      <c r="J2101" s="226"/>
    </row>
    <row r="2102" spans="1:10" hidden="1" x14ac:dyDescent="0.25">
      <c r="A2102" s="112" t="s">
        <v>5710</v>
      </c>
      <c r="B2102" s="113" t="s">
        <v>4493</v>
      </c>
      <c r="C2102" s="114" t="s">
        <v>20</v>
      </c>
      <c r="D2102" s="114">
        <v>0</v>
      </c>
      <c r="E2102" s="133" t="s">
        <v>514</v>
      </c>
      <c r="F2102" s="134" t="str">
        <f t="shared" si="108"/>
        <v/>
      </c>
      <c r="G2102" s="135" t="e">
        <f>IF(A2102&lt;&gt;"",IF(AND(#REF!="Padrão",$H$4=#REF!),BDI!$B$17,IF(AND(#REF!="Padrão",$H$4=#REF!),BDI!#REF!,IF(AND(#REF!="Diferenciado",$H$4=#REF!),BDI!$E$17,IF(AND(#REF!="Diferenciado",$H$4=#REF!),BDI!#REF!,IF(#REF!="ZERO",0))))),"")</f>
        <v>#REF!</v>
      </c>
      <c r="H2102" s="136" t="str">
        <f t="shared" si="109"/>
        <v/>
      </c>
      <c r="I2102" s="134" t="str">
        <f t="shared" si="110"/>
        <v/>
      </c>
      <c r="J2102" s="226"/>
    </row>
    <row r="2103" spans="1:10" hidden="1" x14ac:dyDescent="0.25">
      <c r="A2103" s="112" t="s">
        <v>5711</v>
      </c>
      <c r="B2103" s="113" t="s">
        <v>6454</v>
      </c>
      <c r="C2103" s="114" t="s">
        <v>20</v>
      </c>
      <c r="D2103" s="114">
        <v>0</v>
      </c>
      <c r="E2103" s="133" t="s">
        <v>514</v>
      </c>
      <c r="F2103" s="134" t="str">
        <f t="shared" si="108"/>
        <v/>
      </c>
      <c r="G2103" s="135" t="e">
        <f>IF(A2103&lt;&gt;"",IF(AND(#REF!="Padrão",$H$4=#REF!),BDI!$B$17,IF(AND(#REF!="Padrão",$H$4=#REF!),BDI!#REF!,IF(AND(#REF!="Diferenciado",$H$4=#REF!),BDI!$E$17,IF(AND(#REF!="Diferenciado",$H$4=#REF!),BDI!#REF!,IF(#REF!="ZERO",0))))),"")</f>
        <v>#REF!</v>
      </c>
      <c r="H2103" s="136" t="str">
        <f t="shared" si="109"/>
        <v/>
      </c>
      <c r="I2103" s="134" t="str">
        <f t="shared" si="110"/>
        <v/>
      </c>
      <c r="J2103" s="226"/>
    </row>
    <row r="2104" spans="1:10" hidden="1" x14ac:dyDescent="0.25">
      <c r="A2104" s="112" t="s">
        <v>5712</v>
      </c>
      <c r="B2104" s="113" t="s">
        <v>6455</v>
      </c>
      <c r="C2104" s="114" t="s">
        <v>20</v>
      </c>
      <c r="D2104" s="114">
        <v>0</v>
      </c>
      <c r="E2104" s="133">
        <f ca="1">OFFSET(INDEX(Composições!A:J,MATCH(Orçamentária!A2104,Composições!A:A,0),8),2,0)</f>
        <v>32.366500000000002</v>
      </c>
      <c r="F2104" s="134">
        <f t="shared" ca="1" si="108"/>
        <v>0</v>
      </c>
      <c r="G2104" s="135" t="e">
        <f>IF(A2104&lt;&gt;"",IF(AND(#REF!="Padrão",$H$4=#REF!),BDI!$B$17,IF(AND(#REF!="Padrão",$H$4=#REF!),BDI!#REF!,IF(AND(#REF!="Diferenciado",$H$4=#REF!),BDI!$E$17,IF(AND(#REF!="Diferenciado",$H$4=#REF!),BDI!#REF!,IF(#REF!="ZERO",0))))),"")</f>
        <v>#REF!</v>
      </c>
      <c r="H2104" s="136" t="e">
        <f t="shared" ca="1" si="109"/>
        <v>#REF!</v>
      </c>
      <c r="I2104" s="134" t="e">
        <f t="shared" ca="1" si="110"/>
        <v>#REF!</v>
      </c>
      <c r="J2104" s="226"/>
    </row>
    <row r="2105" spans="1:10" hidden="1" x14ac:dyDescent="0.25">
      <c r="A2105" s="112" t="s">
        <v>5713</v>
      </c>
      <c r="B2105" s="113" t="s">
        <v>4494</v>
      </c>
      <c r="C2105" s="114" t="s">
        <v>20</v>
      </c>
      <c r="D2105" s="114">
        <v>0</v>
      </c>
      <c r="E2105" s="133" t="s">
        <v>514</v>
      </c>
      <c r="F2105" s="134" t="str">
        <f t="shared" si="108"/>
        <v/>
      </c>
      <c r="G2105" s="135" t="e">
        <f>IF(A2105&lt;&gt;"",IF(AND(#REF!="Padrão",$H$4=#REF!),BDI!$B$17,IF(AND(#REF!="Padrão",$H$4=#REF!),BDI!#REF!,IF(AND(#REF!="Diferenciado",$H$4=#REF!),BDI!$E$17,IF(AND(#REF!="Diferenciado",$H$4=#REF!),BDI!#REF!,IF(#REF!="ZERO",0))))),"")</f>
        <v>#REF!</v>
      </c>
      <c r="H2105" s="136" t="str">
        <f t="shared" si="109"/>
        <v/>
      </c>
      <c r="I2105" s="134" t="str">
        <f t="shared" si="110"/>
        <v/>
      </c>
      <c r="J2105" s="226"/>
    </row>
    <row r="2106" spans="1:10" hidden="1" x14ac:dyDescent="0.25">
      <c r="A2106" s="112" t="s">
        <v>5714</v>
      </c>
      <c r="B2106" s="113" t="s">
        <v>4495</v>
      </c>
      <c r="C2106" s="114" t="s">
        <v>20</v>
      </c>
      <c r="D2106" s="114">
        <v>0</v>
      </c>
      <c r="E2106" s="133" t="s">
        <v>514</v>
      </c>
      <c r="F2106" s="134" t="str">
        <f t="shared" si="108"/>
        <v/>
      </c>
      <c r="G2106" s="135" t="e">
        <f>IF(A2106&lt;&gt;"",IF(AND(#REF!="Padrão",$H$4=#REF!),BDI!$B$17,IF(AND(#REF!="Padrão",$H$4=#REF!),BDI!#REF!,IF(AND(#REF!="Diferenciado",$H$4=#REF!),BDI!$E$17,IF(AND(#REF!="Diferenciado",$H$4=#REF!),BDI!#REF!,IF(#REF!="ZERO",0))))),"")</f>
        <v>#REF!</v>
      </c>
      <c r="H2106" s="136" t="str">
        <f t="shared" si="109"/>
        <v/>
      </c>
      <c r="I2106" s="134" t="str">
        <f t="shared" si="110"/>
        <v/>
      </c>
      <c r="J2106" s="226"/>
    </row>
    <row r="2107" spans="1:10" hidden="1" x14ac:dyDescent="0.25">
      <c r="A2107" s="112" t="s">
        <v>5715</v>
      </c>
      <c r="B2107" s="113" t="s">
        <v>4496</v>
      </c>
      <c r="C2107" s="114" t="s">
        <v>20</v>
      </c>
      <c r="D2107" s="114">
        <v>0</v>
      </c>
      <c r="E2107" s="133" t="s">
        <v>514</v>
      </c>
      <c r="F2107" s="134" t="str">
        <f t="shared" si="108"/>
        <v/>
      </c>
      <c r="G2107" s="135" t="e">
        <f>IF(A2107&lt;&gt;"",IF(AND(#REF!="Padrão",$H$4=#REF!),BDI!$B$17,IF(AND(#REF!="Padrão",$H$4=#REF!),BDI!#REF!,IF(AND(#REF!="Diferenciado",$H$4=#REF!),BDI!$E$17,IF(AND(#REF!="Diferenciado",$H$4=#REF!),BDI!#REF!,IF(#REF!="ZERO",0))))),"")</f>
        <v>#REF!</v>
      </c>
      <c r="H2107" s="136" t="str">
        <f t="shared" si="109"/>
        <v/>
      </c>
      <c r="I2107" s="134" t="str">
        <f t="shared" si="110"/>
        <v/>
      </c>
      <c r="J2107" s="226"/>
    </row>
    <row r="2108" spans="1:10" hidden="1" x14ac:dyDescent="0.25">
      <c r="A2108" s="112" t="s">
        <v>5716</v>
      </c>
      <c r="B2108" s="113" t="s">
        <v>4497</v>
      </c>
      <c r="C2108" s="114" t="s">
        <v>20</v>
      </c>
      <c r="D2108" s="114">
        <v>0</v>
      </c>
      <c r="E2108" s="133" t="s">
        <v>514</v>
      </c>
      <c r="F2108" s="134" t="str">
        <f t="shared" si="108"/>
        <v/>
      </c>
      <c r="G2108" s="135" t="e">
        <f>IF(A2108&lt;&gt;"",IF(AND(#REF!="Padrão",$H$4=#REF!),BDI!$B$17,IF(AND(#REF!="Padrão",$H$4=#REF!),BDI!#REF!,IF(AND(#REF!="Diferenciado",$H$4=#REF!),BDI!$E$17,IF(AND(#REF!="Diferenciado",$H$4=#REF!),BDI!#REF!,IF(#REF!="ZERO",0))))),"")</f>
        <v>#REF!</v>
      </c>
      <c r="H2108" s="136" t="str">
        <f t="shared" si="109"/>
        <v/>
      </c>
      <c r="I2108" s="134" t="str">
        <f t="shared" si="110"/>
        <v/>
      </c>
      <c r="J2108" s="226"/>
    </row>
    <row r="2109" spans="1:10" hidden="1" x14ac:dyDescent="0.25">
      <c r="A2109" s="112" t="s">
        <v>5717</v>
      </c>
      <c r="B2109" s="113" t="s">
        <v>4498</v>
      </c>
      <c r="C2109" s="114" t="s">
        <v>20</v>
      </c>
      <c r="D2109" s="114">
        <v>0</v>
      </c>
      <c r="E2109" s="133" t="s">
        <v>514</v>
      </c>
      <c r="F2109" s="134" t="str">
        <f t="shared" si="108"/>
        <v/>
      </c>
      <c r="G2109" s="135" t="e">
        <f>IF(A2109&lt;&gt;"",IF(AND(#REF!="Padrão",$H$4=#REF!),BDI!$B$17,IF(AND(#REF!="Padrão",$H$4=#REF!),BDI!#REF!,IF(AND(#REF!="Diferenciado",$H$4=#REF!),BDI!$E$17,IF(AND(#REF!="Diferenciado",$H$4=#REF!),BDI!#REF!,IF(#REF!="ZERO",0))))),"")</f>
        <v>#REF!</v>
      </c>
      <c r="H2109" s="136" t="str">
        <f t="shared" si="109"/>
        <v/>
      </c>
      <c r="I2109" s="134" t="str">
        <f t="shared" si="110"/>
        <v/>
      </c>
      <c r="J2109" s="226"/>
    </row>
    <row r="2110" spans="1:10" hidden="1" x14ac:dyDescent="0.25">
      <c r="A2110" s="112" t="s">
        <v>5718</v>
      </c>
      <c r="B2110" s="113" t="s">
        <v>4499</v>
      </c>
      <c r="C2110" s="114" t="s">
        <v>4995</v>
      </c>
      <c r="D2110" s="114">
        <v>0</v>
      </c>
      <c r="E2110" s="133" t="s">
        <v>514</v>
      </c>
      <c r="F2110" s="134" t="str">
        <f t="shared" si="108"/>
        <v/>
      </c>
      <c r="G2110" s="135" t="e">
        <f>IF(A2110&lt;&gt;"",IF(AND(#REF!="Padrão",$H$4=#REF!),BDI!$B$17,IF(AND(#REF!="Padrão",$H$4=#REF!),BDI!#REF!,IF(AND(#REF!="Diferenciado",$H$4=#REF!),BDI!$E$17,IF(AND(#REF!="Diferenciado",$H$4=#REF!),BDI!#REF!,IF(#REF!="ZERO",0))))),"")</f>
        <v>#REF!</v>
      </c>
      <c r="H2110" s="136" t="str">
        <f t="shared" si="109"/>
        <v/>
      </c>
      <c r="I2110" s="134" t="str">
        <f t="shared" si="110"/>
        <v/>
      </c>
      <c r="J2110" s="226"/>
    </row>
    <row r="2111" spans="1:10" hidden="1" x14ac:dyDescent="0.25">
      <c r="A2111" s="112" t="s">
        <v>5719</v>
      </c>
      <c r="B2111" s="113" t="s">
        <v>4500</v>
      </c>
      <c r="C2111" s="114" t="s">
        <v>4995</v>
      </c>
      <c r="D2111" s="114">
        <v>0</v>
      </c>
      <c r="E2111" s="133" t="s">
        <v>514</v>
      </c>
      <c r="F2111" s="134" t="str">
        <f t="shared" si="108"/>
        <v/>
      </c>
      <c r="G2111" s="135" t="e">
        <f>IF(A2111&lt;&gt;"",IF(AND(#REF!="Padrão",$H$4=#REF!),BDI!$B$17,IF(AND(#REF!="Padrão",$H$4=#REF!),BDI!#REF!,IF(AND(#REF!="Diferenciado",$H$4=#REF!),BDI!$E$17,IF(AND(#REF!="Diferenciado",$H$4=#REF!),BDI!#REF!,IF(#REF!="ZERO",0))))),"")</f>
        <v>#REF!</v>
      </c>
      <c r="H2111" s="136" t="str">
        <f t="shared" si="109"/>
        <v/>
      </c>
      <c r="I2111" s="134" t="str">
        <f t="shared" si="110"/>
        <v/>
      </c>
      <c r="J2111" s="226"/>
    </row>
    <row r="2112" spans="1:10" hidden="1" x14ac:dyDescent="0.25">
      <c r="A2112" s="112" t="s">
        <v>5720</v>
      </c>
      <c r="B2112" s="113" t="s">
        <v>4501</v>
      </c>
      <c r="C2112" s="114" t="s">
        <v>4995</v>
      </c>
      <c r="D2112" s="114">
        <v>0</v>
      </c>
      <c r="E2112" s="133" t="s">
        <v>514</v>
      </c>
      <c r="F2112" s="134" t="str">
        <f t="shared" si="108"/>
        <v/>
      </c>
      <c r="G2112" s="135" t="e">
        <f>IF(A2112&lt;&gt;"",IF(AND(#REF!="Padrão",$H$4=#REF!),BDI!$B$17,IF(AND(#REF!="Padrão",$H$4=#REF!),BDI!#REF!,IF(AND(#REF!="Diferenciado",$H$4=#REF!),BDI!$E$17,IF(AND(#REF!="Diferenciado",$H$4=#REF!),BDI!#REF!,IF(#REF!="ZERO",0))))),"")</f>
        <v>#REF!</v>
      </c>
      <c r="H2112" s="136" t="str">
        <f t="shared" si="109"/>
        <v/>
      </c>
      <c r="I2112" s="134" t="str">
        <f t="shared" si="110"/>
        <v/>
      </c>
      <c r="J2112" s="226"/>
    </row>
    <row r="2113" spans="1:10" hidden="1" x14ac:dyDescent="0.25">
      <c r="A2113" s="112" t="s">
        <v>5721</v>
      </c>
      <c r="B2113" s="113" t="s">
        <v>4502</v>
      </c>
      <c r="C2113" s="114" t="s">
        <v>4995</v>
      </c>
      <c r="D2113" s="114">
        <v>0</v>
      </c>
      <c r="E2113" s="133" t="s">
        <v>514</v>
      </c>
      <c r="F2113" s="134" t="str">
        <f t="shared" si="108"/>
        <v/>
      </c>
      <c r="G2113" s="135" t="e">
        <f>IF(A2113&lt;&gt;"",IF(AND(#REF!="Padrão",$H$4=#REF!),BDI!$B$17,IF(AND(#REF!="Padrão",$H$4=#REF!),BDI!#REF!,IF(AND(#REF!="Diferenciado",$H$4=#REF!),BDI!$E$17,IF(AND(#REF!="Diferenciado",$H$4=#REF!),BDI!#REF!,IF(#REF!="ZERO",0))))),"")</f>
        <v>#REF!</v>
      </c>
      <c r="H2113" s="136" t="str">
        <f t="shared" si="109"/>
        <v/>
      </c>
      <c r="I2113" s="134" t="str">
        <f t="shared" si="110"/>
        <v/>
      </c>
      <c r="J2113" s="226"/>
    </row>
    <row r="2114" spans="1:10" hidden="1" x14ac:dyDescent="0.25">
      <c r="A2114" s="112" t="s">
        <v>5722</v>
      </c>
      <c r="B2114" s="113" t="s">
        <v>4503</v>
      </c>
      <c r="C2114" s="114" t="s">
        <v>20</v>
      </c>
      <c r="D2114" s="114">
        <v>0</v>
      </c>
      <c r="E2114" s="133" t="s">
        <v>514</v>
      </c>
      <c r="F2114" s="134" t="str">
        <f t="shared" si="108"/>
        <v/>
      </c>
      <c r="G2114" s="135" t="e">
        <f>IF(A2114&lt;&gt;"",IF(AND(#REF!="Padrão",$H$4=#REF!),BDI!$B$17,IF(AND(#REF!="Padrão",$H$4=#REF!),BDI!#REF!,IF(AND(#REF!="Diferenciado",$H$4=#REF!),BDI!$E$17,IF(AND(#REF!="Diferenciado",$H$4=#REF!),BDI!#REF!,IF(#REF!="ZERO",0))))),"")</f>
        <v>#REF!</v>
      </c>
      <c r="H2114" s="136" t="str">
        <f t="shared" si="109"/>
        <v/>
      </c>
      <c r="I2114" s="134" t="str">
        <f t="shared" si="110"/>
        <v/>
      </c>
      <c r="J2114" s="226"/>
    </row>
    <row r="2115" spans="1:10" hidden="1" x14ac:dyDescent="0.25">
      <c r="A2115" s="112" t="s">
        <v>5723</v>
      </c>
      <c r="B2115" s="113" t="s">
        <v>4504</v>
      </c>
      <c r="C2115" s="114" t="s">
        <v>20</v>
      </c>
      <c r="D2115" s="114">
        <v>0</v>
      </c>
      <c r="E2115" s="133" t="s">
        <v>514</v>
      </c>
      <c r="F2115" s="134" t="str">
        <f t="shared" si="108"/>
        <v/>
      </c>
      <c r="G2115" s="135" t="e">
        <f>IF(A2115&lt;&gt;"",IF(AND(#REF!="Padrão",$H$4=#REF!),BDI!$B$17,IF(AND(#REF!="Padrão",$H$4=#REF!),BDI!#REF!,IF(AND(#REF!="Diferenciado",$H$4=#REF!),BDI!$E$17,IF(AND(#REF!="Diferenciado",$H$4=#REF!),BDI!#REF!,IF(#REF!="ZERO",0))))),"")</f>
        <v>#REF!</v>
      </c>
      <c r="H2115" s="136" t="str">
        <f t="shared" si="109"/>
        <v/>
      </c>
      <c r="I2115" s="134" t="str">
        <f t="shared" si="110"/>
        <v/>
      </c>
      <c r="J2115" s="226"/>
    </row>
    <row r="2116" spans="1:10" hidden="1" x14ac:dyDescent="0.25">
      <c r="A2116" s="112" t="s">
        <v>5724</v>
      </c>
      <c r="B2116" s="113" t="s">
        <v>4505</v>
      </c>
      <c r="C2116" s="114" t="s">
        <v>20</v>
      </c>
      <c r="D2116" s="114">
        <v>0</v>
      </c>
      <c r="E2116" s="133" t="s">
        <v>514</v>
      </c>
      <c r="F2116" s="134" t="str">
        <f t="shared" si="108"/>
        <v/>
      </c>
      <c r="G2116" s="135" t="e">
        <f>IF(A2116&lt;&gt;"",IF(AND(#REF!="Padrão",$H$4=#REF!),BDI!$B$17,IF(AND(#REF!="Padrão",$H$4=#REF!),BDI!#REF!,IF(AND(#REF!="Diferenciado",$H$4=#REF!),BDI!$E$17,IF(AND(#REF!="Diferenciado",$H$4=#REF!),BDI!#REF!,IF(#REF!="ZERO",0))))),"")</f>
        <v>#REF!</v>
      </c>
      <c r="H2116" s="136" t="str">
        <f t="shared" si="109"/>
        <v/>
      </c>
      <c r="I2116" s="134" t="str">
        <f t="shared" si="110"/>
        <v/>
      </c>
      <c r="J2116" s="226"/>
    </row>
    <row r="2117" spans="1:10" hidden="1" x14ac:dyDescent="0.25">
      <c r="A2117" s="112" t="s">
        <v>5725</v>
      </c>
      <c r="B2117" s="113" t="s">
        <v>4506</v>
      </c>
      <c r="C2117" s="114" t="s">
        <v>20</v>
      </c>
      <c r="D2117" s="114">
        <v>0</v>
      </c>
      <c r="E2117" s="133" t="s">
        <v>514</v>
      </c>
      <c r="F2117" s="134" t="str">
        <f t="shared" si="108"/>
        <v/>
      </c>
      <c r="G2117" s="135" t="e">
        <f>IF(A2117&lt;&gt;"",IF(AND(#REF!="Padrão",$H$4=#REF!),BDI!$B$17,IF(AND(#REF!="Padrão",$H$4=#REF!),BDI!#REF!,IF(AND(#REF!="Diferenciado",$H$4=#REF!),BDI!$E$17,IF(AND(#REF!="Diferenciado",$H$4=#REF!),BDI!#REF!,IF(#REF!="ZERO",0))))),"")</f>
        <v>#REF!</v>
      </c>
      <c r="H2117" s="136" t="str">
        <f t="shared" si="109"/>
        <v/>
      </c>
      <c r="I2117" s="134" t="str">
        <f t="shared" si="110"/>
        <v/>
      </c>
      <c r="J2117" s="226"/>
    </row>
    <row r="2118" spans="1:10" hidden="1" x14ac:dyDescent="0.25">
      <c r="A2118" s="112" t="s">
        <v>5726</v>
      </c>
      <c r="B2118" s="113" t="s">
        <v>6456</v>
      </c>
      <c r="C2118" s="114" t="s">
        <v>20</v>
      </c>
      <c r="D2118" s="114">
        <v>0</v>
      </c>
      <c r="E2118" s="133" t="s">
        <v>514</v>
      </c>
      <c r="F2118" s="134" t="str">
        <f t="shared" si="108"/>
        <v/>
      </c>
      <c r="G2118" s="135" t="e">
        <f>IF(A2118&lt;&gt;"",IF(AND(#REF!="Padrão",$H$4=#REF!),BDI!$B$17,IF(AND(#REF!="Padrão",$H$4=#REF!),BDI!#REF!,IF(AND(#REF!="Diferenciado",$H$4=#REF!),BDI!$E$17,IF(AND(#REF!="Diferenciado",$H$4=#REF!),BDI!#REF!,IF(#REF!="ZERO",0))))),"")</f>
        <v>#REF!</v>
      </c>
      <c r="H2118" s="136" t="str">
        <f t="shared" si="109"/>
        <v/>
      </c>
      <c r="I2118" s="134" t="str">
        <f t="shared" si="110"/>
        <v/>
      </c>
      <c r="J2118" s="226"/>
    </row>
    <row r="2119" spans="1:10" hidden="1" x14ac:dyDescent="0.25">
      <c r="A2119" s="112" t="s">
        <v>5727</v>
      </c>
      <c r="B2119" s="113" t="s">
        <v>6457</v>
      </c>
      <c r="C2119" s="114" t="s">
        <v>20</v>
      </c>
      <c r="D2119" s="114">
        <v>0</v>
      </c>
      <c r="E2119" s="133" t="s">
        <v>514</v>
      </c>
      <c r="F2119" s="134" t="str">
        <f t="shared" si="108"/>
        <v/>
      </c>
      <c r="G2119" s="135" t="e">
        <f>IF(A2119&lt;&gt;"",IF(AND(#REF!="Padrão",$H$4=#REF!),BDI!$B$17,IF(AND(#REF!="Padrão",$H$4=#REF!),BDI!#REF!,IF(AND(#REF!="Diferenciado",$H$4=#REF!),BDI!$E$17,IF(AND(#REF!="Diferenciado",$H$4=#REF!),BDI!#REF!,IF(#REF!="ZERO",0))))),"")</f>
        <v>#REF!</v>
      </c>
      <c r="H2119" s="136" t="str">
        <f t="shared" si="109"/>
        <v/>
      </c>
      <c r="I2119" s="134" t="str">
        <f t="shared" si="110"/>
        <v/>
      </c>
      <c r="J2119" s="226"/>
    </row>
    <row r="2120" spans="1:10" hidden="1" x14ac:dyDescent="0.25">
      <c r="A2120" s="112" t="s">
        <v>5728</v>
      </c>
      <c r="B2120" s="113" t="s">
        <v>6458</v>
      </c>
      <c r="C2120" s="114" t="s">
        <v>20</v>
      </c>
      <c r="D2120" s="114">
        <v>0</v>
      </c>
      <c r="E2120" s="133" t="s">
        <v>514</v>
      </c>
      <c r="F2120" s="134" t="str">
        <f t="shared" si="108"/>
        <v/>
      </c>
      <c r="G2120" s="135" t="e">
        <f>IF(A2120&lt;&gt;"",IF(AND(#REF!="Padrão",$H$4=#REF!),BDI!$B$17,IF(AND(#REF!="Padrão",$H$4=#REF!),BDI!#REF!,IF(AND(#REF!="Diferenciado",$H$4=#REF!),BDI!$E$17,IF(AND(#REF!="Diferenciado",$H$4=#REF!),BDI!#REF!,IF(#REF!="ZERO",0))))),"")</f>
        <v>#REF!</v>
      </c>
      <c r="H2120" s="136" t="str">
        <f t="shared" si="109"/>
        <v/>
      </c>
      <c r="I2120" s="134" t="str">
        <f t="shared" si="110"/>
        <v/>
      </c>
      <c r="J2120" s="226"/>
    </row>
    <row r="2121" spans="1:10" hidden="1" x14ac:dyDescent="0.25">
      <c r="A2121" s="112" t="s">
        <v>5729</v>
      </c>
      <c r="B2121" s="113" t="s">
        <v>4507</v>
      </c>
      <c r="C2121" s="114" t="s">
        <v>20</v>
      </c>
      <c r="D2121" s="114">
        <v>0</v>
      </c>
      <c r="E2121" s="133" t="s">
        <v>514</v>
      </c>
      <c r="F2121" s="134" t="str">
        <f t="shared" si="108"/>
        <v/>
      </c>
      <c r="G2121" s="135" t="e">
        <f>IF(A2121&lt;&gt;"",IF(AND(#REF!="Padrão",$H$4=#REF!),BDI!$B$17,IF(AND(#REF!="Padrão",$H$4=#REF!),BDI!#REF!,IF(AND(#REF!="Diferenciado",$H$4=#REF!),BDI!$E$17,IF(AND(#REF!="Diferenciado",$H$4=#REF!),BDI!#REF!,IF(#REF!="ZERO",0))))),"")</f>
        <v>#REF!</v>
      </c>
      <c r="H2121" s="136" t="str">
        <f t="shared" si="109"/>
        <v/>
      </c>
      <c r="I2121" s="134" t="str">
        <f t="shared" si="110"/>
        <v/>
      </c>
      <c r="J2121" s="226"/>
    </row>
    <row r="2122" spans="1:10" hidden="1" x14ac:dyDescent="0.25">
      <c r="A2122" s="112" t="s">
        <v>5730</v>
      </c>
      <c r="B2122" s="113" t="s">
        <v>4508</v>
      </c>
      <c r="C2122" s="114" t="s">
        <v>20</v>
      </c>
      <c r="D2122" s="114">
        <v>0</v>
      </c>
      <c r="E2122" s="133" t="s">
        <v>514</v>
      </c>
      <c r="F2122" s="134" t="str">
        <f t="shared" si="108"/>
        <v/>
      </c>
      <c r="G2122" s="135" t="e">
        <f>IF(A2122&lt;&gt;"",IF(AND(#REF!="Padrão",$H$4=#REF!),BDI!$B$17,IF(AND(#REF!="Padrão",$H$4=#REF!),BDI!#REF!,IF(AND(#REF!="Diferenciado",$H$4=#REF!),BDI!$E$17,IF(AND(#REF!="Diferenciado",$H$4=#REF!),BDI!#REF!,IF(#REF!="ZERO",0))))),"")</f>
        <v>#REF!</v>
      </c>
      <c r="H2122" s="136" t="str">
        <f t="shared" si="109"/>
        <v/>
      </c>
      <c r="I2122" s="134" t="str">
        <f t="shared" si="110"/>
        <v/>
      </c>
      <c r="J2122" s="226"/>
    </row>
    <row r="2123" spans="1:10" hidden="1" x14ac:dyDescent="0.25">
      <c r="A2123" s="112" t="s">
        <v>5731</v>
      </c>
      <c r="B2123" s="113" t="s">
        <v>6459</v>
      </c>
      <c r="C2123" s="114" t="s">
        <v>20</v>
      </c>
      <c r="D2123" s="114">
        <v>0</v>
      </c>
      <c r="E2123" s="133" t="s">
        <v>514</v>
      </c>
      <c r="F2123" s="134" t="str">
        <f t="shared" si="108"/>
        <v/>
      </c>
      <c r="G2123" s="135" t="e">
        <f>IF(A2123&lt;&gt;"",IF(AND(#REF!="Padrão",$H$4=#REF!),BDI!$B$17,IF(AND(#REF!="Padrão",$H$4=#REF!),BDI!#REF!,IF(AND(#REF!="Diferenciado",$H$4=#REF!),BDI!$E$17,IF(AND(#REF!="Diferenciado",$H$4=#REF!),BDI!#REF!,IF(#REF!="ZERO",0))))),"")</f>
        <v>#REF!</v>
      </c>
      <c r="H2123" s="136" t="str">
        <f t="shared" si="109"/>
        <v/>
      </c>
      <c r="I2123" s="134" t="str">
        <f t="shared" si="110"/>
        <v/>
      </c>
      <c r="J2123" s="226"/>
    </row>
    <row r="2124" spans="1:10" hidden="1" x14ac:dyDescent="0.25">
      <c r="A2124" s="112" t="s">
        <v>5732</v>
      </c>
      <c r="B2124" s="113" t="s">
        <v>6460</v>
      </c>
      <c r="C2124" s="114" t="s">
        <v>20</v>
      </c>
      <c r="D2124" s="114">
        <v>0</v>
      </c>
      <c r="E2124" s="133" t="s">
        <v>514</v>
      </c>
      <c r="F2124" s="134" t="str">
        <f t="shared" si="108"/>
        <v/>
      </c>
      <c r="G2124" s="135" t="e">
        <f>IF(A2124&lt;&gt;"",IF(AND(#REF!="Padrão",$H$4=#REF!),BDI!$B$17,IF(AND(#REF!="Padrão",$H$4=#REF!),BDI!#REF!,IF(AND(#REF!="Diferenciado",$H$4=#REF!),BDI!$E$17,IF(AND(#REF!="Diferenciado",$H$4=#REF!),BDI!#REF!,IF(#REF!="ZERO",0))))),"")</f>
        <v>#REF!</v>
      </c>
      <c r="H2124" s="136" t="str">
        <f t="shared" si="109"/>
        <v/>
      </c>
      <c r="I2124" s="134" t="str">
        <f t="shared" si="110"/>
        <v/>
      </c>
      <c r="J2124" s="226"/>
    </row>
    <row r="2125" spans="1:10" hidden="1" x14ac:dyDescent="0.25">
      <c r="A2125" s="112" t="s">
        <v>5733</v>
      </c>
      <c r="B2125" s="113" t="s">
        <v>6461</v>
      </c>
      <c r="C2125" s="114" t="s">
        <v>20</v>
      </c>
      <c r="D2125" s="114">
        <v>0</v>
      </c>
      <c r="E2125" s="133" t="s">
        <v>514</v>
      </c>
      <c r="F2125" s="134" t="str">
        <f t="shared" si="108"/>
        <v/>
      </c>
      <c r="G2125" s="135" t="e">
        <f>IF(A2125&lt;&gt;"",IF(AND(#REF!="Padrão",$H$4=#REF!),BDI!$B$17,IF(AND(#REF!="Padrão",$H$4=#REF!),BDI!#REF!,IF(AND(#REF!="Diferenciado",$H$4=#REF!),BDI!$E$17,IF(AND(#REF!="Diferenciado",$H$4=#REF!),BDI!#REF!,IF(#REF!="ZERO",0))))),"")</f>
        <v>#REF!</v>
      </c>
      <c r="H2125" s="136" t="str">
        <f t="shared" si="109"/>
        <v/>
      </c>
      <c r="I2125" s="134" t="str">
        <f t="shared" si="110"/>
        <v/>
      </c>
      <c r="J2125" s="226"/>
    </row>
    <row r="2126" spans="1:10" hidden="1" x14ac:dyDescent="0.25">
      <c r="A2126" s="112" t="s">
        <v>5734</v>
      </c>
      <c r="B2126" s="113" t="s">
        <v>6462</v>
      </c>
      <c r="C2126" s="114" t="s">
        <v>20</v>
      </c>
      <c r="D2126" s="114">
        <v>0</v>
      </c>
      <c r="E2126" s="133" t="s">
        <v>514</v>
      </c>
      <c r="F2126" s="134" t="str">
        <f t="shared" si="108"/>
        <v/>
      </c>
      <c r="G2126" s="135" t="e">
        <f>IF(A2126&lt;&gt;"",IF(AND(#REF!="Padrão",$H$4=#REF!),BDI!$B$17,IF(AND(#REF!="Padrão",$H$4=#REF!),BDI!#REF!,IF(AND(#REF!="Diferenciado",$H$4=#REF!),BDI!$E$17,IF(AND(#REF!="Diferenciado",$H$4=#REF!),BDI!#REF!,IF(#REF!="ZERO",0))))),"")</f>
        <v>#REF!</v>
      </c>
      <c r="H2126" s="136" t="str">
        <f t="shared" si="109"/>
        <v/>
      </c>
      <c r="I2126" s="134" t="str">
        <f t="shared" si="110"/>
        <v/>
      </c>
      <c r="J2126" s="226"/>
    </row>
    <row r="2127" spans="1:10" hidden="1" x14ac:dyDescent="0.25">
      <c r="A2127" s="112" t="s">
        <v>5735</v>
      </c>
      <c r="B2127" s="113" t="s">
        <v>6463</v>
      </c>
      <c r="C2127" s="114" t="s">
        <v>20</v>
      </c>
      <c r="D2127" s="114">
        <v>0</v>
      </c>
      <c r="E2127" s="133" t="s">
        <v>514</v>
      </c>
      <c r="F2127" s="134" t="str">
        <f t="shared" si="108"/>
        <v/>
      </c>
      <c r="G2127" s="135" t="e">
        <f>IF(A2127&lt;&gt;"",IF(AND(#REF!="Padrão",$H$4=#REF!),BDI!$B$17,IF(AND(#REF!="Padrão",$H$4=#REF!),BDI!#REF!,IF(AND(#REF!="Diferenciado",$H$4=#REF!),BDI!$E$17,IF(AND(#REF!="Diferenciado",$H$4=#REF!),BDI!#REF!,IF(#REF!="ZERO",0))))),"")</f>
        <v>#REF!</v>
      </c>
      <c r="H2127" s="136" t="str">
        <f t="shared" si="109"/>
        <v/>
      </c>
      <c r="I2127" s="134" t="str">
        <f t="shared" si="110"/>
        <v/>
      </c>
      <c r="J2127" s="226"/>
    </row>
    <row r="2128" spans="1:10" hidden="1" x14ac:dyDescent="0.25">
      <c r="A2128" s="112" t="s">
        <v>5736</v>
      </c>
      <c r="B2128" s="113" t="s">
        <v>6464</v>
      </c>
      <c r="C2128" s="114" t="s">
        <v>20</v>
      </c>
      <c r="D2128" s="114">
        <v>0</v>
      </c>
      <c r="E2128" s="133" t="s">
        <v>514</v>
      </c>
      <c r="F2128" s="134" t="str">
        <f t="shared" si="108"/>
        <v/>
      </c>
      <c r="G2128" s="135" t="e">
        <f>IF(A2128&lt;&gt;"",IF(AND(#REF!="Padrão",$H$4=#REF!),BDI!$B$17,IF(AND(#REF!="Padrão",$H$4=#REF!),BDI!#REF!,IF(AND(#REF!="Diferenciado",$H$4=#REF!),BDI!$E$17,IF(AND(#REF!="Diferenciado",$H$4=#REF!),BDI!#REF!,IF(#REF!="ZERO",0))))),"")</f>
        <v>#REF!</v>
      </c>
      <c r="H2128" s="136" t="str">
        <f t="shared" si="109"/>
        <v/>
      </c>
      <c r="I2128" s="134" t="str">
        <f t="shared" si="110"/>
        <v/>
      </c>
      <c r="J2128" s="226"/>
    </row>
    <row r="2129" spans="1:10" hidden="1" x14ac:dyDescent="0.25">
      <c r="A2129" s="112" t="s">
        <v>5737</v>
      </c>
      <c r="B2129" s="113" t="s">
        <v>4509</v>
      </c>
      <c r="C2129" s="114" t="s">
        <v>20</v>
      </c>
      <c r="D2129" s="114">
        <v>0</v>
      </c>
      <c r="E2129" s="133" t="s">
        <v>514</v>
      </c>
      <c r="F2129" s="134" t="str">
        <f t="shared" si="108"/>
        <v/>
      </c>
      <c r="G2129" s="135" t="e">
        <f>IF(A2129&lt;&gt;"",IF(AND(#REF!="Padrão",$H$4=#REF!),BDI!$B$17,IF(AND(#REF!="Padrão",$H$4=#REF!),BDI!#REF!,IF(AND(#REF!="Diferenciado",$H$4=#REF!),BDI!$E$17,IF(AND(#REF!="Diferenciado",$H$4=#REF!),BDI!#REF!,IF(#REF!="ZERO",0))))),"")</f>
        <v>#REF!</v>
      </c>
      <c r="H2129" s="136" t="str">
        <f t="shared" si="109"/>
        <v/>
      </c>
      <c r="I2129" s="134" t="str">
        <f t="shared" si="110"/>
        <v/>
      </c>
      <c r="J2129" s="226"/>
    </row>
    <row r="2130" spans="1:10" hidden="1" x14ac:dyDescent="0.25">
      <c r="A2130" s="112" t="s">
        <v>5738</v>
      </c>
      <c r="B2130" s="113" t="s">
        <v>4510</v>
      </c>
      <c r="C2130" s="114" t="s">
        <v>20</v>
      </c>
      <c r="D2130" s="114">
        <v>0</v>
      </c>
      <c r="E2130" s="133" t="s">
        <v>514</v>
      </c>
      <c r="F2130" s="134" t="str">
        <f t="shared" si="108"/>
        <v/>
      </c>
      <c r="G2130" s="135" t="e">
        <f>IF(A2130&lt;&gt;"",IF(AND(#REF!="Padrão",$H$4=#REF!),BDI!$B$17,IF(AND(#REF!="Padrão",$H$4=#REF!),BDI!#REF!,IF(AND(#REF!="Diferenciado",$H$4=#REF!),BDI!$E$17,IF(AND(#REF!="Diferenciado",$H$4=#REF!),BDI!#REF!,IF(#REF!="ZERO",0))))),"")</f>
        <v>#REF!</v>
      </c>
      <c r="H2130" s="136" t="str">
        <f t="shared" si="109"/>
        <v/>
      </c>
      <c r="I2130" s="134" t="str">
        <f t="shared" si="110"/>
        <v/>
      </c>
      <c r="J2130" s="226"/>
    </row>
    <row r="2131" spans="1:10" hidden="1" x14ac:dyDescent="0.25">
      <c r="A2131" s="112" t="s">
        <v>5739</v>
      </c>
      <c r="B2131" s="113" t="s">
        <v>4511</v>
      </c>
      <c r="C2131" s="114" t="s">
        <v>20</v>
      </c>
      <c r="D2131" s="114">
        <v>0</v>
      </c>
      <c r="E2131" s="133" t="s">
        <v>514</v>
      </c>
      <c r="F2131" s="134" t="str">
        <f t="shared" si="108"/>
        <v/>
      </c>
      <c r="G2131" s="135" t="e">
        <f>IF(A2131&lt;&gt;"",IF(AND(#REF!="Padrão",$H$4=#REF!),BDI!$B$17,IF(AND(#REF!="Padrão",$H$4=#REF!),BDI!#REF!,IF(AND(#REF!="Diferenciado",$H$4=#REF!),BDI!$E$17,IF(AND(#REF!="Diferenciado",$H$4=#REF!),BDI!#REF!,IF(#REF!="ZERO",0))))),"")</f>
        <v>#REF!</v>
      </c>
      <c r="H2131" s="136" t="str">
        <f t="shared" si="109"/>
        <v/>
      </c>
      <c r="I2131" s="134" t="str">
        <f t="shared" si="110"/>
        <v/>
      </c>
      <c r="J2131" s="226"/>
    </row>
    <row r="2132" spans="1:10" hidden="1" x14ac:dyDescent="0.25">
      <c r="A2132" s="112" t="s">
        <v>5740</v>
      </c>
      <c r="B2132" s="113" t="s">
        <v>4512</v>
      </c>
      <c r="C2132" s="114" t="s">
        <v>20</v>
      </c>
      <c r="D2132" s="114">
        <v>0</v>
      </c>
      <c r="E2132" s="133" t="s">
        <v>514</v>
      </c>
      <c r="F2132" s="134" t="str">
        <f t="shared" si="108"/>
        <v/>
      </c>
      <c r="G2132" s="135" t="e">
        <f>IF(A2132&lt;&gt;"",IF(AND(#REF!="Padrão",$H$4=#REF!),BDI!$B$17,IF(AND(#REF!="Padrão",$H$4=#REF!),BDI!#REF!,IF(AND(#REF!="Diferenciado",$H$4=#REF!),BDI!$E$17,IF(AND(#REF!="Diferenciado",$H$4=#REF!),BDI!#REF!,IF(#REF!="ZERO",0))))),"")</f>
        <v>#REF!</v>
      </c>
      <c r="H2132" s="136" t="str">
        <f t="shared" si="109"/>
        <v/>
      </c>
      <c r="I2132" s="134" t="str">
        <f t="shared" si="110"/>
        <v/>
      </c>
      <c r="J2132" s="226"/>
    </row>
    <row r="2133" spans="1:10" hidden="1" x14ac:dyDescent="0.25">
      <c r="A2133" s="112" t="s">
        <v>5741</v>
      </c>
      <c r="B2133" s="113" t="s">
        <v>6465</v>
      </c>
      <c r="C2133" s="114" t="s">
        <v>20</v>
      </c>
      <c r="D2133" s="114">
        <v>0</v>
      </c>
      <c r="E2133" s="133" t="s">
        <v>514</v>
      </c>
      <c r="F2133" s="134" t="str">
        <f t="shared" si="108"/>
        <v/>
      </c>
      <c r="G2133" s="135" t="e">
        <f>IF(A2133&lt;&gt;"",IF(AND(#REF!="Padrão",$H$4=#REF!),BDI!$B$17,IF(AND(#REF!="Padrão",$H$4=#REF!),BDI!#REF!,IF(AND(#REF!="Diferenciado",$H$4=#REF!),BDI!$E$17,IF(AND(#REF!="Diferenciado",$H$4=#REF!),BDI!#REF!,IF(#REF!="ZERO",0))))),"")</f>
        <v>#REF!</v>
      </c>
      <c r="H2133" s="136" t="str">
        <f t="shared" si="109"/>
        <v/>
      </c>
      <c r="I2133" s="134" t="str">
        <f t="shared" si="110"/>
        <v/>
      </c>
      <c r="J2133" s="226"/>
    </row>
    <row r="2134" spans="1:10" hidden="1" x14ac:dyDescent="0.25">
      <c r="A2134" s="112" t="s">
        <v>5742</v>
      </c>
      <c r="B2134" s="113" t="s">
        <v>4513</v>
      </c>
      <c r="C2134" s="114" t="s">
        <v>20</v>
      </c>
      <c r="D2134" s="114">
        <v>0</v>
      </c>
      <c r="E2134" s="133" t="s">
        <v>514</v>
      </c>
      <c r="F2134" s="134" t="str">
        <f t="shared" si="108"/>
        <v/>
      </c>
      <c r="G2134" s="135" t="e">
        <f>IF(A2134&lt;&gt;"",IF(AND(#REF!="Padrão",$H$4=#REF!),BDI!$B$17,IF(AND(#REF!="Padrão",$H$4=#REF!),BDI!#REF!,IF(AND(#REF!="Diferenciado",$H$4=#REF!),BDI!$E$17,IF(AND(#REF!="Diferenciado",$H$4=#REF!),BDI!#REF!,IF(#REF!="ZERO",0))))),"")</f>
        <v>#REF!</v>
      </c>
      <c r="H2134" s="136" t="str">
        <f t="shared" si="109"/>
        <v/>
      </c>
      <c r="I2134" s="134" t="str">
        <f t="shared" si="110"/>
        <v/>
      </c>
      <c r="J2134" s="226"/>
    </row>
    <row r="2135" spans="1:10" hidden="1" x14ac:dyDescent="0.25">
      <c r="A2135" s="112" t="s">
        <v>5743</v>
      </c>
      <c r="B2135" s="113" t="s">
        <v>4514</v>
      </c>
      <c r="C2135" s="114" t="s">
        <v>20</v>
      </c>
      <c r="D2135" s="114">
        <v>0</v>
      </c>
      <c r="E2135" s="133" t="s">
        <v>514</v>
      </c>
      <c r="F2135" s="134" t="str">
        <f t="shared" si="108"/>
        <v/>
      </c>
      <c r="G2135" s="135" t="e">
        <f>IF(A2135&lt;&gt;"",IF(AND(#REF!="Padrão",$H$4=#REF!),BDI!$B$17,IF(AND(#REF!="Padrão",$H$4=#REF!),BDI!#REF!,IF(AND(#REF!="Diferenciado",$H$4=#REF!),BDI!$E$17,IF(AND(#REF!="Diferenciado",$H$4=#REF!),BDI!#REF!,IF(#REF!="ZERO",0))))),"")</f>
        <v>#REF!</v>
      </c>
      <c r="H2135" s="136" t="str">
        <f t="shared" si="109"/>
        <v/>
      </c>
      <c r="I2135" s="134" t="str">
        <f t="shared" si="110"/>
        <v/>
      </c>
      <c r="J2135" s="226"/>
    </row>
    <row r="2136" spans="1:10" hidden="1" x14ac:dyDescent="0.25">
      <c r="A2136" s="112" t="s">
        <v>5744</v>
      </c>
      <c r="B2136" s="113" t="s">
        <v>4515</v>
      </c>
      <c r="C2136" s="114" t="s">
        <v>20</v>
      </c>
      <c r="D2136" s="114">
        <v>0</v>
      </c>
      <c r="E2136" s="133" t="s">
        <v>514</v>
      </c>
      <c r="F2136" s="134" t="str">
        <f t="shared" si="108"/>
        <v/>
      </c>
      <c r="G2136" s="135" t="e">
        <f>IF(A2136&lt;&gt;"",IF(AND(#REF!="Padrão",$H$4=#REF!),BDI!$B$17,IF(AND(#REF!="Padrão",$H$4=#REF!),BDI!#REF!,IF(AND(#REF!="Diferenciado",$H$4=#REF!),BDI!$E$17,IF(AND(#REF!="Diferenciado",$H$4=#REF!),BDI!#REF!,IF(#REF!="ZERO",0))))),"")</f>
        <v>#REF!</v>
      </c>
      <c r="H2136" s="136" t="str">
        <f t="shared" si="109"/>
        <v/>
      </c>
      <c r="I2136" s="134" t="str">
        <f t="shared" si="110"/>
        <v/>
      </c>
      <c r="J2136" s="226"/>
    </row>
    <row r="2137" spans="1:10" hidden="1" x14ac:dyDescent="0.25">
      <c r="A2137" s="112" t="s">
        <v>5745</v>
      </c>
      <c r="B2137" s="113" t="s">
        <v>4516</v>
      </c>
      <c r="C2137" s="114" t="s">
        <v>20</v>
      </c>
      <c r="D2137" s="114">
        <v>0</v>
      </c>
      <c r="E2137" s="133" t="s">
        <v>514</v>
      </c>
      <c r="F2137" s="134" t="str">
        <f t="shared" si="108"/>
        <v/>
      </c>
      <c r="G2137" s="135" t="e">
        <f>IF(A2137&lt;&gt;"",IF(AND(#REF!="Padrão",$H$4=#REF!),BDI!$B$17,IF(AND(#REF!="Padrão",$H$4=#REF!),BDI!#REF!,IF(AND(#REF!="Diferenciado",$H$4=#REF!),BDI!$E$17,IF(AND(#REF!="Diferenciado",$H$4=#REF!),BDI!#REF!,IF(#REF!="ZERO",0))))),"")</f>
        <v>#REF!</v>
      </c>
      <c r="H2137" s="136" t="str">
        <f t="shared" si="109"/>
        <v/>
      </c>
      <c r="I2137" s="134" t="str">
        <f t="shared" si="110"/>
        <v/>
      </c>
      <c r="J2137" s="226"/>
    </row>
    <row r="2138" spans="1:10" hidden="1" x14ac:dyDescent="0.25">
      <c r="A2138" s="112" t="s">
        <v>5746</v>
      </c>
      <c r="B2138" s="113" t="s">
        <v>4517</v>
      </c>
      <c r="C2138" s="114" t="s">
        <v>20</v>
      </c>
      <c r="D2138" s="114">
        <v>0</v>
      </c>
      <c r="E2138" s="133" t="s">
        <v>514</v>
      </c>
      <c r="F2138" s="134" t="str">
        <f t="shared" si="108"/>
        <v/>
      </c>
      <c r="G2138" s="135" t="e">
        <f>IF(A2138&lt;&gt;"",IF(AND(#REF!="Padrão",$H$4=#REF!),BDI!$B$17,IF(AND(#REF!="Padrão",$H$4=#REF!),BDI!#REF!,IF(AND(#REF!="Diferenciado",$H$4=#REF!),BDI!$E$17,IF(AND(#REF!="Diferenciado",$H$4=#REF!),BDI!#REF!,IF(#REF!="ZERO",0))))),"")</f>
        <v>#REF!</v>
      </c>
      <c r="H2138" s="136" t="str">
        <f t="shared" si="109"/>
        <v/>
      </c>
      <c r="I2138" s="134" t="str">
        <f t="shared" si="110"/>
        <v/>
      </c>
      <c r="J2138" s="226"/>
    </row>
    <row r="2139" spans="1:10" hidden="1" x14ac:dyDescent="0.25">
      <c r="A2139" s="112" t="s">
        <v>5747</v>
      </c>
      <c r="B2139" s="113" t="s">
        <v>4518</v>
      </c>
      <c r="C2139" s="114" t="s">
        <v>20</v>
      </c>
      <c r="D2139" s="114">
        <v>0</v>
      </c>
      <c r="E2139" s="133" t="s">
        <v>514</v>
      </c>
      <c r="F2139" s="134" t="str">
        <f t="shared" si="108"/>
        <v/>
      </c>
      <c r="G2139" s="135" t="e">
        <f>IF(A2139&lt;&gt;"",IF(AND(#REF!="Padrão",$H$4=#REF!),BDI!$B$17,IF(AND(#REF!="Padrão",$H$4=#REF!),BDI!#REF!,IF(AND(#REF!="Diferenciado",$H$4=#REF!),BDI!$E$17,IF(AND(#REF!="Diferenciado",$H$4=#REF!),BDI!#REF!,IF(#REF!="ZERO",0))))),"")</f>
        <v>#REF!</v>
      </c>
      <c r="H2139" s="136" t="str">
        <f t="shared" si="109"/>
        <v/>
      </c>
      <c r="I2139" s="134" t="str">
        <f t="shared" si="110"/>
        <v/>
      </c>
      <c r="J2139" s="226"/>
    </row>
    <row r="2140" spans="1:10" hidden="1" x14ac:dyDescent="0.25">
      <c r="A2140" s="112" t="s">
        <v>5748</v>
      </c>
      <c r="B2140" s="113" t="s">
        <v>4519</v>
      </c>
      <c r="C2140" s="114" t="s">
        <v>20</v>
      </c>
      <c r="D2140" s="114">
        <v>0</v>
      </c>
      <c r="E2140" s="133" t="s">
        <v>514</v>
      </c>
      <c r="F2140" s="134" t="str">
        <f t="shared" si="108"/>
        <v/>
      </c>
      <c r="G2140" s="135" t="e">
        <f>IF(A2140&lt;&gt;"",IF(AND(#REF!="Padrão",$H$4=#REF!),BDI!$B$17,IF(AND(#REF!="Padrão",$H$4=#REF!),BDI!#REF!,IF(AND(#REF!="Diferenciado",$H$4=#REF!),BDI!$E$17,IF(AND(#REF!="Diferenciado",$H$4=#REF!),BDI!#REF!,IF(#REF!="ZERO",0))))),"")</f>
        <v>#REF!</v>
      </c>
      <c r="H2140" s="136" t="str">
        <f t="shared" si="109"/>
        <v/>
      </c>
      <c r="I2140" s="134" t="str">
        <f t="shared" si="110"/>
        <v/>
      </c>
      <c r="J2140" s="226"/>
    </row>
    <row r="2141" spans="1:10" hidden="1" x14ac:dyDescent="0.25">
      <c r="A2141" s="112" t="s">
        <v>5749</v>
      </c>
      <c r="B2141" s="113" t="s">
        <v>4520</v>
      </c>
      <c r="C2141" s="114" t="s">
        <v>20</v>
      </c>
      <c r="D2141" s="114">
        <v>0</v>
      </c>
      <c r="E2141" s="133" t="s">
        <v>514</v>
      </c>
      <c r="F2141" s="134" t="str">
        <f t="shared" si="108"/>
        <v/>
      </c>
      <c r="G2141" s="135" t="e">
        <f>IF(A2141&lt;&gt;"",IF(AND(#REF!="Padrão",$H$4=#REF!),BDI!$B$17,IF(AND(#REF!="Padrão",$H$4=#REF!),BDI!#REF!,IF(AND(#REF!="Diferenciado",$H$4=#REF!),BDI!$E$17,IF(AND(#REF!="Diferenciado",$H$4=#REF!),BDI!#REF!,IF(#REF!="ZERO",0))))),"")</f>
        <v>#REF!</v>
      </c>
      <c r="H2141" s="136" t="str">
        <f t="shared" si="109"/>
        <v/>
      </c>
      <c r="I2141" s="134" t="str">
        <f t="shared" si="110"/>
        <v/>
      </c>
      <c r="J2141" s="226"/>
    </row>
    <row r="2142" spans="1:10" hidden="1" x14ac:dyDescent="0.25">
      <c r="A2142" s="112" t="s">
        <v>5750</v>
      </c>
      <c r="B2142" s="113" t="s">
        <v>4521</v>
      </c>
      <c r="C2142" s="114" t="s">
        <v>20</v>
      </c>
      <c r="D2142" s="114">
        <v>0</v>
      </c>
      <c r="E2142" s="133" t="s">
        <v>514</v>
      </c>
      <c r="F2142" s="134" t="str">
        <f t="shared" si="108"/>
        <v/>
      </c>
      <c r="G2142" s="135" t="e">
        <f>IF(A2142&lt;&gt;"",IF(AND(#REF!="Padrão",$H$4=#REF!),BDI!$B$17,IF(AND(#REF!="Padrão",$H$4=#REF!),BDI!#REF!,IF(AND(#REF!="Diferenciado",$H$4=#REF!),BDI!$E$17,IF(AND(#REF!="Diferenciado",$H$4=#REF!),BDI!#REF!,IF(#REF!="ZERO",0))))),"")</f>
        <v>#REF!</v>
      </c>
      <c r="H2142" s="136" t="str">
        <f t="shared" si="109"/>
        <v/>
      </c>
      <c r="I2142" s="134" t="str">
        <f t="shared" si="110"/>
        <v/>
      </c>
      <c r="J2142" s="226"/>
    </row>
    <row r="2143" spans="1:10" hidden="1" x14ac:dyDescent="0.25">
      <c r="A2143" s="112" t="s">
        <v>5751</v>
      </c>
      <c r="B2143" s="113" t="s">
        <v>4522</v>
      </c>
      <c r="C2143" s="114" t="s">
        <v>20</v>
      </c>
      <c r="D2143" s="114">
        <v>0</v>
      </c>
      <c r="E2143" s="133" t="s">
        <v>514</v>
      </c>
      <c r="F2143" s="134" t="str">
        <f t="shared" si="108"/>
        <v/>
      </c>
      <c r="G2143" s="135" t="e">
        <f>IF(A2143&lt;&gt;"",IF(AND(#REF!="Padrão",$H$4=#REF!),BDI!$B$17,IF(AND(#REF!="Padrão",$H$4=#REF!),BDI!#REF!,IF(AND(#REF!="Diferenciado",$H$4=#REF!),BDI!$E$17,IF(AND(#REF!="Diferenciado",$H$4=#REF!),BDI!#REF!,IF(#REF!="ZERO",0))))),"")</f>
        <v>#REF!</v>
      </c>
      <c r="H2143" s="136" t="str">
        <f t="shared" si="109"/>
        <v/>
      </c>
      <c r="I2143" s="134" t="str">
        <f t="shared" si="110"/>
        <v/>
      </c>
      <c r="J2143" s="226"/>
    </row>
    <row r="2144" spans="1:10" hidden="1" x14ac:dyDescent="0.25">
      <c r="A2144" s="112" t="s">
        <v>5752</v>
      </c>
      <c r="B2144" s="113" t="s">
        <v>6466</v>
      </c>
      <c r="C2144" s="114" t="s">
        <v>92</v>
      </c>
      <c r="D2144" s="114">
        <v>0</v>
      </c>
      <c r="E2144" s="133" t="s">
        <v>514</v>
      </c>
      <c r="F2144" s="134" t="str">
        <f t="shared" si="108"/>
        <v/>
      </c>
      <c r="G2144" s="135" t="e">
        <f>IF(A2144&lt;&gt;"",IF(AND(#REF!="Padrão",$H$4=#REF!),BDI!$B$17,IF(AND(#REF!="Padrão",$H$4=#REF!),BDI!#REF!,IF(AND(#REF!="Diferenciado",$H$4=#REF!),BDI!$E$17,IF(AND(#REF!="Diferenciado",$H$4=#REF!),BDI!#REF!,IF(#REF!="ZERO",0))))),"")</f>
        <v>#REF!</v>
      </c>
      <c r="H2144" s="136" t="str">
        <f t="shared" si="109"/>
        <v/>
      </c>
      <c r="I2144" s="134" t="str">
        <f t="shared" si="110"/>
        <v/>
      </c>
      <c r="J2144" s="226"/>
    </row>
    <row r="2145" spans="1:10" hidden="1" x14ac:dyDescent="0.25">
      <c r="A2145" s="112" t="s">
        <v>5753</v>
      </c>
      <c r="B2145" s="113" t="s">
        <v>6467</v>
      </c>
      <c r="C2145" s="114" t="s">
        <v>92</v>
      </c>
      <c r="D2145" s="114">
        <v>0</v>
      </c>
      <c r="E2145" s="133" t="s">
        <v>514</v>
      </c>
      <c r="F2145" s="134" t="str">
        <f t="shared" si="108"/>
        <v/>
      </c>
      <c r="G2145" s="135" t="e">
        <f>IF(A2145&lt;&gt;"",IF(AND(#REF!="Padrão",$H$4=#REF!),BDI!$B$17,IF(AND(#REF!="Padrão",$H$4=#REF!),BDI!#REF!,IF(AND(#REF!="Diferenciado",$H$4=#REF!),BDI!$E$17,IF(AND(#REF!="Diferenciado",$H$4=#REF!),BDI!#REF!,IF(#REF!="ZERO",0))))),"")</f>
        <v>#REF!</v>
      </c>
      <c r="H2145" s="136" t="str">
        <f t="shared" si="109"/>
        <v/>
      </c>
      <c r="I2145" s="134" t="str">
        <f t="shared" si="110"/>
        <v/>
      </c>
      <c r="J2145" s="226"/>
    </row>
    <row r="2146" spans="1:10" hidden="1" x14ac:dyDescent="0.25">
      <c r="A2146" s="112" t="s">
        <v>5754</v>
      </c>
      <c r="B2146" s="113" t="s">
        <v>6232</v>
      </c>
      <c r="C2146" s="114" t="s">
        <v>92</v>
      </c>
      <c r="D2146" s="114">
        <v>0</v>
      </c>
      <c r="E2146" s="133" t="s">
        <v>514</v>
      </c>
      <c r="F2146" s="134" t="str">
        <f t="shared" si="108"/>
        <v/>
      </c>
      <c r="G2146" s="135" t="e">
        <f>IF(A2146&lt;&gt;"",IF(AND(#REF!="Padrão",$H$4=#REF!),BDI!$B$17,IF(AND(#REF!="Padrão",$H$4=#REF!),BDI!#REF!,IF(AND(#REF!="Diferenciado",$H$4=#REF!),BDI!$E$17,IF(AND(#REF!="Diferenciado",$H$4=#REF!),BDI!#REF!,IF(#REF!="ZERO",0))))),"")</f>
        <v>#REF!</v>
      </c>
      <c r="H2146" s="136" t="str">
        <f t="shared" si="109"/>
        <v/>
      </c>
      <c r="I2146" s="134" t="str">
        <f t="shared" si="110"/>
        <v/>
      </c>
      <c r="J2146" s="226"/>
    </row>
    <row r="2147" spans="1:10" hidden="1" x14ac:dyDescent="0.25">
      <c r="A2147" s="112" t="s">
        <v>5755</v>
      </c>
      <c r="B2147" s="113" t="s">
        <v>4523</v>
      </c>
      <c r="C2147" s="114" t="s">
        <v>20</v>
      </c>
      <c r="D2147" s="114">
        <v>0</v>
      </c>
      <c r="E2147" s="133" t="s">
        <v>514</v>
      </c>
      <c r="F2147" s="134" t="str">
        <f t="shared" si="108"/>
        <v/>
      </c>
      <c r="G2147" s="135" t="e">
        <f>IF(A2147&lt;&gt;"",IF(AND(#REF!="Padrão",$H$4=#REF!),BDI!$B$17,IF(AND(#REF!="Padrão",$H$4=#REF!),BDI!#REF!,IF(AND(#REF!="Diferenciado",$H$4=#REF!),BDI!$E$17,IF(AND(#REF!="Diferenciado",$H$4=#REF!),BDI!#REF!,IF(#REF!="ZERO",0))))),"")</f>
        <v>#REF!</v>
      </c>
      <c r="H2147" s="136" t="str">
        <f t="shared" si="109"/>
        <v/>
      </c>
      <c r="I2147" s="134" t="str">
        <f t="shared" si="110"/>
        <v/>
      </c>
      <c r="J2147" s="226"/>
    </row>
    <row r="2148" spans="1:10" hidden="1" x14ac:dyDescent="0.25">
      <c r="A2148" s="112" t="s">
        <v>5756</v>
      </c>
      <c r="B2148" s="113" t="s">
        <v>4524</v>
      </c>
      <c r="C2148" s="114" t="s">
        <v>20</v>
      </c>
      <c r="D2148" s="114">
        <v>0</v>
      </c>
      <c r="E2148" s="133" t="s">
        <v>514</v>
      </c>
      <c r="F2148" s="134" t="str">
        <f t="shared" si="108"/>
        <v/>
      </c>
      <c r="G2148" s="135" t="e">
        <f>IF(A2148&lt;&gt;"",IF(AND(#REF!="Padrão",$H$4=#REF!),BDI!$B$17,IF(AND(#REF!="Padrão",$H$4=#REF!),BDI!#REF!,IF(AND(#REF!="Diferenciado",$H$4=#REF!),BDI!$E$17,IF(AND(#REF!="Diferenciado",$H$4=#REF!),BDI!#REF!,IF(#REF!="ZERO",0))))),"")</f>
        <v>#REF!</v>
      </c>
      <c r="H2148" s="136" t="str">
        <f t="shared" si="109"/>
        <v/>
      </c>
      <c r="I2148" s="134" t="str">
        <f t="shared" si="110"/>
        <v/>
      </c>
      <c r="J2148" s="226"/>
    </row>
    <row r="2149" spans="1:10" hidden="1" x14ac:dyDescent="0.25">
      <c r="A2149" s="112" t="s">
        <v>5757</v>
      </c>
      <c r="B2149" s="113" t="s">
        <v>4525</v>
      </c>
      <c r="C2149" s="114" t="s">
        <v>20</v>
      </c>
      <c r="D2149" s="114">
        <v>0</v>
      </c>
      <c r="E2149" s="133" t="s">
        <v>514</v>
      </c>
      <c r="F2149" s="134" t="str">
        <f t="shared" si="108"/>
        <v/>
      </c>
      <c r="G2149" s="135" t="e">
        <f>IF(A2149&lt;&gt;"",IF(AND(#REF!="Padrão",$H$4=#REF!),BDI!$B$17,IF(AND(#REF!="Padrão",$H$4=#REF!),BDI!#REF!,IF(AND(#REF!="Diferenciado",$H$4=#REF!),BDI!$E$17,IF(AND(#REF!="Diferenciado",$H$4=#REF!),BDI!#REF!,IF(#REF!="ZERO",0))))),"")</f>
        <v>#REF!</v>
      </c>
      <c r="H2149" s="136" t="str">
        <f t="shared" si="109"/>
        <v/>
      </c>
      <c r="I2149" s="134" t="str">
        <f t="shared" si="110"/>
        <v/>
      </c>
      <c r="J2149" s="226"/>
    </row>
    <row r="2150" spans="1:10" hidden="1" x14ac:dyDescent="0.25">
      <c r="A2150" s="112" t="s">
        <v>5758</v>
      </c>
      <c r="B2150" s="113" t="s">
        <v>4526</v>
      </c>
      <c r="C2150" s="114" t="s">
        <v>20</v>
      </c>
      <c r="D2150" s="114">
        <v>0</v>
      </c>
      <c r="E2150" s="133" t="s">
        <v>514</v>
      </c>
      <c r="F2150" s="134" t="str">
        <f t="shared" si="108"/>
        <v/>
      </c>
      <c r="G2150" s="135" t="e">
        <f>IF(A2150&lt;&gt;"",IF(AND(#REF!="Padrão",$H$4=#REF!),BDI!$B$17,IF(AND(#REF!="Padrão",$H$4=#REF!),BDI!#REF!,IF(AND(#REF!="Diferenciado",$H$4=#REF!),BDI!$E$17,IF(AND(#REF!="Diferenciado",$H$4=#REF!),BDI!#REF!,IF(#REF!="ZERO",0))))),"")</f>
        <v>#REF!</v>
      </c>
      <c r="H2150" s="136" t="str">
        <f t="shared" si="109"/>
        <v/>
      </c>
      <c r="I2150" s="134" t="str">
        <f t="shared" si="110"/>
        <v/>
      </c>
      <c r="J2150" s="226"/>
    </row>
    <row r="2151" spans="1:10" hidden="1" x14ac:dyDescent="0.25">
      <c r="A2151" s="112" t="s">
        <v>5759</v>
      </c>
      <c r="B2151" s="113" t="s">
        <v>4527</v>
      </c>
      <c r="C2151" s="114" t="s">
        <v>20</v>
      </c>
      <c r="D2151" s="114">
        <v>0</v>
      </c>
      <c r="E2151" s="133" t="s">
        <v>514</v>
      </c>
      <c r="F2151" s="134" t="str">
        <f t="shared" si="108"/>
        <v/>
      </c>
      <c r="G2151" s="135" t="e">
        <f>IF(A2151&lt;&gt;"",IF(AND(#REF!="Padrão",$H$4=#REF!),BDI!$B$17,IF(AND(#REF!="Padrão",$H$4=#REF!),BDI!#REF!,IF(AND(#REF!="Diferenciado",$H$4=#REF!),BDI!$E$17,IF(AND(#REF!="Diferenciado",$H$4=#REF!),BDI!#REF!,IF(#REF!="ZERO",0))))),"")</f>
        <v>#REF!</v>
      </c>
      <c r="H2151" s="136" t="str">
        <f t="shared" si="109"/>
        <v/>
      </c>
      <c r="I2151" s="134" t="str">
        <f t="shared" si="110"/>
        <v/>
      </c>
      <c r="J2151" s="226"/>
    </row>
    <row r="2152" spans="1:10" hidden="1" x14ac:dyDescent="0.25">
      <c r="A2152" s="112" t="s">
        <v>5760</v>
      </c>
      <c r="B2152" s="113" t="s">
        <v>4528</v>
      </c>
      <c r="C2152" s="114" t="s">
        <v>20</v>
      </c>
      <c r="D2152" s="114">
        <v>0</v>
      </c>
      <c r="E2152" s="133" t="s">
        <v>514</v>
      </c>
      <c r="F2152" s="134" t="str">
        <f t="shared" si="108"/>
        <v/>
      </c>
      <c r="G2152" s="135" t="e">
        <f>IF(A2152&lt;&gt;"",IF(AND(#REF!="Padrão",$H$4=#REF!),BDI!$B$17,IF(AND(#REF!="Padrão",$H$4=#REF!),BDI!#REF!,IF(AND(#REF!="Diferenciado",$H$4=#REF!),BDI!$E$17,IF(AND(#REF!="Diferenciado",$H$4=#REF!),BDI!#REF!,IF(#REF!="ZERO",0))))),"")</f>
        <v>#REF!</v>
      </c>
      <c r="H2152" s="136" t="str">
        <f t="shared" si="109"/>
        <v/>
      </c>
      <c r="I2152" s="134" t="str">
        <f t="shared" si="110"/>
        <v/>
      </c>
      <c r="J2152" s="226"/>
    </row>
    <row r="2153" spans="1:10" hidden="1" x14ac:dyDescent="0.25">
      <c r="A2153" s="112" t="s">
        <v>5761</v>
      </c>
      <c r="B2153" s="113" t="s">
        <v>4529</v>
      </c>
      <c r="C2153" s="114" t="s">
        <v>20</v>
      </c>
      <c r="D2153" s="114">
        <v>0</v>
      </c>
      <c r="E2153" s="133" t="s">
        <v>514</v>
      </c>
      <c r="F2153" s="134" t="str">
        <f t="shared" si="108"/>
        <v/>
      </c>
      <c r="G2153" s="135" t="e">
        <f>IF(A2153&lt;&gt;"",IF(AND(#REF!="Padrão",$H$4=#REF!),BDI!$B$17,IF(AND(#REF!="Padrão",$H$4=#REF!),BDI!#REF!,IF(AND(#REF!="Diferenciado",$H$4=#REF!),BDI!$E$17,IF(AND(#REF!="Diferenciado",$H$4=#REF!),BDI!#REF!,IF(#REF!="ZERO",0))))),"")</f>
        <v>#REF!</v>
      </c>
      <c r="H2153" s="136" t="str">
        <f t="shared" si="109"/>
        <v/>
      </c>
      <c r="I2153" s="134" t="str">
        <f t="shared" si="110"/>
        <v/>
      </c>
      <c r="J2153" s="226"/>
    </row>
    <row r="2154" spans="1:10" hidden="1" x14ac:dyDescent="0.25">
      <c r="A2154" s="112" t="s">
        <v>5762</v>
      </c>
      <c r="B2154" s="113" t="s">
        <v>4530</v>
      </c>
      <c r="C2154" s="114" t="s">
        <v>20</v>
      </c>
      <c r="D2154" s="114">
        <v>0</v>
      </c>
      <c r="E2154" s="133" t="s">
        <v>514</v>
      </c>
      <c r="F2154" s="134" t="str">
        <f t="shared" si="108"/>
        <v/>
      </c>
      <c r="G2154" s="135" t="e">
        <f>IF(A2154&lt;&gt;"",IF(AND(#REF!="Padrão",$H$4=#REF!),BDI!$B$17,IF(AND(#REF!="Padrão",$H$4=#REF!),BDI!#REF!,IF(AND(#REF!="Diferenciado",$H$4=#REF!),BDI!$E$17,IF(AND(#REF!="Diferenciado",$H$4=#REF!),BDI!#REF!,IF(#REF!="ZERO",0))))),"")</f>
        <v>#REF!</v>
      </c>
      <c r="H2154" s="136" t="str">
        <f t="shared" si="109"/>
        <v/>
      </c>
      <c r="I2154" s="134" t="str">
        <f t="shared" si="110"/>
        <v/>
      </c>
      <c r="J2154" s="226"/>
    </row>
    <row r="2155" spans="1:10" hidden="1" x14ac:dyDescent="0.25">
      <c r="A2155" s="112" t="s">
        <v>5763</v>
      </c>
      <c r="B2155" s="113" t="s">
        <v>4531</v>
      </c>
      <c r="C2155" s="114" t="s">
        <v>20</v>
      </c>
      <c r="D2155" s="114">
        <v>0</v>
      </c>
      <c r="E2155" s="133" t="s">
        <v>514</v>
      </c>
      <c r="F2155" s="134" t="str">
        <f t="shared" si="108"/>
        <v/>
      </c>
      <c r="G2155" s="135" t="e">
        <f>IF(A2155&lt;&gt;"",IF(AND(#REF!="Padrão",$H$4=#REF!),BDI!$B$17,IF(AND(#REF!="Padrão",$H$4=#REF!),BDI!#REF!,IF(AND(#REF!="Diferenciado",$H$4=#REF!),BDI!$E$17,IF(AND(#REF!="Diferenciado",$H$4=#REF!),BDI!#REF!,IF(#REF!="ZERO",0))))),"")</f>
        <v>#REF!</v>
      </c>
      <c r="H2155" s="136" t="str">
        <f t="shared" si="109"/>
        <v/>
      </c>
      <c r="I2155" s="134" t="str">
        <f t="shared" si="110"/>
        <v/>
      </c>
      <c r="J2155" s="226"/>
    </row>
    <row r="2156" spans="1:10" hidden="1" x14ac:dyDescent="0.25">
      <c r="A2156" s="112" t="s">
        <v>5764</v>
      </c>
      <c r="B2156" s="113" t="s">
        <v>4532</v>
      </c>
      <c r="C2156" s="114" t="s">
        <v>20</v>
      </c>
      <c r="D2156" s="114">
        <v>0</v>
      </c>
      <c r="E2156" s="133" t="s">
        <v>514</v>
      </c>
      <c r="F2156" s="134" t="str">
        <f t="shared" si="108"/>
        <v/>
      </c>
      <c r="G2156" s="135" t="e">
        <f>IF(A2156&lt;&gt;"",IF(AND(#REF!="Padrão",$H$4=#REF!),BDI!$B$17,IF(AND(#REF!="Padrão",$H$4=#REF!),BDI!#REF!,IF(AND(#REF!="Diferenciado",$H$4=#REF!),BDI!$E$17,IF(AND(#REF!="Diferenciado",$H$4=#REF!),BDI!#REF!,IF(#REF!="ZERO",0))))),"")</f>
        <v>#REF!</v>
      </c>
      <c r="H2156" s="136" t="str">
        <f t="shared" si="109"/>
        <v/>
      </c>
      <c r="I2156" s="134" t="str">
        <f t="shared" si="110"/>
        <v/>
      </c>
      <c r="J2156" s="226"/>
    </row>
    <row r="2157" spans="1:10" hidden="1" x14ac:dyDescent="0.25">
      <c r="A2157" s="112" t="s">
        <v>5765</v>
      </c>
      <c r="B2157" s="113" t="s">
        <v>4533</v>
      </c>
      <c r="C2157" s="114" t="s">
        <v>20</v>
      </c>
      <c r="D2157" s="114">
        <v>0</v>
      </c>
      <c r="E2157" s="133" t="s">
        <v>514</v>
      </c>
      <c r="F2157" s="134" t="str">
        <f t="shared" ref="F2157:F2220" si="111">IF(ISNUMBER(E2157),D2157*E2157,"")</f>
        <v/>
      </c>
      <c r="G2157" s="135" t="e">
        <f>IF(A2157&lt;&gt;"",IF(AND(#REF!="Padrão",$H$4=#REF!),BDI!$B$17,IF(AND(#REF!="Padrão",$H$4=#REF!),BDI!#REF!,IF(AND(#REF!="Diferenciado",$H$4=#REF!),BDI!$E$17,IF(AND(#REF!="Diferenciado",$H$4=#REF!),BDI!#REF!,IF(#REF!="ZERO",0))))),"")</f>
        <v>#REF!</v>
      </c>
      <c r="H2157" s="136" t="str">
        <f t="shared" ref="H2157:H2220" si="112">IF(ISNUMBER(E2157),ROUND(E2157*(1+G2157),2),"")</f>
        <v/>
      </c>
      <c r="I2157" s="134" t="str">
        <f t="shared" ref="I2157:I2220" si="113">IF(ISNUMBER(E2157),ROUND(H2157*D2157,2),"")</f>
        <v/>
      </c>
      <c r="J2157" s="226"/>
    </row>
    <row r="2158" spans="1:10" hidden="1" x14ac:dyDescent="0.25">
      <c r="A2158" s="112" t="s">
        <v>5766</v>
      </c>
      <c r="B2158" s="113" t="s">
        <v>4534</v>
      </c>
      <c r="C2158" s="114" t="s">
        <v>20</v>
      </c>
      <c r="D2158" s="114">
        <v>0</v>
      </c>
      <c r="E2158" s="133" t="s">
        <v>514</v>
      </c>
      <c r="F2158" s="134" t="str">
        <f t="shared" si="111"/>
        <v/>
      </c>
      <c r="G2158" s="135" t="e">
        <f>IF(A2158&lt;&gt;"",IF(AND(#REF!="Padrão",$H$4=#REF!),BDI!$B$17,IF(AND(#REF!="Padrão",$H$4=#REF!),BDI!#REF!,IF(AND(#REF!="Diferenciado",$H$4=#REF!),BDI!$E$17,IF(AND(#REF!="Diferenciado",$H$4=#REF!),BDI!#REF!,IF(#REF!="ZERO",0))))),"")</f>
        <v>#REF!</v>
      </c>
      <c r="H2158" s="136" t="str">
        <f t="shared" si="112"/>
        <v/>
      </c>
      <c r="I2158" s="134" t="str">
        <f t="shared" si="113"/>
        <v/>
      </c>
      <c r="J2158" s="226"/>
    </row>
    <row r="2159" spans="1:10" hidden="1" x14ac:dyDescent="0.25">
      <c r="A2159" s="112" t="s">
        <v>5767</v>
      </c>
      <c r="B2159" s="113" t="s">
        <v>4535</v>
      </c>
      <c r="C2159" s="114" t="s">
        <v>20</v>
      </c>
      <c r="D2159" s="114">
        <v>0</v>
      </c>
      <c r="E2159" s="133" t="s">
        <v>514</v>
      </c>
      <c r="F2159" s="134" t="str">
        <f t="shared" si="111"/>
        <v/>
      </c>
      <c r="G2159" s="135" t="e">
        <f>IF(A2159&lt;&gt;"",IF(AND(#REF!="Padrão",$H$4=#REF!),BDI!$B$17,IF(AND(#REF!="Padrão",$H$4=#REF!),BDI!#REF!,IF(AND(#REF!="Diferenciado",$H$4=#REF!),BDI!$E$17,IF(AND(#REF!="Diferenciado",$H$4=#REF!),BDI!#REF!,IF(#REF!="ZERO",0))))),"")</f>
        <v>#REF!</v>
      </c>
      <c r="H2159" s="136" t="str">
        <f t="shared" si="112"/>
        <v/>
      </c>
      <c r="I2159" s="134" t="str">
        <f t="shared" si="113"/>
        <v/>
      </c>
      <c r="J2159" s="226"/>
    </row>
    <row r="2160" spans="1:10" hidden="1" x14ac:dyDescent="0.25">
      <c r="A2160" s="112" t="s">
        <v>5768</v>
      </c>
      <c r="B2160" s="113" t="s">
        <v>4536</v>
      </c>
      <c r="C2160" s="114" t="s">
        <v>20</v>
      </c>
      <c r="D2160" s="114">
        <v>0</v>
      </c>
      <c r="E2160" s="133" t="s">
        <v>514</v>
      </c>
      <c r="F2160" s="134" t="str">
        <f t="shared" si="111"/>
        <v/>
      </c>
      <c r="G2160" s="135" t="e">
        <f>IF(A2160&lt;&gt;"",IF(AND(#REF!="Padrão",$H$4=#REF!),BDI!$B$17,IF(AND(#REF!="Padrão",$H$4=#REF!),BDI!#REF!,IF(AND(#REF!="Diferenciado",$H$4=#REF!),BDI!$E$17,IF(AND(#REF!="Diferenciado",$H$4=#REF!),BDI!#REF!,IF(#REF!="ZERO",0))))),"")</f>
        <v>#REF!</v>
      </c>
      <c r="H2160" s="136" t="str">
        <f t="shared" si="112"/>
        <v/>
      </c>
      <c r="I2160" s="134" t="str">
        <f t="shared" si="113"/>
        <v/>
      </c>
      <c r="J2160" s="226"/>
    </row>
    <row r="2161" spans="1:10" hidden="1" x14ac:dyDescent="0.25">
      <c r="A2161" s="112" t="s">
        <v>5769</v>
      </c>
      <c r="B2161" s="113" t="s">
        <v>4537</v>
      </c>
      <c r="C2161" s="114" t="s">
        <v>20</v>
      </c>
      <c r="D2161" s="114">
        <v>0</v>
      </c>
      <c r="E2161" s="133" t="s">
        <v>514</v>
      </c>
      <c r="F2161" s="134" t="str">
        <f t="shared" si="111"/>
        <v/>
      </c>
      <c r="G2161" s="135" t="e">
        <f>IF(A2161&lt;&gt;"",IF(AND(#REF!="Padrão",$H$4=#REF!),BDI!$B$17,IF(AND(#REF!="Padrão",$H$4=#REF!),BDI!#REF!,IF(AND(#REF!="Diferenciado",$H$4=#REF!),BDI!$E$17,IF(AND(#REF!="Diferenciado",$H$4=#REF!),BDI!#REF!,IF(#REF!="ZERO",0))))),"")</f>
        <v>#REF!</v>
      </c>
      <c r="H2161" s="136" t="str">
        <f t="shared" si="112"/>
        <v/>
      </c>
      <c r="I2161" s="134" t="str">
        <f t="shared" si="113"/>
        <v/>
      </c>
      <c r="J2161" s="226"/>
    </row>
    <row r="2162" spans="1:10" hidden="1" x14ac:dyDescent="0.25">
      <c r="A2162" s="112" t="s">
        <v>5770</v>
      </c>
      <c r="B2162" s="113" t="s">
        <v>4538</v>
      </c>
      <c r="C2162" s="114" t="s">
        <v>20</v>
      </c>
      <c r="D2162" s="114">
        <v>0</v>
      </c>
      <c r="E2162" s="133" t="s">
        <v>514</v>
      </c>
      <c r="F2162" s="134" t="str">
        <f t="shared" si="111"/>
        <v/>
      </c>
      <c r="G2162" s="135" t="e">
        <f>IF(A2162&lt;&gt;"",IF(AND(#REF!="Padrão",$H$4=#REF!),BDI!$B$17,IF(AND(#REF!="Padrão",$H$4=#REF!),BDI!#REF!,IF(AND(#REF!="Diferenciado",$H$4=#REF!),BDI!$E$17,IF(AND(#REF!="Diferenciado",$H$4=#REF!),BDI!#REF!,IF(#REF!="ZERO",0))))),"")</f>
        <v>#REF!</v>
      </c>
      <c r="H2162" s="136" t="str">
        <f t="shared" si="112"/>
        <v/>
      </c>
      <c r="I2162" s="134" t="str">
        <f t="shared" si="113"/>
        <v/>
      </c>
      <c r="J2162" s="226"/>
    </row>
    <row r="2163" spans="1:10" hidden="1" x14ac:dyDescent="0.25">
      <c r="A2163" s="112" t="s">
        <v>5771</v>
      </c>
      <c r="B2163" s="113" t="s">
        <v>4539</v>
      </c>
      <c r="C2163" s="114" t="s">
        <v>20</v>
      </c>
      <c r="D2163" s="114">
        <v>0</v>
      </c>
      <c r="E2163" s="133" t="s">
        <v>514</v>
      </c>
      <c r="F2163" s="134" t="str">
        <f t="shared" si="111"/>
        <v/>
      </c>
      <c r="G2163" s="135" t="e">
        <f>IF(A2163&lt;&gt;"",IF(AND(#REF!="Padrão",$H$4=#REF!),BDI!$B$17,IF(AND(#REF!="Padrão",$H$4=#REF!),BDI!#REF!,IF(AND(#REF!="Diferenciado",$H$4=#REF!),BDI!$E$17,IF(AND(#REF!="Diferenciado",$H$4=#REF!),BDI!#REF!,IF(#REF!="ZERO",0))))),"")</f>
        <v>#REF!</v>
      </c>
      <c r="H2163" s="136" t="str">
        <f t="shared" si="112"/>
        <v/>
      </c>
      <c r="I2163" s="134" t="str">
        <f t="shared" si="113"/>
        <v/>
      </c>
      <c r="J2163" s="226"/>
    </row>
    <row r="2164" spans="1:10" hidden="1" x14ac:dyDescent="0.25">
      <c r="A2164" s="112" t="s">
        <v>5772</v>
      </c>
      <c r="B2164" s="113" t="s">
        <v>4540</v>
      </c>
      <c r="C2164" s="114" t="s">
        <v>20</v>
      </c>
      <c r="D2164" s="114">
        <v>0</v>
      </c>
      <c r="E2164" s="133" t="s">
        <v>514</v>
      </c>
      <c r="F2164" s="134" t="str">
        <f t="shared" si="111"/>
        <v/>
      </c>
      <c r="G2164" s="135" t="e">
        <f>IF(A2164&lt;&gt;"",IF(AND(#REF!="Padrão",$H$4=#REF!),BDI!$B$17,IF(AND(#REF!="Padrão",$H$4=#REF!),BDI!#REF!,IF(AND(#REF!="Diferenciado",$H$4=#REF!),BDI!$E$17,IF(AND(#REF!="Diferenciado",$H$4=#REF!),BDI!#REF!,IF(#REF!="ZERO",0))))),"")</f>
        <v>#REF!</v>
      </c>
      <c r="H2164" s="136" t="str">
        <f t="shared" si="112"/>
        <v/>
      </c>
      <c r="I2164" s="134" t="str">
        <f t="shared" si="113"/>
        <v/>
      </c>
      <c r="J2164" s="226"/>
    </row>
    <row r="2165" spans="1:10" hidden="1" x14ac:dyDescent="0.25">
      <c r="A2165" s="112" t="s">
        <v>5773</v>
      </c>
      <c r="B2165" s="113" t="s">
        <v>4541</v>
      </c>
      <c r="C2165" s="114" t="s">
        <v>92</v>
      </c>
      <c r="D2165" s="114">
        <v>0</v>
      </c>
      <c r="E2165" s="133" t="s">
        <v>514</v>
      </c>
      <c r="F2165" s="134" t="str">
        <f t="shared" si="111"/>
        <v/>
      </c>
      <c r="G2165" s="135" t="e">
        <f>IF(A2165&lt;&gt;"",IF(AND(#REF!="Padrão",$H$4=#REF!),BDI!$B$17,IF(AND(#REF!="Padrão",$H$4=#REF!),BDI!#REF!,IF(AND(#REF!="Diferenciado",$H$4=#REF!),BDI!$E$17,IF(AND(#REF!="Diferenciado",$H$4=#REF!),BDI!#REF!,IF(#REF!="ZERO",0))))),"")</f>
        <v>#REF!</v>
      </c>
      <c r="H2165" s="136" t="str">
        <f t="shared" si="112"/>
        <v/>
      </c>
      <c r="I2165" s="134" t="str">
        <f t="shared" si="113"/>
        <v/>
      </c>
      <c r="J2165" s="226"/>
    </row>
    <row r="2166" spans="1:10" hidden="1" x14ac:dyDescent="0.25">
      <c r="A2166" s="112" t="s">
        <v>5774</v>
      </c>
      <c r="B2166" s="113" t="s">
        <v>4542</v>
      </c>
      <c r="C2166" s="114" t="s">
        <v>20</v>
      </c>
      <c r="D2166" s="114">
        <v>0</v>
      </c>
      <c r="E2166" s="133" t="s">
        <v>514</v>
      </c>
      <c r="F2166" s="134" t="str">
        <f t="shared" si="111"/>
        <v/>
      </c>
      <c r="G2166" s="135" t="e">
        <f>IF(A2166&lt;&gt;"",IF(AND(#REF!="Padrão",$H$4=#REF!),BDI!$B$17,IF(AND(#REF!="Padrão",$H$4=#REF!),BDI!#REF!,IF(AND(#REF!="Diferenciado",$H$4=#REF!),BDI!$E$17,IF(AND(#REF!="Diferenciado",$H$4=#REF!),BDI!#REF!,IF(#REF!="ZERO",0))))),"")</f>
        <v>#REF!</v>
      </c>
      <c r="H2166" s="136" t="str">
        <f t="shared" si="112"/>
        <v/>
      </c>
      <c r="I2166" s="134" t="str">
        <f t="shared" si="113"/>
        <v/>
      </c>
      <c r="J2166" s="226"/>
    </row>
    <row r="2167" spans="1:10" hidden="1" x14ac:dyDescent="0.25">
      <c r="A2167" s="112" t="s">
        <v>5775</v>
      </c>
      <c r="B2167" s="113" t="s">
        <v>4543</v>
      </c>
      <c r="C2167" s="114" t="s">
        <v>20</v>
      </c>
      <c r="D2167" s="114">
        <v>0</v>
      </c>
      <c r="E2167" s="133" t="s">
        <v>514</v>
      </c>
      <c r="F2167" s="134" t="str">
        <f t="shared" si="111"/>
        <v/>
      </c>
      <c r="G2167" s="135" t="e">
        <f>IF(A2167&lt;&gt;"",IF(AND(#REF!="Padrão",$H$4=#REF!),BDI!$B$17,IF(AND(#REF!="Padrão",$H$4=#REF!),BDI!#REF!,IF(AND(#REF!="Diferenciado",$H$4=#REF!),BDI!$E$17,IF(AND(#REF!="Diferenciado",$H$4=#REF!),BDI!#REF!,IF(#REF!="ZERO",0))))),"")</f>
        <v>#REF!</v>
      </c>
      <c r="H2167" s="136" t="str">
        <f t="shared" si="112"/>
        <v/>
      </c>
      <c r="I2167" s="134" t="str">
        <f t="shared" si="113"/>
        <v/>
      </c>
      <c r="J2167" s="226"/>
    </row>
    <row r="2168" spans="1:10" hidden="1" x14ac:dyDescent="0.25">
      <c r="A2168" s="112" t="s">
        <v>5776</v>
      </c>
      <c r="B2168" s="113" t="s">
        <v>4544</v>
      </c>
      <c r="C2168" s="114" t="s">
        <v>20</v>
      </c>
      <c r="D2168" s="114">
        <v>0</v>
      </c>
      <c r="E2168" s="133" t="s">
        <v>514</v>
      </c>
      <c r="F2168" s="134" t="str">
        <f t="shared" si="111"/>
        <v/>
      </c>
      <c r="G2168" s="135" t="e">
        <f>IF(A2168&lt;&gt;"",IF(AND(#REF!="Padrão",$H$4=#REF!),BDI!$B$17,IF(AND(#REF!="Padrão",$H$4=#REF!),BDI!#REF!,IF(AND(#REF!="Diferenciado",$H$4=#REF!),BDI!$E$17,IF(AND(#REF!="Diferenciado",$H$4=#REF!),BDI!#REF!,IF(#REF!="ZERO",0))))),"")</f>
        <v>#REF!</v>
      </c>
      <c r="H2168" s="136" t="str">
        <f t="shared" si="112"/>
        <v/>
      </c>
      <c r="I2168" s="134" t="str">
        <f t="shared" si="113"/>
        <v/>
      </c>
      <c r="J2168" s="226"/>
    </row>
    <row r="2169" spans="1:10" hidden="1" x14ac:dyDescent="0.25">
      <c r="A2169" s="112" t="s">
        <v>5777</v>
      </c>
      <c r="B2169" s="113" t="s">
        <v>4545</v>
      </c>
      <c r="C2169" s="114" t="s">
        <v>20</v>
      </c>
      <c r="D2169" s="114">
        <v>0</v>
      </c>
      <c r="E2169" s="133" t="s">
        <v>514</v>
      </c>
      <c r="F2169" s="134" t="str">
        <f t="shared" si="111"/>
        <v/>
      </c>
      <c r="G2169" s="135" t="e">
        <f>IF(A2169&lt;&gt;"",IF(AND(#REF!="Padrão",$H$4=#REF!),BDI!$B$17,IF(AND(#REF!="Padrão",$H$4=#REF!),BDI!#REF!,IF(AND(#REF!="Diferenciado",$H$4=#REF!),BDI!$E$17,IF(AND(#REF!="Diferenciado",$H$4=#REF!),BDI!#REF!,IF(#REF!="ZERO",0))))),"")</f>
        <v>#REF!</v>
      </c>
      <c r="H2169" s="136" t="str">
        <f t="shared" si="112"/>
        <v/>
      </c>
      <c r="I2169" s="134" t="str">
        <f t="shared" si="113"/>
        <v/>
      </c>
      <c r="J2169" s="226"/>
    </row>
    <row r="2170" spans="1:10" hidden="1" x14ac:dyDescent="0.25">
      <c r="A2170" s="112" t="s">
        <v>5778</v>
      </c>
      <c r="B2170" s="113" t="s">
        <v>4546</v>
      </c>
      <c r="C2170" s="114" t="s">
        <v>20</v>
      </c>
      <c r="D2170" s="114">
        <v>0</v>
      </c>
      <c r="E2170" s="133" t="s">
        <v>514</v>
      </c>
      <c r="F2170" s="134" t="str">
        <f t="shared" si="111"/>
        <v/>
      </c>
      <c r="G2170" s="135" t="e">
        <f>IF(A2170&lt;&gt;"",IF(AND(#REF!="Padrão",$H$4=#REF!),BDI!$B$17,IF(AND(#REF!="Padrão",$H$4=#REF!),BDI!#REF!,IF(AND(#REF!="Diferenciado",$H$4=#REF!),BDI!$E$17,IF(AND(#REF!="Diferenciado",$H$4=#REF!),BDI!#REF!,IF(#REF!="ZERO",0))))),"")</f>
        <v>#REF!</v>
      </c>
      <c r="H2170" s="136" t="str">
        <f t="shared" si="112"/>
        <v/>
      </c>
      <c r="I2170" s="134" t="str">
        <f t="shared" si="113"/>
        <v/>
      </c>
      <c r="J2170" s="226"/>
    </row>
    <row r="2171" spans="1:10" hidden="1" x14ac:dyDescent="0.25">
      <c r="A2171" s="112" t="s">
        <v>5779</v>
      </c>
      <c r="B2171" s="113" t="s">
        <v>4547</v>
      </c>
      <c r="C2171" s="114" t="s">
        <v>20</v>
      </c>
      <c r="D2171" s="114">
        <v>0</v>
      </c>
      <c r="E2171" s="133" t="s">
        <v>514</v>
      </c>
      <c r="F2171" s="134" t="str">
        <f t="shared" si="111"/>
        <v/>
      </c>
      <c r="G2171" s="135" t="e">
        <f>IF(A2171&lt;&gt;"",IF(AND(#REF!="Padrão",$H$4=#REF!),BDI!$B$17,IF(AND(#REF!="Padrão",$H$4=#REF!),BDI!#REF!,IF(AND(#REF!="Diferenciado",$H$4=#REF!),BDI!$E$17,IF(AND(#REF!="Diferenciado",$H$4=#REF!),BDI!#REF!,IF(#REF!="ZERO",0))))),"")</f>
        <v>#REF!</v>
      </c>
      <c r="H2171" s="136" t="str">
        <f t="shared" si="112"/>
        <v/>
      </c>
      <c r="I2171" s="134" t="str">
        <f t="shared" si="113"/>
        <v/>
      </c>
      <c r="J2171" s="226"/>
    </row>
    <row r="2172" spans="1:10" hidden="1" x14ac:dyDescent="0.25">
      <c r="A2172" s="112" t="s">
        <v>5780</v>
      </c>
      <c r="B2172" s="113" t="s">
        <v>4548</v>
      </c>
      <c r="C2172" s="114" t="s">
        <v>20</v>
      </c>
      <c r="D2172" s="114">
        <v>0</v>
      </c>
      <c r="E2172" s="133" t="s">
        <v>514</v>
      </c>
      <c r="F2172" s="134" t="str">
        <f t="shared" si="111"/>
        <v/>
      </c>
      <c r="G2172" s="135" t="e">
        <f>IF(A2172&lt;&gt;"",IF(AND(#REF!="Padrão",$H$4=#REF!),BDI!$B$17,IF(AND(#REF!="Padrão",$H$4=#REF!),BDI!#REF!,IF(AND(#REF!="Diferenciado",$H$4=#REF!),BDI!$E$17,IF(AND(#REF!="Diferenciado",$H$4=#REF!),BDI!#REF!,IF(#REF!="ZERO",0))))),"")</f>
        <v>#REF!</v>
      </c>
      <c r="H2172" s="136" t="str">
        <f t="shared" si="112"/>
        <v/>
      </c>
      <c r="I2172" s="134" t="str">
        <f t="shared" si="113"/>
        <v/>
      </c>
      <c r="J2172" s="226"/>
    </row>
    <row r="2173" spans="1:10" hidden="1" x14ac:dyDescent="0.25">
      <c r="A2173" s="112" t="s">
        <v>5781</v>
      </c>
      <c r="B2173" s="113" t="s">
        <v>4549</v>
      </c>
      <c r="C2173" s="114" t="s">
        <v>20</v>
      </c>
      <c r="D2173" s="114">
        <v>0</v>
      </c>
      <c r="E2173" s="133" t="s">
        <v>514</v>
      </c>
      <c r="F2173" s="134" t="str">
        <f t="shared" si="111"/>
        <v/>
      </c>
      <c r="G2173" s="135" t="e">
        <f>IF(A2173&lt;&gt;"",IF(AND(#REF!="Padrão",$H$4=#REF!),BDI!$B$17,IF(AND(#REF!="Padrão",$H$4=#REF!),BDI!#REF!,IF(AND(#REF!="Diferenciado",$H$4=#REF!),BDI!$E$17,IF(AND(#REF!="Diferenciado",$H$4=#REF!),BDI!#REF!,IF(#REF!="ZERO",0))))),"")</f>
        <v>#REF!</v>
      </c>
      <c r="H2173" s="136" t="str">
        <f t="shared" si="112"/>
        <v/>
      </c>
      <c r="I2173" s="134" t="str">
        <f t="shared" si="113"/>
        <v/>
      </c>
      <c r="J2173" s="226"/>
    </row>
    <row r="2174" spans="1:10" hidden="1" x14ac:dyDescent="0.25">
      <c r="A2174" s="112" t="s">
        <v>5782</v>
      </c>
      <c r="B2174" s="113" t="s">
        <v>4550</v>
      </c>
      <c r="C2174" s="114" t="s">
        <v>20</v>
      </c>
      <c r="D2174" s="114">
        <v>0</v>
      </c>
      <c r="E2174" s="133" t="s">
        <v>514</v>
      </c>
      <c r="F2174" s="134" t="str">
        <f t="shared" si="111"/>
        <v/>
      </c>
      <c r="G2174" s="135" t="e">
        <f>IF(A2174&lt;&gt;"",IF(AND(#REF!="Padrão",$H$4=#REF!),BDI!$B$17,IF(AND(#REF!="Padrão",$H$4=#REF!),BDI!#REF!,IF(AND(#REF!="Diferenciado",$H$4=#REF!),BDI!$E$17,IF(AND(#REF!="Diferenciado",$H$4=#REF!),BDI!#REF!,IF(#REF!="ZERO",0))))),"")</f>
        <v>#REF!</v>
      </c>
      <c r="H2174" s="136" t="str">
        <f t="shared" si="112"/>
        <v/>
      </c>
      <c r="I2174" s="134" t="str">
        <f t="shared" si="113"/>
        <v/>
      </c>
      <c r="J2174" s="226"/>
    </row>
    <row r="2175" spans="1:10" hidden="1" x14ac:dyDescent="0.25">
      <c r="A2175" s="112" t="s">
        <v>5783</v>
      </c>
      <c r="B2175" s="113" t="s">
        <v>4551</v>
      </c>
      <c r="C2175" s="114" t="s">
        <v>20</v>
      </c>
      <c r="D2175" s="114">
        <v>0</v>
      </c>
      <c r="E2175" s="133" t="s">
        <v>514</v>
      </c>
      <c r="F2175" s="134" t="str">
        <f t="shared" si="111"/>
        <v/>
      </c>
      <c r="G2175" s="135" t="e">
        <f>IF(A2175&lt;&gt;"",IF(AND(#REF!="Padrão",$H$4=#REF!),BDI!$B$17,IF(AND(#REF!="Padrão",$H$4=#REF!),BDI!#REF!,IF(AND(#REF!="Diferenciado",$H$4=#REF!),BDI!$E$17,IF(AND(#REF!="Diferenciado",$H$4=#REF!),BDI!#REF!,IF(#REF!="ZERO",0))))),"")</f>
        <v>#REF!</v>
      </c>
      <c r="H2175" s="136" t="str">
        <f t="shared" si="112"/>
        <v/>
      </c>
      <c r="I2175" s="134" t="str">
        <f t="shared" si="113"/>
        <v/>
      </c>
      <c r="J2175" s="226"/>
    </row>
    <row r="2176" spans="1:10" hidden="1" x14ac:dyDescent="0.25">
      <c r="A2176" s="112" t="s">
        <v>5784</v>
      </c>
      <c r="B2176" s="113" t="s">
        <v>4552</v>
      </c>
      <c r="C2176" s="114" t="s">
        <v>20</v>
      </c>
      <c r="D2176" s="114">
        <v>0</v>
      </c>
      <c r="E2176" s="133" t="s">
        <v>514</v>
      </c>
      <c r="F2176" s="134" t="str">
        <f t="shared" si="111"/>
        <v/>
      </c>
      <c r="G2176" s="135" t="e">
        <f>IF(A2176&lt;&gt;"",IF(AND(#REF!="Padrão",$H$4=#REF!),BDI!$B$17,IF(AND(#REF!="Padrão",$H$4=#REF!),BDI!#REF!,IF(AND(#REF!="Diferenciado",$H$4=#REF!),BDI!$E$17,IF(AND(#REF!="Diferenciado",$H$4=#REF!),BDI!#REF!,IF(#REF!="ZERO",0))))),"")</f>
        <v>#REF!</v>
      </c>
      <c r="H2176" s="136" t="str">
        <f t="shared" si="112"/>
        <v/>
      </c>
      <c r="I2176" s="134" t="str">
        <f t="shared" si="113"/>
        <v/>
      </c>
      <c r="J2176" s="226"/>
    </row>
    <row r="2177" spans="1:10" hidden="1" x14ac:dyDescent="0.25">
      <c r="A2177" s="112" t="s">
        <v>5785</v>
      </c>
      <c r="B2177" s="113" t="s">
        <v>4553</v>
      </c>
      <c r="C2177" s="114" t="s">
        <v>20</v>
      </c>
      <c r="D2177" s="114">
        <v>0</v>
      </c>
      <c r="E2177" s="133" t="s">
        <v>514</v>
      </c>
      <c r="F2177" s="134" t="str">
        <f t="shared" si="111"/>
        <v/>
      </c>
      <c r="G2177" s="135" t="e">
        <f>IF(A2177&lt;&gt;"",IF(AND(#REF!="Padrão",$H$4=#REF!),BDI!$B$17,IF(AND(#REF!="Padrão",$H$4=#REF!),BDI!#REF!,IF(AND(#REF!="Diferenciado",$H$4=#REF!),BDI!$E$17,IF(AND(#REF!="Diferenciado",$H$4=#REF!),BDI!#REF!,IF(#REF!="ZERO",0))))),"")</f>
        <v>#REF!</v>
      </c>
      <c r="H2177" s="136" t="str">
        <f t="shared" si="112"/>
        <v/>
      </c>
      <c r="I2177" s="134" t="str">
        <f t="shared" si="113"/>
        <v/>
      </c>
      <c r="J2177" s="226"/>
    </row>
    <row r="2178" spans="1:10" hidden="1" x14ac:dyDescent="0.25">
      <c r="A2178" s="112" t="s">
        <v>5786</v>
      </c>
      <c r="B2178" s="113" t="s">
        <v>4554</v>
      </c>
      <c r="C2178" s="114" t="s">
        <v>20</v>
      </c>
      <c r="D2178" s="114">
        <v>0</v>
      </c>
      <c r="E2178" s="133" t="s">
        <v>514</v>
      </c>
      <c r="F2178" s="134" t="str">
        <f t="shared" si="111"/>
        <v/>
      </c>
      <c r="G2178" s="135" t="e">
        <f>IF(A2178&lt;&gt;"",IF(AND(#REF!="Padrão",$H$4=#REF!),BDI!$B$17,IF(AND(#REF!="Padrão",$H$4=#REF!),BDI!#REF!,IF(AND(#REF!="Diferenciado",$H$4=#REF!),BDI!$E$17,IF(AND(#REF!="Diferenciado",$H$4=#REF!),BDI!#REF!,IF(#REF!="ZERO",0))))),"")</f>
        <v>#REF!</v>
      </c>
      <c r="H2178" s="136" t="str">
        <f t="shared" si="112"/>
        <v/>
      </c>
      <c r="I2178" s="134" t="str">
        <f t="shared" si="113"/>
        <v/>
      </c>
      <c r="J2178" s="226"/>
    </row>
    <row r="2179" spans="1:10" hidden="1" x14ac:dyDescent="0.25">
      <c r="A2179" s="112" t="s">
        <v>5787</v>
      </c>
      <c r="B2179" s="113" t="s">
        <v>4555</v>
      </c>
      <c r="C2179" s="114" t="s">
        <v>20</v>
      </c>
      <c r="D2179" s="114">
        <v>0</v>
      </c>
      <c r="E2179" s="133" t="s">
        <v>514</v>
      </c>
      <c r="F2179" s="134" t="str">
        <f t="shared" si="111"/>
        <v/>
      </c>
      <c r="G2179" s="135" t="e">
        <f>IF(A2179&lt;&gt;"",IF(AND(#REF!="Padrão",$H$4=#REF!),BDI!$B$17,IF(AND(#REF!="Padrão",$H$4=#REF!),BDI!#REF!,IF(AND(#REF!="Diferenciado",$H$4=#REF!),BDI!$E$17,IF(AND(#REF!="Diferenciado",$H$4=#REF!),BDI!#REF!,IF(#REF!="ZERO",0))))),"")</f>
        <v>#REF!</v>
      </c>
      <c r="H2179" s="136" t="str">
        <f t="shared" si="112"/>
        <v/>
      </c>
      <c r="I2179" s="134" t="str">
        <f t="shared" si="113"/>
        <v/>
      </c>
      <c r="J2179" s="226"/>
    </row>
    <row r="2180" spans="1:10" hidden="1" x14ac:dyDescent="0.25">
      <c r="A2180" s="112" t="s">
        <v>5788</v>
      </c>
      <c r="B2180" s="113" t="s">
        <v>4556</v>
      </c>
      <c r="C2180" s="114" t="s">
        <v>20</v>
      </c>
      <c r="D2180" s="114">
        <v>0</v>
      </c>
      <c r="E2180" s="133" t="s">
        <v>514</v>
      </c>
      <c r="F2180" s="134" t="str">
        <f t="shared" si="111"/>
        <v/>
      </c>
      <c r="G2180" s="135" t="e">
        <f>IF(A2180&lt;&gt;"",IF(AND(#REF!="Padrão",$H$4=#REF!),BDI!$B$17,IF(AND(#REF!="Padrão",$H$4=#REF!),BDI!#REF!,IF(AND(#REF!="Diferenciado",$H$4=#REF!),BDI!$E$17,IF(AND(#REF!="Diferenciado",$H$4=#REF!),BDI!#REF!,IF(#REF!="ZERO",0))))),"")</f>
        <v>#REF!</v>
      </c>
      <c r="H2180" s="136" t="str">
        <f t="shared" si="112"/>
        <v/>
      </c>
      <c r="I2180" s="134" t="str">
        <f t="shared" si="113"/>
        <v/>
      </c>
      <c r="J2180" s="226"/>
    </row>
    <row r="2181" spans="1:10" hidden="1" x14ac:dyDescent="0.25">
      <c r="A2181" s="112" t="s">
        <v>5789</v>
      </c>
      <c r="B2181" s="113" t="s">
        <v>4557</v>
      </c>
      <c r="C2181" s="114" t="s">
        <v>20</v>
      </c>
      <c r="D2181" s="114">
        <v>0</v>
      </c>
      <c r="E2181" s="133" t="s">
        <v>514</v>
      </c>
      <c r="F2181" s="134" t="str">
        <f t="shared" si="111"/>
        <v/>
      </c>
      <c r="G2181" s="135" t="e">
        <f>IF(A2181&lt;&gt;"",IF(AND(#REF!="Padrão",$H$4=#REF!),BDI!$B$17,IF(AND(#REF!="Padrão",$H$4=#REF!),BDI!#REF!,IF(AND(#REF!="Diferenciado",$H$4=#REF!),BDI!$E$17,IF(AND(#REF!="Diferenciado",$H$4=#REF!),BDI!#REF!,IF(#REF!="ZERO",0))))),"")</f>
        <v>#REF!</v>
      </c>
      <c r="H2181" s="136" t="str">
        <f t="shared" si="112"/>
        <v/>
      </c>
      <c r="I2181" s="134" t="str">
        <f t="shared" si="113"/>
        <v/>
      </c>
      <c r="J2181" s="226"/>
    </row>
    <row r="2182" spans="1:10" hidden="1" x14ac:dyDescent="0.25">
      <c r="A2182" s="112" t="s">
        <v>5790</v>
      </c>
      <c r="B2182" s="113" t="s">
        <v>4558</v>
      </c>
      <c r="C2182" s="114" t="s">
        <v>20</v>
      </c>
      <c r="D2182" s="114">
        <v>0</v>
      </c>
      <c r="E2182" s="133" t="s">
        <v>514</v>
      </c>
      <c r="F2182" s="134" t="str">
        <f t="shared" si="111"/>
        <v/>
      </c>
      <c r="G2182" s="135" t="e">
        <f>IF(A2182&lt;&gt;"",IF(AND(#REF!="Padrão",$H$4=#REF!),BDI!$B$17,IF(AND(#REF!="Padrão",$H$4=#REF!),BDI!#REF!,IF(AND(#REF!="Diferenciado",$H$4=#REF!),BDI!$E$17,IF(AND(#REF!="Diferenciado",$H$4=#REF!),BDI!#REF!,IF(#REF!="ZERO",0))))),"")</f>
        <v>#REF!</v>
      </c>
      <c r="H2182" s="136" t="str">
        <f t="shared" si="112"/>
        <v/>
      </c>
      <c r="I2182" s="134" t="str">
        <f t="shared" si="113"/>
        <v/>
      </c>
      <c r="J2182" s="226"/>
    </row>
    <row r="2183" spans="1:10" hidden="1" x14ac:dyDescent="0.25">
      <c r="A2183" s="112" t="s">
        <v>5791</v>
      </c>
      <c r="B2183" s="113" t="s">
        <v>4559</v>
      </c>
      <c r="C2183" s="114" t="s">
        <v>20</v>
      </c>
      <c r="D2183" s="114">
        <v>0</v>
      </c>
      <c r="E2183" s="133" t="s">
        <v>514</v>
      </c>
      <c r="F2183" s="134" t="str">
        <f t="shared" si="111"/>
        <v/>
      </c>
      <c r="G2183" s="135" t="e">
        <f>IF(A2183&lt;&gt;"",IF(AND(#REF!="Padrão",$H$4=#REF!),BDI!$B$17,IF(AND(#REF!="Padrão",$H$4=#REF!),BDI!#REF!,IF(AND(#REF!="Diferenciado",$H$4=#REF!),BDI!$E$17,IF(AND(#REF!="Diferenciado",$H$4=#REF!),BDI!#REF!,IF(#REF!="ZERO",0))))),"")</f>
        <v>#REF!</v>
      </c>
      <c r="H2183" s="136" t="str">
        <f t="shared" si="112"/>
        <v/>
      </c>
      <c r="I2183" s="134" t="str">
        <f t="shared" si="113"/>
        <v/>
      </c>
      <c r="J2183" s="226"/>
    </row>
    <row r="2184" spans="1:10" hidden="1" x14ac:dyDescent="0.25">
      <c r="A2184" s="112" t="s">
        <v>5792</v>
      </c>
      <c r="B2184" s="113" t="s">
        <v>4560</v>
      </c>
      <c r="C2184" s="114" t="s">
        <v>20</v>
      </c>
      <c r="D2184" s="114">
        <v>0</v>
      </c>
      <c r="E2184" s="133" t="s">
        <v>514</v>
      </c>
      <c r="F2184" s="134" t="str">
        <f t="shared" si="111"/>
        <v/>
      </c>
      <c r="G2184" s="135" t="e">
        <f>IF(A2184&lt;&gt;"",IF(AND(#REF!="Padrão",$H$4=#REF!),BDI!$B$17,IF(AND(#REF!="Padrão",$H$4=#REF!),BDI!#REF!,IF(AND(#REF!="Diferenciado",$H$4=#REF!),BDI!$E$17,IF(AND(#REF!="Diferenciado",$H$4=#REF!),BDI!#REF!,IF(#REF!="ZERO",0))))),"")</f>
        <v>#REF!</v>
      </c>
      <c r="H2184" s="136" t="str">
        <f t="shared" si="112"/>
        <v/>
      </c>
      <c r="I2184" s="134" t="str">
        <f t="shared" si="113"/>
        <v/>
      </c>
      <c r="J2184" s="226"/>
    </row>
    <row r="2185" spans="1:10" hidden="1" x14ac:dyDescent="0.25">
      <c r="A2185" s="112" t="s">
        <v>5793</v>
      </c>
      <c r="B2185" s="113" t="s">
        <v>4561</v>
      </c>
      <c r="C2185" s="114" t="s">
        <v>20</v>
      </c>
      <c r="D2185" s="114">
        <v>0</v>
      </c>
      <c r="E2185" s="133" t="s">
        <v>514</v>
      </c>
      <c r="F2185" s="134" t="str">
        <f t="shared" si="111"/>
        <v/>
      </c>
      <c r="G2185" s="135" t="e">
        <f>IF(A2185&lt;&gt;"",IF(AND(#REF!="Padrão",$H$4=#REF!),BDI!$B$17,IF(AND(#REF!="Padrão",$H$4=#REF!),BDI!#REF!,IF(AND(#REF!="Diferenciado",$H$4=#REF!),BDI!$E$17,IF(AND(#REF!="Diferenciado",$H$4=#REF!),BDI!#REF!,IF(#REF!="ZERO",0))))),"")</f>
        <v>#REF!</v>
      </c>
      <c r="H2185" s="136" t="str">
        <f t="shared" si="112"/>
        <v/>
      </c>
      <c r="I2185" s="134" t="str">
        <f t="shared" si="113"/>
        <v/>
      </c>
      <c r="J2185" s="226"/>
    </row>
    <row r="2186" spans="1:10" hidden="1" x14ac:dyDescent="0.25">
      <c r="A2186" s="112" t="s">
        <v>5794</v>
      </c>
      <c r="B2186" s="113" t="s">
        <v>4562</v>
      </c>
      <c r="C2186" s="114" t="s">
        <v>20</v>
      </c>
      <c r="D2186" s="114">
        <v>0</v>
      </c>
      <c r="E2186" s="133" t="s">
        <v>514</v>
      </c>
      <c r="F2186" s="134" t="str">
        <f t="shared" si="111"/>
        <v/>
      </c>
      <c r="G2186" s="135" t="e">
        <f>IF(A2186&lt;&gt;"",IF(AND(#REF!="Padrão",$H$4=#REF!),BDI!$B$17,IF(AND(#REF!="Padrão",$H$4=#REF!),BDI!#REF!,IF(AND(#REF!="Diferenciado",$H$4=#REF!),BDI!$E$17,IF(AND(#REF!="Diferenciado",$H$4=#REF!),BDI!#REF!,IF(#REF!="ZERO",0))))),"")</f>
        <v>#REF!</v>
      </c>
      <c r="H2186" s="136" t="str">
        <f t="shared" si="112"/>
        <v/>
      </c>
      <c r="I2186" s="134" t="str">
        <f t="shared" si="113"/>
        <v/>
      </c>
      <c r="J2186" s="226"/>
    </row>
    <row r="2187" spans="1:10" hidden="1" x14ac:dyDescent="0.25">
      <c r="A2187" s="112" t="s">
        <v>5795</v>
      </c>
      <c r="B2187" s="113" t="s">
        <v>4563</v>
      </c>
      <c r="C2187" s="114" t="s">
        <v>20</v>
      </c>
      <c r="D2187" s="114">
        <v>0</v>
      </c>
      <c r="E2187" s="133" t="s">
        <v>514</v>
      </c>
      <c r="F2187" s="134" t="str">
        <f t="shared" si="111"/>
        <v/>
      </c>
      <c r="G2187" s="135" t="e">
        <f>IF(A2187&lt;&gt;"",IF(AND(#REF!="Padrão",$H$4=#REF!),BDI!$B$17,IF(AND(#REF!="Padrão",$H$4=#REF!),BDI!#REF!,IF(AND(#REF!="Diferenciado",$H$4=#REF!),BDI!$E$17,IF(AND(#REF!="Diferenciado",$H$4=#REF!),BDI!#REF!,IF(#REF!="ZERO",0))))),"")</f>
        <v>#REF!</v>
      </c>
      <c r="H2187" s="136" t="str">
        <f t="shared" si="112"/>
        <v/>
      </c>
      <c r="I2187" s="134" t="str">
        <f t="shared" si="113"/>
        <v/>
      </c>
      <c r="J2187" s="226"/>
    </row>
    <row r="2188" spans="1:10" hidden="1" x14ac:dyDescent="0.25">
      <c r="A2188" s="112" t="s">
        <v>5796</v>
      </c>
      <c r="B2188" s="113" t="s">
        <v>4564</v>
      </c>
      <c r="C2188" s="114" t="s">
        <v>92</v>
      </c>
      <c r="D2188" s="114">
        <v>0</v>
      </c>
      <c r="E2188" s="133" t="s">
        <v>514</v>
      </c>
      <c r="F2188" s="134" t="str">
        <f t="shared" si="111"/>
        <v/>
      </c>
      <c r="G2188" s="135" t="e">
        <f>IF(A2188&lt;&gt;"",IF(AND(#REF!="Padrão",$H$4=#REF!),BDI!$B$17,IF(AND(#REF!="Padrão",$H$4=#REF!),BDI!#REF!,IF(AND(#REF!="Diferenciado",$H$4=#REF!),BDI!$E$17,IF(AND(#REF!="Diferenciado",$H$4=#REF!),BDI!#REF!,IF(#REF!="ZERO",0))))),"")</f>
        <v>#REF!</v>
      </c>
      <c r="H2188" s="136" t="str">
        <f t="shared" si="112"/>
        <v/>
      </c>
      <c r="I2188" s="134" t="str">
        <f t="shared" si="113"/>
        <v/>
      </c>
      <c r="J2188" s="226"/>
    </row>
    <row r="2189" spans="1:10" hidden="1" x14ac:dyDescent="0.25">
      <c r="A2189" s="112" t="s">
        <v>5797</v>
      </c>
      <c r="B2189" s="113" t="s">
        <v>4565</v>
      </c>
      <c r="C2189" s="114" t="s">
        <v>20</v>
      </c>
      <c r="D2189" s="114">
        <v>0</v>
      </c>
      <c r="E2189" s="133" t="s">
        <v>514</v>
      </c>
      <c r="F2189" s="134" t="str">
        <f t="shared" si="111"/>
        <v/>
      </c>
      <c r="G2189" s="135" t="e">
        <f>IF(A2189&lt;&gt;"",IF(AND(#REF!="Padrão",$H$4=#REF!),BDI!$B$17,IF(AND(#REF!="Padrão",$H$4=#REF!),BDI!#REF!,IF(AND(#REF!="Diferenciado",$H$4=#REF!),BDI!$E$17,IF(AND(#REF!="Diferenciado",$H$4=#REF!),BDI!#REF!,IF(#REF!="ZERO",0))))),"")</f>
        <v>#REF!</v>
      </c>
      <c r="H2189" s="136" t="str">
        <f t="shared" si="112"/>
        <v/>
      </c>
      <c r="I2189" s="134" t="str">
        <f t="shared" si="113"/>
        <v/>
      </c>
      <c r="J2189" s="226"/>
    </row>
    <row r="2190" spans="1:10" hidden="1" x14ac:dyDescent="0.25">
      <c r="A2190" s="112" t="s">
        <v>5798</v>
      </c>
      <c r="B2190" s="113" t="s">
        <v>4566</v>
      </c>
      <c r="C2190" s="114" t="s">
        <v>20</v>
      </c>
      <c r="D2190" s="114">
        <v>0</v>
      </c>
      <c r="E2190" s="133" t="s">
        <v>514</v>
      </c>
      <c r="F2190" s="134" t="str">
        <f t="shared" si="111"/>
        <v/>
      </c>
      <c r="G2190" s="135" t="e">
        <f>IF(A2190&lt;&gt;"",IF(AND(#REF!="Padrão",$H$4=#REF!),BDI!$B$17,IF(AND(#REF!="Padrão",$H$4=#REF!),BDI!#REF!,IF(AND(#REF!="Diferenciado",$H$4=#REF!),BDI!$E$17,IF(AND(#REF!="Diferenciado",$H$4=#REF!),BDI!#REF!,IF(#REF!="ZERO",0))))),"")</f>
        <v>#REF!</v>
      </c>
      <c r="H2190" s="136" t="str">
        <f t="shared" si="112"/>
        <v/>
      </c>
      <c r="I2190" s="134" t="str">
        <f t="shared" si="113"/>
        <v/>
      </c>
      <c r="J2190" s="226"/>
    </row>
    <row r="2191" spans="1:10" hidden="1" x14ac:dyDescent="0.25">
      <c r="A2191" s="112" t="s">
        <v>5799</v>
      </c>
      <c r="B2191" s="113" t="s">
        <v>4567</v>
      </c>
      <c r="C2191" s="114" t="s">
        <v>20</v>
      </c>
      <c r="D2191" s="114">
        <v>0</v>
      </c>
      <c r="E2191" s="133" t="s">
        <v>514</v>
      </c>
      <c r="F2191" s="134" t="str">
        <f t="shared" si="111"/>
        <v/>
      </c>
      <c r="G2191" s="135" t="e">
        <f>IF(A2191&lt;&gt;"",IF(AND(#REF!="Padrão",$H$4=#REF!),BDI!$B$17,IF(AND(#REF!="Padrão",$H$4=#REF!),BDI!#REF!,IF(AND(#REF!="Diferenciado",$H$4=#REF!),BDI!$E$17,IF(AND(#REF!="Diferenciado",$H$4=#REF!),BDI!#REF!,IF(#REF!="ZERO",0))))),"")</f>
        <v>#REF!</v>
      </c>
      <c r="H2191" s="136" t="str">
        <f t="shared" si="112"/>
        <v/>
      </c>
      <c r="I2191" s="134" t="str">
        <f t="shared" si="113"/>
        <v/>
      </c>
      <c r="J2191" s="226"/>
    </row>
    <row r="2192" spans="1:10" hidden="1" x14ac:dyDescent="0.25">
      <c r="A2192" s="112" t="s">
        <v>5800</v>
      </c>
      <c r="B2192" s="113" t="s">
        <v>4568</v>
      </c>
      <c r="C2192" s="114" t="s">
        <v>20</v>
      </c>
      <c r="D2192" s="114">
        <v>0</v>
      </c>
      <c r="E2192" s="133" t="s">
        <v>514</v>
      </c>
      <c r="F2192" s="134" t="str">
        <f t="shared" si="111"/>
        <v/>
      </c>
      <c r="G2192" s="135" t="e">
        <f>IF(A2192&lt;&gt;"",IF(AND(#REF!="Padrão",$H$4=#REF!),BDI!$B$17,IF(AND(#REF!="Padrão",$H$4=#REF!),BDI!#REF!,IF(AND(#REF!="Diferenciado",$H$4=#REF!),BDI!$E$17,IF(AND(#REF!="Diferenciado",$H$4=#REF!),BDI!#REF!,IF(#REF!="ZERO",0))))),"")</f>
        <v>#REF!</v>
      </c>
      <c r="H2192" s="136" t="str">
        <f t="shared" si="112"/>
        <v/>
      </c>
      <c r="I2192" s="134" t="str">
        <f t="shared" si="113"/>
        <v/>
      </c>
      <c r="J2192" s="226"/>
    </row>
    <row r="2193" spans="1:10" hidden="1" x14ac:dyDescent="0.25">
      <c r="A2193" s="112" t="s">
        <v>5801</v>
      </c>
      <c r="B2193" s="113" t="s">
        <v>4569</v>
      </c>
      <c r="C2193" s="114" t="s">
        <v>20</v>
      </c>
      <c r="D2193" s="114">
        <v>0</v>
      </c>
      <c r="E2193" s="133" t="s">
        <v>514</v>
      </c>
      <c r="F2193" s="134" t="str">
        <f t="shared" si="111"/>
        <v/>
      </c>
      <c r="G2193" s="135" t="e">
        <f>IF(A2193&lt;&gt;"",IF(AND(#REF!="Padrão",$H$4=#REF!),BDI!$B$17,IF(AND(#REF!="Padrão",$H$4=#REF!),BDI!#REF!,IF(AND(#REF!="Diferenciado",$H$4=#REF!),BDI!$E$17,IF(AND(#REF!="Diferenciado",$H$4=#REF!),BDI!#REF!,IF(#REF!="ZERO",0))))),"")</f>
        <v>#REF!</v>
      </c>
      <c r="H2193" s="136" t="str">
        <f t="shared" si="112"/>
        <v/>
      </c>
      <c r="I2193" s="134" t="str">
        <f t="shared" si="113"/>
        <v/>
      </c>
      <c r="J2193" s="226"/>
    </row>
    <row r="2194" spans="1:10" hidden="1" x14ac:dyDescent="0.25">
      <c r="A2194" s="112" t="s">
        <v>5802</v>
      </c>
      <c r="B2194" s="113" t="s">
        <v>4570</v>
      </c>
      <c r="C2194" s="114" t="s">
        <v>20</v>
      </c>
      <c r="D2194" s="114">
        <v>0</v>
      </c>
      <c r="E2194" s="133" t="s">
        <v>514</v>
      </c>
      <c r="F2194" s="134" t="str">
        <f t="shared" si="111"/>
        <v/>
      </c>
      <c r="G2194" s="135" t="e">
        <f>IF(A2194&lt;&gt;"",IF(AND(#REF!="Padrão",$H$4=#REF!),BDI!$B$17,IF(AND(#REF!="Padrão",$H$4=#REF!),BDI!#REF!,IF(AND(#REF!="Diferenciado",$H$4=#REF!),BDI!$E$17,IF(AND(#REF!="Diferenciado",$H$4=#REF!),BDI!#REF!,IF(#REF!="ZERO",0))))),"")</f>
        <v>#REF!</v>
      </c>
      <c r="H2194" s="136" t="str">
        <f t="shared" si="112"/>
        <v/>
      </c>
      <c r="I2194" s="134" t="str">
        <f t="shared" si="113"/>
        <v/>
      </c>
      <c r="J2194" s="226"/>
    </row>
    <row r="2195" spans="1:10" hidden="1" x14ac:dyDescent="0.25">
      <c r="A2195" s="112" t="s">
        <v>5803</v>
      </c>
      <c r="B2195" s="113" t="s">
        <v>4571</v>
      </c>
      <c r="C2195" s="114" t="s">
        <v>20</v>
      </c>
      <c r="D2195" s="114">
        <v>0</v>
      </c>
      <c r="E2195" s="133" t="s">
        <v>514</v>
      </c>
      <c r="F2195" s="134" t="str">
        <f t="shared" si="111"/>
        <v/>
      </c>
      <c r="G2195" s="135" t="e">
        <f>IF(A2195&lt;&gt;"",IF(AND(#REF!="Padrão",$H$4=#REF!),BDI!$B$17,IF(AND(#REF!="Padrão",$H$4=#REF!),BDI!#REF!,IF(AND(#REF!="Diferenciado",$H$4=#REF!),BDI!$E$17,IF(AND(#REF!="Diferenciado",$H$4=#REF!),BDI!#REF!,IF(#REF!="ZERO",0))))),"")</f>
        <v>#REF!</v>
      </c>
      <c r="H2195" s="136" t="str">
        <f t="shared" si="112"/>
        <v/>
      </c>
      <c r="I2195" s="134" t="str">
        <f t="shared" si="113"/>
        <v/>
      </c>
      <c r="J2195" s="226"/>
    </row>
    <row r="2196" spans="1:10" hidden="1" x14ac:dyDescent="0.25">
      <c r="A2196" s="112" t="s">
        <v>5804</v>
      </c>
      <c r="B2196" s="113" t="s">
        <v>4572</v>
      </c>
      <c r="C2196" s="114" t="s">
        <v>20</v>
      </c>
      <c r="D2196" s="114">
        <v>0</v>
      </c>
      <c r="E2196" s="133" t="s">
        <v>514</v>
      </c>
      <c r="F2196" s="134" t="str">
        <f t="shared" si="111"/>
        <v/>
      </c>
      <c r="G2196" s="135" t="e">
        <f>IF(A2196&lt;&gt;"",IF(AND(#REF!="Padrão",$H$4=#REF!),BDI!$B$17,IF(AND(#REF!="Padrão",$H$4=#REF!),BDI!#REF!,IF(AND(#REF!="Diferenciado",$H$4=#REF!),BDI!$E$17,IF(AND(#REF!="Diferenciado",$H$4=#REF!),BDI!#REF!,IF(#REF!="ZERO",0))))),"")</f>
        <v>#REF!</v>
      </c>
      <c r="H2196" s="136" t="str">
        <f t="shared" si="112"/>
        <v/>
      </c>
      <c r="I2196" s="134" t="str">
        <f t="shared" si="113"/>
        <v/>
      </c>
      <c r="J2196" s="226"/>
    </row>
    <row r="2197" spans="1:10" hidden="1" x14ac:dyDescent="0.25">
      <c r="A2197" s="112" t="s">
        <v>5805</v>
      </c>
      <c r="B2197" s="113" t="s">
        <v>4573</v>
      </c>
      <c r="C2197" s="114" t="s">
        <v>20</v>
      </c>
      <c r="D2197" s="114">
        <v>0</v>
      </c>
      <c r="E2197" s="133" t="s">
        <v>514</v>
      </c>
      <c r="F2197" s="134" t="str">
        <f t="shared" si="111"/>
        <v/>
      </c>
      <c r="G2197" s="135" t="e">
        <f>IF(A2197&lt;&gt;"",IF(AND(#REF!="Padrão",$H$4=#REF!),BDI!$B$17,IF(AND(#REF!="Padrão",$H$4=#REF!),BDI!#REF!,IF(AND(#REF!="Diferenciado",$H$4=#REF!),BDI!$E$17,IF(AND(#REF!="Diferenciado",$H$4=#REF!),BDI!#REF!,IF(#REF!="ZERO",0))))),"")</f>
        <v>#REF!</v>
      </c>
      <c r="H2197" s="136" t="str">
        <f t="shared" si="112"/>
        <v/>
      </c>
      <c r="I2197" s="134" t="str">
        <f t="shared" si="113"/>
        <v/>
      </c>
      <c r="J2197" s="226"/>
    </row>
    <row r="2198" spans="1:10" hidden="1" x14ac:dyDescent="0.25">
      <c r="A2198" s="112" t="s">
        <v>5806</v>
      </c>
      <c r="B2198" s="113" t="s">
        <v>4574</v>
      </c>
      <c r="C2198" s="114" t="s">
        <v>20</v>
      </c>
      <c r="D2198" s="114">
        <v>0</v>
      </c>
      <c r="E2198" s="133" t="s">
        <v>514</v>
      </c>
      <c r="F2198" s="134" t="str">
        <f t="shared" si="111"/>
        <v/>
      </c>
      <c r="G2198" s="135" t="e">
        <f>IF(A2198&lt;&gt;"",IF(AND(#REF!="Padrão",$H$4=#REF!),BDI!$B$17,IF(AND(#REF!="Padrão",$H$4=#REF!),BDI!#REF!,IF(AND(#REF!="Diferenciado",$H$4=#REF!),BDI!$E$17,IF(AND(#REF!="Diferenciado",$H$4=#REF!),BDI!#REF!,IF(#REF!="ZERO",0))))),"")</f>
        <v>#REF!</v>
      </c>
      <c r="H2198" s="136" t="str">
        <f t="shared" si="112"/>
        <v/>
      </c>
      <c r="I2198" s="134" t="str">
        <f t="shared" si="113"/>
        <v/>
      </c>
      <c r="J2198" s="226"/>
    </row>
    <row r="2199" spans="1:10" hidden="1" x14ac:dyDescent="0.25">
      <c r="A2199" s="112" t="s">
        <v>5807</v>
      </c>
      <c r="B2199" s="113" t="s">
        <v>4575</v>
      </c>
      <c r="C2199" s="114" t="s">
        <v>20</v>
      </c>
      <c r="D2199" s="114">
        <v>0</v>
      </c>
      <c r="E2199" s="133" t="s">
        <v>514</v>
      </c>
      <c r="F2199" s="134" t="str">
        <f t="shared" si="111"/>
        <v/>
      </c>
      <c r="G2199" s="135" t="e">
        <f>IF(A2199&lt;&gt;"",IF(AND(#REF!="Padrão",$H$4=#REF!),BDI!$B$17,IF(AND(#REF!="Padrão",$H$4=#REF!),BDI!#REF!,IF(AND(#REF!="Diferenciado",$H$4=#REF!),BDI!$E$17,IF(AND(#REF!="Diferenciado",$H$4=#REF!),BDI!#REF!,IF(#REF!="ZERO",0))))),"")</f>
        <v>#REF!</v>
      </c>
      <c r="H2199" s="136" t="str">
        <f t="shared" si="112"/>
        <v/>
      </c>
      <c r="I2199" s="134" t="str">
        <f t="shared" si="113"/>
        <v/>
      </c>
      <c r="J2199" s="226"/>
    </row>
    <row r="2200" spans="1:10" hidden="1" x14ac:dyDescent="0.25">
      <c r="A2200" s="112" t="s">
        <v>5808</v>
      </c>
      <c r="B2200" s="113" t="s">
        <v>4576</v>
      </c>
      <c r="C2200" s="114" t="s">
        <v>20</v>
      </c>
      <c r="D2200" s="114">
        <v>0</v>
      </c>
      <c r="E2200" s="133" t="s">
        <v>514</v>
      </c>
      <c r="F2200" s="134" t="str">
        <f t="shared" si="111"/>
        <v/>
      </c>
      <c r="G2200" s="135" t="e">
        <f>IF(A2200&lt;&gt;"",IF(AND(#REF!="Padrão",$H$4=#REF!),BDI!$B$17,IF(AND(#REF!="Padrão",$H$4=#REF!),BDI!#REF!,IF(AND(#REF!="Diferenciado",$H$4=#REF!),BDI!$E$17,IF(AND(#REF!="Diferenciado",$H$4=#REF!),BDI!#REF!,IF(#REF!="ZERO",0))))),"")</f>
        <v>#REF!</v>
      </c>
      <c r="H2200" s="136" t="str">
        <f t="shared" si="112"/>
        <v/>
      </c>
      <c r="I2200" s="134" t="str">
        <f t="shared" si="113"/>
        <v/>
      </c>
      <c r="J2200" s="226"/>
    </row>
    <row r="2201" spans="1:10" hidden="1" x14ac:dyDescent="0.25">
      <c r="A2201" s="112" t="s">
        <v>5809</v>
      </c>
      <c r="B2201" s="113" t="s">
        <v>4577</v>
      </c>
      <c r="C2201" s="114" t="s">
        <v>20</v>
      </c>
      <c r="D2201" s="114">
        <v>0</v>
      </c>
      <c r="E2201" s="133" t="s">
        <v>514</v>
      </c>
      <c r="F2201" s="134" t="str">
        <f t="shared" si="111"/>
        <v/>
      </c>
      <c r="G2201" s="135" t="e">
        <f>IF(A2201&lt;&gt;"",IF(AND(#REF!="Padrão",$H$4=#REF!),BDI!$B$17,IF(AND(#REF!="Padrão",$H$4=#REF!),BDI!#REF!,IF(AND(#REF!="Diferenciado",$H$4=#REF!),BDI!$E$17,IF(AND(#REF!="Diferenciado",$H$4=#REF!),BDI!#REF!,IF(#REF!="ZERO",0))))),"")</f>
        <v>#REF!</v>
      </c>
      <c r="H2201" s="136" t="str">
        <f t="shared" si="112"/>
        <v/>
      </c>
      <c r="I2201" s="134" t="str">
        <f t="shared" si="113"/>
        <v/>
      </c>
      <c r="J2201" s="226"/>
    </row>
    <row r="2202" spans="1:10" hidden="1" x14ac:dyDescent="0.25">
      <c r="A2202" s="112" t="s">
        <v>5810</v>
      </c>
      <c r="B2202" s="113" t="s">
        <v>4578</v>
      </c>
      <c r="C2202" s="114" t="s">
        <v>20</v>
      </c>
      <c r="D2202" s="114">
        <v>0</v>
      </c>
      <c r="E2202" s="133" t="s">
        <v>514</v>
      </c>
      <c r="F2202" s="134" t="str">
        <f t="shared" si="111"/>
        <v/>
      </c>
      <c r="G2202" s="135" t="e">
        <f>IF(A2202&lt;&gt;"",IF(AND(#REF!="Padrão",$H$4=#REF!),BDI!$B$17,IF(AND(#REF!="Padrão",$H$4=#REF!),BDI!#REF!,IF(AND(#REF!="Diferenciado",$H$4=#REF!),BDI!$E$17,IF(AND(#REF!="Diferenciado",$H$4=#REF!),BDI!#REF!,IF(#REF!="ZERO",0))))),"")</f>
        <v>#REF!</v>
      </c>
      <c r="H2202" s="136" t="str">
        <f t="shared" si="112"/>
        <v/>
      </c>
      <c r="I2202" s="134" t="str">
        <f t="shared" si="113"/>
        <v/>
      </c>
      <c r="J2202" s="226"/>
    </row>
    <row r="2203" spans="1:10" hidden="1" x14ac:dyDescent="0.25">
      <c r="A2203" s="112" t="s">
        <v>5811</v>
      </c>
      <c r="B2203" s="113" t="s">
        <v>4579</v>
      </c>
      <c r="C2203" s="114" t="s">
        <v>20</v>
      </c>
      <c r="D2203" s="114">
        <v>0</v>
      </c>
      <c r="E2203" s="133" t="s">
        <v>514</v>
      </c>
      <c r="F2203" s="134" t="str">
        <f t="shared" si="111"/>
        <v/>
      </c>
      <c r="G2203" s="135" t="e">
        <f>IF(A2203&lt;&gt;"",IF(AND(#REF!="Padrão",$H$4=#REF!),BDI!$B$17,IF(AND(#REF!="Padrão",$H$4=#REF!),BDI!#REF!,IF(AND(#REF!="Diferenciado",$H$4=#REF!),BDI!$E$17,IF(AND(#REF!="Diferenciado",$H$4=#REF!),BDI!#REF!,IF(#REF!="ZERO",0))))),"")</f>
        <v>#REF!</v>
      </c>
      <c r="H2203" s="136" t="str">
        <f t="shared" si="112"/>
        <v/>
      </c>
      <c r="I2203" s="134" t="str">
        <f t="shared" si="113"/>
        <v/>
      </c>
      <c r="J2203" s="226"/>
    </row>
    <row r="2204" spans="1:10" hidden="1" x14ac:dyDescent="0.25">
      <c r="A2204" s="112" t="s">
        <v>5812</v>
      </c>
      <c r="B2204" s="113" t="s">
        <v>4580</v>
      </c>
      <c r="C2204" s="114" t="s">
        <v>20</v>
      </c>
      <c r="D2204" s="114">
        <v>0</v>
      </c>
      <c r="E2204" s="133" t="s">
        <v>514</v>
      </c>
      <c r="F2204" s="134" t="str">
        <f t="shared" si="111"/>
        <v/>
      </c>
      <c r="G2204" s="135" t="e">
        <f>IF(A2204&lt;&gt;"",IF(AND(#REF!="Padrão",$H$4=#REF!),BDI!$B$17,IF(AND(#REF!="Padrão",$H$4=#REF!),BDI!#REF!,IF(AND(#REF!="Diferenciado",$H$4=#REF!),BDI!$E$17,IF(AND(#REF!="Diferenciado",$H$4=#REF!),BDI!#REF!,IF(#REF!="ZERO",0))))),"")</f>
        <v>#REF!</v>
      </c>
      <c r="H2204" s="136" t="str">
        <f t="shared" si="112"/>
        <v/>
      </c>
      <c r="I2204" s="134" t="str">
        <f t="shared" si="113"/>
        <v/>
      </c>
      <c r="J2204" s="226"/>
    </row>
    <row r="2205" spans="1:10" hidden="1" x14ac:dyDescent="0.25">
      <c r="A2205" s="112" t="s">
        <v>5813</v>
      </c>
      <c r="B2205" s="113" t="s">
        <v>4581</v>
      </c>
      <c r="C2205" s="114" t="s">
        <v>20</v>
      </c>
      <c r="D2205" s="114">
        <v>0</v>
      </c>
      <c r="E2205" s="133" t="s">
        <v>514</v>
      </c>
      <c r="F2205" s="134" t="str">
        <f t="shared" si="111"/>
        <v/>
      </c>
      <c r="G2205" s="135" t="e">
        <f>IF(A2205&lt;&gt;"",IF(AND(#REF!="Padrão",$H$4=#REF!),BDI!$B$17,IF(AND(#REF!="Padrão",$H$4=#REF!),BDI!#REF!,IF(AND(#REF!="Diferenciado",$H$4=#REF!),BDI!$E$17,IF(AND(#REF!="Diferenciado",$H$4=#REF!),BDI!#REF!,IF(#REF!="ZERO",0))))),"")</f>
        <v>#REF!</v>
      </c>
      <c r="H2205" s="136" t="str">
        <f t="shared" si="112"/>
        <v/>
      </c>
      <c r="I2205" s="134" t="str">
        <f t="shared" si="113"/>
        <v/>
      </c>
      <c r="J2205" s="226"/>
    </row>
    <row r="2206" spans="1:10" hidden="1" x14ac:dyDescent="0.25">
      <c r="A2206" s="112" t="s">
        <v>5814</v>
      </c>
      <c r="B2206" s="113" t="s">
        <v>4582</v>
      </c>
      <c r="C2206" s="114" t="s">
        <v>20</v>
      </c>
      <c r="D2206" s="114">
        <v>0</v>
      </c>
      <c r="E2206" s="133" t="s">
        <v>514</v>
      </c>
      <c r="F2206" s="134" t="str">
        <f t="shared" si="111"/>
        <v/>
      </c>
      <c r="G2206" s="135" t="e">
        <f>IF(A2206&lt;&gt;"",IF(AND(#REF!="Padrão",$H$4=#REF!),BDI!$B$17,IF(AND(#REF!="Padrão",$H$4=#REF!),BDI!#REF!,IF(AND(#REF!="Diferenciado",$H$4=#REF!),BDI!$E$17,IF(AND(#REF!="Diferenciado",$H$4=#REF!),BDI!#REF!,IF(#REF!="ZERO",0))))),"")</f>
        <v>#REF!</v>
      </c>
      <c r="H2206" s="136" t="str">
        <f t="shared" si="112"/>
        <v/>
      </c>
      <c r="I2206" s="134" t="str">
        <f t="shared" si="113"/>
        <v/>
      </c>
      <c r="J2206" s="226"/>
    </row>
    <row r="2207" spans="1:10" hidden="1" x14ac:dyDescent="0.25">
      <c r="A2207" s="112" t="s">
        <v>5815</v>
      </c>
      <c r="B2207" s="113" t="s">
        <v>4583</v>
      </c>
      <c r="C2207" s="114" t="s">
        <v>20</v>
      </c>
      <c r="D2207" s="114">
        <v>0</v>
      </c>
      <c r="E2207" s="133" t="s">
        <v>514</v>
      </c>
      <c r="F2207" s="134" t="str">
        <f t="shared" si="111"/>
        <v/>
      </c>
      <c r="G2207" s="135" t="e">
        <f>IF(A2207&lt;&gt;"",IF(AND(#REF!="Padrão",$H$4=#REF!),BDI!$B$17,IF(AND(#REF!="Padrão",$H$4=#REF!),BDI!#REF!,IF(AND(#REF!="Diferenciado",$H$4=#REF!),BDI!$E$17,IF(AND(#REF!="Diferenciado",$H$4=#REF!),BDI!#REF!,IF(#REF!="ZERO",0))))),"")</f>
        <v>#REF!</v>
      </c>
      <c r="H2207" s="136" t="str">
        <f t="shared" si="112"/>
        <v/>
      </c>
      <c r="I2207" s="134" t="str">
        <f t="shared" si="113"/>
        <v/>
      </c>
      <c r="J2207" s="226"/>
    </row>
    <row r="2208" spans="1:10" hidden="1" x14ac:dyDescent="0.25">
      <c r="A2208" s="112" t="s">
        <v>5816</v>
      </c>
      <c r="B2208" s="113" t="s">
        <v>4584</v>
      </c>
      <c r="C2208" s="114" t="s">
        <v>20</v>
      </c>
      <c r="D2208" s="114">
        <v>0</v>
      </c>
      <c r="E2208" s="133" t="s">
        <v>514</v>
      </c>
      <c r="F2208" s="134" t="str">
        <f t="shared" si="111"/>
        <v/>
      </c>
      <c r="G2208" s="135" t="e">
        <f>IF(A2208&lt;&gt;"",IF(AND(#REF!="Padrão",$H$4=#REF!),BDI!$B$17,IF(AND(#REF!="Padrão",$H$4=#REF!),BDI!#REF!,IF(AND(#REF!="Diferenciado",$H$4=#REF!),BDI!$E$17,IF(AND(#REF!="Diferenciado",$H$4=#REF!),BDI!#REF!,IF(#REF!="ZERO",0))))),"")</f>
        <v>#REF!</v>
      </c>
      <c r="H2208" s="136" t="str">
        <f t="shared" si="112"/>
        <v/>
      </c>
      <c r="I2208" s="134" t="str">
        <f t="shared" si="113"/>
        <v/>
      </c>
      <c r="J2208" s="226"/>
    </row>
    <row r="2209" spans="1:10" hidden="1" x14ac:dyDescent="0.25">
      <c r="A2209" s="112" t="s">
        <v>5817</v>
      </c>
      <c r="B2209" s="113" t="s">
        <v>4585</v>
      </c>
      <c r="C2209" s="114" t="s">
        <v>20</v>
      </c>
      <c r="D2209" s="114">
        <v>0</v>
      </c>
      <c r="E2209" s="133" t="s">
        <v>514</v>
      </c>
      <c r="F2209" s="134" t="str">
        <f t="shared" si="111"/>
        <v/>
      </c>
      <c r="G2209" s="135" t="e">
        <f>IF(A2209&lt;&gt;"",IF(AND(#REF!="Padrão",$H$4=#REF!),BDI!$B$17,IF(AND(#REF!="Padrão",$H$4=#REF!),BDI!#REF!,IF(AND(#REF!="Diferenciado",$H$4=#REF!),BDI!$E$17,IF(AND(#REF!="Diferenciado",$H$4=#REF!),BDI!#REF!,IF(#REF!="ZERO",0))))),"")</f>
        <v>#REF!</v>
      </c>
      <c r="H2209" s="136" t="str">
        <f t="shared" si="112"/>
        <v/>
      </c>
      <c r="I2209" s="134" t="str">
        <f t="shared" si="113"/>
        <v/>
      </c>
      <c r="J2209" s="226"/>
    </row>
    <row r="2210" spans="1:10" hidden="1" x14ac:dyDescent="0.25">
      <c r="A2210" s="112" t="s">
        <v>5818</v>
      </c>
      <c r="B2210" s="113" t="s">
        <v>4586</v>
      </c>
      <c r="C2210" s="114" t="s">
        <v>20</v>
      </c>
      <c r="D2210" s="114">
        <v>0</v>
      </c>
      <c r="E2210" s="133" t="s">
        <v>514</v>
      </c>
      <c r="F2210" s="134" t="str">
        <f t="shared" si="111"/>
        <v/>
      </c>
      <c r="G2210" s="135" t="e">
        <f>IF(A2210&lt;&gt;"",IF(AND(#REF!="Padrão",$H$4=#REF!),BDI!$B$17,IF(AND(#REF!="Padrão",$H$4=#REF!),BDI!#REF!,IF(AND(#REF!="Diferenciado",$H$4=#REF!),BDI!$E$17,IF(AND(#REF!="Diferenciado",$H$4=#REF!),BDI!#REF!,IF(#REF!="ZERO",0))))),"")</f>
        <v>#REF!</v>
      </c>
      <c r="H2210" s="136" t="str">
        <f t="shared" si="112"/>
        <v/>
      </c>
      <c r="I2210" s="134" t="str">
        <f t="shared" si="113"/>
        <v/>
      </c>
      <c r="J2210" s="226"/>
    </row>
    <row r="2211" spans="1:10" hidden="1" x14ac:dyDescent="0.25">
      <c r="A2211" s="112" t="s">
        <v>5819</v>
      </c>
      <c r="B2211" s="113" t="s">
        <v>4587</v>
      </c>
      <c r="C2211" s="114" t="s">
        <v>20</v>
      </c>
      <c r="D2211" s="114">
        <v>0</v>
      </c>
      <c r="E2211" s="133" t="s">
        <v>514</v>
      </c>
      <c r="F2211" s="134" t="str">
        <f t="shared" si="111"/>
        <v/>
      </c>
      <c r="G2211" s="135" t="e">
        <f>IF(A2211&lt;&gt;"",IF(AND(#REF!="Padrão",$H$4=#REF!),BDI!$B$17,IF(AND(#REF!="Padrão",$H$4=#REF!),BDI!#REF!,IF(AND(#REF!="Diferenciado",$H$4=#REF!),BDI!$E$17,IF(AND(#REF!="Diferenciado",$H$4=#REF!),BDI!#REF!,IF(#REF!="ZERO",0))))),"")</f>
        <v>#REF!</v>
      </c>
      <c r="H2211" s="136" t="str">
        <f t="shared" si="112"/>
        <v/>
      </c>
      <c r="I2211" s="134" t="str">
        <f t="shared" si="113"/>
        <v/>
      </c>
      <c r="J2211" s="226"/>
    </row>
    <row r="2212" spans="1:10" hidden="1" x14ac:dyDescent="0.25">
      <c r="A2212" s="112" t="s">
        <v>5820</v>
      </c>
      <c r="B2212" s="113" t="s">
        <v>4588</v>
      </c>
      <c r="C2212" s="114" t="s">
        <v>20</v>
      </c>
      <c r="D2212" s="114">
        <v>0</v>
      </c>
      <c r="E2212" s="133" t="s">
        <v>514</v>
      </c>
      <c r="F2212" s="134" t="str">
        <f t="shared" si="111"/>
        <v/>
      </c>
      <c r="G2212" s="135" t="e">
        <f>IF(A2212&lt;&gt;"",IF(AND(#REF!="Padrão",$H$4=#REF!),BDI!$B$17,IF(AND(#REF!="Padrão",$H$4=#REF!),BDI!#REF!,IF(AND(#REF!="Diferenciado",$H$4=#REF!),BDI!$E$17,IF(AND(#REF!="Diferenciado",$H$4=#REF!),BDI!#REF!,IF(#REF!="ZERO",0))))),"")</f>
        <v>#REF!</v>
      </c>
      <c r="H2212" s="136" t="str">
        <f t="shared" si="112"/>
        <v/>
      </c>
      <c r="I2212" s="134" t="str">
        <f t="shared" si="113"/>
        <v/>
      </c>
      <c r="J2212" s="226"/>
    </row>
    <row r="2213" spans="1:10" hidden="1" x14ac:dyDescent="0.25">
      <c r="A2213" s="112" t="s">
        <v>5821</v>
      </c>
      <c r="B2213" s="113" t="s">
        <v>4589</v>
      </c>
      <c r="C2213" s="114" t="s">
        <v>20</v>
      </c>
      <c r="D2213" s="114">
        <v>0</v>
      </c>
      <c r="E2213" s="133" t="s">
        <v>514</v>
      </c>
      <c r="F2213" s="134" t="str">
        <f t="shared" si="111"/>
        <v/>
      </c>
      <c r="G2213" s="135" t="e">
        <f>IF(A2213&lt;&gt;"",IF(AND(#REF!="Padrão",$H$4=#REF!),BDI!$B$17,IF(AND(#REF!="Padrão",$H$4=#REF!),BDI!#REF!,IF(AND(#REF!="Diferenciado",$H$4=#REF!),BDI!$E$17,IF(AND(#REF!="Diferenciado",$H$4=#REF!),BDI!#REF!,IF(#REF!="ZERO",0))))),"")</f>
        <v>#REF!</v>
      </c>
      <c r="H2213" s="136" t="str">
        <f t="shared" si="112"/>
        <v/>
      </c>
      <c r="I2213" s="134" t="str">
        <f t="shared" si="113"/>
        <v/>
      </c>
      <c r="J2213" s="226"/>
    </row>
    <row r="2214" spans="1:10" hidden="1" x14ac:dyDescent="0.25">
      <c r="A2214" s="112" t="s">
        <v>5822</v>
      </c>
      <c r="B2214" s="113" t="s">
        <v>4590</v>
      </c>
      <c r="C2214" s="114" t="s">
        <v>20</v>
      </c>
      <c r="D2214" s="114">
        <v>0</v>
      </c>
      <c r="E2214" s="133" t="s">
        <v>514</v>
      </c>
      <c r="F2214" s="134" t="str">
        <f t="shared" si="111"/>
        <v/>
      </c>
      <c r="G2214" s="135" t="e">
        <f>IF(A2214&lt;&gt;"",IF(AND(#REF!="Padrão",$H$4=#REF!),BDI!$B$17,IF(AND(#REF!="Padrão",$H$4=#REF!),BDI!#REF!,IF(AND(#REF!="Diferenciado",$H$4=#REF!),BDI!$E$17,IF(AND(#REF!="Diferenciado",$H$4=#REF!),BDI!#REF!,IF(#REF!="ZERO",0))))),"")</f>
        <v>#REF!</v>
      </c>
      <c r="H2214" s="136" t="str">
        <f t="shared" si="112"/>
        <v/>
      </c>
      <c r="I2214" s="134" t="str">
        <f t="shared" si="113"/>
        <v/>
      </c>
      <c r="J2214" s="226"/>
    </row>
    <row r="2215" spans="1:10" hidden="1" x14ac:dyDescent="0.25">
      <c r="A2215" s="112" t="s">
        <v>5823</v>
      </c>
      <c r="B2215" s="113" t="s">
        <v>4591</v>
      </c>
      <c r="C2215" s="114" t="s">
        <v>20</v>
      </c>
      <c r="D2215" s="114">
        <v>0</v>
      </c>
      <c r="E2215" s="133" t="s">
        <v>514</v>
      </c>
      <c r="F2215" s="134" t="str">
        <f t="shared" si="111"/>
        <v/>
      </c>
      <c r="G2215" s="135" t="e">
        <f>IF(A2215&lt;&gt;"",IF(AND(#REF!="Padrão",$H$4=#REF!),BDI!$B$17,IF(AND(#REF!="Padrão",$H$4=#REF!),BDI!#REF!,IF(AND(#REF!="Diferenciado",$H$4=#REF!),BDI!$E$17,IF(AND(#REF!="Diferenciado",$H$4=#REF!),BDI!#REF!,IF(#REF!="ZERO",0))))),"")</f>
        <v>#REF!</v>
      </c>
      <c r="H2215" s="136" t="str">
        <f t="shared" si="112"/>
        <v/>
      </c>
      <c r="I2215" s="134" t="str">
        <f t="shared" si="113"/>
        <v/>
      </c>
      <c r="J2215" s="226"/>
    </row>
    <row r="2216" spans="1:10" hidden="1" x14ac:dyDescent="0.25">
      <c r="A2216" s="112" t="s">
        <v>5824</v>
      </c>
      <c r="B2216" s="113" t="s">
        <v>4592</v>
      </c>
      <c r="C2216" s="114" t="s">
        <v>20</v>
      </c>
      <c r="D2216" s="114">
        <v>0</v>
      </c>
      <c r="E2216" s="133" t="s">
        <v>514</v>
      </c>
      <c r="F2216" s="134" t="str">
        <f t="shared" si="111"/>
        <v/>
      </c>
      <c r="G2216" s="135" t="e">
        <f>IF(A2216&lt;&gt;"",IF(AND(#REF!="Padrão",$H$4=#REF!),BDI!$B$17,IF(AND(#REF!="Padrão",$H$4=#REF!),BDI!#REF!,IF(AND(#REF!="Diferenciado",$H$4=#REF!),BDI!$E$17,IF(AND(#REF!="Diferenciado",$H$4=#REF!),BDI!#REF!,IF(#REF!="ZERO",0))))),"")</f>
        <v>#REF!</v>
      </c>
      <c r="H2216" s="136" t="str">
        <f t="shared" si="112"/>
        <v/>
      </c>
      <c r="I2216" s="134" t="str">
        <f t="shared" si="113"/>
        <v/>
      </c>
      <c r="J2216" s="226"/>
    </row>
    <row r="2217" spans="1:10" hidden="1" x14ac:dyDescent="0.25">
      <c r="A2217" s="112" t="s">
        <v>5825</v>
      </c>
      <c r="B2217" s="113" t="s">
        <v>4593</v>
      </c>
      <c r="C2217" s="114" t="s">
        <v>20</v>
      </c>
      <c r="D2217" s="114">
        <v>0</v>
      </c>
      <c r="E2217" s="133">
        <f ca="1">OFFSET(INDEX(Composições!A:J,MATCH(Orçamentária!A2217,Composições!A:A,0),8),2,0)</f>
        <v>159.10599999999999</v>
      </c>
      <c r="F2217" s="134">
        <f t="shared" ca="1" si="111"/>
        <v>0</v>
      </c>
      <c r="G2217" s="135" t="e">
        <f>IF(A2217&lt;&gt;"",IF(AND(#REF!="Padrão",$H$4=#REF!),BDI!$B$17,IF(AND(#REF!="Padrão",$H$4=#REF!),BDI!#REF!,IF(AND(#REF!="Diferenciado",$H$4=#REF!),BDI!$E$17,IF(AND(#REF!="Diferenciado",$H$4=#REF!),BDI!#REF!,IF(#REF!="ZERO",0))))),"")</f>
        <v>#REF!</v>
      </c>
      <c r="H2217" s="136" t="e">
        <f t="shared" ca="1" si="112"/>
        <v>#REF!</v>
      </c>
      <c r="I2217" s="134" t="e">
        <f t="shared" ca="1" si="113"/>
        <v>#REF!</v>
      </c>
      <c r="J2217" s="226"/>
    </row>
    <row r="2218" spans="1:10" hidden="1" x14ac:dyDescent="0.25">
      <c r="A2218" s="112" t="s">
        <v>5826</v>
      </c>
      <c r="B2218" s="113" t="s">
        <v>4594</v>
      </c>
      <c r="C2218" s="114" t="s">
        <v>20</v>
      </c>
      <c r="D2218" s="114">
        <v>0</v>
      </c>
      <c r="E2218" s="133">
        <f ca="1">OFFSET(INDEX(Composições!A:J,MATCH(Orçamentária!A2218,Composições!A:A,0),8),2,0)</f>
        <v>294.78500000000003</v>
      </c>
      <c r="F2218" s="134">
        <f t="shared" ca="1" si="111"/>
        <v>0</v>
      </c>
      <c r="G2218" s="135" t="e">
        <f>IF(A2218&lt;&gt;"",IF(AND(#REF!="Padrão",$H$4=#REF!),BDI!$B$17,IF(AND(#REF!="Padrão",$H$4=#REF!),BDI!#REF!,IF(AND(#REF!="Diferenciado",$H$4=#REF!),BDI!$E$17,IF(AND(#REF!="Diferenciado",$H$4=#REF!),BDI!#REF!,IF(#REF!="ZERO",0))))),"")</f>
        <v>#REF!</v>
      </c>
      <c r="H2218" s="136" t="e">
        <f t="shared" ca="1" si="112"/>
        <v>#REF!</v>
      </c>
      <c r="I2218" s="134" t="e">
        <f t="shared" ca="1" si="113"/>
        <v>#REF!</v>
      </c>
      <c r="J2218" s="226"/>
    </row>
    <row r="2219" spans="1:10" hidden="1" x14ac:dyDescent="0.25">
      <c r="A2219" s="112" t="s">
        <v>5827</v>
      </c>
      <c r="B2219" s="113" t="s">
        <v>4595</v>
      </c>
      <c r="C2219" s="114" t="s">
        <v>20</v>
      </c>
      <c r="D2219" s="114">
        <v>0</v>
      </c>
      <c r="E2219" s="133">
        <f ca="1">OFFSET(INDEX(Composições!A:J,MATCH(Orçamentária!A2219,Composições!A:A,0),8),2,0)</f>
        <v>638.8655</v>
      </c>
      <c r="F2219" s="134">
        <f t="shared" ca="1" si="111"/>
        <v>0</v>
      </c>
      <c r="G2219" s="135" t="e">
        <f>IF(A2219&lt;&gt;"",IF(AND(#REF!="Padrão",$H$4=#REF!),BDI!$B$17,IF(AND(#REF!="Padrão",$H$4=#REF!),BDI!#REF!,IF(AND(#REF!="Diferenciado",$H$4=#REF!),BDI!$E$17,IF(AND(#REF!="Diferenciado",$H$4=#REF!),BDI!#REF!,IF(#REF!="ZERO",0))))),"")</f>
        <v>#REF!</v>
      </c>
      <c r="H2219" s="136" t="e">
        <f t="shared" ca="1" si="112"/>
        <v>#REF!</v>
      </c>
      <c r="I2219" s="134" t="e">
        <f t="shared" ca="1" si="113"/>
        <v>#REF!</v>
      </c>
      <c r="J2219" s="226"/>
    </row>
    <row r="2220" spans="1:10" hidden="1" x14ac:dyDescent="0.25">
      <c r="A2220" s="112" t="s">
        <v>5828</v>
      </c>
      <c r="B2220" s="113" t="s">
        <v>4596</v>
      </c>
      <c r="C2220" s="114" t="s">
        <v>20</v>
      </c>
      <c r="D2220" s="114">
        <v>0</v>
      </c>
      <c r="E2220" s="133" t="s">
        <v>514</v>
      </c>
      <c r="F2220" s="134" t="str">
        <f t="shared" si="111"/>
        <v/>
      </c>
      <c r="G2220" s="135" t="e">
        <f>IF(A2220&lt;&gt;"",IF(AND(#REF!="Padrão",$H$4=#REF!),BDI!$B$17,IF(AND(#REF!="Padrão",$H$4=#REF!),BDI!#REF!,IF(AND(#REF!="Diferenciado",$H$4=#REF!),BDI!$E$17,IF(AND(#REF!="Diferenciado",$H$4=#REF!),BDI!#REF!,IF(#REF!="ZERO",0))))),"")</f>
        <v>#REF!</v>
      </c>
      <c r="H2220" s="136" t="str">
        <f t="shared" si="112"/>
        <v/>
      </c>
      <c r="I2220" s="134" t="str">
        <f t="shared" si="113"/>
        <v/>
      </c>
      <c r="J2220" s="226"/>
    </row>
    <row r="2221" spans="1:10" hidden="1" x14ac:dyDescent="0.25">
      <c r="A2221" s="112" t="s">
        <v>5829</v>
      </c>
      <c r="B2221" s="113" t="s">
        <v>4597</v>
      </c>
      <c r="C2221" s="114" t="s">
        <v>20</v>
      </c>
      <c r="D2221" s="114">
        <v>0</v>
      </c>
      <c r="E2221" s="133" t="s">
        <v>514</v>
      </c>
      <c r="F2221" s="134" t="str">
        <f t="shared" ref="F2221:F2284" si="114">IF(ISNUMBER(E2221),D2221*E2221,"")</f>
        <v/>
      </c>
      <c r="G2221" s="135" t="e">
        <f>IF(A2221&lt;&gt;"",IF(AND(#REF!="Padrão",$H$4=#REF!),BDI!$B$17,IF(AND(#REF!="Padrão",$H$4=#REF!),BDI!#REF!,IF(AND(#REF!="Diferenciado",$H$4=#REF!),BDI!$E$17,IF(AND(#REF!="Diferenciado",$H$4=#REF!),BDI!#REF!,IF(#REF!="ZERO",0))))),"")</f>
        <v>#REF!</v>
      </c>
      <c r="H2221" s="136" t="str">
        <f t="shared" ref="H2221:H2284" si="115">IF(ISNUMBER(E2221),ROUND(E2221*(1+G2221),2),"")</f>
        <v/>
      </c>
      <c r="I2221" s="134" t="str">
        <f t="shared" ref="I2221:I2284" si="116">IF(ISNUMBER(E2221),ROUND(H2221*D2221,2),"")</f>
        <v/>
      </c>
      <c r="J2221" s="226"/>
    </row>
    <row r="2222" spans="1:10" hidden="1" x14ac:dyDescent="0.25">
      <c r="A2222" s="112" t="s">
        <v>5830</v>
      </c>
      <c r="B2222" s="113" t="s">
        <v>4598</v>
      </c>
      <c r="C2222" s="114" t="s">
        <v>20</v>
      </c>
      <c r="D2222" s="114">
        <v>0</v>
      </c>
      <c r="E2222" s="133" t="s">
        <v>514</v>
      </c>
      <c r="F2222" s="134" t="str">
        <f t="shared" si="114"/>
        <v/>
      </c>
      <c r="G2222" s="135" t="e">
        <f>IF(A2222&lt;&gt;"",IF(AND(#REF!="Padrão",$H$4=#REF!),BDI!$B$17,IF(AND(#REF!="Padrão",$H$4=#REF!),BDI!#REF!,IF(AND(#REF!="Diferenciado",$H$4=#REF!),BDI!$E$17,IF(AND(#REF!="Diferenciado",$H$4=#REF!),BDI!#REF!,IF(#REF!="ZERO",0))))),"")</f>
        <v>#REF!</v>
      </c>
      <c r="H2222" s="136" t="str">
        <f t="shared" si="115"/>
        <v/>
      </c>
      <c r="I2222" s="134" t="str">
        <f t="shared" si="116"/>
        <v/>
      </c>
      <c r="J2222" s="226"/>
    </row>
    <row r="2223" spans="1:10" hidden="1" x14ac:dyDescent="0.25">
      <c r="A2223" s="112" t="s">
        <v>5831</v>
      </c>
      <c r="B2223" s="113" t="s">
        <v>4599</v>
      </c>
      <c r="C2223" s="114" t="s">
        <v>20</v>
      </c>
      <c r="D2223" s="114">
        <v>0</v>
      </c>
      <c r="E2223" s="133" t="s">
        <v>514</v>
      </c>
      <c r="F2223" s="134" t="str">
        <f t="shared" si="114"/>
        <v/>
      </c>
      <c r="G2223" s="135" t="e">
        <f>IF(A2223&lt;&gt;"",IF(AND(#REF!="Padrão",$H$4=#REF!),BDI!$B$17,IF(AND(#REF!="Padrão",$H$4=#REF!),BDI!#REF!,IF(AND(#REF!="Diferenciado",$H$4=#REF!),BDI!$E$17,IF(AND(#REF!="Diferenciado",$H$4=#REF!),BDI!#REF!,IF(#REF!="ZERO",0))))),"")</f>
        <v>#REF!</v>
      </c>
      <c r="H2223" s="136" t="str">
        <f t="shared" si="115"/>
        <v/>
      </c>
      <c r="I2223" s="134" t="str">
        <f t="shared" si="116"/>
        <v/>
      </c>
      <c r="J2223" s="226"/>
    </row>
    <row r="2224" spans="1:10" hidden="1" x14ac:dyDescent="0.25">
      <c r="A2224" s="112" t="s">
        <v>5832</v>
      </c>
      <c r="B2224" s="113" t="s">
        <v>4600</v>
      </c>
      <c r="C2224" s="114" t="s">
        <v>20</v>
      </c>
      <c r="D2224" s="114">
        <v>0</v>
      </c>
      <c r="E2224" s="133" t="s">
        <v>514</v>
      </c>
      <c r="F2224" s="134" t="str">
        <f t="shared" si="114"/>
        <v/>
      </c>
      <c r="G2224" s="135" t="e">
        <f>IF(A2224&lt;&gt;"",IF(AND(#REF!="Padrão",$H$4=#REF!),BDI!$B$17,IF(AND(#REF!="Padrão",$H$4=#REF!),BDI!#REF!,IF(AND(#REF!="Diferenciado",$H$4=#REF!),BDI!$E$17,IF(AND(#REF!="Diferenciado",$H$4=#REF!),BDI!#REF!,IF(#REF!="ZERO",0))))),"")</f>
        <v>#REF!</v>
      </c>
      <c r="H2224" s="136" t="str">
        <f t="shared" si="115"/>
        <v/>
      </c>
      <c r="I2224" s="134" t="str">
        <f t="shared" si="116"/>
        <v/>
      </c>
      <c r="J2224" s="226"/>
    </row>
    <row r="2225" spans="1:10" hidden="1" x14ac:dyDescent="0.25">
      <c r="A2225" s="112" t="s">
        <v>5833</v>
      </c>
      <c r="B2225" s="113" t="s">
        <v>4601</v>
      </c>
      <c r="C2225" s="114" t="s">
        <v>20</v>
      </c>
      <c r="D2225" s="114">
        <v>0</v>
      </c>
      <c r="E2225" s="133" t="s">
        <v>514</v>
      </c>
      <c r="F2225" s="134" t="str">
        <f t="shared" si="114"/>
        <v/>
      </c>
      <c r="G2225" s="135" t="e">
        <f>IF(A2225&lt;&gt;"",IF(AND(#REF!="Padrão",$H$4=#REF!),BDI!$B$17,IF(AND(#REF!="Padrão",$H$4=#REF!),BDI!#REF!,IF(AND(#REF!="Diferenciado",$H$4=#REF!),BDI!$E$17,IF(AND(#REF!="Diferenciado",$H$4=#REF!),BDI!#REF!,IF(#REF!="ZERO",0))))),"")</f>
        <v>#REF!</v>
      </c>
      <c r="H2225" s="136" t="str">
        <f t="shared" si="115"/>
        <v/>
      </c>
      <c r="I2225" s="134" t="str">
        <f t="shared" si="116"/>
        <v/>
      </c>
      <c r="J2225" s="226"/>
    </row>
    <row r="2226" spans="1:10" hidden="1" x14ac:dyDescent="0.25">
      <c r="A2226" s="112" t="s">
        <v>5834</v>
      </c>
      <c r="B2226" s="113" t="s">
        <v>4602</v>
      </c>
      <c r="C2226" s="114" t="s">
        <v>20</v>
      </c>
      <c r="D2226" s="114">
        <v>0</v>
      </c>
      <c r="E2226" s="133" t="s">
        <v>514</v>
      </c>
      <c r="F2226" s="134" t="str">
        <f t="shared" si="114"/>
        <v/>
      </c>
      <c r="G2226" s="135" t="e">
        <f>IF(A2226&lt;&gt;"",IF(AND(#REF!="Padrão",$H$4=#REF!),BDI!$B$17,IF(AND(#REF!="Padrão",$H$4=#REF!),BDI!#REF!,IF(AND(#REF!="Diferenciado",$H$4=#REF!),BDI!$E$17,IF(AND(#REF!="Diferenciado",$H$4=#REF!),BDI!#REF!,IF(#REF!="ZERO",0))))),"")</f>
        <v>#REF!</v>
      </c>
      <c r="H2226" s="136" t="str">
        <f t="shared" si="115"/>
        <v/>
      </c>
      <c r="I2226" s="134" t="str">
        <f t="shared" si="116"/>
        <v/>
      </c>
      <c r="J2226" s="226"/>
    </row>
    <row r="2227" spans="1:10" hidden="1" x14ac:dyDescent="0.25">
      <c r="A2227" s="112" t="s">
        <v>5835</v>
      </c>
      <c r="B2227" s="113" t="s">
        <v>4603</v>
      </c>
      <c r="C2227" s="114" t="s">
        <v>20</v>
      </c>
      <c r="D2227" s="114">
        <v>0</v>
      </c>
      <c r="E2227" s="133" t="s">
        <v>514</v>
      </c>
      <c r="F2227" s="134" t="str">
        <f t="shared" si="114"/>
        <v/>
      </c>
      <c r="G2227" s="135" t="e">
        <f>IF(A2227&lt;&gt;"",IF(AND(#REF!="Padrão",$H$4=#REF!),BDI!$B$17,IF(AND(#REF!="Padrão",$H$4=#REF!),BDI!#REF!,IF(AND(#REF!="Diferenciado",$H$4=#REF!),BDI!$E$17,IF(AND(#REF!="Diferenciado",$H$4=#REF!),BDI!#REF!,IF(#REF!="ZERO",0))))),"")</f>
        <v>#REF!</v>
      </c>
      <c r="H2227" s="136" t="str">
        <f t="shared" si="115"/>
        <v/>
      </c>
      <c r="I2227" s="134" t="str">
        <f t="shared" si="116"/>
        <v/>
      </c>
      <c r="J2227" s="226"/>
    </row>
    <row r="2228" spans="1:10" hidden="1" x14ac:dyDescent="0.25">
      <c r="A2228" s="112" t="s">
        <v>5836</v>
      </c>
      <c r="B2228" s="113" t="s">
        <v>4604</v>
      </c>
      <c r="C2228" s="114" t="s">
        <v>20</v>
      </c>
      <c r="D2228" s="114">
        <v>0</v>
      </c>
      <c r="E2228" s="133" t="s">
        <v>514</v>
      </c>
      <c r="F2228" s="134" t="str">
        <f t="shared" si="114"/>
        <v/>
      </c>
      <c r="G2228" s="135" t="e">
        <f>IF(A2228&lt;&gt;"",IF(AND(#REF!="Padrão",$H$4=#REF!),BDI!$B$17,IF(AND(#REF!="Padrão",$H$4=#REF!),BDI!#REF!,IF(AND(#REF!="Diferenciado",$H$4=#REF!),BDI!$E$17,IF(AND(#REF!="Diferenciado",$H$4=#REF!),BDI!#REF!,IF(#REF!="ZERO",0))))),"")</f>
        <v>#REF!</v>
      </c>
      <c r="H2228" s="136" t="str">
        <f t="shared" si="115"/>
        <v/>
      </c>
      <c r="I2228" s="134" t="str">
        <f t="shared" si="116"/>
        <v/>
      </c>
      <c r="J2228" s="226"/>
    </row>
    <row r="2229" spans="1:10" hidden="1" x14ac:dyDescent="0.25">
      <c r="A2229" s="112" t="s">
        <v>5837</v>
      </c>
      <c r="B2229" s="113" t="s">
        <v>4605</v>
      </c>
      <c r="C2229" s="114" t="s">
        <v>20</v>
      </c>
      <c r="D2229" s="114">
        <v>0</v>
      </c>
      <c r="E2229" s="133" t="s">
        <v>514</v>
      </c>
      <c r="F2229" s="134" t="str">
        <f t="shared" si="114"/>
        <v/>
      </c>
      <c r="G2229" s="135" t="e">
        <f>IF(A2229&lt;&gt;"",IF(AND(#REF!="Padrão",$H$4=#REF!),BDI!$B$17,IF(AND(#REF!="Padrão",$H$4=#REF!),BDI!#REF!,IF(AND(#REF!="Diferenciado",$H$4=#REF!),BDI!$E$17,IF(AND(#REF!="Diferenciado",$H$4=#REF!),BDI!#REF!,IF(#REF!="ZERO",0))))),"")</f>
        <v>#REF!</v>
      </c>
      <c r="H2229" s="136" t="str">
        <f t="shared" si="115"/>
        <v/>
      </c>
      <c r="I2229" s="134" t="str">
        <f t="shared" si="116"/>
        <v/>
      </c>
      <c r="J2229" s="226"/>
    </row>
    <row r="2230" spans="1:10" hidden="1" x14ac:dyDescent="0.25">
      <c r="A2230" s="112" t="s">
        <v>5838</v>
      </c>
      <c r="B2230" s="113" t="s">
        <v>4606</v>
      </c>
      <c r="C2230" s="114" t="s">
        <v>20</v>
      </c>
      <c r="D2230" s="114">
        <v>0</v>
      </c>
      <c r="E2230" s="133" t="s">
        <v>514</v>
      </c>
      <c r="F2230" s="134" t="str">
        <f t="shared" si="114"/>
        <v/>
      </c>
      <c r="G2230" s="135" t="e">
        <f>IF(A2230&lt;&gt;"",IF(AND(#REF!="Padrão",$H$4=#REF!),BDI!$B$17,IF(AND(#REF!="Padrão",$H$4=#REF!),BDI!#REF!,IF(AND(#REF!="Diferenciado",$H$4=#REF!),BDI!$E$17,IF(AND(#REF!="Diferenciado",$H$4=#REF!),BDI!#REF!,IF(#REF!="ZERO",0))))),"")</f>
        <v>#REF!</v>
      </c>
      <c r="H2230" s="136" t="str">
        <f t="shared" si="115"/>
        <v/>
      </c>
      <c r="I2230" s="134" t="str">
        <f t="shared" si="116"/>
        <v/>
      </c>
      <c r="J2230" s="226"/>
    </row>
    <row r="2231" spans="1:10" hidden="1" x14ac:dyDescent="0.25">
      <c r="A2231" s="112" t="s">
        <v>5839</v>
      </c>
      <c r="B2231" s="113" t="s">
        <v>4607</v>
      </c>
      <c r="C2231" s="114" t="s">
        <v>20</v>
      </c>
      <c r="D2231" s="114">
        <v>0</v>
      </c>
      <c r="E2231" s="133" t="s">
        <v>514</v>
      </c>
      <c r="F2231" s="134" t="str">
        <f t="shared" si="114"/>
        <v/>
      </c>
      <c r="G2231" s="135" t="e">
        <f>IF(A2231&lt;&gt;"",IF(AND(#REF!="Padrão",$H$4=#REF!),BDI!$B$17,IF(AND(#REF!="Padrão",$H$4=#REF!),BDI!#REF!,IF(AND(#REF!="Diferenciado",$H$4=#REF!),BDI!$E$17,IF(AND(#REF!="Diferenciado",$H$4=#REF!),BDI!#REF!,IF(#REF!="ZERO",0))))),"")</f>
        <v>#REF!</v>
      </c>
      <c r="H2231" s="136" t="str">
        <f t="shared" si="115"/>
        <v/>
      </c>
      <c r="I2231" s="134" t="str">
        <f t="shared" si="116"/>
        <v/>
      </c>
      <c r="J2231" s="226"/>
    </row>
    <row r="2232" spans="1:10" hidden="1" x14ac:dyDescent="0.25">
      <c r="A2232" s="112" t="s">
        <v>5840</v>
      </c>
      <c r="B2232" s="113" t="s">
        <v>4608</v>
      </c>
      <c r="C2232" s="114" t="s">
        <v>20</v>
      </c>
      <c r="D2232" s="114">
        <v>0</v>
      </c>
      <c r="E2232" s="133" t="s">
        <v>514</v>
      </c>
      <c r="F2232" s="134" t="str">
        <f t="shared" si="114"/>
        <v/>
      </c>
      <c r="G2232" s="135" t="e">
        <f>IF(A2232&lt;&gt;"",IF(AND(#REF!="Padrão",$H$4=#REF!),BDI!$B$17,IF(AND(#REF!="Padrão",$H$4=#REF!),BDI!#REF!,IF(AND(#REF!="Diferenciado",$H$4=#REF!),BDI!$E$17,IF(AND(#REF!="Diferenciado",$H$4=#REF!),BDI!#REF!,IF(#REF!="ZERO",0))))),"")</f>
        <v>#REF!</v>
      </c>
      <c r="H2232" s="136" t="str">
        <f t="shared" si="115"/>
        <v/>
      </c>
      <c r="I2232" s="134" t="str">
        <f t="shared" si="116"/>
        <v/>
      </c>
      <c r="J2232" s="226"/>
    </row>
    <row r="2233" spans="1:10" hidden="1" x14ac:dyDescent="0.25">
      <c r="A2233" s="112" t="s">
        <v>5841</v>
      </c>
      <c r="B2233" s="113" t="s">
        <v>4609</v>
      </c>
      <c r="C2233" s="114" t="s">
        <v>20</v>
      </c>
      <c r="D2233" s="114">
        <v>0</v>
      </c>
      <c r="E2233" s="133" t="s">
        <v>514</v>
      </c>
      <c r="F2233" s="134" t="str">
        <f t="shared" si="114"/>
        <v/>
      </c>
      <c r="G2233" s="135" t="e">
        <f>IF(A2233&lt;&gt;"",IF(AND(#REF!="Padrão",$H$4=#REF!),BDI!$B$17,IF(AND(#REF!="Padrão",$H$4=#REF!),BDI!#REF!,IF(AND(#REF!="Diferenciado",$H$4=#REF!),BDI!$E$17,IF(AND(#REF!="Diferenciado",$H$4=#REF!),BDI!#REF!,IF(#REF!="ZERO",0))))),"")</f>
        <v>#REF!</v>
      </c>
      <c r="H2233" s="136" t="str">
        <f t="shared" si="115"/>
        <v/>
      </c>
      <c r="I2233" s="134" t="str">
        <f t="shared" si="116"/>
        <v/>
      </c>
      <c r="J2233" s="226"/>
    </row>
    <row r="2234" spans="1:10" hidden="1" x14ac:dyDescent="0.25">
      <c r="A2234" s="112" t="s">
        <v>5842</v>
      </c>
      <c r="B2234" s="113" t="s">
        <v>4610</v>
      </c>
      <c r="C2234" s="114" t="s">
        <v>20</v>
      </c>
      <c r="D2234" s="114">
        <v>0</v>
      </c>
      <c r="E2234" s="133" t="s">
        <v>514</v>
      </c>
      <c r="F2234" s="134" t="str">
        <f t="shared" si="114"/>
        <v/>
      </c>
      <c r="G2234" s="135" t="e">
        <f>IF(A2234&lt;&gt;"",IF(AND(#REF!="Padrão",$H$4=#REF!),BDI!$B$17,IF(AND(#REF!="Padrão",$H$4=#REF!),BDI!#REF!,IF(AND(#REF!="Diferenciado",$H$4=#REF!),BDI!$E$17,IF(AND(#REF!="Diferenciado",$H$4=#REF!),BDI!#REF!,IF(#REF!="ZERO",0))))),"")</f>
        <v>#REF!</v>
      </c>
      <c r="H2234" s="136" t="str">
        <f t="shared" si="115"/>
        <v/>
      </c>
      <c r="I2234" s="134" t="str">
        <f t="shared" si="116"/>
        <v/>
      </c>
      <c r="J2234" s="226"/>
    </row>
    <row r="2235" spans="1:10" hidden="1" x14ac:dyDescent="0.25">
      <c r="A2235" s="112" t="s">
        <v>5843</v>
      </c>
      <c r="B2235" s="113" t="s">
        <v>4611</v>
      </c>
      <c r="C2235" s="114" t="s">
        <v>20</v>
      </c>
      <c r="D2235" s="114">
        <v>0</v>
      </c>
      <c r="E2235" s="133" t="s">
        <v>514</v>
      </c>
      <c r="F2235" s="134" t="str">
        <f t="shared" si="114"/>
        <v/>
      </c>
      <c r="G2235" s="135" t="e">
        <f>IF(A2235&lt;&gt;"",IF(AND(#REF!="Padrão",$H$4=#REF!),BDI!$B$17,IF(AND(#REF!="Padrão",$H$4=#REF!),BDI!#REF!,IF(AND(#REF!="Diferenciado",$H$4=#REF!),BDI!$E$17,IF(AND(#REF!="Diferenciado",$H$4=#REF!),BDI!#REF!,IF(#REF!="ZERO",0))))),"")</f>
        <v>#REF!</v>
      </c>
      <c r="H2235" s="136" t="str">
        <f t="shared" si="115"/>
        <v/>
      </c>
      <c r="I2235" s="134" t="str">
        <f t="shared" si="116"/>
        <v/>
      </c>
      <c r="J2235" s="226"/>
    </row>
    <row r="2236" spans="1:10" hidden="1" x14ac:dyDescent="0.25">
      <c r="A2236" s="112" t="s">
        <v>5844</v>
      </c>
      <c r="B2236" s="113" t="s">
        <v>4612</v>
      </c>
      <c r="C2236" s="114" t="s">
        <v>20</v>
      </c>
      <c r="D2236" s="114">
        <v>0</v>
      </c>
      <c r="E2236" s="133" t="s">
        <v>514</v>
      </c>
      <c r="F2236" s="134" t="str">
        <f t="shared" si="114"/>
        <v/>
      </c>
      <c r="G2236" s="135" t="e">
        <f>IF(A2236&lt;&gt;"",IF(AND(#REF!="Padrão",$H$4=#REF!),BDI!$B$17,IF(AND(#REF!="Padrão",$H$4=#REF!),BDI!#REF!,IF(AND(#REF!="Diferenciado",$H$4=#REF!),BDI!$E$17,IF(AND(#REF!="Diferenciado",$H$4=#REF!),BDI!#REF!,IF(#REF!="ZERO",0))))),"")</f>
        <v>#REF!</v>
      </c>
      <c r="H2236" s="136" t="str">
        <f t="shared" si="115"/>
        <v/>
      </c>
      <c r="I2236" s="134" t="str">
        <f t="shared" si="116"/>
        <v/>
      </c>
      <c r="J2236" s="226"/>
    </row>
    <row r="2237" spans="1:10" hidden="1" x14ac:dyDescent="0.25">
      <c r="A2237" s="112" t="s">
        <v>5845</v>
      </c>
      <c r="B2237" s="113" t="s">
        <v>4613</v>
      </c>
      <c r="C2237" s="114" t="s">
        <v>20</v>
      </c>
      <c r="D2237" s="114">
        <v>0</v>
      </c>
      <c r="E2237" s="133" t="s">
        <v>514</v>
      </c>
      <c r="F2237" s="134" t="str">
        <f t="shared" si="114"/>
        <v/>
      </c>
      <c r="G2237" s="135" t="e">
        <f>IF(A2237&lt;&gt;"",IF(AND(#REF!="Padrão",$H$4=#REF!),BDI!$B$17,IF(AND(#REF!="Padrão",$H$4=#REF!),BDI!#REF!,IF(AND(#REF!="Diferenciado",$H$4=#REF!),BDI!$E$17,IF(AND(#REF!="Diferenciado",$H$4=#REF!),BDI!#REF!,IF(#REF!="ZERO",0))))),"")</f>
        <v>#REF!</v>
      </c>
      <c r="H2237" s="136" t="str">
        <f t="shared" si="115"/>
        <v/>
      </c>
      <c r="I2237" s="134" t="str">
        <f t="shared" si="116"/>
        <v/>
      </c>
      <c r="J2237" s="226"/>
    </row>
    <row r="2238" spans="1:10" hidden="1" x14ac:dyDescent="0.25">
      <c r="A2238" s="112" t="s">
        <v>5846</v>
      </c>
      <c r="B2238" s="113" t="s">
        <v>4614</v>
      </c>
      <c r="C2238" s="114" t="s">
        <v>20</v>
      </c>
      <c r="D2238" s="114">
        <v>0</v>
      </c>
      <c r="E2238" s="133" t="s">
        <v>514</v>
      </c>
      <c r="F2238" s="134" t="str">
        <f t="shared" si="114"/>
        <v/>
      </c>
      <c r="G2238" s="135" t="e">
        <f>IF(A2238&lt;&gt;"",IF(AND(#REF!="Padrão",$H$4=#REF!),BDI!$B$17,IF(AND(#REF!="Padrão",$H$4=#REF!),BDI!#REF!,IF(AND(#REF!="Diferenciado",$H$4=#REF!),BDI!$E$17,IF(AND(#REF!="Diferenciado",$H$4=#REF!),BDI!#REF!,IF(#REF!="ZERO",0))))),"")</f>
        <v>#REF!</v>
      </c>
      <c r="H2238" s="136" t="str">
        <f t="shared" si="115"/>
        <v/>
      </c>
      <c r="I2238" s="134" t="str">
        <f t="shared" si="116"/>
        <v/>
      </c>
      <c r="J2238" s="226"/>
    </row>
    <row r="2239" spans="1:10" hidden="1" x14ac:dyDescent="0.25">
      <c r="A2239" s="112" t="s">
        <v>5847</v>
      </c>
      <c r="B2239" s="113" t="s">
        <v>4615</v>
      </c>
      <c r="C2239" s="114" t="s">
        <v>20</v>
      </c>
      <c r="D2239" s="114">
        <v>0</v>
      </c>
      <c r="E2239" s="133" t="s">
        <v>514</v>
      </c>
      <c r="F2239" s="134" t="str">
        <f t="shared" si="114"/>
        <v/>
      </c>
      <c r="G2239" s="135" t="e">
        <f>IF(A2239&lt;&gt;"",IF(AND(#REF!="Padrão",$H$4=#REF!),BDI!$B$17,IF(AND(#REF!="Padrão",$H$4=#REF!),BDI!#REF!,IF(AND(#REF!="Diferenciado",$H$4=#REF!),BDI!$E$17,IF(AND(#REF!="Diferenciado",$H$4=#REF!),BDI!#REF!,IF(#REF!="ZERO",0))))),"")</f>
        <v>#REF!</v>
      </c>
      <c r="H2239" s="136" t="str">
        <f t="shared" si="115"/>
        <v/>
      </c>
      <c r="I2239" s="134" t="str">
        <f t="shared" si="116"/>
        <v/>
      </c>
      <c r="J2239" s="226"/>
    </row>
    <row r="2240" spans="1:10" hidden="1" x14ac:dyDescent="0.25">
      <c r="A2240" s="112" t="s">
        <v>5848</v>
      </c>
      <c r="B2240" s="113" t="s">
        <v>4616</v>
      </c>
      <c r="C2240" s="114" t="s">
        <v>20</v>
      </c>
      <c r="D2240" s="114">
        <v>0</v>
      </c>
      <c r="E2240" s="133" t="s">
        <v>514</v>
      </c>
      <c r="F2240" s="134" t="str">
        <f t="shared" si="114"/>
        <v/>
      </c>
      <c r="G2240" s="135" t="e">
        <f>IF(A2240&lt;&gt;"",IF(AND(#REF!="Padrão",$H$4=#REF!),BDI!$B$17,IF(AND(#REF!="Padrão",$H$4=#REF!),BDI!#REF!,IF(AND(#REF!="Diferenciado",$H$4=#REF!),BDI!$E$17,IF(AND(#REF!="Diferenciado",$H$4=#REF!),BDI!#REF!,IF(#REF!="ZERO",0))))),"")</f>
        <v>#REF!</v>
      </c>
      <c r="H2240" s="136" t="str">
        <f t="shared" si="115"/>
        <v/>
      </c>
      <c r="I2240" s="134" t="str">
        <f t="shared" si="116"/>
        <v/>
      </c>
      <c r="J2240" s="226"/>
    </row>
    <row r="2241" spans="1:10" hidden="1" x14ac:dyDescent="0.25">
      <c r="A2241" s="112" t="s">
        <v>5849</v>
      </c>
      <c r="B2241" s="113" t="s">
        <v>4617</v>
      </c>
      <c r="C2241" s="114" t="s">
        <v>20</v>
      </c>
      <c r="D2241" s="114">
        <v>0</v>
      </c>
      <c r="E2241" s="133" t="s">
        <v>514</v>
      </c>
      <c r="F2241" s="134" t="str">
        <f t="shared" si="114"/>
        <v/>
      </c>
      <c r="G2241" s="135" t="e">
        <f>IF(A2241&lt;&gt;"",IF(AND(#REF!="Padrão",$H$4=#REF!),BDI!$B$17,IF(AND(#REF!="Padrão",$H$4=#REF!),BDI!#REF!,IF(AND(#REF!="Diferenciado",$H$4=#REF!),BDI!$E$17,IF(AND(#REF!="Diferenciado",$H$4=#REF!),BDI!#REF!,IF(#REF!="ZERO",0))))),"")</f>
        <v>#REF!</v>
      </c>
      <c r="H2241" s="136" t="str">
        <f t="shared" si="115"/>
        <v/>
      </c>
      <c r="I2241" s="134" t="str">
        <f t="shared" si="116"/>
        <v/>
      </c>
      <c r="J2241" s="226"/>
    </row>
    <row r="2242" spans="1:10" hidden="1" x14ac:dyDescent="0.25">
      <c r="A2242" s="112" t="s">
        <v>5850</v>
      </c>
      <c r="B2242" s="113" t="s">
        <v>4618</v>
      </c>
      <c r="C2242" s="114" t="s">
        <v>20</v>
      </c>
      <c r="D2242" s="114">
        <v>0</v>
      </c>
      <c r="E2242" s="133" t="s">
        <v>514</v>
      </c>
      <c r="F2242" s="134" t="str">
        <f t="shared" si="114"/>
        <v/>
      </c>
      <c r="G2242" s="135" t="e">
        <f>IF(A2242&lt;&gt;"",IF(AND(#REF!="Padrão",$H$4=#REF!),BDI!$B$17,IF(AND(#REF!="Padrão",$H$4=#REF!),BDI!#REF!,IF(AND(#REF!="Diferenciado",$H$4=#REF!),BDI!$E$17,IF(AND(#REF!="Diferenciado",$H$4=#REF!),BDI!#REF!,IF(#REF!="ZERO",0))))),"")</f>
        <v>#REF!</v>
      </c>
      <c r="H2242" s="136" t="str">
        <f t="shared" si="115"/>
        <v/>
      </c>
      <c r="I2242" s="134" t="str">
        <f t="shared" si="116"/>
        <v/>
      </c>
      <c r="J2242" s="226"/>
    </row>
    <row r="2243" spans="1:10" hidden="1" x14ac:dyDescent="0.25">
      <c r="A2243" s="112" t="s">
        <v>5851</v>
      </c>
      <c r="B2243" s="113" t="s">
        <v>4619</v>
      </c>
      <c r="C2243" s="114" t="s">
        <v>20</v>
      </c>
      <c r="D2243" s="114">
        <v>0</v>
      </c>
      <c r="E2243" s="133" t="s">
        <v>514</v>
      </c>
      <c r="F2243" s="134" t="str">
        <f t="shared" si="114"/>
        <v/>
      </c>
      <c r="G2243" s="135" t="e">
        <f>IF(A2243&lt;&gt;"",IF(AND(#REF!="Padrão",$H$4=#REF!),BDI!$B$17,IF(AND(#REF!="Padrão",$H$4=#REF!),BDI!#REF!,IF(AND(#REF!="Diferenciado",$H$4=#REF!),BDI!$E$17,IF(AND(#REF!="Diferenciado",$H$4=#REF!),BDI!#REF!,IF(#REF!="ZERO",0))))),"")</f>
        <v>#REF!</v>
      </c>
      <c r="H2243" s="136" t="str">
        <f t="shared" si="115"/>
        <v/>
      </c>
      <c r="I2243" s="134" t="str">
        <f t="shared" si="116"/>
        <v/>
      </c>
      <c r="J2243" s="226"/>
    </row>
    <row r="2244" spans="1:10" hidden="1" x14ac:dyDescent="0.25">
      <c r="A2244" s="112" t="s">
        <v>5852</v>
      </c>
      <c r="B2244" s="113" t="s">
        <v>4620</v>
      </c>
      <c r="C2244" s="114" t="s">
        <v>20</v>
      </c>
      <c r="D2244" s="114">
        <v>0</v>
      </c>
      <c r="E2244" s="133" t="s">
        <v>514</v>
      </c>
      <c r="F2244" s="134" t="str">
        <f t="shared" si="114"/>
        <v/>
      </c>
      <c r="G2244" s="135" t="e">
        <f>IF(A2244&lt;&gt;"",IF(AND(#REF!="Padrão",$H$4=#REF!),BDI!$B$17,IF(AND(#REF!="Padrão",$H$4=#REF!),BDI!#REF!,IF(AND(#REF!="Diferenciado",$H$4=#REF!),BDI!$E$17,IF(AND(#REF!="Diferenciado",$H$4=#REF!),BDI!#REF!,IF(#REF!="ZERO",0))))),"")</f>
        <v>#REF!</v>
      </c>
      <c r="H2244" s="136" t="str">
        <f t="shared" si="115"/>
        <v/>
      </c>
      <c r="I2244" s="134" t="str">
        <f t="shared" si="116"/>
        <v/>
      </c>
      <c r="J2244" s="226"/>
    </row>
    <row r="2245" spans="1:10" hidden="1" x14ac:dyDescent="0.25">
      <c r="A2245" s="112" t="s">
        <v>5853</v>
      </c>
      <c r="B2245" s="113" t="s">
        <v>4621</v>
      </c>
      <c r="C2245" s="114" t="s">
        <v>20</v>
      </c>
      <c r="D2245" s="114">
        <v>0</v>
      </c>
      <c r="E2245" s="133" t="s">
        <v>514</v>
      </c>
      <c r="F2245" s="134" t="str">
        <f t="shared" si="114"/>
        <v/>
      </c>
      <c r="G2245" s="135" t="e">
        <f>IF(A2245&lt;&gt;"",IF(AND(#REF!="Padrão",$H$4=#REF!),BDI!$B$17,IF(AND(#REF!="Padrão",$H$4=#REF!),BDI!#REF!,IF(AND(#REF!="Diferenciado",$H$4=#REF!),BDI!$E$17,IF(AND(#REF!="Diferenciado",$H$4=#REF!),BDI!#REF!,IF(#REF!="ZERO",0))))),"")</f>
        <v>#REF!</v>
      </c>
      <c r="H2245" s="136" t="str">
        <f t="shared" si="115"/>
        <v/>
      </c>
      <c r="I2245" s="134" t="str">
        <f t="shared" si="116"/>
        <v/>
      </c>
      <c r="J2245" s="226"/>
    </row>
    <row r="2246" spans="1:10" hidden="1" x14ac:dyDescent="0.25">
      <c r="A2246" s="112" t="s">
        <v>5854</v>
      </c>
      <c r="B2246" s="113" t="s">
        <v>4622</v>
      </c>
      <c r="C2246" s="114" t="s">
        <v>20</v>
      </c>
      <c r="D2246" s="114">
        <v>0</v>
      </c>
      <c r="E2246" s="133" t="s">
        <v>514</v>
      </c>
      <c r="F2246" s="134" t="str">
        <f t="shared" si="114"/>
        <v/>
      </c>
      <c r="G2246" s="135" t="e">
        <f>IF(A2246&lt;&gt;"",IF(AND(#REF!="Padrão",$H$4=#REF!),BDI!$B$17,IF(AND(#REF!="Padrão",$H$4=#REF!),BDI!#REF!,IF(AND(#REF!="Diferenciado",$H$4=#REF!),BDI!$E$17,IF(AND(#REF!="Diferenciado",$H$4=#REF!),BDI!#REF!,IF(#REF!="ZERO",0))))),"")</f>
        <v>#REF!</v>
      </c>
      <c r="H2246" s="136" t="str">
        <f t="shared" si="115"/>
        <v/>
      </c>
      <c r="I2246" s="134" t="str">
        <f t="shared" si="116"/>
        <v/>
      </c>
      <c r="J2246" s="226"/>
    </row>
    <row r="2247" spans="1:10" hidden="1" x14ac:dyDescent="0.25">
      <c r="A2247" s="112" t="s">
        <v>5855</v>
      </c>
      <c r="B2247" s="113" t="s">
        <v>4623</v>
      </c>
      <c r="C2247" s="114" t="s">
        <v>94</v>
      </c>
      <c r="D2247" s="114">
        <v>0</v>
      </c>
      <c r="E2247" s="133" t="s">
        <v>514</v>
      </c>
      <c r="F2247" s="134" t="str">
        <f t="shared" si="114"/>
        <v/>
      </c>
      <c r="G2247" s="135" t="e">
        <f>IF(A2247&lt;&gt;"",IF(AND(#REF!="Padrão",$H$4=#REF!),BDI!$B$17,IF(AND(#REF!="Padrão",$H$4=#REF!),BDI!#REF!,IF(AND(#REF!="Diferenciado",$H$4=#REF!),BDI!$E$17,IF(AND(#REF!="Diferenciado",$H$4=#REF!),BDI!#REF!,IF(#REF!="ZERO",0))))),"")</f>
        <v>#REF!</v>
      </c>
      <c r="H2247" s="136" t="str">
        <f t="shared" si="115"/>
        <v/>
      </c>
      <c r="I2247" s="134" t="str">
        <f t="shared" si="116"/>
        <v/>
      </c>
      <c r="J2247" s="226"/>
    </row>
    <row r="2248" spans="1:10" hidden="1" x14ac:dyDescent="0.25">
      <c r="A2248" s="112" t="s">
        <v>5856</v>
      </c>
      <c r="B2248" s="113" t="s">
        <v>4624</v>
      </c>
      <c r="C2248" s="114" t="s">
        <v>94</v>
      </c>
      <c r="D2248" s="114">
        <v>0</v>
      </c>
      <c r="E2248" s="133" t="s">
        <v>514</v>
      </c>
      <c r="F2248" s="134" t="str">
        <f t="shared" si="114"/>
        <v/>
      </c>
      <c r="G2248" s="135" t="e">
        <f>IF(A2248&lt;&gt;"",IF(AND(#REF!="Padrão",$H$4=#REF!),BDI!$B$17,IF(AND(#REF!="Padrão",$H$4=#REF!),BDI!#REF!,IF(AND(#REF!="Diferenciado",$H$4=#REF!),BDI!$E$17,IF(AND(#REF!="Diferenciado",$H$4=#REF!),BDI!#REF!,IF(#REF!="ZERO",0))))),"")</f>
        <v>#REF!</v>
      </c>
      <c r="H2248" s="136" t="str">
        <f t="shared" si="115"/>
        <v/>
      </c>
      <c r="I2248" s="134" t="str">
        <f t="shared" si="116"/>
        <v/>
      </c>
      <c r="J2248" s="226"/>
    </row>
    <row r="2249" spans="1:10" hidden="1" x14ac:dyDescent="0.25">
      <c r="A2249" s="112" t="s">
        <v>5857</v>
      </c>
      <c r="B2249" s="113" t="s">
        <v>4625</v>
      </c>
      <c r="C2249" s="114" t="s">
        <v>20</v>
      </c>
      <c r="D2249" s="114">
        <v>0</v>
      </c>
      <c r="E2249" s="133" t="s">
        <v>514</v>
      </c>
      <c r="F2249" s="134" t="str">
        <f t="shared" si="114"/>
        <v/>
      </c>
      <c r="G2249" s="135" t="e">
        <f>IF(A2249&lt;&gt;"",IF(AND(#REF!="Padrão",$H$4=#REF!),BDI!$B$17,IF(AND(#REF!="Padrão",$H$4=#REF!),BDI!#REF!,IF(AND(#REF!="Diferenciado",$H$4=#REF!),BDI!$E$17,IF(AND(#REF!="Diferenciado",$H$4=#REF!),BDI!#REF!,IF(#REF!="ZERO",0))))),"")</f>
        <v>#REF!</v>
      </c>
      <c r="H2249" s="136" t="str">
        <f t="shared" si="115"/>
        <v/>
      </c>
      <c r="I2249" s="134" t="str">
        <f t="shared" si="116"/>
        <v/>
      </c>
      <c r="J2249" s="226"/>
    </row>
    <row r="2250" spans="1:10" hidden="1" x14ac:dyDescent="0.25">
      <c r="A2250" s="112" t="s">
        <v>5858</v>
      </c>
      <c r="B2250" s="113" t="s">
        <v>4626</v>
      </c>
      <c r="C2250" s="114" t="s">
        <v>20</v>
      </c>
      <c r="D2250" s="114">
        <v>0</v>
      </c>
      <c r="E2250" s="133" t="s">
        <v>514</v>
      </c>
      <c r="F2250" s="134" t="str">
        <f t="shared" si="114"/>
        <v/>
      </c>
      <c r="G2250" s="135" t="e">
        <f>IF(A2250&lt;&gt;"",IF(AND(#REF!="Padrão",$H$4=#REF!),BDI!$B$17,IF(AND(#REF!="Padrão",$H$4=#REF!),BDI!#REF!,IF(AND(#REF!="Diferenciado",$H$4=#REF!),BDI!$E$17,IF(AND(#REF!="Diferenciado",$H$4=#REF!),BDI!#REF!,IF(#REF!="ZERO",0))))),"")</f>
        <v>#REF!</v>
      </c>
      <c r="H2250" s="136" t="str">
        <f t="shared" si="115"/>
        <v/>
      </c>
      <c r="I2250" s="134" t="str">
        <f t="shared" si="116"/>
        <v/>
      </c>
      <c r="J2250" s="226"/>
    </row>
    <row r="2251" spans="1:10" hidden="1" x14ac:dyDescent="0.25">
      <c r="A2251" s="112" t="s">
        <v>5859</v>
      </c>
      <c r="B2251" s="113" t="s">
        <v>4627</v>
      </c>
      <c r="C2251" s="114" t="s">
        <v>20</v>
      </c>
      <c r="D2251" s="114">
        <v>0</v>
      </c>
      <c r="E2251" s="133" t="s">
        <v>514</v>
      </c>
      <c r="F2251" s="134" t="str">
        <f t="shared" si="114"/>
        <v/>
      </c>
      <c r="G2251" s="135" t="e">
        <f>IF(A2251&lt;&gt;"",IF(AND(#REF!="Padrão",$H$4=#REF!),BDI!$B$17,IF(AND(#REF!="Padrão",$H$4=#REF!),BDI!#REF!,IF(AND(#REF!="Diferenciado",$H$4=#REF!),BDI!$E$17,IF(AND(#REF!="Diferenciado",$H$4=#REF!),BDI!#REF!,IF(#REF!="ZERO",0))))),"")</f>
        <v>#REF!</v>
      </c>
      <c r="H2251" s="136" t="str">
        <f t="shared" si="115"/>
        <v/>
      </c>
      <c r="I2251" s="134" t="str">
        <f t="shared" si="116"/>
        <v/>
      </c>
      <c r="J2251" s="226"/>
    </row>
    <row r="2252" spans="1:10" hidden="1" x14ac:dyDescent="0.25">
      <c r="A2252" s="112" t="s">
        <v>5860</v>
      </c>
      <c r="B2252" s="113" t="s">
        <v>4628</v>
      </c>
      <c r="C2252" s="114" t="s">
        <v>20</v>
      </c>
      <c r="D2252" s="114">
        <v>0</v>
      </c>
      <c r="E2252" s="133" t="s">
        <v>514</v>
      </c>
      <c r="F2252" s="134" t="str">
        <f t="shared" si="114"/>
        <v/>
      </c>
      <c r="G2252" s="135" t="e">
        <f>IF(A2252&lt;&gt;"",IF(AND(#REF!="Padrão",$H$4=#REF!),BDI!$B$17,IF(AND(#REF!="Padrão",$H$4=#REF!),BDI!#REF!,IF(AND(#REF!="Diferenciado",$H$4=#REF!),BDI!$E$17,IF(AND(#REF!="Diferenciado",$H$4=#REF!),BDI!#REF!,IF(#REF!="ZERO",0))))),"")</f>
        <v>#REF!</v>
      </c>
      <c r="H2252" s="136" t="str">
        <f t="shared" si="115"/>
        <v/>
      </c>
      <c r="I2252" s="134" t="str">
        <f t="shared" si="116"/>
        <v/>
      </c>
      <c r="J2252" s="226"/>
    </row>
    <row r="2253" spans="1:10" hidden="1" x14ac:dyDescent="0.25">
      <c r="A2253" s="112" t="s">
        <v>5861</v>
      </c>
      <c r="B2253" s="113" t="s">
        <v>4629</v>
      </c>
      <c r="C2253" s="114" t="s">
        <v>20</v>
      </c>
      <c r="D2253" s="114">
        <v>0</v>
      </c>
      <c r="E2253" s="133" t="s">
        <v>514</v>
      </c>
      <c r="F2253" s="134" t="str">
        <f t="shared" si="114"/>
        <v/>
      </c>
      <c r="G2253" s="135" t="e">
        <f>IF(A2253&lt;&gt;"",IF(AND(#REF!="Padrão",$H$4=#REF!),BDI!$B$17,IF(AND(#REF!="Padrão",$H$4=#REF!),BDI!#REF!,IF(AND(#REF!="Diferenciado",$H$4=#REF!),BDI!$E$17,IF(AND(#REF!="Diferenciado",$H$4=#REF!),BDI!#REF!,IF(#REF!="ZERO",0))))),"")</f>
        <v>#REF!</v>
      </c>
      <c r="H2253" s="136" t="str">
        <f t="shared" si="115"/>
        <v/>
      </c>
      <c r="I2253" s="134" t="str">
        <f t="shared" si="116"/>
        <v/>
      </c>
      <c r="J2253" s="226"/>
    </row>
    <row r="2254" spans="1:10" hidden="1" x14ac:dyDescent="0.25">
      <c r="A2254" s="112" t="s">
        <v>5862</v>
      </c>
      <c r="B2254" s="113" t="s">
        <v>4630</v>
      </c>
      <c r="C2254" s="114" t="s">
        <v>20</v>
      </c>
      <c r="D2254" s="114">
        <v>0</v>
      </c>
      <c r="E2254" s="133" t="s">
        <v>514</v>
      </c>
      <c r="F2254" s="134" t="str">
        <f t="shared" si="114"/>
        <v/>
      </c>
      <c r="G2254" s="135" t="e">
        <f>IF(A2254&lt;&gt;"",IF(AND(#REF!="Padrão",$H$4=#REF!),BDI!$B$17,IF(AND(#REF!="Padrão",$H$4=#REF!),BDI!#REF!,IF(AND(#REF!="Diferenciado",$H$4=#REF!),BDI!$E$17,IF(AND(#REF!="Diferenciado",$H$4=#REF!),BDI!#REF!,IF(#REF!="ZERO",0))))),"")</f>
        <v>#REF!</v>
      </c>
      <c r="H2254" s="136" t="str">
        <f t="shared" si="115"/>
        <v/>
      </c>
      <c r="I2254" s="134" t="str">
        <f t="shared" si="116"/>
        <v/>
      </c>
      <c r="J2254" s="226"/>
    </row>
    <row r="2255" spans="1:10" hidden="1" x14ac:dyDescent="0.25">
      <c r="A2255" s="112" t="s">
        <v>5863</v>
      </c>
      <c r="B2255" s="113" t="s">
        <v>4631</v>
      </c>
      <c r="C2255" s="114" t="s">
        <v>20</v>
      </c>
      <c r="D2255" s="114">
        <v>0</v>
      </c>
      <c r="E2255" s="133">
        <f ca="1">OFFSET(INDEX(Composições!A:J,MATCH(Orçamentária!A2255,Composições!A:A,0),8),2,0)</f>
        <v>42.294000000000004</v>
      </c>
      <c r="F2255" s="134">
        <f t="shared" ca="1" si="114"/>
        <v>0</v>
      </c>
      <c r="G2255" s="135" t="e">
        <f>IF(A2255&lt;&gt;"",IF(AND(#REF!="Padrão",$H$4=#REF!),BDI!$B$17,IF(AND(#REF!="Padrão",$H$4=#REF!),BDI!#REF!,IF(AND(#REF!="Diferenciado",$H$4=#REF!),BDI!$E$17,IF(AND(#REF!="Diferenciado",$H$4=#REF!),BDI!#REF!,IF(#REF!="ZERO",0))))),"")</f>
        <v>#REF!</v>
      </c>
      <c r="H2255" s="136" t="e">
        <f t="shared" ca="1" si="115"/>
        <v>#REF!</v>
      </c>
      <c r="I2255" s="134" t="e">
        <f t="shared" ca="1" si="116"/>
        <v>#REF!</v>
      </c>
      <c r="J2255" s="226"/>
    </row>
    <row r="2256" spans="1:10" hidden="1" x14ac:dyDescent="0.25">
      <c r="A2256" s="112" t="s">
        <v>5864</v>
      </c>
      <c r="B2256" s="113" t="s">
        <v>4632</v>
      </c>
      <c r="C2256" s="114" t="s">
        <v>20</v>
      </c>
      <c r="D2256" s="114">
        <v>0</v>
      </c>
      <c r="E2256" s="133" t="s">
        <v>514</v>
      </c>
      <c r="F2256" s="134" t="str">
        <f t="shared" si="114"/>
        <v/>
      </c>
      <c r="G2256" s="135" t="e">
        <f>IF(A2256&lt;&gt;"",IF(AND(#REF!="Padrão",$H$4=#REF!),BDI!$B$17,IF(AND(#REF!="Padrão",$H$4=#REF!),BDI!#REF!,IF(AND(#REF!="Diferenciado",$H$4=#REF!),BDI!$E$17,IF(AND(#REF!="Diferenciado",$H$4=#REF!),BDI!#REF!,IF(#REF!="ZERO",0))))),"")</f>
        <v>#REF!</v>
      </c>
      <c r="H2256" s="136" t="str">
        <f t="shared" si="115"/>
        <v/>
      </c>
      <c r="I2256" s="134" t="str">
        <f t="shared" si="116"/>
        <v/>
      </c>
      <c r="J2256" s="226"/>
    </row>
    <row r="2257" spans="1:10" hidden="1" x14ac:dyDescent="0.25">
      <c r="A2257" s="112" t="s">
        <v>5865</v>
      </c>
      <c r="B2257" s="113" t="s">
        <v>4633</v>
      </c>
      <c r="C2257" s="114" t="s">
        <v>20</v>
      </c>
      <c r="D2257" s="114">
        <v>0</v>
      </c>
      <c r="E2257" s="133" t="s">
        <v>514</v>
      </c>
      <c r="F2257" s="134" t="str">
        <f t="shared" si="114"/>
        <v/>
      </c>
      <c r="G2257" s="135" t="e">
        <f>IF(A2257&lt;&gt;"",IF(AND(#REF!="Padrão",$H$4=#REF!),BDI!$B$17,IF(AND(#REF!="Padrão",$H$4=#REF!),BDI!#REF!,IF(AND(#REF!="Diferenciado",$H$4=#REF!),BDI!$E$17,IF(AND(#REF!="Diferenciado",$H$4=#REF!),BDI!#REF!,IF(#REF!="ZERO",0))))),"")</f>
        <v>#REF!</v>
      </c>
      <c r="H2257" s="136" t="str">
        <f t="shared" si="115"/>
        <v/>
      </c>
      <c r="I2257" s="134" t="str">
        <f t="shared" si="116"/>
        <v/>
      </c>
      <c r="J2257" s="226"/>
    </row>
    <row r="2258" spans="1:10" hidden="1" x14ac:dyDescent="0.25">
      <c r="A2258" s="112" t="s">
        <v>5866</v>
      </c>
      <c r="B2258" s="113" t="s">
        <v>4634</v>
      </c>
      <c r="C2258" s="114" t="s">
        <v>20</v>
      </c>
      <c r="D2258" s="114">
        <v>0</v>
      </c>
      <c r="E2258" s="133" t="s">
        <v>514</v>
      </c>
      <c r="F2258" s="134" t="str">
        <f t="shared" si="114"/>
        <v/>
      </c>
      <c r="G2258" s="135" t="e">
        <f>IF(A2258&lt;&gt;"",IF(AND(#REF!="Padrão",$H$4=#REF!),BDI!$B$17,IF(AND(#REF!="Padrão",$H$4=#REF!),BDI!#REF!,IF(AND(#REF!="Diferenciado",$H$4=#REF!),BDI!$E$17,IF(AND(#REF!="Diferenciado",$H$4=#REF!),BDI!#REF!,IF(#REF!="ZERO",0))))),"")</f>
        <v>#REF!</v>
      </c>
      <c r="H2258" s="136" t="str">
        <f t="shared" si="115"/>
        <v/>
      </c>
      <c r="I2258" s="134" t="str">
        <f t="shared" si="116"/>
        <v/>
      </c>
      <c r="J2258" s="226"/>
    </row>
    <row r="2259" spans="1:10" hidden="1" x14ac:dyDescent="0.25">
      <c r="A2259" s="112" t="s">
        <v>5867</v>
      </c>
      <c r="B2259" s="113" t="s">
        <v>4635</v>
      </c>
      <c r="C2259" s="114" t="s">
        <v>20</v>
      </c>
      <c r="D2259" s="114">
        <v>0</v>
      </c>
      <c r="E2259" s="133" t="s">
        <v>514</v>
      </c>
      <c r="F2259" s="134" t="str">
        <f t="shared" si="114"/>
        <v/>
      </c>
      <c r="G2259" s="135" t="e">
        <f>IF(A2259&lt;&gt;"",IF(AND(#REF!="Padrão",$H$4=#REF!),BDI!$B$17,IF(AND(#REF!="Padrão",$H$4=#REF!),BDI!#REF!,IF(AND(#REF!="Diferenciado",$H$4=#REF!),BDI!$E$17,IF(AND(#REF!="Diferenciado",$H$4=#REF!),BDI!#REF!,IF(#REF!="ZERO",0))))),"")</f>
        <v>#REF!</v>
      </c>
      <c r="H2259" s="136" t="str">
        <f t="shared" si="115"/>
        <v/>
      </c>
      <c r="I2259" s="134" t="str">
        <f t="shared" si="116"/>
        <v/>
      </c>
      <c r="J2259" s="226"/>
    </row>
    <row r="2260" spans="1:10" hidden="1" x14ac:dyDescent="0.25">
      <c r="A2260" s="112" t="s">
        <v>5868</v>
      </c>
      <c r="B2260" s="113" t="s">
        <v>4636</v>
      </c>
      <c r="C2260" s="114" t="s">
        <v>20</v>
      </c>
      <c r="D2260" s="114">
        <v>0</v>
      </c>
      <c r="E2260" s="133" t="s">
        <v>514</v>
      </c>
      <c r="F2260" s="134" t="str">
        <f t="shared" si="114"/>
        <v/>
      </c>
      <c r="G2260" s="135" t="e">
        <f>IF(A2260&lt;&gt;"",IF(AND(#REF!="Padrão",$H$4=#REF!),BDI!$B$17,IF(AND(#REF!="Padrão",$H$4=#REF!),BDI!#REF!,IF(AND(#REF!="Diferenciado",$H$4=#REF!),BDI!$E$17,IF(AND(#REF!="Diferenciado",$H$4=#REF!),BDI!#REF!,IF(#REF!="ZERO",0))))),"")</f>
        <v>#REF!</v>
      </c>
      <c r="H2260" s="136" t="str">
        <f t="shared" si="115"/>
        <v/>
      </c>
      <c r="I2260" s="134" t="str">
        <f t="shared" si="116"/>
        <v/>
      </c>
      <c r="J2260" s="226"/>
    </row>
    <row r="2261" spans="1:10" hidden="1" x14ac:dyDescent="0.25">
      <c r="A2261" s="112" t="s">
        <v>5869</v>
      </c>
      <c r="B2261" s="113" t="s">
        <v>4637</v>
      </c>
      <c r="C2261" s="114" t="s">
        <v>20</v>
      </c>
      <c r="D2261" s="114">
        <v>0</v>
      </c>
      <c r="E2261" s="133" t="s">
        <v>514</v>
      </c>
      <c r="F2261" s="134" t="str">
        <f t="shared" si="114"/>
        <v/>
      </c>
      <c r="G2261" s="135" t="e">
        <f>IF(A2261&lt;&gt;"",IF(AND(#REF!="Padrão",$H$4=#REF!),BDI!$B$17,IF(AND(#REF!="Padrão",$H$4=#REF!),BDI!#REF!,IF(AND(#REF!="Diferenciado",$H$4=#REF!),BDI!$E$17,IF(AND(#REF!="Diferenciado",$H$4=#REF!),BDI!#REF!,IF(#REF!="ZERO",0))))),"")</f>
        <v>#REF!</v>
      </c>
      <c r="H2261" s="136" t="str">
        <f t="shared" si="115"/>
        <v/>
      </c>
      <c r="I2261" s="134" t="str">
        <f t="shared" si="116"/>
        <v/>
      </c>
      <c r="J2261" s="226"/>
    </row>
    <row r="2262" spans="1:10" hidden="1" x14ac:dyDescent="0.25">
      <c r="A2262" s="112" t="s">
        <v>5870</v>
      </c>
      <c r="B2262" s="113" t="s">
        <v>4638</v>
      </c>
      <c r="C2262" s="114" t="s">
        <v>20</v>
      </c>
      <c r="D2262" s="114">
        <v>0</v>
      </c>
      <c r="E2262" s="133" t="s">
        <v>514</v>
      </c>
      <c r="F2262" s="134" t="str">
        <f t="shared" si="114"/>
        <v/>
      </c>
      <c r="G2262" s="135" t="e">
        <f>IF(A2262&lt;&gt;"",IF(AND(#REF!="Padrão",$H$4=#REF!),BDI!$B$17,IF(AND(#REF!="Padrão",$H$4=#REF!),BDI!#REF!,IF(AND(#REF!="Diferenciado",$H$4=#REF!),BDI!$E$17,IF(AND(#REF!="Diferenciado",$H$4=#REF!),BDI!#REF!,IF(#REF!="ZERO",0))))),"")</f>
        <v>#REF!</v>
      </c>
      <c r="H2262" s="136" t="str">
        <f t="shared" si="115"/>
        <v/>
      </c>
      <c r="I2262" s="134" t="str">
        <f t="shared" si="116"/>
        <v/>
      </c>
      <c r="J2262" s="226"/>
    </row>
    <row r="2263" spans="1:10" hidden="1" x14ac:dyDescent="0.25">
      <c r="A2263" s="112" t="s">
        <v>5871</v>
      </c>
      <c r="B2263" s="113" t="s">
        <v>4639</v>
      </c>
      <c r="C2263" s="114" t="s">
        <v>20</v>
      </c>
      <c r="D2263" s="114">
        <v>0</v>
      </c>
      <c r="E2263" s="133" t="s">
        <v>514</v>
      </c>
      <c r="F2263" s="134" t="str">
        <f t="shared" si="114"/>
        <v/>
      </c>
      <c r="G2263" s="135" t="e">
        <f>IF(A2263&lt;&gt;"",IF(AND(#REF!="Padrão",$H$4=#REF!),BDI!$B$17,IF(AND(#REF!="Padrão",$H$4=#REF!),BDI!#REF!,IF(AND(#REF!="Diferenciado",$H$4=#REF!),BDI!$E$17,IF(AND(#REF!="Diferenciado",$H$4=#REF!),BDI!#REF!,IF(#REF!="ZERO",0))))),"")</f>
        <v>#REF!</v>
      </c>
      <c r="H2263" s="136" t="str">
        <f t="shared" si="115"/>
        <v/>
      </c>
      <c r="I2263" s="134" t="str">
        <f t="shared" si="116"/>
        <v/>
      </c>
      <c r="J2263" s="226"/>
    </row>
    <row r="2264" spans="1:10" hidden="1" x14ac:dyDescent="0.25">
      <c r="A2264" s="112" t="s">
        <v>5872</v>
      </c>
      <c r="B2264" s="113" t="s">
        <v>4640</v>
      </c>
      <c r="C2264" s="114" t="s">
        <v>20</v>
      </c>
      <c r="D2264" s="114">
        <v>0</v>
      </c>
      <c r="E2264" s="133" t="s">
        <v>514</v>
      </c>
      <c r="F2264" s="134" t="str">
        <f t="shared" si="114"/>
        <v/>
      </c>
      <c r="G2264" s="135" t="e">
        <f>IF(A2264&lt;&gt;"",IF(AND(#REF!="Padrão",$H$4=#REF!),BDI!$B$17,IF(AND(#REF!="Padrão",$H$4=#REF!),BDI!#REF!,IF(AND(#REF!="Diferenciado",$H$4=#REF!),BDI!$E$17,IF(AND(#REF!="Diferenciado",$H$4=#REF!),BDI!#REF!,IF(#REF!="ZERO",0))))),"")</f>
        <v>#REF!</v>
      </c>
      <c r="H2264" s="136" t="str">
        <f t="shared" si="115"/>
        <v/>
      </c>
      <c r="I2264" s="134" t="str">
        <f t="shared" si="116"/>
        <v/>
      </c>
      <c r="J2264" s="226"/>
    </row>
    <row r="2265" spans="1:10" hidden="1" x14ac:dyDescent="0.25">
      <c r="A2265" s="112" t="s">
        <v>5873</v>
      </c>
      <c r="B2265" s="113" t="s">
        <v>4641</v>
      </c>
      <c r="C2265" s="114" t="s">
        <v>20</v>
      </c>
      <c r="D2265" s="114">
        <v>0</v>
      </c>
      <c r="E2265" s="133" t="s">
        <v>514</v>
      </c>
      <c r="F2265" s="134" t="str">
        <f t="shared" si="114"/>
        <v/>
      </c>
      <c r="G2265" s="135" t="e">
        <f>IF(A2265&lt;&gt;"",IF(AND(#REF!="Padrão",$H$4=#REF!),BDI!$B$17,IF(AND(#REF!="Padrão",$H$4=#REF!),BDI!#REF!,IF(AND(#REF!="Diferenciado",$H$4=#REF!),BDI!$E$17,IF(AND(#REF!="Diferenciado",$H$4=#REF!),BDI!#REF!,IF(#REF!="ZERO",0))))),"")</f>
        <v>#REF!</v>
      </c>
      <c r="H2265" s="136" t="str">
        <f t="shared" si="115"/>
        <v/>
      </c>
      <c r="I2265" s="134" t="str">
        <f t="shared" si="116"/>
        <v/>
      </c>
      <c r="J2265" s="226"/>
    </row>
    <row r="2266" spans="1:10" hidden="1" x14ac:dyDescent="0.25">
      <c r="A2266" s="112" t="s">
        <v>5874</v>
      </c>
      <c r="B2266" s="113" t="s">
        <v>4642</v>
      </c>
      <c r="C2266" s="114" t="s">
        <v>20</v>
      </c>
      <c r="D2266" s="114">
        <v>0</v>
      </c>
      <c r="E2266" s="133" t="s">
        <v>514</v>
      </c>
      <c r="F2266" s="134" t="str">
        <f t="shared" si="114"/>
        <v/>
      </c>
      <c r="G2266" s="135" t="e">
        <f>IF(A2266&lt;&gt;"",IF(AND(#REF!="Padrão",$H$4=#REF!),BDI!$B$17,IF(AND(#REF!="Padrão",$H$4=#REF!),BDI!#REF!,IF(AND(#REF!="Diferenciado",$H$4=#REF!),BDI!$E$17,IF(AND(#REF!="Diferenciado",$H$4=#REF!),BDI!#REF!,IF(#REF!="ZERO",0))))),"")</f>
        <v>#REF!</v>
      </c>
      <c r="H2266" s="136" t="str">
        <f t="shared" si="115"/>
        <v/>
      </c>
      <c r="I2266" s="134" t="str">
        <f t="shared" si="116"/>
        <v/>
      </c>
      <c r="J2266" s="226"/>
    </row>
    <row r="2267" spans="1:10" hidden="1" x14ac:dyDescent="0.25">
      <c r="A2267" s="112" t="s">
        <v>5875</v>
      </c>
      <c r="B2267" s="113" t="s">
        <v>4643</v>
      </c>
      <c r="C2267" s="114" t="s">
        <v>20</v>
      </c>
      <c r="D2267" s="114">
        <v>0</v>
      </c>
      <c r="E2267" s="133" t="s">
        <v>514</v>
      </c>
      <c r="F2267" s="134" t="str">
        <f t="shared" si="114"/>
        <v/>
      </c>
      <c r="G2267" s="135" t="e">
        <f>IF(A2267&lt;&gt;"",IF(AND(#REF!="Padrão",$H$4=#REF!),BDI!$B$17,IF(AND(#REF!="Padrão",$H$4=#REF!),BDI!#REF!,IF(AND(#REF!="Diferenciado",$H$4=#REF!),BDI!$E$17,IF(AND(#REF!="Diferenciado",$H$4=#REF!),BDI!#REF!,IF(#REF!="ZERO",0))))),"")</f>
        <v>#REF!</v>
      </c>
      <c r="H2267" s="136" t="str">
        <f t="shared" si="115"/>
        <v/>
      </c>
      <c r="I2267" s="134" t="str">
        <f t="shared" si="116"/>
        <v/>
      </c>
      <c r="J2267" s="226"/>
    </row>
    <row r="2268" spans="1:10" hidden="1" x14ac:dyDescent="0.25">
      <c r="A2268" s="112" t="s">
        <v>5876</v>
      </c>
      <c r="B2268" s="113" t="s">
        <v>4644</v>
      </c>
      <c r="C2268" s="114" t="s">
        <v>20</v>
      </c>
      <c r="D2268" s="114">
        <v>0</v>
      </c>
      <c r="E2268" s="133" t="s">
        <v>514</v>
      </c>
      <c r="F2268" s="134" t="str">
        <f t="shared" si="114"/>
        <v/>
      </c>
      <c r="G2268" s="135" t="e">
        <f>IF(A2268&lt;&gt;"",IF(AND(#REF!="Padrão",$H$4=#REF!),BDI!$B$17,IF(AND(#REF!="Padrão",$H$4=#REF!),BDI!#REF!,IF(AND(#REF!="Diferenciado",$H$4=#REF!),BDI!$E$17,IF(AND(#REF!="Diferenciado",$H$4=#REF!),BDI!#REF!,IF(#REF!="ZERO",0))))),"")</f>
        <v>#REF!</v>
      </c>
      <c r="H2268" s="136" t="str">
        <f t="shared" si="115"/>
        <v/>
      </c>
      <c r="I2268" s="134" t="str">
        <f t="shared" si="116"/>
        <v/>
      </c>
      <c r="J2268" s="226"/>
    </row>
    <row r="2269" spans="1:10" hidden="1" x14ac:dyDescent="0.25">
      <c r="A2269" s="112" t="s">
        <v>5877</v>
      </c>
      <c r="B2269" s="113" t="s">
        <v>4645</v>
      </c>
      <c r="C2269" s="114" t="s">
        <v>20</v>
      </c>
      <c r="D2269" s="114">
        <v>0</v>
      </c>
      <c r="E2269" s="133" t="s">
        <v>514</v>
      </c>
      <c r="F2269" s="134" t="str">
        <f t="shared" si="114"/>
        <v/>
      </c>
      <c r="G2269" s="135" t="e">
        <f>IF(A2269&lt;&gt;"",IF(AND(#REF!="Padrão",$H$4=#REF!),BDI!$B$17,IF(AND(#REF!="Padrão",$H$4=#REF!),BDI!#REF!,IF(AND(#REF!="Diferenciado",$H$4=#REF!),BDI!$E$17,IF(AND(#REF!="Diferenciado",$H$4=#REF!),BDI!#REF!,IF(#REF!="ZERO",0))))),"")</f>
        <v>#REF!</v>
      </c>
      <c r="H2269" s="136" t="str">
        <f t="shared" si="115"/>
        <v/>
      </c>
      <c r="I2269" s="134" t="str">
        <f t="shared" si="116"/>
        <v/>
      </c>
      <c r="J2269" s="226"/>
    </row>
    <row r="2270" spans="1:10" hidden="1" x14ac:dyDescent="0.25">
      <c r="A2270" s="112" t="s">
        <v>5878</v>
      </c>
      <c r="B2270" s="113" t="s">
        <v>4646</v>
      </c>
      <c r="C2270" s="114" t="s">
        <v>20</v>
      </c>
      <c r="D2270" s="114">
        <v>0</v>
      </c>
      <c r="E2270" s="133" t="s">
        <v>514</v>
      </c>
      <c r="F2270" s="134" t="str">
        <f t="shared" si="114"/>
        <v/>
      </c>
      <c r="G2270" s="135" t="e">
        <f>IF(A2270&lt;&gt;"",IF(AND(#REF!="Padrão",$H$4=#REF!),BDI!$B$17,IF(AND(#REF!="Padrão",$H$4=#REF!),BDI!#REF!,IF(AND(#REF!="Diferenciado",$H$4=#REF!),BDI!$E$17,IF(AND(#REF!="Diferenciado",$H$4=#REF!),BDI!#REF!,IF(#REF!="ZERO",0))))),"")</f>
        <v>#REF!</v>
      </c>
      <c r="H2270" s="136" t="str">
        <f t="shared" si="115"/>
        <v/>
      </c>
      <c r="I2270" s="134" t="str">
        <f t="shared" si="116"/>
        <v/>
      </c>
      <c r="J2270" s="226"/>
    </row>
    <row r="2271" spans="1:10" hidden="1" x14ac:dyDescent="0.25">
      <c r="A2271" s="112" t="s">
        <v>5879</v>
      </c>
      <c r="B2271" s="113" t="s">
        <v>4647</v>
      </c>
      <c r="C2271" s="114" t="s">
        <v>20</v>
      </c>
      <c r="D2271" s="114">
        <v>0</v>
      </c>
      <c r="E2271" s="133" t="s">
        <v>514</v>
      </c>
      <c r="F2271" s="134" t="str">
        <f t="shared" si="114"/>
        <v/>
      </c>
      <c r="G2271" s="135" t="e">
        <f>IF(A2271&lt;&gt;"",IF(AND(#REF!="Padrão",$H$4=#REF!),BDI!$B$17,IF(AND(#REF!="Padrão",$H$4=#REF!),BDI!#REF!,IF(AND(#REF!="Diferenciado",$H$4=#REF!),BDI!$E$17,IF(AND(#REF!="Diferenciado",$H$4=#REF!),BDI!#REF!,IF(#REF!="ZERO",0))))),"")</f>
        <v>#REF!</v>
      </c>
      <c r="H2271" s="136" t="str">
        <f t="shared" si="115"/>
        <v/>
      </c>
      <c r="I2271" s="134" t="str">
        <f t="shared" si="116"/>
        <v/>
      </c>
      <c r="J2271" s="226"/>
    </row>
    <row r="2272" spans="1:10" hidden="1" x14ac:dyDescent="0.25">
      <c r="A2272" s="112" t="s">
        <v>5880</v>
      </c>
      <c r="B2272" s="113" t="s">
        <v>4648</v>
      </c>
      <c r="C2272" s="114" t="s">
        <v>20</v>
      </c>
      <c r="D2272" s="114">
        <v>0</v>
      </c>
      <c r="E2272" s="133" t="s">
        <v>514</v>
      </c>
      <c r="F2272" s="134" t="str">
        <f t="shared" si="114"/>
        <v/>
      </c>
      <c r="G2272" s="135" t="e">
        <f>IF(A2272&lt;&gt;"",IF(AND(#REF!="Padrão",$H$4=#REF!),BDI!$B$17,IF(AND(#REF!="Padrão",$H$4=#REF!),BDI!#REF!,IF(AND(#REF!="Diferenciado",$H$4=#REF!),BDI!$E$17,IF(AND(#REF!="Diferenciado",$H$4=#REF!),BDI!#REF!,IF(#REF!="ZERO",0))))),"")</f>
        <v>#REF!</v>
      </c>
      <c r="H2272" s="136" t="str">
        <f t="shared" si="115"/>
        <v/>
      </c>
      <c r="I2272" s="134" t="str">
        <f t="shared" si="116"/>
        <v/>
      </c>
      <c r="J2272" s="226"/>
    </row>
    <row r="2273" spans="1:10" hidden="1" x14ac:dyDescent="0.25">
      <c r="A2273" s="112" t="s">
        <v>5881</v>
      </c>
      <c r="B2273" s="113" t="s">
        <v>4649</v>
      </c>
      <c r="C2273" s="114" t="s">
        <v>20</v>
      </c>
      <c r="D2273" s="114">
        <v>0</v>
      </c>
      <c r="E2273" s="133" t="s">
        <v>514</v>
      </c>
      <c r="F2273" s="134" t="str">
        <f t="shared" si="114"/>
        <v/>
      </c>
      <c r="G2273" s="135" t="e">
        <f>IF(A2273&lt;&gt;"",IF(AND(#REF!="Padrão",$H$4=#REF!),BDI!$B$17,IF(AND(#REF!="Padrão",$H$4=#REF!),BDI!#REF!,IF(AND(#REF!="Diferenciado",$H$4=#REF!),BDI!$E$17,IF(AND(#REF!="Diferenciado",$H$4=#REF!),BDI!#REF!,IF(#REF!="ZERO",0))))),"")</f>
        <v>#REF!</v>
      </c>
      <c r="H2273" s="136" t="str">
        <f t="shared" si="115"/>
        <v/>
      </c>
      <c r="I2273" s="134" t="str">
        <f t="shared" si="116"/>
        <v/>
      </c>
      <c r="J2273" s="226"/>
    </row>
    <row r="2274" spans="1:10" hidden="1" x14ac:dyDescent="0.25">
      <c r="A2274" s="112" t="s">
        <v>5882</v>
      </c>
      <c r="B2274" s="113" t="s">
        <v>4650</v>
      </c>
      <c r="C2274" s="114" t="s">
        <v>20</v>
      </c>
      <c r="D2274" s="114">
        <v>0</v>
      </c>
      <c r="E2274" s="133" t="s">
        <v>514</v>
      </c>
      <c r="F2274" s="134" t="str">
        <f t="shared" si="114"/>
        <v/>
      </c>
      <c r="G2274" s="135" t="e">
        <f>IF(A2274&lt;&gt;"",IF(AND(#REF!="Padrão",$H$4=#REF!),BDI!$B$17,IF(AND(#REF!="Padrão",$H$4=#REF!),BDI!#REF!,IF(AND(#REF!="Diferenciado",$H$4=#REF!),BDI!$E$17,IF(AND(#REF!="Diferenciado",$H$4=#REF!),BDI!#REF!,IF(#REF!="ZERO",0))))),"")</f>
        <v>#REF!</v>
      </c>
      <c r="H2274" s="136" t="str">
        <f t="shared" si="115"/>
        <v/>
      </c>
      <c r="I2274" s="134" t="str">
        <f t="shared" si="116"/>
        <v/>
      </c>
      <c r="J2274" s="226"/>
    </row>
    <row r="2275" spans="1:10" hidden="1" x14ac:dyDescent="0.25">
      <c r="A2275" s="112" t="s">
        <v>5883</v>
      </c>
      <c r="B2275" s="113" t="s">
        <v>4651</v>
      </c>
      <c r="C2275" s="114" t="s">
        <v>20</v>
      </c>
      <c r="D2275" s="114">
        <v>0</v>
      </c>
      <c r="E2275" s="133" t="s">
        <v>514</v>
      </c>
      <c r="F2275" s="134" t="str">
        <f t="shared" si="114"/>
        <v/>
      </c>
      <c r="G2275" s="135" t="e">
        <f>IF(A2275&lt;&gt;"",IF(AND(#REF!="Padrão",$H$4=#REF!),BDI!$B$17,IF(AND(#REF!="Padrão",$H$4=#REF!),BDI!#REF!,IF(AND(#REF!="Diferenciado",$H$4=#REF!),BDI!$E$17,IF(AND(#REF!="Diferenciado",$H$4=#REF!),BDI!#REF!,IF(#REF!="ZERO",0))))),"")</f>
        <v>#REF!</v>
      </c>
      <c r="H2275" s="136" t="str">
        <f t="shared" si="115"/>
        <v/>
      </c>
      <c r="I2275" s="134" t="str">
        <f t="shared" si="116"/>
        <v/>
      </c>
      <c r="J2275" s="226"/>
    </row>
    <row r="2276" spans="1:10" hidden="1" x14ac:dyDescent="0.25">
      <c r="A2276" s="112" t="s">
        <v>5884</v>
      </c>
      <c r="B2276" s="113" t="s">
        <v>4652</v>
      </c>
      <c r="C2276" s="114" t="s">
        <v>20</v>
      </c>
      <c r="D2276" s="114">
        <v>0</v>
      </c>
      <c r="E2276" s="133" t="s">
        <v>514</v>
      </c>
      <c r="F2276" s="134" t="str">
        <f t="shared" si="114"/>
        <v/>
      </c>
      <c r="G2276" s="135" t="e">
        <f>IF(A2276&lt;&gt;"",IF(AND(#REF!="Padrão",$H$4=#REF!),BDI!$B$17,IF(AND(#REF!="Padrão",$H$4=#REF!),BDI!#REF!,IF(AND(#REF!="Diferenciado",$H$4=#REF!),BDI!$E$17,IF(AND(#REF!="Diferenciado",$H$4=#REF!),BDI!#REF!,IF(#REF!="ZERO",0))))),"")</f>
        <v>#REF!</v>
      </c>
      <c r="H2276" s="136" t="str">
        <f t="shared" si="115"/>
        <v/>
      </c>
      <c r="I2276" s="134" t="str">
        <f t="shared" si="116"/>
        <v/>
      </c>
      <c r="J2276" s="226"/>
    </row>
    <row r="2277" spans="1:10" hidden="1" x14ac:dyDescent="0.25">
      <c r="A2277" s="112" t="s">
        <v>5885</v>
      </c>
      <c r="B2277" s="113" t="s">
        <v>4653</v>
      </c>
      <c r="C2277" s="114" t="s">
        <v>20</v>
      </c>
      <c r="D2277" s="114">
        <v>0</v>
      </c>
      <c r="E2277" s="133" t="s">
        <v>514</v>
      </c>
      <c r="F2277" s="134" t="str">
        <f t="shared" si="114"/>
        <v/>
      </c>
      <c r="G2277" s="135" t="e">
        <f>IF(A2277&lt;&gt;"",IF(AND(#REF!="Padrão",$H$4=#REF!),BDI!$B$17,IF(AND(#REF!="Padrão",$H$4=#REF!),BDI!#REF!,IF(AND(#REF!="Diferenciado",$H$4=#REF!),BDI!$E$17,IF(AND(#REF!="Diferenciado",$H$4=#REF!),BDI!#REF!,IF(#REF!="ZERO",0))))),"")</f>
        <v>#REF!</v>
      </c>
      <c r="H2277" s="136" t="str">
        <f t="shared" si="115"/>
        <v/>
      </c>
      <c r="I2277" s="134" t="str">
        <f t="shared" si="116"/>
        <v/>
      </c>
      <c r="J2277" s="226"/>
    </row>
    <row r="2278" spans="1:10" hidden="1" x14ac:dyDescent="0.25">
      <c r="A2278" s="112" t="s">
        <v>5886</v>
      </c>
      <c r="B2278" s="113" t="s">
        <v>4654</v>
      </c>
      <c r="C2278" s="114" t="s">
        <v>20</v>
      </c>
      <c r="D2278" s="114">
        <v>0</v>
      </c>
      <c r="E2278" s="133" t="s">
        <v>514</v>
      </c>
      <c r="F2278" s="134" t="str">
        <f t="shared" si="114"/>
        <v/>
      </c>
      <c r="G2278" s="135" t="e">
        <f>IF(A2278&lt;&gt;"",IF(AND(#REF!="Padrão",$H$4=#REF!),BDI!$B$17,IF(AND(#REF!="Padrão",$H$4=#REF!),BDI!#REF!,IF(AND(#REF!="Diferenciado",$H$4=#REF!),BDI!$E$17,IF(AND(#REF!="Diferenciado",$H$4=#REF!),BDI!#REF!,IF(#REF!="ZERO",0))))),"")</f>
        <v>#REF!</v>
      </c>
      <c r="H2278" s="136" t="str">
        <f t="shared" si="115"/>
        <v/>
      </c>
      <c r="I2278" s="134" t="str">
        <f t="shared" si="116"/>
        <v/>
      </c>
      <c r="J2278" s="226"/>
    </row>
    <row r="2279" spans="1:10" hidden="1" x14ac:dyDescent="0.25">
      <c r="A2279" s="112" t="s">
        <v>5887</v>
      </c>
      <c r="B2279" s="113" t="s">
        <v>4655</v>
      </c>
      <c r="C2279" s="114" t="s">
        <v>20</v>
      </c>
      <c r="D2279" s="114">
        <v>0</v>
      </c>
      <c r="E2279" s="133" t="s">
        <v>514</v>
      </c>
      <c r="F2279" s="134" t="str">
        <f t="shared" si="114"/>
        <v/>
      </c>
      <c r="G2279" s="135" t="e">
        <f>IF(A2279&lt;&gt;"",IF(AND(#REF!="Padrão",$H$4=#REF!),BDI!$B$17,IF(AND(#REF!="Padrão",$H$4=#REF!),BDI!#REF!,IF(AND(#REF!="Diferenciado",$H$4=#REF!),BDI!$E$17,IF(AND(#REF!="Diferenciado",$H$4=#REF!),BDI!#REF!,IF(#REF!="ZERO",0))))),"")</f>
        <v>#REF!</v>
      </c>
      <c r="H2279" s="136" t="str">
        <f t="shared" si="115"/>
        <v/>
      </c>
      <c r="I2279" s="134" t="str">
        <f t="shared" si="116"/>
        <v/>
      </c>
      <c r="J2279" s="226"/>
    </row>
    <row r="2280" spans="1:10" hidden="1" x14ac:dyDescent="0.25">
      <c r="A2280" s="112" t="s">
        <v>5888</v>
      </c>
      <c r="B2280" s="113" t="s">
        <v>4656</v>
      </c>
      <c r="C2280" s="114" t="s">
        <v>20</v>
      </c>
      <c r="D2280" s="114">
        <v>0</v>
      </c>
      <c r="E2280" s="133" t="s">
        <v>514</v>
      </c>
      <c r="F2280" s="134" t="str">
        <f t="shared" si="114"/>
        <v/>
      </c>
      <c r="G2280" s="135" t="e">
        <f>IF(A2280&lt;&gt;"",IF(AND(#REF!="Padrão",$H$4=#REF!),BDI!$B$17,IF(AND(#REF!="Padrão",$H$4=#REF!),BDI!#REF!,IF(AND(#REF!="Diferenciado",$H$4=#REF!),BDI!$E$17,IF(AND(#REF!="Diferenciado",$H$4=#REF!),BDI!#REF!,IF(#REF!="ZERO",0))))),"")</f>
        <v>#REF!</v>
      </c>
      <c r="H2280" s="136" t="str">
        <f t="shared" si="115"/>
        <v/>
      </c>
      <c r="I2280" s="134" t="str">
        <f t="shared" si="116"/>
        <v/>
      </c>
      <c r="J2280" s="226"/>
    </row>
    <row r="2281" spans="1:10" hidden="1" x14ac:dyDescent="0.25">
      <c r="A2281" s="112" t="s">
        <v>5889</v>
      </c>
      <c r="B2281" s="113" t="s">
        <v>4657</v>
      </c>
      <c r="C2281" s="114" t="s">
        <v>20</v>
      </c>
      <c r="D2281" s="114">
        <v>0</v>
      </c>
      <c r="E2281" s="133" t="s">
        <v>514</v>
      </c>
      <c r="F2281" s="134" t="str">
        <f t="shared" si="114"/>
        <v/>
      </c>
      <c r="G2281" s="135" t="e">
        <f>IF(A2281&lt;&gt;"",IF(AND(#REF!="Padrão",$H$4=#REF!),BDI!$B$17,IF(AND(#REF!="Padrão",$H$4=#REF!),BDI!#REF!,IF(AND(#REF!="Diferenciado",$H$4=#REF!),BDI!$E$17,IF(AND(#REF!="Diferenciado",$H$4=#REF!),BDI!#REF!,IF(#REF!="ZERO",0))))),"")</f>
        <v>#REF!</v>
      </c>
      <c r="H2281" s="136" t="str">
        <f t="shared" si="115"/>
        <v/>
      </c>
      <c r="I2281" s="134" t="str">
        <f t="shared" si="116"/>
        <v/>
      </c>
      <c r="J2281" s="226"/>
    </row>
    <row r="2282" spans="1:10" hidden="1" x14ac:dyDescent="0.25">
      <c r="A2282" s="112" t="s">
        <v>5890</v>
      </c>
      <c r="B2282" s="113" t="s">
        <v>4658</v>
      </c>
      <c r="C2282" s="114" t="s">
        <v>20</v>
      </c>
      <c r="D2282" s="114">
        <v>0</v>
      </c>
      <c r="E2282" s="133" t="s">
        <v>514</v>
      </c>
      <c r="F2282" s="134" t="str">
        <f t="shared" si="114"/>
        <v/>
      </c>
      <c r="G2282" s="135" t="e">
        <f>IF(A2282&lt;&gt;"",IF(AND(#REF!="Padrão",$H$4=#REF!),BDI!$B$17,IF(AND(#REF!="Padrão",$H$4=#REF!),BDI!#REF!,IF(AND(#REF!="Diferenciado",$H$4=#REF!),BDI!$E$17,IF(AND(#REF!="Diferenciado",$H$4=#REF!),BDI!#REF!,IF(#REF!="ZERO",0))))),"")</f>
        <v>#REF!</v>
      </c>
      <c r="H2282" s="136" t="str">
        <f t="shared" si="115"/>
        <v/>
      </c>
      <c r="I2282" s="134" t="str">
        <f t="shared" si="116"/>
        <v/>
      </c>
      <c r="J2282" s="226"/>
    </row>
    <row r="2283" spans="1:10" hidden="1" x14ac:dyDescent="0.25">
      <c r="A2283" s="112" t="s">
        <v>5891</v>
      </c>
      <c r="B2283" s="113" t="s">
        <v>4659</v>
      </c>
      <c r="C2283" s="114" t="s">
        <v>20</v>
      </c>
      <c r="D2283" s="114">
        <v>0</v>
      </c>
      <c r="E2283" s="133" t="s">
        <v>514</v>
      </c>
      <c r="F2283" s="134" t="str">
        <f t="shared" si="114"/>
        <v/>
      </c>
      <c r="G2283" s="135" t="e">
        <f>IF(A2283&lt;&gt;"",IF(AND(#REF!="Padrão",$H$4=#REF!),BDI!$B$17,IF(AND(#REF!="Padrão",$H$4=#REF!),BDI!#REF!,IF(AND(#REF!="Diferenciado",$H$4=#REF!),BDI!$E$17,IF(AND(#REF!="Diferenciado",$H$4=#REF!),BDI!#REF!,IF(#REF!="ZERO",0))))),"")</f>
        <v>#REF!</v>
      </c>
      <c r="H2283" s="136" t="str">
        <f t="shared" si="115"/>
        <v/>
      </c>
      <c r="I2283" s="134" t="str">
        <f t="shared" si="116"/>
        <v/>
      </c>
      <c r="J2283" s="226"/>
    </row>
    <row r="2284" spans="1:10" hidden="1" x14ac:dyDescent="0.25">
      <c r="A2284" s="112" t="s">
        <v>5892</v>
      </c>
      <c r="B2284" s="113" t="s">
        <v>4660</v>
      </c>
      <c r="C2284" s="114" t="s">
        <v>6241</v>
      </c>
      <c r="D2284" s="114">
        <v>0</v>
      </c>
      <c r="E2284" s="133" t="s">
        <v>514</v>
      </c>
      <c r="F2284" s="134" t="str">
        <f t="shared" si="114"/>
        <v/>
      </c>
      <c r="G2284" s="135" t="e">
        <f>IF(A2284&lt;&gt;"",IF(AND(#REF!="Padrão",$H$4=#REF!),BDI!$B$17,IF(AND(#REF!="Padrão",$H$4=#REF!),BDI!#REF!,IF(AND(#REF!="Diferenciado",$H$4=#REF!),BDI!$E$17,IF(AND(#REF!="Diferenciado",$H$4=#REF!),BDI!#REF!,IF(#REF!="ZERO",0))))),"")</f>
        <v>#REF!</v>
      </c>
      <c r="H2284" s="136" t="str">
        <f t="shared" si="115"/>
        <v/>
      </c>
      <c r="I2284" s="134" t="str">
        <f t="shared" si="116"/>
        <v/>
      </c>
      <c r="J2284" s="226"/>
    </row>
    <row r="2285" spans="1:10" hidden="1" x14ac:dyDescent="0.25">
      <c r="A2285" s="112" t="s">
        <v>5893</v>
      </c>
      <c r="B2285" s="113" t="s">
        <v>4661</v>
      </c>
      <c r="C2285" s="114" t="s">
        <v>20</v>
      </c>
      <c r="D2285" s="114">
        <v>0</v>
      </c>
      <c r="E2285" s="133" t="s">
        <v>514</v>
      </c>
      <c r="F2285" s="134" t="str">
        <f t="shared" ref="F2285:F2348" si="117">IF(ISNUMBER(E2285),D2285*E2285,"")</f>
        <v/>
      </c>
      <c r="G2285" s="135" t="e">
        <f>IF(A2285&lt;&gt;"",IF(AND(#REF!="Padrão",$H$4=#REF!),BDI!$B$17,IF(AND(#REF!="Padrão",$H$4=#REF!),BDI!#REF!,IF(AND(#REF!="Diferenciado",$H$4=#REF!),BDI!$E$17,IF(AND(#REF!="Diferenciado",$H$4=#REF!),BDI!#REF!,IF(#REF!="ZERO",0))))),"")</f>
        <v>#REF!</v>
      </c>
      <c r="H2285" s="136" t="str">
        <f t="shared" ref="H2285:H2348" si="118">IF(ISNUMBER(E2285),ROUND(E2285*(1+G2285),2),"")</f>
        <v/>
      </c>
      <c r="I2285" s="134" t="str">
        <f t="shared" ref="I2285:I2348" si="119">IF(ISNUMBER(E2285),ROUND(H2285*D2285,2),"")</f>
        <v/>
      </c>
      <c r="J2285" s="226"/>
    </row>
    <row r="2286" spans="1:10" hidden="1" x14ac:dyDescent="0.25">
      <c r="A2286" s="112" t="s">
        <v>5894</v>
      </c>
      <c r="B2286" s="113" t="s">
        <v>4662</v>
      </c>
      <c r="C2286" s="114" t="s">
        <v>20</v>
      </c>
      <c r="D2286" s="114">
        <v>0</v>
      </c>
      <c r="E2286" s="133" t="s">
        <v>514</v>
      </c>
      <c r="F2286" s="134" t="str">
        <f t="shared" si="117"/>
        <v/>
      </c>
      <c r="G2286" s="135" t="e">
        <f>IF(A2286&lt;&gt;"",IF(AND(#REF!="Padrão",$H$4=#REF!),BDI!$B$17,IF(AND(#REF!="Padrão",$H$4=#REF!),BDI!#REF!,IF(AND(#REF!="Diferenciado",$H$4=#REF!),BDI!$E$17,IF(AND(#REF!="Diferenciado",$H$4=#REF!),BDI!#REF!,IF(#REF!="ZERO",0))))),"")</f>
        <v>#REF!</v>
      </c>
      <c r="H2286" s="136" t="str">
        <f t="shared" si="118"/>
        <v/>
      </c>
      <c r="I2286" s="134" t="str">
        <f t="shared" si="119"/>
        <v/>
      </c>
      <c r="J2286" s="226"/>
    </row>
    <row r="2287" spans="1:10" hidden="1" x14ac:dyDescent="0.25">
      <c r="A2287" s="112" t="s">
        <v>5895</v>
      </c>
      <c r="B2287" s="113" t="s">
        <v>4663</v>
      </c>
      <c r="C2287" s="114" t="s">
        <v>20</v>
      </c>
      <c r="D2287" s="114">
        <v>0</v>
      </c>
      <c r="E2287" s="133" t="s">
        <v>514</v>
      </c>
      <c r="F2287" s="134" t="str">
        <f t="shared" si="117"/>
        <v/>
      </c>
      <c r="G2287" s="135" t="e">
        <f>IF(A2287&lt;&gt;"",IF(AND(#REF!="Padrão",$H$4=#REF!),BDI!$B$17,IF(AND(#REF!="Padrão",$H$4=#REF!),BDI!#REF!,IF(AND(#REF!="Diferenciado",$H$4=#REF!),BDI!$E$17,IF(AND(#REF!="Diferenciado",$H$4=#REF!),BDI!#REF!,IF(#REF!="ZERO",0))))),"")</f>
        <v>#REF!</v>
      </c>
      <c r="H2287" s="136" t="str">
        <f t="shared" si="118"/>
        <v/>
      </c>
      <c r="I2287" s="134" t="str">
        <f t="shared" si="119"/>
        <v/>
      </c>
      <c r="J2287" s="226"/>
    </row>
    <row r="2288" spans="1:10" hidden="1" x14ac:dyDescent="0.25">
      <c r="A2288" s="112" t="s">
        <v>5896</v>
      </c>
      <c r="B2288" s="113" t="s">
        <v>4664</v>
      </c>
      <c r="C2288" s="114" t="s">
        <v>20</v>
      </c>
      <c r="D2288" s="114">
        <v>0</v>
      </c>
      <c r="E2288" s="133" t="s">
        <v>514</v>
      </c>
      <c r="F2288" s="134" t="str">
        <f t="shared" si="117"/>
        <v/>
      </c>
      <c r="G2288" s="135" t="e">
        <f>IF(A2288&lt;&gt;"",IF(AND(#REF!="Padrão",$H$4=#REF!),BDI!$B$17,IF(AND(#REF!="Padrão",$H$4=#REF!),BDI!#REF!,IF(AND(#REF!="Diferenciado",$H$4=#REF!),BDI!$E$17,IF(AND(#REF!="Diferenciado",$H$4=#REF!),BDI!#REF!,IF(#REF!="ZERO",0))))),"")</f>
        <v>#REF!</v>
      </c>
      <c r="H2288" s="136" t="str">
        <f t="shared" si="118"/>
        <v/>
      </c>
      <c r="I2288" s="134" t="str">
        <f t="shared" si="119"/>
        <v/>
      </c>
      <c r="J2288" s="226"/>
    </row>
    <row r="2289" spans="1:10" hidden="1" x14ac:dyDescent="0.25">
      <c r="A2289" s="112" t="s">
        <v>5897</v>
      </c>
      <c r="B2289" s="113" t="s">
        <v>4665</v>
      </c>
      <c r="C2289" s="114" t="s">
        <v>20</v>
      </c>
      <c r="D2289" s="114">
        <v>0</v>
      </c>
      <c r="E2289" s="133" t="s">
        <v>514</v>
      </c>
      <c r="F2289" s="134" t="str">
        <f t="shared" si="117"/>
        <v/>
      </c>
      <c r="G2289" s="135" t="e">
        <f>IF(A2289&lt;&gt;"",IF(AND(#REF!="Padrão",$H$4=#REF!),BDI!$B$17,IF(AND(#REF!="Padrão",$H$4=#REF!),BDI!#REF!,IF(AND(#REF!="Diferenciado",$H$4=#REF!),BDI!$E$17,IF(AND(#REF!="Diferenciado",$H$4=#REF!),BDI!#REF!,IF(#REF!="ZERO",0))))),"")</f>
        <v>#REF!</v>
      </c>
      <c r="H2289" s="136" t="str">
        <f t="shared" si="118"/>
        <v/>
      </c>
      <c r="I2289" s="134" t="str">
        <f t="shared" si="119"/>
        <v/>
      </c>
      <c r="J2289" s="226"/>
    </row>
    <row r="2290" spans="1:10" hidden="1" x14ac:dyDescent="0.25">
      <c r="A2290" s="112" t="s">
        <v>5898</v>
      </c>
      <c r="B2290" s="113" t="s">
        <v>4666</v>
      </c>
      <c r="C2290" s="114" t="s">
        <v>20</v>
      </c>
      <c r="D2290" s="114">
        <v>0</v>
      </c>
      <c r="E2290" s="133">
        <f ca="1">OFFSET(INDEX(Composições!A:J,MATCH(Orçamentária!A2290,Composições!A:A,0),8),2,0)</f>
        <v>54.406500000000001</v>
      </c>
      <c r="F2290" s="134">
        <f t="shared" ca="1" si="117"/>
        <v>0</v>
      </c>
      <c r="G2290" s="135" t="e">
        <f>IF(A2290&lt;&gt;"",IF(AND(#REF!="Padrão",$H$4=#REF!),BDI!$B$17,IF(AND(#REF!="Padrão",$H$4=#REF!),BDI!#REF!,IF(AND(#REF!="Diferenciado",$H$4=#REF!),BDI!$E$17,IF(AND(#REF!="Diferenciado",$H$4=#REF!),BDI!#REF!,IF(#REF!="ZERO",0))))),"")</f>
        <v>#REF!</v>
      </c>
      <c r="H2290" s="136" t="e">
        <f t="shared" ca="1" si="118"/>
        <v>#REF!</v>
      </c>
      <c r="I2290" s="134" t="e">
        <f t="shared" ca="1" si="119"/>
        <v>#REF!</v>
      </c>
      <c r="J2290" s="226"/>
    </row>
    <row r="2291" spans="1:10" hidden="1" x14ac:dyDescent="0.25">
      <c r="A2291" s="112" t="s">
        <v>5899</v>
      </c>
      <c r="B2291" s="113" t="s">
        <v>4667</v>
      </c>
      <c r="C2291" s="114" t="s">
        <v>20</v>
      </c>
      <c r="D2291" s="114">
        <v>0</v>
      </c>
      <c r="E2291" s="133" t="s">
        <v>514</v>
      </c>
      <c r="F2291" s="134" t="str">
        <f t="shared" si="117"/>
        <v/>
      </c>
      <c r="G2291" s="135" t="e">
        <f>IF(A2291&lt;&gt;"",IF(AND(#REF!="Padrão",$H$4=#REF!),BDI!$B$17,IF(AND(#REF!="Padrão",$H$4=#REF!),BDI!#REF!,IF(AND(#REF!="Diferenciado",$H$4=#REF!),BDI!$E$17,IF(AND(#REF!="Diferenciado",$H$4=#REF!),BDI!#REF!,IF(#REF!="ZERO",0))))),"")</f>
        <v>#REF!</v>
      </c>
      <c r="H2291" s="136" t="str">
        <f t="shared" si="118"/>
        <v/>
      </c>
      <c r="I2291" s="134" t="str">
        <f t="shared" si="119"/>
        <v/>
      </c>
      <c r="J2291" s="226"/>
    </row>
    <row r="2292" spans="1:10" hidden="1" x14ac:dyDescent="0.25">
      <c r="A2292" s="112" t="s">
        <v>5900</v>
      </c>
      <c r="B2292" s="113" t="s">
        <v>4668</v>
      </c>
      <c r="C2292" s="114" t="s">
        <v>20</v>
      </c>
      <c r="D2292" s="114">
        <v>0</v>
      </c>
      <c r="E2292" s="133" t="s">
        <v>514</v>
      </c>
      <c r="F2292" s="134" t="str">
        <f t="shared" si="117"/>
        <v/>
      </c>
      <c r="G2292" s="135" t="e">
        <f>IF(A2292&lt;&gt;"",IF(AND(#REF!="Padrão",$H$4=#REF!),BDI!$B$17,IF(AND(#REF!="Padrão",$H$4=#REF!),BDI!#REF!,IF(AND(#REF!="Diferenciado",$H$4=#REF!),BDI!$E$17,IF(AND(#REF!="Diferenciado",$H$4=#REF!),BDI!#REF!,IF(#REF!="ZERO",0))))),"")</f>
        <v>#REF!</v>
      </c>
      <c r="H2292" s="136" t="str">
        <f t="shared" si="118"/>
        <v/>
      </c>
      <c r="I2292" s="134" t="str">
        <f t="shared" si="119"/>
        <v/>
      </c>
      <c r="J2292" s="226"/>
    </row>
    <row r="2293" spans="1:10" hidden="1" x14ac:dyDescent="0.25">
      <c r="A2293" s="112" t="s">
        <v>5901</v>
      </c>
      <c r="B2293" s="113" t="s">
        <v>4669</v>
      </c>
      <c r="C2293" s="114" t="s">
        <v>20</v>
      </c>
      <c r="D2293" s="114">
        <v>0</v>
      </c>
      <c r="E2293" s="133" t="s">
        <v>514</v>
      </c>
      <c r="F2293" s="134" t="str">
        <f t="shared" si="117"/>
        <v/>
      </c>
      <c r="G2293" s="135" t="e">
        <f>IF(A2293&lt;&gt;"",IF(AND(#REF!="Padrão",$H$4=#REF!),BDI!$B$17,IF(AND(#REF!="Padrão",$H$4=#REF!),BDI!#REF!,IF(AND(#REF!="Diferenciado",$H$4=#REF!),BDI!$E$17,IF(AND(#REF!="Diferenciado",$H$4=#REF!),BDI!#REF!,IF(#REF!="ZERO",0))))),"")</f>
        <v>#REF!</v>
      </c>
      <c r="H2293" s="136" t="str">
        <f t="shared" si="118"/>
        <v/>
      </c>
      <c r="I2293" s="134" t="str">
        <f t="shared" si="119"/>
        <v/>
      </c>
      <c r="J2293" s="226"/>
    </row>
    <row r="2294" spans="1:10" hidden="1" x14ac:dyDescent="0.25">
      <c r="A2294" s="112" t="s">
        <v>5902</v>
      </c>
      <c r="B2294" s="113" t="s">
        <v>4670</v>
      </c>
      <c r="C2294" s="114" t="s">
        <v>92</v>
      </c>
      <c r="D2294" s="114">
        <v>0</v>
      </c>
      <c r="E2294" s="133" t="s">
        <v>514</v>
      </c>
      <c r="F2294" s="134" t="str">
        <f t="shared" si="117"/>
        <v/>
      </c>
      <c r="G2294" s="135" t="e">
        <f>IF(A2294&lt;&gt;"",IF(AND(#REF!="Padrão",$H$4=#REF!),BDI!$B$17,IF(AND(#REF!="Padrão",$H$4=#REF!),BDI!#REF!,IF(AND(#REF!="Diferenciado",$H$4=#REF!),BDI!$E$17,IF(AND(#REF!="Diferenciado",$H$4=#REF!),BDI!#REF!,IF(#REF!="ZERO",0))))),"")</f>
        <v>#REF!</v>
      </c>
      <c r="H2294" s="136" t="str">
        <f t="shared" si="118"/>
        <v/>
      </c>
      <c r="I2294" s="134" t="str">
        <f t="shared" si="119"/>
        <v/>
      </c>
      <c r="J2294" s="226"/>
    </row>
    <row r="2295" spans="1:10" hidden="1" x14ac:dyDescent="0.25">
      <c r="A2295" s="112" t="s">
        <v>5903</v>
      </c>
      <c r="B2295" s="113" t="s">
        <v>4671</v>
      </c>
      <c r="C2295" s="114" t="s">
        <v>20</v>
      </c>
      <c r="D2295" s="114">
        <v>0</v>
      </c>
      <c r="E2295" s="133">
        <f ca="1">OFFSET(INDEX(Composições!A:J,MATCH(Orçamentária!A2295,Composições!A:A,0),8),2,0)</f>
        <v>97.66</v>
      </c>
      <c r="F2295" s="134">
        <f t="shared" ca="1" si="117"/>
        <v>0</v>
      </c>
      <c r="G2295" s="135" t="e">
        <f>IF(A2295&lt;&gt;"",IF(AND(#REF!="Padrão",$H$4=#REF!),BDI!$B$17,IF(AND(#REF!="Padrão",$H$4=#REF!),BDI!#REF!,IF(AND(#REF!="Diferenciado",$H$4=#REF!),BDI!$E$17,IF(AND(#REF!="Diferenciado",$H$4=#REF!),BDI!#REF!,IF(#REF!="ZERO",0))))),"")</f>
        <v>#REF!</v>
      </c>
      <c r="H2295" s="136" t="e">
        <f t="shared" ca="1" si="118"/>
        <v>#REF!</v>
      </c>
      <c r="I2295" s="134" t="e">
        <f t="shared" ca="1" si="119"/>
        <v>#REF!</v>
      </c>
      <c r="J2295" s="226"/>
    </row>
    <row r="2296" spans="1:10" hidden="1" x14ac:dyDescent="0.25">
      <c r="A2296" s="112" t="s">
        <v>5904</v>
      </c>
      <c r="B2296" s="113" t="s">
        <v>4672</v>
      </c>
      <c r="C2296" s="114" t="s">
        <v>20</v>
      </c>
      <c r="D2296" s="114">
        <v>0</v>
      </c>
      <c r="E2296" s="133" t="s">
        <v>514</v>
      </c>
      <c r="F2296" s="134" t="str">
        <f t="shared" si="117"/>
        <v/>
      </c>
      <c r="G2296" s="135" t="e">
        <f>IF(A2296&lt;&gt;"",IF(AND(#REF!="Padrão",$H$4=#REF!),BDI!$B$17,IF(AND(#REF!="Padrão",$H$4=#REF!),BDI!#REF!,IF(AND(#REF!="Diferenciado",$H$4=#REF!),BDI!$E$17,IF(AND(#REF!="Diferenciado",$H$4=#REF!),BDI!#REF!,IF(#REF!="ZERO",0))))),"")</f>
        <v>#REF!</v>
      </c>
      <c r="H2296" s="136" t="str">
        <f t="shared" si="118"/>
        <v/>
      </c>
      <c r="I2296" s="134" t="str">
        <f t="shared" si="119"/>
        <v/>
      </c>
      <c r="J2296" s="226"/>
    </row>
    <row r="2297" spans="1:10" hidden="1" x14ac:dyDescent="0.25">
      <c r="A2297" s="112" t="s">
        <v>5905</v>
      </c>
      <c r="B2297" s="113" t="s">
        <v>4673</v>
      </c>
      <c r="C2297" s="114" t="s">
        <v>20</v>
      </c>
      <c r="D2297" s="114">
        <v>0</v>
      </c>
      <c r="E2297" s="133" t="s">
        <v>514</v>
      </c>
      <c r="F2297" s="134" t="str">
        <f t="shared" si="117"/>
        <v/>
      </c>
      <c r="G2297" s="135" t="e">
        <f>IF(A2297&lt;&gt;"",IF(AND(#REF!="Padrão",$H$4=#REF!),BDI!$B$17,IF(AND(#REF!="Padrão",$H$4=#REF!),BDI!#REF!,IF(AND(#REF!="Diferenciado",$H$4=#REF!),BDI!$E$17,IF(AND(#REF!="Diferenciado",$H$4=#REF!),BDI!#REF!,IF(#REF!="ZERO",0))))),"")</f>
        <v>#REF!</v>
      </c>
      <c r="H2297" s="136" t="str">
        <f t="shared" si="118"/>
        <v/>
      </c>
      <c r="I2297" s="134" t="str">
        <f t="shared" si="119"/>
        <v/>
      </c>
      <c r="J2297" s="226"/>
    </row>
    <row r="2298" spans="1:10" hidden="1" x14ac:dyDescent="0.25">
      <c r="A2298" s="112" t="s">
        <v>5906</v>
      </c>
      <c r="B2298" s="113" t="s">
        <v>4674</v>
      </c>
      <c r="C2298" s="114" t="s">
        <v>20</v>
      </c>
      <c r="D2298" s="114">
        <v>0</v>
      </c>
      <c r="E2298" s="133" t="s">
        <v>514</v>
      </c>
      <c r="F2298" s="134" t="str">
        <f t="shared" si="117"/>
        <v/>
      </c>
      <c r="G2298" s="135" t="e">
        <f>IF(A2298&lt;&gt;"",IF(AND(#REF!="Padrão",$H$4=#REF!),BDI!$B$17,IF(AND(#REF!="Padrão",$H$4=#REF!),BDI!#REF!,IF(AND(#REF!="Diferenciado",$H$4=#REF!),BDI!$E$17,IF(AND(#REF!="Diferenciado",$H$4=#REF!),BDI!#REF!,IF(#REF!="ZERO",0))))),"")</f>
        <v>#REF!</v>
      </c>
      <c r="H2298" s="136" t="str">
        <f t="shared" si="118"/>
        <v/>
      </c>
      <c r="I2298" s="134" t="str">
        <f t="shared" si="119"/>
        <v/>
      </c>
      <c r="J2298" s="226"/>
    </row>
    <row r="2299" spans="1:10" hidden="1" x14ac:dyDescent="0.25">
      <c r="A2299" s="112" t="s">
        <v>5907</v>
      </c>
      <c r="B2299" s="113" t="s">
        <v>4675</v>
      </c>
      <c r="C2299" s="114" t="s">
        <v>20</v>
      </c>
      <c r="D2299" s="114">
        <v>0</v>
      </c>
      <c r="E2299" s="133">
        <f ca="1">OFFSET(INDEX(Composições!A:J,MATCH(Orçamentária!A2299,Composições!A:A,0),8),2,0)</f>
        <v>139.70699999999999</v>
      </c>
      <c r="F2299" s="134">
        <f t="shared" ca="1" si="117"/>
        <v>0</v>
      </c>
      <c r="G2299" s="135" t="e">
        <f>IF(A2299&lt;&gt;"",IF(AND(#REF!="Padrão",$H$4=#REF!),BDI!$B$17,IF(AND(#REF!="Padrão",$H$4=#REF!),BDI!#REF!,IF(AND(#REF!="Diferenciado",$H$4=#REF!),BDI!$E$17,IF(AND(#REF!="Diferenciado",$H$4=#REF!),BDI!#REF!,IF(#REF!="ZERO",0))))),"")</f>
        <v>#REF!</v>
      </c>
      <c r="H2299" s="136" t="e">
        <f t="shared" ca="1" si="118"/>
        <v>#REF!</v>
      </c>
      <c r="I2299" s="134" t="e">
        <f t="shared" ca="1" si="119"/>
        <v>#REF!</v>
      </c>
      <c r="J2299" s="226"/>
    </row>
    <row r="2300" spans="1:10" hidden="1" x14ac:dyDescent="0.25">
      <c r="A2300" s="112" t="s">
        <v>5908</v>
      </c>
      <c r="B2300" s="113" t="s">
        <v>4676</v>
      </c>
      <c r="C2300" s="114" t="s">
        <v>20</v>
      </c>
      <c r="D2300" s="114">
        <v>0</v>
      </c>
      <c r="E2300" s="133" t="s">
        <v>514</v>
      </c>
      <c r="F2300" s="134" t="str">
        <f t="shared" si="117"/>
        <v/>
      </c>
      <c r="G2300" s="135" t="e">
        <f>IF(A2300&lt;&gt;"",IF(AND(#REF!="Padrão",$H$4=#REF!),BDI!$B$17,IF(AND(#REF!="Padrão",$H$4=#REF!),BDI!#REF!,IF(AND(#REF!="Diferenciado",$H$4=#REF!),BDI!$E$17,IF(AND(#REF!="Diferenciado",$H$4=#REF!),BDI!#REF!,IF(#REF!="ZERO",0))))),"")</f>
        <v>#REF!</v>
      </c>
      <c r="H2300" s="136" t="str">
        <f t="shared" si="118"/>
        <v/>
      </c>
      <c r="I2300" s="134" t="str">
        <f t="shared" si="119"/>
        <v/>
      </c>
      <c r="J2300" s="226"/>
    </row>
    <row r="2301" spans="1:10" hidden="1" x14ac:dyDescent="0.25">
      <c r="A2301" s="112" t="s">
        <v>5909</v>
      </c>
      <c r="B2301" s="113" t="s">
        <v>4677</v>
      </c>
      <c r="C2301" s="114" t="s">
        <v>20</v>
      </c>
      <c r="D2301" s="114">
        <v>0</v>
      </c>
      <c r="E2301" s="133" t="s">
        <v>514</v>
      </c>
      <c r="F2301" s="134" t="str">
        <f t="shared" si="117"/>
        <v/>
      </c>
      <c r="G2301" s="135" t="e">
        <f>IF(A2301&lt;&gt;"",IF(AND(#REF!="Padrão",$H$4=#REF!),BDI!$B$17,IF(AND(#REF!="Padrão",$H$4=#REF!),BDI!#REF!,IF(AND(#REF!="Diferenciado",$H$4=#REF!),BDI!$E$17,IF(AND(#REF!="Diferenciado",$H$4=#REF!),BDI!#REF!,IF(#REF!="ZERO",0))))),"")</f>
        <v>#REF!</v>
      </c>
      <c r="H2301" s="136" t="str">
        <f t="shared" si="118"/>
        <v/>
      </c>
      <c r="I2301" s="134" t="str">
        <f t="shared" si="119"/>
        <v/>
      </c>
      <c r="J2301" s="226"/>
    </row>
    <row r="2302" spans="1:10" hidden="1" x14ac:dyDescent="0.25">
      <c r="A2302" s="112" t="s">
        <v>5910</v>
      </c>
      <c r="B2302" s="113" t="s">
        <v>4678</v>
      </c>
      <c r="C2302" s="114" t="s">
        <v>20</v>
      </c>
      <c r="D2302" s="114">
        <v>0</v>
      </c>
      <c r="E2302" s="133" t="s">
        <v>514</v>
      </c>
      <c r="F2302" s="134" t="str">
        <f t="shared" si="117"/>
        <v/>
      </c>
      <c r="G2302" s="135" t="e">
        <f>IF(A2302&lt;&gt;"",IF(AND(#REF!="Padrão",$H$4=#REF!),BDI!$B$17,IF(AND(#REF!="Padrão",$H$4=#REF!),BDI!#REF!,IF(AND(#REF!="Diferenciado",$H$4=#REF!),BDI!$E$17,IF(AND(#REF!="Diferenciado",$H$4=#REF!),BDI!#REF!,IF(#REF!="ZERO",0))))),"")</f>
        <v>#REF!</v>
      </c>
      <c r="H2302" s="136" t="str">
        <f t="shared" si="118"/>
        <v/>
      </c>
      <c r="I2302" s="134" t="str">
        <f t="shared" si="119"/>
        <v/>
      </c>
      <c r="J2302" s="226"/>
    </row>
    <row r="2303" spans="1:10" hidden="1" x14ac:dyDescent="0.25">
      <c r="A2303" s="112" t="s">
        <v>5911</v>
      </c>
      <c r="B2303" s="113" t="s">
        <v>4679</v>
      </c>
      <c r="C2303" s="114" t="s">
        <v>20</v>
      </c>
      <c r="D2303" s="114">
        <v>0</v>
      </c>
      <c r="E2303" s="133" t="s">
        <v>514</v>
      </c>
      <c r="F2303" s="134" t="str">
        <f t="shared" si="117"/>
        <v/>
      </c>
      <c r="G2303" s="135" t="e">
        <f>IF(A2303&lt;&gt;"",IF(AND(#REF!="Padrão",$H$4=#REF!),BDI!$B$17,IF(AND(#REF!="Padrão",$H$4=#REF!),BDI!#REF!,IF(AND(#REF!="Diferenciado",$H$4=#REF!),BDI!$E$17,IF(AND(#REF!="Diferenciado",$H$4=#REF!),BDI!#REF!,IF(#REF!="ZERO",0))))),"")</f>
        <v>#REF!</v>
      </c>
      <c r="H2303" s="136" t="str">
        <f t="shared" si="118"/>
        <v/>
      </c>
      <c r="I2303" s="134" t="str">
        <f t="shared" si="119"/>
        <v/>
      </c>
      <c r="J2303" s="226"/>
    </row>
    <row r="2304" spans="1:10" hidden="1" x14ac:dyDescent="0.25">
      <c r="A2304" s="112" t="s">
        <v>5912</v>
      </c>
      <c r="B2304" s="113" t="s">
        <v>4680</v>
      </c>
      <c r="C2304" s="114" t="s">
        <v>20</v>
      </c>
      <c r="D2304" s="114">
        <v>0</v>
      </c>
      <c r="E2304" s="133" t="s">
        <v>514</v>
      </c>
      <c r="F2304" s="134" t="str">
        <f t="shared" si="117"/>
        <v/>
      </c>
      <c r="G2304" s="135" t="e">
        <f>IF(A2304&lt;&gt;"",IF(AND(#REF!="Padrão",$H$4=#REF!),BDI!$B$17,IF(AND(#REF!="Padrão",$H$4=#REF!),BDI!#REF!,IF(AND(#REF!="Diferenciado",$H$4=#REF!),BDI!$E$17,IF(AND(#REF!="Diferenciado",$H$4=#REF!),BDI!#REF!,IF(#REF!="ZERO",0))))),"")</f>
        <v>#REF!</v>
      </c>
      <c r="H2304" s="136" t="str">
        <f t="shared" si="118"/>
        <v/>
      </c>
      <c r="I2304" s="134" t="str">
        <f t="shared" si="119"/>
        <v/>
      </c>
      <c r="J2304" s="226"/>
    </row>
    <row r="2305" spans="1:10" hidden="1" x14ac:dyDescent="0.25">
      <c r="A2305" s="112" t="s">
        <v>5913</v>
      </c>
      <c r="B2305" s="113" t="s">
        <v>4681</v>
      </c>
      <c r="C2305" s="114" t="s">
        <v>20</v>
      </c>
      <c r="D2305" s="114">
        <v>0</v>
      </c>
      <c r="E2305" s="133" t="s">
        <v>514</v>
      </c>
      <c r="F2305" s="134" t="str">
        <f t="shared" si="117"/>
        <v/>
      </c>
      <c r="G2305" s="135" t="e">
        <f>IF(A2305&lt;&gt;"",IF(AND(#REF!="Padrão",$H$4=#REF!),BDI!$B$17,IF(AND(#REF!="Padrão",$H$4=#REF!),BDI!#REF!,IF(AND(#REF!="Diferenciado",$H$4=#REF!),BDI!$E$17,IF(AND(#REF!="Diferenciado",$H$4=#REF!),BDI!#REF!,IF(#REF!="ZERO",0))))),"")</f>
        <v>#REF!</v>
      </c>
      <c r="H2305" s="136" t="str">
        <f t="shared" si="118"/>
        <v/>
      </c>
      <c r="I2305" s="134" t="str">
        <f t="shared" si="119"/>
        <v/>
      </c>
      <c r="J2305" s="226"/>
    </row>
    <row r="2306" spans="1:10" hidden="1" x14ac:dyDescent="0.25">
      <c r="A2306" s="112" t="s">
        <v>5914</v>
      </c>
      <c r="B2306" s="113" t="s">
        <v>4682</v>
      </c>
      <c r="C2306" s="114" t="s">
        <v>20</v>
      </c>
      <c r="D2306" s="114">
        <v>0</v>
      </c>
      <c r="E2306" s="133" t="s">
        <v>514</v>
      </c>
      <c r="F2306" s="134" t="str">
        <f t="shared" si="117"/>
        <v/>
      </c>
      <c r="G2306" s="135" t="e">
        <f>IF(A2306&lt;&gt;"",IF(AND(#REF!="Padrão",$H$4=#REF!),BDI!$B$17,IF(AND(#REF!="Padrão",$H$4=#REF!),BDI!#REF!,IF(AND(#REF!="Diferenciado",$H$4=#REF!),BDI!$E$17,IF(AND(#REF!="Diferenciado",$H$4=#REF!),BDI!#REF!,IF(#REF!="ZERO",0))))),"")</f>
        <v>#REF!</v>
      </c>
      <c r="H2306" s="136" t="str">
        <f t="shared" si="118"/>
        <v/>
      </c>
      <c r="I2306" s="134" t="str">
        <f t="shared" si="119"/>
        <v/>
      </c>
      <c r="J2306" s="226"/>
    </row>
    <row r="2307" spans="1:10" hidden="1" x14ac:dyDescent="0.25">
      <c r="A2307" s="112" t="s">
        <v>5915</v>
      </c>
      <c r="B2307" s="113" t="s">
        <v>4683</v>
      </c>
      <c r="C2307" s="114" t="s">
        <v>20</v>
      </c>
      <c r="D2307" s="114">
        <v>0</v>
      </c>
      <c r="E2307" s="133" t="s">
        <v>514</v>
      </c>
      <c r="F2307" s="134" t="str">
        <f t="shared" si="117"/>
        <v/>
      </c>
      <c r="G2307" s="135" t="e">
        <f>IF(A2307&lt;&gt;"",IF(AND(#REF!="Padrão",$H$4=#REF!),BDI!$B$17,IF(AND(#REF!="Padrão",$H$4=#REF!),BDI!#REF!,IF(AND(#REF!="Diferenciado",$H$4=#REF!),BDI!$E$17,IF(AND(#REF!="Diferenciado",$H$4=#REF!),BDI!#REF!,IF(#REF!="ZERO",0))))),"")</f>
        <v>#REF!</v>
      </c>
      <c r="H2307" s="136" t="str">
        <f t="shared" si="118"/>
        <v/>
      </c>
      <c r="I2307" s="134" t="str">
        <f t="shared" si="119"/>
        <v/>
      </c>
      <c r="J2307" s="226"/>
    </row>
    <row r="2308" spans="1:10" hidden="1" x14ac:dyDescent="0.25">
      <c r="A2308" s="112" t="s">
        <v>5916</v>
      </c>
      <c r="B2308" s="113" t="s">
        <v>4684</v>
      </c>
      <c r="C2308" s="114" t="s">
        <v>20</v>
      </c>
      <c r="D2308" s="114">
        <v>0</v>
      </c>
      <c r="E2308" s="133" t="s">
        <v>514</v>
      </c>
      <c r="F2308" s="134" t="str">
        <f t="shared" si="117"/>
        <v/>
      </c>
      <c r="G2308" s="135" t="e">
        <f>IF(A2308&lt;&gt;"",IF(AND(#REF!="Padrão",$H$4=#REF!),BDI!$B$17,IF(AND(#REF!="Padrão",$H$4=#REF!),BDI!#REF!,IF(AND(#REF!="Diferenciado",$H$4=#REF!),BDI!$E$17,IF(AND(#REF!="Diferenciado",$H$4=#REF!),BDI!#REF!,IF(#REF!="ZERO",0))))),"")</f>
        <v>#REF!</v>
      </c>
      <c r="H2308" s="136" t="str">
        <f t="shared" si="118"/>
        <v/>
      </c>
      <c r="I2308" s="134" t="str">
        <f t="shared" si="119"/>
        <v/>
      </c>
      <c r="J2308" s="226"/>
    </row>
    <row r="2309" spans="1:10" hidden="1" x14ac:dyDescent="0.25">
      <c r="A2309" s="112" t="s">
        <v>5917</v>
      </c>
      <c r="B2309" s="113" t="s">
        <v>4685</v>
      </c>
      <c r="C2309" s="114" t="s">
        <v>20</v>
      </c>
      <c r="D2309" s="114">
        <v>0</v>
      </c>
      <c r="E2309" s="133" t="s">
        <v>514</v>
      </c>
      <c r="F2309" s="134" t="str">
        <f t="shared" si="117"/>
        <v/>
      </c>
      <c r="G2309" s="135" t="e">
        <f>IF(A2309&lt;&gt;"",IF(AND(#REF!="Padrão",$H$4=#REF!),BDI!$B$17,IF(AND(#REF!="Padrão",$H$4=#REF!),BDI!#REF!,IF(AND(#REF!="Diferenciado",$H$4=#REF!),BDI!$E$17,IF(AND(#REF!="Diferenciado",$H$4=#REF!),BDI!#REF!,IF(#REF!="ZERO",0))))),"")</f>
        <v>#REF!</v>
      </c>
      <c r="H2309" s="136" t="str">
        <f t="shared" si="118"/>
        <v/>
      </c>
      <c r="I2309" s="134" t="str">
        <f t="shared" si="119"/>
        <v/>
      </c>
      <c r="J2309" s="226"/>
    </row>
    <row r="2310" spans="1:10" hidden="1" x14ac:dyDescent="0.25">
      <c r="A2310" s="112" t="s">
        <v>5918</v>
      </c>
      <c r="B2310" s="113" t="s">
        <v>4686</v>
      </c>
      <c r="C2310" s="114" t="s">
        <v>20</v>
      </c>
      <c r="D2310" s="114">
        <v>0</v>
      </c>
      <c r="E2310" s="133" t="s">
        <v>514</v>
      </c>
      <c r="F2310" s="134" t="str">
        <f t="shared" si="117"/>
        <v/>
      </c>
      <c r="G2310" s="135" t="e">
        <f>IF(A2310&lt;&gt;"",IF(AND(#REF!="Padrão",$H$4=#REF!),BDI!$B$17,IF(AND(#REF!="Padrão",$H$4=#REF!),BDI!#REF!,IF(AND(#REF!="Diferenciado",$H$4=#REF!),BDI!$E$17,IF(AND(#REF!="Diferenciado",$H$4=#REF!),BDI!#REF!,IF(#REF!="ZERO",0))))),"")</f>
        <v>#REF!</v>
      </c>
      <c r="H2310" s="136" t="str">
        <f t="shared" si="118"/>
        <v/>
      </c>
      <c r="I2310" s="134" t="str">
        <f t="shared" si="119"/>
        <v/>
      </c>
      <c r="J2310" s="226"/>
    </row>
    <row r="2311" spans="1:10" hidden="1" x14ac:dyDescent="0.25">
      <c r="A2311" s="112" t="s">
        <v>5919</v>
      </c>
      <c r="B2311" s="113" t="s">
        <v>4687</v>
      </c>
      <c r="C2311" s="114" t="s">
        <v>20</v>
      </c>
      <c r="D2311" s="114">
        <v>0</v>
      </c>
      <c r="E2311" s="133" t="s">
        <v>514</v>
      </c>
      <c r="F2311" s="134" t="str">
        <f t="shared" si="117"/>
        <v/>
      </c>
      <c r="G2311" s="135" t="e">
        <f>IF(A2311&lt;&gt;"",IF(AND(#REF!="Padrão",$H$4=#REF!),BDI!$B$17,IF(AND(#REF!="Padrão",$H$4=#REF!),BDI!#REF!,IF(AND(#REF!="Diferenciado",$H$4=#REF!),BDI!$E$17,IF(AND(#REF!="Diferenciado",$H$4=#REF!),BDI!#REF!,IF(#REF!="ZERO",0))))),"")</f>
        <v>#REF!</v>
      </c>
      <c r="H2311" s="136" t="str">
        <f t="shared" si="118"/>
        <v/>
      </c>
      <c r="I2311" s="134" t="str">
        <f t="shared" si="119"/>
        <v/>
      </c>
      <c r="J2311" s="226"/>
    </row>
    <row r="2312" spans="1:10" hidden="1" x14ac:dyDescent="0.25">
      <c r="A2312" s="112" t="s">
        <v>5920</v>
      </c>
      <c r="B2312" s="113" t="s">
        <v>4688</v>
      </c>
      <c r="C2312" s="114" t="s">
        <v>20</v>
      </c>
      <c r="D2312" s="114">
        <v>0</v>
      </c>
      <c r="E2312" s="133" t="s">
        <v>514</v>
      </c>
      <c r="F2312" s="134" t="str">
        <f t="shared" si="117"/>
        <v/>
      </c>
      <c r="G2312" s="135" t="e">
        <f>IF(A2312&lt;&gt;"",IF(AND(#REF!="Padrão",$H$4=#REF!),BDI!$B$17,IF(AND(#REF!="Padrão",$H$4=#REF!),BDI!#REF!,IF(AND(#REF!="Diferenciado",$H$4=#REF!),BDI!$E$17,IF(AND(#REF!="Diferenciado",$H$4=#REF!),BDI!#REF!,IF(#REF!="ZERO",0))))),"")</f>
        <v>#REF!</v>
      </c>
      <c r="H2312" s="136" t="str">
        <f t="shared" si="118"/>
        <v/>
      </c>
      <c r="I2312" s="134" t="str">
        <f t="shared" si="119"/>
        <v/>
      </c>
      <c r="J2312" s="226"/>
    </row>
    <row r="2313" spans="1:10" hidden="1" x14ac:dyDescent="0.25">
      <c r="A2313" s="112" t="s">
        <v>5921</v>
      </c>
      <c r="B2313" s="113" t="s">
        <v>4689</v>
      </c>
      <c r="C2313" s="114" t="s">
        <v>20</v>
      </c>
      <c r="D2313" s="114">
        <v>0</v>
      </c>
      <c r="E2313" s="133" t="s">
        <v>514</v>
      </c>
      <c r="F2313" s="134" t="str">
        <f t="shared" si="117"/>
        <v/>
      </c>
      <c r="G2313" s="135" t="e">
        <f>IF(A2313&lt;&gt;"",IF(AND(#REF!="Padrão",$H$4=#REF!),BDI!$B$17,IF(AND(#REF!="Padrão",$H$4=#REF!),BDI!#REF!,IF(AND(#REF!="Diferenciado",$H$4=#REF!),BDI!$E$17,IF(AND(#REF!="Diferenciado",$H$4=#REF!),BDI!#REF!,IF(#REF!="ZERO",0))))),"")</f>
        <v>#REF!</v>
      </c>
      <c r="H2313" s="136" t="str">
        <f t="shared" si="118"/>
        <v/>
      </c>
      <c r="I2313" s="134" t="str">
        <f t="shared" si="119"/>
        <v/>
      </c>
      <c r="J2313" s="226"/>
    </row>
    <row r="2314" spans="1:10" hidden="1" x14ac:dyDescent="0.25">
      <c r="A2314" s="112" t="s">
        <v>5922</v>
      </c>
      <c r="B2314" s="113" t="s">
        <v>4690</v>
      </c>
      <c r="C2314" s="114" t="s">
        <v>20</v>
      </c>
      <c r="D2314" s="114">
        <v>0</v>
      </c>
      <c r="E2314" s="133" t="s">
        <v>514</v>
      </c>
      <c r="F2314" s="134" t="str">
        <f t="shared" si="117"/>
        <v/>
      </c>
      <c r="G2314" s="135" t="e">
        <f>IF(A2314&lt;&gt;"",IF(AND(#REF!="Padrão",$H$4=#REF!),BDI!$B$17,IF(AND(#REF!="Padrão",$H$4=#REF!),BDI!#REF!,IF(AND(#REF!="Diferenciado",$H$4=#REF!),BDI!$E$17,IF(AND(#REF!="Diferenciado",$H$4=#REF!),BDI!#REF!,IF(#REF!="ZERO",0))))),"")</f>
        <v>#REF!</v>
      </c>
      <c r="H2314" s="136" t="str">
        <f t="shared" si="118"/>
        <v/>
      </c>
      <c r="I2314" s="134" t="str">
        <f t="shared" si="119"/>
        <v/>
      </c>
      <c r="J2314" s="226"/>
    </row>
    <row r="2315" spans="1:10" hidden="1" x14ac:dyDescent="0.25">
      <c r="A2315" s="112" t="s">
        <v>5923</v>
      </c>
      <c r="B2315" s="113" t="s">
        <v>4691</v>
      </c>
      <c r="C2315" s="114" t="s">
        <v>4995</v>
      </c>
      <c r="D2315" s="114">
        <v>0</v>
      </c>
      <c r="E2315" s="133">
        <f ca="1">OFFSET(INDEX(Composições!A:J,MATCH(Orçamentária!A2315,Composições!A:A,0),8),2,0)</f>
        <v>48.83</v>
      </c>
      <c r="F2315" s="134">
        <f t="shared" ca="1" si="117"/>
        <v>0</v>
      </c>
      <c r="G2315" s="135" t="e">
        <f>IF(A2315&lt;&gt;"",IF(AND(#REF!="Padrão",$H$4=#REF!),BDI!$B$17,IF(AND(#REF!="Padrão",$H$4=#REF!),BDI!#REF!,IF(AND(#REF!="Diferenciado",$H$4=#REF!),BDI!$E$17,IF(AND(#REF!="Diferenciado",$H$4=#REF!),BDI!#REF!,IF(#REF!="ZERO",0))))),"")</f>
        <v>#REF!</v>
      </c>
      <c r="H2315" s="136" t="e">
        <f t="shared" ca="1" si="118"/>
        <v>#REF!</v>
      </c>
      <c r="I2315" s="134" t="e">
        <f t="shared" ca="1" si="119"/>
        <v>#REF!</v>
      </c>
      <c r="J2315" s="226"/>
    </row>
    <row r="2316" spans="1:10" hidden="1" x14ac:dyDescent="0.25">
      <c r="A2316" s="112" t="s">
        <v>5924</v>
      </c>
      <c r="B2316" s="113" t="s">
        <v>4692</v>
      </c>
      <c r="C2316" s="114" t="s">
        <v>20</v>
      </c>
      <c r="D2316" s="114">
        <v>0</v>
      </c>
      <c r="E2316" s="133" t="s">
        <v>514</v>
      </c>
      <c r="F2316" s="134" t="str">
        <f t="shared" si="117"/>
        <v/>
      </c>
      <c r="G2316" s="135" t="e">
        <f>IF(A2316&lt;&gt;"",IF(AND(#REF!="Padrão",$H$4=#REF!),BDI!$B$17,IF(AND(#REF!="Padrão",$H$4=#REF!),BDI!#REF!,IF(AND(#REF!="Diferenciado",$H$4=#REF!),BDI!$E$17,IF(AND(#REF!="Diferenciado",$H$4=#REF!),BDI!#REF!,IF(#REF!="ZERO",0))))),"")</f>
        <v>#REF!</v>
      </c>
      <c r="H2316" s="136" t="str">
        <f t="shared" si="118"/>
        <v/>
      </c>
      <c r="I2316" s="134" t="str">
        <f t="shared" si="119"/>
        <v/>
      </c>
      <c r="J2316" s="226"/>
    </row>
    <row r="2317" spans="1:10" hidden="1" x14ac:dyDescent="0.25">
      <c r="A2317" s="112" t="s">
        <v>5925</v>
      </c>
      <c r="B2317" s="113" t="s">
        <v>4693</v>
      </c>
      <c r="C2317" s="114" t="s">
        <v>20</v>
      </c>
      <c r="D2317" s="114">
        <v>0</v>
      </c>
      <c r="E2317" s="133" t="s">
        <v>514</v>
      </c>
      <c r="F2317" s="134" t="str">
        <f t="shared" si="117"/>
        <v/>
      </c>
      <c r="G2317" s="135" t="e">
        <f>IF(A2317&lt;&gt;"",IF(AND(#REF!="Padrão",$H$4=#REF!),BDI!$B$17,IF(AND(#REF!="Padrão",$H$4=#REF!),BDI!#REF!,IF(AND(#REF!="Diferenciado",$H$4=#REF!),BDI!$E$17,IF(AND(#REF!="Diferenciado",$H$4=#REF!),BDI!#REF!,IF(#REF!="ZERO",0))))),"")</f>
        <v>#REF!</v>
      </c>
      <c r="H2317" s="136" t="str">
        <f t="shared" si="118"/>
        <v/>
      </c>
      <c r="I2317" s="134" t="str">
        <f t="shared" si="119"/>
        <v/>
      </c>
      <c r="J2317" s="226"/>
    </row>
    <row r="2318" spans="1:10" hidden="1" x14ac:dyDescent="0.25">
      <c r="A2318" s="112" t="s">
        <v>5926</v>
      </c>
      <c r="B2318" s="113" t="s">
        <v>4694</v>
      </c>
      <c r="C2318" s="114" t="s">
        <v>20</v>
      </c>
      <c r="D2318" s="114">
        <v>0</v>
      </c>
      <c r="E2318" s="133" t="s">
        <v>514</v>
      </c>
      <c r="F2318" s="134" t="str">
        <f t="shared" si="117"/>
        <v/>
      </c>
      <c r="G2318" s="135" t="e">
        <f>IF(A2318&lt;&gt;"",IF(AND(#REF!="Padrão",$H$4=#REF!),BDI!$B$17,IF(AND(#REF!="Padrão",$H$4=#REF!),BDI!#REF!,IF(AND(#REF!="Diferenciado",$H$4=#REF!),BDI!$E$17,IF(AND(#REF!="Diferenciado",$H$4=#REF!),BDI!#REF!,IF(#REF!="ZERO",0))))),"")</f>
        <v>#REF!</v>
      </c>
      <c r="H2318" s="136" t="str">
        <f t="shared" si="118"/>
        <v/>
      </c>
      <c r="I2318" s="134" t="str">
        <f t="shared" si="119"/>
        <v/>
      </c>
      <c r="J2318" s="226"/>
    </row>
    <row r="2319" spans="1:10" hidden="1" x14ac:dyDescent="0.25">
      <c r="A2319" s="112" t="s">
        <v>5927</v>
      </c>
      <c r="B2319" s="113" t="s">
        <v>4695</v>
      </c>
      <c r="C2319" s="114" t="s">
        <v>20</v>
      </c>
      <c r="D2319" s="114">
        <v>0</v>
      </c>
      <c r="E2319" s="133" t="s">
        <v>514</v>
      </c>
      <c r="F2319" s="134" t="str">
        <f t="shared" si="117"/>
        <v/>
      </c>
      <c r="G2319" s="135" t="e">
        <f>IF(A2319&lt;&gt;"",IF(AND(#REF!="Padrão",$H$4=#REF!),BDI!$B$17,IF(AND(#REF!="Padrão",$H$4=#REF!),BDI!#REF!,IF(AND(#REF!="Diferenciado",$H$4=#REF!),BDI!$E$17,IF(AND(#REF!="Diferenciado",$H$4=#REF!),BDI!#REF!,IF(#REF!="ZERO",0))))),"")</f>
        <v>#REF!</v>
      </c>
      <c r="H2319" s="136" t="str">
        <f t="shared" si="118"/>
        <v/>
      </c>
      <c r="I2319" s="134" t="str">
        <f t="shared" si="119"/>
        <v/>
      </c>
      <c r="J2319" s="226"/>
    </row>
    <row r="2320" spans="1:10" hidden="1" x14ac:dyDescent="0.25">
      <c r="A2320" s="112" t="s">
        <v>5928</v>
      </c>
      <c r="B2320" s="113" t="s">
        <v>4696</v>
      </c>
      <c r="C2320" s="114" t="s">
        <v>20</v>
      </c>
      <c r="D2320" s="114">
        <v>0</v>
      </c>
      <c r="E2320" s="133" t="s">
        <v>514</v>
      </c>
      <c r="F2320" s="134" t="str">
        <f t="shared" si="117"/>
        <v/>
      </c>
      <c r="G2320" s="135" t="e">
        <f>IF(A2320&lt;&gt;"",IF(AND(#REF!="Padrão",$H$4=#REF!),BDI!$B$17,IF(AND(#REF!="Padrão",$H$4=#REF!),BDI!#REF!,IF(AND(#REF!="Diferenciado",$H$4=#REF!),BDI!$E$17,IF(AND(#REF!="Diferenciado",$H$4=#REF!),BDI!#REF!,IF(#REF!="ZERO",0))))),"")</f>
        <v>#REF!</v>
      </c>
      <c r="H2320" s="136" t="str">
        <f t="shared" si="118"/>
        <v/>
      </c>
      <c r="I2320" s="134" t="str">
        <f t="shared" si="119"/>
        <v/>
      </c>
      <c r="J2320" s="226"/>
    </row>
    <row r="2321" spans="1:11" hidden="1" x14ac:dyDescent="0.25">
      <c r="A2321" s="112" t="s">
        <v>5929</v>
      </c>
      <c r="B2321" s="113" t="s">
        <v>4697</v>
      </c>
      <c r="C2321" s="114" t="s">
        <v>20</v>
      </c>
      <c r="D2321" s="114">
        <v>0</v>
      </c>
      <c r="E2321" s="133" t="s">
        <v>514</v>
      </c>
      <c r="F2321" s="134" t="str">
        <f t="shared" si="117"/>
        <v/>
      </c>
      <c r="G2321" s="135" t="e">
        <f>IF(A2321&lt;&gt;"",IF(AND(#REF!="Padrão",$H$4=#REF!),BDI!$B$17,IF(AND(#REF!="Padrão",$H$4=#REF!),BDI!#REF!,IF(AND(#REF!="Diferenciado",$H$4=#REF!),BDI!$E$17,IF(AND(#REF!="Diferenciado",$H$4=#REF!),BDI!#REF!,IF(#REF!="ZERO",0))))),"")</f>
        <v>#REF!</v>
      </c>
      <c r="H2321" s="136" t="str">
        <f t="shared" si="118"/>
        <v/>
      </c>
      <c r="I2321" s="134" t="str">
        <f t="shared" si="119"/>
        <v/>
      </c>
      <c r="J2321" s="226"/>
    </row>
    <row r="2322" spans="1:11" hidden="1" x14ac:dyDescent="0.25">
      <c r="A2322" s="112" t="s">
        <v>5930</v>
      </c>
      <c r="B2322" s="113" t="s">
        <v>4698</v>
      </c>
      <c r="C2322" s="114" t="s">
        <v>20</v>
      </c>
      <c r="D2322" s="114">
        <v>0</v>
      </c>
      <c r="E2322" s="133" t="s">
        <v>514</v>
      </c>
      <c r="F2322" s="134" t="str">
        <f t="shared" si="117"/>
        <v/>
      </c>
      <c r="G2322" s="135" t="e">
        <f>IF(A2322&lt;&gt;"",IF(AND(#REF!="Padrão",$H$4=#REF!),BDI!$B$17,IF(AND(#REF!="Padrão",$H$4=#REF!),BDI!#REF!,IF(AND(#REF!="Diferenciado",$H$4=#REF!),BDI!$E$17,IF(AND(#REF!="Diferenciado",$H$4=#REF!),BDI!#REF!,IF(#REF!="ZERO",0))))),"")</f>
        <v>#REF!</v>
      </c>
      <c r="H2322" s="136" t="str">
        <f t="shared" si="118"/>
        <v/>
      </c>
      <c r="I2322" s="134" t="str">
        <f t="shared" si="119"/>
        <v/>
      </c>
      <c r="J2322" s="226"/>
    </row>
    <row r="2323" spans="1:11" hidden="1" x14ac:dyDescent="0.25">
      <c r="A2323" s="112" t="s">
        <v>5931</v>
      </c>
      <c r="B2323" s="113" t="s">
        <v>4699</v>
      </c>
      <c r="C2323" s="114" t="s">
        <v>20</v>
      </c>
      <c r="D2323" s="114">
        <v>0</v>
      </c>
      <c r="E2323" s="133" t="s">
        <v>514</v>
      </c>
      <c r="F2323" s="134" t="str">
        <f t="shared" si="117"/>
        <v/>
      </c>
      <c r="G2323" s="135" t="e">
        <f>IF(A2323&lt;&gt;"",IF(AND(#REF!="Padrão",$H$4=#REF!),BDI!$B$17,IF(AND(#REF!="Padrão",$H$4=#REF!),BDI!#REF!,IF(AND(#REF!="Diferenciado",$H$4=#REF!),BDI!$E$17,IF(AND(#REF!="Diferenciado",$H$4=#REF!),BDI!#REF!,IF(#REF!="ZERO",0))))),"")</f>
        <v>#REF!</v>
      </c>
      <c r="H2323" s="136" t="str">
        <f t="shared" si="118"/>
        <v/>
      </c>
      <c r="I2323" s="134" t="str">
        <f t="shared" si="119"/>
        <v/>
      </c>
      <c r="J2323" s="226"/>
    </row>
    <row r="2324" spans="1:11" hidden="1" x14ac:dyDescent="0.25">
      <c r="A2324" s="112" t="s">
        <v>5932</v>
      </c>
      <c r="B2324" s="113" t="s">
        <v>4700</v>
      </c>
      <c r="C2324" s="114" t="s">
        <v>20</v>
      </c>
      <c r="D2324" s="114">
        <v>0</v>
      </c>
      <c r="E2324" s="133" t="s">
        <v>514</v>
      </c>
      <c r="F2324" s="134" t="str">
        <f t="shared" si="117"/>
        <v/>
      </c>
      <c r="G2324" s="135" t="e">
        <f>IF(A2324&lt;&gt;"",IF(AND(#REF!="Padrão",$H$4=#REF!),BDI!$B$17,IF(AND(#REF!="Padrão",$H$4=#REF!),BDI!#REF!,IF(AND(#REF!="Diferenciado",$H$4=#REF!),BDI!$E$17,IF(AND(#REF!="Diferenciado",$H$4=#REF!),BDI!#REF!,IF(#REF!="ZERO",0))))),"")</f>
        <v>#REF!</v>
      </c>
      <c r="H2324" s="136" t="str">
        <f t="shared" si="118"/>
        <v/>
      </c>
      <c r="I2324" s="134" t="str">
        <f t="shared" si="119"/>
        <v/>
      </c>
      <c r="J2324" s="226"/>
    </row>
    <row r="2325" spans="1:11" hidden="1" x14ac:dyDescent="0.25">
      <c r="A2325" s="112" t="s">
        <v>5933</v>
      </c>
      <c r="B2325" s="113" t="s">
        <v>4701</v>
      </c>
      <c r="C2325" s="114" t="s">
        <v>92</v>
      </c>
      <c r="D2325" s="114">
        <v>0</v>
      </c>
      <c r="E2325" s="133" t="s">
        <v>514</v>
      </c>
      <c r="F2325" s="134" t="str">
        <f t="shared" si="117"/>
        <v/>
      </c>
      <c r="G2325" s="135" t="e">
        <f>IF(A2325&lt;&gt;"",IF(AND(#REF!="Padrão",$H$4=#REF!),BDI!$B$17,IF(AND(#REF!="Padrão",$H$4=#REF!),BDI!#REF!,IF(AND(#REF!="Diferenciado",$H$4=#REF!),BDI!$E$17,IF(AND(#REF!="Diferenciado",$H$4=#REF!),BDI!#REF!,IF(#REF!="ZERO",0))))),"")</f>
        <v>#REF!</v>
      </c>
      <c r="H2325" s="136" t="str">
        <f t="shared" si="118"/>
        <v/>
      </c>
      <c r="I2325" s="134" t="str">
        <f t="shared" si="119"/>
        <v/>
      </c>
      <c r="J2325" s="226"/>
    </row>
    <row r="2326" spans="1:11" hidden="1" x14ac:dyDescent="0.25">
      <c r="A2326" s="112" t="s">
        <v>5934</v>
      </c>
      <c r="B2326" s="113" t="s">
        <v>4702</v>
      </c>
      <c r="C2326" s="114" t="s">
        <v>20</v>
      </c>
      <c r="D2326" s="114">
        <v>0</v>
      </c>
      <c r="E2326" s="133" t="s">
        <v>514</v>
      </c>
      <c r="F2326" s="134" t="str">
        <f t="shared" si="117"/>
        <v/>
      </c>
      <c r="G2326" s="135" t="e">
        <f>IF(A2326&lt;&gt;"",IF(AND(#REF!="Padrão",$H$4=#REF!),BDI!$B$17,IF(AND(#REF!="Padrão",$H$4=#REF!),BDI!#REF!,IF(AND(#REF!="Diferenciado",$H$4=#REF!),BDI!$E$17,IF(AND(#REF!="Diferenciado",$H$4=#REF!),BDI!#REF!,IF(#REF!="ZERO",0))))),"")</f>
        <v>#REF!</v>
      </c>
      <c r="H2326" s="136" t="str">
        <f t="shared" si="118"/>
        <v/>
      </c>
      <c r="I2326" s="134" t="str">
        <f t="shared" si="119"/>
        <v/>
      </c>
      <c r="J2326" s="226"/>
    </row>
    <row r="2327" spans="1:11" hidden="1" x14ac:dyDescent="0.25">
      <c r="A2327" s="112" t="s">
        <v>5935</v>
      </c>
      <c r="B2327" s="113" t="s">
        <v>4703</v>
      </c>
      <c r="C2327" s="114" t="s">
        <v>20</v>
      </c>
      <c r="D2327" s="114">
        <v>0</v>
      </c>
      <c r="E2327" s="133" t="s">
        <v>514</v>
      </c>
      <c r="F2327" s="134" t="str">
        <f t="shared" si="117"/>
        <v/>
      </c>
      <c r="G2327" s="135" t="e">
        <f>IF(A2327&lt;&gt;"",IF(AND(#REF!="Padrão",$H$4=#REF!),BDI!$B$17,IF(AND(#REF!="Padrão",$H$4=#REF!),BDI!#REF!,IF(AND(#REF!="Diferenciado",$H$4=#REF!),BDI!$E$17,IF(AND(#REF!="Diferenciado",$H$4=#REF!),BDI!#REF!,IF(#REF!="ZERO",0))))),"")</f>
        <v>#REF!</v>
      </c>
      <c r="H2327" s="136" t="str">
        <f t="shared" si="118"/>
        <v/>
      </c>
      <c r="I2327" s="134" t="str">
        <f t="shared" si="119"/>
        <v/>
      </c>
      <c r="J2327" s="226"/>
    </row>
    <row r="2328" spans="1:11" hidden="1" x14ac:dyDescent="0.25">
      <c r="A2328" s="112" t="s">
        <v>5936</v>
      </c>
      <c r="B2328" s="113" t="s">
        <v>4704</v>
      </c>
      <c r="C2328" s="114" t="s">
        <v>20</v>
      </c>
      <c r="D2328" s="114">
        <v>0</v>
      </c>
      <c r="E2328" s="133" t="s">
        <v>514</v>
      </c>
      <c r="F2328" s="134" t="str">
        <f t="shared" si="117"/>
        <v/>
      </c>
      <c r="G2328" s="135" t="e">
        <f>IF(A2328&lt;&gt;"",IF(AND(#REF!="Padrão",$H$4=#REF!),BDI!$B$17,IF(AND(#REF!="Padrão",$H$4=#REF!),BDI!#REF!,IF(AND(#REF!="Diferenciado",$H$4=#REF!),BDI!$E$17,IF(AND(#REF!="Diferenciado",$H$4=#REF!),BDI!#REF!,IF(#REF!="ZERO",0))))),"")</f>
        <v>#REF!</v>
      </c>
      <c r="H2328" s="136" t="str">
        <f t="shared" si="118"/>
        <v/>
      </c>
      <c r="I2328" s="134" t="str">
        <f t="shared" si="119"/>
        <v/>
      </c>
      <c r="J2328" s="226"/>
    </row>
    <row r="2329" spans="1:11" hidden="1" x14ac:dyDescent="0.25">
      <c r="A2329" s="112" t="s">
        <v>5937</v>
      </c>
      <c r="B2329" s="113" t="s">
        <v>4705</v>
      </c>
      <c r="C2329" s="114" t="s">
        <v>20</v>
      </c>
      <c r="D2329" s="114">
        <v>0</v>
      </c>
      <c r="E2329" s="133" t="s">
        <v>514</v>
      </c>
      <c r="F2329" s="134" t="str">
        <f t="shared" si="117"/>
        <v/>
      </c>
      <c r="G2329" s="135" t="e">
        <f>IF(A2329&lt;&gt;"",IF(AND(#REF!="Padrão",$H$4=#REF!),BDI!$B$17,IF(AND(#REF!="Padrão",$H$4=#REF!),BDI!#REF!,IF(AND(#REF!="Diferenciado",$H$4=#REF!),BDI!$E$17,IF(AND(#REF!="Diferenciado",$H$4=#REF!),BDI!#REF!,IF(#REF!="ZERO",0))))),"")</f>
        <v>#REF!</v>
      </c>
      <c r="H2329" s="136" t="str">
        <f t="shared" si="118"/>
        <v/>
      </c>
      <c r="I2329" s="134" t="str">
        <f t="shared" si="119"/>
        <v/>
      </c>
      <c r="J2329" s="226"/>
    </row>
    <row r="2330" spans="1:11" hidden="1" x14ac:dyDescent="0.25">
      <c r="A2330" s="112" t="s">
        <v>5938</v>
      </c>
      <c r="B2330" s="113" t="s">
        <v>4706</v>
      </c>
      <c r="C2330" s="114" t="s">
        <v>20</v>
      </c>
      <c r="D2330" s="114">
        <v>0</v>
      </c>
      <c r="E2330" s="133" t="s">
        <v>514</v>
      </c>
      <c r="F2330" s="134" t="str">
        <f t="shared" si="117"/>
        <v/>
      </c>
      <c r="G2330" s="135" t="e">
        <f>IF(A2330&lt;&gt;"",IF(AND(#REF!="Padrão",$H$4=#REF!),BDI!$B$17,IF(AND(#REF!="Padrão",$H$4=#REF!),BDI!#REF!,IF(AND(#REF!="Diferenciado",$H$4=#REF!),BDI!$E$17,IF(AND(#REF!="Diferenciado",$H$4=#REF!),BDI!#REF!,IF(#REF!="ZERO",0))))),"")</f>
        <v>#REF!</v>
      </c>
      <c r="H2330" s="136" t="str">
        <f t="shared" si="118"/>
        <v/>
      </c>
      <c r="I2330" s="134" t="str">
        <f t="shared" si="119"/>
        <v/>
      </c>
      <c r="J2330" s="226"/>
    </row>
    <row r="2331" spans="1:11" hidden="1" x14ac:dyDescent="0.25">
      <c r="A2331" s="112" t="s">
        <v>5939</v>
      </c>
      <c r="B2331" s="113" t="s">
        <v>4707</v>
      </c>
      <c r="C2331" s="114" t="s">
        <v>20</v>
      </c>
      <c r="D2331" s="114">
        <v>0</v>
      </c>
      <c r="E2331" s="133" t="s">
        <v>514</v>
      </c>
      <c r="F2331" s="134" t="str">
        <f t="shared" si="117"/>
        <v/>
      </c>
      <c r="G2331" s="135" t="e">
        <f>IF(A2331&lt;&gt;"",IF(AND(#REF!="Padrão",$H$4=#REF!),BDI!$B$17,IF(AND(#REF!="Padrão",$H$4=#REF!),BDI!#REF!,IF(AND(#REF!="Diferenciado",$H$4=#REF!),BDI!$E$17,IF(AND(#REF!="Diferenciado",$H$4=#REF!),BDI!#REF!,IF(#REF!="ZERO",0))))),"")</f>
        <v>#REF!</v>
      </c>
      <c r="H2331" s="136" t="str">
        <f t="shared" si="118"/>
        <v/>
      </c>
      <c r="I2331" s="134" t="str">
        <f t="shared" si="119"/>
        <v/>
      </c>
      <c r="J2331" s="226"/>
    </row>
    <row r="2332" spans="1:11" hidden="1" x14ac:dyDescent="0.25">
      <c r="A2332" s="112" t="s">
        <v>5940</v>
      </c>
      <c r="B2332" s="113" t="s">
        <v>4708</v>
      </c>
      <c r="C2332" s="114" t="s">
        <v>20</v>
      </c>
      <c r="D2332" s="114">
        <v>0</v>
      </c>
      <c r="E2332" s="133" t="s">
        <v>514</v>
      </c>
      <c r="F2332" s="134" t="str">
        <f t="shared" si="117"/>
        <v/>
      </c>
      <c r="G2332" s="135" t="e">
        <f>IF(A2332&lt;&gt;"",IF(AND(#REF!="Padrão",$H$4=#REF!),BDI!$B$17,IF(AND(#REF!="Padrão",$H$4=#REF!),BDI!#REF!,IF(AND(#REF!="Diferenciado",$H$4=#REF!),BDI!$E$17,IF(AND(#REF!="Diferenciado",$H$4=#REF!),BDI!#REF!,IF(#REF!="ZERO",0))))),"")</f>
        <v>#REF!</v>
      </c>
      <c r="H2332" s="136" t="str">
        <f t="shared" si="118"/>
        <v/>
      </c>
      <c r="I2332" s="134" t="str">
        <f t="shared" si="119"/>
        <v/>
      </c>
      <c r="J2332" s="226"/>
    </row>
    <row r="2333" spans="1:11" hidden="1" x14ac:dyDescent="0.25">
      <c r="A2333" s="112" t="s">
        <v>5941</v>
      </c>
      <c r="B2333" s="113" t="s">
        <v>4709</v>
      </c>
      <c r="C2333" s="114" t="s">
        <v>20</v>
      </c>
      <c r="D2333" s="114">
        <v>0</v>
      </c>
      <c r="E2333" s="133">
        <f ca="1">OFFSET(INDEX(Composições!A:J,MATCH(Orçamentária!A2333,Composições!A:A,0),8),2,0)</f>
        <v>826.4905</v>
      </c>
      <c r="F2333" s="134">
        <f t="shared" ca="1" si="117"/>
        <v>0</v>
      </c>
      <c r="G2333" s="135" t="e">
        <f>IF(A2333&lt;&gt;"",IF(AND(#REF!="Padrão",$H$4=#REF!),BDI!$B$17,IF(AND(#REF!="Padrão",$H$4=#REF!),BDI!#REF!,IF(AND(#REF!="Diferenciado",$H$4=#REF!),BDI!$E$17,IF(AND(#REF!="Diferenciado",$H$4=#REF!),BDI!#REF!,IF(#REF!="ZERO",0))))),"")</f>
        <v>#REF!</v>
      </c>
      <c r="H2333" s="136" t="e">
        <f t="shared" ca="1" si="118"/>
        <v>#REF!</v>
      </c>
      <c r="I2333" s="134" t="e">
        <f t="shared" ca="1" si="119"/>
        <v>#REF!</v>
      </c>
      <c r="J2333" s="226"/>
    </row>
    <row r="2334" spans="1:11" hidden="1" x14ac:dyDescent="0.25">
      <c r="A2334" s="112" t="s">
        <v>5942</v>
      </c>
      <c r="B2334" s="113" t="s">
        <v>4710</v>
      </c>
      <c r="C2334" s="114" t="s">
        <v>20</v>
      </c>
      <c r="D2334" s="114">
        <v>0</v>
      </c>
      <c r="E2334" s="133">
        <f ca="1">OFFSET(INDEX(Composições!A:J,MATCH(Orçamentária!A2334,Composições!A:A,0),8),2,0)</f>
        <v>674.4905</v>
      </c>
      <c r="F2334" s="134">
        <f t="shared" ca="1" si="117"/>
        <v>0</v>
      </c>
      <c r="G2334" s="135" t="e">
        <f>IF(A2334&lt;&gt;"",IF(AND(#REF!="Padrão",$H$4=#REF!),BDI!$B$17,IF(AND(#REF!="Padrão",$H$4=#REF!),BDI!#REF!,IF(AND(#REF!="Diferenciado",$H$4=#REF!),BDI!$E$17,IF(AND(#REF!="Diferenciado",$H$4=#REF!),BDI!#REF!,IF(#REF!="ZERO",0))))),"")</f>
        <v>#REF!</v>
      </c>
      <c r="H2334" s="136" t="e">
        <f t="shared" ca="1" si="118"/>
        <v>#REF!</v>
      </c>
      <c r="I2334" s="134" t="e">
        <f t="shared" ca="1" si="119"/>
        <v>#REF!</v>
      </c>
      <c r="J2334" s="226"/>
    </row>
    <row r="2335" spans="1:11" hidden="1" x14ac:dyDescent="0.25">
      <c r="A2335" s="112" t="s">
        <v>5943</v>
      </c>
      <c r="B2335" s="113" t="s">
        <v>4711</v>
      </c>
      <c r="C2335" s="114" t="s">
        <v>20</v>
      </c>
      <c r="D2335" s="114">
        <v>0</v>
      </c>
      <c r="E2335" s="133">
        <f ca="1">OFFSET(INDEX(Composições!A:J,MATCH(Orçamentária!A2335,Composições!A:A,0),8),2,0)</f>
        <v>344.84050000000002</v>
      </c>
      <c r="F2335" s="134">
        <f t="shared" ca="1" si="117"/>
        <v>0</v>
      </c>
      <c r="G2335" s="135" t="e">
        <f>IF(A2335&lt;&gt;"",IF(AND(#REF!="Padrão",$H$4=#REF!),BDI!$B$17,IF(AND(#REF!="Padrão",$H$4=#REF!),BDI!#REF!,IF(AND(#REF!="Diferenciado",$H$4=#REF!),BDI!$E$17,IF(AND(#REF!="Diferenciado",$H$4=#REF!),BDI!#REF!,IF(#REF!="ZERO",0))))),"")</f>
        <v>#REF!</v>
      </c>
      <c r="H2335" s="136" t="e">
        <f t="shared" ca="1" si="118"/>
        <v>#REF!</v>
      </c>
      <c r="I2335" s="134" t="e">
        <f t="shared" ca="1" si="119"/>
        <v>#REF!</v>
      </c>
      <c r="J2335" s="226"/>
    </row>
    <row r="2336" spans="1:11" s="161" customFormat="1" hidden="1" x14ac:dyDescent="0.25">
      <c r="A2336" s="162" t="s">
        <v>5944</v>
      </c>
      <c r="B2336" s="163" t="s">
        <v>4712</v>
      </c>
      <c r="C2336" s="164" t="s">
        <v>20</v>
      </c>
      <c r="D2336" s="164">
        <v>35</v>
      </c>
      <c r="E2336" s="180">
        <v>29.5</v>
      </c>
      <c r="F2336" s="134">
        <f t="shared" si="117"/>
        <v>1032.5</v>
      </c>
      <c r="G2336" s="135">
        <f>BDI!$B$17</f>
        <v>0.191</v>
      </c>
      <c r="H2336" s="136">
        <f t="shared" si="118"/>
        <v>35.130000000000003</v>
      </c>
      <c r="I2336" s="182">
        <f t="shared" si="119"/>
        <v>1229.55</v>
      </c>
      <c r="J2336" s="226"/>
      <c r="K2336" s="224" t="s">
        <v>8074</v>
      </c>
    </row>
    <row r="2337" spans="1:10" hidden="1" x14ac:dyDescent="0.25">
      <c r="A2337" s="112" t="s">
        <v>5945</v>
      </c>
      <c r="B2337" s="113" t="s">
        <v>4713</v>
      </c>
      <c r="C2337" s="114" t="s">
        <v>20</v>
      </c>
      <c r="D2337" s="114">
        <v>0</v>
      </c>
      <c r="E2337" s="133" t="s">
        <v>514</v>
      </c>
      <c r="F2337" s="134" t="str">
        <f t="shared" si="117"/>
        <v/>
      </c>
      <c r="G2337" s="135" t="e">
        <f>IF(A2337&lt;&gt;"",IF(AND(#REF!="Padrão",$H$4=#REF!),BDI!$B$17,IF(AND(#REF!="Padrão",$H$4=#REF!),BDI!#REF!,IF(AND(#REF!="Diferenciado",$H$4=#REF!),BDI!$E$17,IF(AND(#REF!="Diferenciado",$H$4=#REF!),BDI!#REF!,IF(#REF!="ZERO",0))))),"")</f>
        <v>#REF!</v>
      </c>
      <c r="H2337" s="136" t="str">
        <f t="shared" si="118"/>
        <v/>
      </c>
      <c r="I2337" s="134" t="str">
        <f t="shared" si="119"/>
        <v/>
      </c>
      <c r="J2337" s="226"/>
    </row>
    <row r="2338" spans="1:10" hidden="1" x14ac:dyDescent="0.25">
      <c r="A2338" s="112" t="s">
        <v>5946</v>
      </c>
      <c r="B2338" s="113" t="s">
        <v>4714</v>
      </c>
      <c r="C2338" s="114" t="s">
        <v>20</v>
      </c>
      <c r="D2338" s="114">
        <v>0</v>
      </c>
      <c r="E2338" s="133" t="s">
        <v>514</v>
      </c>
      <c r="F2338" s="134" t="str">
        <f t="shared" si="117"/>
        <v/>
      </c>
      <c r="G2338" s="135" t="e">
        <f>IF(A2338&lt;&gt;"",IF(AND(#REF!="Padrão",$H$4=#REF!),BDI!$B$17,IF(AND(#REF!="Padrão",$H$4=#REF!),BDI!#REF!,IF(AND(#REF!="Diferenciado",$H$4=#REF!),BDI!$E$17,IF(AND(#REF!="Diferenciado",$H$4=#REF!),BDI!#REF!,IF(#REF!="ZERO",0))))),"")</f>
        <v>#REF!</v>
      </c>
      <c r="H2338" s="136" t="str">
        <f t="shared" si="118"/>
        <v/>
      </c>
      <c r="I2338" s="134" t="str">
        <f t="shared" si="119"/>
        <v/>
      </c>
      <c r="J2338" s="226"/>
    </row>
    <row r="2339" spans="1:10" hidden="1" x14ac:dyDescent="0.25">
      <c r="A2339" s="112" t="s">
        <v>5947</v>
      </c>
      <c r="B2339" s="113" t="s">
        <v>4715</v>
      </c>
      <c r="C2339" s="114" t="s">
        <v>20</v>
      </c>
      <c r="D2339" s="114">
        <v>0</v>
      </c>
      <c r="E2339" s="133" t="s">
        <v>514</v>
      </c>
      <c r="F2339" s="134" t="str">
        <f t="shared" si="117"/>
        <v/>
      </c>
      <c r="G2339" s="135" t="e">
        <f>IF(A2339&lt;&gt;"",IF(AND(#REF!="Padrão",$H$4=#REF!),BDI!$B$17,IF(AND(#REF!="Padrão",$H$4=#REF!),BDI!#REF!,IF(AND(#REF!="Diferenciado",$H$4=#REF!),BDI!$E$17,IF(AND(#REF!="Diferenciado",$H$4=#REF!),BDI!#REF!,IF(#REF!="ZERO",0))))),"")</f>
        <v>#REF!</v>
      </c>
      <c r="H2339" s="136" t="str">
        <f t="shared" si="118"/>
        <v/>
      </c>
      <c r="I2339" s="134" t="str">
        <f t="shared" si="119"/>
        <v/>
      </c>
      <c r="J2339" s="226"/>
    </row>
    <row r="2340" spans="1:10" hidden="1" x14ac:dyDescent="0.25">
      <c r="A2340" s="112" t="s">
        <v>5948</v>
      </c>
      <c r="B2340" s="113" t="s">
        <v>4716</v>
      </c>
      <c r="C2340" s="114" t="s">
        <v>20</v>
      </c>
      <c r="D2340" s="114">
        <v>0</v>
      </c>
      <c r="E2340" s="133" t="s">
        <v>514</v>
      </c>
      <c r="F2340" s="134" t="str">
        <f t="shared" si="117"/>
        <v/>
      </c>
      <c r="G2340" s="135" t="e">
        <f>IF(A2340&lt;&gt;"",IF(AND(#REF!="Padrão",$H$4=#REF!),BDI!$B$17,IF(AND(#REF!="Padrão",$H$4=#REF!),BDI!#REF!,IF(AND(#REF!="Diferenciado",$H$4=#REF!),BDI!$E$17,IF(AND(#REF!="Diferenciado",$H$4=#REF!),BDI!#REF!,IF(#REF!="ZERO",0))))),"")</f>
        <v>#REF!</v>
      </c>
      <c r="H2340" s="136" t="str">
        <f t="shared" si="118"/>
        <v/>
      </c>
      <c r="I2340" s="134" t="str">
        <f t="shared" si="119"/>
        <v/>
      </c>
      <c r="J2340" s="226"/>
    </row>
    <row r="2341" spans="1:10" hidden="1" x14ac:dyDescent="0.25">
      <c r="A2341" s="112" t="s">
        <v>5949</v>
      </c>
      <c r="B2341" s="113" t="s">
        <v>4717</v>
      </c>
      <c r="C2341" s="114" t="s">
        <v>20</v>
      </c>
      <c r="D2341" s="114">
        <v>0</v>
      </c>
      <c r="E2341" s="133" t="s">
        <v>514</v>
      </c>
      <c r="F2341" s="134" t="str">
        <f t="shared" si="117"/>
        <v/>
      </c>
      <c r="G2341" s="135" t="e">
        <f>IF(A2341&lt;&gt;"",IF(AND(#REF!="Padrão",$H$4=#REF!),BDI!$B$17,IF(AND(#REF!="Padrão",$H$4=#REF!),BDI!#REF!,IF(AND(#REF!="Diferenciado",$H$4=#REF!),BDI!$E$17,IF(AND(#REF!="Diferenciado",$H$4=#REF!),BDI!#REF!,IF(#REF!="ZERO",0))))),"")</f>
        <v>#REF!</v>
      </c>
      <c r="H2341" s="136" t="str">
        <f t="shared" si="118"/>
        <v/>
      </c>
      <c r="I2341" s="134" t="str">
        <f t="shared" si="119"/>
        <v/>
      </c>
      <c r="J2341" s="226"/>
    </row>
    <row r="2342" spans="1:10" hidden="1" x14ac:dyDescent="0.25">
      <c r="A2342" s="112" t="s">
        <v>5950</v>
      </c>
      <c r="B2342" s="113" t="s">
        <v>4718</v>
      </c>
      <c r="C2342" s="114" t="s">
        <v>20</v>
      </c>
      <c r="D2342" s="114">
        <v>0</v>
      </c>
      <c r="E2342" s="133" t="s">
        <v>514</v>
      </c>
      <c r="F2342" s="134" t="str">
        <f t="shared" si="117"/>
        <v/>
      </c>
      <c r="G2342" s="135" t="e">
        <f>IF(A2342&lt;&gt;"",IF(AND(#REF!="Padrão",$H$4=#REF!),BDI!$B$17,IF(AND(#REF!="Padrão",$H$4=#REF!),BDI!#REF!,IF(AND(#REF!="Diferenciado",$H$4=#REF!),BDI!$E$17,IF(AND(#REF!="Diferenciado",$H$4=#REF!),BDI!#REF!,IF(#REF!="ZERO",0))))),"")</f>
        <v>#REF!</v>
      </c>
      <c r="H2342" s="136" t="str">
        <f t="shared" si="118"/>
        <v/>
      </c>
      <c r="I2342" s="134" t="str">
        <f t="shared" si="119"/>
        <v/>
      </c>
      <c r="J2342" s="226"/>
    </row>
    <row r="2343" spans="1:10" hidden="1" x14ac:dyDescent="0.25">
      <c r="A2343" s="112" t="s">
        <v>5951</v>
      </c>
      <c r="B2343" s="113" t="s">
        <v>4719</v>
      </c>
      <c r="C2343" s="114" t="s">
        <v>20</v>
      </c>
      <c r="D2343" s="114">
        <v>0</v>
      </c>
      <c r="E2343" s="133" t="s">
        <v>514</v>
      </c>
      <c r="F2343" s="134" t="str">
        <f t="shared" si="117"/>
        <v/>
      </c>
      <c r="G2343" s="135" t="e">
        <f>IF(A2343&lt;&gt;"",IF(AND(#REF!="Padrão",$H$4=#REF!),BDI!$B$17,IF(AND(#REF!="Padrão",$H$4=#REF!),BDI!#REF!,IF(AND(#REF!="Diferenciado",$H$4=#REF!),BDI!$E$17,IF(AND(#REF!="Diferenciado",$H$4=#REF!),BDI!#REF!,IF(#REF!="ZERO",0))))),"")</f>
        <v>#REF!</v>
      </c>
      <c r="H2343" s="136" t="str">
        <f t="shared" si="118"/>
        <v/>
      </c>
      <c r="I2343" s="134" t="str">
        <f t="shared" si="119"/>
        <v/>
      </c>
      <c r="J2343" s="226"/>
    </row>
    <row r="2344" spans="1:10" hidden="1" x14ac:dyDescent="0.25">
      <c r="A2344" s="112" t="s">
        <v>5952</v>
      </c>
      <c r="B2344" s="113" t="s">
        <v>4720</v>
      </c>
      <c r="C2344" s="114" t="s">
        <v>20</v>
      </c>
      <c r="D2344" s="114">
        <v>0</v>
      </c>
      <c r="E2344" s="133" t="s">
        <v>514</v>
      </c>
      <c r="F2344" s="134" t="str">
        <f t="shared" si="117"/>
        <v/>
      </c>
      <c r="G2344" s="135" t="e">
        <f>IF(A2344&lt;&gt;"",IF(AND(#REF!="Padrão",$H$4=#REF!),BDI!$B$17,IF(AND(#REF!="Padrão",$H$4=#REF!),BDI!#REF!,IF(AND(#REF!="Diferenciado",$H$4=#REF!),BDI!$E$17,IF(AND(#REF!="Diferenciado",$H$4=#REF!),BDI!#REF!,IF(#REF!="ZERO",0))))),"")</f>
        <v>#REF!</v>
      </c>
      <c r="H2344" s="136" t="str">
        <f t="shared" si="118"/>
        <v/>
      </c>
      <c r="I2344" s="134" t="str">
        <f t="shared" si="119"/>
        <v/>
      </c>
      <c r="J2344" s="226"/>
    </row>
    <row r="2345" spans="1:10" hidden="1" x14ac:dyDescent="0.25">
      <c r="A2345" s="112" t="s">
        <v>5953</v>
      </c>
      <c r="B2345" s="113" t="s">
        <v>4721</v>
      </c>
      <c r="C2345" s="114" t="s">
        <v>20</v>
      </c>
      <c r="D2345" s="114">
        <v>0</v>
      </c>
      <c r="E2345" s="133" t="s">
        <v>514</v>
      </c>
      <c r="F2345" s="134" t="str">
        <f t="shared" si="117"/>
        <v/>
      </c>
      <c r="G2345" s="135" t="e">
        <f>IF(A2345&lt;&gt;"",IF(AND(#REF!="Padrão",$H$4=#REF!),BDI!$B$17,IF(AND(#REF!="Padrão",$H$4=#REF!),BDI!#REF!,IF(AND(#REF!="Diferenciado",$H$4=#REF!),BDI!$E$17,IF(AND(#REF!="Diferenciado",$H$4=#REF!),BDI!#REF!,IF(#REF!="ZERO",0))))),"")</f>
        <v>#REF!</v>
      </c>
      <c r="H2345" s="136" t="str">
        <f t="shared" si="118"/>
        <v/>
      </c>
      <c r="I2345" s="134" t="str">
        <f t="shared" si="119"/>
        <v/>
      </c>
      <c r="J2345" s="226"/>
    </row>
    <row r="2346" spans="1:10" hidden="1" x14ac:dyDescent="0.25">
      <c r="A2346" s="112" t="s">
        <v>5954</v>
      </c>
      <c r="B2346" s="113" t="s">
        <v>4722</v>
      </c>
      <c r="C2346" s="114" t="s">
        <v>20</v>
      </c>
      <c r="D2346" s="114">
        <v>0</v>
      </c>
      <c r="E2346" s="133" t="s">
        <v>514</v>
      </c>
      <c r="F2346" s="134" t="str">
        <f t="shared" si="117"/>
        <v/>
      </c>
      <c r="G2346" s="135" t="e">
        <f>IF(A2346&lt;&gt;"",IF(AND(#REF!="Padrão",$H$4=#REF!),BDI!$B$17,IF(AND(#REF!="Padrão",$H$4=#REF!),BDI!#REF!,IF(AND(#REF!="Diferenciado",$H$4=#REF!),BDI!$E$17,IF(AND(#REF!="Diferenciado",$H$4=#REF!),BDI!#REF!,IF(#REF!="ZERO",0))))),"")</f>
        <v>#REF!</v>
      </c>
      <c r="H2346" s="136" t="str">
        <f t="shared" si="118"/>
        <v/>
      </c>
      <c r="I2346" s="134" t="str">
        <f t="shared" si="119"/>
        <v/>
      </c>
      <c r="J2346" s="226"/>
    </row>
    <row r="2347" spans="1:10" hidden="1" x14ac:dyDescent="0.25">
      <c r="A2347" s="112" t="s">
        <v>5955</v>
      </c>
      <c r="B2347" s="113" t="s">
        <v>4723</v>
      </c>
      <c r="C2347" s="114" t="s">
        <v>20</v>
      </c>
      <c r="D2347" s="114">
        <v>0</v>
      </c>
      <c r="E2347" s="133" t="s">
        <v>514</v>
      </c>
      <c r="F2347" s="134" t="str">
        <f t="shared" si="117"/>
        <v/>
      </c>
      <c r="G2347" s="135" t="e">
        <f>IF(A2347&lt;&gt;"",IF(AND(#REF!="Padrão",$H$4=#REF!),BDI!$B$17,IF(AND(#REF!="Padrão",$H$4=#REF!),BDI!#REF!,IF(AND(#REF!="Diferenciado",$H$4=#REF!),BDI!$E$17,IF(AND(#REF!="Diferenciado",$H$4=#REF!),BDI!#REF!,IF(#REF!="ZERO",0))))),"")</f>
        <v>#REF!</v>
      </c>
      <c r="H2347" s="136" t="str">
        <f t="shared" si="118"/>
        <v/>
      </c>
      <c r="I2347" s="134" t="str">
        <f t="shared" si="119"/>
        <v/>
      </c>
      <c r="J2347" s="226"/>
    </row>
    <row r="2348" spans="1:10" hidden="1" x14ac:dyDescent="0.25">
      <c r="A2348" s="112" t="s">
        <v>5956</v>
      </c>
      <c r="B2348" s="113" t="s">
        <v>4724</v>
      </c>
      <c r="C2348" s="114" t="s">
        <v>20</v>
      </c>
      <c r="D2348" s="114">
        <v>0</v>
      </c>
      <c r="E2348" s="133" t="s">
        <v>514</v>
      </c>
      <c r="F2348" s="134" t="str">
        <f t="shared" si="117"/>
        <v/>
      </c>
      <c r="G2348" s="135" t="e">
        <f>IF(A2348&lt;&gt;"",IF(AND(#REF!="Padrão",$H$4=#REF!),BDI!$B$17,IF(AND(#REF!="Padrão",$H$4=#REF!),BDI!#REF!,IF(AND(#REF!="Diferenciado",$H$4=#REF!),BDI!$E$17,IF(AND(#REF!="Diferenciado",$H$4=#REF!),BDI!#REF!,IF(#REF!="ZERO",0))))),"")</f>
        <v>#REF!</v>
      </c>
      <c r="H2348" s="136" t="str">
        <f t="shared" si="118"/>
        <v/>
      </c>
      <c r="I2348" s="134" t="str">
        <f t="shared" si="119"/>
        <v/>
      </c>
      <c r="J2348" s="226"/>
    </row>
    <row r="2349" spans="1:10" hidden="1" x14ac:dyDescent="0.25">
      <c r="A2349" s="112" t="s">
        <v>5957</v>
      </c>
      <c r="B2349" s="113" t="s">
        <v>4725</v>
      </c>
      <c r="C2349" s="114" t="s">
        <v>20</v>
      </c>
      <c r="D2349" s="114">
        <v>0</v>
      </c>
      <c r="E2349" s="133" t="s">
        <v>514</v>
      </c>
      <c r="F2349" s="134" t="str">
        <f t="shared" ref="F2349:F2412" si="120">IF(ISNUMBER(E2349),D2349*E2349,"")</f>
        <v/>
      </c>
      <c r="G2349" s="135" t="e">
        <f>IF(A2349&lt;&gt;"",IF(AND(#REF!="Padrão",$H$4=#REF!),BDI!$B$17,IF(AND(#REF!="Padrão",$H$4=#REF!),BDI!#REF!,IF(AND(#REF!="Diferenciado",$H$4=#REF!),BDI!$E$17,IF(AND(#REF!="Diferenciado",$H$4=#REF!),BDI!#REF!,IF(#REF!="ZERO",0))))),"")</f>
        <v>#REF!</v>
      </c>
      <c r="H2349" s="136" t="str">
        <f t="shared" ref="H2349:H2412" si="121">IF(ISNUMBER(E2349),ROUND(E2349*(1+G2349),2),"")</f>
        <v/>
      </c>
      <c r="I2349" s="134" t="str">
        <f t="shared" ref="I2349:I2412" si="122">IF(ISNUMBER(E2349),ROUND(H2349*D2349,2),"")</f>
        <v/>
      </c>
      <c r="J2349" s="226"/>
    </row>
    <row r="2350" spans="1:10" hidden="1" x14ac:dyDescent="0.25">
      <c r="A2350" s="112" t="s">
        <v>5958</v>
      </c>
      <c r="B2350" s="113" t="s">
        <v>4726</v>
      </c>
      <c r="C2350" s="114" t="s">
        <v>20</v>
      </c>
      <c r="D2350" s="114">
        <v>0</v>
      </c>
      <c r="E2350" s="133" t="s">
        <v>514</v>
      </c>
      <c r="F2350" s="134" t="str">
        <f t="shared" si="120"/>
        <v/>
      </c>
      <c r="G2350" s="135" t="e">
        <f>IF(A2350&lt;&gt;"",IF(AND(#REF!="Padrão",$H$4=#REF!),BDI!$B$17,IF(AND(#REF!="Padrão",$H$4=#REF!),BDI!#REF!,IF(AND(#REF!="Diferenciado",$H$4=#REF!),BDI!$E$17,IF(AND(#REF!="Diferenciado",$H$4=#REF!),BDI!#REF!,IF(#REF!="ZERO",0))))),"")</f>
        <v>#REF!</v>
      </c>
      <c r="H2350" s="136" t="str">
        <f t="shared" si="121"/>
        <v/>
      </c>
      <c r="I2350" s="134" t="str">
        <f t="shared" si="122"/>
        <v/>
      </c>
      <c r="J2350" s="226"/>
    </row>
    <row r="2351" spans="1:10" hidden="1" x14ac:dyDescent="0.25">
      <c r="A2351" s="112" t="s">
        <v>5959</v>
      </c>
      <c r="B2351" s="113" t="s">
        <v>4727</v>
      </c>
      <c r="C2351" s="114" t="s">
        <v>20</v>
      </c>
      <c r="D2351" s="114">
        <v>0</v>
      </c>
      <c r="E2351" s="133" t="s">
        <v>514</v>
      </c>
      <c r="F2351" s="134" t="str">
        <f t="shared" si="120"/>
        <v/>
      </c>
      <c r="G2351" s="135" t="e">
        <f>IF(A2351&lt;&gt;"",IF(AND(#REF!="Padrão",$H$4=#REF!),BDI!$B$17,IF(AND(#REF!="Padrão",$H$4=#REF!),BDI!#REF!,IF(AND(#REF!="Diferenciado",$H$4=#REF!),BDI!$E$17,IF(AND(#REF!="Diferenciado",$H$4=#REF!),BDI!#REF!,IF(#REF!="ZERO",0))))),"")</f>
        <v>#REF!</v>
      </c>
      <c r="H2351" s="136" t="str">
        <f t="shared" si="121"/>
        <v/>
      </c>
      <c r="I2351" s="134" t="str">
        <f t="shared" si="122"/>
        <v/>
      </c>
      <c r="J2351" s="226"/>
    </row>
    <row r="2352" spans="1:10" hidden="1" x14ac:dyDescent="0.25">
      <c r="A2352" s="112" t="s">
        <v>5960</v>
      </c>
      <c r="B2352" s="113" t="s">
        <v>4728</v>
      </c>
      <c r="C2352" s="114" t="s">
        <v>20</v>
      </c>
      <c r="D2352" s="114">
        <v>0</v>
      </c>
      <c r="E2352" s="133" t="s">
        <v>514</v>
      </c>
      <c r="F2352" s="134" t="str">
        <f t="shared" si="120"/>
        <v/>
      </c>
      <c r="G2352" s="135" t="e">
        <f>IF(A2352&lt;&gt;"",IF(AND(#REF!="Padrão",$H$4=#REF!),BDI!$B$17,IF(AND(#REF!="Padrão",$H$4=#REF!),BDI!#REF!,IF(AND(#REF!="Diferenciado",$H$4=#REF!),BDI!$E$17,IF(AND(#REF!="Diferenciado",$H$4=#REF!),BDI!#REF!,IF(#REF!="ZERO",0))))),"")</f>
        <v>#REF!</v>
      </c>
      <c r="H2352" s="136" t="str">
        <f t="shared" si="121"/>
        <v/>
      </c>
      <c r="I2352" s="134" t="str">
        <f t="shared" si="122"/>
        <v/>
      </c>
      <c r="J2352" s="226"/>
    </row>
    <row r="2353" spans="1:10" hidden="1" x14ac:dyDescent="0.25">
      <c r="A2353" s="112" t="s">
        <v>5961</v>
      </c>
      <c r="B2353" s="113" t="s">
        <v>4729</v>
      </c>
      <c r="C2353" s="114" t="s">
        <v>20</v>
      </c>
      <c r="D2353" s="114">
        <v>0</v>
      </c>
      <c r="E2353" s="133" t="s">
        <v>514</v>
      </c>
      <c r="F2353" s="134" t="str">
        <f t="shared" si="120"/>
        <v/>
      </c>
      <c r="G2353" s="135" t="e">
        <f>IF(A2353&lt;&gt;"",IF(AND(#REF!="Padrão",$H$4=#REF!),BDI!$B$17,IF(AND(#REF!="Padrão",$H$4=#REF!),BDI!#REF!,IF(AND(#REF!="Diferenciado",$H$4=#REF!),BDI!$E$17,IF(AND(#REF!="Diferenciado",$H$4=#REF!),BDI!#REF!,IF(#REF!="ZERO",0))))),"")</f>
        <v>#REF!</v>
      </c>
      <c r="H2353" s="136" t="str">
        <f t="shared" si="121"/>
        <v/>
      </c>
      <c r="I2353" s="134" t="str">
        <f t="shared" si="122"/>
        <v/>
      </c>
      <c r="J2353" s="226"/>
    </row>
    <row r="2354" spans="1:10" hidden="1" x14ac:dyDescent="0.25">
      <c r="A2354" s="112" t="s">
        <v>5962</v>
      </c>
      <c r="B2354" s="113" t="s">
        <v>4730</v>
      </c>
      <c r="C2354" s="114" t="s">
        <v>20</v>
      </c>
      <c r="D2354" s="114">
        <v>0</v>
      </c>
      <c r="E2354" s="133" t="s">
        <v>514</v>
      </c>
      <c r="F2354" s="134" t="str">
        <f t="shared" si="120"/>
        <v/>
      </c>
      <c r="G2354" s="135" t="e">
        <f>IF(A2354&lt;&gt;"",IF(AND(#REF!="Padrão",$H$4=#REF!),BDI!$B$17,IF(AND(#REF!="Padrão",$H$4=#REF!),BDI!#REF!,IF(AND(#REF!="Diferenciado",$H$4=#REF!),BDI!$E$17,IF(AND(#REF!="Diferenciado",$H$4=#REF!),BDI!#REF!,IF(#REF!="ZERO",0))))),"")</f>
        <v>#REF!</v>
      </c>
      <c r="H2354" s="136" t="str">
        <f t="shared" si="121"/>
        <v/>
      </c>
      <c r="I2354" s="134" t="str">
        <f t="shared" si="122"/>
        <v/>
      </c>
      <c r="J2354" s="226"/>
    </row>
    <row r="2355" spans="1:10" hidden="1" x14ac:dyDescent="0.25">
      <c r="A2355" s="112" t="s">
        <v>5963</v>
      </c>
      <c r="B2355" s="113" t="s">
        <v>4731</v>
      </c>
      <c r="C2355" s="114" t="s">
        <v>20</v>
      </c>
      <c r="D2355" s="114">
        <v>0</v>
      </c>
      <c r="E2355" s="133" t="s">
        <v>514</v>
      </c>
      <c r="F2355" s="134" t="str">
        <f t="shared" si="120"/>
        <v/>
      </c>
      <c r="G2355" s="135" t="e">
        <f>IF(A2355&lt;&gt;"",IF(AND(#REF!="Padrão",$H$4=#REF!),BDI!$B$17,IF(AND(#REF!="Padrão",$H$4=#REF!),BDI!#REF!,IF(AND(#REF!="Diferenciado",$H$4=#REF!),BDI!$E$17,IF(AND(#REF!="Diferenciado",$H$4=#REF!),BDI!#REF!,IF(#REF!="ZERO",0))))),"")</f>
        <v>#REF!</v>
      </c>
      <c r="H2355" s="136" t="str">
        <f t="shared" si="121"/>
        <v/>
      </c>
      <c r="I2355" s="134" t="str">
        <f t="shared" si="122"/>
        <v/>
      </c>
      <c r="J2355" s="226"/>
    </row>
    <row r="2356" spans="1:10" hidden="1" x14ac:dyDescent="0.25">
      <c r="A2356" s="112" t="s">
        <v>5964</v>
      </c>
      <c r="B2356" s="113" t="s">
        <v>4732</v>
      </c>
      <c r="C2356" s="114" t="s">
        <v>20</v>
      </c>
      <c r="D2356" s="114">
        <v>0</v>
      </c>
      <c r="E2356" s="133" t="s">
        <v>514</v>
      </c>
      <c r="F2356" s="134" t="str">
        <f t="shared" si="120"/>
        <v/>
      </c>
      <c r="G2356" s="135" t="e">
        <f>IF(A2356&lt;&gt;"",IF(AND(#REF!="Padrão",$H$4=#REF!),BDI!$B$17,IF(AND(#REF!="Padrão",$H$4=#REF!),BDI!#REF!,IF(AND(#REF!="Diferenciado",$H$4=#REF!),BDI!$E$17,IF(AND(#REF!="Diferenciado",$H$4=#REF!),BDI!#REF!,IF(#REF!="ZERO",0))))),"")</f>
        <v>#REF!</v>
      </c>
      <c r="H2356" s="136" t="str">
        <f t="shared" si="121"/>
        <v/>
      </c>
      <c r="I2356" s="134" t="str">
        <f t="shared" si="122"/>
        <v/>
      </c>
      <c r="J2356" s="226"/>
    </row>
    <row r="2357" spans="1:10" hidden="1" x14ac:dyDescent="0.25">
      <c r="A2357" s="112" t="s">
        <v>5965</v>
      </c>
      <c r="B2357" s="113" t="s">
        <v>4733</v>
      </c>
      <c r="C2357" s="114" t="s">
        <v>20</v>
      </c>
      <c r="D2357" s="114">
        <v>0</v>
      </c>
      <c r="E2357" s="133" t="s">
        <v>514</v>
      </c>
      <c r="F2357" s="134" t="str">
        <f t="shared" si="120"/>
        <v/>
      </c>
      <c r="G2357" s="135" t="e">
        <f>IF(A2357&lt;&gt;"",IF(AND(#REF!="Padrão",$H$4=#REF!),BDI!$B$17,IF(AND(#REF!="Padrão",$H$4=#REF!),BDI!#REF!,IF(AND(#REF!="Diferenciado",$H$4=#REF!),BDI!$E$17,IF(AND(#REF!="Diferenciado",$H$4=#REF!),BDI!#REF!,IF(#REF!="ZERO",0))))),"")</f>
        <v>#REF!</v>
      </c>
      <c r="H2357" s="136" t="str">
        <f t="shared" si="121"/>
        <v/>
      </c>
      <c r="I2357" s="134" t="str">
        <f t="shared" si="122"/>
        <v/>
      </c>
      <c r="J2357" s="226"/>
    </row>
    <row r="2358" spans="1:10" hidden="1" x14ac:dyDescent="0.25">
      <c r="A2358" s="112" t="s">
        <v>5966</v>
      </c>
      <c r="B2358" s="113" t="s">
        <v>4734</v>
      </c>
      <c r="C2358" s="114" t="s">
        <v>20</v>
      </c>
      <c r="D2358" s="114">
        <v>0</v>
      </c>
      <c r="E2358" s="133" t="s">
        <v>514</v>
      </c>
      <c r="F2358" s="134" t="str">
        <f t="shared" si="120"/>
        <v/>
      </c>
      <c r="G2358" s="135" t="e">
        <f>IF(A2358&lt;&gt;"",IF(AND(#REF!="Padrão",$H$4=#REF!),BDI!$B$17,IF(AND(#REF!="Padrão",$H$4=#REF!),BDI!#REF!,IF(AND(#REF!="Diferenciado",$H$4=#REF!),BDI!$E$17,IF(AND(#REF!="Diferenciado",$H$4=#REF!),BDI!#REF!,IF(#REF!="ZERO",0))))),"")</f>
        <v>#REF!</v>
      </c>
      <c r="H2358" s="136" t="str">
        <f t="shared" si="121"/>
        <v/>
      </c>
      <c r="I2358" s="134" t="str">
        <f t="shared" si="122"/>
        <v/>
      </c>
      <c r="J2358" s="226"/>
    </row>
    <row r="2359" spans="1:10" hidden="1" x14ac:dyDescent="0.25">
      <c r="A2359" s="112" t="s">
        <v>5967</v>
      </c>
      <c r="B2359" s="113" t="s">
        <v>4735</v>
      </c>
      <c r="C2359" s="114" t="s">
        <v>20</v>
      </c>
      <c r="D2359" s="114">
        <v>0</v>
      </c>
      <c r="E2359" s="133" t="s">
        <v>514</v>
      </c>
      <c r="F2359" s="134" t="str">
        <f t="shared" si="120"/>
        <v/>
      </c>
      <c r="G2359" s="135" t="e">
        <f>IF(A2359&lt;&gt;"",IF(AND(#REF!="Padrão",$H$4=#REF!),BDI!$B$17,IF(AND(#REF!="Padrão",$H$4=#REF!),BDI!#REF!,IF(AND(#REF!="Diferenciado",$H$4=#REF!),BDI!$E$17,IF(AND(#REF!="Diferenciado",$H$4=#REF!),BDI!#REF!,IF(#REF!="ZERO",0))))),"")</f>
        <v>#REF!</v>
      </c>
      <c r="H2359" s="136" t="str">
        <f t="shared" si="121"/>
        <v/>
      </c>
      <c r="I2359" s="134" t="str">
        <f t="shared" si="122"/>
        <v/>
      </c>
      <c r="J2359" s="226"/>
    </row>
    <row r="2360" spans="1:10" hidden="1" x14ac:dyDescent="0.25">
      <c r="A2360" s="112" t="s">
        <v>5968</v>
      </c>
      <c r="B2360" s="113" t="s">
        <v>4736</v>
      </c>
      <c r="C2360" s="114" t="s">
        <v>20</v>
      </c>
      <c r="D2360" s="114">
        <v>0</v>
      </c>
      <c r="E2360" s="133" t="s">
        <v>514</v>
      </c>
      <c r="F2360" s="134" t="str">
        <f t="shared" si="120"/>
        <v/>
      </c>
      <c r="G2360" s="135" t="e">
        <f>IF(A2360&lt;&gt;"",IF(AND(#REF!="Padrão",$H$4=#REF!),BDI!$B$17,IF(AND(#REF!="Padrão",$H$4=#REF!),BDI!#REF!,IF(AND(#REF!="Diferenciado",$H$4=#REF!),BDI!$E$17,IF(AND(#REF!="Diferenciado",$H$4=#REF!),BDI!#REF!,IF(#REF!="ZERO",0))))),"")</f>
        <v>#REF!</v>
      </c>
      <c r="H2360" s="136" t="str">
        <f t="shared" si="121"/>
        <v/>
      </c>
      <c r="I2360" s="134" t="str">
        <f t="shared" si="122"/>
        <v/>
      </c>
      <c r="J2360" s="226"/>
    </row>
    <row r="2361" spans="1:10" hidden="1" x14ac:dyDescent="0.25">
      <c r="A2361" s="112" t="s">
        <v>5969</v>
      </c>
      <c r="B2361" s="113" t="s">
        <v>4737</v>
      </c>
      <c r="C2361" s="114" t="s">
        <v>20</v>
      </c>
      <c r="D2361" s="114">
        <v>0</v>
      </c>
      <c r="E2361" s="133" t="s">
        <v>514</v>
      </c>
      <c r="F2361" s="134" t="str">
        <f t="shared" si="120"/>
        <v/>
      </c>
      <c r="G2361" s="135" t="e">
        <f>IF(A2361&lt;&gt;"",IF(AND(#REF!="Padrão",$H$4=#REF!),BDI!$B$17,IF(AND(#REF!="Padrão",$H$4=#REF!),BDI!#REF!,IF(AND(#REF!="Diferenciado",$H$4=#REF!),BDI!$E$17,IF(AND(#REF!="Diferenciado",$H$4=#REF!),BDI!#REF!,IF(#REF!="ZERO",0))))),"")</f>
        <v>#REF!</v>
      </c>
      <c r="H2361" s="136" t="str">
        <f t="shared" si="121"/>
        <v/>
      </c>
      <c r="I2361" s="134" t="str">
        <f t="shared" si="122"/>
        <v/>
      </c>
      <c r="J2361" s="226"/>
    </row>
    <row r="2362" spans="1:10" hidden="1" x14ac:dyDescent="0.25">
      <c r="A2362" s="112" t="s">
        <v>5970</v>
      </c>
      <c r="B2362" s="113" t="s">
        <v>4738</v>
      </c>
      <c r="C2362" s="114" t="s">
        <v>20</v>
      </c>
      <c r="D2362" s="114">
        <v>0</v>
      </c>
      <c r="E2362" s="133" t="s">
        <v>514</v>
      </c>
      <c r="F2362" s="134" t="str">
        <f t="shared" si="120"/>
        <v/>
      </c>
      <c r="G2362" s="135" t="e">
        <f>IF(A2362&lt;&gt;"",IF(AND(#REF!="Padrão",$H$4=#REF!),BDI!$B$17,IF(AND(#REF!="Padrão",$H$4=#REF!),BDI!#REF!,IF(AND(#REF!="Diferenciado",$H$4=#REF!),BDI!$E$17,IF(AND(#REF!="Diferenciado",$H$4=#REF!),BDI!#REF!,IF(#REF!="ZERO",0))))),"")</f>
        <v>#REF!</v>
      </c>
      <c r="H2362" s="136" t="str">
        <f t="shared" si="121"/>
        <v/>
      </c>
      <c r="I2362" s="134" t="str">
        <f t="shared" si="122"/>
        <v/>
      </c>
      <c r="J2362" s="226"/>
    </row>
    <row r="2363" spans="1:10" hidden="1" x14ac:dyDescent="0.25">
      <c r="A2363" s="112" t="s">
        <v>5971</v>
      </c>
      <c r="B2363" s="113" t="s">
        <v>4739</v>
      </c>
      <c r="C2363" s="114" t="s">
        <v>20</v>
      </c>
      <c r="D2363" s="114">
        <v>0</v>
      </c>
      <c r="E2363" s="133" t="s">
        <v>514</v>
      </c>
      <c r="F2363" s="134" t="str">
        <f t="shared" si="120"/>
        <v/>
      </c>
      <c r="G2363" s="135" t="e">
        <f>IF(A2363&lt;&gt;"",IF(AND(#REF!="Padrão",$H$4=#REF!),BDI!$B$17,IF(AND(#REF!="Padrão",$H$4=#REF!),BDI!#REF!,IF(AND(#REF!="Diferenciado",$H$4=#REF!),BDI!$E$17,IF(AND(#REF!="Diferenciado",$H$4=#REF!),BDI!#REF!,IF(#REF!="ZERO",0))))),"")</f>
        <v>#REF!</v>
      </c>
      <c r="H2363" s="136" t="str">
        <f t="shared" si="121"/>
        <v/>
      </c>
      <c r="I2363" s="134" t="str">
        <f t="shared" si="122"/>
        <v/>
      </c>
      <c r="J2363" s="226"/>
    </row>
    <row r="2364" spans="1:10" hidden="1" x14ac:dyDescent="0.25">
      <c r="A2364" s="112" t="s">
        <v>5972</v>
      </c>
      <c r="B2364" s="113" t="s">
        <v>4740</v>
      </c>
      <c r="C2364" s="114" t="s">
        <v>20</v>
      </c>
      <c r="D2364" s="114">
        <v>0</v>
      </c>
      <c r="E2364" s="133" t="s">
        <v>514</v>
      </c>
      <c r="F2364" s="134" t="str">
        <f t="shared" si="120"/>
        <v/>
      </c>
      <c r="G2364" s="135" t="e">
        <f>IF(A2364&lt;&gt;"",IF(AND(#REF!="Padrão",$H$4=#REF!),BDI!$B$17,IF(AND(#REF!="Padrão",$H$4=#REF!),BDI!#REF!,IF(AND(#REF!="Diferenciado",$H$4=#REF!),BDI!$E$17,IF(AND(#REF!="Diferenciado",$H$4=#REF!),BDI!#REF!,IF(#REF!="ZERO",0))))),"")</f>
        <v>#REF!</v>
      </c>
      <c r="H2364" s="136" t="str">
        <f t="shared" si="121"/>
        <v/>
      </c>
      <c r="I2364" s="134" t="str">
        <f t="shared" si="122"/>
        <v/>
      </c>
      <c r="J2364" s="226"/>
    </row>
    <row r="2365" spans="1:10" hidden="1" x14ac:dyDescent="0.25">
      <c r="A2365" s="112" t="s">
        <v>5973</v>
      </c>
      <c r="B2365" s="113" t="s">
        <v>4741</v>
      </c>
      <c r="C2365" s="114" t="s">
        <v>20</v>
      </c>
      <c r="D2365" s="114">
        <v>0</v>
      </c>
      <c r="E2365" s="133" t="s">
        <v>514</v>
      </c>
      <c r="F2365" s="134" t="str">
        <f t="shared" si="120"/>
        <v/>
      </c>
      <c r="G2365" s="135" t="e">
        <f>IF(A2365&lt;&gt;"",IF(AND(#REF!="Padrão",$H$4=#REF!),BDI!$B$17,IF(AND(#REF!="Padrão",$H$4=#REF!),BDI!#REF!,IF(AND(#REF!="Diferenciado",$H$4=#REF!),BDI!$E$17,IF(AND(#REF!="Diferenciado",$H$4=#REF!),BDI!#REF!,IF(#REF!="ZERO",0))))),"")</f>
        <v>#REF!</v>
      </c>
      <c r="H2365" s="136" t="str">
        <f t="shared" si="121"/>
        <v/>
      </c>
      <c r="I2365" s="134" t="str">
        <f t="shared" si="122"/>
        <v/>
      </c>
      <c r="J2365" s="226"/>
    </row>
    <row r="2366" spans="1:10" hidden="1" x14ac:dyDescent="0.25">
      <c r="A2366" s="112" t="s">
        <v>5974</v>
      </c>
      <c r="B2366" s="113" t="s">
        <v>4742</v>
      </c>
      <c r="C2366" s="114" t="s">
        <v>20</v>
      </c>
      <c r="D2366" s="114">
        <v>0</v>
      </c>
      <c r="E2366" s="133" t="s">
        <v>514</v>
      </c>
      <c r="F2366" s="134" t="str">
        <f t="shared" si="120"/>
        <v/>
      </c>
      <c r="G2366" s="135" t="e">
        <f>IF(A2366&lt;&gt;"",IF(AND(#REF!="Padrão",$H$4=#REF!),BDI!$B$17,IF(AND(#REF!="Padrão",$H$4=#REF!),BDI!#REF!,IF(AND(#REF!="Diferenciado",$H$4=#REF!),BDI!$E$17,IF(AND(#REF!="Diferenciado",$H$4=#REF!),BDI!#REF!,IF(#REF!="ZERO",0))))),"")</f>
        <v>#REF!</v>
      </c>
      <c r="H2366" s="136" t="str">
        <f t="shared" si="121"/>
        <v/>
      </c>
      <c r="I2366" s="134" t="str">
        <f t="shared" si="122"/>
        <v/>
      </c>
      <c r="J2366" s="226"/>
    </row>
    <row r="2367" spans="1:10" hidden="1" x14ac:dyDescent="0.25">
      <c r="A2367" s="112" t="s">
        <v>5975</v>
      </c>
      <c r="B2367" s="113" t="s">
        <v>4743</v>
      </c>
      <c r="C2367" s="114" t="s">
        <v>20</v>
      </c>
      <c r="D2367" s="114">
        <v>0</v>
      </c>
      <c r="E2367" s="133" t="s">
        <v>514</v>
      </c>
      <c r="F2367" s="134" t="str">
        <f t="shared" si="120"/>
        <v/>
      </c>
      <c r="G2367" s="135" t="e">
        <f>IF(A2367&lt;&gt;"",IF(AND(#REF!="Padrão",$H$4=#REF!),BDI!$B$17,IF(AND(#REF!="Padrão",$H$4=#REF!),BDI!#REF!,IF(AND(#REF!="Diferenciado",$H$4=#REF!),BDI!$E$17,IF(AND(#REF!="Diferenciado",$H$4=#REF!),BDI!#REF!,IF(#REF!="ZERO",0))))),"")</f>
        <v>#REF!</v>
      </c>
      <c r="H2367" s="136" t="str">
        <f t="shared" si="121"/>
        <v/>
      </c>
      <c r="I2367" s="134" t="str">
        <f t="shared" si="122"/>
        <v/>
      </c>
      <c r="J2367" s="226"/>
    </row>
    <row r="2368" spans="1:10" hidden="1" x14ac:dyDescent="0.25">
      <c r="A2368" s="112" t="s">
        <v>5976</v>
      </c>
      <c r="B2368" s="113" t="s">
        <v>4744</v>
      </c>
      <c r="C2368" s="114" t="s">
        <v>94</v>
      </c>
      <c r="D2368" s="114">
        <v>0</v>
      </c>
      <c r="E2368" s="133">
        <f ca="1">OFFSET(INDEX(Composições!A:J,MATCH(Orçamentária!A2368,Composições!A:A,0),8),2,0)</f>
        <v>562.13017751479288</v>
      </c>
      <c r="F2368" s="134">
        <f t="shared" ca="1" si="120"/>
        <v>0</v>
      </c>
      <c r="G2368" s="135" t="e">
        <f>IF(A2368&lt;&gt;"",IF(AND(#REF!="Padrão",$H$4=#REF!),BDI!$B$17,IF(AND(#REF!="Padrão",$H$4=#REF!),BDI!#REF!,IF(AND(#REF!="Diferenciado",$H$4=#REF!),BDI!$E$17,IF(AND(#REF!="Diferenciado",$H$4=#REF!),BDI!#REF!,IF(#REF!="ZERO",0))))),"")</f>
        <v>#REF!</v>
      </c>
      <c r="H2368" s="136" t="e">
        <f t="shared" ca="1" si="121"/>
        <v>#REF!</v>
      </c>
      <c r="I2368" s="134" t="e">
        <f t="shared" ca="1" si="122"/>
        <v>#REF!</v>
      </c>
      <c r="J2368" s="226"/>
    </row>
    <row r="2369" spans="1:10" hidden="1" x14ac:dyDescent="0.25">
      <c r="A2369" s="112" t="s">
        <v>5977</v>
      </c>
      <c r="B2369" s="113" t="s">
        <v>4745</v>
      </c>
      <c r="C2369" s="114" t="s">
        <v>20</v>
      </c>
      <c r="D2369" s="114">
        <v>0</v>
      </c>
      <c r="E2369" s="133" t="s">
        <v>514</v>
      </c>
      <c r="F2369" s="134" t="str">
        <f t="shared" si="120"/>
        <v/>
      </c>
      <c r="G2369" s="135" t="e">
        <f>IF(A2369&lt;&gt;"",IF(AND(#REF!="Padrão",$H$4=#REF!),BDI!$B$17,IF(AND(#REF!="Padrão",$H$4=#REF!),BDI!#REF!,IF(AND(#REF!="Diferenciado",$H$4=#REF!),BDI!$E$17,IF(AND(#REF!="Diferenciado",$H$4=#REF!),BDI!#REF!,IF(#REF!="ZERO",0))))),"")</f>
        <v>#REF!</v>
      </c>
      <c r="H2369" s="136" t="str">
        <f t="shared" si="121"/>
        <v/>
      </c>
      <c r="I2369" s="134" t="str">
        <f t="shared" si="122"/>
        <v/>
      </c>
      <c r="J2369" s="226"/>
    </row>
    <row r="2370" spans="1:10" hidden="1" x14ac:dyDescent="0.25">
      <c r="A2370" s="112" t="s">
        <v>5978</v>
      </c>
      <c r="B2370" s="113" t="s">
        <v>4746</v>
      </c>
      <c r="C2370" s="114" t="s">
        <v>20</v>
      </c>
      <c r="D2370" s="114">
        <v>0</v>
      </c>
      <c r="E2370" s="133" t="s">
        <v>514</v>
      </c>
      <c r="F2370" s="134" t="str">
        <f t="shared" si="120"/>
        <v/>
      </c>
      <c r="G2370" s="135" t="e">
        <f>IF(A2370&lt;&gt;"",IF(AND(#REF!="Padrão",$H$4=#REF!),BDI!$B$17,IF(AND(#REF!="Padrão",$H$4=#REF!),BDI!#REF!,IF(AND(#REF!="Diferenciado",$H$4=#REF!),BDI!$E$17,IF(AND(#REF!="Diferenciado",$H$4=#REF!),BDI!#REF!,IF(#REF!="ZERO",0))))),"")</f>
        <v>#REF!</v>
      </c>
      <c r="H2370" s="136" t="str">
        <f t="shared" si="121"/>
        <v/>
      </c>
      <c r="I2370" s="134" t="str">
        <f t="shared" si="122"/>
        <v/>
      </c>
      <c r="J2370" s="226"/>
    </row>
    <row r="2371" spans="1:10" hidden="1" x14ac:dyDescent="0.25">
      <c r="A2371" s="112" t="s">
        <v>5979</v>
      </c>
      <c r="B2371" s="113" t="s">
        <v>4747</v>
      </c>
      <c r="C2371" s="114" t="s">
        <v>20</v>
      </c>
      <c r="D2371" s="114">
        <v>0</v>
      </c>
      <c r="E2371" s="133" t="s">
        <v>514</v>
      </c>
      <c r="F2371" s="134" t="str">
        <f t="shared" si="120"/>
        <v/>
      </c>
      <c r="G2371" s="135" t="e">
        <f>IF(A2371&lt;&gt;"",IF(AND(#REF!="Padrão",$H$4=#REF!),BDI!$B$17,IF(AND(#REF!="Padrão",$H$4=#REF!),BDI!#REF!,IF(AND(#REF!="Diferenciado",$H$4=#REF!),BDI!$E$17,IF(AND(#REF!="Diferenciado",$H$4=#REF!),BDI!#REF!,IF(#REF!="ZERO",0))))),"")</f>
        <v>#REF!</v>
      </c>
      <c r="H2371" s="136" t="str">
        <f t="shared" si="121"/>
        <v/>
      </c>
      <c r="I2371" s="134" t="str">
        <f t="shared" si="122"/>
        <v/>
      </c>
      <c r="J2371" s="226"/>
    </row>
    <row r="2372" spans="1:10" hidden="1" x14ac:dyDescent="0.25">
      <c r="A2372" s="112" t="s">
        <v>5980</v>
      </c>
      <c r="B2372" s="113" t="s">
        <v>4748</v>
      </c>
      <c r="C2372" s="114" t="s">
        <v>20</v>
      </c>
      <c r="D2372" s="114">
        <v>0</v>
      </c>
      <c r="E2372" s="133" t="s">
        <v>514</v>
      </c>
      <c r="F2372" s="134" t="str">
        <f t="shared" si="120"/>
        <v/>
      </c>
      <c r="G2372" s="135" t="e">
        <f>IF(A2372&lt;&gt;"",IF(AND(#REF!="Padrão",$H$4=#REF!),BDI!$B$17,IF(AND(#REF!="Padrão",$H$4=#REF!),BDI!#REF!,IF(AND(#REF!="Diferenciado",$H$4=#REF!),BDI!$E$17,IF(AND(#REF!="Diferenciado",$H$4=#REF!),BDI!#REF!,IF(#REF!="ZERO",0))))),"")</f>
        <v>#REF!</v>
      </c>
      <c r="H2372" s="136" t="str">
        <f t="shared" si="121"/>
        <v/>
      </c>
      <c r="I2372" s="134" t="str">
        <f t="shared" si="122"/>
        <v/>
      </c>
      <c r="J2372" s="226"/>
    </row>
    <row r="2373" spans="1:10" hidden="1" x14ac:dyDescent="0.25">
      <c r="A2373" s="112" t="s">
        <v>5981</v>
      </c>
      <c r="B2373" s="113" t="s">
        <v>4749</v>
      </c>
      <c r="C2373" s="114" t="s">
        <v>20</v>
      </c>
      <c r="D2373" s="114">
        <v>0</v>
      </c>
      <c r="E2373" s="133" t="s">
        <v>514</v>
      </c>
      <c r="F2373" s="134" t="str">
        <f t="shared" si="120"/>
        <v/>
      </c>
      <c r="G2373" s="135" t="e">
        <f>IF(A2373&lt;&gt;"",IF(AND(#REF!="Padrão",$H$4=#REF!),BDI!$B$17,IF(AND(#REF!="Padrão",$H$4=#REF!),BDI!#REF!,IF(AND(#REF!="Diferenciado",$H$4=#REF!),BDI!$E$17,IF(AND(#REF!="Diferenciado",$H$4=#REF!),BDI!#REF!,IF(#REF!="ZERO",0))))),"")</f>
        <v>#REF!</v>
      </c>
      <c r="H2373" s="136" t="str">
        <f t="shared" si="121"/>
        <v/>
      </c>
      <c r="I2373" s="134" t="str">
        <f t="shared" si="122"/>
        <v/>
      </c>
      <c r="J2373" s="226"/>
    </row>
    <row r="2374" spans="1:10" hidden="1" x14ac:dyDescent="0.25">
      <c r="A2374" s="112" t="s">
        <v>5982</v>
      </c>
      <c r="B2374" s="113" t="s">
        <v>4750</v>
      </c>
      <c r="C2374" s="114" t="s">
        <v>20</v>
      </c>
      <c r="D2374" s="114">
        <v>0</v>
      </c>
      <c r="E2374" s="133" t="s">
        <v>514</v>
      </c>
      <c r="F2374" s="134" t="str">
        <f t="shared" si="120"/>
        <v/>
      </c>
      <c r="G2374" s="135" t="e">
        <f>IF(A2374&lt;&gt;"",IF(AND(#REF!="Padrão",$H$4=#REF!),BDI!$B$17,IF(AND(#REF!="Padrão",$H$4=#REF!),BDI!#REF!,IF(AND(#REF!="Diferenciado",$H$4=#REF!),BDI!$E$17,IF(AND(#REF!="Diferenciado",$H$4=#REF!),BDI!#REF!,IF(#REF!="ZERO",0))))),"")</f>
        <v>#REF!</v>
      </c>
      <c r="H2374" s="136" t="str">
        <f t="shared" si="121"/>
        <v/>
      </c>
      <c r="I2374" s="134" t="str">
        <f t="shared" si="122"/>
        <v/>
      </c>
      <c r="J2374" s="226"/>
    </row>
    <row r="2375" spans="1:10" hidden="1" x14ac:dyDescent="0.25">
      <c r="A2375" s="112" t="s">
        <v>5983</v>
      </c>
      <c r="B2375" s="113" t="s">
        <v>4751</v>
      </c>
      <c r="C2375" s="114" t="s">
        <v>20</v>
      </c>
      <c r="D2375" s="114">
        <v>0</v>
      </c>
      <c r="E2375" s="133" t="s">
        <v>514</v>
      </c>
      <c r="F2375" s="134" t="str">
        <f t="shared" si="120"/>
        <v/>
      </c>
      <c r="G2375" s="135" t="e">
        <f>IF(A2375&lt;&gt;"",IF(AND(#REF!="Padrão",$H$4=#REF!),BDI!$B$17,IF(AND(#REF!="Padrão",$H$4=#REF!),BDI!#REF!,IF(AND(#REF!="Diferenciado",$H$4=#REF!),BDI!$E$17,IF(AND(#REF!="Diferenciado",$H$4=#REF!),BDI!#REF!,IF(#REF!="ZERO",0))))),"")</f>
        <v>#REF!</v>
      </c>
      <c r="H2375" s="136" t="str">
        <f t="shared" si="121"/>
        <v/>
      </c>
      <c r="I2375" s="134" t="str">
        <f t="shared" si="122"/>
        <v/>
      </c>
      <c r="J2375" s="226"/>
    </row>
    <row r="2376" spans="1:10" hidden="1" x14ac:dyDescent="0.25">
      <c r="A2376" s="112" t="s">
        <v>5984</v>
      </c>
      <c r="B2376" s="113" t="s">
        <v>4752</v>
      </c>
      <c r="C2376" s="114" t="s">
        <v>20</v>
      </c>
      <c r="D2376" s="114">
        <v>0</v>
      </c>
      <c r="E2376" s="133" t="s">
        <v>514</v>
      </c>
      <c r="F2376" s="134" t="str">
        <f t="shared" si="120"/>
        <v/>
      </c>
      <c r="G2376" s="135" t="e">
        <f>IF(A2376&lt;&gt;"",IF(AND(#REF!="Padrão",$H$4=#REF!),BDI!$B$17,IF(AND(#REF!="Padrão",$H$4=#REF!),BDI!#REF!,IF(AND(#REF!="Diferenciado",$H$4=#REF!),BDI!$E$17,IF(AND(#REF!="Diferenciado",$H$4=#REF!),BDI!#REF!,IF(#REF!="ZERO",0))))),"")</f>
        <v>#REF!</v>
      </c>
      <c r="H2376" s="136" t="str">
        <f t="shared" si="121"/>
        <v/>
      </c>
      <c r="I2376" s="134" t="str">
        <f t="shared" si="122"/>
        <v/>
      </c>
      <c r="J2376" s="226"/>
    </row>
    <row r="2377" spans="1:10" hidden="1" x14ac:dyDescent="0.25">
      <c r="A2377" s="112" t="s">
        <v>5985</v>
      </c>
      <c r="B2377" s="113" t="s">
        <v>4753</v>
      </c>
      <c r="C2377" s="114" t="s">
        <v>42</v>
      </c>
      <c r="D2377" s="114">
        <v>0</v>
      </c>
      <c r="E2377" s="133" t="s">
        <v>514</v>
      </c>
      <c r="F2377" s="134" t="str">
        <f t="shared" si="120"/>
        <v/>
      </c>
      <c r="G2377" s="135" t="e">
        <f>IF(A2377&lt;&gt;"",IF(AND(#REF!="Padrão",$H$4=#REF!),BDI!$B$17,IF(AND(#REF!="Padrão",$H$4=#REF!),BDI!#REF!,IF(AND(#REF!="Diferenciado",$H$4=#REF!),BDI!$E$17,IF(AND(#REF!="Diferenciado",$H$4=#REF!),BDI!#REF!,IF(#REF!="ZERO",0))))),"")</f>
        <v>#REF!</v>
      </c>
      <c r="H2377" s="136" t="str">
        <f t="shared" si="121"/>
        <v/>
      </c>
      <c r="I2377" s="134" t="str">
        <f t="shared" si="122"/>
        <v/>
      </c>
      <c r="J2377" s="226"/>
    </row>
    <row r="2378" spans="1:10" hidden="1" x14ac:dyDescent="0.25">
      <c r="A2378" s="112" t="s">
        <v>5986</v>
      </c>
      <c r="B2378" s="113" t="s">
        <v>4754</v>
      </c>
      <c r="C2378" s="114" t="s">
        <v>2651</v>
      </c>
      <c r="D2378" s="114">
        <v>0</v>
      </c>
      <c r="E2378" s="133" t="s">
        <v>514</v>
      </c>
      <c r="F2378" s="134" t="str">
        <f t="shared" si="120"/>
        <v/>
      </c>
      <c r="G2378" s="135" t="e">
        <f>IF(A2378&lt;&gt;"",IF(AND(#REF!="Padrão",$H$4=#REF!),BDI!$B$17,IF(AND(#REF!="Padrão",$H$4=#REF!),BDI!#REF!,IF(AND(#REF!="Diferenciado",$H$4=#REF!),BDI!$E$17,IF(AND(#REF!="Diferenciado",$H$4=#REF!),BDI!#REF!,IF(#REF!="ZERO",0))))),"")</f>
        <v>#REF!</v>
      </c>
      <c r="H2378" s="136" t="str">
        <f t="shared" si="121"/>
        <v/>
      </c>
      <c r="I2378" s="134" t="str">
        <f t="shared" si="122"/>
        <v/>
      </c>
      <c r="J2378" s="226"/>
    </row>
    <row r="2379" spans="1:10" hidden="1" x14ac:dyDescent="0.25">
      <c r="A2379" s="112" t="s">
        <v>5987</v>
      </c>
      <c r="B2379" s="113" t="s">
        <v>4755</v>
      </c>
      <c r="C2379" s="114" t="s">
        <v>2651</v>
      </c>
      <c r="D2379" s="114">
        <v>0</v>
      </c>
      <c r="E2379" s="133" t="s">
        <v>514</v>
      </c>
      <c r="F2379" s="134" t="str">
        <f t="shared" si="120"/>
        <v/>
      </c>
      <c r="G2379" s="135" t="e">
        <f>IF(A2379&lt;&gt;"",IF(AND(#REF!="Padrão",$H$4=#REF!),BDI!$B$17,IF(AND(#REF!="Padrão",$H$4=#REF!),BDI!#REF!,IF(AND(#REF!="Diferenciado",$H$4=#REF!),BDI!$E$17,IF(AND(#REF!="Diferenciado",$H$4=#REF!),BDI!#REF!,IF(#REF!="ZERO",0))))),"")</f>
        <v>#REF!</v>
      </c>
      <c r="H2379" s="136" t="str">
        <f t="shared" si="121"/>
        <v/>
      </c>
      <c r="I2379" s="134" t="str">
        <f t="shared" si="122"/>
        <v/>
      </c>
      <c r="J2379" s="226"/>
    </row>
    <row r="2380" spans="1:10" hidden="1" x14ac:dyDescent="0.25">
      <c r="A2380" s="112" t="s">
        <v>5988</v>
      </c>
      <c r="B2380" s="113" t="s">
        <v>4756</v>
      </c>
      <c r="C2380" s="114" t="s">
        <v>2651</v>
      </c>
      <c r="D2380" s="114">
        <v>0</v>
      </c>
      <c r="E2380" s="133" t="s">
        <v>514</v>
      </c>
      <c r="F2380" s="134" t="str">
        <f t="shared" si="120"/>
        <v/>
      </c>
      <c r="G2380" s="135" t="e">
        <f>IF(A2380&lt;&gt;"",IF(AND(#REF!="Padrão",$H$4=#REF!),BDI!$B$17,IF(AND(#REF!="Padrão",$H$4=#REF!),BDI!#REF!,IF(AND(#REF!="Diferenciado",$H$4=#REF!),BDI!$E$17,IF(AND(#REF!="Diferenciado",$H$4=#REF!),BDI!#REF!,IF(#REF!="ZERO",0))))),"")</f>
        <v>#REF!</v>
      </c>
      <c r="H2380" s="136" t="str">
        <f t="shared" si="121"/>
        <v/>
      </c>
      <c r="I2380" s="134" t="str">
        <f t="shared" si="122"/>
        <v/>
      </c>
      <c r="J2380" s="226"/>
    </row>
    <row r="2381" spans="1:10" hidden="1" x14ac:dyDescent="0.25">
      <c r="A2381" s="112" t="s">
        <v>5989</v>
      </c>
      <c r="B2381" s="113" t="s">
        <v>4757</v>
      </c>
      <c r="C2381" s="114" t="s">
        <v>2651</v>
      </c>
      <c r="D2381" s="114">
        <v>0</v>
      </c>
      <c r="E2381" s="133" t="s">
        <v>514</v>
      </c>
      <c r="F2381" s="134" t="str">
        <f t="shared" si="120"/>
        <v/>
      </c>
      <c r="G2381" s="135" t="e">
        <f>IF(A2381&lt;&gt;"",IF(AND(#REF!="Padrão",$H$4=#REF!),BDI!$B$17,IF(AND(#REF!="Padrão",$H$4=#REF!),BDI!#REF!,IF(AND(#REF!="Diferenciado",$H$4=#REF!),BDI!$E$17,IF(AND(#REF!="Diferenciado",$H$4=#REF!),BDI!#REF!,IF(#REF!="ZERO",0))))),"")</f>
        <v>#REF!</v>
      </c>
      <c r="H2381" s="136" t="str">
        <f t="shared" si="121"/>
        <v/>
      </c>
      <c r="I2381" s="134" t="str">
        <f t="shared" si="122"/>
        <v/>
      </c>
      <c r="J2381" s="226"/>
    </row>
    <row r="2382" spans="1:10" hidden="1" x14ac:dyDescent="0.25">
      <c r="A2382" s="112" t="s">
        <v>5990</v>
      </c>
      <c r="B2382" s="113" t="s">
        <v>4758</v>
      </c>
      <c r="C2382" s="114" t="s">
        <v>2651</v>
      </c>
      <c r="D2382" s="114">
        <v>0</v>
      </c>
      <c r="E2382" s="133" t="s">
        <v>514</v>
      </c>
      <c r="F2382" s="134" t="str">
        <f t="shared" si="120"/>
        <v/>
      </c>
      <c r="G2382" s="135" t="e">
        <f>IF(A2382&lt;&gt;"",IF(AND(#REF!="Padrão",$H$4=#REF!),BDI!$B$17,IF(AND(#REF!="Padrão",$H$4=#REF!),BDI!#REF!,IF(AND(#REF!="Diferenciado",$H$4=#REF!),BDI!$E$17,IF(AND(#REF!="Diferenciado",$H$4=#REF!),BDI!#REF!,IF(#REF!="ZERO",0))))),"")</f>
        <v>#REF!</v>
      </c>
      <c r="H2382" s="136" t="str">
        <f t="shared" si="121"/>
        <v/>
      </c>
      <c r="I2382" s="134" t="str">
        <f t="shared" si="122"/>
        <v/>
      </c>
      <c r="J2382" s="226"/>
    </row>
    <row r="2383" spans="1:10" hidden="1" x14ac:dyDescent="0.25">
      <c r="A2383" s="112" t="s">
        <v>5991</v>
      </c>
      <c r="B2383" s="113" t="s">
        <v>4759</v>
      </c>
      <c r="C2383" s="114" t="s">
        <v>12</v>
      </c>
      <c r="D2383" s="114">
        <v>0</v>
      </c>
      <c r="E2383" s="133" t="s">
        <v>514</v>
      </c>
      <c r="F2383" s="134" t="str">
        <f t="shared" si="120"/>
        <v/>
      </c>
      <c r="G2383" s="135" t="e">
        <f>IF(A2383&lt;&gt;"",IF(AND(#REF!="Padrão",$H$4=#REF!),BDI!$B$17,IF(AND(#REF!="Padrão",$H$4=#REF!),BDI!#REF!,IF(AND(#REF!="Diferenciado",$H$4=#REF!),BDI!$E$17,IF(AND(#REF!="Diferenciado",$H$4=#REF!),BDI!#REF!,IF(#REF!="ZERO",0))))),"")</f>
        <v>#REF!</v>
      </c>
      <c r="H2383" s="136" t="str">
        <f t="shared" si="121"/>
        <v/>
      </c>
      <c r="I2383" s="134" t="str">
        <f t="shared" si="122"/>
        <v/>
      </c>
      <c r="J2383" s="226"/>
    </row>
    <row r="2384" spans="1:10" hidden="1" x14ac:dyDescent="0.25">
      <c r="A2384" s="112" t="s">
        <v>5992</v>
      </c>
      <c r="B2384" s="113" t="s">
        <v>4760</v>
      </c>
      <c r="C2384" s="114" t="s">
        <v>20</v>
      </c>
      <c r="D2384" s="114">
        <v>0</v>
      </c>
      <c r="E2384" s="133">
        <f ca="1">OFFSET(INDEX(Composições!A:J,MATCH(Orçamentária!A2384,Composições!A:A,0),8),2,0)</f>
        <v>3.4853599999999996</v>
      </c>
      <c r="F2384" s="134">
        <f t="shared" ca="1" si="120"/>
        <v>0</v>
      </c>
      <c r="G2384" s="135" t="e">
        <f>IF(A2384&lt;&gt;"",IF(AND(#REF!="Padrão",$H$4=#REF!),BDI!$B$17,IF(AND(#REF!="Padrão",$H$4=#REF!),BDI!#REF!,IF(AND(#REF!="Diferenciado",$H$4=#REF!),BDI!$E$17,IF(AND(#REF!="Diferenciado",$H$4=#REF!),BDI!#REF!,IF(#REF!="ZERO",0))))),"")</f>
        <v>#REF!</v>
      </c>
      <c r="H2384" s="136" t="e">
        <f t="shared" ca="1" si="121"/>
        <v>#REF!</v>
      </c>
      <c r="I2384" s="134" t="e">
        <f t="shared" ca="1" si="122"/>
        <v>#REF!</v>
      </c>
      <c r="J2384" s="226"/>
    </row>
    <row r="2385" spans="1:10" hidden="1" x14ac:dyDescent="0.25">
      <c r="A2385" s="112" t="s">
        <v>5993</v>
      </c>
      <c r="B2385" s="113" t="s">
        <v>4761</v>
      </c>
      <c r="C2385" s="114" t="s">
        <v>20</v>
      </c>
      <c r="D2385" s="114">
        <v>0</v>
      </c>
      <c r="E2385" s="133" t="s">
        <v>514</v>
      </c>
      <c r="F2385" s="134" t="str">
        <f t="shared" si="120"/>
        <v/>
      </c>
      <c r="G2385" s="135" t="e">
        <f>IF(A2385&lt;&gt;"",IF(AND(#REF!="Padrão",$H$4=#REF!),BDI!$B$17,IF(AND(#REF!="Padrão",$H$4=#REF!),BDI!#REF!,IF(AND(#REF!="Diferenciado",$H$4=#REF!),BDI!$E$17,IF(AND(#REF!="Diferenciado",$H$4=#REF!),BDI!#REF!,IF(#REF!="ZERO",0))))),"")</f>
        <v>#REF!</v>
      </c>
      <c r="H2385" s="136" t="str">
        <f t="shared" si="121"/>
        <v/>
      </c>
      <c r="I2385" s="134" t="str">
        <f t="shared" si="122"/>
        <v/>
      </c>
      <c r="J2385" s="226"/>
    </row>
    <row r="2386" spans="1:10" hidden="1" x14ac:dyDescent="0.25">
      <c r="A2386" s="112" t="s">
        <v>5994</v>
      </c>
      <c r="B2386" s="113" t="s">
        <v>4762</v>
      </c>
      <c r="C2386" s="114" t="s">
        <v>20</v>
      </c>
      <c r="D2386" s="114">
        <v>0</v>
      </c>
      <c r="E2386" s="133" t="s">
        <v>514</v>
      </c>
      <c r="F2386" s="134" t="str">
        <f t="shared" si="120"/>
        <v/>
      </c>
      <c r="G2386" s="135" t="e">
        <f>IF(A2386&lt;&gt;"",IF(AND(#REF!="Padrão",$H$4=#REF!),BDI!$B$17,IF(AND(#REF!="Padrão",$H$4=#REF!),BDI!#REF!,IF(AND(#REF!="Diferenciado",$H$4=#REF!),BDI!$E$17,IF(AND(#REF!="Diferenciado",$H$4=#REF!),BDI!#REF!,IF(#REF!="ZERO",0))))),"")</f>
        <v>#REF!</v>
      </c>
      <c r="H2386" s="136" t="str">
        <f t="shared" si="121"/>
        <v/>
      </c>
      <c r="I2386" s="134" t="str">
        <f t="shared" si="122"/>
        <v/>
      </c>
      <c r="J2386" s="226"/>
    </row>
    <row r="2387" spans="1:10" hidden="1" x14ac:dyDescent="0.25">
      <c r="A2387" s="112" t="s">
        <v>5995</v>
      </c>
      <c r="B2387" s="113" t="s">
        <v>4763</v>
      </c>
      <c r="C2387" s="114" t="s">
        <v>20</v>
      </c>
      <c r="D2387" s="114">
        <v>0</v>
      </c>
      <c r="E2387" s="133" t="s">
        <v>514</v>
      </c>
      <c r="F2387" s="134" t="str">
        <f t="shared" si="120"/>
        <v/>
      </c>
      <c r="G2387" s="135" t="e">
        <f>IF(A2387&lt;&gt;"",IF(AND(#REF!="Padrão",$H$4=#REF!),BDI!$B$17,IF(AND(#REF!="Padrão",$H$4=#REF!),BDI!#REF!,IF(AND(#REF!="Diferenciado",$H$4=#REF!),BDI!$E$17,IF(AND(#REF!="Diferenciado",$H$4=#REF!),BDI!#REF!,IF(#REF!="ZERO",0))))),"")</f>
        <v>#REF!</v>
      </c>
      <c r="H2387" s="136" t="str">
        <f t="shared" si="121"/>
        <v/>
      </c>
      <c r="I2387" s="134" t="str">
        <f t="shared" si="122"/>
        <v/>
      </c>
      <c r="J2387" s="226"/>
    </row>
    <row r="2388" spans="1:10" hidden="1" x14ac:dyDescent="0.25">
      <c r="A2388" s="112" t="s">
        <v>5996</v>
      </c>
      <c r="B2388" s="113" t="s">
        <v>4764</v>
      </c>
      <c r="C2388" s="114" t="s">
        <v>20</v>
      </c>
      <c r="D2388" s="114">
        <v>0</v>
      </c>
      <c r="E2388" s="133" t="s">
        <v>514</v>
      </c>
      <c r="F2388" s="134" t="str">
        <f t="shared" si="120"/>
        <v/>
      </c>
      <c r="G2388" s="135" t="e">
        <f>IF(A2388&lt;&gt;"",IF(AND(#REF!="Padrão",$H$4=#REF!),BDI!$B$17,IF(AND(#REF!="Padrão",$H$4=#REF!),BDI!#REF!,IF(AND(#REF!="Diferenciado",$H$4=#REF!),BDI!$E$17,IF(AND(#REF!="Diferenciado",$H$4=#REF!),BDI!#REF!,IF(#REF!="ZERO",0))))),"")</f>
        <v>#REF!</v>
      </c>
      <c r="H2388" s="136" t="str">
        <f t="shared" si="121"/>
        <v/>
      </c>
      <c r="I2388" s="134" t="str">
        <f t="shared" si="122"/>
        <v/>
      </c>
      <c r="J2388" s="226"/>
    </row>
    <row r="2389" spans="1:10" hidden="1" x14ac:dyDescent="0.25">
      <c r="A2389" s="112" t="s">
        <v>5997</v>
      </c>
      <c r="B2389" s="113" t="s">
        <v>4765</v>
      </c>
      <c r="C2389" s="114" t="s">
        <v>20</v>
      </c>
      <c r="D2389" s="114">
        <v>0</v>
      </c>
      <c r="E2389" s="133" t="s">
        <v>514</v>
      </c>
      <c r="F2389" s="134" t="str">
        <f t="shared" si="120"/>
        <v/>
      </c>
      <c r="G2389" s="135" t="e">
        <f>IF(A2389&lt;&gt;"",IF(AND(#REF!="Padrão",$H$4=#REF!),BDI!$B$17,IF(AND(#REF!="Padrão",$H$4=#REF!),BDI!#REF!,IF(AND(#REF!="Diferenciado",$H$4=#REF!),BDI!$E$17,IF(AND(#REF!="Diferenciado",$H$4=#REF!),BDI!#REF!,IF(#REF!="ZERO",0))))),"")</f>
        <v>#REF!</v>
      </c>
      <c r="H2389" s="136" t="str">
        <f t="shared" si="121"/>
        <v/>
      </c>
      <c r="I2389" s="134" t="str">
        <f t="shared" si="122"/>
        <v/>
      </c>
      <c r="J2389" s="226"/>
    </row>
    <row r="2390" spans="1:10" hidden="1" x14ac:dyDescent="0.25">
      <c r="A2390" s="112" t="s">
        <v>5998</v>
      </c>
      <c r="B2390" s="113" t="s">
        <v>4766</v>
      </c>
      <c r="C2390" s="114" t="s">
        <v>20</v>
      </c>
      <c r="D2390" s="114">
        <v>0</v>
      </c>
      <c r="E2390" s="133" t="s">
        <v>514</v>
      </c>
      <c r="F2390" s="134" t="str">
        <f t="shared" si="120"/>
        <v/>
      </c>
      <c r="G2390" s="135" t="e">
        <f>IF(A2390&lt;&gt;"",IF(AND(#REF!="Padrão",$H$4=#REF!),BDI!$B$17,IF(AND(#REF!="Padrão",$H$4=#REF!),BDI!#REF!,IF(AND(#REF!="Diferenciado",$H$4=#REF!),BDI!$E$17,IF(AND(#REF!="Diferenciado",$H$4=#REF!),BDI!#REF!,IF(#REF!="ZERO",0))))),"")</f>
        <v>#REF!</v>
      </c>
      <c r="H2390" s="136" t="str">
        <f t="shared" si="121"/>
        <v/>
      </c>
      <c r="I2390" s="134" t="str">
        <f t="shared" si="122"/>
        <v/>
      </c>
      <c r="J2390" s="226"/>
    </row>
    <row r="2391" spans="1:10" hidden="1" x14ac:dyDescent="0.25">
      <c r="A2391" s="112" t="s">
        <v>5999</v>
      </c>
      <c r="B2391" s="113" t="s">
        <v>4767</v>
      </c>
      <c r="C2391" s="114" t="s">
        <v>20</v>
      </c>
      <c r="D2391" s="114">
        <v>0</v>
      </c>
      <c r="E2391" s="133" t="s">
        <v>514</v>
      </c>
      <c r="F2391" s="134" t="str">
        <f t="shared" si="120"/>
        <v/>
      </c>
      <c r="G2391" s="135" t="e">
        <f>IF(A2391&lt;&gt;"",IF(AND(#REF!="Padrão",$H$4=#REF!),BDI!$B$17,IF(AND(#REF!="Padrão",$H$4=#REF!),BDI!#REF!,IF(AND(#REF!="Diferenciado",$H$4=#REF!),BDI!$E$17,IF(AND(#REF!="Diferenciado",$H$4=#REF!),BDI!#REF!,IF(#REF!="ZERO",0))))),"")</f>
        <v>#REF!</v>
      </c>
      <c r="H2391" s="136" t="str">
        <f t="shared" si="121"/>
        <v/>
      </c>
      <c r="I2391" s="134" t="str">
        <f t="shared" si="122"/>
        <v/>
      </c>
      <c r="J2391" s="226"/>
    </row>
    <row r="2392" spans="1:10" hidden="1" x14ac:dyDescent="0.25">
      <c r="A2392" s="112" t="s">
        <v>6000</v>
      </c>
      <c r="B2392" s="113" t="s">
        <v>4768</v>
      </c>
      <c r="C2392" s="114" t="s">
        <v>20</v>
      </c>
      <c r="D2392" s="114">
        <v>0</v>
      </c>
      <c r="E2392" s="133" t="s">
        <v>514</v>
      </c>
      <c r="F2392" s="134" t="str">
        <f t="shared" si="120"/>
        <v/>
      </c>
      <c r="G2392" s="135" t="e">
        <f>IF(A2392&lt;&gt;"",IF(AND(#REF!="Padrão",$H$4=#REF!),BDI!$B$17,IF(AND(#REF!="Padrão",$H$4=#REF!),BDI!#REF!,IF(AND(#REF!="Diferenciado",$H$4=#REF!),BDI!$E$17,IF(AND(#REF!="Diferenciado",$H$4=#REF!),BDI!#REF!,IF(#REF!="ZERO",0))))),"")</f>
        <v>#REF!</v>
      </c>
      <c r="H2392" s="136" t="str">
        <f t="shared" si="121"/>
        <v/>
      </c>
      <c r="I2392" s="134" t="str">
        <f t="shared" si="122"/>
        <v/>
      </c>
      <c r="J2392" s="226"/>
    </row>
    <row r="2393" spans="1:10" hidden="1" x14ac:dyDescent="0.25">
      <c r="A2393" s="112" t="s">
        <v>6001</v>
      </c>
      <c r="B2393" s="113" t="s">
        <v>4769</v>
      </c>
      <c r="C2393" s="114" t="s">
        <v>20</v>
      </c>
      <c r="D2393" s="114">
        <v>0</v>
      </c>
      <c r="E2393" s="133" t="s">
        <v>514</v>
      </c>
      <c r="F2393" s="134" t="str">
        <f t="shared" si="120"/>
        <v/>
      </c>
      <c r="G2393" s="135" t="e">
        <f>IF(A2393&lt;&gt;"",IF(AND(#REF!="Padrão",$H$4=#REF!),BDI!$B$17,IF(AND(#REF!="Padrão",$H$4=#REF!),BDI!#REF!,IF(AND(#REF!="Diferenciado",$H$4=#REF!),BDI!$E$17,IF(AND(#REF!="Diferenciado",$H$4=#REF!),BDI!#REF!,IF(#REF!="ZERO",0))))),"")</f>
        <v>#REF!</v>
      </c>
      <c r="H2393" s="136" t="str">
        <f t="shared" si="121"/>
        <v/>
      </c>
      <c r="I2393" s="134" t="str">
        <f t="shared" si="122"/>
        <v/>
      </c>
      <c r="J2393" s="226"/>
    </row>
    <row r="2394" spans="1:10" hidden="1" x14ac:dyDescent="0.25">
      <c r="A2394" s="112" t="s">
        <v>6002</v>
      </c>
      <c r="B2394" s="113" t="s">
        <v>4770</v>
      </c>
      <c r="C2394" s="114" t="s">
        <v>20</v>
      </c>
      <c r="D2394" s="114">
        <v>0</v>
      </c>
      <c r="E2394" s="133">
        <f ca="1">OFFSET(INDEX(Composições!A:J,MATCH(Orçamentária!A2394,Composições!A:A,0),8),2,0)</f>
        <v>39.273000000000003</v>
      </c>
      <c r="F2394" s="134">
        <f t="shared" ca="1" si="120"/>
        <v>0</v>
      </c>
      <c r="G2394" s="135" t="e">
        <f>IF(A2394&lt;&gt;"",IF(AND(#REF!="Padrão",$H$4=#REF!),BDI!$B$17,IF(AND(#REF!="Padrão",$H$4=#REF!),BDI!#REF!,IF(AND(#REF!="Diferenciado",$H$4=#REF!),BDI!$E$17,IF(AND(#REF!="Diferenciado",$H$4=#REF!),BDI!#REF!,IF(#REF!="ZERO",0))))),"")</f>
        <v>#REF!</v>
      </c>
      <c r="H2394" s="136" t="e">
        <f t="shared" ca="1" si="121"/>
        <v>#REF!</v>
      </c>
      <c r="I2394" s="134" t="e">
        <f t="shared" ca="1" si="122"/>
        <v>#REF!</v>
      </c>
      <c r="J2394" s="226"/>
    </row>
    <row r="2395" spans="1:10" hidden="1" x14ac:dyDescent="0.25">
      <c r="A2395" s="112" t="s">
        <v>6003</v>
      </c>
      <c r="B2395" s="113" t="s">
        <v>4771</v>
      </c>
      <c r="C2395" s="114" t="s">
        <v>20</v>
      </c>
      <c r="D2395" s="114">
        <v>0</v>
      </c>
      <c r="E2395" s="133" t="s">
        <v>514</v>
      </c>
      <c r="F2395" s="134" t="str">
        <f t="shared" si="120"/>
        <v/>
      </c>
      <c r="G2395" s="135" t="e">
        <f>IF(A2395&lt;&gt;"",IF(AND(#REF!="Padrão",$H$4=#REF!),BDI!$B$17,IF(AND(#REF!="Padrão",$H$4=#REF!),BDI!#REF!,IF(AND(#REF!="Diferenciado",$H$4=#REF!),BDI!$E$17,IF(AND(#REF!="Diferenciado",$H$4=#REF!),BDI!#REF!,IF(#REF!="ZERO",0))))),"")</f>
        <v>#REF!</v>
      </c>
      <c r="H2395" s="136" t="str">
        <f t="shared" si="121"/>
        <v/>
      </c>
      <c r="I2395" s="134" t="str">
        <f t="shared" si="122"/>
        <v/>
      </c>
      <c r="J2395" s="226"/>
    </row>
    <row r="2396" spans="1:10" hidden="1" x14ac:dyDescent="0.25">
      <c r="A2396" s="112" t="s">
        <v>6004</v>
      </c>
      <c r="B2396" s="113" t="s">
        <v>4772</v>
      </c>
      <c r="C2396" s="114" t="s">
        <v>20</v>
      </c>
      <c r="D2396" s="114">
        <v>0</v>
      </c>
      <c r="E2396" s="133" t="s">
        <v>514</v>
      </c>
      <c r="F2396" s="134" t="str">
        <f t="shared" si="120"/>
        <v/>
      </c>
      <c r="G2396" s="135" t="e">
        <f>IF(A2396&lt;&gt;"",IF(AND(#REF!="Padrão",$H$4=#REF!),BDI!$B$17,IF(AND(#REF!="Padrão",$H$4=#REF!),BDI!#REF!,IF(AND(#REF!="Diferenciado",$H$4=#REF!),BDI!$E$17,IF(AND(#REF!="Diferenciado",$H$4=#REF!),BDI!#REF!,IF(#REF!="ZERO",0))))),"")</f>
        <v>#REF!</v>
      </c>
      <c r="H2396" s="136" t="str">
        <f t="shared" si="121"/>
        <v/>
      </c>
      <c r="I2396" s="134" t="str">
        <f t="shared" si="122"/>
        <v/>
      </c>
      <c r="J2396" s="226"/>
    </row>
    <row r="2397" spans="1:10" hidden="1" x14ac:dyDescent="0.25">
      <c r="A2397" s="112" t="s">
        <v>6005</v>
      </c>
      <c r="B2397" s="113" t="s">
        <v>4773</v>
      </c>
      <c r="C2397" s="114" t="s">
        <v>20</v>
      </c>
      <c r="D2397" s="114">
        <v>0</v>
      </c>
      <c r="E2397" s="133" t="s">
        <v>514</v>
      </c>
      <c r="F2397" s="134" t="str">
        <f t="shared" si="120"/>
        <v/>
      </c>
      <c r="G2397" s="135" t="e">
        <f>IF(A2397&lt;&gt;"",IF(AND(#REF!="Padrão",$H$4=#REF!),BDI!$B$17,IF(AND(#REF!="Padrão",$H$4=#REF!),BDI!#REF!,IF(AND(#REF!="Diferenciado",$H$4=#REF!),BDI!$E$17,IF(AND(#REF!="Diferenciado",$H$4=#REF!),BDI!#REF!,IF(#REF!="ZERO",0))))),"")</f>
        <v>#REF!</v>
      </c>
      <c r="H2397" s="136" t="str">
        <f t="shared" si="121"/>
        <v/>
      </c>
      <c r="I2397" s="134" t="str">
        <f t="shared" si="122"/>
        <v/>
      </c>
      <c r="J2397" s="226"/>
    </row>
    <row r="2398" spans="1:10" hidden="1" x14ac:dyDescent="0.25">
      <c r="A2398" s="112" t="s">
        <v>6006</v>
      </c>
      <c r="B2398" s="113" t="s">
        <v>4774</v>
      </c>
      <c r="C2398" s="114" t="s">
        <v>20</v>
      </c>
      <c r="D2398" s="114">
        <v>0</v>
      </c>
      <c r="E2398" s="133" t="s">
        <v>514</v>
      </c>
      <c r="F2398" s="134" t="str">
        <f t="shared" si="120"/>
        <v/>
      </c>
      <c r="G2398" s="135" t="e">
        <f>IF(A2398&lt;&gt;"",IF(AND(#REF!="Padrão",$H$4=#REF!),BDI!$B$17,IF(AND(#REF!="Padrão",$H$4=#REF!),BDI!#REF!,IF(AND(#REF!="Diferenciado",$H$4=#REF!),BDI!$E$17,IF(AND(#REF!="Diferenciado",$H$4=#REF!),BDI!#REF!,IF(#REF!="ZERO",0))))),"")</f>
        <v>#REF!</v>
      </c>
      <c r="H2398" s="136" t="str">
        <f t="shared" si="121"/>
        <v/>
      </c>
      <c r="I2398" s="134" t="str">
        <f t="shared" si="122"/>
        <v/>
      </c>
      <c r="J2398" s="226"/>
    </row>
    <row r="2399" spans="1:10" hidden="1" x14ac:dyDescent="0.25">
      <c r="A2399" s="112" t="s">
        <v>6007</v>
      </c>
      <c r="B2399" s="113" t="s">
        <v>4775</v>
      </c>
      <c r="C2399" s="114" t="s">
        <v>20</v>
      </c>
      <c r="D2399" s="114">
        <v>0</v>
      </c>
      <c r="E2399" s="133" t="s">
        <v>514</v>
      </c>
      <c r="F2399" s="134" t="str">
        <f t="shared" si="120"/>
        <v/>
      </c>
      <c r="G2399" s="135" t="e">
        <f>IF(A2399&lt;&gt;"",IF(AND(#REF!="Padrão",$H$4=#REF!),BDI!$B$17,IF(AND(#REF!="Padrão",$H$4=#REF!),BDI!#REF!,IF(AND(#REF!="Diferenciado",$H$4=#REF!),BDI!$E$17,IF(AND(#REF!="Diferenciado",$H$4=#REF!),BDI!#REF!,IF(#REF!="ZERO",0))))),"")</f>
        <v>#REF!</v>
      </c>
      <c r="H2399" s="136" t="str">
        <f t="shared" si="121"/>
        <v/>
      </c>
      <c r="I2399" s="134" t="str">
        <f t="shared" si="122"/>
        <v/>
      </c>
      <c r="J2399" s="226"/>
    </row>
    <row r="2400" spans="1:10" hidden="1" x14ac:dyDescent="0.25">
      <c r="A2400" s="112" t="s">
        <v>6008</v>
      </c>
      <c r="B2400" s="113" t="s">
        <v>4776</v>
      </c>
      <c r="C2400" s="114" t="s">
        <v>20</v>
      </c>
      <c r="D2400" s="114">
        <v>0</v>
      </c>
      <c r="E2400" s="133" t="s">
        <v>514</v>
      </c>
      <c r="F2400" s="134" t="str">
        <f t="shared" si="120"/>
        <v/>
      </c>
      <c r="G2400" s="135" t="e">
        <f>IF(A2400&lt;&gt;"",IF(AND(#REF!="Padrão",$H$4=#REF!),BDI!$B$17,IF(AND(#REF!="Padrão",$H$4=#REF!),BDI!#REF!,IF(AND(#REF!="Diferenciado",$H$4=#REF!),BDI!$E$17,IF(AND(#REF!="Diferenciado",$H$4=#REF!),BDI!#REF!,IF(#REF!="ZERO",0))))),"")</f>
        <v>#REF!</v>
      </c>
      <c r="H2400" s="136" t="str">
        <f t="shared" si="121"/>
        <v/>
      </c>
      <c r="I2400" s="134" t="str">
        <f t="shared" si="122"/>
        <v/>
      </c>
      <c r="J2400" s="226"/>
    </row>
    <row r="2401" spans="1:10" hidden="1" x14ac:dyDescent="0.25">
      <c r="A2401" s="112" t="s">
        <v>6009</v>
      </c>
      <c r="B2401" s="113" t="s">
        <v>6233</v>
      </c>
      <c r="C2401" s="114" t="s">
        <v>20</v>
      </c>
      <c r="D2401" s="114">
        <v>0</v>
      </c>
      <c r="E2401" s="133" t="s">
        <v>514</v>
      </c>
      <c r="F2401" s="134" t="str">
        <f t="shared" si="120"/>
        <v/>
      </c>
      <c r="G2401" s="135" t="e">
        <f>IF(A2401&lt;&gt;"",IF(AND(#REF!="Padrão",$H$4=#REF!),BDI!$B$17,IF(AND(#REF!="Padrão",$H$4=#REF!),BDI!#REF!,IF(AND(#REF!="Diferenciado",$H$4=#REF!),BDI!$E$17,IF(AND(#REF!="Diferenciado",$H$4=#REF!),BDI!#REF!,IF(#REF!="ZERO",0))))),"")</f>
        <v>#REF!</v>
      </c>
      <c r="H2401" s="136" t="str">
        <f t="shared" si="121"/>
        <v/>
      </c>
      <c r="I2401" s="134" t="str">
        <f t="shared" si="122"/>
        <v/>
      </c>
      <c r="J2401" s="226"/>
    </row>
    <row r="2402" spans="1:10" hidden="1" x14ac:dyDescent="0.25">
      <c r="A2402" s="112" t="s">
        <v>6010</v>
      </c>
      <c r="B2402" s="113" t="s">
        <v>4777</v>
      </c>
      <c r="C2402" s="114" t="s">
        <v>20</v>
      </c>
      <c r="D2402" s="114">
        <v>0</v>
      </c>
      <c r="E2402" s="133" t="s">
        <v>514</v>
      </c>
      <c r="F2402" s="134" t="str">
        <f t="shared" si="120"/>
        <v/>
      </c>
      <c r="G2402" s="135" t="e">
        <f>IF(A2402&lt;&gt;"",IF(AND(#REF!="Padrão",$H$4=#REF!),BDI!$B$17,IF(AND(#REF!="Padrão",$H$4=#REF!),BDI!#REF!,IF(AND(#REF!="Diferenciado",$H$4=#REF!),BDI!$E$17,IF(AND(#REF!="Diferenciado",$H$4=#REF!),BDI!#REF!,IF(#REF!="ZERO",0))))),"")</f>
        <v>#REF!</v>
      </c>
      <c r="H2402" s="136" t="str">
        <f t="shared" si="121"/>
        <v/>
      </c>
      <c r="I2402" s="134" t="str">
        <f t="shared" si="122"/>
        <v/>
      </c>
      <c r="J2402" s="226"/>
    </row>
    <row r="2403" spans="1:10" hidden="1" x14ac:dyDescent="0.25">
      <c r="A2403" s="112" t="s">
        <v>6011</v>
      </c>
      <c r="B2403" s="113" t="s">
        <v>6234</v>
      </c>
      <c r="C2403" s="114" t="s">
        <v>20</v>
      </c>
      <c r="D2403" s="114">
        <v>0</v>
      </c>
      <c r="E2403" s="133" t="s">
        <v>514</v>
      </c>
      <c r="F2403" s="134" t="str">
        <f t="shared" si="120"/>
        <v/>
      </c>
      <c r="G2403" s="135" t="e">
        <f>IF(A2403&lt;&gt;"",IF(AND(#REF!="Padrão",$H$4=#REF!),BDI!$B$17,IF(AND(#REF!="Padrão",$H$4=#REF!),BDI!#REF!,IF(AND(#REF!="Diferenciado",$H$4=#REF!),BDI!$E$17,IF(AND(#REF!="Diferenciado",$H$4=#REF!),BDI!#REF!,IF(#REF!="ZERO",0))))),"")</f>
        <v>#REF!</v>
      </c>
      <c r="H2403" s="136" t="str">
        <f t="shared" si="121"/>
        <v/>
      </c>
      <c r="I2403" s="134" t="str">
        <f t="shared" si="122"/>
        <v/>
      </c>
      <c r="J2403" s="226"/>
    </row>
    <row r="2404" spans="1:10" hidden="1" x14ac:dyDescent="0.25">
      <c r="A2404" s="112" t="s">
        <v>6012</v>
      </c>
      <c r="B2404" s="113" t="s">
        <v>6235</v>
      </c>
      <c r="C2404" s="114" t="s">
        <v>20</v>
      </c>
      <c r="D2404" s="114">
        <v>0</v>
      </c>
      <c r="E2404" s="133" t="s">
        <v>514</v>
      </c>
      <c r="F2404" s="134" t="str">
        <f t="shared" si="120"/>
        <v/>
      </c>
      <c r="G2404" s="135" t="e">
        <f>IF(A2404&lt;&gt;"",IF(AND(#REF!="Padrão",$H$4=#REF!),BDI!$B$17,IF(AND(#REF!="Padrão",$H$4=#REF!),BDI!#REF!,IF(AND(#REF!="Diferenciado",$H$4=#REF!),BDI!$E$17,IF(AND(#REF!="Diferenciado",$H$4=#REF!),BDI!#REF!,IF(#REF!="ZERO",0))))),"")</f>
        <v>#REF!</v>
      </c>
      <c r="H2404" s="136" t="str">
        <f t="shared" si="121"/>
        <v/>
      </c>
      <c r="I2404" s="134" t="str">
        <f t="shared" si="122"/>
        <v/>
      </c>
      <c r="J2404" s="226"/>
    </row>
    <row r="2405" spans="1:10" hidden="1" x14ac:dyDescent="0.25">
      <c r="A2405" s="112" t="s">
        <v>6013</v>
      </c>
      <c r="B2405" s="113" t="s">
        <v>4778</v>
      </c>
      <c r="C2405" s="114" t="s">
        <v>20</v>
      </c>
      <c r="D2405" s="114">
        <v>0</v>
      </c>
      <c r="E2405" s="133" t="s">
        <v>514</v>
      </c>
      <c r="F2405" s="134" t="str">
        <f t="shared" si="120"/>
        <v/>
      </c>
      <c r="G2405" s="135" t="e">
        <f>IF(A2405&lt;&gt;"",IF(AND(#REF!="Padrão",$H$4=#REF!),BDI!$B$17,IF(AND(#REF!="Padrão",$H$4=#REF!),BDI!#REF!,IF(AND(#REF!="Diferenciado",$H$4=#REF!),BDI!$E$17,IF(AND(#REF!="Diferenciado",$H$4=#REF!),BDI!#REF!,IF(#REF!="ZERO",0))))),"")</f>
        <v>#REF!</v>
      </c>
      <c r="H2405" s="136" t="str">
        <f t="shared" si="121"/>
        <v/>
      </c>
      <c r="I2405" s="134" t="str">
        <f t="shared" si="122"/>
        <v/>
      </c>
      <c r="J2405" s="226"/>
    </row>
    <row r="2406" spans="1:10" hidden="1" x14ac:dyDescent="0.25">
      <c r="A2406" s="112" t="s">
        <v>6014</v>
      </c>
      <c r="B2406" s="113" t="s">
        <v>4779</v>
      </c>
      <c r="C2406" s="114" t="s">
        <v>20</v>
      </c>
      <c r="D2406" s="114">
        <v>0</v>
      </c>
      <c r="E2406" s="133" t="s">
        <v>514</v>
      </c>
      <c r="F2406" s="134" t="str">
        <f t="shared" si="120"/>
        <v/>
      </c>
      <c r="G2406" s="135" t="e">
        <f>IF(A2406&lt;&gt;"",IF(AND(#REF!="Padrão",$H$4=#REF!),BDI!$B$17,IF(AND(#REF!="Padrão",$H$4=#REF!),BDI!#REF!,IF(AND(#REF!="Diferenciado",$H$4=#REF!),BDI!$E$17,IF(AND(#REF!="Diferenciado",$H$4=#REF!),BDI!#REF!,IF(#REF!="ZERO",0))))),"")</f>
        <v>#REF!</v>
      </c>
      <c r="H2406" s="136" t="str">
        <f t="shared" si="121"/>
        <v/>
      </c>
      <c r="I2406" s="134" t="str">
        <f t="shared" si="122"/>
        <v/>
      </c>
      <c r="J2406" s="226"/>
    </row>
    <row r="2407" spans="1:10" hidden="1" x14ac:dyDescent="0.25">
      <c r="A2407" s="112" t="s">
        <v>6015</v>
      </c>
      <c r="B2407" s="113" t="s">
        <v>4780</v>
      </c>
      <c r="C2407" s="114" t="s">
        <v>20</v>
      </c>
      <c r="D2407" s="114">
        <v>0</v>
      </c>
      <c r="E2407" s="133" t="s">
        <v>514</v>
      </c>
      <c r="F2407" s="134" t="str">
        <f t="shared" si="120"/>
        <v/>
      </c>
      <c r="G2407" s="135" t="e">
        <f>IF(A2407&lt;&gt;"",IF(AND(#REF!="Padrão",$H$4=#REF!),BDI!$B$17,IF(AND(#REF!="Padrão",$H$4=#REF!),BDI!#REF!,IF(AND(#REF!="Diferenciado",$H$4=#REF!),BDI!$E$17,IF(AND(#REF!="Diferenciado",$H$4=#REF!),BDI!#REF!,IF(#REF!="ZERO",0))))),"")</f>
        <v>#REF!</v>
      </c>
      <c r="H2407" s="136" t="str">
        <f t="shared" si="121"/>
        <v/>
      </c>
      <c r="I2407" s="134" t="str">
        <f t="shared" si="122"/>
        <v/>
      </c>
      <c r="J2407" s="226"/>
    </row>
    <row r="2408" spans="1:10" hidden="1" x14ac:dyDescent="0.25">
      <c r="A2408" s="112" t="s">
        <v>6016</v>
      </c>
      <c r="B2408" s="113" t="s">
        <v>4781</v>
      </c>
      <c r="C2408" s="114" t="s">
        <v>20</v>
      </c>
      <c r="D2408" s="114">
        <v>0</v>
      </c>
      <c r="E2408" s="133" t="s">
        <v>514</v>
      </c>
      <c r="F2408" s="134" t="str">
        <f t="shared" si="120"/>
        <v/>
      </c>
      <c r="G2408" s="135" t="e">
        <f>IF(A2408&lt;&gt;"",IF(AND(#REF!="Padrão",$H$4=#REF!),BDI!$B$17,IF(AND(#REF!="Padrão",$H$4=#REF!),BDI!#REF!,IF(AND(#REF!="Diferenciado",$H$4=#REF!),BDI!$E$17,IF(AND(#REF!="Diferenciado",$H$4=#REF!),BDI!#REF!,IF(#REF!="ZERO",0))))),"")</f>
        <v>#REF!</v>
      </c>
      <c r="H2408" s="136" t="str">
        <f t="shared" si="121"/>
        <v/>
      </c>
      <c r="I2408" s="134" t="str">
        <f t="shared" si="122"/>
        <v/>
      </c>
      <c r="J2408" s="226"/>
    </row>
    <row r="2409" spans="1:10" hidden="1" x14ac:dyDescent="0.25">
      <c r="A2409" s="112" t="s">
        <v>6017</v>
      </c>
      <c r="B2409" s="113" t="s">
        <v>4782</v>
      </c>
      <c r="C2409" s="114" t="s">
        <v>20</v>
      </c>
      <c r="D2409" s="114">
        <v>0</v>
      </c>
      <c r="E2409" s="133" t="s">
        <v>514</v>
      </c>
      <c r="F2409" s="134" t="str">
        <f t="shared" si="120"/>
        <v/>
      </c>
      <c r="G2409" s="135" t="e">
        <f>IF(A2409&lt;&gt;"",IF(AND(#REF!="Padrão",$H$4=#REF!),BDI!$B$17,IF(AND(#REF!="Padrão",$H$4=#REF!),BDI!#REF!,IF(AND(#REF!="Diferenciado",$H$4=#REF!),BDI!$E$17,IF(AND(#REF!="Diferenciado",$H$4=#REF!),BDI!#REF!,IF(#REF!="ZERO",0))))),"")</f>
        <v>#REF!</v>
      </c>
      <c r="H2409" s="136" t="str">
        <f t="shared" si="121"/>
        <v/>
      </c>
      <c r="I2409" s="134" t="str">
        <f t="shared" si="122"/>
        <v/>
      </c>
      <c r="J2409" s="226"/>
    </row>
    <row r="2410" spans="1:10" hidden="1" x14ac:dyDescent="0.25">
      <c r="A2410" s="112" t="s">
        <v>6018</v>
      </c>
      <c r="B2410" s="113" t="s">
        <v>4783</v>
      </c>
      <c r="C2410" s="114" t="s">
        <v>20</v>
      </c>
      <c r="D2410" s="114">
        <v>0</v>
      </c>
      <c r="E2410" s="133" t="s">
        <v>514</v>
      </c>
      <c r="F2410" s="134" t="str">
        <f t="shared" si="120"/>
        <v/>
      </c>
      <c r="G2410" s="135" t="e">
        <f>IF(A2410&lt;&gt;"",IF(AND(#REF!="Padrão",$H$4=#REF!),BDI!$B$17,IF(AND(#REF!="Padrão",$H$4=#REF!),BDI!#REF!,IF(AND(#REF!="Diferenciado",$H$4=#REF!),BDI!$E$17,IF(AND(#REF!="Diferenciado",$H$4=#REF!),BDI!#REF!,IF(#REF!="ZERO",0))))),"")</f>
        <v>#REF!</v>
      </c>
      <c r="H2410" s="136" t="str">
        <f t="shared" si="121"/>
        <v/>
      </c>
      <c r="I2410" s="134" t="str">
        <f t="shared" si="122"/>
        <v/>
      </c>
      <c r="J2410" s="226"/>
    </row>
    <row r="2411" spans="1:10" hidden="1" x14ac:dyDescent="0.25">
      <c r="A2411" s="112" t="s">
        <v>6019</v>
      </c>
      <c r="B2411" s="113" t="s">
        <v>4784</v>
      </c>
      <c r="C2411" s="114" t="s">
        <v>20</v>
      </c>
      <c r="D2411" s="114">
        <v>0</v>
      </c>
      <c r="E2411" s="133" t="s">
        <v>514</v>
      </c>
      <c r="F2411" s="134" t="str">
        <f t="shared" si="120"/>
        <v/>
      </c>
      <c r="G2411" s="135" t="e">
        <f>IF(A2411&lt;&gt;"",IF(AND(#REF!="Padrão",$H$4=#REF!),BDI!$B$17,IF(AND(#REF!="Padrão",$H$4=#REF!),BDI!#REF!,IF(AND(#REF!="Diferenciado",$H$4=#REF!),BDI!$E$17,IF(AND(#REF!="Diferenciado",$H$4=#REF!),BDI!#REF!,IF(#REF!="ZERO",0))))),"")</f>
        <v>#REF!</v>
      </c>
      <c r="H2411" s="136" t="str">
        <f t="shared" si="121"/>
        <v/>
      </c>
      <c r="I2411" s="134" t="str">
        <f t="shared" si="122"/>
        <v/>
      </c>
      <c r="J2411" s="226"/>
    </row>
    <row r="2412" spans="1:10" hidden="1" x14ac:dyDescent="0.25">
      <c r="A2412" s="112" t="s">
        <v>6020</v>
      </c>
      <c r="B2412" s="113" t="s">
        <v>4785</v>
      </c>
      <c r="C2412" s="114" t="s">
        <v>20</v>
      </c>
      <c r="D2412" s="114">
        <v>0</v>
      </c>
      <c r="E2412" s="133" t="s">
        <v>514</v>
      </c>
      <c r="F2412" s="134" t="str">
        <f t="shared" si="120"/>
        <v/>
      </c>
      <c r="G2412" s="135" t="e">
        <f>IF(A2412&lt;&gt;"",IF(AND(#REF!="Padrão",$H$4=#REF!),BDI!$B$17,IF(AND(#REF!="Padrão",$H$4=#REF!),BDI!#REF!,IF(AND(#REF!="Diferenciado",$H$4=#REF!),BDI!$E$17,IF(AND(#REF!="Diferenciado",$H$4=#REF!),BDI!#REF!,IF(#REF!="ZERO",0))))),"")</f>
        <v>#REF!</v>
      </c>
      <c r="H2412" s="136" t="str">
        <f t="shared" si="121"/>
        <v/>
      </c>
      <c r="I2412" s="134" t="str">
        <f t="shared" si="122"/>
        <v/>
      </c>
      <c r="J2412" s="226"/>
    </row>
    <row r="2413" spans="1:10" hidden="1" x14ac:dyDescent="0.25">
      <c r="A2413" s="112" t="s">
        <v>6021</v>
      </c>
      <c r="B2413" s="113" t="s">
        <v>4786</v>
      </c>
      <c r="C2413" s="114" t="s">
        <v>20</v>
      </c>
      <c r="D2413" s="114">
        <v>0</v>
      </c>
      <c r="E2413" s="133" t="s">
        <v>514</v>
      </c>
      <c r="F2413" s="134" t="str">
        <f t="shared" ref="F2413:F2476" si="123">IF(ISNUMBER(E2413),D2413*E2413,"")</f>
        <v/>
      </c>
      <c r="G2413" s="135" t="e">
        <f>IF(A2413&lt;&gt;"",IF(AND(#REF!="Padrão",$H$4=#REF!),BDI!$B$17,IF(AND(#REF!="Padrão",$H$4=#REF!),BDI!#REF!,IF(AND(#REF!="Diferenciado",$H$4=#REF!),BDI!$E$17,IF(AND(#REF!="Diferenciado",$H$4=#REF!),BDI!#REF!,IF(#REF!="ZERO",0))))),"")</f>
        <v>#REF!</v>
      </c>
      <c r="H2413" s="136" t="str">
        <f t="shared" ref="H2413:H2476" si="124">IF(ISNUMBER(E2413),ROUND(E2413*(1+G2413),2),"")</f>
        <v/>
      </c>
      <c r="I2413" s="134" t="str">
        <f t="shared" ref="I2413:I2476" si="125">IF(ISNUMBER(E2413),ROUND(H2413*D2413,2),"")</f>
        <v/>
      </c>
      <c r="J2413" s="226"/>
    </row>
    <row r="2414" spans="1:10" hidden="1" x14ac:dyDescent="0.25">
      <c r="A2414" s="112" t="s">
        <v>6022</v>
      </c>
      <c r="B2414" s="113" t="s">
        <v>4787</v>
      </c>
      <c r="C2414" s="114" t="s">
        <v>20</v>
      </c>
      <c r="D2414" s="114">
        <v>0</v>
      </c>
      <c r="E2414" s="133" t="s">
        <v>514</v>
      </c>
      <c r="F2414" s="134" t="str">
        <f t="shared" si="123"/>
        <v/>
      </c>
      <c r="G2414" s="135" t="e">
        <f>IF(A2414&lt;&gt;"",IF(AND(#REF!="Padrão",$H$4=#REF!),BDI!$B$17,IF(AND(#REF!="Padrão",$H$4=#REF!),BDI!#REF!,IF(AND(#REF!="Diferenciado",$H$4=#REF!),BDI!$E$17,IF(AND(#REF!="Diferenciado",$H$4=#REF!),BDI!#REF!,IF(#REF!="ZERO",0))))),"")</f>
        <v>#REF!</v>
      </c>
      <c r="H2414" s="136" t="str">
        <f t="shared" si="124"/>
        <v/>
      </c>
      <c r="I2414" s="134" t="str">
        <f t="shared" si="125"/>
        <v/>
      </c>
      <c r="J2414" s="226"/>
    </row>
    <row r="2415" spans="1:10" hidden="1" x14ac:dyDescent="0.25">
      <c r="A2415" s="112" t="s">
        <v>6023</v>
      </c>
      <c r="B2415" s="113" t="s">
        <v>4788</v>
      </c>
      <c r="C2415" s="114" t="s">
        <v>20</v>
      </c>
      <c r="D2415" s="114">
        <v>0</v>
      </c>
      <c r="E2415" s="133" t="s">
        <v>514</v>
      </c>
      <c r="F2415" s="134" t="str">
        <f t="shared" si="123"/>
        <v/>
      </c>
      <c r="G2415" s="135" t="e">
        <f>IF(A2415&lt;&gt;"",IF(AND(#REF!="Padrão",$H$4=#REF!),BDI!$B$17,IF(AND(#REF!="Padrão",$H$4=#REF!),BDI!#REF!,IF(AND(#REF!="Diferenciado",$H$4=#REF!),BDI!$E$17,IF(AND(#REF!="Diferenciado",$H$4=#REF!),BDI!#REF!,IF(#REF!="ZERO",0))))),"")</f>
        <v>#REF!</v>
      </c>
      <c r="H2415" s="136" t="str">
        <f t="shared" si="124"/>
        <v/>
      </c>
      <c r="I2415" s="134" t="str">
        <f t="shared" si="125"/>
        <v/>
      </c>
      <c r="J2415" s="226"/>
    </row>
    <row r="2416" spans="1:10" hidden="1" x14ac:dyDescent="0.25">
      <c r="A2416" s="112" t="s">
        <v>6024</v>
      </c>
      <c r="B2416" s="113" t="s">
        <v>4789</v>
      </c>
      <c r="C2416" s="114" t="s">
        <v>92</v>
      </c>
      <c r="D2416" s="114">
        <v>0</v>
      </c>
      <c r="E2416" s="133" t="s">
        <v>514</v>
      </c>
      <c r="F2416" s="134" t="str">
        <f t="shared" si="123"/>
        <v/>
      </c>
      <c r="G2416" s="135" t="e">
        <f>IF(A2416&lt;&gt;"",IF(AND(#REF!="Padrão",$H$4=#REF!),BDI!$B$17,IF(AND(#REF!="Padrão",$H$4=#REF!),BDI!#REF!,IF(AND(#REF!="Diferenciado",$H$4=#REF!),BDI!$E$17,IF(AND(#REF!="Diferenciado",$H$4=#REF!),BDI!#REF!,IF(#REF!="ZERO",0))))),"")</f>
        <v>#REF!</v>
      </c>
      <c r="H2416" s="136" t="str">
        <f t="shared" si="124"/>
        <v/>
      </c>
      <c r="I2416" s="134" t="str">
        <f t="shared" si="125"/>
        <v/>
      </c>
      <c r="J2416" s="226"/>
    </row>
    <row r="2417" spans="1:10" hidden="1" x14ac:dyDescent="0.25">
      <c r="A2417" s="112" t="s">
        <v>6025</v>
      </c>
      <c r="B2417" s="113" t="s">
        <v>4790</v>
      </c>
      <c r="C2417" s="114" t="s">
        <v>20</v>
      </c>
      <c r="D2417" s="114">
        <v>0</v>
      </c>
      <c r="E2417" s="133" t="s">
        <v>514</v>
      </c>
      <c r="F2417" s="134" t="str">
        <f t="shared" si="123"/>
        <v/>
      </c>
      <c r="G2417" s="135" t="e">
        <f>IF(A2417&lt;&gt;"",IF(AND(#REF!="Padrão",$H$4=#REF!),BDI!$B$17,IF(AND(#REF!="Padrão",$H$4=#REF!),BDI!#REF!,IF(AND(#REF!="Diferenciado",$H$4=#REF!),BDI!$E$17,IF(AND(#REF!="Diferenciado",$H$4=#REF!),BDI!#REF!,IF(#REF!="ZERO",0))))),"")</f>
        <v>#REF!</v>
      </c>
      <c r="H2417" s="136" t="str">
        <f t="shared" si="124"/>
        <v/>
      </c>
      <c r="I2417" s="134" t="str">
        <f t="shared" si="125"/>
        <v/>
      </c>
      <c r="J2417" s="226"/>
    </row>
    <row r="2418" spans="1:10" hidden="1" x14ac:dyDescent="0.25">
      <c r="A2418" s="112" t="s">
        <v>6026</v>
      </c>
      <c r="B2418" s="113" t="s">
        <v>4791</v>
      </c>
      <c r="C2418" s="114" t="s">
        <v>20</v>
      </c>
      <c r="D2418" s="114">
        <v>0</v>
      </c>
      <c r="E2418" s="133" t="s">
        <v>514</v>
      </c>
      <c r="F2418" s="134" t="str">
        <f t="shared" si="123"/>
        <v/>
      </c>
      <c r="G2418" s="135" t="e">
        <f>IF(A2418&lt;&gt;"",IF(AND(#REF!="Padrão",$H$4=#REF!),BDI!$B$17,IF(AND(#REF!="Padrão",$H$4=#REF!),BDI!#REF!,IF(AND(#REF!="Diferenciado",$H$4=#REF!),BDI!$E$17,IF(AND(#REF!="Diferenciado",$H$4=#REF!),BDI!#REF!,IF(#REF!="ZERO",0))))),"")</f>
        <v>#REF!</v>
      </c>
      <c r="H2418" s="136" t="str">
        <f t="shared" si="124"/>
        <v/>
      </c>
      <c r="I2418" s="134" t="str">
        <f t="shared" si="125"/>
        <v/>
      </c>
      <c r="J2418" s="226"/>
    </row>
    <row r="2419" spans="1:10" hidden="1" x14ac:dyDescent="0.25">
      <c r="A2419" s="112" t="s">
        <v>6027</v>
      </c>
      <c r="B2419" s="113" t="s">
        <v>4792</v>
      </c>
      <c r="C2419" s="114" t="s">
        <v>20</v>
      </c>
      <c r="D2419" s="114">
        <v>0</v>
      </c>
      <c r="E2419" s="133" t="s">
        <v>514</v>
      </c>
      <c r="F2419" s="134" t="str">
        <f t="shared" si="123"/>
        <v/>
      </c>
      <c r="G2419" s="135" t="e">
        <f>IF(A2419&lt;&gt;"",IF(AND(#REF!="Padrão",$H$4=#REF!),BDI!$B$17,IF(AND(#REF!="Padrão",$H$4=#REF!),BDI!#REF!,IF(AND(#REF!="Diferenciado",$H$4=#REF!),BDI!$E$17,IF(AND(#REF!="Diferenciado",$H$4=#REF!),BDI!#REF!,IF(#REF!="ZERO",0))))),"")</f>
        <v>#REF!</v>
      </c>
      <c r="H2419" s="136" t="str">
        <f t="shared" si="124"/>
        <v/>
      </c>
      <c r="I2419" s="134" t="str">
        <f t="shared" si="125"/>
        <v/>
      </c>
      <c r="J2419" s="226"/>
    </row>
    <row r="2420" spans="1:10" hidden="1" x14ac:dyDescent="0.25">
      <c r="A2420" s="112" t="s">
        <v>6028</v>
      </c>
      <c r="B2420" s="113" t="s">
        <v>4793</v>
      </c>
      <c r="C2420" s="114" t="s">
        <v>20</v>
      </c>
      <c r="D2420" s="114">
        <v>0</v>
      </c>
      <c r="E2420" s="133" t="s">
        <v>514</v>
      </c>
      <c r="F2420" s="134" t="str">
        <f t="shared" si="123"/>
        <v/>
      </c>
      <c r="G2420" s="135" t="e">
        <f>IF(A2420&lt;&gt;"",IF(AND(#REF!="Padrão",$H$4=#REF!),BDI!$B$17,IF(AND(#REF!="Padrão",$H$4=#REF!),BDI!#REF!,IF(AND(#REF!="Diferenciado",$H$4=#REF!),BDI!$E$17,IF(AND(#REF!="Diferenciado",$H$4=#REF!),BDI!#REF!,IF(#REF!="ZERO",0))))),"")</f>
        <v>#REF!</v>
      </c>
      <c r="H2420" s="136" t="str">
        <f t="shared" si="124"/>
        <v/>
      </c>
      <c r="I2420" s="134" t="str">
        <f t="shared" si="125"/>
        <v/>
      </c>
      <c r="J2420" s="226"/>
    </row>
    <row r="2421" spans="1:10" hidden="1" x14ac:dyDescent="0.25">
      <c r="A2421" s="112" t="s">
        <v>6029</v>
      </c>
      <c r="B2421" s="113" t="s">
        <v>4794</v>
      </c>
      <c r="C2421" s="114" t="s">
        <v>20</v>
      </c>
      <c r="D2421" s="114">
        <v>0</v>
      </c>
      <c r="E2421" s="133" t="s">
        <v>514</v>
      </c>
      <c r="F2421" s="134" t="str">
        <f t="shared" si="123"/>
        <v/>
      </c>
      <c r="G2421" s="135" t="e">
        <f>IF(A2421&lt;&gt;"",IF(AND(#REF!="Padrão",$H$4=#REF!),BDI!$B$17,IF(AND(#REF!="Padrão",$H$4=#REF!),BDI!#REF!,IF(AND(#REF!="Diferenciado",$H$4=#REF!),BDI!$E$17,IF(AND(#REF!="Diferenciado",$H$4=#REF!),BDI!#REF!,IF(#REF!="ZERO",0))))),"")</f>
        <v>#REF!</v>
      </c>
      <c r="H2421" s="136" t="str">
        <f t="shared" si="124"/>
        <v/>
      </c>
      <c r="I2421" s="134" t="str">
        <f t="shared" si="125"/>
        <v/>
      </c>
      <c r="J2421" s="226"/>
    </row>
    <row r="2422" spans="1:10" hidden="1" x14ac:dyDescent="0.25">
      <c r="A2422" s="112" t="s">
        <v>6030</v>
      </c>
      <c r="B2422" s="113" t="s">
        <v>4795</v>
      </c>
      <c r="C2422" s="114" t="s">
        <v>20</v>
      </c>
      <c r="D2422" s="114">
        <v>0</v>
      </c>
      <c r="E2422" s="133" t="s">
        <v>514</v>
      </c>
      <c r="F2422" s="134" t="str">
        <f t="shared" si="123"/>
        <v/>
      </c>
      <c r="G2422" s="135" t="e">
        <f>IF(A2422&lt;&gt;"",IF(AND(#REF!="Padrão",$H$4=#REF!),BDI!$B$17,IF(AND(#REF!="Padrão",$H$4=#REF!),BDI!#REF!,IF(AND(#REF!="Diferenciado",$H$4=#REF!),BDI!$E$17,IF(AND(#REF!="Diferenciado",$H$4=#REF!),BDI!#REF!,IF(#REF!="ZERO",0))))),"")</f>
        <v>#REF!</v>
      </c>
      <c r="H2422" s="136" t="str">
        <f t="shared" si="124"/>
        <v/>
      </c>
      <c r="I2422" s="134" t="str">
        <f t="shared" si="125"/>
        <v/>
      </c>
      <c r="J2422" s="226"/>
    </row>
    <row r="2423" spans="1:10" hidden="1" x14ac:dyDescent="0.25">
      <c r="A2423" s="112" t="s">
        <v>6031</v>
      </c>
      <c r="B2423" s="113" t="s">
        <v>4796</v>
      </c>
      <c r="C2423" s="114" t="s">
        <v>20</v>
      </c>
      <c r="D2423" s="114">
        <v>0</v>
      </c>
      <c r="E2423" s="133" t="s">
        <v>514</v>
      </c>
      <c r="F2423" s="134" t="str">
        <f t="shared" si="123"/>
        <v/>
      </c>
      <c r="G2423" s="135" t="e">
        <f>IF(A2423&lt;&gt;"",IF(AND(#REF!="Padrão",$H$4=#REF!),BDI!$B$17,IF(AND(#REF!="Padrão",$H$4=#REF!),BDI!#REF!,IF(AND(#REF!="Diferenciado",$H$4=#REF!),BDI!$E$17,IF(AND(#REF!="Diferenciado",$H$4=#REF!),BDI!#REF!,IF(#REF!="ZERO",0))))),"")</f>
        <v>#REF!</v>
      </c>
      <c r="H2423" s="136" t="str">
        <f t="shared" si="124"/>
        <v/>
      </c>
      <c r="I2423" s="134" t="str">
        <f t="shared" si="125"/>
        <v/>
      </c>
      <c r="J2423" s="226"/>
    </row>
    <row r="2424" spans="1:10" hidden="1" x14ac:dyDescent="0.25">
      <c r="A2424" s="112" t="s">
        <v>6032</v>
      </c>
      <c r="B2424" s="113" t="s">
        <v>4797</v>
      </c>
      <c r="C2424" s="114" t="s">
        <v>20</v>
      </c>
      <c r="D2424" s="114">
        <v>0</v>
      </c>
      <c r="E2424" s="133" t="s">
        <v>514</v>
      </c>
      <c r="F2424" s="134" t="str">
        <f t="shared" si="123"/>
        <v/>
      </c>
      <c r="G2424" s="135" t="e">
        <f>IF(A2424&lt;&gt;"",IF(AND(#REF!="Padrão",$H$4=#REF!),BDI!$B$17,IF(AND(#REF!="Padrão",$H$4=#REF!),BDI!#REF!,IF(AND(#REF!="Diferenciado",$H$4=#REF!),BDI!$E$17,IF(AND(#REF!="Diferenciado",$H$4=#REF!),BDI!#REF!,IF(#REF!="ZERO",0))))),"")</f>
        <v>#REF!</v>
      </c>
      <c r="H2424" s="136" t="str">
        <f t="shared" si="124"/>
        <v/>
      </c>
      <c r="I2424" s="134" t="str">
        <f t="shared" si="125"/>
        <v/>
      </c>
      <c r="J2424" s="226"/>
    </row>
    <row r="2425" spans="1:10" hidden="1" x14ac:dyDescent="0.25">
      <c r="A2425" s="112" t="s">
        <v>6033</v>
      </c>
      <c r="B2425" s="113" t="s">
        <v>4798</v>
      </c>
      <c r="C2425" s="114" t="s">
        <v>20</v>
      </c>
      <c r="D2425" s="114">
        <v>0</v>
      </c>
      <c r="E2425" s="133" t="s">
        <v>514</v>
      </c>
      <c r="F2425" s="134" t="str">
        <f t="shared" si="123"/>
        <v/>
      </c>
      <c r="G2425" s="135" t="e">
        <f>IF(A2425&lt;&gt;"",IF(AND(#REF!="Padrão",$H$4=#REF!),BDI!$B$17,IF(AND(#REF!="Padrão",$H$4=#REF!),BDI!#REF!,IF(AND(#REF!="Diferenciado",$H$4=#REF!),BDI!$E$17,IF(AND(#REF!="Diferenciado",$H$4=#REF!),BDI!#REF!,IF(#REF!="ZERO",0))))),"")</f>
        <v>#REF!</v>
      </c>
      <c r="H2425" s="136" t="str">
        <f t="shared" si="124"/>
        <v/>
      </c>
      <c r="I2425" s="134" t="str">
        <f t="shared" si="125"/>
        <v/>
      </c>
      <c r="J2425" s="226"/>
    </row>
    <row r="2426" spans="1:10" hidden="1" x14ac:dyDescent="0.25">
      <c r="A2426" s="112" t="s">
        <v>6034</v>
      </c>
      <c r="B2426" s="113" t="s">
        <v>4799</v>
      </c>
      <c r="C2426" s="114" t="s">
        <v>20</v>
      </c>
      <c r="D2426" s="114">
        <v>0</v>
      </c>
      <c r="E2426" s="133" t="s">
        <v>514</v>
      </c>
      <c r="F2426" s="134" t="str">
        <f t="shared" si="123"/>
        <v/>
      </c>
      <c r="G2426" s="135" t="e">
        <f>IF(A2426&lt;&gt;"",IF(AND(#REF!="Padrão",$H$4=#REF!),BDI!$B$17,IF(AND(#REF!="Padrão",$H$4=#REF!),BDI!#REF!,IF(AND(#REF!="Diferenciado",$H$4=#REF!),BDI!$E$17,IF(AND(#REF!="Diferenciado",$H$4=#REF!),BDI!#REF!,IF(#REF!="ZERO",0))))),"")</f>
        <v>#REF!</v>
      </c>
      <c r="H2426" s="136" t="str">
        <f t="shared" si="124"/>
        <v/>
      </c>
      <c r="I2426" s="134" t="str">
        <f t="shared" si="125"/>
        <v/>
      </c>
      <c r="J2426" s="226"/>
    </row>
    <row r="2427" spans="1:10" hidden="1" x14ac:dyDescent="0.25">
      <c r="A2427" s="112" t="s">
        <v>6035</v>
      </c>
      <c r="B2427" s="113" t="s">
        <v>4800</v>
      </c>
      <c r="C2427" s="114" t="s">
        <v>20</v>
      </c>
      <c r="D2427" s="114">
        <v>0</v>
      </c>
      <c r="E2427" s="133" t="s">
        <v>514</v>
      </c>
      <c r="F2427" s="134" t="str">
        <f t="shared" si="123"/>
        <v/>
      </c>
      <c r="G2427" s="135" t="e">
        <f>IF(A2427&lt;&gt;"",IF(AND(#REF!="Padrão",$H$4=#REF!),BDI!$B$17,IF(AND(#REF!="Padrão",$H$4=#REF!),BDI!#REF!,IF(AND(#REF!="Diferenciado",$H$4=#REF!),BDI!$E$17,IF(AND(#REF!="Diferenciado",$H$4=#REF!),BDI!#REF!,IF(#REF!="ZERO",0))))),"")</f>
        <v>#REF!</v>
      </c>
      <c r="H2427" s="136" t="str">
        <f t="shared" si="124"/>
        <v/>
      </c>
      <c r="I2427" s="134" t="str">
        <f t="shared" si="125"/>
        <v/>
      </c>
      <c r="J2427" s="226"/>
    </row>
    <row r="2428" spans="1:10" hidden="1" x14ac:dyDescent="0.25">
      <c r="A2428" s="112" t="s">
        <v>6036</v>
      </c>
      <c r="B2428" s="113" t="s">
        <v>4801</v>
      </c>
      <c r="C2428" s="114" t="s">
        <v>20</v>
      </c>
      <c r="D2428" s="114">
        <v>0</v>
      </c>
      <c r="E2428" s="133" t="s">
        <v>514</v>
      </c>
      <c r="F2428" s="134" t="str">
        <f t="shared" si="123"/>
        <v/>
      </c>
      <c r="G2428" s="135" t="e">
        <f>IF(A2428&lt;&gt;"",IF(AND(#REF!="Padrão",$H$4=#REF!),BDI!$B$17,IF(AND(#REF!="Padrão",$H$4=#REF!),BDI!#REF!,IF(AND(#REF!="Diferenciado",$H$4=#REF!),BDI!$E$17,IF(AND(#REF!="Diferenciado",$H$4=#REF!),BDI!#REF!,IF(#REF!="ZERO",0))))),"")</f>
        <v>#REF!</v>
      </c>
      <c r="H2428" s="136" t="str">
        <f t="shared" si="124"/>
        <v/>
      </c>
      <c r="I2428" s="134" t="str">
        <f t="shared" si="125"/>
        <v/>
      </c>
      <c r="J2428" s="226"/>
    </row>
    <row r="2429" spans="1:10" hidden="1" x14ac:dyDescent="0.25">
      <c r="A2429" s="112" t="s">
        <v>6037</v>
      </c>
      <c r="B2429" s="113" t="s">
        <v>4802</v>
      </c>
      <c r="C2429" s="114" t="s">
        <v>20</v>
      </c>
      <c r="D2429" s="114">
        <v>0</v>
      </c>
      <c r="E2429" s="133" t="s">
        <v>514</v>
      </c>
      <c r="F2429" s="134" t="str">
        <f t="shared" si="123"/>
        <v/>
      </c>
      <c r="G2429" s="135" t="e">
        <f>IF(A2429&lt;&gt;"",IF(AND(#REF!="Padrão",$H$4=#REF!),BDI!$B$17,IF(AND(#REF!="Padrão",$H$4=#REF!),BDI!#REF!,IF(AND(#REF!="Diferenciado",$H$4=#REF!),BDI!$E$17,IF(AND(#REF!="Diferenciado",$H$4=#REF!),BDI!#REF!,IF(#REF!="ZERO",0))))),"")</f>
        <v>#REF!</v>
      </c>
      <c r="H2429" s="136" t="str">
        <f t="shared" si="124"/>
        <v/>
      </c>
      <c r="I2429" s="134" t="str">
        <f t="shared" si="125"/>
        <v/>
      </c>
      <c r="J2429" s="226"/>
    </row>
    <row r="2430" spans="1:10" hidden="1" x14ac:dyDescent="0.25">
      <c r="A2430" s="112" t="s">
        <v>6038</v>
      </c>
      <c r="B2430" s="113" t="s">
        <v>4803</v>
      </c>
      <c r="C2430" s="114" t="s">
        <v>20</v>
      </c>
      <c r="D2430" s="114">
        <v>0</v>
      </c>
      <c r="E2430" s="133" t="s">
        <v>514</v>
      </c>
      <c r="F2430" s="134" t="str">
        <f t="shared" si="123"/>
        <v/>
      </c>
      <c r="G2430" s="135" t="e">
        <f>IF(A2430&lt;&gt;"",IF(AND(#REF!="Padrão",$H$4=#REF!),BDI!$B$17,IF(AND(#REF!="Padrão",$H$4=#REF!),BDI!#REF!,IF(AND(#REF!="Diferenciado",$H$4=#REF!),BDI!$E$17,IF(AND(#REF!="Diferenciado",$H$4=#REF!),BDI!#REF!,IF(#REF!="ZERO",0))))),"")</f>
        <v>#REF!</v>
      </c>
      <c r="H2430" s="136" t="str">
        <f t="shared" si="124"/>
        <v/>
      </c>
      <c r="I2430" s="134" t="str">
        <f t="shared" si="125"/>
        <v/>
      </c>
      <c r="J2430" s="226"/>
    </row>
    <row r="2431" spans="1:10" hidden="1" x14ac:dyDescent="0.25">
      <c r="A2431" s="112" t="s">
        <v>6039</v>
      </c>
      <c r="B2431" s="113" t="s">
        <v>4804</v>
      </c>
      <c r="C2431" s="114" t="s">
        <v>20</v>
      </c>
      <c r="D2431" s="114">
        <v>0</v>
      </c>
      <c r="E2431" s="133" t="s">
        <v>514</v>
      </c>
      <c r="F2431" s="134" t="str">
        <f t="shared" si="123"/>
        <v/>
      </c>
      <c r="G2431" s="135" t="e">
        <f>IF(A2431&lt;&gt;"",IF(AND(#REF!="Padrão",$H$4=#REF!),BDI!$B$17,IF(AND(#REF!="Padrão",$H$4=#REF!),BDI!#REF!,IF(AND(#REF!="Diferenciado",$H$4=#REF!),BDI!$E$17,IF(AND(#REF!="Diferenciado",$H$4=#REF!),BDI!#REF!,IF(#REF!="ZERO",0))))),"")</f>
        <v>#REF!</v>
      </c>
      <c r="H2431" s="136" t="str">
        <f t="shared" si="124"/>
        <v/>
      </c>
      <c r="I2431" s="134" t="str">
        <f t="shared" si="125"/>
        <v/>
      </c>
      <c r="J2431" s="226"/>
    </row>
    <row r="2432" spans="1:10" hidden="1" x14ac:dyDescent="0.25">
      <c r="A2432" s="112" t="s">
        <v>6040</v>
      </c>
      <c r="B2432" s="113" t="s">
        <v>4805</v>
      </c>
      <c r="C2432" s="114" t="s">
        <v>20</v>
      </c>
      <c r="D2432" s="114">
        <v>0</v>
      </c>
      <c r="E2432" s="133" t="s">
        <v>514</v>
      </c>
      <c r="F2432" s="134" t="str">
        <f t="shared" si="123"/>
        <v/>
      </c>
      <c r="G2432" s="135" t="e">
        <f>IF(A2432&lt;&gt;"",IF(AND(#REF!="Padrão",$H$4=#REF!),BDI!$B$17,IF(AND(#REF!="Padrão",$H$4=#REF!),BDI!#REF!,IF(AND(#REF!="Diferenciado",$H$4=#REF!),BDI!$E$17,IF(AND(#REF!="Diferenciado",$H$4=#REF!),BDI!#REF!,IF(#REF!="ZERO",0))))),"")</f>
        <v>#REF!</v>
      </c>
      <c r="H2432" s="136" t="str">
        <f t="shared" si="124"/>
        <v/>
      </c>
      <c r="I2432" s="134" t="str">
        <f t="shared" si="125"/>
        <v/>
      </c>
      <c r="J2432" s="226"/>
    </row>
    <row r="2433" spans="1:10" hidden="1" x14ac:dyDescent="0.25">
      <c r="A2433" s="112" t="s">
        <v>6041</v>
      </c>
      <c r="B2433" s="113" t="s">
        <v>4806</v>
      </c>
      <c r="C2433" s="114" t="s">
        <v>20</v>
      </c>
      <c r="D2433" s="114">
        <v>0</v>
      </c>
      <c r="E2433" s="133" t="s">
        <v>514</v>
      </c>
      <c r="F2433" s="134" t="str">
        <f t="shared" si="123"/>
        <v/>
      </c>
      <c r="G2433" s="135" t="e">
        <f>IF(A2433&lt;&gt;"",IF(AND(#REF!="Padrão",$H$4=#REF!),BDI!$B$17,IF(AND(#REF!="Padrão",$H$4=#REF!),BDI!#REF!,IF(AND(#REF!="Diferenciado",$H$4=#REF!),BDI!$E$17,IF(AND(#REF!="Diferenciado",$H$4=#REF!),BDI!#REF!,IF(#REF!="ZERO",0))))),"")</f>
        <v>#REF!</v>
      </c>
      <c r="H2433" s="136" t="str">
        <f t="shared" si="124"/>
        <v/>
      </c>
      <c r="I2433" s="134" t="str">
        <f t="shared" si="125"/>
        <v/>
      </c>
      <c r="J2433" s="226"/>
    </row>
    <row r="2434" spans="1:10" hidden="1" x14ac:dyDescent="0.25">
      <c r="A2434" s="112" t="s">
        <v>6042</v>
      </c>
      <c r="B2434" s="113" t="s">
        <v>6468</v>
      </c>
      <c r="C2434" s="114" t="s">
        <v>20</v>
      </c>
      <c r="D2434" s="114">
        <v>0</v>
      </c>
      <c r="E2434" s="133" t="s">
        <v>514</v>
      </c>
      <c r="F2434" s="134" t="str">
        <f t="shared" si="123"/>
        <v/>
      </c>
      <c r="G2434" s="135" t="e">
        <f>IF(A2434&lt;&gt;"",IF(AND(#REF!="Padrão",$H$4=#REF!),BDI!$B$17,IF(AND(#REF!="Padrão",$H$4=#REF!),BDI!#REF!,IF(AND(#REF!="Diferenciado",$H$4=#REF!),BDI!$E$17,IF(AND(#REF!="Diferenciado",$H$4=#REF!),BDI!#REF!,IF(#REF!="ZERO",0))))),"")</f>
        <v>#REF!</v>
      </c>
      <c r="H2434" s="136" t="str">
        <f t="shared" si="124"/>
        <v/>
      </c>
      <c r="I2434" s="134" t="str">
        <f t="shared" si="125"/>
        <v/>
      </c>
      <c r="J2434" s="226"/>
    </row>
    <row r="2435" spans="1:10" hidden="1" x14ac:dyDescent="0.25">
      <c r="A2435" s="112" t="s">
        <v>6043</v>
      </c>
      <c r="B2435" s="113" t="s">
        <v>6469</v>
      </c>
      <c r="C2435" s="114" t="s">
        <v>20</v>
      </c>
      <c r="D2435" s="114">
        <v>0</v>
      </c>
      <c r="E2435" s="133" t="s">
        <v>514</v>
      </c>
      <c r="F2435" s="134" t="str">
        <f t="shared" si="123"/>
        <v/>
      </c>
      <c r="G2435" s="135" t="e">
        <f>IF(A2435&lt;&gt;"",IF(AND(#REF!="Padrão",$H$4=#REF!),BDI!$B$17,IF(AND(#REF!="Padrão",$H$4=#REF!),BDI!#REF!,IF(AND(#REF!="Diferenciado",$H$4=#REF!),BDI!$E$17,IF(AND(#REF!="Diferenciado",$H$4=#REF!),BDI!#REF!,IF(#REF!="ZERO",0))))),"")</f>
        <v>#REF!</v>
      </c>
      <c r="H2435" s="136" t="str">
        <f t="shared" si="124"/>
        <v/>
      </c>
      <c r="I2435" s="134" t="str">
        <f t="shared" si="125"/>
        <v/>
      </c>
      <c r="J2435" s="226"/>
    </row>
    <row r="2436" spans="1:10" hidden="1" x14ac:dyDescent="0.25">
      <c r="A2436" s="112" t="s">
        <v>6044</v>
      </c>
      <c r="B2436" s="113" t="s">
        <v>4807</v>
      </c>
      <c r="C2436" s="114" t="s">
        <v>20</v>
      </c>
      <c r="D2436" s="114">
        <v>0</v>
      </c>
      <c r="E2436" s="133" t="s">
        <v>514</v>
      </c>
      <c r="F2436" s="134" t="str">
        <f t="shared" si="123"/>
        <v/>
      </c>
      <c r="G2436" s="135" t="e">
        <f>IF(A2436&lt;&gt;"",IF(AND(#REF!="Padrão",$H$4=#REF!),BDI!$B$17,IF(AND(#REF!="Padrão",$H$4=#REF!),BDI!#REF!,IF(AND(#REF!="Diferenciado",$H$4=#REF!),BDI!$E$17,IF(AND(#REF!="Diferenciado",$H$4=#REF!),BDI!#REF!,IF(#REF!="ZERO",0))))),"")</f>
        <v>#REF!</v>
      </c>
      <c r="H2436" s="136" t="str">
        <f t="shared" si="124"/>
        <v/>
      </c>
      <c r="I2436" s="134" t="str">
        <f t="shared" si="125"/>
        <v/>
      </c>
      <c r="J2436" s="226"/>
    </row>
    <row r="2437" spans="1:10" hidden="1" x14ac:dyDescent="0.25">
      <c r="A2437" s="112" t="s">
        <v>6045</v>
      </c>
      <c r="B2437" s="113" t="s">
        <v>4808</v>
      </c>
      <c r="C2437" s="114" t="s">
        <v>20</v>
      </c>
      <c r="D2437" s="114">
        <v>0</v>
      </c>
      <c r="E2437" s="133" t="s">
        <v>514</v>
      </c>
      <c r="F2437" s="134" t="str">
        <f t="shared" si="123"/>
        <v/>
      </c>
      <c r="G2437" s="135" t="e">
        <f>IF(A2437&lt;&gt;"",IF(AND(#REF!="Padrão",$H$4=#REF!),BDI!$B$17,IF(AND(#REF!="Padrão",$H$4=#REF!),BDI!#REF!,IF(AND(#REF!="Diferenciado",$H$4=#REF!),BDI!$E$17,IF(AND(#REF!="Diferenciado",$H$4=#REF!),BDI!#REF!,IF(#REF!="ZERO",0))))),"")</f>
        <v>#REF!</v>
      </c>
      <c r="H2437" s="136" t="str">
        <f t="shared" si="124"/>
        <v/>
      </c>
      <c r="I2437" s="134" t="str">
        <f t="shared" si="125"/>
        <v/>
      </c>
      <c r="J2437" s="226"/>
    </row>
    <row r="2438" spans="1:10" hidden="1" x14ac:dyDescent="0.25">
      <c r="A2438" s="112" t="s">
        <v>6046</v>
      </c>
      <c r="B2438" s="113" t="s">
        <v>4809</v>
      </c>
      <c r="C2438" s="114" t="s">
        <v>20</v>
      </c>
      <c r="D2438" s="114">
        <v>0</v>
      </c>
      <c r="E2438" s="133" t="s">
        <v>514</v>
      </c>
      <c r="F2438" s="134" t="str">
        <f t="shared" si="123"/>
        <v/>
      </c>
      <c r="G2438" s="135" t="e">
        <f>IF(A2438&lt;&gt;"",IF(AND(#REF!="Padrão",$H$4=#REF!),BDI!$B$17,IF(AND(#REF!="Padrão",$H$4=#REF!),BDI!#REF!,IF(AND(#REF!="Diferenciado",$H$4=#REF!),BDI!$E$17,IF(AND(#REF!="Diferenciado",$H$4=#REF!),BDI!#REF!,IF(#REF!="ZERO",0))))),"")</f>
        <v>#REF!</v>
      </c>
      <c r="H2438" s="136" t="str">
        <f t="shared" si="124"/>
        <v/>
      </c>
      <c r="I2438" s="134" t="str">
        <f t="shared" si="125"/>
        <v/>
      </c>
      <c r="J2438" s="226"/>
    </row>
    <row r="2439" spans="1:10" hidden="1" x14ac:dyDescent="0.25">
      <c r="A2439" s="112" t="s">
        <v>6047</v>
      </c>
      <c r="B2439" s="113" t="s">
        <v>4810</v>
      </c>
      <c r="C2439" s="114" t="s">
        <v>20</v>
      </c>
      <c r="D2439" s="114">
        <v>0</v>
      </c>
      <c r="E2439" s="133" t="s">
        <v>514</v>
      </c>
      <c r="F2439" s="134" t="str">
        <f t="shared" si="123"/>
        <v/>
      </c>
      <c r="G2439" s="135" t="e">
        <f>IF(A2439&lt;&gt;"",IF(AND(#REF!="Padrão",$H$4=#REF!),BDI!$B$17,IF(AND(#REF!="Padrão",$H$4=#REF!),BDI!#REF!,IF(AND(#REF!="Diferenciado",$H$4=#REF!),BDI!$E$17,IF(AND(#REF!="Diferenciado",$H$4=#REF!),BDI!#REF!,IF(#REF!="ZERO",0))))),"")</f>
        <v>#REF!</v>
      </c>
      <c r="H2439" s="136" t="str">
        <f t="shared" si="124"/>
        <v/>
      </c>
      <c r="I2439" s="134" t="str">
        <f t="shared" si="125"/>
        <v/>
      </c>
      <c r="J2439" s="226"/>
    </row>
    <row r="2440" spans="1:10" hidden="1" x14ac:dyDescent="0.25">
      <c r="A2440" s="112" t="s">
        <v>6048</v>
      </c>
      <c r="B2440" s="113" t="s">
        <v>4811</v>
      </c>
      <c r="C2440" s="114" t="s">
        <v>20</v>
      </c>
      <c r="D2440" s="114">
        <v>0</v>
      </c>
      <c r="E2440" s="133" t="s">
        <v>514</v>
      </c>
      <c r="F2440" s="134" t="str">
        <f t="shared" si="123"/>
        <v/>
      </c>
      <c r="G2440" s="135" t="e">
        <f>IF(A2440&lt;&gt;"",IF(AND(#REF!="Padrão",$H$4=#REF!),BDI!$B$17,IF(AND(#REF!="Padrão",$H$4=#REF!),BDI!#REF!,IF(AND(#REF!="Diferenciado",$H$4=#REF!),BDI!$E$17,IF(AND(#REF!="Diferenciado",$H$4=#REF!),BDI!#REF!,IF(#REF!="ZERO",0))))),"")</f>
        <v>#REF!</v>
      </c>
      <c r="H2440" s="136" t="str">
        <f t="shared" si="124"/>
        <v/>
      </c>
      <c r="I2440" s="134" t="str">
        <f t="shared" si="125"/>
        <v/>
      </c>
      <c r="J2440" s="226"/>
    </row>
    <row r="2441" spans="1:10" hidden="1" x14ac:dyDescent="0.25">
      <c r="A2441" s="112" t="s">
        <v>6049</v>
      </c>
      <c r="B2441" s="113" t="s">
        <v>4812</v>
      </c>
      <c r="C2441" s="114" t="s">
        <v>20</v>
      </c>
      <c r="D2441" s="114">
        <v>0</v>
      </c>
      <c r="E2441" s="133" t="s">
        <v>514</v>
      </c>
      <c r="F2441" s="134" t="str">
        <f t="shared" si="123"/>
        <v/>
      </c>
      <c r="G2441" s="135" t="e">
        <f>IF(A2441&lt;&gt;"",IF(AND(#REF!="Padrão",$H$4=#REF!),BDI!$B$17,IF(AND(#REF!="Padrão",$H$4=#REF!),BDI!#REF!,IF(AND(#REF!="Diferenciado",$H$4=#REF!),BDI!$E$17,IF(AND(#REF!="Diferenciado",$H$4=#REF!),BDI!#REF!,IF(#REF!="ZERO",0))))),"")</f>
        <v>#REF!</v>
      </c>
      <c r="H2441" s="136" t="str">
        <f t="shared" si="124"/>
        <v/>
      </c>
      <c r="I2441" s="134" t="str">
        <f t="shared" si="125"/>
        <v/>
      </c>
      <c r="J2441" s="226"/>
    </row>
    <row r="2442" spans="1:10" hidden="1" x14ac:dyDescent="0.25">
      <c r="A2442" s="112" t="s">
        <v>6050</v>
      </c>
      <c r="B2442" s="113" t="s">
        <v>4813</v>
      </c>
      <c r="C2442" s="114" t="s">
        <v>20</v>
      </c>
      <c r="D2442" s="114">
        <v>0</v>
      </c>
      <c r="E2442" s="133" t="s">
        <v>514</v>
      </c>
      <c r="F2442" s="134" t="str">
        <f t="shared" si="123"/>
        <v/>
      </c>
      <c r="G2442" s="135" t="e">
        <f>IF(A2442&lt;&gt;"",IF(AND(#REF!="Padrão",$H$4=#REF!),BDI!$B$17,IF(AND(#REF!="Padrão",$H$4=#REF!),BDI!#REF!,IF(AND(#REF!="Diferenciado",$H$4=#REF!),BDI!$E$17,IF(AND(#REF!="Diferenciado",$H$4=#REF!),BDI!#REF!,IF(#REF!="ZERO",0))))),"")</f>
        <v>#REF!</v>
      </c>
      <c r="H2442" s="136" t="str">
        <f t="shared" si="124"/>
        <v/>
      </c>
      <c r="I2442" s="134" t="str">
        <f t="shared" si="125"/>
        <v/>
      </c>
      <c r="J2442" s="226"/>
    </row>
    <row r="2443" spans="1:10" hidden="1" x14ac:dyDescent="0.25">
      <c r="A2443" s="112" t="s">
        <v>6051</v>
      </c>
      <c r="B2443" s="113" t="s">
        <v>4814</v>
      </c>
      <c r="C2443" s="114" t="s">
        <v>20</v>
      </c>
      <c r="D2443" s="114">
        <v>0</v>
      </c>
      <c r="E2443" s="133" t="s">
        <v>514</v>
      </c>
      <c r="F2443" s="134" t="str">
        <f t="shared" si="123"/>
        <v/>
      </c>
      <c r="G2443" s="135" t="e">
        <f>IF(A2443&lt;&gt;"",IF(AND(#REF!="Padrão",$H$4=#REF!),BDI!$B$17,IF(AND(#REF!="Padrão",$H$4=#REF!),BDI!#REF!,IF(AND(#REF!="Diferenciado",$H$4=#REF!),BDI!$E$17,IF(AND(#REF!="Diferenciado",$H$4=#REF!),BDI!#REF!,IF(#REF!="ZERO",0))))),"")</f>
        <v>#REF!</v>
      </c>
      <c r="H2443" s="136" t="str">
        <f t="shared" si="124"/>
        <v/>
      </c>
      <c r="I2443" s="134" t="str">
        <f t="shared" si="125"/>
        <v/>
      </c>
      <c r="J2443" s="226"/>
    </row>
    <row r="2444" spans="1:10" hidden="1" x14ac:dyDescent="0.25">
      <c r="A2444" s="112" t="s">
        <v>6052</v>
      </c>
      <c r="B2444" s="113" t="s">
        <v>4815</v>
      </c>
      <c r="C2444" s="114" t="s">
        <v>20</v>
      </c>
      <c r="D2444" s="114">
        <v>0</v>
      </c>
      <c r="E2444" s="133" t="s">
        <v>514</v>
      </c>
      <c r="F2444" s="134" t="str">
        <f t="shared" si="123"/>
        <v/>
      </c>
      <c r="G2444" s="135" t="e">
        <f>IF(A2444&lt;&gt;"",IF(AND(#REF!="Padrão",$H$4=#REF!),BDI!$B$17,IF(AND(#REF!="Padrão",$H$4=#REF!),BDI!#REF!,IF(AND(#REF!="Diferenciado",$H$4=#REF!),BDI!$E$17,IF(AND(#REF!="Diferenciado",$H$4=#REF!),BDI!#REF!,IF(#REF!="ZERO",0))))),"")</f>
        <v>#REF!</v>
      </c>
      <c r="H2444" s="136" t="str">
        <f t="shared" si="124"/>
        <v/>
      </c>
      <c r="I2444" s="134" t="str">
        <f t="shared" si="125"/>
        <v/>
      </c>
      <c r="J2444" s="226"/>
    </row>
    <row r="2445" spans="1:10" hidden="1" x14ac:dyDescent="0.25">
      <c r="A2445" s="112" t="s">
        <v>6053</v>
      </c>
      <c r="B2445" s="113" t="s">
        <v>4816</v>
      </c>
      <c r="C2445" s="114" t="s">
        <v>20</v>
      </c>
      <c r="D2445" s="114">
        <v>0</v>
      </c>
      <c r="E2445" s="133" t="s">
        <v>514</v>
      </c>
      <c r="F2445" s="134" t="str">
        <f t="shared" si="123"/>
        <v/>
      </c>
      <c r="G2445" s="135" t="e">
        <f>IF(A2445&lt;&gt;"",IF(AND(#REF!="Padrão",$H$4=#REF!),BDI!$B$17,IF(AND(#REF!="Padrão",$H$4=#REF!),BDI!#REF!,IF(AND(#REF!="Diferenciado",$H$4=#REF!),BDI!$E$17,IF(AND(#REF!="Diferenciado",$H$4=#REF!),BDI!#REF!,IF(#REF!="ZERO",0))))),"")</f>
        <v>#REF!</v>
      </c>
      <c r="H2445" s="136" t="str">
        <f t="shared" si="124"/>
        <v/>
      </c>
      <c r="I2445" s="134" t="str">
        <f t="shared" si="125"/>
        <v/>
      </c>
      <c r="J2445" s="226"/>
    </row>
    <row r="2446" spans="1:10" hidden="1" x14ac:dyDescent="0.25">
      <c r="A2446" s="112" t="s">
        <v>6054</v>
      </c>
      <c r="B2446" s="113" t="s">
        <v>4817</v>
      </c>
      <c r="C2446" s="114" t="s">
        <v>20</v>
      </c>
      <c r="D2446" s="114">
        <v>0</v>
      </c>
      <c r="E2446" s="133" t="s">
        <v>514</v>
      </c>
      <c r="F2446" s="134" t="str">
        <f t="shared" si="123"/>
        <v/>
      </c>
      <c r="G2446" s="135" t="e">
        <f>IF(A2446&lt;&gt;"",IF(AND(#REF!="Padrão",$H$4=#REF!),BDI!$B$17,IF(AND(#REF!="Padrão",$H$4=#REF!),BDI!#REF!,IF(AND(#REF!="Diferenciado",$H$4=#REF!),BDI!$E$17,IF(AND(#REF!="Diferenciado",$H$4=#REF!),BDI!#REF!,IF(#REF!="ZERO",0))))),"")</f>
        <v>#REF!</v>
      </c>
      <c r="H2446" s="136" t="str">
        <f t="shared" si="124"/>
        <v/>
      </c>
      <c r="I2446" s="134" t="str">
        <f t="shared" si="125"/>
        <v/>
      </c>
      <c r="J2446" s="226"/>
    </row>
    <row r="2447" spans="1:10" hidden="1" x14ac:dyDescent="0.25">
      <c r="A2447" s="112" t="s">
        <v>6055</v>
      </c>
      <c r="B2447" s="113" t="s">
        <v>4818</v>
      </c>
      <c r="C2447" s="114" t="s">
        <v>20</v>
      </c>
      <c r="D2447" s="114">
        <v>0</v>
      </c>
      <c r="E2447" s="133" t="s">
        <v>514</v>
      </c>
      <c r="F2447" s="134" t="str">
        <f t="shared" si="123"/>
        <v/>
      </c>
      <c r="G2447" s="135" t="e">
        <f>IF(A2447&lt;&gt;"",IF(AND(#REF!="Padrão",$H$4=#REF!),BDI!$B$17,IF(AND(#REF!="Padrão",$H$4=#REF!),BDI!#REF!,IF(AND(#REF!="Diferenciado",$H$4=#REF!),BDI!$E$17,IF(AND(#REF!="Diferenciado",$H$4=#REF!),BDI!#REF!,IF(#REF!="ZERO",0))))),"")</f>
        <v>#REF!</v>
      </c>
      <c r="H2447" s="136" t="str">
        <f t="shared" si="124"/>
        <v/>
      </c>
      <c r="I2447" s="134" t="str">
        <f t="shared" si="125"/>
        <v/>
      </c>
      <c r="J2447" s="226"/>
    </row>
    <row r="2448" spans="1:10" hidden="1" x14ac:dyDescent="0.25">
      <c r="A2448" s="112" t="s">
        <v>6056</v>
      </c>
      <c r="B2448" s="113" t="s">
        <v>4819</v>
      </c>
      <c r="C2448" s="114" t="s">
        <v>20</v>
      </c>
      <c r="D2448" s="114">
        <v>0</v>
      </c>
      <c r="E2448" s="133" t="s">
        <v>514</v>
      </c>
      <c r="F2448" s="134" t="str">
        <f t="shared" si="123"/>
        <v/>
      </c>
      <c r="G2448" s="135" t="e">
        <f>IF(A2448&lt;&gt;"",IF(AND(#REF!="Padrão",$H$4=#REF!),BDI!$B$17,IF(AND(#REF!="Padrão",$H$4=#REF!),BDI!#REF!,IF(AND(#REF!="Diferenciado",$H$4=#REF!),BDI!$E$17,IF(AND(#REF!="Diferenciado",$H$4=#REF!),BDI!#REF!,IF(#REF!="ZERO",0))))),"")</f>
        <v>#REF!</v>
      </c>
      <c r="H2448" s="136" t="str">
        <f t="shared" si="124"/>
        <v/>
      </c>
      <c r="I2448" s="134" t="str">
        <f t="shared" si="125"/>
        <v/>
      </c>
      <c r="J2448" s="226"/>
    </row>
    <row r="2449" spans="1:10" hidden="1" x14ac:dyDescent="0.25">
      <c r="A2449" s="112" t="s">
        <v>6057</v>
      </c>
      <c r="B2449" s="113" t="s">
        <v>4820</v>
      </c>
      <c r="C2449" s="114" t="s">
        <v>20</v>
      </c>
      <c r="D2449" s="114">
        <v>0</v>
      </c>
      <c r="E2449" s="133" t="s">
        <v>514</v>
      </c>
      <c r="F2449" s="134" t="str">
        <f t="shared" si="123"/>
        <v/>
      </c>
      <c r="G2449" s="135" t="e">
        <f>IF(A2449&lt;&gt;"",IF(AND(#REF!="Padrão",$H$4=#REF!),BDI!$B$17,IF(AND(#REF!="Padrão",$H$4=#REF!),BDI!#REF!,IF(AND(#REF!="Diferenciado",$H$4=#REF!),BDI!$E$17,IF(AND(#REF!="Diferenciado",$H$4=#REF!),BDI!#REF!,IF(#REF!="ZERO",0))))),"")</f>
        <v>#REF!</v>
      </c>
      <c r="H2449" s="136" t="str">
        <f t="shared" si="124"/>
        <v/>
      </c>
      <c r="I2449" s="134" t="str">
        <f t="shared" si="125"/>
        <v/>
      </c>
      <c r="J2449" s="226"/>
    </row>
    <row r="2450" spans="1:10" hidden="1" x14ac:dyDescent="0.25">
      <c r="A2450" s="112" t="s">
        <v>6058</v>
      </c>
      <c r="B2450" s="113" t="s">
        <v>4821</v>
      </c>
      <c r="C2450" s="114" t="s">
        <v>20</v>
      </c>
      <c r="D2450" s="114">
        <v>0</v>
      </c>
      <c r="E2450" s="133" t="s">
        <v>514</v>
      </c>
      <c r="F2450" s="134" t="str">
        <f t="shared" si="123"/>
        <v/>
      </c>
      <c r="G2450" s="135" t="e">
        <f>IF(A2450&lt;&gt;"",IF(AND(#REF!="Padrão",$H$4=#REF!),BDI!$B$17,IF(AND(#REF!="Padrão",$H$4=#REF!),BDI!#REF!,IF(AND(#REF!="Diferenciado",$H$4=#REF!),BDI!$E$17,IF(AND(#REF!="Diferenciado",$H$4=#REF!),BDI!#REF!,IF(#REF!="ZERO",0))))),"")</f>
        <v>#REF!</v>
      </c>
      <c r="H2450" s="136" t="str">
        <f t="shared" si="124"/>
        <v/>
      </c>
      <c r="I2450" s="134" t="str">
        <f t="shared" si="125"/>
        <v/>
      </c>
      <c r="J2450" s="226"/>
    </row>
    <row r="2451" spans="1:10" hidden="1" x14ac:dyDescent="0.25">
      <c r="A2451" s="112" t="s">
        <v>6059</v>
      </c>
      <c r="B2451" s="113" t="s">
        <v>4822</v>
      </c>
      <c r="C2451" s="114" t="s">
        <v>20</v>
      </c>
      <c r="D2451" s="114">
        <v>0</v>
      </c>
      <c r="E2451" s="133" t="s">
        <v>514</v>
      </c>
      <c r="F2451" s="134" t="str">
        <f t="shared" si="123"/>
        <v/>
      </c>
      <c r="G2451" s="135" t="e">
        <f>IF(A2451&lt;&gt;"",IF(AND(#REF!="Padrão",$H$4=#REF!),BDI!$B$17,IF(AND(#REF!="Padrão",$H$4=#REF!),BDI!#REF!,IF(AND(#REF!="Diferenciado",$H$4=#REF!),BDI!$E$17,IF(AND(#REF!="Diferenciado",$H$4=#REF!),BDI!#REF!,IF(#REF!="ZERO",0))))),"")</f>
        <v>#REF!</v>
      </c>
      <c r="H2451" s="136" t="str">
        <f t="shared" si="124"/>
        <v/>
      </c>
      <c r="I2451" s="134" t="str">
        <f t="shared" si="125"/>
        <v/>
      </c>
      <c r="J2451" s="226"/>
    </row>
    <row r="2452" spans="1:10" hidden="1" x14ac:dyDescent="0.25">
      <c r="A2452" s="112" t="s">
        <v>6060</v>
      </c>
      <c r="B2452" s="113" t="s">
        <v>4823</v>
      </c>
      <c r="C2452" s="114" t="s">
        <v>20</v>
      </c>
      <c r="D2452" s="114">
        <v>0</v>
      </c>
      <c r="E2452" s="133" t="s">
        <v>514</v>
      </c>
      <c r="F2452" s="134" t="str">
        <f t="shared" si="123"/>
        <v/>
      </c>
      <c r="G2452" s="135" t="e">
        <f>IF(A2452&lt;&gt;"",IF(AND(#REF!="Padrão",$H$4=#REF!),BDI!$B$17,IF(AND(#REF!="Padrão",$H$4=#REF!),BDI!#REF!,IF(AND(#REF!="Diferenciado",$H$4=#REF!),BDI!$E$17,IF(AND(#REF!="Diferenciado",$H$4=#REF!),BDI!#REF!,IF(#REF!="ZERO",0))))),"")</f>
        <v>#REF!</v>
      </c>
      <c r="H2452" s="136" t="str">
        <f t="shared" si="124"/>
        <v/>
      </c>
      <c r="I2452" s="134" t="str">
        <f t="shared" si="125"/>
        <v/>
      </c>
      <c r="J2452" s="226"/>
    </row>
    <row r="2453" spans="1:10" hidden="1" x14ac:dyDescent="0.25">
      <c r="A2453" s="112" t="s">
        <v>6061</v>
      </c>
      <c r="B2453" s="113" t="s">
        <v>4824</v>
      </c>
      <c r="C2453" s="114" t="s">
        <v>20</v>
      </c>
      <c r="D2453" s="114">
        <v>0</v>
      </c>
      <c r="E2453" s="133" t="s">
        <v>514</v>
      </c>
      <c r="F2453" s="134" t="str">
        <f t="shared" si="123"/>
        <v/>
      </c>
      <c r="G2453" s="135" t="e">
        <f>IF(A2453&lt;&gt;"",IF(AND(#REF!="Padrão",$H$4=#REF!),BDI!$B$17,IF(AND(#REF!="Padrão",$H$4=#REF!),BDI!#REF!,IF(AND(#REF!="Diferenciado",$H$4=#REF!),BDI!$E$17,IF(AND(#REF!="Diferenciado",$H$4=#REF!),BDI!#REF!,IF(#REF!="ZERO",0))))),"")</f>
        <v>#REF!</v>
      </c>
      <c r="H2453" s="136" t="str">
        <f t="shared" si="124"/>
        <v/>
      </c>
      <c r="I2453" s="134" t="str">
        <f t="shared" si="125"/>
        <v/>
      </c>
      <c r="J2453" s="226"/>
    </row>
    <row r="2454" spans="1:10" hidden="1" x14ac:dyDescent="0.25">
      <c r="A2454" s="112" t="s">
        <v>6062</v>
      </c>
      <c r="B2454" s="113" t="s">
        <v>4825</v>
      </c>
      <c r="C2454" s="114" t="s">
        <v>20</v>
      </c>
      <c r="D2454" s="114">
        <v>0</v>
      </c>
      <c r="E2454" s="133" t="s">
        <v>514</v>
      </c>
      <c r="F2454" s="134" t="str">
        <f t="shared" si="123"/>
        <v/>
      </c>
      <c r="G2454" s="135" t="e">
        <f>IF(A2454&lt;&gt;"",IF(AND(#REF!="Padrão",$H$4=#REF!),BDI!$B$17,IF(AND(#REF!="Padrão",$H$4=#REF!),BDI!#REF!,IF(AND(#REF!="Diferenciado",$H$4=#REF!),BDI!$E$17,IF(AND(#REF!="Diferenciado",$H$4=#REF!),BDI!#REF!,IF(#REF!="ZERO",0))))),"")</f>
        <v>#REF!</v>
      </c>
      <c r="H2454" s="136" t="str">
        <f t="shared" si="124"/>
        <v/>
      </c>
      <c r="I2454" s="134" t="str">
        <f t="shared" si="125"/>
        <v/>
      </c>
      <c r="J2454" s="226"/>
    </row>
    <row r="2455" spans="1:10" hidden="1" x14ac:dyDescent="0.25">
      <c r="A2455" s="112" t="s">
        <v>6063</v>
      </c>
      <c r="B2455" s="113" t="s">
        <v>4826</v>
      </c>
      <c r="C2455" s="114" t="s">
        <v>20</v>
      </c>
      <c r="D2455" s="114">
        <v>0</v>
      </c>
      <c r="E2455" s="133" t="s">
        <v>514</v>
      </c>
      <c r="F2455" s="134" t="str">
        <f t="shared" si="123"/>
        <v/>
      </c>
      <c r="G2455" s="135" t="e">
        <f>IF(A2455&lt;&gt;"",IF(AND(#REF!="Padrão",$H$4=#REF!),BDI!$B$17,IF(AND(#REF!="Padrão",$H$4=#REF!),BDI!#REF!,IF(AND(#REF!="Diferenciado",$H$4=#REF!),BDI!$E$17,IF(AND(#REF!="Diferenciado",$H$4=#REF!),BDI!#REF!,IF(#REF!="ZERO",0))))),"")</f>
        <v>#REF!</v>
      </c>
      <c r="H2455" s="136" t="str">
        <f t="shared" si="124"/>
        <v/>
      </c>
      <c r="I2455" s="134" t="str">
        <f t="shared" si="125"/>
        <v/>
      </c>
      <c r="J2455" s="226"/>
    </row>
    <row r="2456" spans="1:10" hidden="1" x14ac:dyDescent="0.25">
      <c r="A2456" s="112" t="s">
        <v>6064</v>
      </c>
      <c r="B2456" s="113" t="s">
        <v>4827</v>
      </c>
      <c r="C2456" s="114" t="s">
        <v>20</v>
      </c>
      <c r="D2456" s="114">
        <v>0</v>
      </c>
      <c r="E2456" s="133" t="s">
        <v>514</v>
      </c>
      <c r="F2456" s="134" t="str">
        <f t="shared" si="123"/>
        <v/>
      </c>
      <c r="G2456" s="135" t="e">
        <f>IF(A2456&lt;&gt;"",IF(AND(#REF!="Padrão",$H$4=#REF!),BDI!$B$17,IF(AND(#REF!="Padrão",$H$4=#REF!),BDI!#REF!,IF(AND(#REF!="Diferenciado",$H$4=#REF!),BDI!$E$17,IF(AND(#REF!="Diferenciado",$H$4=#REF!),BDI!#REF!,IF(#REF!="ZERO",0))))),"")</f>
        <v>#REF!</v>
      </c>
      <c r="H2456" s="136" t="str">
        <f t="shared" si="124"/>
        <v/>
      </c>
      <c r="I2456" s="134" t="str">
        <f t="shared" si="125"/>
        <v/>
      </c>
      <c r="J2456" s="226"/>
    </row>
    <row r="2457" spans="1:10" hidden="1" x14ac:dyDescent="0.25">
      <c r="A2457" s="112" t="s">
        <v>6065</v>
      </c>
      <c r="B2457" s="113" t="s">
        <v>4828</v>
      </c>
      <c r="C2457" s="114" t="s">
        <v>20</v>
      </c>
      <c r="D2457" s="114">
        <v>0</v>
      </c>
      <c r="E2457" s="133" t="s">
        <v>514</v>
      </c>
      <c r="F2457" s="134" t="str">
        <f t="shared" si="123"/>
        <v/>
      </c>
      <c r="G2457" s="135" t="e">
        <f>IF(A2457&lt;&gt;"",IF(AND(#REF!="Padrão",$H$4=#REF!),BDI!$B$17,IF(AND(#REF!="Padrão",$H$4=#REF!),BDI!#REF!,IF(AND(#REF!="Diferenciado",$H$4=#REF!),BDI!$E$17,IF(AND(#REF!="Diferenciado",$H$4=#REF!),BDI!#REF!,IF(#REF!="ZERO",0))))),"")</f>
        <v>#REF!</v>
      </c>
      <c r="H2457" s="136" t="str">
        <f t="shared" si="124"/>
        <v/>
      </c>
      <c r="I2457" s="134" t="str">
        <f t="shared" si="125"/>
        <v/>
      </c>
      <c r="J2457" s="226"/>
    </row>
    <row r="2458" spans="1:10" hidden="1" x14ac:dyDescent="0.25">
      <c r="A2458" s="112" t="s">
        <v>6066</v>
      </c>
      <c r="B2458" s="113" t="s">
        <v>4829</v>
      </c>
      <c r="C2458" s="114" t="s">
        <v>20</v>
      </c>
      <c r="D2458" s="114">
        <v>0</v>
      </c>
      <c r="E2458" s="133" t="s">
        <v>514</v>
      </c>
      <c r="F2458" s="134" t="str">
        <f t="shared" si="123"/>
        <v/>
      </c>
      <c r="G2458" s="135" t="e">
        <f>IF(A2458&lt;&gt;"",IF(AND(#REF!="Padrão",$H$4=#REF!),BDI!$B$17,IF(AND(#REF!="Padrão",$H$4=#REF!),BDI!#REF!,IF(AND(#REF!="Diferenciado",$H$4=#REF!),BDI!$E$17,IF(AND(#REF!="Diferenciado",$H$4=#REF!),BDI!#REF!,IF(#REF!="ZERO",0))))),"")</f>
        <v>#REF!</v>
      </c>
      <c r="H2458" s="136" t="str">
        <f t="shared" si="124"/>
        <v/>
      </c>
      <c r="I2458" s="134" t="str">
        <f t="shared" si="125"/>
        <v/>
      </c>
      <c r="J2458" s="226"/>
    </row>
    <row r="2459" spans="1:10" hidden="1" x14ac:dyDescent="0.25">
      <c r="A2459" s="112" t="s">
        <v>6067</v>
      </c>
      <c r="B2459" s="113" t="s">
        <v>4830</v>
      </c>
      <c r="C2459" s="114" t="s">
        <v>20</v>
      </c>
      <c r="D2459" s="114">
        <v>0</v>
      </c>
      <c r="E2459" s="133" t="s">
        <v>514</v>
      </c>
      <c r="F2459" s="134" t="str">
        <f t="shared" si="123"/>
        <v/>
      </c>
      <c r="G2459" s="135" t="e">
        <f>IF(A2459&lt;&gt;"",IF(AND(#REF!="Padrão",$H$4=#REF!),BDI!$B$17,IF(AND(#REF!="Padrão",$H$4=#REF!),BDI!#REF!,IF(AND(#REF!="Diferenciado",$H$4=#REF!),BDI!$E$17,IF(AND(#REF!="Diferenciado",$H$4=#REF!),BDI!#REF!,IF(#REF!="ZERO",0))))),"")</f>
        <v>#REF!</v>
      </c>
      <c r="H2459" s="136" t="str">
        <f t="shared" si="124"/>
        <v/>
      </c>
      <c r="I2459" s="134" t="str">
        <f t="shared" si="125"/>
        <v/>
      </c>
      <c r="J2459" s="226"/>
    </row>
    <row r="2460" spans="1:10" hidden="1" x14ac:dyDescent="0.25">
      <c r="A2460" s="112" t="s">
        <v>6068</v>
      </c>
      <c r="B2460" s="113" t="s">
        <v>4831</v>
      </c>
      <c r="C2460" s="114" t="s">
        <v>20</v>
      </c>
      <c r="D2460" s="114">
        <v>0</v>
      </c>
      <c r="E2460" s="133" t="s">
        <v>514</v>
      </c>
      <c r="F2460" s="134" t="str">
        <f t="shared" si="123"/>
        <v/>
      </c>
      <c r="G2460" s="135" t="e">
        <f>IF(A2460&lt;&gt;"",IF(AND(#REF!="Padrão",$H$4=#REF!),BDI!$B$17,IF(AND(#REF!="Padrão",$H$4=#REF!),BDI!#REF!,IF(AND(#REF!="Diferenciado",$H$4=#REF!),BDI!$E$17,IF(AND(#REF!="Diferenciado",$H$4=#REF!),BDI!#REF!,IF(#REF!="ZERO",0))))),"")</f>
        <v>#REF!</v>
      </c>
      <c r="H2460" s="136" t="str">
        <f t="shared" si="124"/>
        <v/>
      </c>
      <c r="I2460" s="134" t="str">
        <f t="shared" si="125"/>
        <v/>
      </c>
      <c r="J2460" s="226"/>
    </row>
    <row r="2461" spans="1:10" hidden="1" x14ac:dyDescent="0.25">
      <c r="A2461" s="112" t="s">
        <v>6069</v>
      </c>
      <c r="B2461" s="113" t="s">
        <v>4832</v>
      </c>
      <c r="C2461" s="114" t="s">
        <v>20</v>
      </c>
      <c r="D2461" s="114">
        <v>0</v>
      </c>
      <c r="E2461" s="133" t="s">
        <v>514</v>
      </c>
      <c r="F2461" s="134" t="str">
        <f t="shared" si="123"/>
        <v/>
      </c>
      <c r="G2461" s="135" t="e">
        <f>IF(A2461&lt;&gt;"",IF(AND(#REF!="Padrão",$H$4=#REF!),BDI!$B$17,IF(AND(#REF!="Padrão",$H$4=#REF!),BDI!#REF!,IF(AND(#REF!="Diferenciado",$H$4=#REF!),BDI!$E$17,IF(AND(#REF!="Diferenciado",$H$4=#REF!),BDI!#REF!,IF(#REF!="ZERO",0))))),"")</f>
        <v>#REF!</v>
      </c>
      <c r="H2461" s="136" t="str">
        <f t="shared" si="124"/>
        <v/>
      </c>
      <c r="I2461" s="134" t="str">
        <f t="shared" si="125"/>
        <v/>
      </c>
      <c r="J2461" s="226"/>
    </row>
    <row r="2462" spans="1:10" hidden="1" x14ac:dyDescent="0.25">
      <c r="A2462" s="112" t="s">
        <v>6070</v>
      </c>
      <c r="B2462" s="113" t="s">
        <v>4833</v>
      </c>
      <c r="C2462" s="114" t="s">
        <v>20</v>
      </c>
      <c r="D2462" s="114">
        <v>0</v>
      </c>
      <c r="E2462" s="133" t="s">
        <v>514</v>
      </c>
      <c r="F2462" s="134" t="str">
        <f t="shared" si="123"/>
        <v/>
      </c>
      <c r="G2462" s="135" t="e">
        <f>IF(A2462&lt;&gt;"",IF(AND(#REF!="Padrão",$H$4=#REF!),BDI!$B$17,IF(AND(#REF!="Padrão",$H$4=#REF!),BDI!#REF!,IF(AND(#REF!="Diferenciado",$H$4=#REF!),BDI!$E$17,IF(AND(#REF!="Diferenciado",$H$4=#REF!),BDI!#REF!,IF(#REF!="ZERO",0))))),"")</f>
        <v>#REF!</v>
      </c>
      <c r="H2462" s="136" t="str">
        <f t="shared" si="124"/>
        <v/>
      </c>
      <c r="I2462" s="134" t="str">
        <f t="shared" si="125"/>
        <v/>
      </c>
      <c r="J2462" s="226"/>
    </row>
    <row r="2463" spans="1:10" hidden="1" x14ac:dyDescent="0.25">
      <c r="A2463" s="112" t="s">
        <v>6071</v>
      </c>
      <c r="B2463" s="113" t="s">
        <v>4834</v>
      </c>
      <c r="C2463" s="114" t="s">
        <v>20</v>
      </c>
      <c r="D2463" s="114">
        <v>0</v>
      </c>
      <c r="E2463" s="133" t="s">
        <v>514</v>
      </c>
      <c r="F2463" s="134" t="str">
        <f t="shared" si="123"/>
        <v/>
      </c>
      <c r="G2463" s="135" t="e">
        <f>IF(A2463&lt;&gt;"",IF(AND(#REF!="Padrão",$H$4=#REF!),BDI!$B$17,IF(AND(#REF!="Padrão",$H$4=#REF!),BDI!#REF!,IF(AND(#REF!="Diferenciado",$H$4=#REF!),BDI!$E$17,IF(AND(#REF!="Diferenciado",$H$4=#REF!),BDI!#REF!,IF(#REF!="ZERO",0))))),"")</f>
        <v>#REF!</v>
      </c>
      <c r="H2463" s="136" t="str">
        <f t="shared" si="124"/>
        <v/>
      </c>
      <c r="I2463" s="134" t="str">
        <f t="shared" si="125"/>
        <v/>
      </c>
      <c r="J2463" s="226"/>
    </row>
    <row r="2464" spans="1:10" hidden="1" x14ac:dyDescent="0.25">
      <c r="A2464" s="112" t="s">
        <v>6072</v>
      </c>
      <c r="B2464" s="113" t="s">
        <v>4835</v>
      </c>
      <c r="C2464" s="114" t="s">
        <v>20</v>
      </c>
      <c r="D2464" s="114">
        <v>0</v>
      </c>
      <c r="E2464" s="133" t="s">
        <v>514</v>
      </c>
      <c r="F2464" s="134" t="str">
        <f t="shared" si="123"/>
        <v/>
      </c>
      <c r="G2464" s="135" t="e">
        <f>IF(A2464&lt;&gt;"",IF(AND(#REF!="Padrão",$H$4=#REF!),BDI!$B$17,IF(AND(#REF!="Padrão",$H$4=#REF!),BDI!#REF!,IF(AND(#REF!="Diferenciado",$H$4=#REF!),BDI!$E$17,IF(AND(#REF!="Diferenciado",$H$4=#REF!),BDI!#REF!,IF(#REF!="ZERO",0))))),"")</f>
        <v>#REF!</v>
      </c>
      <c r="H2464" s="136" t="str">
        <f t="shared" si="124"/>
        <v/>
      </c>
      <c r="I2464" s="134" t="str">
        <f t="shared" si="125"/>
        <v/>
      </c>
      <c r="J2464" s="226"/>
    </row>
    <row r="2465" spans="1:10" hidden="1" x14ac:dyDescent="0.25">
      <c r="A2465" s="112" t="s">
        <v>6073</v>
      </c>
      <c r="B2465" s="113" t="s">
        <v>4836</v>
      </c>
      <c r="C2465" s="114" t="s">
        <v>20</v>
      </c>
      <c r="D2465" s="114">
        <v>0</v>
      </c>
      <c r="E2465" s="133" t="s">
        <v>514</v>
      </c>
      <c r="F2465" s="134" t="str">
        <f t="shared" si="123"/>
        <v/>
      </c>
      <c r="G2465" s="135" t="e">
        <f>IF(A2465&lt;&gt;"",IF(AND(#REF!="Padrão",$H$4=#REF!),BDI!$B$17,IF(AND(#REF!="Padrão",$H$4=#REF!),BDI!#REF!,IF(AND(#REF!="Diferenciado",$H$4=#REF!),BDI!$E$17,IF(AND(#REF!="Diferenciado",$H$4=#REF!),BDI!#REF!,IF(#REF!="ZERO",0))))),"")</f>
        <v>#REF!</v>
      </c>
      <c r="H2465" s="136" t="str">
        <f t="shared" si="124"/>
        <v/>
      </c>
      <c r="I2465" s="134" t="str">
        <f t="shared" si="125"/>
        <v/>
      </c>
      <c r="J2465" s="226"/>
    </row>
    <row r="2466" spans="1:10" hidden="1" x14ac:dyDescent="0.25">
      <c r="A2466" s="112" t="s">
        <v>6074</v>
      </c>
      <c r="B2466" s="113" t="s">
        <v>4837</v>
      </c>
      <c r="C2466" s="114" t="s">
        <v>20</v>
      </c>
      <c r="D2466" s="114">
        <v>0</v>
      </c>
      <c r="E2466" s="133" t="s">
        <v>514</v>
      </c>
      <c r="F2466" s="134" t="str">
        <f t="shared" si="123"/>
        <v/>
      </c>
      <c r="G2466" s="135" t="e">
        <f>IF(A2466&lt;&gt;"",IF(AND(#REF!="Padrão",$H$4=#REF!),BDI!$B$17,IF(AND(#REF!="Padrão",$H$4=#REF!),BDI!#REF!,IF(AND(#REF!="Diferenciado",$H$4=#REF!),BDI!$E$17,IF(AND(#REF!="Diferenciado",$H$4=#REF!),BDI!#REF!,IF(#REF!="ZERO",0))))),"")</f>
        <v>#REF!</v>
      </c>
      <c r="H2466" s="136" t="str">
        <f t="shared" si="124"/>
        <v/>
      </c>
      <c r="I2466" s="134" t="str">
        <f t="shared" si="125"/>
        <v/>
      </c>
      <c r="J2466" s="226"/>
    </row>
    <row r="2467" spans="1:10" hidden="1" x14ac:dyDescent="0.25">
      <c r="A2467" s="112" t="s">
        <v>6075</v>
      </c>
      <c r="B2467" s="113" t="s">
        <v>4838</v>
      </c>
      <c r="C2467" s="114" t="s">
        <v>20</v>
      </c>
      <c r="D2467" s="114">
        <v>0</v>
      </c>
      <c r="E2467" s="133" t="s">
        <v>514</v>
      </c>
      <c r="F2467" s="134" t="str">
        <f t="shared" si="123"/>
        <v/>
      </c>
      <c r="G2467" s="135" t="e">
        <f>IF(A2467&lt;&gt;"",IF(AND(#REF!="Padrão",$H$4=#REF!),BDI!$B$17,IF(AND(#REF!="Padrão",$H$4=#REF!),BDI!#REF!,IF(AND(#REF!="Diferenciado",$H$4=#REF!),BDI!$E$17,IF(AND(#REF!="Diferenciado",$H$4=#REF!),BDI!#REF!,IF(#REF!="ZERO",0))))),"")</f>
        <v>#REF!</v>
      </c>
      <c r="H2467" s="136" t="str">
        <f t="shared" si="124"/>
        <v/>
      </c>
      <c r="I2467" s="134" t="str">
        <f t="shared" si="125"/>
        <v/>
      </c>
      <c r="J2467" s="226"/>
    </row>
    <row r="2468" spans="1:10" hidden="1" x14ac:dyDescent="0.25">
      <c r="A2468" s="112" t="s">
        <v>6076</v>
      </c>
      <c r="B2468" s="113" t="s">
        <v>4839</v>
      </c>
      <c r="C2468" s="114" t="s">
        <v>20</v>
      </c>
      <c r="D2468" s="114">
        <v>0</v>
      </c>
      <c r="E2468" s="133" t="s">
        <v>514</v>
      </c>
      <c r="F2468" s="134" t="str">
        <f t="shared" si="123"/>
        <v/>
      </c>
      <c r="G2468" s="135" t="e">
        <f>IF(A2468&lt;&gt;"",IF(AND(#REF!="Padrão",$H$4=#REF!),BDI!$B$17,IF(AND(#REF!="Padrão",$H$4=#REF!),BDI!#REF!,IF(AND(#REF!="Diferenciado",$H$4=#REF!),BDI!$E$17,IF(AND(#REF!="Diferenciado",$H$4=#REF!),BDI!#REF!,IF(#REF!="ZERO",0))))),"")</f>
        <v>#REF!</v>
      </c>
      <c r="H2468" s="136" t="str">
        <f t="shared" si="124"/>
        <v/>
      </c>
      <c r="I2468" s="134" t="str">
        <f t="shared" si="125"/>
        <v/>
      </c>
      <c r="J2468" s="226"/>
    </row>
    <row r="2469" spans="1:10" hidden="1" x14ac:dyDescent="0.25">
      <c r="A2469" s="112" t="s">
        <v>6077</v>
      </c>
      <c r="B2469" s="113" t="s">
        <v>4840</v>
      </c>
      <c r="C2469" s="114" t="s">
        <v>20</v>
      </c>
      <c r="D2469" s="114">
        <v>0</v>
      </c>
      <c r="E2469" s="133" t="s">
        <v>514</v>
      </c>
      <c r="F2469" s="134" t="str">
        <f t="shared" si="123"/>
        <v/>
      </c>
      <c r="G2469" s="135" t="e">
        <f>IF(A2469&lt;&gt;"",IF(AND(#REF!="Padrão",$H$4=#REF!),BDI!$B$17,IF(AND(#REF!="Padrão",$H$4=#REF!),BDI!#REF!,IF(AND(#REF!="Diferenciado",$H$4=#REF!),BDI!$E$17,IF(AND(#REF!="Diferenciado",$H$4=#REF!),BDI!#REF!,IF(#REF!="ZERO",0))))),"")</f>
        <v>#REF!</v>
      </c>
      <c r="H2469" s="136" t="str">
        <f t="shared" si="124"/>
        <v/>
      </c>
      <c r="I2469" s="134" t="str">
        <f t="shared" si="125"/>
        <v/>
      </c>
      <c r="J2469" s="226"/>
    </row>
    <row r="2470" spans="1:10" hidden="1" x14ac:dyDescent="0.25">
      <c r="A2470" s="112" t="s">
        <v>6078</v>
      </c>
      <c r="B2470" s="113" t="s">
        <v>4841</v>
      </c>
      <c r="C2470" s="114" t="s">
        <v>20</v>
      </c>
      <c r="D2470" s="114">
        <v>0</v>
      </c>
      <c r="E2470" s="133" t="s">
        <v>514</v>
      </c>
      <c r="F2470" s="134" t="str">
        <f t="shared" si="123"/>
        <v/>
      </c>
      <c r="G2470" s="135" t="e">
        <f>IF(A2470&lt;&gt;"",IF(AND(#REF!="Padrão",$H$4=#REF!),BDI!$B$17,IF(AND(#REF!="Padrão",$H$4=#REF!),BDI!#REF!,IF(AND(#REF!="Diferenciado",$H$4=#REF!),BDI!$E$17,IF(AND(#REF!="Diferenciado",$H$4=#REF!),BDI!#REF!,IF(#REF!="ZERO",0))))),"")</f>
        <v>#REF!</v>
      </c>
      <c r="H2470" s="136" t="str">
        <f t="shared" si="124"/>
        <v/>
      </c>
      <c r="I2470" s="134" t="str">
        <f t="shared" si="125"/>
        <v/>
      </c>
      <c r="J2470" s="226"/>
    </row>
    <row r="2471" spans="1:10" hidden="1" x14ac:dyDescent="0.25">
      <c r="A2471" s="112" t="s">
        <v>6079</v>
      </c>
      <c r="B2471" s="113" t="s">
        <v>4842</v>
      </c>
      <c r="C2471" s="114" t="s">
        <v>20</v>
      </c>
      <c r="D2471" s="114">
        <v>0</v>
      </c>
      <c r="E2471" s="133" t="s">
        <v>514</v>
      </c>
      <c r="F2471" s="134" t="str">
        <f t="shared" si="123"/>
        <v/>
      </c>
      <c r="G2471" s="135" t="e">
        <f>IF(A2471&lt;&gt;"",IF(AND(#REF!="Padrão",$H$4=#REF!),BDI!$B$17,IF(AND(#REF!="Padrão",$H$4=#REF!),BDI!#REF!,IF(AND(#REF!="Diferenciado",$H$4=#REF!),BDI!$E$17,IF(AND(#REF!="Diferenciado",$H$4=#REF!),BDI!#REF!,IF(#REF!="ZERO",0))))),"")</f>
        <v>#REF!</v>
      </c>
      <c r="H2471" s="136" t="str">
        <f t="shared" si="124"/>
        <v/>
      </c>
      <c r="I2471" s="134" t="str">
        <f t="shared" si="125"/>
        <v/>
      </c>
      <c r="J2471" s="226"/>
    </row>
    <row r="2472" spans="1:10" hidden="1" x14ac:dyDescent="0.25">
      <c r="A2472" s="112" t="s">
        <v>6080</v>
      </c>
      <c r="B2472" s="113" t="s">
        <v>4843</v>
      </c>
      <c r="C2472" s="114" t="s">
        <v>20</v>
      </c>
      <c r="D2472" s="114">
        <v>0</v>
      </c>
      <c r="E2472" s="133" t="s">
        <v>514</v>
      </c>
      <c r="F2472" s="134" t="str">
        <f t="shared" si="123"/>
        <v/>
      </c>
      <c r="G2472" s="135" t="e">
        <f>IF(A2472&lt;&gt;"",IF(AND(#REF!="Padrão",$H$4=#REF!),BDI!$B$17,IF(AND(#REF!="Padrão",$H$4=#REF!),BDI!#REF!,IF(AND(#REF!="Diferenciado",$H$4=#REF!),BDI!$E$17,IF(AND(#REF!="Diferenciado",$H$4=#REF!),BDI!#REF!,IF(#REF!="ZERO",0))))),"")</f>
        <v>#REF!</v>
      </c>
      <c r="H2472" s="136" t="str">
        <f t="shared" si="124"/>
        <v/>
      </c>
      <c r="I2472" s="134" t="str">
        <f t="shared" si="125"/>
        <v/>
      </c>
      <c r="J2472" s="226"/>
    </row>
    <row r="2473" spans="1:10" hidden="1" x14ac:dyDescent="0.25">
      <c r="A2473" s="112" t="s">
        <v>6081</v>
      </c>
      <c r="B2473" s="113" t="s">
        <v>4844</v>
      </c>
      <c r="C2473" s="114" t="s">
        <v>20</v>
      </c>
      <c r="D2473" s="114">
        <v>0</v>
      </c>
      <c r="E2473" s="133" t="s">
        <v>514</v>
      </c>
      <c r="F2473" s="134" t="str">
        <f t="shared" si="123"/>
        <v/>
      </c>
      <c r="G2473" s="135" t="e">
        <f>IF(A2473&lt;&gt;"",IF(AND(#REF!="Padrão",$H$4=#REF!),BDI!$B$17,IF(AND(#REF!="Padrão",$H$4=#REF!),BDI!#REF!,IF(AND(#REF!="Diferenciado",$H$4=#REF!),BDI!$E$17,IF(AND(#REF!="Diferenciado",$H$4=#REF!),BDI!#REF!,IF(#REF!="ZERO",0))))),"")</f>
        <v>#REF!</v>
      </c>
      <c r="H2473" s="136" t="str">
        <f t="shared" si="124"/>
        <v/>
      </c>
      <c r="I2473" s="134" t="str">
        <f t="shared" si="125"/>
        <v/>
      </c>
      <c r="J2473" s="226"/>
    </row>
    <row r="2474" spans="1:10" hidden="1" x14ac:dyDescent="0.25">
      <c r="A2474" s="112" t="s">
        <v>6082</v>
      </c>
      <c r="B2474" s="113" t="s">
        <v>4845</v>
      </c>
      <c r="C2474" s="114" t="s">
        <v>20</v>
      </c>
      <c r="D2474" s="114">
        <v>0</v>
      </c>
      <c r="E2474" s="133" t="s">
        <v>514</v>
      </c>
      <c r="F2474" s="134" t="str">
        <f t="shared" si="123"/>
        <v/>
      </c>
      <c r="G2474" s="135" t="e">
        <f>IF(A2474&lt;&gt;"",IF(AND(#REF!="Padrão",$H$4=#REF!),BDI!$B$17,IF(AND(#REF!="Padrão",$H$4=#REF!),BDI!#REF!,IF(AND(#REF!="Diferenciado",$H$4=#REF!),BDI!$E$17,IF(AND(#REF!="Diferenciado",$H$4=#REF!),BDI!#REF!,IF(#REF!="ZERO",0))))),"")</f>
        <v>#REF!</v>
      </c>
      <c r="H2474" s="136" t="str">
        <f t="shared" si="124"/>
        <v/>
      </c>
      <c r="I2474" s="134" t="str">
        <f t="shared" si="125"/>
        <v/>
      </c>
      <c r="J2474" s="226"/>
    </row>
    <row r="2475" spans="1:10" hidden="1" x14ac:dyDescent="0.25">
      <c r="A2475" s="112" t="s">
        <v>6083</v>
      </c>
      <c r="B2475" s="113" t="s">
        <v>4846</v>
      </c>
      <c r="C2475" s="114" t="s">
        <v>20</v>
      </c>
      <c r="D2475" s="114">
        <v>0</v>
      </c>
      <c r="E2475" s="133" t="s">
        <v>514</v>
      </c>
      <c r="F2475" s="134" t="str">
        <f t="shared" si="123"/>
        <v/>
      </c>
      <c r="G2475" s="135" t="e">
        <f>IF(A2475&lt;&gt;"",IF(AND(#REF!="Padrão",$H$4=#REF!),BDI!$B$17,IF(AND(#REF!="Padrão",$H$4=#REF!),BDI!#REF!,IF(AND(#REF!="Diferenciado",$H$4=#REF!),BDI!$E$17,IF(AND(#REF!="Diferenciado",$H$4=#REF!),BDI!#REF!,IF(#REF!="ZERO",0))))),"")</f>
        <v>#REF!</v>
      </c>
      <c r="H2475" s="136" t="str">
        <f t="shared" si="124"/>
        <v/>
      </c>
      <c r="I2475" s="134" t="str">
        <f t="shared" si="125"/>
        <v/>
      </c>
      <c r="J2475" s="226"/>
    </row>
    <row r="2476" spans="1:10" hidden="1" x14ac:dyDescent="0.25">
      <c r="A2476" s="112" t="s">
        <v>6084</v>
      </c>
      <c r="B2476" s="113" t="s">
        <v>4847</v>
      </c>
      <c r="C2476" s="114" t="s">
        <v>20</v>
      </c>
      <c r="D2476" s="114">
        <v>0</v>
      </c>
      <c r="E2476" s="133" t="s">
        <v>514</v>
      </c>
      <c r="F2476" s="134" t="str">
        <f t="shared" si="123"/>
        <v/>
      </c>
      <c r="G2476" s="135" t="e">
        <f>IF(A2476&lt;&gt;"",IF(AND(#REF!="Padrão",$H$4=#REF!),BDI!$B$17,IF(AND(#REF!="Padrão",$H$4=#REF!),BDI!#REF!,IF(AND(#REF!="Diferenciado",$H$4=#REF!),BDI!$E$17,IF(AND(#REF!="Diferenciado",$H$4=#REF!),BDI!#REF!,IF(#REF!="ZERO",0))))),"")</f>
        <v>#REF!</v>
      </c>
      <c r="H2476" s="136" t="str">
        <f t="shared" si="124"/>
        <v/>
      </c>
      <c r="I2476" s="134" t="str">
        <f t="shared" si="125"/>
        <v/>
      </c>
      <c r="J2476" s="226"/>
    </row>
    <row r="2477" spans="1:10" hidden="1" x14ac:dyDescent="0.25">
      <c r="A2477" s="112" t="s">
        <v>6085</v>
      </c>
      <c r="B2477" s="113" t="s">
        <v>4848</v>
      </c>
      <c r="C2477" s="114" t="s">
        <v>20</v>
      </c>
      <c r="D2477" s="114">
        <v>0</v>
      </c>
      <c r="E2477" s="133" t="s">
        <v>514</v>
      </c>
      <c r="F2477" s="134" t="str">
        <f t="shared" ref="F2477:F2540" si="126">IF(ISNUMBER(E2477),D2477*E2477,"")</f>
        <v/>
      </c>
      <c r="G2477" s="135" t="e">
        <f>IF(A2477&lt;&gt;"",IF(AND(#REF!="Padrão",$H$4=#REF!),BDI!$B$17,IF(AND(#REF!="Padrão",$H$4=#REF!),BDI!#REF!,IF(AND(#REF!="Diferenciado",$H$4=#REF!),BDI!$E$17,IF(AND(#REF!="Diferenciado",$H$4=#REF!),BDI!#REF!,IF(#REF!="ZERO",0))))),"")</f>
        <v>#REF!</v>
      </c>
      <c r="H2477" s="136" t="str">
        <f t="shared" ref="H2477:H2540" si="127">IF(ISNUMBER(E2477),ROUND(E2477*(1+G2477),2),"")</f>
        <v/>
      </c>
      <c r="I2477" s="134" t="str">
        <f t="shared" ref="I2477:I2540" si="128">IF(ISNUMBER(E2477),ROUND(H2477*D2477,2),"")</f>
        <v/>
      </c>
      <c r="J2477" s="226"/>
    </row>
    <row r="2478" spans="1:10" hidden="1" x14ac:dyDescent="0.25">
      <c r="A2478" s="112" t="s">
        <v>6086</v>
      </c>
      <c r="B2478" s="113" t="s">
        <v>4849</v>
      </c>
      <c r="C2478" s="114" t="s">
        <v>20</v>
      </c>
      <c r="D2478" s="114">
        <v>0</v>
      </c>
      <c r="E2478" s="133" t="s">
        <v>514</v>
      </c>
      <c r="F2478" s="134" t="str">
        <f t="shared" si="126"/>
        <v/>
      </c>
      <c r="G2478" s="135" t="e">
        <f>IF(A2478&lt;&gt;"",IF(AND(#REF!="Padrão",$H$4=#REF!),BDI!$B$17,IF(AND(#REF!="Padrão",$H$4=#REF!),BDI!#REF!,IF(AND(#REF!="Diferenciado",$H$4=#REF!),BDI!$E$17,IF(AND(#REF!="Diferenciado",$H$4=#REF!),BDI!#REF!,IF(#REF!="ZERO",0))))),"")</f>
        <v>#REF!</v>
      </c>
      <c r="H2478" s="136" t="str">
        <f t="shared" si="127"/>
        <v/>
      </c>
      <c r="I2478" s="134" t="str">
        <f t="shared" si="128"/>
        <v/>
      </c>
      <c r="J2478" s="226"/>
    </row>
    <row r="2479" spans="1:10" hidden="1" x14ac:dyDescent="0.25">
      <c r="A2479" s="112" t="s">
        <v>6087</v>
      </c>
      <c r="B2479" s="113" t="s">
        <v>4850</v>
      </c>
      <c r="C2479" s="114" t="s">
        <v>20</v>
      </c>
      <c r="D2479" s="114">
        <v>0</v>
      </c>
      <c r="E2479" s="133" t="s">
        <v>514</v>
      </c>
      <c r="F2479" s="134" t="str">
        <f t="shared" si="126"/>
        <v/>
      </c>
      <c r="G2479" s="135" t="e">
        <f>IF(A2479&lt;&gt;"",IF(AND(#REF!="Padrão",$H$4=#REF!),BDI!$B$17,IF(AND(#REF!="Padrão",$H$4=#REF!),BDI!#REF!,IF(AND(#REF!="Diferenciado",$H$4=#REF!),BDI!$E$17,IF(AND(#REF!="Diferenciado",$H$4=#REF!),BDI!#REF!,IF(#REF!="ZERO",0))))),"")</f>
        <v>#REF!</v>
      </c>
      <c r="H2479" s="136" t="str">
        <f t="shared" si="127"/>
        <v/>
      </c>
      <c r="I2479" s="134" t="str">
        <f t="shared" si="128"/>
        <v/>
      </c>
      <c r="J2479" s="226"/>
    </row>
    <row r="2480" spans="1:10" hidden="1" x14ac:dyDescent="0.25">
      <c r="A2480" s="112" t="s">
        <v>6088</v>
      </c>
      <c r="B2480" s="113" t="s">
        <v>4851</v>
      </c>
      <c r="C2480" s="114" t="s">
        <v>20</v>
      </c>
      <c r="D2480" s="114">
        <v>0</v>
      </c>
      <c r="E2480" s="133" t="s">
        <v>514</v>
      </c>
      <c r="F2480" s="134" t="str">
        <f t="shared" si="126"/>
        <v/>
      </c>
      <c r="G2480" s="135" t="e">
        <f>IF(A2480&lt;&gt;"",IF(AND(#REF!="Padrão",$H$4=#REF!),BDI!$B$17,IF(AND(#REF!="Padrão",$H$4=#REF!),BDI!#REF!,IF(AND(#REF!="Diferenciado",$H$4=#REF!),BDI!$E$17,IF(AND(#REF!="Diferenciado",$H$4=#REF!),BDI!#REF!,IF(#REF!="ZERO",0))))),"")</f>
        <v>#REF!</v>
      </c>
      <c r="H2480" s="136" t="str">
        <f t="shared" si="127"/>
        <v/>
      </c>
      <c r="I2480" s="134" t="str">
        <f t="shared" si="128"/>
        <v/>
      </c>
      <c r="J2480" s="226"/>
    </row>
    <row r="2481" spans="1:10" hidden="1" x14ac:dyDescent="0.25">
      <c r="A2481" s="112" t="s">
        <v>6089</v>
      </c>
      <c r="B2481" s="113" t="s">
        <v>4852</v>
      </c>
      <c r="C2481" s="114" t="s">
        <v>20</v>
      </c>
      <c r="D2481" s="114">
        <v>0</v>
      </c>
      <c r="E2481" s="133" t="s">
        <v>514</v>
      </c>
      <c r="F2481" s="134" t="str">
        <f t="shared" si="126"/>
        <v/>
      </c>
      <c r="G2481" s="135" t="e">
        <f>IF(A2481&lt;&gt;"",IF(AND(#REF!="Padrão",$H$4=#REF!),BDI!$B$17,IF(AND(#REF!="Padrão",$H$4=#REF!),BDI!#REF!,IF(AND(#REF!="Diferenciado",$H$4=#REF!),BDI!$E$17,IF(AND(#REF!="Diferenciado",$H$4=#REF!),BDI!#REF!,IF(#REF!="ZERO",0))))),"")</f>
        <v>#REF!</v>
      </c>
      <c r="H2481" s="136" t="str">
        <f t="shared" si="127"/>
        <v/>
      </c>
      <c r="I2481" s="134" t="str">
        <f t="shared" si="128"/>
        <v/>
      </c>
      <c r="J2481" s="226"/>
    </row>
    <row r="2482" spans="1:10" hidden="1" x14ac:dyDescent="0.25">
      <c r="A2482" s="112" t="s">
        <v>6090</v>
      </c>
      <c r="B2482" s="113" t="s">
        <v>4853</v>
      </c>
      <c r="C2482" s="114" t="s">
        <v>20</v>
      </c>
      <c r="D2482" s="114">
        <v>0</v>
      </c>
      <c r="E2482" s="133" t="s">
        <v>514</v>
      </c>
      <c r="F2482" s="134" t="str">
        <f t="shared" si="126"/>
        <v/>
      </c>
      <c r="G2482" s="135" t="e">
        <f>IF(A2482&lt;&gt;"",IF(AND(#REF!="Padrão",$H$4=#REF!),BDI!$B$17,IF(AND(#REF!="Padrão",$H$4=#REF!),BDI!#REF!,IF(AND(#REF!="Diferenciado",$H$4=#REF!),BDI!$E$17,IF(AND(#REF!="Diferenciado",$H$4=#REF!),BDI!#REF!,IF(#REF!="ZERO",0))))),"")</f>
        <v>#REF!</v>
      </c>
      <c r="H2482" s="136" t="str">
        <f t="shared" si="127"/>
        <v/>
      </c>
      <c r="I2482" s="134" t="str">
        <f t="shared" si="128"/>
        <v/>
      </c>
      <c r="J2482" s="226"/>
    </row>
    <row r="2483" spans="1:10" hidden="1" x14ac:dyDescent="0.25">
      <c r="A2483" s="112" t="s">
        <v>6091</v>
      </c>
      <c r="B2483" s="113" t="s">
        <v>4854</v>
      </c>
      <c r="C2483" s="114" t="s">
        <v>20</v>
      </c>
      <c r="D2483" s="114">
        <v>0</v>
      </c>
      <c r="E2483" s="133" t="s">
        <v>514</v>
      </c>
      <c r="F2483" s="134" t="str">
        <f t="shared" si="126"/>
        <v/>
      </c>
      <c r="G2483" s="135" t="e">
        <f>IF(A2483&lt;&gt;"",IF(AND(#REF!="Padrão",$H$4=#REF!),BDI!$B$17,IF(AND(#REF!="Padrão",$H$4=#REF!),BDI!#REF!,IF(AND(#REF!="Diferenciado",$H$4=#REF!),BDI!$E$17,IF(AND(#REF!="Diferenciado",$H$4=#REF!),BDI!#REF!,IF(#REF!="ZERO",0))))),"")</f>
        <v>#REF!</v>
      </c>
      <c r="H2483" s="136" t="str">
        <f t="shared" si="127"/>
        <v/>
      </c>
      <c r="I2483" s="134" t="str">
        <f t="shared" si="128"/>
        <v/>
      </c>
      <c r="J2483" s="226"/>
    </row>
    <row r="2484" spans="1:10" hidden="1" x14ac:dyDescent="0.25">
      <c r="A2484" s="112" t="s">
        <v>6092</v>
      </c>
      <c r="B2484" s="113" t="s">
        <v>4855</v>
      </c>
      <c r="C2484" s="114" t="s">
        <v>20</v>
      </c>
      <c r="D2484" s="114">
        <v>0</v>
      </c>
      <c r="E2484" s="133" t="s">
        <v>514</v>
      </c>
      <c r="F2484" s="134" t="str">
        <f t="shared" si="126"/>
        <v/>
      </c>
      <c r="G2484" s="135" t="e">
        <f>IF(A2484&lt;&gt;"",IF(AND(#REF!="Padrão",$H$4=#REF!),BDI!$B$17,IF(AND(#REF!="Padrão",$H$4=#REF!),BDI!#REF!,IF(AND(#REF!="Diferenciado",$H$4=#REF!),BDI!$E$17,IF(AND(#REF!="Diferenciado",$H$4=#REF!),BDI!#REF!,IF(#REF!="ZERO",0))))),"")</f>
        <v>#REF!</v>
      </c>
      <c r="H2484" s="136" t="str">
        <f t="shared" si="127"/>
        <v/>
      </c>
      <c r="I2484" s="134" t="str">
        <f t="shared" si="128"/>
        <v/>
      </c>
      <c r="J2484" s="226"/>
    </row>
    <row r="2485" spans="1:10" hidden="1" x14ac:dyDescent="0.25">
      <c r="A2485" s="112" t="s">
        <v>6093</v>
      </c>
      <c r="B2485" s="113" t="s">
        <v>4856</v>
      </c>
      <c r="C2485" s="114" t="s">
        <v>20</v>
      </c>
      <c r="D2485" s="114">
        <v>0</v>
      </c>
      <c r="E2485" s="133" t="s">
        <v>514</v>
      </c>
      <c r="F2485" s="134" t="str">
        <f t="shared" si="126"/>
        <v/>
      </c>
      <c r="G2485" s="135" t="e">
        <f>IF(A2485&lt;&gt;"",IF(AND(#REF!="Padrão",$H$4=#REF!),BDI!$B$17,IF(AND(#REF!="Padrão",$H$4=#REF!),BDI!#REF!,IF(AND(#REF!="Diferenciado",$H$4=#REF!),BDI!$E$17,IF(AND(#REF!="Diferenciado",$H$4=#REF!),BDI!#REF!,IF(#REF!="ZERO",0))))),"")</f>
        <v>#REF!</v>
      </c>
      <c r="H2485" s="136" t="str">
        <f t="shared" si="127"/>
        <v/>
      </c>
      <c r="I2485" s="134" t="str">
        <f t="shared" si="128"/>
        <v/>
      </c>
      <c r="J2485" s="226"/>
    </row>
    <row r="2486" spans="1:10" hidden="1" x14ac:dyDescent="0.25">
      <c r="A2486" s="112" t="s">
        <v>6094</v>
      </c>
      <c r="B2486" s="113" t="s">
        <v>4857</v>
      </c>
      <c r="C2486" s="114" t="s">
        <v>20</v>
      </c>
      <c r="D2486" s="114">
        <v>0</v>
      </c>
      <c r="E2486" s="133" t="s">
        <v>514</v>
      </c>
      <c r="F2486" s="134" t="str">
        <f t="shared" si="126"/>
        <v/>
      </c>
      <c r="G2486" s="135" t="e">
        <f>IF(A2486&lt;&gt;"",IF(AND(#REF!="Padrão",$H$4=#REF!),BDI!$B$17,IF(AND(#REF!="Padrão",$H$4=#REF!),BDI!#REF!,IF(AND(#REF!="Diferenciado",$H$4=#REF!),BDI!$E$17,IF(AND(#REF!="Diferenciado",$H$4=#REF!),BDI!#REF!,IF(#REF!="ZERO",0))))),"")</f>
        <v>#REF!</v>
      </c>
      <c r="H2486" s="136" t="str">
        <f t="shared" si="127"/>
        <v/>
      </c>
      <c r="I2486" s="134" t="str">
        <f t="shared" si="128"/>
        <v/>
      </c>
      <c r="J2486" s="226"/>
    </row>
    <row r="2487" spans="1:10" hidden="1" x14ac:dyDescent="0.25">
      <c r="A2487" s="112" t="s">
        <v>6095</v>
      </c>
      <c r="B2487" s="113" t="s">
        <v>4858</v>
      </c>
      <c r="C2487" s="114" t="s">
        <v>20</v>
      </c>
      <c r="D2487" s="114">
        <v>0</v>
      </c>
      <c r="E2487" s="133" t="s">
        <v>514</v>
      </c>
      <c r="F2487" s="134" t="str">
        <f t="shared" si="126"/>
        <v/>
      </c>
      <c r="G2487" s="135" t="e">
        <f>IF(A2487&lt;&gt;"",IF(AND(#REF!="Padrão",$H$4=#REF!),BDI!$B$17,IF(AND(#REF!="Padrão",$H$4=#REF!),BDI!#REF!,IF(AND(#REF!="Diferenciado",$H$4=#REF!),BDI!$E$17,IF(AND(#REF!="Diferenciado",$H$4=#REF!),BDI!#REF!,IF(#REF!="ZERO",0))))),"")</f>
        <v>#REF!</v>
      </c>
      <c r="H2487" s="136" t="str">
        <f t="shared" si="127"/>
        <v/>
      </c>
      <c r="I2487" s="134" t="str">
        <f t="shared" si="128"/>
        <v/>
      </c>
      <c r="J2487" s="226"/>
    </row>
    <row r="2488" spans="1:10" hidden="1" x14ac:dyDescent="0.25">
      <c r="A2488" s="112" t="s">
        <v>6096</v>
      </c>
      <c r="B2488" s="113" t="s">
        <v>4859</v>
      </c>
      <c r="C2488" s="114" t="s">
        <v>20</v>
      </c>
      <c r="D2488" s="114">
        <v>0</v>
      </c>
      <c r="E2488" s="133" t="s">
        <v>514</v>
      </c>
      <c r="F2488" s="134" t="str">
        <f t="shared" si="126"/>
        <v/>
      </c>
      <c r="G2488" s="135" t="e">
        <f>IF(A2488&lt;&gt;"",IF(AND(#REF!="Padrão",$H$4=#REF!),BDI!$B$17,IF(AND(#REF!="Padrão",$H$4=#REF!),BDI!#REF!,IF(AND(#REF!="Diferenciado",$H$4=#REF!),BDI!$E$17,IF(AND(#REF!="Diferenciado",$H$4=#REF!),BDI!#REF!,IF(#REF!="ZERO",0))))),"")</f>
        <v>#REF!</v>
      </c>
      <c r="H2488" s="136" t="str">
        <f t="shared" si="127"/>
        <v/>
      </c>
      <c r="I2488" s="134" t="str">
        <f t="shared" si="128"/>
        <v/>
      </c>
      <c r="J2488" s="226"/>
    </row>
    <row r="2489" spans="1:10" hidden="1" x14ac:dyDescent="0.25">
      <c r="A2489" s="112" t="s">
        <v>6097</v>
      </c>
      <c r="B2489" s="113" t="s">
        <v>4860</v>
      </c>
      <c r="C2489" s="114" t="s">
        <v>20</v>
      </c>
      <c r="D2489" s="114">
        <v>0</v>
      </c>
      <c r="E2489" s="133" t="s">
        <v>514</v>
      </c>
      <c r="F2489" s="134" t="str">
        <f t="shared" si="126"/>
        <v/>
      </c>
      <c r="G2489" s="135" t="e">
        <f>IF(A2489&lt;&gt;"",IF(AND(#REF!="Padrão",$H$4=#REF!),BDI!$B$17,IF(AND(#REF!="Padrão",$H$4=#REF!),BDI!#REF!,IF(AND(#REF!="Diferenciado",$H$4=#REF!),BDI!$E$17,IF(AND(#REF!="Diferenciado",$H$4=#REF!),BDI!#REF!,IF(#REF!="ZERO",0))))),"")</f>
        <v>#REF!</v>
      </c>
      <c r="H2489" s="136" t="str">
        <f t="shared" si="127"/>
        <v/>
      </c>
      <c r="I2489" s="134" t="str">
        <f t="shared" si="128"/>
        <v/>
      </c>
      <c r="J2489" s="226"/>
    </row>
    <row r="2490" spans="1:10" hidden="1" x14ac:dyDescent="0.25">
      <c r="A2490" s="112" t="s">
        <v>6098</v>
      </c>
      <c r="B2490" s="113" t="s">
        <v>4861</v>
      </c>
      <c r="C2490" s="114" t="s">
        <v>20</v>
      </c>
      <c r="D2490" s="114">
        <v>0</v>
      </c>
      <c r="E2490" s="133" t="s">
        <v>514</v>
      </c>
      <c r="F2490" s="134" t="str">
        <f t="shared" si="126"/>
        <v/>
      </c>
      <c r="G2490" s="135" t="e">
        <f>IF(A2490&lt;&gt;"",IF(AND(#REF!="Padrão",$H$4=#REF!),BDI!$B$17,IF(AND(#REF!="Padrão",$H$4=#REF!),BDI!#REF!,IF(AND(#REF!="Diferenciado",$H$4=#REF!),BDI!$E$17,IF(AND(#REF!="Diferenciado",$H$4=#REF!),BDI!#REF!,IF(#REF!="ZERO",0))))),"")</f>
        <v>#REF!</v>
      </c>
      <c r="H2490" s="136" t="str">
        <f t="shared" si="127"/>
        <v/>
      </c>
      <c r="I2490" s="134" t="str">
        <f t="shared" si="128"/>
        <v/>
      </c>
      <c r="J2490" s="226"/>
    </row>
    <row r="2491" spans="1:10" hidden="1" x14ac:dyDescent="0.25">
      <c r="A2491" s="112" t="s">
        <v>6099</v>
      </c>
      <c r="B2491" s="113" t="s">
        <v>4862</v>
      </c>
      <c r="C2491" s="114" t="s">
        <v>20</v>
      </c>
      <c r="D2491" s="114">
        <v>0</v>
      </c>
      <c r="E2491" s="133" t="s">
        <v>514</v>
      </c>
      <c r="F2491" s="134" t="str">
        <f t="shared" si="126"/>
        <v/>
      </c>
      <c r="G2491" s="135" t="e">
        <f>IF(A2491&lt;&gt;"",IF(AND(#REF!="Padrão",$H$4=#REF!),BDI!$B$17,IF(AND(#REF!="Padrão",$H$4=#REF!),BDI!#REF!,IF(AND(#REF!="Diferenciado",$H$4=#REF!),BDI!$E$17,IF(AND(#REF!="Diferenciado",$H$4=#REF!),BDI!#REF!,IF(#REF!="ZERO",0))))),"")</f>
        <v>#REF!</v>
      </c>
      <c r="H2491" s="136" t="str">
        <f t="shared" si="127"/>
        <v/>
      </c>
      <c r="I2491" s="134" t="str">
        <f t="shared" si="128"/>
        <v/>
      </c>
      <c r="J2491" s="226"/>
    </row>
    <row r="2492" spans="1:10" hidden="1" x14ac:dyDescent="0.25">
      <c r="A2492" s="112" t="s">
        <v>6100</v>
      </c>
      <c r="B2492" s="113" t="s">
        <v>4863</v>
      </c>
      <c r="C2492" s="114" t="s">
        <v>20</v>
      </c>
      <c r="D2492" s="114">
        <v>0</v>
      </c>
      <c r="E2492" s="133" t="s">
        <v>514</v>
      </c>
      <c r="F2492" s="134" t="str">
        <f t="shared" si="126"/>
        <v/>
      </c>
      <c r="G2492" s="135" t="e">
        <f>IF(A2492&lt;&gt;"",IF(AND(#REF!="Padrão",$H$4=#REF!),BDI!$B$17,IF(AND(#REF!="Padrão",$H$4=#REF!),BDI!#REF!,IF(AND(#REF!="Diferenciado",$H$4=#REF!),BDI!$E$17,IF(AND(#REF!="Diferenciado",$H$4=#REF!),BDI!#REF!,IF(#REF!="ZERO",0))))),"")</f>
        <v>#REF!</v>
      </c>
      <c r="H2492" s="136" t="str">
        <f t="shared" si="127"/>
        <v/>
      </c>
      <c r="I2492" s="134" t="str">
        <f t="shared" si="128"/>
        <v/>
      </c>
      <c r="J2492" s="226"/>
    </row>
    <row r="2493" spans="1:10" hidden="1" x14ac:dyDescent="0.25">
      <c r="A2493" s="112" t="s">
        <v>6101</v>
      </c>
      <c r="B2493" s="113" t="s">
        <v>4864</v>
      </c>
      <c r="C2493" s="114" t="s">
        <v>20</v>
      </c>
      <c r="D2493" s="114">
        <v>0</v>
      </c>
      <c r="E2493" s="133" t="s">
        <v>514</v>
      </c>
      <c r="F2493" s="134" t="str">
        <f t="shared" si="126"/>
        <v/>
      </c>
      <c r="G2493" s="135" t="e">
        <f>IF(A2493&lt;&gt;"",IF(AND(#REF!="Padrão",$H$4=#REF!),BDI!$B$17,IF(AND(#REF!="Padrão",$H$4=#REF!),BDI!#REF!,IF(AND(#REF!="Diferenciado",$H$4=#REF!),BDI!$E$17,IF(AND(#REF!="Diferenciado",$H$4=#REF!),BDI!#REF!,IF(#REF!="ZERO",0))))),"")</f>
        <v>#REF!</v>
      </c>
      <c r="H2493" s="136" t="str">
        <f t="shared" si="127"/>
        <v/>
      </c>
      <c r="I2493" s="134" t="str">
        <f t="shared" si="128"/>
        <v/>
      </c>
      <c r="J2493" s="226"/>
    </row>
    <row r="2494" spans="1:10" hidden="1" x14ac:dyDescent="0.25">
      <c r="A2494" s="112" t="s">
        <v>6102</v>
      </c>
      <c r="B2494" s="113" t="s">
        <v>4865</v>
      </c>
      <c r="C2494" s="114" t="s">
        <v>20</v>
      </c>
      <c r="D2494" s="114">
        <v>0</v>
      </c>
      <c r="E2494" s="133" t="s">
        <v>514</v>
      </c>
      <c r="F2494" s="134" t="str">
        <f t="shared" si="126"/>
        <v/>
      </c>
      <c r="G2494" s="135" t="e">
        <f>IF(A2494&lt;&gt;"",IF(AND(#REF!="Padrão",$H$4=#REF!),BDI!$B$17,IF(AND(#REF!="Padrão",$H$4=#REF!),BDI!#REF!,IF(AND(#REF!="Diferenciado",$H$4=#REF!),BDI!$E$17,IF(AND(#REF!="Diferenciado",$H$4=#REF!),BDI!#REF!,IF(#REF!="ZERO",0))))),"")</f>
        <v>#REF!</v>
      </c>
      <c r="H2494" s="136" t="str">
        <f t="shared" si="127"/>
        <v/>
      </c>
      <c r="I2494" s="134" t="str">
        <f t="shared" si="128"/>
        <v/>
      </c>
      <c r="J2494" s="226"/>
    </row>
    <row r="2495" spans="1:10" hidden="1" x14ac:dyDescent="0.25">
      <c r="A2495" s="112" t="s">
        <v>6103</v>
      </c>
      <c r="B2495" s="113" t="s">
        <v>4866</v>
      </c>
      <c r="C2495" s="114" t="s">
        <v>20</v>
      </c>
      <c r="D2495" s="114">
        <v>0</v>
      </c>
      <c r="E2495" s="133" t="s">
        <v>514</v>
      </c>
      <c r="F2495" s="134" t="str">
        <f t="shared" si="126"/>
        <v/>
      </c>
      <c r="G2495" s="135" t="e">
        <f>IF(A2495&lt;&gt;"",IF(AND(#REF!="Padrão",$H$4=#REF!),BDI!$B$17,IF(AND(#REF!="Padrão",$H$4=#REF!),BDI!#REF!,IF(AND(#REF!="Diferenciado",$H$4=#REF!),BDI!$E$17,IF(AND(#REF!="Diferenciado",$H$4=#REF!),BDI!#REF!,IF(#REF!="ZERO",0))))),"")</f>
        <v>#REF!</v>
      </c>
      <c r="H2495" s="136" t="str">
        <f t="shared" si="127"/>
        <v/>
      </c>
      <c r="I2495" s="134" t="str">
        <f t="shared" si="128"/>
        <v/>
      </c>
      <c r="J2495" s="226"/>
    </row>
    <row r="2496" spans="1:10" hidden="1" x14ac:dyDescent="0.25">
      <c r="A2496" s="112" t="s">
        <v>6104</v>
      </c>
      <c r="B2496" s="113" t="s">
        <v>4867</v>
      </c>
      <c r="C2496" s="114" t="s">
        <v>20</v>
      </c>
      <c r="D2496" s="114">
        <v>0</v>
      </c>
      <c r="E2496" s="133" t="s">
        <v>514</v>
      </c>
      <c r="F2496" s="134" t="str">
        <f t="shared" si="126"/>
        <v/>
      </c>
      <c r="G2496" s="135" t="e">
        <f>IF(A2496&lt;&gt;"",IF(AND(#REF!="Padrão",$H$4=#REF!),BDI!$B$17,IF(AND(#REF!="Padrão",$H$4=#REF!),BDI!#REF!,IF(AND(#REF!="Diferenciado",$H$4=#REF!),BDI!$E$17,IF(AND(#REF!="Diferenciado",$H$4=#REF!),BDI!#REF!,IF(#REF!="ZERO",0))))),"")</f>
        <v>#REF!</v>
      </c>
      <c r="H2496" s="136" t="str">
        <f t="shared" si="127"/>
        <v/>
      </c>
      <c r="I2496" s="134" t="str">
        <f t="shared" si="128"/>
        <v/>
      </c>
      <c r="J2496" s="226"/>
    </row>
    <row r="2497" spans="1:10" hidden="1" x14ac:dyDescent="0.25">
      <c r="A2497" s="112" t="s">
        <v>6105</v>
      </c>
      <c r="B2497" s="113" t="s">
        <v>4868</v>
      </c>
      <c r="C2497" s="114" t="s">
        <v>20</v>
      </c>
      <c r="D2497" s="114">
        <v>0</v>
      </c>
      <c r="E2497" s="133" t="s">
        <v>514</v>
      </c>
      <c r="F2497" s="134" t="str">
        <f t="shared" si="126"/>
        <v/>
      </c>
      <c r="G2497" s="135" t="e">
        <f>IF(A2497&lt;&gt;"",IF(AND(#REF!="Padrão",$H$4=#REF!),BDI!$B$17,IF(AND(#REF!="Padrão",$H$4=#REF!),BDI!#REF!,IF(AND(#REF!="Diferenciado",$H$4=#REF!),BDI!$E$17,IF(AND(#REF!="Diferenciado",$H$4=#REF!),BDI!#REF!,IF(#REF!="ZERO",0))))),"")</f>
        <v>#REF!</v>
      </c>
      <c r="H2497" s="136" t="str">
        <f t="shared" si="127"/>
        <v/>
      </c>
      <c r="I2497" s="134" t="str">
        <f t="shared" si="128"/>
        <v/>
      </c>
      <c r="J2497" s="226"/>
    </row>
    <row r="2498" spans="1:10" hidden="1" x14ac:dyDescent="0.25">
      <c r="A2498" s="112" t="s">
        <v>6106</v>
      </c>
      <c r="B2498" s="113" t="s">
        <v>4869</v>
      </c>
      <c r="C2498" s="114" t="s">
        <v>20</v>
      </c>
      <c r="D2498" s="114">
        <v>0</v>
      </c>
      <c r="E2498" s="133" t="s">
        <v>514</v>
      </c>
      <c r="F2498" s="134" t="str">
        <f t="shared" si="126"/>
        <v/>
      </c>
      <c r="G2498" s="135" t="e">
        <f>IF(A2498&lt;&gt;"",IF(AND(#REF!="Padrão",$H$4=#REF!),BDI!$B$17,IF(AND(#REF!="Padrão",$H$4=#REF!),BDI!#REF!,IF(AND(#REF!="Diferenciado",$H$4=#REF!),BDI!$E$17,IF(AND(#REF!="Diferenciado",$H$4=#REF!),BDI!#REF!,IF(#REF!="ZERO",0))))),"")</f>
        <v>#REF!</v>
      </c>
      <c r="H2498" s="136" t="str">
        <f t="shared" si="127"/>
        <v/>
      </c>
      <c r="I2498" s="134" t="str">
        <f t="shared" si="128"/>
        <v/>
      </c>
      <c r="J2498" s="226"/>
    </row>
    <row r="2499" spans="1:10" hidden="1" x14ac:dyDescent="0.25">
      <c r="A2499" s="112" t="s">
        <v>6107</v>
      </c>
      <c r="B2499" s="113" t="s">
        <v>4870</v>
      </c>
      <c r="C2499" s="114" t="s">
        <v>20</v>
      </c>
      <c r="D2499" s="114">
        <v>0</v>
      </c>
      <c r="E2499" s="133" t="s">
        <v>514</v>
      </c>
      <c r="F2499" s="134" t="str">
        <f t="shared" si="126"/>
        <v/>
      </c>
      <c r="G2499" s="135" t="e">
        <f>IF(A2499&lt;&gt;"",IF(AND(#REF!="Padrão",$H$4=#REF!),BDI!$B$17,IF(AND(#REF!="Padrão",$H$4=#REF!),BDI!#REF!,IF(AND(#REF!="Diferenciado",$H$4=#REF!),BDI!$E$17,IF(AND(#REF!="Diferenciado",$H$4=#REF!),BDI!#REF!,IF(#REF!="ZERO",0))))),"")</f>
        <v>#REF!</v>
      </c>
      <c r="H2499" s="136" t="str">
        <f t="shared" si="127"/>
        <v/>
      </c>
      <c r="I2499" s="134" t="str">
        <f t="shared" si="128"/>
        <v/>
      </c>
      <c r="J2499" s="226"/>
    </row>
    <row r="2500" spans="1:10" hidden="1" x14ac:dyDescent="0.25">
      <c r="A2500" s="112" t="s">
        <v>6108</v>
      </c>
      <c r="B2500" s="113" t="s">
        <v>4871</v>
      </c>
      <c r="C2500" s="114" t="s">
        <v>20</v>
      </c>
      <c r="D2500" s="114">
        <v>0</v>
      </c>
      <c r="E2500" s="133" t="s">
        <v>514</v>
      </c>
      <c r="F2500" s="134" t="str">
        <f t="shared" si="126"/>
        <v/>
      </c>
      <c r="G2500" s="135" t="e">
        <f>IF(A2500&lt;&gt;"",IF(AND(#REF!="Padrão",$H$4=#REF!),BDI!$B$17,IF(AND(#REF!="Padrão",$H$4=#REF!),BDI!#REF!,IF(AND(#REF!="Diferenciado",$H$4=#REF!),BDI!$E$17,IF(AND(#REF!="Diferenciado",$H$4=#REF!),BDI!#REF!,IF(#REF!="ZERO",0))))),"")</f>
        <v>#REF!</v>
      </c>
      <c r="H2500" s="136" t="str">
        <f t="shared" si="127"/>
        <v/>
      </c>
      <c r="I2500" s="134" t="str">
        <f t="shared" si="128"/>
        <v/>
      </c>
      <c r="J2500" s="226"/>
    </row>
    <row r="2501" spans="1:10" hidden="1" x14ac:dyDescent="0.25">
      <c r="A2501" s="112" t="s">
        <v>6109</v>
      </c>
      <c r="B2501" s="113" t="s">
        <v>4872</v>
      </c>
      <c r="C2501" s="114" t="s">
        <v>20</v>
      </c>
      <c r="D2501" s="114">
        <v>0</v>
      </c>
      <c r="E2501" s="133" t="s">
        <v>514</v>
      </c>
      <c r="F2501" s="134" t="str">
        <f t="shared" si="126"/>
        <v/>
      </c>
      <c r="G2501" s="135" t="e">
        <f>IF(A2501&lt;&gt;"",IF(AND(#REF!="Padrão",$H$4=#REF!),BDI!$B$17,IF(AND(#REF!="Padrão",$H$4=#REF!),BDI!#REF!,IF(AND(#REF!="Diferenciado",$H$4=#REF!),BDI!$E$17,IF(AND(#REF!="Diferenciado",$H$4=#REF!),BDI!#REF!,IF(#REF!="ZERO",0))))),"")</f>
        <v>#REF!</v>
      </c>
      <c r="H2501" s="136" t="str">
        <f t="shared" si="127"/>
        <v/>
      </c>
      <c r="I2501" s="134" t="str">
        <f t="shared" si="128"/>
        <v/>
      </c>
      <c r="J2501" s="226"/>
    </row>
    <row r="2502" spans="1:10" hidden="1" x14ac:dyDescent="0.25">
      <c r="A2502" s="112" t="s">
        <v>6110</v>
      </c>
      <c r="B2502" s="113" t="s">
        <v>4873</v>
      </c>
      <c r="C2502" s="114" t="s">
        <v>20</v>
      </c>
      <c r="D2502" s="114">
        <v>0</v>
      </c>
      <c r="E2502" s="133" t="s">
        <v>514</v>
      </c>
      <c r="F2502" s="134" t="str">
        <f t="shared" si="126"/>
        <v/>
      </c>
      <c r="G2502" s="135" t="e">
        <f>IF(A2502&lt;&gt;"",IF(AND(#REF!="Padrão",$H$4=#REF!),BDI!$B$17,IF(AND(#REF!="Padrão",$H$4=#REF!),BDI!#REF!,IF(AND(#REF!="Diferenciado",$H$4=#REF!),BDI!$E$17,IF(AND(#REF!="Diferenciado",$H$4=#REF!),BDI!#REF!,IF(#REF!="ZERO",0))))),"")</f>
        <v>#REF!</v>
      </c>
      <c r="H2502" s="136" t="str">
        <f t="shared" si="127"/>
        <v/>
      </c>
      <c r="I2502" s="134" t="str">
        <f t="shared" si="128"/>
        <v/>
      </c>
      <c r="J2502" s="226"/>
    </row>
    <row r="2503" spans="1:10" hidden="1" x14ac:dyDescent="0.25">
      <c r="A2503" s="112" t="s">
        <v>6111</v>
      </c>
      <c r="B2503" s="113" t="s">
        <v>4874</v>
      </c>
      <c r="C2503" s="114" t="s">
        <v>20</v>
      </c>
      <c r="D2503" s="114">
        <v>0</v>
      </c>
      <c r="E2503" s="133" t="s">
        <v>514</v>
      </c>
      <c r="F2503" s="134" t="str">
        <f t="shared" si="126"/>
        <v/>
      </c>
      <c r="G2503" s="135" t="e">
        <f>IF(A2503&lt;&gt;"",IF(AND(#REF!="Padrão",$H$4=#REF!),BDI!$B$17,IF(AND(#REF!="Padrão",$H$4=#REF!),BDI!#REF!,IF(AND(#REF!="Diferenciado",$H$4=#REF!),BDI!$E$17,IF(AND(#REF!="Diferenciado",$H$4=#REF!),BDI!#REF!,IF(#REF!="ZERO",0))))),"")</f>
        <v>#REF!</v>
      </c>
      <c r="H2503" s="136" t="str">
        <f t="shared" si="127"/>
        <v/>
      </c>
      <c r="I2503" s="134" t="str">
        <f t="shared" si="128"/>
        <v/>
      </c>
      <c r="J2503" s="226"/>
    </row>
    <row r="2504" spans="1:10" hidden="1" x14ac:dyDescent="0.25">
      <c r="A2504" s="112" t="s">
        <v>6112</v>
      </c>
      <c r="B2504" s="113" t="s">
        <v>4875</v>
      </c>
      <c r="C2504" s="114" t="s">
        <v>20</v>
      </c>
      <c r="D2504" s="114">
        <v>0</v>
      </c>
      <c r="E2504" s="133">
        <f ca="1">OFFSET(INDEX(Composições!A:J,MATCH(Orçamentária!A2504,Composições!A:A,0),8),2,0)</f>
        <v>130.50149999999999</v>
      </c>
      <c r="F2504" s="134">
        <f t="shared" ca="1" si="126"/>
        <v>0</v>
      </c>
      <c r="G2504" s="135" t="e">
        <f>IF(A2504&lt;&gt;"",IF(AND(#REF!="Padrão",$H$4=#REF!),BDI!$B$17,IF(AND(#REF!="Padrão",$H$4=#REF!),BDI!#REF!,IF(AND(#REF!="Diferenciado",$H$4=#REF!),BDI!$E$17,IF(AND(#REF!="Diferenciado",$H$4=#REF!),BDI!#REF!,IF(#REF!="ZERO",0))))),"")</f>
        <v>#REF!</v>
      </c>
      <c r="H2504" s="136" t="e">
        <f t="shared" ca="1" si="127"/>
        <v>#REF!</v>
      </c>
      <c r="I2504" s="134" t="e">
        <f t="shared" ca="1" si="128"/>
        <v>#REF!</v>
      </c>
      <c r="J2504" s="226"/>
    </row>
    <row r="2505" spans="1:10" hidden="1" x14ac:dyDescent="0.25">
      <c r="A2505" s="112" t="s">
        <v>6113</v>
      </c>
      <c r="B2505" s="113" t="s">
        <v>4876</v>
      </c>
      <c r="C2505" s="114" t="s">
        <v>20</v>
      </c>
      <c r="D2505" s="114">
        <v>0</v>
      </c>
      <c r="E2505" s="133" t="s">
        <v>514</v>
      </c>
      <c r="F2505" s="134" t="str">
        <f t="shared" si="126"/>
        <v/>
      </c>
      <c r="G2505" s="135" t="e">
        <f>IF(A2505&lt;&gt;"",IF(AND(#REF!="Padrão",$H$4=#REF!),BDI!$B$17,IF(AND(#REF!="Padrão",$H$4=#REF!),BDI!#REF!,IF(AND(#REF!="Diferenciado",$H$4=#REF!),BDI!$E$17,IF(AND(#REF!="Diferenciado",$H$4=#REF!),BDI!#REF!,IF(#REF!="ZERO",0))))),"")</f>
        <v>#REF!</v>
      </c>
      <c r="H2505" s="136" t="str">
        <f t="shared" si="127"/>
        <v/>
      </c>
      <c r="I2505" s="134" t="str">
        <f t="shared" si="128"/>
        <v/>
      </c>
      <c r="J2505" s="226"/>
    </row>
    <row r="2506" spans="1:10" hidden="1" x14ac:dyDescent="0.25">
      <c r="A2506" s="112" t="s">
        <v>6114</v>
      </c>
      <c r="B2506" s="113" t="s">
        <v>4877</v>
      </c>
      <c r="C2506" s="114" t="s">
        <v>20</v>
      </c>
      <c r="D2506" s="114">
        <v>0</v>
      </c>
      <c r="E2506" s="133" t="s">
        <v>514</v>
      </c>
      <c r="F2506" s="134" t="str">
        <f t="shared" si="126"/>
        <v/>
      </c>
      <c r="G2506" s="135" t="e">
        <f>IF(A2506&lt;&gt;"",IF(AND(#REF!="Padrão",$H$4=#REF!),BDI!$B$17,IF(AND(#REF!="Padrão",$H$4=#REF!),BDI!#REF!,IF(AND(#REF!="Diferenciado",$H$4=#REF!),BDI!$E$17,IF(AND(#REF!="Diferenciado",$H$4=#REF!),BDI!#REF!,IF(#REF!="ZERO",0))))),"")</f>
        <v>#REF!</v>
      </c>
      <c r="H2506" s="136" t="str">
        <f t="shared" si="127"/>
        <v/>
      </c>
      <c r="I2506" s="134" t="str">
        <f t="shared" si="128"/>
        <v/>
      </c>
      <c r="J2506" s="226"/>
    </row>
    <row r="2507" spans="1:10" hidden="1" x14ac:dyDescent="0.25">
      <c r="A2507" s="112" t="s">
        <v>6115</v>
      </c>
      <c r="B2507" s="113" t="s">
        <v>4878</v>
      </c>
      <c r="C2507" s="114" t="s">
        <v>20</v>
      </c>
      <c r="D2507" s="114">
        <v>0</v>
      </c>
      <c r="E2507" s="133" t="s">
        <v>514</v>
      </c>
      <c r="F2507" s="134" t="str">
        <f t="shared" si="126"/>
        <v/>
      </c>
      <c r="G2507" s="135" t="e">
        <f>IF(A2507&lt;&gt;"",IF(AND(#REF!="Padrão",$H$4=#REF!),BDI!$B$17,IF(AND(#REF!="Padrão",$H$4=#REF!),BDI!#REF!,IF(AND(#REF!="Diferenciado",$H$4=#REF!),BDI!$E$17,IF(AND(#REF!="Diferenciado",$H$4=#REF!),BDI!#REF!,IF(#REF!="ZERO",0))))),"")</f>
        <v>#REF!</v>
      </c>
      <c r="H2507" s="136" t="str">
        <f t="shared" si="127"/>
        <v/>
      </c>
      <c r="I2507" s="134" t="str">
        <f t="shared" si="128"/>
        <v/>
      </c>
      <c r="J2507" s="226"/>
    </row>
    <row r="2508" spans="1:10" hidden="1" x14ac:dyDescent="0.25">
      <c r="A2508" s="112" t="s">
        <v>6116</v>
      </c>
      <c r="B2508" s="113" t="s">
        <v>4879</v>
      </c>
      <c r="C2508" s="114" t="s">
        <v>20</v>
      </c>
      <c r="D2508" s="114">
        <v>0</v>
      </c>
      <c r="E2508" s="133" t="s">
        <v>514</v>
      </c>
      <c r="F2508" s="134" t="str">
        <f t="shared" si="126"/>
        <v/>
      </c>
      <c r="G2508" s="135" t="e">
        <f>IF(A2508&lt;&gt;"",IF(AND(#REF!="Padrão",$H$4=#REF!),BDI!$B$17,IF(AND(#REF!="Padrão",$H$4=#REF!),BDI!#REF!,IF(AND(#REF!="Diferenciado",$H$4=#REF!),BDI!$E$17,IF(AND(#REF!="Diferenciado",$H$4=#REF!),BDI!#REF!,IF(#REF!="ZERO",0))))),"")</f>
        <v>#REF!</v>
      </c>
      <c r="H2508" s="136" t="str">
        <f t="shared" si="127"/>
        <v/>
      </c>
      <c r="I2508" s="134" t="str">
        <f t="shared" si="128"/>
        <v/>
      </c>
      <c r="J2508" s="226"/>
    </row>
    <row r="2509" spans="1:10" hidden="1" x14ac:dyDescent="0.25">
      <c r="A2509" s="112" t="s">
        <v>6117</v>
      </c>
      <c r="B2509" s="113" t="s">
        <v>4880</v>
      </c>
      <c r="C2509" s="114" t="s">
        <v>20</v>
      </c>
      <c r="D2509" s="114">
        <v>0</v>
      </c>
      <c r="E2509" s="133" t="s">
        <v>514</v>
      </c>
      <c r="F2509" s="134" t="str">
        <f t="shared" si="126"/>
        <v/>
      </c>
      <c r="G2509" s="135" t="e">
        <f>IF(A2509&lt;&gt;"",IF(AND(#REF!="Padrão",$H$4=#REF!),BDI!$B$17,IF(AND(#REF!="Padrão",$H$4=#REF!),BDI!#REF!,IF(AND(#REF!="Diferenciado",$H$4=#REF!),BDI!$E$17,IF(AND(#REF!="Diferenciado",$H$4=#REF!),BDI!#REF!,IF(#REF!="ZERO",0))))),"")</f>
        <v>#REF!</v>
      </c>
      <c r="H2509" s="136" t="str">
        <f t="shared" si="127"/>
        <v/>
      </c>
      <c r="I2509" s="134" t="str">
        <f t="shared" si="128"/>
        <v/>
      </c>
      <c r="J2509" s="226"/>
    </row>
    <row r="2510" spans="1:10" hidden="1" x14ac:dyDescent="0.25">
      <c r="A2510" s="112" t="s">
        <v>6118</v>
      </c>
      <c r="B2510" s="113" t="s">
        <v>4881</v>
      </c>
      <c r="C2510" s="114" t="s">
        <v>20</v>
      </c>
      <c r="D2510" s="114">
        <v>0</v>
      </c>
      <c r="E2510" s="133" t="s">
        <v>514</v>
      </c>
      <c r="F2510" s="134" t="str">
        <f t="shared" si="126"/>
        <v/>
      </c>
      <c r="G2510" s="135" t="e">
        <f>IF(A2510&lt;&gt;"",IF(AND(#REF!="Padrão",$H$4=#REF!),BDI!$B$17,IF(AND(#REF!="Padrão",$H$4=#REF!),BDI!#REF!,IF(AND(#REF!="Diferenciado",$H$4=#REF!),BDI!$E$17,IF(AND(#REF!="Diferenciado",$H$4=#REF!),BDI!#REF!,IF(#REF!="ZERO",0))))),"")</f>
        <v>#REF!</v>
      </c>
      <c r="H2510" s="136" t="str">
        <f t="shared" si="127"/>
        <v/>
      </c>
      <c r="I2510" s="134" t="str">
        <f t="shared" si="128"/>
        <v/>
      </c>
      <c r="J2510" s="226"/>
    </row>
    <row r="2511" spans="1:10" hidden="1" x14ac:dyDescent="0.25">
      <c r="A2511" s="112" t="s">
        <v>6119</v>
      </c>
      <c r="B2511" s="113" t="s">
        <v>4882</v>
      </c>
      <c r="C2511" s="114" t="s">
        <v>20</v>
      </c>
      <c r="D2511" s="114">
        <v>0</v>
      </c>
      <c r="E2511" s="133" t="s">
        <v>514</v>
      </c>
      <c r="F2511" s="134" t="str">
        <f t="shared" si="126"/>
        <v/>
      </c>
      <c r="G2511" s="135" t="e">
        <f>IF(A2511&lt;&gt;"",IF(AND(#REF!="Padrão",$H$4=#REF!),BDI!$B$17,IF(AND(#REF!="Padrão",$H$4=#REF!),BDI!#REF!,IF(AND(#REF!="Diferenciado",$H$4=#REF!),BDI!$E$17,IF(AND(#REF!="Diferenciado",$H$4=#REF!),BDI!#REF!,IF(#REF!="ZERO",0))))),"")</f>
        <v>#REF!</v>
      </c>
      <c r="H2511" s="136" t="str">
        <f t="shared" si="127"/>
        <v/>
      </c>
      <c r="I2511" s="134" t="str">
        <f t="shared" si="128"/>
        <v/>
      </c>
      <c r="J2511" s="226"/>
    </row>
    <row r="2512" spans="1:10" hidden="1" x14ac:dyDescent="0.25">
      <c r="A2512" s="112" t="s">
        <v>6120</v>
      </c>
      <c r="B2512" s="113" t="s">
        <v>4883</v>
      </c>
      <c r="C2512" s="114" t="s">
        <v>20</v>
      </c>
      <c r="D2512" s="114">
        <v>0</v>
      </c>
      <c r="E2512" s="133" t="s">
        <v>514</v>
      </c>
      <c r="F2512" s="134" t="str">
        <f t="shared" si="126"/>
        <v/>
      </c>
      <c r="G2512" s="135" t="e">
        <f>IF(A2512&lt;&gt;"",IF(AND(#REF!="Padrão",$H$4=#REF!),BDI!$B$17,IF(AND(#REF!="Padrão",$H$4=#REF!),BDI!#REF!,IF(AND(#REF!="Diferenciado",$H$4=#REF!),BDI!$E$17,IF(AND(#REF!="Diferenciado",$H$4=#REF!),BDI!#REF!,IF(#REF!="ZERO",0))))),"")</f>
        <v>#REF!</v>
      </c>
      <c r="H2512" s="136" t="str">
        <f t="shared" si="127"/>
        <v/>
      </c>
      <c r="I2512" s="134" t="str">
        <f t="shared" si="128"/>
        <v/>
      </c>
      <c r="J2512" s="226"/>
    </row>
    <row r="2513" spans="1:10" hidden="1" x14ac:dyDescent="0.25">
      <c r="A2513" s="112" t="s">
        <v>6121</v>
      </c>
      <c r="B2513" s="113" t="s">
        <v>4884</v>
      </c>
      <c r="C2513" s="114" t="s">
        <v>20</v>
      </c>
      <c r="D2513" s="114">
        <v>0</v>
      </c>
      <c r="E2513" s="133" t="s">
        <v>514</v>
      </c>
      <c r="F2513" s="134" t="str">
        <f t="shared" si="126"/>
        <v/>
      </c>
      <c r="G2513" s="135" t="e">
        <f>IF(A2513&lt;&gt;"",IF(AND(#REF!="Padrão",$H$4=#REF!),BDI!$B$17,IF(AND(#REF!="Padrão",$H$4=#REF!),BDI!#REF!,IF(AND(#REF!="Diferenciado",$H$4=#REF!),BDI!$E$17,IF(AND(#REF!="Diferenciado",$H$4=#REF!),BDI!#REF!,IF(#REF!="ZERO",0))))),"")</f>
        <v>#REF!</v>
      </c>
      <c r="H2513" s="136" t="str">
        <f t="shared" si="127"/>
        <v/>
      </c>
      <c r="I2513" s="134" t="str">
        <f t="shared" si="128"/>
        <v/>
      </c>
      <c r="J2513" s="226"/>
    </row>
    <row r="2514" spans="1:10" hidden="1" x14ac:dyDescent="0.25">
      <c r="A2514" s="112" t="s">
        <v>6122</v>
      </c>
      <c r="B2514" s="113" t="s">
        <v>4885</v>
      </c>
      <c r="C2514" s="114" t="s">
        <v>20</v>
      </c>
      <c r="D2514" s="114">
        <v>0</v>
      </c>
      <c r="E2514" s="133" t="s">
        <v>514</v>
      </c>
      <c r="F2514" s="134" t="str">
        <f t="shared" si="126"/>
        <v/>
      </c>
      <c r="G2514" s="135" t="e">
        <f>IF(A2514&lt;&gt;"",IF(AND(#REF!="Padrão",$H$4=#REF!),BDI!$B$17,IF(AND(#REF!="Padrão",$H$4=#REF!),BDI!#REF!,IF(AND(#REF!="Diferenciado",$H$4=#REF!),BDI!$E$17,IF(AND(#REF!="Diferenciado",$H$4=#REF!),BDI!#REF!,IF(#REF!="ZERO",0))))),"")</f>
        <v>#REF!</v>
      </c>
      <c r="H2514" s="136" t="str">
        <f t="shared" si="127"/>
        <v/>
      </c>
      <c r="I2514" s="134" t="str">
        <f t="shared" si="128"/>
        <v/>
      </c>
      <c r="J2514" s="226"/>
    </row>
    <row r="2515" spans="1:10" hidden="1" x14ac:dyDescent="0.25">
      <c r="A2515" s="112" t="s">
        <v>6123</v>
      </c>
      <c r="B2515" s="113" t="s">
        <v>4886</v>
      </c>
      <c r="C2515" s="114" t="s">
        <v>20</v>
      </c>
      <c r="D2515" s="114">
        <v>0</v>
      </c>
      <c r="E2515" s="133" t="s">
        <v>514</v>
      </c>
      <c r="F2515" s="134" t="str">
        <f t="shared" si="126"/>
        <v/>
      </c>
      <c r="G2515" s="135" t="e">
        <f>IF(A2515&lt;&gt;"",IF(AND(#REF!="Padrão",$H$4=#REF!),BDI!$B$17,IF(AND(#REF!="Padrão",$H$4=#REF!),BDI!#REF!,IF(AND(#REF!="Diferenciado",$H$4=#REF!),BDI!$E$17,IF(AND(#REF!="Diferenciado",$H$4=#REF!),BDI!#REF!,IF(#REF!="ZERO",0))))),"")</f>
        <v>#REF!</v>
      </c>
      <c r="H2515" s="136" t="str">
        <f t="shared" si="127"/>
        <v/>
      </c>
      <c r="I2515" s="134" t="str">
        <f t="shared" si="128"/>
        <v/>
      </c>
      <c r="J2515" s="226"/>
    </row>
    <row r="2516" spans="1:10" hidden="1" x14ac:dyDescent="0.25">
      <c r="A2516" s="112" t="s">
        <v>6124</v>
      </c>
      <c r="B2516" s="113" t="s">
        <v>4887</v>
      </c>
      <c r="C2516" s="114" t="s">
        <v>20</v>
      </c>
      <c r="D2516" s="114">
        <v>0</v>
      </c>
      <c r="E2516" s="133" t="s">
        <v>514</v>
      </c>
      <c r="F2516" s="134" t="str">
        <f t="shared" si="126"/>
        <v/>
      </c>
      <c r="G2516" s="135" t="e">
        <f>IF(A2516&lt;&gt;"",IF(AND(#REF!="Padrão",$H$4=#REF!),BDI!$B$17,IF(AND(#REF!="Padrão",$H$4=#REF!),BDI!#REF!,IF(AND(#REF!="Diferenciado",$H$4=#REF!),BDI!$E$17,IF(AND(#REF!="Diferenciado",$H$4=#REF!),BDI!#REF!,IF(#REF!="ZERO",0))))),"")</f>
        <v>#REF!</v>
      </c>
      <c r="H2516" s="136" t="str">
        <f t="shared" si="127"/>
        <v/>
      </c>
      <c r="I2516" s="134" t="str">
        <f t="shared" si="128"/>
        <v/>
      </c>
      <c r="J2516" s="226"/>
    </row>
    <row r="2517" spans="1:10" hidden="1" x14ac:dyDescent="0.25">
      <c r="A2517" s="112" t="s">
        <v>6125</v>
      </c>
      <c r="B2517" s="113" t="s">
        <v>4888</v>
      </c>
      <c r="C2517" s="114" t="s">
        <v>20</v>
      </c>
      <c r="D2517" s="114">
        <v>0</v>
      </c>
      <c r="E2517" s="133" t="s">
        <v>514</v>
      </c>
      <c r="F2517" s="134" t="str">
        <f t="shared" si="126"/>
        <v/>
      </c>
      <c r="G2517" s="135" t="e">
        <f>IF(A2517&lt;&gt;"",IF(AND(#REF!="Padrão",$H$4=#REF!),BDI!$B$17,IF(AND(#REF!="Padrão",$H$4=#REF!),BDI!#REF!,IF(AND(#REF!="Diferenciado",$H$4=#REF!),BDI!$E$17,IF(AND(#REF!="Diferenciado",$H$4=#REF!),BDI!#REF!,IF(#REF!="ZERO",0))))),"")</f>
        <v>#REF!</v>
      </c>
      <c r="H2517" s="136" t="str">
        <f t="shared" si="127"/>
        <v/>
      </c>
      <c r="I2517" s="134" t="str">
        <f t="shared" si="128"/>
        <v/>
      </c>
      <c r="J2517" s="226"/>
    </row>
    <row r="2518" spans="1:10" hidden="1" x14ac:dyDescent="0.25">
      <c r="A2518" s="112" t="s">
        <v>6126</v>
      </c>
      <c r="B2518" s="113" t="s">
        <v>4889</v>
      </c>
      <c r="C2518" s="114" t="s">
        <v>20</v>
      </c>
      <c r="D2518" s="114">
        <v>0</v>
      </c>
      <c r="E2518" s="133" t="s">
        <v>514</v>
      </c>
      <c r="F2518" s="134" t="str">
        <f t="shared" si="126"/>
        <v/>
      </c>
      <c r="G2518" s="135" t="e">
        <f>IF(A2518&lt;&gt;"",IF(AND(#REF!="Padrão",$H$4=#REF!),BDI!$B$17,IF(AND(#REF!="Padrão",$H$4=#REF!),BDI!#REF!,IF(AND(#REF!="Diferenciado",$H$4=#REF!),BDI!$E$17,IF(AND(#REF!="Diferenciado",$H$4=#REF!),BDI!#REF!,IF(#REF!="ZERO",0))))),"")</f>
        <v>#REF!</v>
      </c>
      <c r="H2518" s="136" t="str">
        <f t="shared" si="127"/>
        <v/>
      </c>
      <c r="I2518" s="134" t="str">
        <f t="shared" si="128"/>
        <v/>
      </c>
      <c r="J2518" s="226"/>
    </row>
    <row r="2519" spans="1:10" hidden="1" x14ac:dyDescent="0.25">
      <c r="A2519" s="112" t="s">
        <v>6127</v>
      </c>
      <c r="B2519" s="113" t="s">
        <v>4890</v>
      </c>
      <c r="C2519" s="114" t="s">
        <v>20</v>
      </c>
      <c r="D2519" s="114">
        <v>0</v>
      </c>
      <c r="E2519" s="133" t="s">
        <v>514</v>
      </c>
      <c r="F2519" s="134" t="str">
        <f t="shared" si="126"/>
        <v/>
      </c>
      <c r="G2519" s="135" t="e">
        <f>IF(A2519&lt;&gt;"",IF(AND(#REF!="Padrão",$H$4=#REF!),BDI!$B$17,IF(AND(#REF!="Padrão",$H$4=#REF!),BDI!#REF!,IF(AND(#REF!="Diferenciado",$H$4=#REF!),BDI!$E$17,IF(AND(#REF!="Diferenciado",$H$4=#REF!),BDI!#REF!,IF(#REF!="ZERO",0))))),"")</f>
        <v>#REF!</v>
      </c>
      <c r="H2519" s="136" t="str">
        <f t="shared" si="127"/>
        <v/>
      </c>
      <c r="I2519" s="134" t="str">
        <f t="shared" si="128"/>
        <v/>
      </c>
      <c r="J2519" s="226"/>
    </row>
    <row r="2520" spans="1:10" hidden="1" x14ac:dyDescent="0.25">
      <c r="A2520" s="112" t="s">
        <v>6128</v>
      </c>
      <c r="B2520" s="113" t="s">
        <v>4891</v>
      </c>
      <c r="C2520" s="114" t="s">
        <v>20</v>
      </c>
      <c r="D2520" s="114">
        <v>0</v>
      </c>
      <c r="E2520" s="133" t="s">
        <v>514</v>
      </c>
      <c r="F2520" s="134" t="str">
        <f t="shared" si="126"/>
        <v/>
      </c>
      <c r="G2520" s="135" t="e">
        <f>IF(A2520&lt;&gt;"",IF(AND(#REF!="Padrão",$H$4=#REF!),BDI!$B$17,IF(AND(#REF!="Padrão",$H$4=#REF!),BDI!#REF!,IF(AND(#REF!="Diferenciado",$H$4=#REF!),BDI!$E$17,IF(AND(#REF!="Diferenciado",$H$4=#REF!),BDI!#REF!,IF(#REF!="ZERO",0))))),"")</f>
        <v>#REF!</v>
      </c>
      <c r="H2520" s="136" t="str">
        <f t="shared" si="127"/>
        <v/>
      </c>
      <c r="I2520" s="134" t="str">
        <f t="shared" si="128"/>
        <v/>
      </c>
      <c r="J2520" s="226"/>
    </row>
    <row r="2521" spans="1:10" hidden="1" x14ac:dyDescent="0.25">
      <c r="A2521" s="112" t="s">
        <v>6129</v>
      </c>
      <c r="B2521" s="113" t="s">
        <v>4892</v>
      </c>
      <c r="C2521" s="114" t="s">
        <v>20</v>
      </c>
      <c r="D2521" s="114">
        <v>0</v>
      </c>
      <c r="E2521" s="133" t="s">
        <v>514</v>
      </c>
      <c r="F2521" s="134" t="str">
        <f t="shared" si="126"/>
        <v/>
      </c>
      <c r="G2521" s="135" t="e">
        <f>IF(A2521&lt;&gt;"",IF(AND(#REF!="Padrão",$H$4=#REF!),BDI!$B$17,IF(AND(#REF!="Padrão",$H$4=#REF!),BDI!#REF!,IF(AND(#REF!="Diferenciado",$H$4=#REF!),BDI!$E$17,IF(AND(#REF!="Diferenciado",$H$4=#REF!),BDI!#REF!,IF(#REF!="ZERO",0))))),"")</f>
        <v>#REF!</v>
      </c>
      <c r="H2521" s="136" t="str">
        <f t="shared" si="127"/>
        <v/>
      </c>
      <c r="I2521" s="134" t="str">
        <f t="shared" si="128"/>
        <v/>
      </c>
      <c r="J2521" s="226"/>
    </row>
    <row r="2522" spans="1:10" hidden="1" x14ac:dyDescent="0.25">
      <c r="A2522" s="112" t="s">
        <v>6130</v>
      </c>
      <c r="B2522" s="113" t="s">
        <v>4893</v>
      </c>
      <c r="C2522" s="114" t="s">
        <v>20</v>
      </c>
      <c r="D2522" s="114">
        <v>0</v>
      </c>
      <c r="E2522" s="133" t="s">
        <v>514</v>
      </c>
      <c r="F2522" s="134" t="str">
        <f t="shared" si="126"/>
        <v/>
      </c>
      <c r="G2522" s="135" t="e">
        <f>IF(A2522&lt;&gt;"",IF(AND(#REF!="Padrão",$H$4=#REF!),BDI!$B$17,IF(AND(#REF!="Padrão",$H$4=#REF!),BDI!#REF!,IF(AND(#REF!="Diferenciado",$H$4=#REF!),BDI!$E$17,IF(AND(#REF!="Diferenciado",$H$4=#REF!),BDI!#REF!,IF(#REF!="ZERO",0))))),"")</f>
        <v>#REF!</v>
      </c>
      <c r="H2522" s="136" t="str">
        <f t="shared" si="127"/>
        <v/>
      </c>
      <c r="I2522" s="134" t="str">
        <f t="shared" si="128"/>
        <v/>
      </c>
      <c r="J2522" s="226"/>
    </row>
    <row r="2523" spans="1:10" hidden="1" x14ac:dyDescent="0.25">
      <c r="A2523" s="112" t="s">
        <v>6131</v>
      </c>
      <c r="B2523" s="113" t="s">
        <v>4894</v>
      </c>
      <c r="C2523" s="114" t="s">
        <v>20</v>
      </c>
      <c r="D2523" s="114">
        <v>0</v>
      </c>
      <c r="E2523" s="133" t="s">
        <v>514</v>
      </c>
      <c r="F2523" s="134" t="str">
        <f t="shared" si="126"/>
        <v/>
      </c>
      <c r="G2523" s="135" t="e">
        <f>IF(A2523&lt;&gt;"",IF(AND(#REF!="Padrão",$H$4=#REF!),BDI!$B$17,IF(AND(#REF!="Padrão",$H$4=#REF!),BDI!#REF!,IF(AND(#REF!="Diferenciado",$H$4=#REF!),BDI!$E$17,IF(AND(#REF!="Diferenciado",$H$4=#REF!),BDI!#REF!,IF(#REF!="ZERO",0))))),"")</f>
        <v>#REF!</v>
      </c>
      <c r="H2523" s="136" t="str">
        <f t="shared" si="127"/>
        <v/>
      </c>
      <c r="I2523" s="134" t="str">
        <f t="shared" si="128"/>
        <v/>
      </c>
      <c r="J2523" s="226"/>
    </row>
    <row r="2524" spans="1:10" hidden="1" x14ac:dyDescent="0.25">
      <c r="A2524" s="112" t="s">
        <v>6132</v>
      </c>
      <c r="B2524" s="113" t="s">
        <v>4895</v>
      </c>
      <c r="C2524" s="114" t="s">
        <v>20</v>
      </c>
      <c r="D2524" s="114">
        <v>0</v>
      </c>
      <c r="E2524" s="133" t="s">
        <v>514</v>
      </c>
      <c r="F2524" s="134" t="str">
        <f t="shared" si="126"/>
        <v/>
      </c>
      <c r="G2524" s="135" t="e">
        <f>IF(A2524&lt;&gt;"",IF(AND(#REF!="Padrão",$H$4=#REF!),BDI!$B$17,IF(AND(#REF!="Padrão",$H$4=#REF!),BDI!#REF!,IF(AND(#REF!="Diferenciado",$H$4=#REF!),BDI!$E$17,IF(AND(#REF!="Diferenciado",$H$4=#REF!),BDI!#REF!,IF(#REF!="ZERO",0))))),"")</f>
        <v>#REF!</v>
      </c>
      <c r="H2524" s="136" t="str">
        <f t="shared" si="127"/>
        <v/>
      </c>
      <c r="I2524" s="134" t="str">
        <f t="shared" si="128"/>
        <v/>
      </c>
      <c r="J2524" s="226"/>
    </row>
    <row r="2525" spans="1:10" hidden="1" x14ac:dyDescent="0.25">
      <c r="A2525" s="112" t="s">
        <v>6133</v>
      </c>
      <c r="B2525" s="113" t="s">
        <v>4896</v>
      </c>
      <c r="C2525" s="114" t="s">
        <v>20</v>
      </c>
      <c r="D2525" s="114">
        <v>0</v>
      </c>
      <c r="E2525" s="133" t="s">
        <v>514</v>
      </c>
      <c r="F2525" s="134" t="str">
        <f t="shared" si="126"/>
        <v/>
      </c>
      <c r="G2525" s="135" t="e">
        <f>IF(A2525&lt;&gt;"",IF(AND(#REF!="Padrão",$H$4=#REF!),BDI!$B$17,IF(AND(#REF!="Padrão",$H$4=#REF!),BDI!#REF!,IF(AND(#REF!="Diferenciado",$H$4=#REF!),BDI!$E$17,IF(AND(#REF!="Diferenciado",$H$4=#REF!),BDI!#REF!,IF(#REF!="ZERO",0))))),"")</f>
        <v>#REF!</v>
      </c>
      <c r="H2525" s="136" t="str">
        <f t="shared" si="127"/>
        <v/>
      </c>
      <c r="I2525" s="134" t="str">
        <f t="shared" si="128"/>
        <v/>
      </c>
      <c r="J2525" s="226"/>
    </row>
    <row r="2526" spans="1:10" hidden="1" x14ac:dyDescent="0.25">
      <c r="A2526" s="112" t="s">
        <v>6134</v>
      </c>
      <c r="B2526" s="113" t="s">
        <v>4897</v>
      </c>
      <c r="C2526" s="114" t="s">
        <v>20</v>
      </c>
      <c r="D2526" s="114">
        <v>0</v>
      </c>
      <c r="E2526" s="133" t="s">
        <v>514</v>
      </c>
      <c r="F2526" s="134" t="str">
        <f t="shared" si="126"/>
        <v/>
      </c>
      <c r="G2526" s="135" t="e">
        <f>IF(A2526&lt;&gt;"",IF(AND(#REF!="Padrão",$H$4=#REF!),BDI!$B$17,IF(AND(#REF!="Padrão",$H$4=#REF!),BDI!#REF!,IF(AND(#REF!="Diferenciado",$H$4=#REF!),BDI!$E$17,IF(AND(#REF!="Diferenciado",$H$4=#REF!),BDI!#REF!,IF(#REF!="ZERO",0))))),"")</f>
        <v>#REF!</v>
      </c>
      <c r="H2526" s="136" t="str">
        <f t="shared" si="127"/>
        <v/>
      </c>
      <c r="I2526" s="134" t="str">
        <f t="shared" si="128"/>
        <v/>
      </c>
      <c r="J2526" s="226"/>
    </row>
    <row r="2527" spans="1:10" hidden="1" x14ac:dyDescent="0.25">
      <c r="A2527" s="112" t="s">
        <v>6135</v>
      </c>
      <c r="B2527" s="113" t="s">
        <v>4898</v>
      </c>
      <c r="C2527" s="114" t="s">
        <v>20</v>
      </c>
      <c r="D2527" s="114">
        <v>0</v>
      </c>
      <c r="E2527" s="133" t="s">
        <v>514</v>
      </c>
      <c r="F2527" s="134" t="str">
        <f t="shared" si="126"/>
        <v/>
      </c>
      <c r="G2527" s="135" t="e">
        <f>IF(A2527&lt;&gt;"",IF(AND(#REF!="Padrão",$H$4=#REF!),BDI!$B$17,IF(AND(#REF!="Padrão",$H$4=#REF!),BDI!#REF!,IF(AND(#REF!="Diferenciado",$H$4=#REF!),BDI!$E$17,IF(AND(#REF!="Diferenciado",$H$4=#REF!),BDI!#REF!,IF(#REF!="ZERO",0))))),"")</f>
        <v>#REF!</v>
      </c>
      <c r="H2527" s="136" t="str">
        <f t="shared" si="127"/>
        <v/>
      </c>
      <c r="I2527" s="134" t="str">
        <f t="shared" si="128"/>
        <v/>
      </c>
      <c r="J2527" s="226"/>
    </row>
    <row r="2528" spans="1:10" hidden="1" x14ac:dyDescent="0.25">
      <c r="A2528" s="112" t="s">
        <v>6136</v>
      </c>
      <c r="B2528" s="113" t="s">
        <v>4899</v>
      </c>
      <c r="C2528" s="114" t="s">
        <v>20</v>
      </c>
      <c r="D2528" s="114">
        <v>0</v>
      </c>
      <c r="E2528" s="133" t="s">
        <v>514</v>
      </c>
      <c r="F2528" s="134" t="str">
        <f t="shared" si="126"/>
        <v/>
      </c>
      <c r="G2528" s="135" t="e">
        <f>IF(A2528&lt;&gt;"",IF(AND(#REF!="Padrão",$H$4=#REF!),BDI!$B$17,IF(AND(#REF!="Padrão",$H$4=#REF!),BDI!#REF!,IF(AND(#REF!="Diferenciado",$H$4=#REF!),BDI!$E$17,IF(AND(#REF!="Diferenciado",$H$4=#REF!),BDI!#REF!,IF(#REF!="ZERO",0))))),"")</f>
        <v>#REF!</v>
      </c>
      <c r="H2528" s="136" t="str">
        <f t="shared" si="127"/>
        <v/>
      </c>
      <c r="I2528" s="134" t="str">
        <f t="shared" si="128"/>
        <v/>
      </c>
      <c r="J2528" s="226"/>
    </row>
    <row r="2529" spans="1:10" hidden="1" x14ac:dyDescent="0.25">
      <c r="A2529" s="112" t="s">
        <v>6137</v>
      </c>
      <c r="B2529" s="113" t="s">
        <v>4900</v>
      </c>
      <c r="C2529" s="114" t="s">
        <v>20</v>
      </c>
      <c r="D2529" s="114">
        <v>0</v>
      </c>
      <c r="E2529" s="133" t="s">
        <v>514</v>
      </c>
      <c r="F2529" s="134" t="str">
        <f t="shared" si="126"/>
        <v/>
      </c>
      <c r="G2529" s="135" t="e">
        <f>IF(A2529&lt;&gt;"",IF(AND(#REF!="Padrão",$H$4=#REF!),BDI!$B$17,IF(AND(#REF!="Padrão",$H$4=#REF!),BDI!#REF!,IF(AND(#REF!="Diferenciado",$H$4=#REF!),BDI!$E$17,IF(AND(#REF!="Diferenciado",$H$4=#REF!),BDI!#REF!,IF(#REF!="ZERO",0))))),"")</f>
        <v>#REF!</v>
      </c>
      <c r="H2529" s="136" t="str">
        <f t="shared" si="127"/>
        <v/>
      </c>
      <c r="I2529" s="134" t="str">
        <f t="shared" si="128"/>
        <v/>
      </c>
      <c r="J2529" s="226"/>
    </row>
    <row r="2530" spans="1:10" hidden="1" x14ac:dyDescent="0.25">
      <c r="A2530" s="112" t="s">
        <v>6138</v>
      </c>
      <c r="B2530" s="113" t="s">
        <v>4901</v>
      </c>
      <c r="C2530" s="114" t="s">
        <v>20</v>
      </c>
      <c r="D2530" s="114">
        <v>0</v>
      </c>
      <c r="E2530" s="133" t="s">
        <v>514</v>
      </c>
      <c r="F2530" s="134" t="str">
        <f t="shared" si="126"/>
        <v/>
      </c>
      <c r="G2530" s="135" t="e">
        <f>IF(A2530&lt;&gt;"",IF(AND(#REF!="Padrão",$H$4=#REF!),BDI!$B$17,IF(AND(#REF!="Padrão",$H$4=#REF!),BDI!#REF!,IF(AND(#REF!="Diferenciado",$H$4=#REF!),BDI!$E$17,IF(AND(#REF!="Diferenciado",$H$4=#REF!),BDI!#REF!,IF(#REF!="ZERO",0))))),"")</f>
        <v>#REF!</v>
      </c>
      <c r="H2530" s="136" t="str">
        <f t="shared" si="127"/>
        <v/>
      </c>
      <c r="I2530" s="134" t="str">
        <f t="shared" si="128"/>
        <v/>
      </c>
      <c r="J2530" s="226"/>
    </row>
    <row r="2531" spans="1:10" hidden="1" x14ac:dyDescent="0.25">
      <c r="A2531" s="112" t="s">
        <v>6139</v>
      </c>
      <c r="B2531" s="113" t="s">
        <v>4902</v>
      </c>
      <c r="C2531" s="114" t="s">
        <v>20</v>
      </c>
      <c r="D2531" s="114">
        <v>0</v>
      </c>
      <c r="E2531" s="133" t="s">
        <v>514</v>
      </c>
      <c r="F2531" s="134" t="str">
        <f t="shared" si="126"/>
        <v/>
      </c>
      <c r="G2531" s="135" t="e">
        <f>IF(A2531&lt;&gt;"",IF(AND(#REF!="Padrão",$H$4=#REF!),BDI!$B$17,IF(AND(#REF!="Padrão",$H$4=#REF!),BDI!#REF!,IF(AND(#REF!="Diferenciado",$H$4=#REF!),BDI!$E$17,IF(AND(#REF!="Diferenciado",$H$4=#REF!),BDI!#REF!,IF(#REF!="ZERO",0))))),"")</f>
        <v>#REF!</v>
      </c>
      <c r="H2531" s="136" t="str">
        <f t="shared" si="127"/>
        <v/>
      </c>
      <c r="I2531" s="134" t="str">
        <f t="shared" si="128"/>
        <v/>
      </c>
      <c r="J2531" s="226"/>
    </row>
    <row r="2532" spans="1:10" hidden="1" x14ac:dyDescent="0.25">
      <c r="A2532" s="112" t="s">
        <v>6140</v>
      </c>
      <c r="B2532" s="113" t="s">
        <v>4903</v>
      </c>
      <c r="C2532" s="114" t="s">
        <v>20</v>
      </c>
      <c r="D2532" s="114">
        <v>0</v>
      </c>
      <c r="E2532" s="133" t="s">
        <v>514</v>
      </c>
      <c r="F2532" s="134" t="str">
        <f t="shared" si="126"/>
        <v/>
      </c>
      <c r="G2532" s="135" t="e">
        <f>IF(A2532&lt;&gt;"",IF(AND(#REF!="Padrão",$H$4=#REF!),BDI!$B$17,IF(AND(#REF!="Padrão",$H$4=#REF!),BDI!#REF!,IF(AND(#REF!="Diferenciado",$H$4=#REF!),BDI!$E$17,IF(AND(#REF!="Diferenciado",$H$4=#REF!),BDI!#REF!,IF(#REF!="ZERO",0))))),"")</f>
        <v>#REF!</v>
      </c>
      <c r="H2532" s="136" t="str">
        <f t="shared" si="127"/>
        <v/>
      </c>
      <c r="I2532" s="134" t="str">
        <f t="shared" si="128"/>
        <v/>
      </c>
      <c r="J2532" s="226"/>
    </row>
    <row r="2533" spans="1:10" hidden="1" x14ac:dyDescent="0.25">
      <c r="A2533" s="112" t="s">
        <v>6141</v>
      </c>
      <c r="B2533" s="113" t="s">
        <v>4904</v>
      </c>
      <c r="C2533" s="114" t="s">
        <v>20</v>
      </c>
      <c r="D2533" s="114">
        <v>0</v>
      </c>
      <c r="E2533" s="133" t="s">
        <v>514</v>
      </c>
      <c r="F2533" s="134" t="str">
        <f t="shared" si="126"/>
        <v/>
      </c>
      <c r="G2533" s="135" t="e">
        <f>IF(A2533&lt;&gt;"",IF(AND(#REF!="Padrão",$H$4=#REF!),BDI!$B$17,IF(AND(#REF!="Padrão",$H$4=#REF!),BDI!#REF!,IF(AND(#REF!="Diferenciado",$H$4=#REF!),BDI!$E$17,IF(AND(#REF!="Diferenciado",$H$4=#REF!),BDI!#REF!,IF(#REF!="ZERO",0))))),"")</f>
        <v>#REF!</v>
      </c>
      <c r="H2533" s="136" t="str">
        <f t="shared" si="127"/>
        <v/>
      </c>
      <c r="I2533" s="134" t="str">
        <f t="shared" si="128"/>
        <v/>
      </c>
      <c r="J2533" s="226"/>
    </row>
    <row r="2534" spans="1:10" hidden="1" x14ac:dyDescent="0.25">
      <c r="A2534" s="112" t="s">
        <v>6142</v>
      </c>
      <c r="B2534" s="113" t="s">
        <v>4905</v>
      </c>
      <c r="C2534" s="114" t="s">
        <v>20</v>
      </c>
      <c r="D2534" s="114">
        <v>0</v>
      </c>
      <c r="E2534" s="133" t="s">
        <v>514</v>
      </c>
      <c r="F2534" s="134" t="str">
        <f t="shared" si="126"/>
        <v/>
      </c>
      <c r="G2534" s="135" t="e">
        <f>IF(A2534&lt;&gt;"",IF(AND(#REF!="Padrão",$H$4=#REF!),BDI!$B$17,IF(AND(#REF!="Padrão",$H$4=#REF!),BDI!#REF!,IF(AND(#REF!="Diferenciado",$H$4=#REF!),BDI!$E$17,IF(AND(#REF!="Diferenciado",$H$4=#REF!),BDI!#REF!,IF(#REF!="ZERO",0))))),"")</f>
        <v>#REF!</v>
      </c>
      <c r="H2534" s="136" t="str">
        <f t="shared" si="127"/>
        <v/>
      </c>
      <c r="I2534" s="134" t="str">
        <f t="shared" si="128"/>
        <v/>
      </c>
      <c r="J2534" s="226"/>
    </row>
    <row r="2535" spans="1:10" hidden="1" x14ac:dyDescent="0.25">
      <c r="A2535" s="112" t="s">
        <v>6143</v>
      </c>
      <c r="B2535" s="113" t="s">
        <v>4906</v>
      </c>
      <c r="C2535" s="114" t="s">
        <v>20</v>
      </c>
      <c r="D2535" s="114">
        <v>0</v>
      </c>
      <c r="E2535" s="133" t="s">
        <v>514</v>
      </c>
      <c r="F2535" s="134" t="str">
        <f t="shared" si="126"/>
        <v/>
      </c>
      <c r="G2535" s="135" t="e">
        <f>IF(A2535&lt;&gt;"",IF(AND(#REF!="Padrão",$H$4=#REF!),BDI!$B$17,IF(AND(#REF!="Padrão",$H$4=#REF!),BDI!#REF!,IF(AND(#REF!="Diferenciado",$H$4=#REF!),BDI!$E$17,IF(AND(#REF!="Diferenciado",$H$4=#REF!),BDI!#REF!,IF(#REF!="ZERO",0))))),"")</f>
        <v>#REF!</v>
      </c>
      <c r="H2535" s="136" t="str">
        <f t="shared" si="127"/>
        <v/>
      </c>
      <c r="I2535" s="134" t="str">
        <f t="shared" si="128"/>
        <v/>
      </c>
      <c r="J2535" s="226"/>
    </row>
    <row r="2536" spans="1:10" hidden="1" x14ac:dyDescent="0.25">
      <c r="A2536" s="112" t="s">
        <v>6144</v>
      </c>
      <c r="B2536" s="113" t="s">
        <v>4907</v>
      </c>
      <c r="C2536" s="114" t="s">
        <v>20</v>
      </c>
      <c r="D2536" s="114">
        <v>0</v>
      </c>
      <c r="E2536" s="133" t="s">
        <v>514</v>
      </c>
      <c r="F2536" s="134" t="str">
        <f t="shared" si="126"/>
        <v/>
      </c>
      <c r="G2536" s="135" t="e">
        <f>IF(A2536&lt;&gt;"",IF(AND(#REF!="Padrão",$H$4=#REF!),BDI!$B$17,IF(AND(#REF!="Padrão",$H$4=#REF!),BDI!#REF!,IF(AND(#REF!="Diferenciado",$H$4=#REF!),BDI!$E$17,IF(AND(#REF!="Diferenciado",$H$4=#REF!),BDI!#REF!,IF(#REF!="ZERO",0))))),"")</f>
        <v>#REF!</v>
      </c>
      <c r="H2536" s="136" t="str">
        <f t="shared" si="127"/>
        <v/>
      </c>
      <c r="I2536" s="134" t="str">
        <f t="shared" si="128"/>
        <v/>
      </c>
      <c r="J2536" s="226"/>
    </row>
    <row r="2537" spans="1:10" hidden="1" x14ac:dyDescent="0.25">
      <c r="A2537" s="112" t="s">
        <v>6145</v>
      </c>
      <c r="B2537" s="113" t="s">
        <v>4908</v>
      </c>
      <c r="C2537" s="114" t="s">
        <v>20</v>
      </c>
      <c r="D2537" s="114">
        <v>0</v>
      </c>
      <c r="E2537" s="133" t="s">
        <v>514</v>
      </c>
      <c r="F2537" s="134" t="str">
        <f t="shared" si="126"/>
        <v/>
      </c>
      <c r="G2537" s="135" t="e">
        <f>IF(A2537&lt;&gt;"",IF(AND(#REF!="Padrão",$H$4=#REF!),BDI!$B$17,IF(AND(#REF!="Padrão",$H$4=#REF!),BDI!#REF!,IF(AND(#REF!="Diferenciado",$H$4=#REF!),BDI!$E$17,IF(AND(#REF!="Diferenciado",$H$4=#REF!),BDI!#REF!,IF(#REF!="ZERO",0))))),"")</f>
        <v>#REF!</v>
      </c>
      <c r="H2537" s="136" t="str">
        <f t="shared" si="127"/>
        <v/>
      </c>
      <c r="I2537" s="134" t="str">
        <f t="shared" si="128"/>
        <v/>
      </c>
      <c r="J2537" s="226"/>
    </row>
    <row r="2538" spans="1:10" hidden="1" x14ac:dyDescent="0.25">
      <c r="A2538" s="112" t="s">
        <v>6146</v>
      </c>
      <c r="B2538" s="113" t="s">
        <v>4909</v>
      </c>
      <c r="C2538" s="114" t="s">
        <v>20</v>
      </c>
      <c r="D2538" s="114">
        <v>0</v>
      </c>
      <c r="E2538" s="133" t="s">
        <v>514</v>
      </c>
      <c r="F2538" s="134" t="str">
        <f t="shared" si="126"/>
        <v/>
      </c>
      <c r="G2538" s="135" t="e">
        <f>IF(A2538&lt;&gt;"",IF(AND(#REF!="Padrão",$H$4=#REF!),BDI!$B$17,IF(AND(#REF!="Padrão",$H$4=#REF!),BDI!#REF!,IF(AND(#REF!="Diferenciado",$H$4=#REF!),BDI!$E$17,IF(AND(#REF!="Diferenciado",$H$4=#REF!),BDI!#REF!,IF(#REF!="ZERO",0))))),"")</f>
        <v>#REF!</v>
      </c>
      <c r="H2538" s="136" t="str">
        <f t="shared" si="127"/>
        <v/>
      </c>
      <c r="I2538" s="134" t="str">
        <f t="shared" si="128"/>
        <v/>
      </c>
      <c r="J2538" s="226"/>
    </row>
    <row r="2539" spans="1:10" hidden="1" x14ac:dyDescent="0.25">
      <c r="A2539" s="112" t="s">
        <v>6147</v>
      </c>
      <c r="B2539" s="113" t="s">
        <v>4910</v>
      </c>
      <c r="C2539" s="114" t="s">
        <v>20</v>
      </c>
      <c r="D2539" s="114">
        <v>0</v>
      </c>
      <c r="E2539" s="133" t="s">
        <v>514</v>
      </c>
      <c r="F2539" s="134" t="str">
        <f t="shared" si="126"/>
        <v/>
      </c>
      <c r="G2539" s="135" t="e">
        <f>IF(A2539&lt;&gt;"",IF(AND(#REF!="Padrão",$H$4=#REF!),BDI!$B$17,IF(AND(#REF!="Padrão",$H$4=#REF!),BDI!#REF!,IF(AND(#REF!="Diferenciado",$H$4=#REF!),BDI!$E$17,IF(AND(#REF!="Diferenciado",$H$4=#REF!),BDI!#REF!,IF(#REF!="ZERO",0))))),"")</f>
        <v>#REF!</v>
      </c>
      <c r="H2539" s="136" t="str">
        <f t="shared" si="127"/>
        <v/>
      </c>
      <c r="I2539" s="134" t="str">
        <f t="shared" si="128"/>
        <v/>
      </c>
      <c r="J2539" s="226"/>
    </row>
    <row r="2540" spans="1:10" hidden="1" x14ac:dyDescent="0.25">
      <c r="A2540" s="112" t="s">
        <v>6148</v>
      </c>
      <c r="B2540" s="113" t="s">
        <v>4911</v>
      </c>
      <c r="C2540" s="114" t="s">
        <v>20</v>
      </c>
      <c r="D2540" s="114">
        <v>0</v>
      </c>
      <c r="E2540" s="133" t="s">
        <v>514</v>
      </c>
      <c r="F2540" s="134" t="str">
        <f t="shared" si="126"/>
        <v/>
      </c>
      <c r="G2540" s="135" t="e">
        <f>IF(A2540&lt;&gt;"",IF(AND(#REF!="Padrão",$H$4=#REF!),BDI!$B$17,IF(AND(#REF!="Padrão",$H$4=#REF!),BDI!#REF!,IF(AND(#REF!="Diferenciado",$H$4=#REF!),BDI!$E$17,IF(AND(#REF!="Diferenciado",$H$4=#REF!),BDI!#REF!,IF(#REF!="ZERO",0))))),"")</f>
        <v>#REF!</v>
      </c>
      <c r="H2540" s="136" t="str">
        <f t="shared" si="127"/>
        <v/>
      </c>
      <c r="I2540" s="134" t="str">
        <f t="shared" si="128"/>
        <v/>
      </c>
      <c r="J2540" s="226"/>
    </row>
    <row r="2541" spans="1:10" hidden="1" x14ac:dyDescent="0.25">
      <c r="A2541" s="112" t="s">
        <v>6149</v>
      </c>
      <c r="B2541" s="113" t="s">
        <v>4912</v>
      </c>
      <c r="C2541" s="114" t="s">
        <v>20</v>
      </c>
      <c r="D2541" s="114">
        <v>0</v>
      </c>
      <c r="E2541" s="133" t="s">
        <v>514</v>
      </c>
      <c r="F2541" s="134" t="str">
        <f t="shared" ref="F2541:F2604" si="129">IF(ISNUMBER(E2541),D2541*E2541,"")</f>
        <v/>
      </c>
      <c r="G2541" s="135" t="e">
        <f>IF(A2541&lt;&gt;"",IF(AND(#REF!="Padrão",$H$4=#REF!),BDI!$B$17,IF(AND(#REF!="Padrão",$H$4=#REF!),BDI!#REF!,IF(AND(#REF!="Diferenciado",$H$4=#REF!),BDI!$E$17,IF(AND(#REF!="Diferenciado",$H$4=#REF!),BDI!#REF!,IF(#REF!="ZERO",0))))),"")</f>
        <v>#REF!</v>
      </c>
      <c r="H2541" s="136" t="str">
        <f t="shared" ref="H2541:H2604" si="130">IF(ISNUMBER(E2541),ROUND(E2541*(1+G2541),2),"")</f>
        <v/>
      </c>
      <c r="I2541" s="134" t="str">
        <f t="shared" ref="I2541:I2604" si="131">IF(ISNUMBER(E2541),ROUND(H2541*D2541,2),"")</f>
        <v/>
      </c>
      <c r="J2541" s="226"/>
    </row>
    <row r="2542" spans="1:10" hidden="1" x14ac:dyDescent="0.25">
      <c r="A2542" s="112" t="s">
        <v>6150</v>
      </c>
      <c r="B2542" s="113" t="s">
        <v>4913</v>
      </c>
      <c r="C2542" s="114" t="s">
        <v>20</v>
      </c>
      <c r="D2542" s="114">
        <v>0</v>
      </c>
      <c r="E2542" s="133" t="s">
        <v>514</v>
      </c>
      <c r="F2542" s="134" t="str">
        <f t="shared" si="129"/>
        <v/>
      </c>
      <c r="G2542" s="135" t="e">
        <f>IF(A2542&lt;&gt;"",IF(AND(#REF!="Padrão",$H$4=#REF!),BDI!$B$17,IF(AND(#REF!="Padrão",$H$4=#REF!),BDI!#REF!,IF(AND(#REF!="Diferenciado",$H$4=#REF!),BDI!$E$17,IF(AND(#REF!="Diferenciado",$H$4=#REF!),BDI!#REF!,IF(#REF!="ZERO",0))))),"")</f>
        <v>#REF!</v>
      </c>
      <c r="H2542" s="136" t="str">
        <f t="shared" si="130"/>
        <v/>
      </c>
      <c r="I2542" s="134" t="str">
        <f t="shared" si="131"/>
        <v/>
      </c>
      <c r="J2542" s="226"/>
    </row>
    <row r="2543" spans="1:10" hidden="1" x14ac:dyDescent="0.25">
      <c r="A2543" s="112" t="s">
        <v>6151</v>
      </c>
      <c r="B2543" s="113" t="s">
        <v>4914</v>
      </c>
      <c r="C2543" s="114" t="s">
        <v>20</v>
      </c>
      <c r="D2543" s="114">
        <v>0</v>
      </c>
      <c r="E2543" s="133" t="s">
        <v>514</v>
      </c>
      <c r="F2543" s="134" t="str">
        <f t="shared" si="129"/>
        <v/>
      </c>
      <c r="G2543" s="135" t="e">
        <f>IF(A2543&lt;&gt;"",IF(AND(#REF!="Padrão",$H$4=#REF!),BDI!$B$17,IF(AND(#REF!="Padrão",$H$4=#REF!),BDI!#REF!,IF(AND(#REF!="Diferenciado",$H$4=#REF!),BDI!$E$17,IF(AND(#REF!="Diferenciado",$H$4=#REF!),BDI!#REF!,IF(#REF!="ZERO",0))))),"")</f>
        <v>#REF!</v>
      </c>
      <c r="H2543" s="136" t="str">
        <f t="shared" si="130"/>
        <v/>
      </c>
      <c r="I2543" s="134" t="str">
        <f t="shared" si="131"/>
        <v/>
      </c>
      <c r="J2543" s="226"/>
    </row>
    <row r="2544" spans="1:10" hidden="1" x14ac:dyDescent="0.25">
      <c r="A2544" s="112" t="s">
        <v>6152</v>
      </c>
      <c r="B2544" s="113" t="s">
        <v>4915</v>
      </c>
      <c r="C2544" s="114" t="s">
        <v>20</v>
      </c>
      <c r="D2544" s="114">
        <v>0</v>
      </c>
      <c r="E2544" s="133" t="s">
        <v>514</v>
      </c>
      <c r="F2544" s="134" t="str">
        <f t="shared" si="129"/>
        <v/>
      </c>
      <c r="G2544" s="135" t="e">
        <f>IF(A2544&lt;&gt;"",IF(AND(#REF!="Padrão",$H$4=#REF!),BDI!$B$17,IF(AND(#REF!="Padrão",$H$4=#REF!),BDI!#REF!,IF(AND(#REF!="Diferenciado",$H$4=#REF!),BDI!$E$17,IF(AND(#REF!="Diferenciado",$H$4=#REF!),BDI!#REF!,IF(#REF!="ZERO",0))))),"")</f>
        <v>#REF!</v>
      </c>
      <c r="H2544" s="136" t="str">
        <f t="shared" si="130"/>
        <v/>
      </c>
      <c r="I2544" s="134" t="str">
        <f t="shared" si="131"/>
        <v/>
      </c>
      <c r="J2544" s="226"/>
    </row>
    <row r="2545" spans="1:10" hidden="1" x14ac:dyDescent="0.25">
      <c r="A2545" s="112" t="s">
        <v>6153</v>
      </c>
      <c r="B2545" s="113" t="s">
        <v>4916</v>
      </c>
      <c r="C2545" s="114" t="s">
        <v>20</v>
      </c>
      <c r="D2545" s="114">
        <v>0</v>
      </c>
      <c r="E2545" s="133" t="s">
        <v>514</v>
      </c>
      <c r="F2545" s="134" t="str">
        <f t="shared" si="129"/>
        <v/>
      </c>
      <c r="G2545" s="135" t="e">
        <f>IF(A2545&lt;&gt;"",IF(AND(#REF!="Padrão",$H$4=#REF!),BDI!$B$17,IF(AND(#REF!="Padrão",$H$4=#REF!),BDI!#REF!,IF(AND(#REF!="Diferenciado",$H$4=#REF!),BDI!$E$17,IF(AND(#REF!="Diferenciado",$H$4=#REF!),BDI!#REF!,IF(#REF!="ZERO",0))))),"")</f>
        <v>#REF!</v>
      </c>
      <c r="H2545" s="136" t="str">
        <f t="shared" si="130"/>
        <v/>
      </c>
      <c r="I2545" s="134" t="str">
        <f t="shared" si="131"/>
        <v/>
      </c>
      <c r="J2545" s="226"/>
    </row>
    <row r="2546" spans="1:10" hidden="1" x14ac:dyDescent="0.25">
      <c r="A2546" s="112" t="s">
        <v>6154</v>
      </c>
      <c r="B2546" s="113" t="s">
        <v>4917</v>
      </c>
      <c r="C2546" s="114" t="s">
        <v>20</v>
      </c>
      <c r="D2546" s="114">
        <v>0</v>
      </c>
      <c r="E2546" s="133" t="s">
        <v>514</v>
      </c>
      <c r="F2546" s="134" t="str">
        <f t="shared" si="129"/>
        <v/>
      </c>
      <c r="G2546" s="135" t="e">
        <f>IF(A2546&lt;&gt;"",IF(AND(#REF!="Padrão",$H$4=#REF!),BDI!$B$17,IF(AND(#REF!="Padrão",$H$4=#REF!),BDI!#REF!,IF(AND(#REF!="Diferenciado",$H$4=#REF!),BDI!$E$17,IF(AND(#REF!="Diferenciado",$H$4=#REF!),BDI!#REF!,IF(#REF!="ZERO",0))))),"")</f>
        <v>#REF!</v>
      </c>
      <c r="H2546" s="136" t="str">
        <f t="shared" si="130"/>
        <v/>
      </c>
      <c r="I2546" s="134" t="str">
        <f t="shared" si="131"/>
        <v/>
      </c>
      <c r="J2546" s="226"/>
    </row>
    <row r="2547" spans="1:10" hidden="1" x14ac:dyDescent="0.25">
      <c r="A2547" s="112" t="s">
        <v>6155</v>
      </c>
      <c r="B2547" s="113" t="s">
        <v>4918</v>
      </c>
      <c r="C2547" s="114" t="s">
        <v>20</v>
      </c>
      <c r="D2547" s="114">
        <v>0</v>
      </c>
      <c r="E2547" s="133" t="s">
        <v>514</v>
      </c>
      <c r="F2547" s="134" t="str">
        <f t="shared" si="129"/>
        <v/>
      </c>
      <c r="G2547" s="135" t="e">
        <f>IF(A2547&lt;&gt;"",IF(AND(#REF!="Padrão",$H$4=#REF!),BDI!$B$17,IF(AND(#REF!="Padrão",$H$4=#REF!),BDI!#REF!,IF(AND(#REF!="Diferenciado",$H$4=#REF!),BDI!$E$17,IF(AND(#REF!="Diferenciado",$H$4=#REF!),BDI!#REF!,IF(#REF!="ZERO",0))))),"")</f>
        <v>#REF!</v>
      </c>
      <c r="H2547" s="136" t="str">
        <f t="shared" si="130"/>
        <v/>
      </c>
      <c r="I2547" s="134" t="str">
        <f t="shared" si="131"/>
        <v/>
      </c>
      <c r="J2547" s="226"/>
    </row>
    <row r="2548" spans="1:10" hidden="1" x14ac:dyDescent="0.25">
      <c r="A2548" s="112" t="s">
        <v>6156</v>
      </c>
      <c r="B2548" s="113" t="s">
        <v>4919</v>
      </c>
      <c r="C2548" s="114" t="s">
        <v>20</v>
      </c>
      <c r="D2548" s="114">
        <v>0</v>
      </c>
      <c r="E2548" s="133" t="s">
        <v>514</v>
      </c>
      <c r="F2548" s="134" t="str">
        <f t="shared" si="129"/>
        <v/>
      </c>
      <c r="G2548" s="135" t="e">
        <f>IF(A2548&lt;&gt;"",IF(AND(#REF!="Padrão",$H$4=#REF!),BDI!$B$17,IF(AND(#REF!="Padrão",$H$4=#REF!),BDI!#REF!,IF(AND(#REF!="Diferenciado",$H$4=#REF!),BDI!$E$17,IF(AND(#REF!="Diferenciado",$H$4=#REF!),BDI!#REF!,IF(#REF!="ZERO",0))))),"")</f>
        <v>#REF!</v>
      </c>
      <c r="H2548" s="136" t="str">
        <f t="shared" si="130"/>
        <v/>
      </c>
      <c r="I2548" s="134" t="str">
        <f t="shared" si="131"/>
        <v/>
      </c>
      <c r="J2548" s="226"/>
    </row>
    <row r="2549" spans="1:10" hidden="1" x14ac:dyDescent="0.25">
      <c r="A2549" s="112" t="s">
        <v>6157</v>
      </c>
      <c r="B2549" s="113" t="s">
        <v>4920</v>
      </c>
      <c r="C2549" s="114" t="s">
        <v>20</v>
      </c>
      <c r="D2549" s="114">
        <v>0</v>
      </c>
      <c r="E2549" s="133" t="s">
        <v>514</v>
      </c>
      <c r="F2549" s="134" t="str">
        <f t="shared" si="129"/>
        <v/>
      </c>
      <c r="G2549" s="135" t="e">
        <f>IF(A2549&lt;&gt;"",IF(AND(#REF!="Padrão",$H$4=#REF!),BDI!$B$17,IF(AND(#REF!="Padrão",$H$4=#REF!),BDI!#REF!,IF(AND(#REF!="Diferenciado",$H$4=#REF!),BDI!$E$17,IF(AND(#REF!="Diferenciado",$H$4=#REF!),BDI!#REF!,IF(#REF!="ZERO",0))))),"")</f>
        <v>#REF!</v>
      </c>
      <c r="H2549" s="136" t="str">
        <f t="shared" si="130"/>
        <v/>
      </c>
      <c r="I2549" s="134" t="str">
        <f t="shared" si="131"/>
        <v/>
      </c>
      <c r="J2549" s="226"/>
    </row>
    <row r="2550" spans="1:10" hidden="1" x14ac:dyDescent="0.25">
      <c r="A2550" s="112" t="s">
        <v>6158</v>
      </c>
      <c r="B2550" s="113" t="s">
        <v>4921</v>
      </c>
      <c r="C2550" s="114" t="s">
        <v>20</v>
      </c>
      <c r="D2550" s="114">
        <v>0</v>
      </c>
      <c r="E2550" s="133" t="s">
        <v>514</v>
      </c>
      <c r="F2550" s="134" t="str">
        <f t="shared" si="129"/>
        <v/>
      </c>
      <c r="G2550" s="135" t="e">
        <f>IF(A2550&lt;&gt;"",IF(AND(#REF!="Padrão",$H$4=#REF!),BDI!$B$17,IF(AND(#REF!="Padrão",$H$4=#REF!),BDI!#REF!,IF(AND(#REF!="Diferenciado",$H$4=#REF!),BDI!$E$17,IF(AND(#REF!="Diferenciado",$H$4=#REF!),BDI!#REF!,IF(#REF!="ZERO",0))))),"")</f>
        <v>#REF!</v>
      </c>
      <c r="H2550" s="136" t="str">
        <f t="shared" si="130"/>
        <v/>
      </c>
      <c r="I2550" s="134" t="str">
        <f t="shared" si="131"/>
        <v/>
      </c>
      <c r="J2550" s="226"/>
    </row>
    <row r="2551" spans="1:10" hidden="1" x14ac:dyDescent="0.25">
      <c r="A2551" s="112" t="s">
        <v>6159</v>
      </c>
      <c r="B2551" s="113" t="s">
        <v>4922</v>
      </c>
      <c r="C2551" s="114" t="s">
        <v>20</v>
      </c>
      <c r="D2551" s="114">
        <v>0</v>
      </c>
      <c r="E2551" s="133" t="s">
        <v>514</v>
      </c>
      <c r="F2551" s="134" t="str">
        <f t="shared" si="129"/>
        <v/>
      </c>
      <c r="G2551" s="135" t="e">
        <f>IF(A2551&lt;&gt;"",IF(AND(#REF!="Padrão",$H$4=#REF!),BDI!$B$17,IF(AND(#REF!="Padrão",$H$4=#REF!),BDI!#REF!,IF(AND(#REF!="Diferenciado",$H$4=#REF!),BDI!$E$17,IF(AND(#REF!="Diferenciado",$H$4=#REF!),BDI!#REF!,IF(#REF!="ZERO",0))))),"")</f>
        <v>#REF!</v>
      </c>
      <c r="H2551" s="136" t="str">
        <f t="shared" si="130"/>
        <v/>
      </c>
      <c r="I2551" s="134" t="str">
        <f t="shared" si="131"/>
        <v/>
      </c>
      <c r="J2551" s="226"/>
    </row>
    <row r="2552" spans="1:10" hidden="1" x14ac:dyDescent="0.25">
      <c r="A2552" s="112" t="s">
        <v>6160</v>
      </c>
      <c r="B2552" s="113" t="s">
        <v>4923</v>
      </c>
      <c r="C2552" s="114" t="s">
        <v>20</v>
      </c>
      <c r="D2552" s="114">
        <v>0</v>
      </c>
      <c r="E2552" s="133" t="s">
        <v>514</v>
      </c>
      <c r="F2552" s="134" t="str">
        <f t="shared" si="129"/>
        <v/>
      </c>
      <c r="G2552" s="135" t="e">
        <f>IF(A2552&lt;&gt;"",IF(AND(#REF!="Padrão",$H$4=#REF!),BDI!$B$17,IF(AND(#REF!="Padrão",$H$4=#REF!),BDI!#REF!,IF(AND(#REF!="Diferenciado",$H$4=#REF!),BDI!$E$17,IF(AND(#REF!="Diferenciado",$H$4=#REF!),BDI!#REF!,IF(#REF!="ZERO",0))))),"")</f>
        <v>#REF!</v>
      </c>
      <c r="H2552" s="136" t="str">
        <f t="shared" si="130"/>
        <v/>
      </c>
      <c r="I2552" s="134" t="str">
        <f t="shared" si="131"/>
        <v/>
      </c>
      <c r="J2552" s="226"/>
    </row>
    <row r="2553" spans="1:10" hidden="1" x14ac:dyDescent="0.25">
      <c r="A2553" s="112" t="s">
        <v>6161</v>
      </c>
      <c r="B2553" s="113" t="s">
        <v>4924</v>
      </c>
      <c r="C2553" s="114" t="s">
        <v>20</v>
      </c>
      <c r="D2553" s="114">
        <v>0</v>
      </c>
      <c r="E2553" s="133" t="s">
        <v>514</v>
      </c>
      <c r="F2553" s="134" t="str">
        <f t="shared" si="129"/>
        <v/>
      </c>
      <c r="G2553" s="135" t="e">
        <f>IF(A2553&lt;&gt;"",IF(AND(#REF!="Padrão",$H$4=#REF!),BDI!$B$17,IF(AND(#REF!="Padrão",$H$4=#REF!),BDI!#REF!,IF(AND(#REF!="Diferenciado",$H$4=#REF!),BDI!$E$17,IF(AND(#REF!="Diferenciado",$H$4=#REF!),BDI!#REF!,IF(#REF!="ZERO",0))))),"")</f>
        <v>#REF!</v>
      </c>
      <c r="H2553" s="136" t="str">
        <f t="shared" si="130"/>
        <v/>
      </c>
      <c r="I2553" s="134" t="str">
        <f t="shared" si="131"/>
        <v/>
      </c>
      <c r="J2553" s="226"/>
    </row>
    <row r="2554" spans="1:10" hidden="1" x14ac:dyDescent="0.25">
      <c r="A2554" s="112" t="s">
        <v>6162</v>
      </c>
      <c r="B2554" s="113" t="s">
        <v>4925</v>
      </c>
      <c r="C2554" s="114" t="s">
        <v>20</v>
      </c>
      <c r="D2554" s="114">
        <v>0</v>
      </c>
      <c r="E2554" s="133" t="s">
        <v>514</v>
      </c>
      <c r="F2554" s="134" t="str">
        <f t="shared" si="129"/>
        <v/>
      </c>
      <c r="G2554" s="135" t="e">
        <f>IF(A2554&lt;&gt;"",IF(AND(#REF!="Padrão",$H$4=#REF!),BDI!$B$17,IF(AND(#REF!="Padrão",$H$4=#REF!),BDI!#REF!,IF(AND(#REF!="Diferenciado",$H$4=#REF!),BDI!$E$17,IF(AND(#REF!="Diferenciado",$H$4=#REF!),BDI!#REF!,IF(#REF!="ZERO",0))))),"")</f>
        <v>#REF!</v>
      </c>
      <c r="H2554" s="136" t="str">
        <f t="shared" si="130"/>
        <v/>
      </c>
      <c r="I2554" s="134" t="str">
        <f t="shared" si="131"/>
        <v/>
      </c>
      <c r="J2554" s="226"/>
    </row>
    <row r="2555" spans="1:10" hidden="1" x14ac:dyDescent="0.25">
      <c r="A2555" s="112" t="s">
        <v>6163</v>
      </c>
      <c r="B2555" s="113" t="s">
        <v>4926</v>
      </c>
      <c r="C2555" s="114" t="s">
        <v>20</v>
      </c>
      <c r="D2555" s="114">
        <v>0</v>
      </c>
      <c r="E2555" s="133" t="s">
        <v>514</v>
      </c>
      <c r="F2555" s="134" t="str">
        <f t="shared" si="129"/>
        <v/>
      </c>
      <c r="G2555" s="135" t="e">
        <f>IF(A2555&lt;&gt;"",IF(AND(#REF!="Padrão",$H$4=#REF!),BDI!$B$17,IF(AND(#REF!="Padrão",$H$4=#REF!),BDI!#REF!,IF(AND(#REF!="Diferenciado",$H$4=#REF!),BDI!$E$17,IF(AND(#REF!="Diferenciado",$H$4=#REF!),BDI!#REF!,IF(#REF!="ZERO",0))))),"")</f>
        <v>#REF!</v>
      </c>
      <c r="H2555" s="136" t="str">
        <f t="shared" si="130"/>
        <v/>
      </c>
      <c r="I2555" s="134" t="str">
        <f t="shared" si="131"/>
        <v/>
      </c>
      <c r="J2555" s="226"/>
    </row>
    <row r="2556" spans="1:10" hidden="1" x14ac:dyDescent="0.25">
      <c r="A2556" s="112" t="s">
        <v>6164</v>
      </c>
      <c r="B2556" s="113" t="s">
        <v>4927</v>
      </c>
      <c r="C2556" s="114" t="s">
        <v>20</v>
      </c>
      <c r="D2556" s="114">
        <v>0</v>
      </c>
      <c r="E2556" s="133" t="s">
        <v>514</v>
      </c>
      <c r="F2556" s="134" t="str">
        <f t="shared" si="129"/>
        <v/>
      </c>
      <c r="G2556" s="135" t="e">
        <f>IF(A2556&lt;&gt;"",IF(AND(#REF!="Padrão",$H$4=#REF!),BDI!$B$17,IF(AND(#REF!="Padrão",$H$4=#REF!),BDI!#REF!,IF(AND(#REF!="Diferenciado",$H$4=#REF!),BDI!$E$17,IF(AND(#REF!="Diferenciado",$H$4=#REF!),BDI!#REF!,IF(#REF!="ZERO",0))))),"")</f>
        <v>#REF!</v>
      </c>
      <c r="H2556" s="136" t="str">
        <f t="shared" si="130"/>
        <v/>
      </c>
      <c r="I2556" s="134" t="str">
        <f t="shared" si="131"/>
        <v/>
      </c>
      <c r="J2556" s="226"/>
    </row>
    <row r="2557" spans="1:10" hidden="1" x14ac:dyDescent="0.25">
      <c r="A2557" s="112" t="s">
        <v>6165</v>
      </c>
      <c r="B2557" s="113" t="s">
        <v>4928</v>
      </c>
      <c r="C2557" s="114" t="s">
        <v>20</v>
      </c>
      <c r="D2557" s="114">
        <v>0</v>
      </c>
      <c r="E2557" s="133" t="s">
        <v>514</v>
      </c>
      <c r="F2557" s="134" t="str">
        <f t="shared" si="129"/>
        <v/>
      </c>
      <c r="G2557" s="135" t="e">
        <f>IF(A2557&lt;&gt;"",IF(AND(#REF!="Padrão",$H$4=#REF!),BDI!$B$17,IF(AND(#REF!="Padrão",$H$4=#REF!),BDI!#REF!,IF(AND(#REF!="Diferenciado",$H$4=#REF!),BDI!$E$17,IF(AND(#REF!="Diferenciado",$H$4=#REF!),BDI!#REF!,IF(#REF!="ZERO",0))))),"")</f>
        <v>#REF!</v>
      </c>
      <c r="H2557" s="136" t="str">
        <f t="shared" si="130"/>
        <v/>
      </c>
      <c r="I2557" s="134" t="str">
        <f t="shared" si="131"/>
        <v/>
      </c>
      <c r="J2557" s="226"/>
    </row>
    <row r="2558" spans="1:10" hidden="1" x14ac:dyDescent="0.25">
      <c r="A2558" s="112" t="s">
        <v>6166</v>
      </c>
      <c r="B2558" s="113" t="s">
        <v>4929</v>
      </c>
      <c r="C2558" s="114" t="s">
        <v>20</v>
      </c>
      <c r="D2558" s="114">
        <v>0</v>
      </c>
      <c r="E2558" s="133" t="s">
        <v>514</v>
      </c>
      <c r="F2558" s="134" t="str">
        <f t="shared" si="129"/>
        <v/>
      </c>
      <c r="G2558" s="135" t="e">
        <f>IF(A2558&lt;&gt;"",IF(AND(#REF!="Padrão",$H$4=#REF!),BDI!$B$17,IF(AND(#REF!="Padrão",$H$4=#REF!),BDI!#REF!,IF(AND(#REF!="Diferenciado",$H$4=#REF!),BDI!$E$17,IF(AND(#REF!="Diferenciado",$H$4=#REF!),BDI!#REF!,IF(#REF!="ZERO",0))))),"")</f>
        <v>#REF!</v>
      </c>
      <c r="H2558" s="136" t="str">
        <f t="shared" si="130"/>
        <v/>
      </c>
      <c r="I2558" s="134" t="str">
        <f t="shared" si="131"/>
        <v/>
      </c>
      <c r="J2558" s="226"/>
    </row>
    <row r="2559" spans="1:10" hidden="1" x14ac:dyDescent="0.25">
      <c r="A2559" s="112" t="s">
        <v>6167</v>
      </c>
      <c r="B2559" s="113" t="s">
        <v>4930</v>
      </c>
      <c r="C2559" s="114" t="s">
        <v>20</v>
      </c>
      <c r="D2559" s="114">
        <v>0</v>
      </c>
      <c r="E2559" s="133" t="s">
        <v>514</v>
      </c>
      <c r="F2559" s="134" t="str">
        <f t="shared" si="129"/>
        <v/>
      </c>
      <c r="G2559" s="135" t="e">
        <f>IF(A2559&lt;&gt;"",IF(AND(#REF!="Padrão",$H$4=#REF!),BDI!$B$17,IF(AND(#REF!="Padrão",$H$4=#REF!),BDI!#REF!,IF(AND(#REF!="Diferenciado",$H$4=#REF!),BDI!$E$17,IF(AND(#REF!="Diferenciado",$H$4=#REF!),BDI!#REF!,IF(#REF!="ZERO",0))))),"")</f>
        <v>#REF!</v>
      </c>
      <c r="H2559" s="136" t="str">
        <f t="shared" si="130"/>
        <v/>
      </c>
      <c r="I2559" s="134" t="str">
        <f t="shared" si="131"/>
        <v/>
      </c>
      <c r="J2559" s="226"/>
    </row>
    <row r="2560" spans="1:10" hidden="1" x14ac:dyDescent="0.25">
      <c r="A2560" s="112" t="s">
        <v>6168</v>
      </c>
      <c r="B2560" s="113" t="s">
        <v>4931</v>
      </c>
      <c r="C2560" s="114" t="s">
        <v>20</v>
      </c>
      <c r="D2560" s="114">
        <v>0</v>
      </c>
      <c r="E2560" s="133" t="s">
        <v>514</v>
      </c>
      <c r="F2560" s="134" t="str">
        <f t="shared" si="129"/>
        <v/>
      </c>
      <c r="G2560" s="135" t="e">
        <f>IF(A2560&lt;&gt;"",IF(AND(#REF!="Padrão",$H$4=#REF!),BDI!$B$17,IF(AND(#REF!="Padrão",$H$4=#REF!),BDI!#REF!,IF(AND(#REF!="Diferenciado",$H$4=#REF!),BDI!$E$17,IF(AND(#REF!="Diferenciado",$H$4=#REF!),BDI!#REF!,IF(#REF!="ZERO",0))))),"")</f>
        <v>#REF!</v>
      </c>
      <c r="H2560" s="136" t="str">
        <f t="shared" si="130"/>
        <v/>
      </c>
      <c r="I2560" s="134" t="str">
        <f t="shared" si="131"/>
        <v/>
      </c>
      <c r="J2560" s="226"/>
    </row>
    <row r="2561" spans="1:10" hidden="1" x14ac:dyDescent="0.25">
      <c r="A2561" s="112" t="s">
        <v>6169</v>
      </c>
      <c r="B2561" s="113" t="s">
        <v>4932</v>
      </c>
      <c r="C2561" s="114" t="s">
        <v>20</v>
      </c>
      <c r="D2561" s="114">
        <v>0</v>
      </c>
      <c r="E2561" s="133" t="s">
        <v>514</v>
      </c>
      <c r="F2561" s="134" t="str">
        <f t="shared" si="129"/>
        <v/>
      </c>
      <c r="G2561" s="135" t="e">
        <f>IF(A2561&lt;&gt;"",IF(AND(#REF!="Padrão",$H$4=#REF!),BDI!$B$17,IF(AND(#REF!="Padrão",$H$4=#REF!),BDI!#REF!,IF(AND(#REF!="Diferenciado",$H$4=#REF!),BDI!$E$17,IF(AND(#REF!="Diferenciado",$H$4=#REF!),BDI!#REF!,IF(#REF!="ZERO",0))))),"")</f>
        <v>#REF!</v>
      </c>
      <c r="H2561" s="136" t="str">
        <f t="shared" si="130"/>
        <v/>
      </c>
      <c r="I2561" s="134" t="str">
        <f t="shared" si="131"/>
        <v/>
      </c>
      <c r="J2561" s="226"/>
    </row>
    <row r="2562" spans="1:10" hidden="1" x14ac:dyDescent="0.25">
      <c r="A2562" s="112" t="s">
        <v>6170</v>
      </c>
      <c r="B2562" s="113" t="s">
        <v>4933</v>
      </c>
      <c r="C2562" s="114" t="s">
        <v>20</v>
      </c>
      <c r="D2562" s="114">
        <v>0</v>
      </c>
      <c r="E2562" s="133" t="s">
        <v>514</v>
      </c>
      <c r="F2562" s="134" t="str">
        <f t="shared" si="129"/>
        <v/>
      </c>
      <c r="G2562" s="135" t="e">
        <f>IF(A2562&lt;&gt;"",IF(AND(#REF!="Padrão",$H$4=#REF!),BDI!$B$17,IF(AND(#REF!="Padrão",$H$4=#REF!),BDI!#REF!,IF(AND(#REF!="Diferenciado",$H$4=#REF!),BDI!$E$17,IF(AND(#REF!="Diferenciado",$H$4=#REF!),BDI!#REF!,IF(#REF!="ZERO",0))))),"")</f>
        <v>#REF!</v>
      </c>
      <c r="H2562" s="136" t="str">
        <f t="shared" si="130"/>
        <v/>
      </c>
      <c r="I2562" s="134" t="str">
        <f t="shared" si="131"/>
        <v/>
      </c>
      <c r="J2562" s="226"/>
    </row>
    <row r="2563" spans="1:10" hidden="1" x14ac:dyDescent="0.25">
      <c r="A2563" s="112" t="s">
        <v>6171</v>
      </c>
      <c r="B2563" s="113" t="s">
        <v>4934</v>
      </c>
      <c r="C2563" s="114" t="s">
        <v>20</v>
      </c>
      <c r="D2563" s="114">
        <v>0</v>
      </c>
      <c r="E2563" s="133" t="s">
        <v>514</v>
      </c>
      <c r="F2563" s="134" t="str">
        <f t="shared" si="129"/>
        <v/>
      </c>
      <c r="G2563" s="135" t="e">
        <f>IF(A2563&lt;&gt;"",IF(AND(#REF!="Padrão",$H$4=#REF!),BDI!$B$17,IF(AND(#REF!="Padrão",$H$4=#REF!),BDI!#REF!,IF(AND(#REF!="Diferenciado",$H$4=#REF!),BDI!$E$17,IF(AND(#REF!="Diferenciado",$H$4=#REF!),BDI!#REF!,IF(#REF!="ZERO",0))))),"")</f>
        <v>#REF!</v>
      </c>
      <c r="H2563" s="136" t="str">
        <f t="shared" si="130"/>
        <v/>
      </c>
      <c r="I2563" s="134" t="str">
        <f t="shared" si="131"/>
        <v/>
      </c>
      <c r="J2563" s="226"/>
    </row>
    <row r="2564" spans="1:10" hidden="1" x14ac:dyDescent="0.25">
      <c r="A2564" s="112" t="s">
        <v>6172</v>
      </c>
      <c r="B2564" s="113" t="s">
        <v>4935</v>
      </c>
      <c r="C2564" s="114" t="s">
        <v>20</v>
      </c>
      <c r="D2564" s="114">
        <v>0</v>
      </c>
      <c r="E2564" s="133" t="s">
        <v>514</v>
      </c>
      <c r="F2564" s="134" t="str">
        <f t="shared" si="129"/>
        <v/>
      </c>
      <c r="G2564" s="135" t="e">
        <f>IF(A2564&lt;&gt;"",IF(AND(#REF!="Padrão",$H$4=#REF!),BDI!$B$17,IF(AND(#REF!="Padrão",$H$4=#REF!),BDI!#REF!,IF(AND(#REF!="Diferenciado",$H$4=#REF!),BDI!$E$17,IF(AND(#REF!="Diferenciado",$H$4=#REF!),BDI!#REF!,IF(#REF!="ZERO",0))))),"")</f>
        <v>#REF!</v>
      </c>
      <c r="H2564" s="136" t="str">
        <f t="shared" si="130"/>
        <v/>
      </c>
      <c r="I2564" s="134" t="str">
        <f t="shared" si="131"/>
        <v/>
      </c>
      <c r="J2564" s="226"/>
    </row>
    <row r="2565" spans="1:10" hidden="1" x14ac:dyDescent="0.25">
      <c r="A2565" s="112" t="s">
        <v>6173</v>
      </c>
      <c r="B2565" s="113" t="s">
        <v>4936</v>
      </c>
      <c r="C2565" s="114" t="s">
        <v>20</v>
      </c>
      <c r="D2565" s="114">
        <v>0</v>
      </c>
      <c r="E2565" s="133" t="s">
        <v>514</v>
      </c>
      <c r="F2565" s="134" t="str">
        <f t="shared" si="129"/>
        <v/>
      </c>
      <c r="G2565" s="135" t="e">
        <f>IF(A2565&lt;&gt;"",IF(AND(#REF!="Padrão",$H$4=#REF!),BDI!$B$17,IF(AND(#REF!="Padrão",$H$4=#REF!),BDI!#REF!,IF(AND(#REF!="Diferenciado",$H$4=#REF!),BDI!$E$17,IF(AND(#REF!="Diferenciado",$H$4=#REF!),BDI!#REF!,IF(#REF!="ZERO",0))))),"")</f>
        <v>#REF!</v>
      </c>
      <c r="H2565" s="136" t="str">
        <f t="shared" si="130"/>
        <v/>
      </c>
      <c r="I2565" s="134" t="str">
        <f t="shared" si="131"/>
        <v/>
      </c>
      <c r="J2565" s="226"/>
    </row>
    <row r="2566" spans="1:10" hidden="1" x14ac:dyDescent="0.25">
      <c r="A2566" s="112" t="s">
        <v>6174</v>
      </c>
      <c r="B2566" s="113" t="s">
        <v>4937</v>
      </c>
      <c r="C2566" s="114" t="s">
        <v>20</v>
      </c>
      <c r="D2566" s="114">
        <v>0</v>
      </c>
      <c r="E2566" s="133" t="s">
        <v>514</v>
      </c>
      <c r="F2566" s="134" t="str">
        <f t="shared" si="129"/>
        <v/>
      </c>
      <c r="G2566" s="135" t="e">
        <f>IF(A2566&lt;&gt;"",IF(AND(#REF!="Padrão",$H$4=#REF!),BDI!$B$17,IF(AND(#REF!="Padrão",$H$4=#REF!),BDI!#REF!,IF(AND(#REF!="Diferenciado",$H$4=#REF!),BDI!$E$17,IF(AND(#REF!="Diferenciado",$H$4=#REF!),BDI!#REF!,IF(#REF!="ZERO",0))))),"")</f>
        <v>#REF!</v>
      </c>
      <c r="H2566" s="136" t="str">
        <f t="shared" si="130"/>
        <v/>
      </c>
      <c r="I2566" s="134" t="str">
        <f t="shared" si="131"/>
        <v/>
      </c>
      <c r="J2566" s="226"/>
    </row>
    <row r="2567" spans="1:10" hidden="1" x14ac:dyDescent="0.25">
      <c r="A2567" s="112" t="s">
        <v>6175</v>
      </c>
      <c r="B2567" s="113" t="s">
        <v>4938</v>
      </c>
      <c r="C2567" s="114" t="s">
        <v>20</v>
      </c>
      <c r="D2567" s="114">
        <v>0</v>
      </c>
      <c r="E2567" s="133" t="s">
        <v>514</v>
      </c>
      <c r="F2567" s="134" t="str">
        <f t="shared" si="129"/>
        <v/>
      </c>
      <c r="G2567" s="135" t="e">
        <f>IF(A2567&lt;&gt;"",IF(AND(#REF!="Padrão",$H$4=#REF!),BDI!$B$17,IF(AND(#REF!="Padrão",$H$4=#REF!),BDI!#REF!,IF(AND(#REF!="Diferenciado",$H$4=#REF!),BDI!$E$17,IF(AND(#REF!="Diferenciado",$H$4=#REF!),BDI!#REF!,IF(#REF!="ZERO",0))))),"")</f>
        <v>#REF!</v>
      </c>
      <c r="H2567" s="136" t="str">
        <f t="shared" si="130"/>
        <v/>
      </c>
      <c r="I2567" s="134" t="str">
        <f t="shared" si="131"/>
        <v/>
      </c>
      <c r="J2567" s="226"/>
    </row>
    <row r="2568" spans="1:10" hidden="1" x14ac:dyDescent="0.25">
      <c r="A2568" s="112" t="s">
        <v>6176</v>
      </c>
      <c r="B2568" s="113" t="s">
        <v>4939</v>
      </c>
      <c r="C2568" s="114" t="s">
        <v>20</v>
      </c>
      <c r="D2568" s="114">
        <v>0</v>
      </c>
      <c r="E2568" s="133" t="s">
        <v>514</v>
      </c>
      <c r="F2568" s="134" t="str">
        <f t="shared" si="129"/>
        <v/>
      </c>
      <c r="G2568" s="135" t="e">
        <f>IF(A2568&lt;&gt;"",IF(AND(#REF!="Padrão",$H$4=#REF!),BDI!$B$17,IF(AND(#REF!="Padrão",$H$4=#REF!),BDI!#REF!,IF(AND(#REF!="Diferenciado",$H$4=#REF!),BDI!$E$17,IF(AND(#REF!="Diferenciado",$H$4=#REF!),BDI!#REF!,IF(#REF!="ZERO",0))))),"")</f>
        <v>#REF!</v>
      </c>
      <c r="H2568" s="136" t="str">
        <f t="shared" si="130"/>
        <v/>
      </c>
      <c r="I2568" s="134" t="str">
        <f t="shared" si="131"/>
        <v/>
      </c>
      <c r="J2568" s="226"/>
    </row>
    <row r="2569" spans="1:10" hidden="1" x14ac:dyDescent="0.25">
      <c r="A2569" s="112" t="s">
        <v>6177</v>
      </c>
      <c r="B2569" s="113" t="s">
        <v>4940</v>
      </c>
      <c r="C2569" s="114" t="s">
        <v>20</v>
      </c>
      <c r="D2569" s="114">
        <v>0</v>
      </c>
      <c r="E2569" s="133" t="s">
        <v>514</v>
      </c>
      <c r="F2569" s="134" t="str">
        <f t="shared" si="129"/>
        <v/>
      </c>
      <c r="G2569" s="135" t="e">
        <f>IF(A2569&lt;&gt;"",IF(AND(#REF!="Padrão",$H$4=#REF!),BDI!$B$17,IF(AND(#REF!="Padrão",$H$4=#REF!),BDI!#REF!,IF(AND(#REF!="Diferenciado",$H$4=#REF!),BDI!$E$17,IF(AND(#REF!="Diferenciado",$H$4=#REF!),BDI!#REF!,IF(#REF!="ZERO",0))))),"")</f>
        <v>#REF!</v>
      </c>
      <c r="H2569" s="136" t="str">
        <f t="shared" si="130"/>
        <v/>
      </c>
      <c r="I2569" s="134" t="str">
        <f t="shared" si="131"/>
        <v/>
      </c>
      <c r="J2569" s="226"/>
    </row>
    <row r="2570" spans="1:10" hidden="1" x14ac:dyDescent="0.25">
      <c r="A2570" s="112" t="s">
        <v>6178</v>
      </c>
      <c r="B2570" s="113" t="s">
        <v>4941</v>
      </c>
      <c r="C2570" s="114" t="s">
        <v>20</v>
      </c>
      <c r="D2570" s="114">
        <v>0</v>
      </c>
      <c r="E2570" s="133" t="s">
        <v>514</v>
      </c>
      <c r="F2570" s="134" t="str">
        <f t="shared" si="129"/>
        <v/>
      </c>
      <c r="G2570" s="135" t="e">
        <f>IF(A2570&lt;&gt;"",IF(AND(#REF!="Padrão",$H$4=#REF!),BDI!$B$17,IF(AND(#REF!="Padrão",$H$4=#REF!),BDI!#REF!,IF(AND(#REF!="Diferenciado",$H$4=#REF!),BDI!$E$17,IF(AND(#REF!="Diferenciado",$H$4=#REF!),BDI!#REF!,IF(#REF!="ZERO",0))))),"")</f>
        <v>#REF!</v>
      </c>
      <c r="H2570" s="136" t="str">
        <f t="shared" si="130"/>
        <v/>
      </c>
      <c r="I2570" s="134" t="str">
        <f t="shared" si="131"/>
        <v/>
      </c>
      <c r="J2570" s="226"/>
    </row>
    <row r="2571" spans="1:10" hidden="1" x14ac:dyDescent="0.25">
      <c r="A2571" s="112" t="s">
        <v>6179</v>
      </c>
      <c r="B2571" s="113" t="s">
        <v>4942</v>
      </c>
      <c r="C2571" s="114" t="s">
        <v>20</v>
      </c>
      <c r="D2571" s="114">
        <v>0</v>
      </c>
      <c r="E2571" s="133" t="s">
        <v>514</v>
      </c>
      <c r="F2571" s="134" t="str">
        <f t="shared" si="129"/>
        <v/>
      </c>
      <c r="G2571" s="135" t="e">
        <f>IF(A2571&lt;&gt;"",IF(AND(#REF!="Padrão",$H$4=#REF!),BDI!$B$17,IF(AND(#REF!="Padrão",$H$4=#REF!),BDI!#REF!,IF(AND(#REF!="Diferenciado",$H$4=#REF!),BDI!$E$17,IF(AND(#REF!="Diferenciado",$H$4=#REF!),BDI!#REF!,IF(#REF!="ZERO",0))))),"")</f>
        <v>#REF!</v>
      </c>
      <c r="H2571" s="136" t="str">
        <f t="shared" si="130"/>
        <v/>
      </c>
      <c r="I2571" s="134" t="str">
        <f t="shared" si="131"/>
        <v/>
      </c>
      <c r="J2571" s="226"/>
    </row>
    <row r="2572" spans="1:10" hidden="1" x14ac:dyDescent="0.25">
      <c r="A2572" s="112" t="s">
        <v>6180</v>
      </c>
      <c r="B2572" s="113" t="s">
        <v>4943</v>
      </c>
      <c r="C2572" s="114" t="s">
        <v>20</v>
      </c>
      <c r="D2572" s="114">
        <v>0</v>
      </c>
      <c r="E2572" s="133" t="s">
        <v>514</v>
      </c>
      <c r="F2572" s="134" t="str">
        <f t="shared" si="129"/>
        <v/>
      </c>
      <c r="G2572" s="135" t="e">
        <f>IF(A2572&lt;&gt;"",IF(AND(#REF!="Padrão",$H$4=#REF!),BDI!$B$17,IF(AND(#REF!="Padrão",$H$4=#REF!),BDI!#REF!,IF(AND(#REF!="Diferenciado",$H$4=#REF!),BDI!$E$17,IF(AND(#REF!="Diferenciado",$H$4=#REF!),BDI!#REF!,IF(#REF!="ZERO",0))))),"")</f>
        <v>#REF!</v>
      </c>
      <c r="H2572" s="136" t="str">
        <f t="shared" si="130"/>
        <v/>
      </c>
      <c r="I2572" s="134" t="str">
        <f t="shared" si="131"/>
        <v/>
      </c>
      <c r="J2572" s="226"/>
    </row>
    <row r="2573" spans="1:10" hidden="1" x14ac:dyDescent="0.25">
      <c r="A2573" s="112" t="s">
        <v>6181</v>
      </c>
      <c r="B2573" s="113" t="s">
        <v>4944</v>
      </c>
      <c r="C2573" s="114" t="s">
        <v>20</v>
      </c>
      <c r="D2573" s="114">
        <v>0</v>
      </c>
      <c r="E2573" s="133" t="s">
        <v>514</v>
      </c>
      <c r="F2573" s="134" t="str">
        <f t="shared" si="129"/>
        <v/>
      </c>
      <c r="G2573" s="135" t="e">
        <f>IF(A2573&lt;&gt;"",IF(AND(#REF!="Padrão",$H$4=#REF!),BDI!$B$17,IF(AND(#REF!="Padrão",$H$4=#REF!),BDI!#REF!,IF(AND(#REF!="Diferenciado",$H$4=#REF!),BDI!$E$17,IF(AND(#REF!="Diferenciado",$H$4=#REF!),BDI!#REF!,IF(#REF!="ZERO",0))))),"")</f>
        <v>#REF!</v>
      </c>
      <c r="H2573" s="136" t="str">
        <f t="shared" si="130"/>
        <v/>
      </c>
      <c r="I2573" s="134" t="str">
        <f t="shared" si="131"/>
        <v/>
      </c>
      <c r="J2573" s="226"/>
    </row>
    <row r="2574" spans="1:10" hidden="1" x14ac:dyDescent="0.25">
      <c r="A2574" s="112" t="s">
        <v>6182</v>
      </c>
      <c r="B2574" s="113" t="s">
        <v>4945</v>
      </c>
      <c r="C2574" s="114" t="s">
        <v>20</v>
      </c>
      <c r="D2574" s="114">
        <v>0</v>
      </c>
      <c r="E2574" s="133" t="s">
        <v>514</v>
      </c>
      <c r="F2574" s="134" t="str">
        <f t="shared" si="129"/>
        <v/>
      </c>
      <c r="G2574" s="135" t="e">
        <f>IF(A2574&lt;&gt;"",IF(AND(#REF!="Padrão",$H$4=#REF!),BDI!$B$17,IF(AND(#REF!="Padrão",$H$4=#REF!),BDI!#REF!,IF(AND(#REF!="Diferenciado",$H$4=#REF!),BDI!$E$17,IF(AND(#REF!="Diferenciado",$H$4=#REF!),BDI!#REF!,IF(#REF!="ZERO",0))))),"")</f>
        <v>#REF!</v>
      </c>
      <c r="H2574" s="136" t="str">
        <f t="shared" si="130"/>
        <v/>
      </c>
      <c r="I2574" s="134" t="str">
        <f t="shared" si="131"/>
        <v/>
      </c>
      <c r="J2574" s="226"/>
    </row>
    <row r="2575" spans="1:10" hidden="1" x14ac:dyDescent="0.25">
      <c r="A2575" s="112" t="s">
        <v>6183</v>
      </c>
      <c r="B2575" s="113" t="s">
        <v>4946</v>
      </c>
      <c r="C2575" s="114" t="s">
        <v>20</v>
      </c>
      <c r="D2575" s="114">
        <v>0</v>
      </c>
      <c r="E2575" s="133" t="s">
        <v>514</v>
      </c>
      <c r="F2575" s="134" t="str">
        <f t="shared" si="129"/>
        <v/>
      </c>
      <c r="G2575" s="135" t="e">
        <f>IF(A2575&lt;&gt;"",IF(AND(#REF!="Padrão",$H$4=#REF!),BDI!$B$17,IF(AND(#REF!="Padrão",$H$4=#REF!),BDI!#REF!,IF(AND(#REF!="Diferenciado",$H$4=#REF!),BDI!$E$17,IF(AND(#REF!="Diferenciado",$H$4=#REF!),BDI!#REF!,IF(#REF!="ZERO",0))))),"")</f>
        <v>#REF!</v>
      </c>
      <c r="H2575" s="136" t="str">
        <f t="shared" si="130"/>
        <v/>
      </c>
      <c r="I2575" s="134" t="str">
        <f t="shared" si="131"/>
        <v/>
      </c>
      <c r="J2575" s="226"/>
    </row>
    <row r="2576" spans="1:10" hidden="1" x14ac:dyDescent="0.25">
      <c r="A2576" s="112" t="s">
        <v>6184</v>
      </c>
      <c r="B2576" s="113" t="s">
        <v>4947</v>
      </c>
      <c r="C2576" s="114" t="s">
        <v>20</v>
      </c>
      <c r="D2576" s="114">
        <v>0</v>
      </c>
      <c r="E2576" s="133" t="s">
        <v>514</v>
      </c>
      <c r="F2576" s="134" t="str">
        <f t="shared" si="129"/>
        <v/>
      </c>
      <c r="G2576" s="135" t="e">
        <f>IF(A2576&lt;&gt;"",IF(AND(#REF!="Padrão",$H$4=#REF!),BDI!$B$17,IF(AND(#REF!="Padrão",$H$4=#REF!),BDI!#REF!,IF(AND(#REF!="Diferenciado",$H$4=#REF!),BDI!$E$17,IF(AND(#REF!="Diferenciado",$H$4=#REF!),BDI!#REF!,IF(#REF!="ZERO",0))))),"")</f>
        <v>#REF!</v>
      </c>
      <c r="H2576" s="136" t="str">
        <f t="shared" si="130"/>
        <v/>
      </c>
      <c r="I2576" s="134" t="str">
        <f t="shared" si="131"/>
        <v/>
      </c>
      <c r="J2576" s="226"/>
    </row>
    <row r="2577" spans="1:10" hidden="1" x14ac:dyDescent="0.25">
      <c r="A2577" s="112" t="s">
        <v>6185</v>
      </c>
      <c r="B2577" s="113" t="s">
        <v>4948</v>
      </c>
      <c r="C2577" s="114" t="s">
        <v>1905</v>
      </c>
      <c r="D2577" s="114">
        <v>0</v>
      </c>
      <c r="E2577" s="133" t="s">
        <v>514</v>
      </c>
      <c r="F2577" s="134" t="str">
        <f t="shared" si="129"/>
        <v/>
      </c>
      <c r="G2577" s="135" t="e">
        <f>IF(A2577&lt;&gt;"",IF(AND(#REF!="Padrão",$H$4=#REF!),BDI!$B$17,IF(AND(#REF!="Padrão",$H$4=#REF!),BDI!#REF!,IF(AND(#REF!="Diferenciado",$H$4=#REF!),BDI!$E$17,IF(AND(#REF!="Diferenciado",$H$4=#REF!),BDI!#REF!,IF(#REF!="ZERO",0))))),"")</f>
        <v>#REF!</v>
      </c>
      <c r="H2577" s="136" t="str">
        <f t="shared" si="130"/>
        <v/>
      </c>
      <c r="I2577" s="134" t="str">
        <f t="shared" si="131"/>
        <v/>
      </c>
      <c r="J2577" s="226"/>
    </row>
    <row r="2578" spans="1:10" hidden="1" x14ac:dyDescent="0.25">
      <c r="A2578" s="112" t="s">
        <v>6186</v>
      </c>
      <c r="B2578" s="113" t="s">
        <v>4949</v>
      </c>
      <c r="C2578" s="114" t="s">
        <v>1905</v>
      </c>
      <c r="D2578" s="114">
        <v>0</v>
      </c>
      <c r="E2578" s="133" t="s">
        <v>514</v>
      </c>
      <c r="F2578" s="134" t="str">
        <f t="shared" si="129"/>
        <v/>
      </c>
      <c r="G2578" s="135" t="e">
        <f>IF(A2578&lt;&gt;"",IF(AND(#REF!="Padrão",$H$4=#REF!),BDI!$B$17,IF(AND(#REF!="Padrão",$H$4=#REF!),BDI!#REF!,IF(AND(#REF!="Diferenciado",$H$4=#REF!),BDI!$E$17,IF(AND(#REF!="Diferenciado",$H$4=#REF!),BDI!#REF!,IF(#REF!="ZERO",0))))),"")</f>
        <v>#REF!</v>
      </c>
      <c r="H2578" s="136" t="str">
        <f t="shared" si="130"/>
        <v/>
      </c>
      <c r="I2578" s="134" t="str">
        <f t="shared" si="131"/>
        <v/>
      </c>
      <c r="J2578" s="226"/>
    </row>
    <row r="2579" spans="1:10" hidden="1" x14ac:dyDescent="0.25">
      <c r="A2579" s="112" t="s">
        <v>6187</v>
      </c>
      <c r="B2579" s="113" t="s">
        <v>4950</v>
      </c>
      <c r="C2579" s="114" t="s">
        <v>1905</v>
      </c>
      <c r="D2579" s="114">
        <v>0</v>
      </c>
      <c r="E2579" s="133" t="s">
        <v>514</v>
      </c>
      <c r="F2579" s="134" t="str">
        <f t="shared" si="129"/>
        <v/>
      </c>
      <c r="G2579" s="135" t="e">
        <f>IF(A2579&lt;&gt;"",IF(AND(#REF!="Padrão",$H$4=#REF!),BDI!$B$17,IF(AND(#REF!="Padrão",$H$4=#REF!),BDI!#REF!,IF(AND(#REF!="Diferenciado",$H$4=#REF!),BDI!$E$17,IF(AND(#REF!="Diferenciado",$H$4=#REF!),BDI!#REF!,IF(#REF!="ZERO",0))))),"")</f>
        <v>#REF!</v>
      </c>
      <c r="H2579" s="136" t="str">
        <f t="shared" si="130"/>
        <v/>
      </c>
      <c r="I2579" s="134" t="str">
        <f t="shared" si="131"/>
        <v/>
      </c>
      <c r="J2579" s="226"/>
    </row>
    <row r="2580" spans="1:10" hidden="1" x14ac:dyDescent="0.25">
      <c r="A2580" s="112" t="s">
        <v>6188</v>
      </c>
      <c r="B2580" s="113" t="s">
        <v>4951</v>
      </c>
      <c r="C2580" s="114" t="s">
        <v>20</v>
      </c>
      <c r="D2580" s="114">
        <v>0</v>
      </c>
      <c r="E2580" s="133" t="s">
        <v>514</v>
      </c>
      <c r="F2580" s="134" t="str">
        <f t="shared" si="129"/>
        <v/>
      </c>
      <c r="G2580" s="135" t="e">
        <f>IF(A2580&lt;&gt;"",IF(AND(#REF!="Padrão",$H$4=#REF!),BDI!$B$17,IF(AND(#REF!="Padrão",$H$4=#REF!),BDI!#REF!,IF(AND(#REF!="Diferenciado",$H$4=#REF!),BDI!$E$17,IF(AND(#REF!="Diferenciado",$H$4=#REF!),BDI!#REF!,IF(#REF!="ZERO",0))))),"")</f>
        <v>#REF!</v>
      </c>
      <c r="H2580" s="136" t="str">
        <f t="shared" si="130"/>
        <v/>
      </c>
      <c r="I2580" s="134" t="str">
        <f t="shared" si="131"/>
        <v/>
      </c>
      <c r="J2580" s="226"/>
    </row>
    <row r="2581" spans="1:10" hidden="1" x14ac:dyDescent="0.25">
      <c r="A2581" s="112" t="s">
        <v>6189</v>
      </c>
      <c r="B2581" s="113" t="s">
        <v>4952</v>
      </c>
      <c r="C2581" s="114" t="s">
        <v>20</v>
      </c>
      <c r="D2581" s="114">
        <v>0</v>
      </c>
      <c r="E2581" s="133" t="s">
        <v>514</v>
      </c>
      <c r="F2581" s="134" t="str">
        <f t="shared" si="129"/>
        <v/>
      </c>
      <c r="G2581" s="135" t="e">
        <f>IF(A2581&lt;&gt;"",IF(AND(#REF!="Padrão",$H$4=#REF!),BDI!$B$17,IF(AND(#REF!="Padrão",$H$4=#REF!),BDI!#REF!,IF(AND(#REF!="Diferenciado",$H$4=#REF!),BDI!$E$17,IF(AND(#REF!="Diferenciado",$H$4=#REF!),BDI!#REF!,IF(#REF!="ZERO",0))))),"")</f>
        <v>#REF!</v>
      </c>
      <c r="H2581" s="136" t="str">
        <f t="shared" si="130"/>
        <v/>
      </c>
      <c r="I2581" s="134" t="str">
        <f t="shared" si="131"/>
        <v/>
      </c>
      <c r="J2581" s="226"/>
    </row>
    <row r="2582" spans="1:10" hidden="1" x14ac:dyDescent="0.25">
      <c r="A2582" s="112" t="s">
        <v>6190</v>
      </c>
      <c r="B2582" s="113" t="s">
        <v>4953</v>
      </c>
      <c r="C2582" s="114" t="s">
        <v>20</v>
      </c>
      <c r="D2582" s="114">
        <v>0</v>
      </c>
      <c r="E2582" s="133" t="s">
        <v>514</v>
      </c>
      <c r="F2582" s="134" t="str">
        <f t="shared" si="129"/>
        <v/>
      </c>
      <c r="G2582" s="135" t="e">
        <f>IF(A2582&lt;&gt;"",IF(AND(#REF!="Padrão",$H$4=#REF!),BDI!$B$17,IF(AND(#REF!="Padrão",$H$4=#REF!),BDI!#REF!,IF(AND(#REF!="Diferenciado",$H$4=#REF!),BDI!$E$17,IF(AND(#REF!="Diferenciado",$H$4=#REF!),BDI!#REF!,IF(#REF!="ZERO",0))))),"")</f>
        <v>#REF!</v>
      </c>
      <c r="H2582" s="136" t="str">
        <f t="shared" si="130"/>
        <v/>
      </c>
      <c r="I2582" s="134" t="str">
        <f t="shared" si="131"/>
        <v/>
      </c>
      <c r="J2582" s="226"/>
    </row>
    <row r="2583" spans="1:10" hidden="1" x14ac:dyDescent="0.25">
      <c r="A2583" s="112" t="s">
        <v>6191</v>
      </c>
      <c r="B2583" s="113" t="s">
        <v>4954</v>
      </c>
      <c r="C2583" s="114" t="s">
        <v>20</v>
      </c>
      <c r="D2583" s="114">
        <v>0</v>
      </c>
      <c r="E2583" s="133" t="s">
        <v>514</v>
      </c>
      <c r="F2583" s="134" t="str">
        <f t="shared" si="129"/>
        <v/>
      </c>
      <c r="G2583" s="135" t="e">
        <f>IF(A2583&lt;&gt;"",IF(AND(#REF!="Padrão",$H$4=#REF!),BDI!$B$17,IF(AND(#REF!="Padrão",$H$4=#REF!),BDI!#REF!,IF(AND(#REF!="Diferenciado",$H$4=#REF!),BDI!$E$17,IF(AND(#REF!="Diferenciado",$H$4=#REF!),BDI!#REF!,IF(#REF!="ZERO",0))))),"")</f>
        <v>#REF!</v>
      </c>
      <c r="H2583" s="136" t="str">
        <f t="shared" si="130"/>
        <v/>
      </c>
      <c r="I2583" s="134" t="str">
        <f t="shared" si="131"/>
        <v/>
      </c>
      <c r="J2583" s="226"/>
    </row>
    <row r="2584" spans="1:10" hidden="1" x14ac:dyDescent="0.25">
      <c r="A2584" s="112" t="s">
        <v>6192</v>
      </c>
      <c r="B2584" s="113" t="s">
        <v>4955</v>
      </c>
      <c r="C2584" s="114" t="s">
        <v>20</v>
      </c>
      <c r="D2584" s="114">
        <v>0</v>
      </c>
      <c r="E2584" s="133" t="s">
        <v>514</v>
      </c>
      <c r="F2584" s="134" t="str">
        <f t="shared" si="129"/>
        <v/>
      </c>
      <c r="G2584" s="135" t="e">
        <f>IF(A2584&lt;&gt;"",IF(AND(#REF!="Padrão",$H$4=#REF!),BDI!$B$17,IF(AND(#REF!="Padrão",$H$4=#REF!),BDI!#REF!,IF(AND(#REF!="Diferenciado",$H$4=#REF!),BDI!$E$17,IF(AND(#REF!="Diferenciado",$H$4=#REF!),BDI!#REF!,IF(#REF!="ZERO",0))))),"")</f>
        <v>#REF!</v>
      </c>
      <c r="H2584" s="136" t="str">
        <f t="shared" si="130"/>
        <v/>
      </c>
      <c r="I2584" s="134" t="str">
        <f t="shared" si="131"/>
        <v/>
      </c>
      <c r="J2584" s="226"/>
    </row>
    <row r="2585" spans="1:10" hidden="1" x14ac:dyDescent="0.25">
      <c r="A2585" s="112" t="s">
        <v>6193</v>
      </c>
      <c r="B2585" s="113" t="s">
        <v>4956</v>
      </c>
      <c r="C2585" s="114" t="s">
        <v>20</v>
      </c>
      <c r="D2585" s="114">
        <v>0</v>
      </c>
      <c r="E2585" s="133" t="s">
        <v>514</v>
      </c>
      <c r="F2585" s="134" t="str">
        <f t="shared" si="129"/>
        <v/>
      </c>
      <c r="G2585" s="135" t="e">
        <f>IF(A2585&lt;&gt;"",IF(AND(#REF!="Padrão",$H$4=#REF!),BDI!$B$17,IF(AND(#REF!="Padrão",$H$4=#REF!),BDI!#REF!,IF(AND(#REF!="Diferenciado",$H$4=#REF!),BDI!$E$17,IF(AND(#REF!="Diferenciado",$H$4=#REF!),BDI!#REF!,IF(#REF!="ZERO",0))))),"")</f>
        <v>#REF!</v>
      </c>
      <c r="H2585" s="136" t="str">
        <f t="shared" si="130"/>
        <v/>
      </c>
      <c r="I2585" s="134" t="str">
        <f t="shared" si="131"/>
        <v/>
      </c>
      <c r="J2585" s="226"/>
    </row>
    <row r="2586" spans="1:10" hidden="1" x14ac:dyDescent="0.25">
      <c r="A2586" s="112" t="s">
        <v>6194</v>
      </c>
      <c r="B2586" s="113" t="s">
        <v>4957</v>
      </c>
      <c r="C2586" s="114" t="s">
        <v>20</v>
      </c>
      <c r="D2586" s="114">
        <v>0</v>
      </c>
      <c r="E2586" s="133" t="s">
        <v>514</v>
      </c>
      <c r="F2586" s="134" t="str">
        <f t="shared" si="129"/>
        <v/>
      </c>
      <c r="G2586" s="135" t="e">
        <f>IF(A2586&lt;&gt;"",IF(AND(#REF!="Padrão",$H$4=#REF!),BDI!$B$17,IF(AND(#REF!="Padrão",$H$4=#REF!),BDI!#REF!,IF(AND(#REF!="Diferenciado",$H$4=#REF!),BDI!$E$17,IF(AND(#REF!="Diferenciado",$H$4=#REF!),BDI!#REF!,IF(#REF!="ZERO",0))))),"")</f>
        <v>#REF!</v>
      </c>
      <c r="H2586" s="136" t="str">
        <f t="shared" si="130"/>
        <v/>
      </c>
      <c r="I2586" s="134" t="str">
        <f t="shared" si="131"/>
        <v/>
      </c>
      <c r="J2586" s="226"/>
    </row>
    <row r="2587" spans="1:10" hidden="1" x14ac:dyDescent="0.25">
      <c r="A2587" s="112" t="s">
        <v>6195</v>
      </c>
      <c r="B2587" s="113" t="s">
        <v>4958</v>
      </c>
      <c r="C2587" s="114" t="s">
        <v>4996</v>
      </c>
      <c r="D2587" s="114">
        <v>0</v>
      </c>
      <c r="E2587" s="133" t="s">
        <v>514</v>
      </c>
      <c r="F2587" s="134" t="str">
        <f t="shared" si="129"/>
        <v/>
      </c>
      <c r="G2587" s="135" t="e">
        <f>IF(A2587&lt;&gt;"",IF(AND(#REF!="Padrão",$H$4=#REF!),BDI!$B$17,IF(AND(#REF!="Padrão",$H$4=#REF!),BDI!#REF!,IF(AND(#REF!="Diferenciado",$H$4=#REF!),BDI!$E$17,IF(AND(#REF!="Diferenciado",$H$4=#REF!),BDI!#REF!,IF(#REF!="ZERO",0))))),"")</f>
        <v>#REF!</v>
      </c>
      <c r="H2587" s="136" t="str">
        <f t="shared" si="130"/>
        <v/>
      </c>
      <c r="I2587" s="134" t="str">
        <f t="shared" si="131"/>
        <v/>
      </c>
      <c r="J2587" s="226"/>
    </row>
    <row r="2588" spans="1:10" hidden="1" x14ac:dyDescent="0.25">
      <c r="A2588" s="112" t="s">
        <v>6196</v>
      </c>
      <c r="B2588" s="113" t="s">
        <v>4959</v>
      </c>
      <c r="C2588" s="114" t="s">
        <v>1905</v>
      </c>
      <c r="D2588" s="114">
        <v>0</v>
      </c>
      <c r="E2588" s="133" t="s">
        <v>514</v>
      </c>
      <c r="F2588" s="134" t="str">
        <f t="shared" si="129"/>
        <v/>
      </c>
      <c r="G2588" s="135" t="e">
        <f>IF(A2588&lt;&gt;"",IF(AND(#REF!="Padrão",$H$4=#REF!),BDI!$B$17,IF(AND(#REF!="Padrão",$H$4=#REF!),BDI!#REF!,IF(AND(#REF!="Diferenciado",$H$4=#REF!),BDI!$E$17,IF(AND(#REF!="Diferenciado",$H$4=#REF!),BDI!#REF!,IF(#REF!="ZERO",0))))),"")</f>
        <v>#REF!</v>
      </c>
      <c r="H2588" s="136" t="str">
        <f t="shared" si="130"/>
        <v/>
      </c>
      <c r="I2588" s="134" t="str">
        <f t="shared" si="131"/>
        <v/>
      </c>
      <c r="J2588" s="226"/>
    </row>
    <row r="2589" spans="1:10" hidden="1" x14ac:dyDescent="0.25">
      <c r="A2589" s="112" t="s">
        <v>6197</v>
      </c>
      <c r="B2589" s="113" t="s">
        <v>4960</v>
      </c>
      <c r="C2589" s="114" t="s">
        <v>1905</v>
      </c>
      <c r="D2589" s="114">
        <v>0</v>
      </c>
      <c r="E2589" s="133" t="s">
        <v>514</v>
      </c>
      <c r="F2589" s="134" t="str">
        <f t="shared" si="129"/>
        <v/>
      </c>
      <c r="G2589" s="135" t="e">
        <f>IF(A2589&lt;&gt;"",IF(AND(#REF!="Padrão",$H$4=#REF!),BDI!$B$17,IF(AND(#REF!="Padrão",$H$4=#REF!),BDI!#REF!,IF(AND(#REF!="Diferenciado",$H$4=#REF!),BDI!$E$17,IF(AND(#REF!="Diferenciado",$H$4=#REF!),BDI!#REF!,IF(#REF!="ZERO",0))))),"")</f>
        <v>#REF!</v>
      </c>
      <c r="H2589" s="136" t="str">
        <f t="shared" si="130"/>
        <v/>
      </c>
      <c r="I2589" s="134" t="str">
        <f t="shared" si="131"/>
        <v/>
      </c>
      <c r="J2589" s="226"/>
    </row>
    <row r="2590" spans="1:10" hidden="1" x14ac:dyDescent="0.25">
      <c r="A2590" s="112" t="s">
        <v>6198</v>
      </c>
      <c r="B2590" s="113" t="s">
        <v>4961</v>
      </c>
      <c r="C2590" s="114" t="s">
        <v>20</v>
      </c>
      <c r="D2590" s="114">
        <v>0</v>
      </c>
      <c r="E2590" s="133" t="s">
        <v>514</v>
      </c>
      <c r="F2590" s="134" t="str">
        <f t="shared" si="129"/>
        <v/>
      </c>
      <c r="G2590" s="135" t="e">
        <f>IF(A2590&lt;&gt;"",IF(AND(#REF!="Padrão",$H$4=#REF!),BDI!$B$17,IF(AND(#REF!="Padrão",$H$4=#REF!),BDI!#REF!,IF(AND(#REF!="Diferenciado",$H$4=#REF!),BDI!$E$17,IF(AND(#REF!="Diferenciado",$H$4=#REF!),BDI!#REF!,IF(#REF!="ZERO",0))))),"")</f>
        <v>#REF!</v>
      </c>
      <c r="H2590" s="136" t="str">
        <f t="shared" si="130"/>
        <v/>
      </c>
      <c r="I2590" s="134" t="str">
        <f t="shared" si="131"/>
        <v/>
      </c>
      <c r="J2590" s="226"/>
    </row>
    <row r="2591" spans="1:10" hidden="1" x14ac:dyDescent="0.25">
      <c r="A2591" s="112" t="s">
        <v>6199</v>
      </c>
      <c r="B2591" s="113" t="s">
        <v>4962</v>
      </c>
      <c r="C2591" s="114" t="s">
        <v>1905</v>
      </c>
      <c r="D2591" s="114">
        <v>0</v>
      </c>
      <c r="E2591" s="133" t="s">
        <v>514</v>
      </c>
      <c r="F2591" s="134" t="str">
        <f t="shared" si="129"/>
        <v/>
      </c>
      <c r="G2591" s="135" t="e">
        <f>IF(A2591&lt;&gt;"",IF(AND(#REF!="Padrão",$H$4=#REF!),BDI!$B$17,IF(AND(#REF!="Padrão",$H$4=#REF!),BDI!#REF!,IF(AND(#REF!="Diferenciado",$H$4=#REF!),BDI!$E$17,IF(AND(#REF!="Diferenciado",$H$4=#REF!),BDI!#REF!,IF(#REF!="ZERO",0))))),"")</f>
        <v>#REF!</v>
      </c>
      <c r="H2591" s="136" t="str">
        <f t="shared" si="130"/>
        <v/>
      </c>
      <c r="I2591" s="134" t="str">
        <f t="shared" si="131"/>
        <v/>
      </c>
      <c r="J2591" s="226"/>
    </row>
    <row r="2592" spans="1:10" hidden="1" x14ac:dyDescent="0.25">
      <c r="A2592" s="112" t="s">
        <v>6200</v>
      </c>
      <c r="B2592" s="113" t="s">
        <v>4963</v>
      </c>
      <c r="C2592" s="114" t="s">
        <v>1905</v>
      </c>
      <c r="D2592" s="114">
        <v>0</v>
      </c>
      <c r="E2592" s="133" t="s">
        <v>514</v>
      </c>
      <c r="F2592" s="134" t="str">
        <f t="shared" si="129"/>
        <v/>
      </c>
      <c r="G2592" s="135" t="e">
        <f>IF(A2592&lt;&gt;"",IF(AND(#REF!="Padrão",$H$4=#REF!),BDI!$B$17,IF(AND(#REF!="Padrão",$H$4=#REF!),BDI!#REF!,IF(AND(#REF!="Diferenciado",$H$4=#REF!),BDI!$E$17,IF(AND(#REF!="Diferenciado",$H$4=#REF!),BDI!#REF!,IF(#REF!="ZERO",0))))),"")</f>
        <v>#REF!</v>
      </c>
      <c r="H2592" s="136" t="str">
        <f t="shared" si="130"/>
        <v/>
      </c>
      <c r="I2592" s="134" t="str">
        <f t="shared" si="131"/>
        <v/>
      </c>
      <c r="J2592" s="226"/>
    </row>
    <row r="2593" spans="1:10" hidden="1" x14ac:dyDescent="0.25">
      <c r="A2593" s="112" t="s">
        <v>6201</v>
      </c>
      <c r="B2593" s="113" t="s">
        <v>4964</v>
      </c>
      <c r="C2593" s="114" t="s">
        <v>101</v>
      </c>
      <c r="D2593" s="114">
        <v>0</v>
      </c>
      <c r="E2593" s="133">
        <f ca="1">OFFSET(INDEX(Composições!A:J,MATCH(Orçamentária!A2593,Composições!A:A,0),8),2,0)</f>
        <v>120.80199999999999</v>
      </c>
      <c r="F2593" s="134">
        <f t="shared" ca="1" si="129"/>
        <v>0</v>
      </c>
      <c r="G2593" s="135" t="e">
        <f>IF(A2593&lt;&gt;"",IF(AND(#REF!="Padrão",$H$4=#REF!),BDI!$B$17,IF(AND(#REF!="Padrão",$H$4=#REF!),BDI!#REF!,IF(AND(#REF!="Diferenciado",$H$4=#REF!),BDI!$E$17,IF(AND(#REF!="Diferenciado",$H$4=#REF!),BDI!#REF!,IF(#REF!="ZERO",0))))),"")</f>
        <v>#REF!</v>
      </c>
      <c r="H2593" s="136" t="e">
        <f t="shared" ca="1" si="130"/>
        <v>#REF!</v>
      </c>
      <c r="I2593" s="134" t="e">
        <f t="shared" ca="1" si="131"/>
        <v>#REF!</v>
      </c>
      <c r="J2593" s="226"/>
    </row>
    <row r="2594" spans="1:10" hidden="1" x14ac:dyDescent="0.25">
      <c r="A2594" s="112" t="s">
        <v>6202</v>
      </c>
      <c r="B2594" s="113" t="s">
        <v>4965</v>
      </c>
      <c r="C2594" s="114" t="s">
        <v>101</v>
      </c>
      <c r="D2594" s="114">
        <v>0</v>
      </c>
      <c r="E2594" s="133" t="s">
        <v>514</v>
      </c>
      <c r="F2594" s="134" t="str">
        <f t="shared" si="129"/>
        <v/>
      </c>
      <c r="G2594" s="135" t="e">
        <f>IF(A2594&lt;&gt;"",IF(AND(#REF!="Padrão",$H$4=#REF!),BDI!$B$17,IF(AND(#REF!="Padrão",$H$4=#REF!),BDI!#REF!,IF(AND(#REF!="Diferenciado",$H$4=#REF!),BDI!$E$17,IF(AND(#REF!="Diferenciado",$H$4=#REF!),BDI!#REF!,IF(#REF!="ZERO",0))))),"")</f>
        <v>#REF!</v>
      </c>
      <c r="H2594" s="136" t="str">
        <f t="shared" si="130"/>
        <v/>
      </c>
      <c r="I2594" s="134" t="str">
        <f t="shared" si="131"/>
        <v/>
      </c>
      <c r="J2594" s="226"/>
    </row>
    <row r="2595" spans="1:10" hidden="1" x14ac:dyDescent="0.25">
      <c r="A2595" s="112" t="s">
        <v>6203</v>
      </c>
      <c r="B2595" s="113" t="s">
        <v>4966</v>
      </c>
      <c r="C2595" s="114" t="s">
        <v>94</v>
      </c>
      <c r="D2595" s="114">
        <v>0</v>
      </c>
      <c r="E2595" s="133">
        <f ca="1">OFFSET(INDEX(Composições!A:J,MATCH(Orçamentária!A2595,Composições!A:A,0),8),2,0)</f>
        <v>15.232965</v>
      </c>
      <c r="F2595" s="134">
        <f t="shared" ca="1" si="129"/>
        <v>0</v>
      </c>
      <c r="G2595" s="135" t="e">
        <f>IF(A2595&lt;&gt;"",IF(AND(#REF!="Padrão",$H$4=#REF!),BDI!$B$17,IF(AND(#REF!="Padrão",$H$4=#REF!),BDI!#REF!,IF(AND(#REF!="Diferenciado",$H$4=#REF!),BDI!$E$17,IF(AND(#REF!="Diferenciado",$H$4=#REF!),BDI!#REF!,IF(#REF!="ZERO",0))))),"")</f>
        <v>#REF!</v>
      </c>
      <c r="H2595" s="136" t="e">
        <f t="shared" ca="1" si="130"/>
        <v>#REF!</v>
      </c>
      <c r="I2595" s="134" t="e">
        <f t="shared" ca="1" si="131"/>
        <v>#REF!</v>
      </c>
      <c r="J2595" s="226"/>
    </row>
    <row r="2596" spans="1:10" hidden="1" x14ac:dyDescent="0.25">
      <c r="A2596" s="112" t="s">
        <v>6204</v>
      </c>
      <c r="B2596" s="113" t="s">
        <v>4967</v>
      </c>
      <c r="C2596" s="114" t="s">
        <v>94</v>
      </c>
      <c r="D2596" s="114">
        <v>0</v>
      </c>
      <c r="E2596" s="133">
        <f ca="1">OFFSET(INDEX(Composições!A:J,MATCH(Orçamentária!A2596,Composições!A:A,0),8),2,0)</f>
        <v>13.93365</v>
      </c>
      <c r="F2596" s="134">
        <f t="shared" ca="1" si="129"/>
        <v>0</v>
      </c>
      <c r="G2596" s="135" t="e">
        <f>IF(A2596&lt;&gt;"",IF(AND(#REF!="Padrão",$H$4=#REF!),BDI!$B$17,IF(AND(#REF!="Padrão",$H$4=#REF!),BDI!#REF!,IF(AND(#REF!="Diferenciado",$H$4=#REF!),BDI!$E$17,IF(AND(#REF!="Diferenciado",$H$4=#REF!),BDI!#REF!,IF(#REF!="ZERO",0))))),"")</f>
        <v>#REF!</v>
      </c>
      <c r="H2596" s="136" t="e">
        <f t="shared" ca="1" si="130"/>
        <v>#REF!</v>
      </c>
      <c r="I2596" s="134" t="e">
        <f t="shared" ca="1" si="131"/>
        <v>#REF!</v>
      </c>
      <c r="J2596" s="226"/>
    </row>
    <row r="2597" spans="1:10" hidden="1" x14ac:dyDescent="0.25">
      <c r="A2597" s="112" t="s">
        <v>6205</v>
      </c>
      <c r="B2597" s="113" t="s">
        <v>4968</v>
      </c>
      <c r="C2597" s="114" t="s">
        <v>92</v>
      </c>
      <c r="D2597" s="114">
        <v>0</v>
      </c>
      <c r="E2597" s="133">
        <f ca="1">OFFSET(INDEX(Composições!A:J,MATCH(Orçamentária!A2597,Composições!A:A,0),8),2,0)</f>
        <v>11.3427834</v>
      </c>
      <c r="F2597" s="134">
        <f t="shared" ca="1" si="129"/>
        <v>0</v>
      </c>
      <c r="G2597" s="135" t="e">
        <f>IF(A2597&lt;&gt;"",IF(AND(#REF!="Padrão",$H$4=#REF!),BDI!$B$17,IF(AND(#REF!="Padrão",$H$4=#REF!),BDI!#REF!,IF(AND(#REF!="Diferenciado",$H$4=#REF!),BDI!$E$17,IF(AND(#REF!="Diferenciado",$H$4=#REF!),BDI!#REF!,IF(#REF!="ZERO",0))))),"")</f>
        <v>#REF!</v>
      </c>
      <c r="H2597" s="136" t="e">
        <f t="shared" ca="1" si="130"/>
        <v>#REF!</v>
      </c>
      <c r="I2597" s="134" t="e">
        <f t="shared" ca="1" si="131"/>
        <v>#REF!</v>
      </c>
      <c r="J2597" s="226"/>
    </row>
    <row r="2598" spans="1:10" hidden="1" x14ac:dyDescent="0.25">
      <c r="A2598" s="112" t="s">
        <v>6206</v>
      </c>
      <c r="B2598" s="113" t="s">
        <v>4969</v>
      </c>
      <c r="C2598" s="114" t="s">
        <v>94</v>
      </c>
      <c r="D2598" s="114">
        <v>0</v>
      </c>
      <c r="E2598" s="133">
        <f ca="1">OFFSET(INDEX(Composições!A:J,MATCH(Orçamentária!A2598,Composições!A:A,0),8),2,0)</f>
        <v>30.865499999999997</v>
      </c>
      <c r="F2598" s="134">
        <f t="shared" ca="1" si="129"/>
        <v>0</v>
      </c>
      <c r="G2598" s="135" t="e">
        <f>IF(A2598&lt;&gt;"",IF(AND(#REF!="Padrão",$H$4=#REF!),BDI!$B$17,IF(AND(#REF!="Padrão",$H$4=#REF!),BDI!#REF!,IF(AND(#REF!="Diferenciado",$H$4=#REF!),BDI!$E$17,IF(AND(#REF!="Diferenciado",$H$4=#REF!),BDI!#REF!,IF(#REF!="ZERO",0))))),"")</f>
        <v>#REF!</v>
      </c>
      <c r="H2598" s="136" t="e">
        <f t="shared" ca="1" si="130"/>
        <v>#REF!</v>
      </c>
      <c r="I2598" s="134" t="e">
        <f t="shared" ca="1" si="131"/>
        <v>#REF!</v>
      </c>
      <c r="J2598" s="226"/>
    </row>
    <row r="2599" spans="1:10" hidden="1" x14ac:dyDescent="0.25">
      <c r="A2599" s="112" t="s">
        <v>6207</v>
      </c>
      <c r="B2599" s="113" t="s">
        <v>4970</v>
      </c>
      <c r="C2599" s="114" t="s">
        <v>94</v>
      </c>
      <c r="D2599" s="114">
        <v>0</v>
      </c>
      <c r="E2599" s="133">
        <f ca="1">OFFSET(INDEX(Composições!A:J,MATCH(Orçamentária!A2599,Composições!A:A,0),8),2,0)</f>
        <v>55.755499999999998</v>
      </c>
      <c r="F2599" s="134">
        <f t="shared" ca="1" si="129"/>
        <v>0</v>
      </c>
      <c r="G2599" s="135" t="e">
        <f>IF(A2599&lt;&gt;"",IF(AND(#REF!="Padrão",$H$4=#REF!),BDI!$B$17,IF(AND(#REF!="Padrão",$H$4=#REF!),BDI!#REF!,IF(AND(#REF!="Diferenciado",$H$4=#REF!),BDI!$E$17,IF(AND(#REF!="Diferenciado",$H$4=#REF!),BDI!#REF!,IF(#REF!="ZERO",0))))),"")</f>
        <v>#REF!</v>
      </c>
      <c r="H2599" s="136" t="e">
        <f t="shared" ca="1" si="130"/>
        <v>#REF!</v>
      </c>
      <c r="I2599" s="134" t="e">
        <f t="shared" ca="1" si="131"/>
        <v>#REF!</v>
      </c>
      <c r="J2599" s="226"/>
    </row>
    <row r="2600" spans="1:10" hidden="1" x14ac:dyDescent="0.25">
      <c r="A2600" s="112" t="s">
        <v>6208</v>
      </c>
      <c r="B2600" s="113" t="s">
        <v>4971</v>
      </c>
      <c r="C2600" s="114" t="s">
        <v>108</v>
      </c>
      <c r="D2600" s="114">
        <v>0</v>
      </c>
      <c r="E2600" s="133">
        <f ca="1">OFFSET(INDEX(Composições!A:J,MATCH(Orçamentária!A2600,Composições!A:A,0),8),2,0)</f>
        <v>109.51165280000001</v>
      </c>
      <c r="F2600" s="134">
        <f t="shared" ca="1" si="129"/>
        <v>0</v>
      </c>
      <c r="G2600" s="135" t="e">
        <f>IF(A2600&lt;&gt;"",IF(AND(#REF!="Padrão",$H$4=#REF!),BDI!$B$17,IF(AND(#REF!="Padrão",$H$4=#REF!),BDI!#REF!,IF(AND(#REF!="Diferenciado",$H$4=#REF!),BDI!$E$17,IF(AND(#REF!="Diferenciado",$H$4=#REF!),BDI!#REF!,IF(#REF!="ZERO",0))))),"")</f>
        <v>#REF!</v>
      </c>
      <c r="H2600" s="136" t="e">
        <f t="shared" ca="1" si="130"/>
        <v>#REF!</v>
      </c>
      <c r="I2600" s="134" t="e">
        <f t="shared" ca="1" si="131"/>
        <v>#REF!</v>
      </c>
      <c r="J2600" s="226"/>
    </row>
    <row r="2601" spans="1:10" hidden="1" x14ac:dyDescent="0.25">
      <c r="A2601" s="112" t="s">
        <v>6209</v>
      </c>
      <c r="B2601" s="113" t="s">
        <v>4972</v>
      </c>
      <c r="C2601" s="114" t="s">
        <v>42</v>
      </c>
      <c r="D2601" s="114">
        <v>0</v>
      </c>
      <c r="E2601" s="133">
        <f ca="1">OFFSET(INDEX(Composições!A:J,MATCH(Orçamentária!A2601,Composições!A:A,0),8),2,0)</f>
        <v>13.54665325</v>
      </c>
      <c r="F2601" s="134">
        <f t="shared" ca="1" si="129"/>
        <v>0</v>
      </c>
      <c r="G2601" s="135" t="e">
        <f>IF(A2601&lt;&gt;"",IF(AND(#REF!="Padrão",$H$4=#REF!),BDI!$B$17,IF(AND(#REF!="Padrão",$H$4=#REF!),BDI!#REF!,IF(AND(#REF!="Diferenciado",$H$4=#REF!),BDI!$E$17,IF(AND(#REF!="Diferenciado",$H$4=#REF!),BDI!#REF!,IF(#REF!="ZERO",0))))),"")</f>
        <v>#REF!</v>
      </c>
      <c r="H2601" s="136" t="e">
        <f t="shared" ca="1" si="130"/>
        <v>#REF!</v>
      </c>
      <c r="I2601" s="134" t="e">
        <f t="shared" ca="1" si="131"/>
        <v>#REF!</v>
      </c>
      <c r="J2601" s="226"/>
    </row>
    <row r="2602" spans="1:10" hidden="1" x14ac:dyDescent="0.25">
      <c r="A2602" s="112" t="s">
        <v>6210</v>
      </c>
      <c r="B2602" s="113" t="s">
        <v>4973</v>
      </c>
      <c r="C2602" s="114" t="s">
        <v>108</v>
      </c>
      <c r="D2602" s="114">
        <v>0</v>
      </c>
      <c r="E2602" s="133">
        <f ca="1">OFFSET(INDEX(Composições!A:J,MATCH(Orçamentária!A2602,Composições!A:A,0),8),2,0)</f>
        <v>915.01033361111831</v>
      </c>
      <c r="F2602" s="134">
        <f t="shared" ca="1" si="129"/>
        <v>0</v>
      </c>
      <c r="G2602" s="135" t="e">
        <f>IF(A2602&lt;&gt;"",IF(AND(#REF!="Padrão",$H$4=#REF!),BDI!$B$17,IF(AND(#REF!="Padrão",$H$4=#REF!),BDI!#REF!,IF(AND(#REF!="Diferenciado",$H$4=#REF!),BDI!$E$17,IF(AND(#REF!="Diferenciado",$H$4=#REF!),BDI!#REF!,IF(#REF!="ZERO",0))))),"")</f>
        <v>#REF!</v>
      </c>
      <c r="H2602" s="136" t="e">
        <f t="shared" ca="1" si="130"/>
        <v>#REF!</v>
      </c>
      <c r="I2602" s="134" t="e">
        <f t="shared" ca="1" si="131"/>
        <v>#REF!</v>
      </c>
      <c r="J2602" s="226"/>
    </row>
    <row r="2603" spans="1:10" hidden="1" x14ac:dyDescent="0.25">
      <c r="A2603" s="112" t="s">
        <v>6211</v>
      </c>
      <c r="B2603" s="113" t="s">
        <v>4974</v>
      </c>
      <c r="C2603" s="114" t="s">
        <v>20</v>
      </c>
      <c r="D2603" s="114">
        <v>0</v>
      </c>
      <c r="E2603" s="133">
        <f ca="1">OFFSET(INDEX(Composições!A:J,MATCH(Orçamentária!A2603,Composições!A:A,0),8),2,0)</f>
        <v>56.790268499999996</v>
      </c>
      <c r="F2603" s="134">
        <f t="shared" ca="1" si="129"/>
        <v>0</v>
      </c>
      <c r="G2603" s="135" t="e">
        <f>IF(A2603&lt;&gt;"",IF(AND(#REF!="Padrão",$H$4=#REF!),BDI!$B$17,IF(AND(#REF!="Padrão",$H$4=#REF!),BDI!#REF!,IF(AND(#REF!="Diferenciado",$H$4=#REF!),BDI!$E$17,IF(AND(#REF!="Diferenciado",$H$4=#REF!),BDI!#REF!,IF(#REF!="ZERO",0))))),"")</f>
        <v>#REF!</v>
      </c>
      <c r="H2603" s="136" t="e">
        <f t="shared" ca="1" si="130"/>
        <v>#REF!</v>
      </c>
      <c r="I2603" s="134" t="e">
        <f t="shared" ca="1" si="131"/>
        <v>#REF!</v>
      </c>
      <c r="J2603" s="226"/>
    </row>
    <row r="2604" spans="1:10" hidden="1" x14ac:dyDescent="0.25">
      <c r="A2604" s="112" t="s">
        <v>6212</v>
      </c>
      <c r="B2604" s="113" t="s">
        <v>4975</v>
      </c>
      <c r="C2604" s="114" t="s">
        <v>94</v>
      </c>
      <c r="D2604" s="114">
        <v>0</v>
      </c>
      <c r="E2604" s="133">
        <f ca="1">OFFSET(INDEX(Composições!A:J,MATCH(Orçamentária!A2604,Composições!A:A,0),8),2,0)</f>
        <v>65.766599999999997</v>
      </c>
      <c r="F2604" s="134">
        <f t="shared" ca="1" si="129"/>
        <v>0</v>
      </c>
      <c r="G2604" s="135" t="e">
        <f>IF(A2604&lt;&gt;"",IF(AND(#REF!="Padrão",$H$4=#REF!),BDI!$B$17,IF(AND(#REF!="Padrão",$H$4=#REF!),BDI!#REF!,IF(AND(#REF!="Diferenciado",$H$4=#REF!),BDI!$E$17,IF(AND(#REF!="Diferenciado",$H$4=#REF!),BDI!#REF!,IF(#REF!="ZERO",0))))),"")</f>
        <v>#REF!</v>
      </c>
      <c r="H2604" s="136" t="e">
        <f t="shared" ca="1" si="130"/>
        <v>#REF!</v>
      </c>
      <c r="I2604" s="134" t="e">
        <f t="shared" ca="1" si="131"/>
        <v>#REF!</v>
      </c>
      <c r="J2604" s="226"/>
    </row>
    <row r="2605" spans="1:10" hidden="1" x14ac:dyDescent="0.25">
      <c r="A2605" s="112" t="s">
        <v>6213</v>
      </c>
      <c r="B2605" s="113" t="s">
        <v>4976</v>
      </c>
      <c r="C2605" s="114" t="s">
        <v>92</v>
      </c>
      <c r="D2605" s="114">
        <v>0</v>
      </c>
      <c r="E2605" s="133">
        <f ca="1">OFFSET(INDEX(Composições!A:J,MATCH(Orçamentária!A2605,Composições!A:A,0),8),2,0)</f>
        <v>122.94483158284422</v>
      </c>
      <c r="F2605" s="134">
        <f t="shared" ref="F2605:F2623" ca="1" si="132">IF(ISNUMBER(E2605),D2605*E2605,"")</f>
        <v>0</v>
      </c>
      <c r="G2605" s="135" t="e">
        <f>IF(A2605&lt;&gt;"",IF(AND(#REF!="Padrão",$H$4=#REF!),BDI!$B$17,IF(AND(#REF!="Padrão",$H$4=#REF!),BDI!#REF!,IF(AND(#REF!="Diferenciado",$H$4=#REF!),BDI!$E$17,IF(AND(#REF!="Diferenciado",$H$4=#REF!),BDI!#REF!,IF(#REF!="ZERO",0))))),"")</f>
        <v>#REF!</v>
      </c>
      <c r="H2605" s="136" t="e">
        <f t="shared" ref="H2605:H2623" ca="1" si="133">IF(ISNUMBER(E2605),ROUND(E2605*(1+G2605),2),"")</f>
        <v>#REF!</v>
      </c>
      <c r="I2605" s="134" t="e">
        <f t="shared" ref="I2605:I2623" ca="1" si="134">IF(ISNUMBER(E2605),ROUND(H2605*D2605,2),"")</f>
        <v>#REF!</v>
      </c>
      <c r="J2605" s="226"/>
    </row>
    <row r="2606" spans="1:10" hidden="1" x14ac:dyDescent="0.25">
      <c r="A2606" s="112" t="s">
        <v>6214</v>
      </c>
      <c r="B2606" s="113" t="s">
        <v>4977</v>
      </c>
      <c r="C2606" s="114" t="s">
        <v>20</v>
      </c>
      <c r="D2606" s="114">
        <v>0</v>
      </c>
      <c r="E2606" s="133">
        <f ca="1">OFFSET(INDEX(Composições!A:J,MATCH(Orçamentária!A2606,Composições!A:A,0),8),2,0)</f>
        <v>14.24464865</v>
      </c>
      <c r="F2606" s="134">
        <f t="shared" ca="1" si="132"/>
        <v>0</v>
      </c>
      <c r="G2606" s="135" t="e">
        <f>IF(A2606&lt;&gt;"",IF(AND(#REF!="Padrão",$H$4=#REF!),BDI!$B$17,IF(AND(#REF!="Padrão",$H$4=#REF!),BDI!#REF!,IF(AND(#REF!="Diferenciado",$H$4=#REF!),BDI!$E$17,IF(AND(#REF!="Diferenciado",$H$4=#REF!),BDI!#REF!,IF(#REF!="ZERO",0))))),"")</f>
        <v>#REF!</v>
      </c>
      <c r="H2606" s="136" t="e">
        <f t="shared" ca="1" si="133"/>
        <v>#REF!</v>
      </c>
      <c r="I2606" s="134" t="e">
        <f t="shared" ca="1" si="134"/>
        <v>#REF!</v>
      </c>
      <c r="J2606" s="226"/>
    </row>
    <row r="2607" spans="1:10" hidden="1" x14ac:dyDescent="0.25">
      <c r="A2607" s="112" t="s">
        <v>6215</v>
      </c>
      <c r="B2607" s="113" t="s">
        <v>4978</v>
      </c>
      <c r="C2607" s="114" t="s">
        <v>20</v>
      </c>
      <c r="D2607" s="114">
        <v>0</v>
      </c>
      <c r="E2607" s="133">
        <f ca="1">OFFSET(INDEX(Composições!A:J,MATCH(Orçamentária!A2607,Composições!A:A,0),8),2,0)</f>
        <v>67.870631500000002</v>
      </c>
      <c r="F2607" s="134">
        <f t="shared" ca="1" si="132"/>
        <v>0</v>
      </c>
      <c r="G2607" s="135" t="e">
        <f>IF(A2607&lt;&gt;"",IF(AND(#REF!="Padrão",$H$4=#REF!),BDI!$B$17,IF(AND(#REF!="Padrão",$H$4=#REF!),BDI!#REF!,IF(AND(#REF!="Diferenciado",$H$4=#REF!),BDI!$E$17,IF(AND(#REF!="Diferenciado",$H$4=#REF!),BDI!#REF!,IF(#REF!="ZERO",0))))),"")</f>
        <v>#REF!</v>
      </c>
      <c r="H2607" s="136" t="e">
        <f t="shared" ca="1" si="133"/>
        <v>#REF!</v>
      </c>
      <c r="I2607" s="134" t="e">
        <f t="shared" ca="1" si="134"/>
        <v>#REF!</v>
      </c>
      <c r="J2607" s="226"/>
    </row>
    <row r="2608" spans="1:10" hidden="1" x14ac:dyDescent="0.25">
      <c r="A2608" s="112" t="s">
        <v>6216</v>
      </c>
      <c r="B2608" s="113" t="s">
        <v>4979</v>
      </c>
      <c r="C2608" s="114" t="s">
        <v>108</v>
      </c>
      <c r="D2608" s="114">
        <v>0</v>
      </c>
      <c r="E2608" s="133">
        <f ca="1">OFFSET(INDEX(Composições!A:J,MATCH(Orçamentária!A2608,Composições!A:A,0),8),2,0)</f>
        <v>560.7221669999999</v>
      </c>
      <c r="F2608" s="134">
        <f t="shared" ca="1" si="132"/>
        <v>0</v>
      </c>
      <c r="G2608" s="135" t="e">
        <f>IF(A2608&lt;&gt;"",IF(AND(#REF!="Padrão",$H$4=#REF!),BDI!$B$17,IF(AND(#REF!="Padrão",$H$4=#REF!),BDI!#REF!,IF(AND(#REF!="Diferenciado",$H$4=#REF!),BDI!$E$17,IF(AND(#REF!="Diferenciado",$H$4=#REF!),BDI!#REF!,IF(#REF!="ZERO",0))))),"")</f>
        <v>#REF!</v>
      </c>
      <c r="H2608" s="136" t="e">
        <f t="shared" ca="1" si="133"/>
        <v>#REF!</v>
      </c>
      <c r="I2608" s="134" t="e">
        <f t="shared" ca="1" si="134"/>
        <v>#REF!</v>
      </c>
      <c r="J2608" s="226"/>
    </row>
    <row r="2609" spans="1:10" hidden="1" x14ac:dyDescent="0.25">
      <c r="A2609" s="112" t="s">
        <v>6217</v>
      </c>
      <c r="B2609" s="113" t="s">
        <v>4980</v>
      </c>
      <c r="C2609" s="114" t="s">
        <v>92</v>
      </c>
      <c r="D2609" s="114">
        <v>0</v>
      </c>
      <c r="E2609" s="133">
        <f ca="1">OFFSET(INDEX(Composições!A:J,MATCH(Orçamentária!A2609,Composições!A:A,0),8),2,0)</f>
        <v>109.22584792684498</v>
      </c>
      <c r="F2609" s="134">
        <f t="shared" ca="1" si="132"/>
        <v>0</v>
      </c>
      <c r="G2609" s="135" t="e">
        <f>IF(A2609&lt;&gt;"",IF(AND(#REF!="Padrão",$H$4=#REF!),BDI!$B$17,IF(AND(#REF!="Padrão",$H$4=#REF!),BDI!#REF!,IF(AND(#REF!="Diferenciado",$H$4=#REF!),BDI!$E$17,IF(AND(#REF!="Diferenciado",$H$4=#REF!),BDI!#REF!,IF(#REF!="ZERO",0))))),"")</f>
        <v>#REF!</v>
      </c>
      <c r="H2609" s="136" t="e">
        <f t="shared" ca="1" si="133"/>
        <v>#REF!</v>
      </c>
      <c r="I2609" s="134" t="e">
        <f t="shared" ca="1" si="134"/>
        <v>#REF!</v>
      </c>
      <c r="J2609" s="226"/>
    </row>
    <row r="2610" spans="1:10" hidden="1" x14ac:dyDescent="0.25">
      <c r="A2610" s="112" t="s">
        <v>6218</v>
      </c>
      <c r="B2610" s="113" t="s">
        <v>6470</v>
      </c>
      <c r="C2610" s="114" t="s">
        <v>20</v>
      </c>
      <c r="D2610" s="114">
        <v>0</v>
      </c>
      <c r="E2610" s="133" t="s">
        <v>514</v>
      </c>
      <c r="F2610" s="134" t="str">
        <f>IF(ISNUMBER(E2610),D2610*E2610,"")</f>
        <v/>
      </c>
      <c r="G2610" s="135" t="e">
        <f>IF(A2610&lt;&gt;"",IF(AND(#REF!="Padrão",$H$4=#REF!),BDI!$B$17,IF(AND(#REF!="Padrão",$H$4=#REF!),BDI!#REF!,IF(AND(#REF!="Diferenciado",$H$4=#REF!),BDI!$E$17,IF(AND(#REF!="Diferenciado",$H$4=#REF!),BDI!#REF!,IF(#REF!="ZERO",0))))),"")</f>
        <v>#REF!</v>
      </c>
      <c r="H2610" s="136" t="str">
        <f>IF(ISNUMBER(E2610),ROUND(E2610*(1+G2610),2),"")</f>
        <v/>
      </c>
      <c r="I2610" s="134" t="str">
        <f>IF(ISNUMBER(E2610),ROUND(H2610*D2610,2),"")</f>
        <v/>
      </c>
      <c r="J2610" s="226"/>
    </row>
    <row r="2611" spans="1:10" hidden="1" x14ac:dyDescent="0.25">
      <c r="A2611" s="112" t="s">
        <v>6219</v>
      </c>
      <c r="B2611" s="113" t="s">
        <v>4981</v>
      </c>
      <c r="C2611" s="114" t="s">
        <v>42</v>
      </c>
      <c r="D2611" s="114">
        <v>0</v>
      </c>
      <c r="E2611" s="133">
        <f ca="1">OFFSET(INDEX(Composições!A:J,MATCH(Orçamentária!A2611,Composições!A:A,0),8),2,0)</f>
        <v>15.684595000000002</v>
      </c>
      <c r="F2611" s="134">
        <f t="shared" ca="1" si="132"/>
        <v>0</v>
      </c>
      <c r="G2611" s="135" t="e">
        <f>IF(A2611&lt;&gt;"",IF(AND(#REF!="Padrão",$H$4=#REF!),BDI!$B$17,IF(AND(#REF!="Padrão",$H$4=#REF!),BDI!#REF!,IF(AND(#REF!="Diferenciado",$H$4=#REF!),BDI!$E$17,IF(AND(#REF!="Diferenciado",$H$4=#REF!),BDI!#REF!,IF(#REF!="ZERO",0))))),"")</f>
        <v>#REF!</v>
      </c>
      <c r="H2611" s="136" t="e">
        <f t="shared" ca="1" si="133"/>
        <v>#REF!</v>
      </c>
      <c r="I2611" s="134" t="e">
        <f t="shared" ca="1" si="134"/>
        <v>#REF!</v>
      </c>
      <c r="J2611" s="226"/>
    </row>
    <row r="2612" spans="1:10" hidden="1" x14ac:dyDescent="0.25">
      <c r="A2612" s="112" t="s">
        <v>6220</v>
      </c>
      <c r="B2612" s="113" t="s">
        <v>4982</v>
      </c>
      <c r="C2612" s="114" t="s">
        <v>94</v>
      </c>
      <c r="D2612" s="114">
        <v>0</v>
      </c>
      <c r="E2612" s="133">
        <f ca="1">OFFSET(INDEX(Composições!A:J,MATCH(Orçamentária!A2612,Composições!A:A,0),8),2,0)</f>
        <v>76.309741799999998</v>
      </c>
      <c r="F2612" s="134">
        <f t="shared" ca="1" si="132"/>
        <v>0</v>
      </c>
      <c r="G2612" s="135" t="e">
        <f>IF(A2612&lt;&gt;"",IF(AND(#REF!="Padrão",$H$4=#REF!),BDI!$B$17,IF(AND(#REF!="Padrão",$H$4=#REF!),BDI!#REF!,IF(AND(#REF!="Diferenciado",$H$4=#REF!),BDI!$E$17,IF(AND(#REF!="Diferenciado",$H$4=#REF!),BDI!#REF!,IF(#REF!="ZERO",0))))),"")</f>
        <v>#REF!</v>
      </c>
      <c r="H2612" s="136" t="e">
        <f t="shared" ca="1" si="133"/>
        <v>#REF!</v>
      </c>
      <c r="I2612" s="134" t="e">
        <f t="shared" ca="1" si="134"/>
        <v>#REF!</v>
      </c>
      <c r="J2612" s="226"/>
    </row>
    <row r="2613" spans="1:10" hidden="1" x14ac:dyDescent="0.25">
      <c r="A2613" s="112" t="s">
        <v>6221</v>
      </c>
      <c r="B2613" s="113" t="s">
        <v>4983</v>
      </c>
      <c r="C2613" s="114" t="s">
        <v>92</v>
      </c>
      <c r="D2613" s="114">
        <v>0</v>
      </c>
      <c r="E2613" s="133">
        <f ca="1">OFFSET(INDEX(Composições!A:J,MATCH(Orçamentária!A2613,Composições!A:A,0),8),2,0)</f>
        <v>101.73732209999999</v>
      </c>
      <c r="F2613" s="134">
        <f t="shared" ca="1" si="132"/>
        <v>0</v>
      </c>
      <c r="G2613" s="135" t="e">
        <f>IF(A2613&lt;&gt;"",IF(AND(#REF!="Padrão",$H$4=#REF!),BDI!$B$17,IF(AND(#REF!="Padrão",$H$4=#REF!),BDI!#REF!,IF(AND(#REF!="Diferenciado",$H$4=#REF!),BDI!$E$17,IF(AND(#REF!="Diferenciado",$H$4=#REF!),BDI!#REF!,IF(#REF!="ZERO",0))))),"")</f>
        <v>#REF!</v>
      </c>
      <c r="H2613" s="136" t="e">
        <f t="shared" ca="1" si="133"/>
        <v>#REF!</v>
      </c>
      <c r="I2613" s="134" t="e">
        <f t="shared" ca="1" si="134"/>
        <v>#REF!</v>
      </c>
      <c r="J2613" s="226"/>
    </row>
    <row r="2614" spans="1:10" hidden="1" x14ac:dyDescent="0.25">
      <c r="A2614" s="112" t="s">
        <v>6222</v>
      </c>
      <c r="B2614" s="113" t="s">
        <v>4984</v>
      </c>
      <c r="C2614" s="114" t="s">
        <v>94</v>
      </c>
      <c r="D2614" s="114">
        <v>0</v>
      </c>
      <c r="E2614" s="133">
        <f ca="1">OFFSET(INDEX(Composições!A:J,MATCH(Orçamentária!A2614,Composições!A:A,0),8),2,0)</f>
        <v>81.520101109551192</v>
      </c>
      <c r="F2614" s="134">
        <f t="shared" ca="1" si="132"/>
        <v>0</v>
      </c>
      <c r="G2614" s="135" t="e">
        <f>IF(A2614&lt;&gt;"",IF(AND(#REF!="Padrão",$H$4=#REF!),BDI!$B$17,IF(AND(#REF!="Padrão",$H$4=#REF!),BDI!#REF!,IF(AND(#REF!="Diferenciado",$H$4=#REF!),BDI!$E$17,IF(AND(#REF!="Diferenciado",$H$4=#REF!),BDI!#REF!,IF(#REF!="ZERO",0))))),"")</f>
        <v>#REF!</v>
      </c>
      <c r="H2614" s="136" t="e">
        <f t="shared" ca="1" si="133"/>
        <v>#REF!</v>
      </c>
      <c r="I2614" s="134" t="e">
        <f t="shared" ca="1" si="134"/>
        <v>#REF!</v>
      </c>
      <c r="J2614" s="226"/>
    </row>
    <row r="2615" spans="1:10" hidden="1" x14ac:dyDescent="0.25">
      <c r="A2615" s="112" t="s">
        <v>6223</v>
      </c>
      <c r="B2615" s="113" t="s">
        <v>4985</v>
      </c>
      <c r="C2615" s="114" t="s">
        <v>20</v>
      </c>
      <c r="D2615" s="114">
        <v>0</v>
      </c>
      <c r="E2615" s="133">
        <f ca="1">OFFSET(INDEX(Composições!A:J,MATCH(Orçamentária!A2615,Composições!A:A,0),8),2,0)</f>
        <v>1427.0313988772616</v>
      </c>
      <c r="F2615" s="134">
        <f t="shared" ca="1" si="132"/>
        <v>0</v>
      </c>
      <c r="G2615" s="135" t="e">
        <f>IF(A2615&lt;&gt;"",IF(AND(#REF!="Padrão",$H$4=#REF!),BDI!$B$17,IF(AND(#REF!="Padrão",$H$4=#REF!),BDI!#REF!,IF(AND(#REF!="Diferenciado",$H$4=#REF!),BDI!$E$17,IF(AND(#REF!="Diferenciado",$H$4=#REF!),BDI!#REF!,IF(#REF!="ZERO",0))))),"")</f>
        <v>#REF!</v>
      </c>
      <c r="H2615" s="136" t="e">
        <f t="shared" ca="1" si="133"/>
        <v>#REF!</v>
      </c>
      <c r="I2615" s="134" t="e">
        <f t="shared" ca="1" si="134"/>
        <v>#REF!</v>
      </c>
      <c r="J2615" s="226"/>
    </row>
    <row r="2616" spans="1:10" hidden="1" x14ac:dyDescent="0.25">
      <c r="A2616" s="112" t="s">
        <v>6224</v>
      </c>
      <c r="B2616" s="113" t="s">
        <v>4986</v>
      </c>
      <c r="C2616" s="114" t="s">
        <v>92</v>
      </c>
      <c r="D2616" s="114">
        <v>0</v>
      </c>
      <c r="E2616" s="133">
        <f ca="1">OFFSET(INDEX(Composições!A:J,MATCH(Orçamentária!A2616,Composições!A:A,0),8),2,0)</f>
        <v>15.432749999999999</v>
      </c>
      <c r="F2616" s="134">
        <f t="shared" ca="1" si="132"/>
        <v>0</v>
      </c>
      <c r="G2616" s="135" t="e">
        <f>IF(A2616&lt;&gt;"",IF(AND(#REF!="Padrão",$H$4=#REF!),BDI!$B$17,IF(AND(#REF!="Padrão",$H$4=#REF!),BDI!#REF!,IF(AND(#REF!="Diferenciado",$H$4=#REF!),BDI!$E$17,IF(AND(#REF!="Diferenciado",$H$4=#REF!),BDI!#REF!,IF(#REF!="ZERO",0))))),"")</f>
        <v>#REF!</v>
      </c>
      <c r="H2616" s="136" t="e">
        <f t="shared" ca="1" si="133"/>
        <v>#REF!</v>
      </c>
      <c r="I2616" s="134" t="e">
        <f t="shared" ca="1" si="134"/>
        <v>#REF!</v>
      </c>
      <c r="J2616" s="226"/>
    </row>
    <row r="2617" spans="1:10" hidden="1" x14ac:dyDescent="0.25">
      <c r="A2617" s="112" t="s">
        <v>6225</v>
      </c>
      <c r="B2617" s="113" t="s">
        <v>4987</v>
      </c>
      <c r="C2617" s="114" t="s">
        <v>20</v>
      </c>
      <c r="D2617" s="114">
        <v>0</v>
      </c>
      <c r="E2617" s="133">
        <f ca="1">OFFSET(INDEX(Composições!A:J,MATCH(Orçamentária!A2617,Composições!A:A,0),8),2,0)</f>
        <v>130.5228123</v>
      </c>
      <c r="F2617" s="134">
        <f t="shared" ca="1" si="132"/>
        <v>0</v>
      </c>
      <c r="G2617" s="135" t="e">
        <f>IF(A2617&lt;&gt;"",IF(AND(#REF!="Padrão",$H$4=#REF!),BDI!$B$17,IF(AND(#REF!="Padrão",$H$4=#REF!),BDI!#REF!,IF(AND(#REF!="Diferenciado",$H$4=#REF!),BDI!$E$17,IF(AND(#REF!="Diferenciado",$H$4=#REF!),BDI!#REF!,IF(#REF!="ZERO",0))))),"")</f>
        <v>#REF!</v>
      </c>
      <c r="H2617" s="136" t="e">
        <f t="shared" ca="1" si="133"/>
        <v>#REF!</v>
      </c>
      <c r="I2617" s="134" t="e">
        <f t="shared" ca="1" si="134"/>
        <v>#REF!</v>
      </c>
      <c r="J2617" s="226"/>
    </row>
    <row r="2618" spans="1:10" hidden="1" x14ac:dyDescent="0.25">
      <c r="A2618" s="112" t="s">
        <v>6226</v>
      </c>
      <c r="B2618" s="113" t="s">
        <v>4988</v>
      </c>
      <c r="C2618" s="114" t="s">
        <v>94</v>
      </c>
      <c r="D2618" s="114">
        <v>0</v>
      </c>
      <c r="E2618" s="133">
        <f ca="1">OFFSET(INDEX(Composições!A:J,MATCH(Orçamentária!A2618,Composições!A:A,0),8),2,0)</f>
        <v>2.99473155</v>
      </c>
      <c r="F2618" s="134">
        <f t="shared" ca="1" si="132"/>
        <v>0</v>
      </c>
      <c r="G2618" s="135" t="e">
        <f>IF(A2618&lt;&gt;"",IF(AND(#REF!="Padrão",$H$4=#REF!),BDI!$B$17,IF(AND(#REF!="Padrão",$H$4=#REF!),BDI!#REF!,IF(AND(#REF!="Diferenciado",$H$4=#REF!),BDI!$E$17,IF(AND(#REF!="Diferenciado",$H$4=#REF!),BDI!#REF!,IF(#REF!="ZERO",0))))),"")</f>
        <v>#REF!</v>
      </c>
      <c r="H2618" s="136" t="e">
        <f t="shared" ca="1" si="133"/>
        <v>#REF!</v>
      </c>
      <c r="I2618" s="134" t="e">
        <f t="shared" ca="1" si="134"/>
        <v>#REF!</v>
      </c>
      <c r="J2618" s="226"/>
    </row>
    <row r="2619" spans="1:10" hidden="1" x14ac:dyDescent="0.25">
      <c r="A2619" s="112" t="s">
        <v>6227</v>
      </c>
      <c r="B2619" s="113" t="s">
        <v>4989</v>
      </c>
      <c r="C2619" s="114" t="s">
        <v>92</v>
      </c>
      <c r="D2619" s="114">
        <v>0</v>
      </c>
      <c r="E2619" s="133">
        <f ca="1">OFFSET(INDEX(Composições!A:J,MATCH(Orçamentária!A2619,Composições!A:A,0),8),2,0)</f>
        <v>57.564541191545302</v>
      </c>
      <c r="F2619" s="134">
        <f t="shared" ca="1" si="132"/>
        <v>0</v>
      </c>
      <c r="G2619" s="135" t="e">
        <f>IF(A2619&lt;&gt;"",IF(AND(#REF!="Padrão",$H$4=#REF!),BDI!$B$17,IF(AND(#REF!="Padrão",$H$4=#REF!),BDI!#REF!,IF(AND(#REF!="Diferenciado",$H$4=#REF!),BDI!$E$17,IF(AND(#REF!="Diferenciado",$H$4=#REF!),BDI!#REF!,IF(#REF!="ZERO",0))))),"")</f>
        <v>#REF!</v>
      </c>
      <c r="H2619" s="136" t="e">
        <f t="shared" ca="1" si="133"/>
        <v>#REF!</v>
      </c>
      <c r="I2619" s="134" t="e">
        <f t="shared" ca="1" si="134"/>
        <v>#REF!</v>
      </c>
      <c r="J2619" s="226"/>
    </row>
    <row r="2620" spans="1:10" hidden="1" x14ac:dyDescent="0.25">
      <c r="A2620" s="112" t="s">
        <v>6228</v>
      </c>
      <c r="B2620" s="113" t="s">
        <v>4990</v>
      </c>
      <c r="C2620" s="114" t="s">
        <v>20</v>
      </c>
      <c r="D2620" s="114">
        <v>0</v>
      </c>
      <c r="E2620" s="133">
        <f ca="1">OFFSET(INDEX(Composições!A:J,MATCH(Orçamentária!A2620,Composições!A:A,0),8),2,0)</f>
        <v>431.81973350499999</v>
      </c>
      <c r="F2620" s="134">
        <f t="shared" ca="1" si="132"/>
        <v>0</v>
      </c>
      <c r="G2620" s="135" t="e">
        <f>IF(A2620&lt;&gt;"",IF(AND(#REF!="Padrão",$H$4=#REF!),BDI!$B$17,IF(AND(#REF!="Padrão",$H$4=#REF!),BDI!#REF!,IF(AND(#REF!="Diferenciado",$H$4=#REF!),BDI!$E$17,IF(AND(#REF!="Diferenciado",$H$4=#REF!),BDI!#REF!,IF(#REF!="ZERO",0))))),"")</f>
        <v>#REF!</v>
      </c>
      <c r="H2620" s="136" t="e">
        <f t="shared" ca="1" si="133"/>
        <v>#REF!</v>
      </c>
      <c r="I2620" s="134" t="e">
        <f t="shared" ca="1" si="134"/>
        <v>#REF!</v>
      </c>
      <c r="J2620" s="226"/>
    </row>
    <row r="2621" spans="1:10" hidden="1" x14ac:dyDescent="0.25">
      <c r="A2621" s="112" t="s">
        <v>6229</v>
      </c>
      <c r="B2621" s="113" t="s">
        <v>4991</v>
      </c>
      <c r="C2621" s="114" t="s">
        <v>20</v>
      </c>
      <c r="D2621" s="114">
        <v>0</v>
      </c>
      <c r="E2621" s="133" t="s">
        <v>514</v>
      </c>
      <c r="F2621" s="134" t="str">
        <f t="shared" si="132"/>
        <v/>
      </c>
      <c r="G2621" s="135" t="e">
        <f>IF(A2621&lt;&gt;"",IF(AND(#REF!="Padrão",$H$4=#REF!),BDI!$B$17,IF(AND(#REF!="Padrão",$H$4=#REF!),BDI!#REF!,IF(AND(#REF!="Diferenciado",$H$4=#REF!),BDI!$E$17,IF(AND(#REF!="Diferenciado",$H$4=#REF!),BDI!#REF!,IF(#REF!="ZERO",0))))),"")</f>
        <v>#REF!</v>
      </c>
      <c r="H2621" s="136" t="str">
        <f t="shared" si="133"/>
        <v/>
      </c>
      <c r="I2621" s="134" t="str">
        <f t="shared" si="134"/>
        <v/>
      </c>
      <c r="J2621" s="226"/>
    </row>
    <row r="2622" spans="1:10" hidden="1" x14ac:dyDescent="0.25">
      <c r="A2622" s="112" t="s">
        <v>6230</v>
      </c>
      <c r="B2622" s="113" t="s">
        <v>4992</v>
      </c>
      <c r="C2622" s="114" t="s">
        <v>20</v>
      </c>
      <c r="D2622" s="114">
        <v>0</v>
      </c>
      <c r="E2622" s="133">
        <f ca="1">OFFSET(INDEX(Composições!A:J,MATCH(Orçamentária!A2622,Composições!A:A,0),8),2,0)</f>
        <v>86.454346249999986</v>
      </c>
      <c r="F2622" s="134">
        <f t="shared" ca="1" si="132"/>
        <v>0</v>
      </c>
      <c r="G2622" s="135" t="e">
        <f>IF(A2622&lt;&gt;"",IF(AND(#REF!="Padrão",$H$4=#REF!),BDI!$B$17,IF(AND(#REF!="Padrão",$H$4=#REF!),BDI!#REF!,IF(AND(#REF!="Diferenciado",$H$4=#REF!),BDI!$E$17,IF(AND(#REF!="Diferenciado",$H$4=#REF!),BDI!#REF!,IF(#REF!="ZERO",0))))),"")</f>
        <v>#REF!</v>
      </c>
      <c r="H2622" s="136" t="e">
        <f t="shared" ca="1" si="133"/>
        <v>#REF!</v>
      </c>
      <c r="I2622" s="134" t="e">
        <f t="shared" ca="1" si="134"/>
        <v>#REF!</v>
      </c>
      <c r="J2622" s="226"/>
    </row>
    <row r="2623" spans="1:10" hidden="1" x14ac:dyDescent="0.25">
      <c r="A2623" s="112" t="s">
        <v>6231</v>
      </c>
      <c r="B2623" s="113" t="s">
        <v>4993</v>
      </c>
      <c r="C2623" s="114" t="s">
        <v>20</v>
      </c>
      <c r="D2623" s="114">
        <v>0</v>
      </c>
      <c r="E2623" s="133">
        <f ca="1">OFFSET(INDEX(Composições!A:J,MATCH(Orçamentária!A2623,Composições!A:A,0),8),2,0)</f>
        <v>11.138749999999998</v>
      </c>
      <c r="F2623" s="134">
        <f t="shared" ca="1" si="132"/>
        <v>0</v>
      </c>
      <c r="G2623" s="135" t="e">
        <f>IF(A2623&lt;&gt;"",IF(AND(#REF!="Padrão",$H$4=#REF!),BDI!$B$17,IF(AND(#REF!="Padrão",$H$4=#REF!),BDI!#REF!,IF(AND(#REF!="Diferenciado",$H$4=#REF!),BDI!$E$17,IF(AND(#REF!="Diferenciado",$H$4=#REF!),BDI!#REF!,IF(#REF!="ZERO",0))))),"")</f>
        <v>#REF!</v>
      </c>
      <c r="H2623" s="136" t="e">
        <f t="shared" ca="1" si="133"/>
        <v>#REF!</v>
      </c>
      <c r="I2623" s="134" t="e">
        <f t="shared" ca="1" si="134"/>
        <v>#REF!</v>
      </c>
      <c r="J2623" s="226"/>
    </row>
    <row r="2624" spans="1:10" hidden="1" x14ac:dyDescent="0.25">
      <c r="A2624" s="112" t="s">
        <v>6471</v>
      </c>
      <c r="B2624" s="113" t="s">
        <v>6472</v>
      </c>
      <c r="C2624" s="114" t="s">
        <v>20</v>
      </c>
      <c r="D2624" s="114">
        <v>0</v>
      </c>
      <c r="E2624" s="133" t="s">
        <v>514</v>
      </c>
      <c r="F2624" s="134" t="str">
        <f t="shared" ref="F2624:F2681" si="135">IF(ISNUMBER(E2624),D2624*E2624,"")</f>
        <v/>
      </c>
      <c r="G2624" s="135" t="e">
        <f>IF(A2624&lt;&gt;"",IF(AND(#REF!="Padrão",$H$4=#REF!),BDI!$B$17,IF(AND(#REF!="Padrão",$H$4=#REF!),BDI!#REF!,IF(AND(#REF!="Diferenciado",$H$4=#REF!),BDI!$E$17,IF(AND(#REF!="Diferenciado",$H$4=#REF!),BDI!#REF!,IF(#REF!="ZERO",0))))),"")</f>
        <v>#REF!</v>
      </c>
      <c r="H2624" s="136" t="str">
        <f t="shared" ref="H2624:H2681" si="136">IF(ISNUMBER(E2624),ROUND(E2624*(1+G2624),2),"")</f>
        <v/>
      </c>
      <c r="I2624" s="134" t="str">
        <f t="shared" ref="I2624:I2681" si="137">IF(ISNUMBER(E2624),ROUND(H2624*D2624,2),"")</f>
        <v/>
      </c>
      <c r="J2624" s="226"/>
    </row>
    <row r="2625" spans="1:10" hidden="1" x14ac:dyDescent="0.25">
      <c r="A2625" s="112" t="s">
        <v>6473</v>
      </c>
      <c r="B2625" s="113" t="s">
        <v>6474</v>
      </c>
      <c r="C2625" s="114" t="s">
        <v>20</v>
      </c>
      <c r="D2625" s="114">
        <v>0</v>
      </c>
      <c r="E2625" s="133" t="s">
        <v>514</v>
      </c>
      <c r="F2625" s="134" t="str">
        <f t="shared" si="135"/>
        <v/>
      </c>
      <c r="G2625" s="135" t="e">
        <f>IF(A2625&lt;&gt;"",IF(AND(#REF!="Padrão",$H$4=#REF!),BDI!$B$17,IF(AND(#REF!="Padrão",$H$4=#REF!),BDI!#REF!,IF(AND(#REF!="Diferenciado",$H$4=#REF!),BDI!$E$17,IF(AND(#REF!="Diferenciado",$H$4=#REF!),BDI!#REF!,IF(#REF!="ZERO",0))))),"")</f>
        <v>#REF!</v>
      </c>
      <c r="H2625" s="136" t="str">
        <f t="shared" si="136"/>
        <v/>
      </c>
      <c r="I2625" s="134" t="str">
        <f t="shared" si="137"/>
        <v/>
      </c>
      <c r="J2625" s="226"/>
    </row>
    <row r="2626" spans="1:10" hidden="1" x14ac:dyDescent="0.25">
      <c r="A2626" s="112" t="s">
        <v>6475</v>
      </c>
      <c r="B2626" s="113" t="s">
        <v>6476</v>
      </c>
      <c r="C2626" s="114" t="s">
        <v>20</v>
      </c>
      <c r="D2626" s="114">
        <v>0</v>
      </c>
      <c r="E2626" s="133" t="s">
        <v>514</v>
      </c>
      <c r="F2626" s="134" t="str">
        <f t="shared" si="135"/>
        <v/>
      </c>
      <c r="G2626" s="135" t="e">
        <f>IF(A2626&lt;&gt;"",IF(AND(#REF!="Padrão",$H$4=#REF!),BDI!$B$17,IF(AND(#REF!="Padrão",$H$4=#REF!),BDI!#REF!,IF(AND(#REF!="Diferenciado",$H$4=#REF!),BDI!$E$17,IF(AND(#REF!="Diferenciado",$H$4=#REF!),BDI!#REF!,IF(#REF!="ZERO",0))))),"")</f>
        <v>#REF!</v>
      </c>
      <c r="H2626" s="136" t="str">
        <f t="shared" si="136"/>
        <v/>
      </c>
      <c r="I2626" s="134" t="str">
        <f t="shared" si="137"/>
        <v/>
      </c>
      <c r="J2626" s="226"/>
    </row>
    <row r="2627" spans="1:10" hidden="1" x14ac:dyDescent="0.25">
      <c r="A2627" s="112" t="s">
        <v>6477</v>
      </c>
      <c r="B2627" s="113" t="s">
        <v>6478</v>
      </c>
      <c r="C2627" s="114" t="s">
        <v>20</v>
      </c>
      <c r="D2627" s="114">
        <v>0</v>
      </c>
      <c r="E2627" s="133" t="s">
        <v>514</v>
      </c>
      <c r="F2627" s="134" t="str">
        <f t="shared" si="135"/>
        <v/>
      </c>
      <c r="G2627" s="135" t="e">
        <f>IF(A2627&lt;&gt;"",IF(AND(#REF!="Padrão",$H$4=#REF!),BDI!$B$17,IF(AND(#REF!="Padrão",$H$4=#REF!),BDI!#REF!,IF(AND(#REF!="Diferenciado",$H$4=#REF!),BDI!$E$17,IF(AND(#REF!="Diferenciado",$H$4=#REF!),BDI!#REF!,IF(#REF!="ZERO",0))))),"")</f>
        <v>#REF!</v>
      </c>
      <c r="H2627" s="136" t="str">
        <f t="shared" si="136"/>
        <v/>
      </c>
      <c r="I2627" s="134" t="str">
        <f t="shared" si="137"/>
        <v/>
      </c>
      <c r="J2627" s="226"/>
    </row>
    <row r="2628" spans="1:10" hidden="1" x14ac:dyDescent="0.25">
      <c r="A2628" s="112" t="s">
        <v>6479</v>
      </c>
      <c r="B2628" s="113" t="s">
        <v>6480</v>
      </c>
      <c r="C2628" s="114" t="s">
        <v>20</v>
      </c>
      <c r="D2628" s="114">
        <v>0</v>
      </c>
      <c r="E2628" s="133" t="s">
        <v>514</v>
      </c>
      <c r="F2628" s="134" t="str">
        <f t="shared" si="135"/>
        <v/>
      </c>
      <c r="G2628" s="135" t="e">
        <f>IF(A2628&lt;&gt;"",IF(AND(#REF!="Padrão",$H$4=#REF!),BDI!$B$17,IF(AND(#REF!="Padrão",$H$4=#REF!),BDI!#REF!,IF(AND(#REF!="Diferenciado",$H$4=#REF!),BDI!$E$17,IF(AND(#REF!="Diferenciado",$H$4=#REF!),BDI!#REF!,IF(#REF!="ZERO",0))))),"")</f>
        <v>#REF!</v>
      </c>
      <c r="H2628" s="136" t="str">
        <f t="shared" si="136"/>
        <v/>
      </c>
      <c r="I2628" s="134" t="str">
        <f t="shared" si="137"/>
        <v/>
      </c>
      <c r="J2628" s="226"/>
    </row>
    <row r="2629" spans="1:10" hidden="1" x14ac:dyDescent="0.25">
      <c r="A2629" s="112" t="s">
        <v>6481</v>
      </c>
      <c r="B2629" s="113" t="s">
        <v>6482</v>
      </c>
      <c r="C2629" s="114" t="s">
        <v>20</v>
      </c>
      <c r="D2629" s="114">
        <v>0</v>
      </c>
      <c r="E2629" s="133" t="s">
        <v>514</v>
      </c>
      <c r="F2629" s="134" t="str">
        <f t="shared" si="135"/>
        <v/>
      </c>
      <c r="G2629" s="135" t="e">
        <f>IF(A2629&lt;&gt;"",IF(AND(#REF!="Padrão",$H$4=#REF!),BDI!$B$17,IF(AND(#REF!="Padrão",$H$4=#REF!),BDI!#REF!,IF(AND(#REF!="Diferenciado",$H$4=#REF!),BDI!$E$17,IF(AND(#REF!="Diferenciado",$H$4=#REF!),BDI!#REF!,IF(#REF!="ZERO",0))))),"")</f>
        <v>#REF!</v>
      </c>
      <c r="H2629" s="136" t="str">
        <f t="shared" si="136"/>
        <v/>
      </c>
      <c r="I2629" s="134" t="str">
        <f t="shared" si="137"/>
        <v/>
      </c>
      <c r="J2629" s="226"/>
    </row>
    <row r="2630" spans="1:10" hidden="1" x14ac:dyDescent="0.25">
      <c r="A2630" s="112" t="s">
        <v>6483</v>
      </c>
      <c r="B2630" s="113" t="s">
        <v>6484</v>
      </c>
      <c r="C2630" s="114" t="s">
        <v>20</v>
      </c>
      <c r="D2630" s="114">
        <v>0</v>
      </c>
      <c r="E2630" s="133" t="s">
        <v>514</v>
      </c>
      <c r="F2630" s="134" t="str">
        <f t="shared" si="135"/>
        <v/>
      </c>
      <c r="G2630" s="135" t="e">
        <f>IF(A2630&lt;&gt;"",IF(AND(#REF!="Padrão",$H$4=#REF!),BDI!$B$17,IF(AND(#REF!="Padrão",$H$4=#REF!),BDI!#REF!,IF(AND(#REF!="Diferenciado",$H$4=#REF!),BDI!$E$17,IF(AND(#REF!="Diferenciado",$H$4=#REF!),BDI!#REF!,IF(#REF!="ZERO",0))))),"")</f>
        <v>#REF!</v>
      </c>
      <c r="H2630" s="136" t="str">
        <f t="shared" si="136"/>
        <v/>
      </c>
      <c r="I2630" s="134" t="str">
        <f t="shared" si="137"/>
        <v/>
      </c>
      <c r="J2630" s="226"/>
    </row>
    <row r="2631" spans="1:10" hidden="1" x14ac:dyDescent="0.25">
      <c r="A2631" s="112" t="s">
        <v>6485</v>
      </c>
      <c r="B2631" s="113" t="s">
        <v>6486</v>
      </c>
      <c r="C2631" s="114" t="s">
        <v>20</v>
      </c>
      <c r="D2631" s="114">
        <v>0</v>
      </c>
      <c r="E2631" s="133" t="s">
        <v>514</v>
      </c>
      <c r="F2631" s="134" t="str">
        <f t="shared" si="135"/>
        <v/>
      </c>
      <c r="G2631" s="135" t="e">
        <f>IF(A2631&lt;&gt;"",IF(AND(#REF!="Padrão",$H$4=#REF!),BDI!$B$17,IF(AND(#REF!="Padrão",$H$4=#REF!),BDI!#REF!,IF(AND(#REF!="Diferenciado",$H$4=#REF!),BDI!$E$17,IF(AND(#REF!="Diferenciado",$H$4=#REF!),BDI!#REF!,IF(#REF!="ZERO",0))))),"")</f>
        <v>#REF!</v>
      </c>
      <c r="H2631" s="136" t="str">
        <f t="shared" si="136"/>
        <v/>
      </c>
      <c r="I2631" s="134" t="str">
        <f t="shared" si="137"/>
        <v/>
      </c>
      <c r="J2631" s="226"/>
    </row>
    <row r="2632" spans="1:10" hidden="1" x14ac:dyDescent="0.25">
      <c r="A2632" s="112" t="s">
        <v>6487</v>
      </c>
      <c r="B2632" s="113" t="s">
        <v>6488</v>
      </c>
      <c r="C2632" s="114" t="s">
        <v>20</v>
      </c>
      <c r="D2632" s="114">
        <v>0</v>
      </c>
      <c r="E2632" s="133" t="s">
        <v>514</v>
      </c>
      <c r="F2632" s="134" t="str">
        <f t="shared" si="135"/>
        <v/>
      </c>
      <c r="G2632" s="135" t="e">
        <f>IF(A2632&lt;&gt;"",IF(AND(#REF!="Padrão",$H$4=#REF!),BDI!$B$17,IF(AND(#REF!="Padrão",$H$4=#REF!),BDI!#REF!,IF(AND(#REF!="Diferenciado",$H$4=#REF!),BDI!$E$17,IF(AND(#REF!="Diferenciado",$H$4=#REF!),BDI!#REF!,IF(#REF!="ZERO",0))))),"")</f>
        <v>#REF!</v>
      </c>
      <c r="H2632" s="136" t="str">
        <f t="shared" si="136"/>
        <v/>
      </c>
      <c r="I2632" s="134" t="str">
        <f t="shared" si="137"/>
        <v/>
      </c>
      <c r="J2632" s="226"/>
    </row>
    <row r="2633" spans="1:10" hidden="1" x14ac:dyDescent="0.25">
      <c r="A2633" s="112" t="s">
        <v>6489</v>
      </c>
      <c r="B2633" s="113" t="s">
        <v>6490</v>
      </c>
      <c r="C2633" s="114" t="s">
        <v>20</v>
      </c>
      <c r="D2633" s="114">
        <v>0</v>
      </c>
      <c r="E2633" s="133" t="s">
        <v>514</v>
      </c>
      <c r="F2633" s="134" t="str">
        <f t="shared" si="135"/>
        <v/>
      </c>
      <c r="G2633" s="135" t="e">
        <f>IF(A2633&lt;&gt;"",IF(AND(#REF!="Padrão",$H$4=#REF!),BDI!$B$17,IF(AND(#REF!="Padrão",$H$4=#REF!),BDI!#REF!,IF(AND(#REF!="Diferenciado",$H$4=#REF!),BDI!$E$17,IF(AND(#REF!="Diferenciado",$H$4=#REF!),BDI!#REF!,IF(#REF!="ZERO",0))))),"")</f>
        <v>#REF!</v>
      </c>
      <c r="H2633" s="136" t="str">
        <f t="shared" si="136"/>
        <v/>
      </c>
      <c r="I2633" s="134" t="str">
        <f t="shared" si="137"/>
        <v/>
      </c>
      <c r="J2633" s="226"/>
    </row>
    <row r="2634" spans="1:10" ht="25.5" hidden="1" x14ac:dyDescent="0.25">
      <c r="A2634" s="112" t="s">
        <v>6491</v>
      </c>
      <c r="B2634" s="113" t="s">
        <v>6492</v>
      </c>
      <c r="C2634" s="114" t="s">
        <v>20</v>
      </c>
      <c r="D2634" s="114">
        <v>0</v>
      </c>
      <c r="E2634" s="133" t="s">
        <v>514</v>
      </c>
      <c r="F2634" s="134" t="str">
        <f t="shared" si="135"/>
        <v/>
      </c>
      <c r="G2634" s="135" t="e">
        <f>IF(A2634&lt;&gt;"",IF(AND(#REF!="Padrão",$H$4=#REF!),BDI!$B$17,IF(AND(#REF!="Padrão",$H$4=#REF!),BDI!#REF!,IF(AND(#REF!="Diferenciado",$H$4=#REF!),BDI!$E$17,IF(AND(#REF!="Diferenciado",$H$4=#REF!),BDI!#REF!,IF(#REF!="ZERO",0))))),"")</f>
        <v>#REF!</v>
      </c>
      <c r="H2634" s="136" t="str">
        <f t="shared" si="136"/>
        <v/>
      </c>
      <c r="I2634" s="134" t="str">
        <f t="shared" si="137"/>
        <v/>
      </c>
      <c r="J2634" s="226"/>
    </row>
    <row r="2635" spans="1:10" ht="25.5" hidden="1" x14ac:dyDescent="0.25">
      <c r="A2635" s="112" t="s">
        <v>6493</v>
      </c>
      <c r="B2635" s="113" t="s">
        <v>6494</v>
      </c>
      <c r="C2635" s="114" t="s">
        <v>20</v>
      </c>
      <c r="D2635" s="114">
        <v>0</v>
      </c>
      <c r="E2635" s="133" t="s">
        <v>514</v>
      </c>
      <c r="F2635" s="134" t="str">
        <f t="shared" si="135"/>
        <v/>
      </c>
      <c r="G2635" s="135" t="e">
        <f>IF(A2635&lt;&gt;"",IF(AND(#REF!="Padrão",$H$4=#REF!),BDI!$B$17,IF(AND(#REF!="Padrão",$H$4=#REF!),BDI!#REF!,IF(AND(#REF!="Diferenciado",$H$4=#REF!),BDI!$E$17,IF(AND(#REF!="Diferenciado",$H$4=#REF!),BDI!#REF!,IF(#REF!="ZERO",0))))),"")</f>
        <v>#REF!</v>
      </c>
      <c r="H2635" s="136" t="str">
        <f t="shared" si="136"/>
        <v/>
      </c>
      <c r="I2635" s="134" t="str">
        <f t="shared" si="137"/>
        <v/>
      </c>
      <c r="J2635" s="226"/>
    </row>
    <row r="2636" spans="1:10" hidden="1" x14ac:dyDescent="0.25">
      <c r="A2636" s="112" t="s">
        <v>6495</v>
      </c>
      <c r="B2636" s="113" t="s">
        <v>6496</v>
      </c>
      <c r="C2636" s="114" t="s">
        <v>20</v>
      </c>
      <c r="D2636" s="114">
        <v>0</v>
      </c>
      <c r="E2636" s="133" t="s">
        <v>514</v>
      </c>
      <c r="F2636" s="134" t="str">
        <f t="shared" si="135"/>
        <v/>
      </c>
      <c r="G2636" s="135" t="e">
        <f>IF(A2636&lt;&gt;"",IF(AND(#REF!="Padrão",$H$4=#REF!),BDI!$B$17,IF(AND(#REF!="Padrão",$H$4=#REF!),BDI!#REF!,IF(AND(#REF!="Diferenciado",$H$4=#REF!),BDI!$E$17,IF(AND(#REF!="Diferenciado",$H$4=#REF!),BDI!#REF!,IF(#REF!="ZERO",0))))),"")</f>
        <v>#REF!</v>
      </c>
      <c r="H2636" s="136" t="str">
        <f t="shared" si="136"/>
        <v/>
      </c>
      <c r="I2636" s="134" t="str">
        <f t="shared" si="137"/>
        <v/>
      </c>
      <c r="J2636" s="226"/>
    </row>
    <row r="2637" spans="1:10" hidden="1" x14ac:dyDescent="0.25">
      <c r="A2637" s="112" t="s">
        <v>6497</v>
      </c>
      <c r="B2637" s="113" t="s">
        <v>6498</v>
      </c>
      <c r="C2637" s="114" t="s">
        <v>20</v>
      </c>
      <c r="D2637" s="114">
        <v>0</v>
      </c>
      <c r="E2637" s="133" t="s">
        <v>514</v>
      </c>
      <c r="F2637" s="134" t="str">
        <f t="shared" si="135"/>
        <v/>
      </c>
      <c r="G2637" s="135" t="e">
        <f>IF(A2637&lt;&gt;"",IF(AND(#REF!="Padrão",$H$4=#REF!),BDI!$B$17,IF(AND(#REF!="Padrão",$H$4=#REF!),BDI!#REF!,IF(AND(#REF!="Diferenciado",$H$4=#REF!),BDI!$E$17,IF(AND(#REF!="Diferenciado",$H$4=#REF!),BDI!#REF!,IF(#REF!="ZERO",0))))),"")</f>
        <v>#REF!</v>
      </c>
      <c r="H2637" s="136" t="str">
        <f t="shared" si="136"/>
        <v/>
      </c>
      <c r="I2637" s="134" t="str">
        <f t="shared" si="137"/>
        <v/>
      </c>
      <c r="J2637" s="226"/>
    </row>
    <row r="2638" spans="1:10" hidden="1" x14ac:dyDescent="0.25">
      <c r="A2638" s="112" t="s">
        <v>6499</v>
      </c>
      <c r="B2638" s="113" t="s">
        <v>6500</v>
      </c>
      <c r="C2638" s="114" t="s">
        <v>42</v>
      </c>
      <c r="D2638" s="114">
        <v>0</v>
      </c>
      <c r="E2638" s="133" t="s">
        <v>514</v>
      </c>
      <c r="F2638" s="134" t="str">
        <f t="shared" si="135"/>
        <v/>
      </c>
      <c r="G2638" s="135" t="e">
        <f>IF(A2638&lt;&gt;"",IF(AND(#REF!="Padrão",$H$4=#REF!),BDI!$B$17,IF(AND(#REF!="Padrão",$H$4=#REF!),BDI!#REF!,IF(AND(#REF!="Diferenciado",$H$4=#REF!),BDI!$E$17,IF(AND(#REF!="Diferenciado",$H$4=#REF!),BDI!#REF!,IF(#REF!="ZERO",0))))),"")</f>
        <v>#REF!</v>
      </c>
      <c r="H2638" s="136" t="str">
        <f t="shared" si="136"/>
        <v/>
      </c>
      <c r="I2638" s="134" t="str">
        <f t="shared" si="137"/>
        <v/>
      </c>
      <c r="J2638" s="226"/>
    </row>
    <row r="2639" spans="1:10" hidden="1" x14ac:dyDescent="0.25">
      <c r="A2639" s="112" t="s">
        <v>6501</v>
      </c>
      <c r="B2639" s="113" t="s">
        <v>6502</v>
      </c>
      <c r="C2639" s="114" t="s">
        <v>20</v>
      </c>
      <c r="D2639" s="114">
        <v>0</v>
      </c>
      <c r="E2639" s="133" t="s">
        <v>514</v>
      </c>
      <c r="F2639" s="134" t="str">
        <f t="shared" si="135"/>
        <v/>
      </c>
      <c r="G2639" s="135" t="e">
        <f>IF(A2639&lt;&gt;"",IF(AND(#REF!="Padrão",$H$4=#REF!),BDI!$B$17,IF(AND(#REF!="Padrão",$H$4=#REF!),BDI!#REF!,IF(AND(#REF!="Diferenciado",$H$4=#REF!),BDI!$E$17,IF(AND(#REF!="Diferenciado",$H$4=#REF!),BDI!#REF!,IF(#REF!="ZERO",0))))),"")</f>
        <v>#REF!</v>
      </c>
      <c r="H2639" s="136" t="str">
        <f t="shared" si="136"/>
        <v/>
      </c>
      <c r="I2639" s="134" t="str">
        <f t="shared" si="137"/>
        <v/>
      </c>
      <c r="J2639" s="226"/>
    </row>
    <row r="2640" spans="1:10" hidden="1" x14ac:dyDescent="0.25">
      <c r="A2640" s="112" t="s">
        <v>6503</v>
      </c>
      <c r="B2640" s="113" t="s">
        <v>6504</v>
      </c>
      <c r="C2640" s="114" t="s">
        <v>20</v>
      </c>
      <c r="D2640" s="114">
        <v>0</v>
      </c>
      <c r="E2640" s="133" t="s">
        <v>514</v>
      </c>
      <c r="F2640" s="134" t="str">
        <f t="shared" si="135"/>
        <v/>
      </c>
      <c r="G2640" s="135" t="e">
        <f>IF(A2640&lt;&gt;"",IF(AND(#REF!="Padrão",$H$4=#REF!),BDI!$B$17,IF(AND(#REF!="Padrão",$H$4=#REF!),BDI!#REF!,IF(AND(#REF!="Diferenciado",$H$4=#REF!),BDI!$E$17,IF(AND(#REF!="Diferenciado",$H$4=#REF!),BDI!#REF!,IF(#REF!="ZERO",0))))),"")</f>
        <v>#REF!</v>
      </c>
      <c r="H2640" s="136" t="str">
        <f t="shared" si="136"/>
        <v/>
      </c>
      <c r="I2640" s="134" t="str">
        <f t="shared" si="137"/>
        <v/>
      </c>
      <c r="J2640" s="226"/>
    </row>
    <row r="2641" spans="1:10" hidden="1" x14ac:dyDescent="0.25">
      <c r="A2641" s="112" t="s">
        <v>6505</v>
      </c>
      <c r="B2641" s="113" t="s">
        <v>6506</v>
      </c>
      <c r="C2641" s="114" t="s">
        <v>20</v>
      </c>
      <c r="D2641" s="114">
        <v>0</v>
      </c>
      <c r="E2641" s="133" t="s">
        <v>514</v>
      </c>
      <c r="F2641" s="134" t="str">
        <f t="shared" si="135"/>
        <v/>
      </c>
      <c r="G2641" s="135" t="e">
        <f>IF(A2641&lt;&gt;"",IF(AND(#REF!="Padrão",$H$4=#REF!),BDI!$B$17,IF(AND(#REF!="Padrão",$H$4=#REF!),BDI!#REF!,IF(AND(#REF!="Diferenciado",$H$4=#REF!),BDI!$E$17,IF(AND(#REF!="Diferenciado",$H$4=#REF!),BDI!#REF!,IF(#REF!="ZERO",0))))),"")</f>
        <v>#REF!</v>
      </c>
      <c r="H2641" s="136" t="str">
        <f t="shared" si="136"/>
        <v/>
      </c>
      <c r="I2641" s="134" t="str">
        <f t="shared" si="137"/>
        <v/>
      </c>
      <c r="J2641" s="226"/>
    </row>
    <row r="2642" spans="1:10" hidden="1" x14ac:dyDescent="0.25">
      <c r="A2642" s="112" t="s">
        <v>6507</v>
      </c>
      <c r="B2642" s="113" t="s">
        <v>6508</v>
      </c>
      <c r="C2642" s="114" t="s">
        <v>20</v>
      </c>
      <c r="D2642" s="114">
        <v>0</v>
      </c>
      <c r="E2642" s="133" t="s">
        <v>514</v>
      </c>
      <c r="F2642" s="134" t="str">
        <f t="shared" si="135"/>
        <v/>
      </c>
      <c r="G2642" s="135" t="e">
        <f>IF(A2642&lt;&gt;"",IF(AND(#REF!="Padrão",$H$4=#REF!),BDI!$B$17,IF(AND(#REF!="Padrão",$H$4=#REF!),BDI!#REF!,IF(AND(#REF!="Diferenciado",$H$4=#REF!),BDI!$E$17,IF(AND(#REF!="Diferenciado",$H$4=#REF!),BDI!#REF!,IF(#REF!="ZERO",0))))),"")</f>
        <v>#REF!</v>
      </c>
      <c r="H2642" s="136" t="str">
        <f t="shared" si="136"/>
        <v/>
      </c>
      <c r="I2642" s="134" t="str">
        <f t="shared" si="137"/>
        <v/>
      </c>
      <c r="J2642" s="226"/>
    </row>
    <row r="2643" spans="1:10" hidden="1" x14ac:dyDescent="0.25">
      <c r="A2643" s="112" t="s">
        <v>6509</v>
      </c>
      <c r="B2643" s="113" t="s">
        <v>6510</v>
      </c>
      <c r="C2643" s="114" t="s">
        <v>20</v>
      </c>
      <c r="D2643" s="114">
        <v>0</v>
      </c>
      <c r="E2643" s="133" t="s">
        <v>514</v>
      </c>
      <c r="F2643" s="134" t="str">
        <f t="shared" si="135"/>
        <v/>
      </c>
      <c r="G2643" s="135" t="e">
        <f>IF(A2643&lt;&gt;"",IF(AND(#REF!="Padrão",$H$4=#REF!),BDI!$B$17,IF(AND(#REF!="Padrão",$H$4=#REF!),BDI!#REF!,IF(AND(#REF!="Diferenciado",$H$4=#REF!),BDI!$E$17,IF(AND(#REF!="Diferenciado",$H$4=#REF!),BDI!#REF!,IF(#REF!="ZERO",0))))),"")</f>
        <v>#REF!</v>
      </c>
      <c r="H2643" s="136" t="str">
        <f t="shared" si="136"/>
        <v/>
      </c>
      <c r="I2643" s="134" t="str">
        <f t="shared" si="137"/>
        <v/>
      </c>
      <c r="J2643" s="226"/>
    </row>
    <row r="2644" spans="1:10" hidden="1" x14ac:dyDescent="0.25">
      <c r="A2644" s="112" t="s">
        <v>6511</v>
      </c>
      <c r="B2644" s="113" t="s">
        <v>6512</v>
      </c>
      <c r="C2644" s="114" t="s">
        <v>20</v>
      </c>
      <c r="D2644" s="114">
        <v>0</v>
      </c>
      <c r="E2644" s="133" t="s">
        <v>514</v>
      </c>
      <c r="F2644" s="134" t="str">
        <f t="shared" si="135"/>
        <v/>
      </c>
      <c r="G2644" s="135" t="e">
        <f>IF(A2644&lt;&gt;"",IF(AND(#REF!="Padrão",$H$4=#REF!),BDI!$B$17,IF(AND(#REF!="Padrão",$H$4=#REF!),BDI!#REF!,IF(AND(#REF!="Diferenciado",$H$4=#REF!),BDI!$E$17,IF(AND(#REF!="Diferenciado",$H$4=#REF!),BDI!#REF!,IF(#REF!="ZERO",0))))),"")</f>
        <v>#REF!</v>
      </c>
      <c r="H2644" s="136" t="str">
        <f t="shared" si="136"/>
        <v/>
      </c>
      <c r="I2644" s="134" t="str">
        <f t="shared" si="137"/>
        <v/>
      </c>
      <c r="J2644" s="226"/>
    </row>
    <row r="2645" spans="1:10" hidden="1" x14ac:dyDescent="0.25">
      <c r="A2645" s="112" t="s">
        <v>6513</v>
      </c>
      <c r="B2645" s="113" t="s">
        <v>6514</v>
      </c>
      <c r="C2645" s="114" t="s">
        <v>20</v>
      </c>
      <c r="D2645" s="114">
        <v>0</v>
      </c>
      <c r="E2645" s="133" t="s">
        <v>514</v>
      </c>
      <c r="F2645" s="134" t="str">
        <f t="shared" si="135"/>
        <v/>
      </c>
      <c r="G2645" s="135" t="e">
        <f>IF(A2645&lt;&gt;"",IF(AND(#REF!="Padrão",$H$4=#REF!),BDI!$B$17,IF(AND(#REF!="Padrão",$H$4=#REF!),BDI!#REF!,IF(AND(#REF!="Diferenciado",$H$4=#REF!),BDI!$E$17,IF(AND(#REF!="Diferenciado",$H$4=#REF!),BDI!#REF!,IF(#REF!="ZERO",0))))),"")</f>
        <v>#REF!</v>
      </c>
      <c r="H2645" s="136" t="str">
        <f t="shared" si="136"/>
        <v/>
      </c>
      <c r="I2645" s="134" t="str">
        <f t="shared" si="137"/>
        <v/>
      </c>
      <c r="J2645" s="226"/>
    </row>
    <row r="2646" spans="1:10" hidden="1" x14ac:dyDescent="0.25">
      <c r="A2646" s="112" t="s">
        <v>6515</v>
      </c>
      <c r="B2646" s="113" t="s">
        <v>6516</v>
      </c>
      <c r="C2646" s="114" t="s">
        <v>20</v>
      </c>
      <c r="D2646" s="114">
        <v>0</v>
      </c>
      <c r="E2646" s="133" t="s">
        <v>514</v>
      </c>
      <c r="F2646" s="134" t="str">
        <f t="shared" si="135"/>
        <v/>
      </c>
      <c r="G2646" s="135" t="e">
        <f>IF(A2646&lt;&gt;"",IF(AND(#REF!="Padrão",$H$4=#REF!),BDI!$B$17,IF(AND(#REF!="Padrão",$H$4=#REF!),BDI!#REF!,IF(AND(#REF!="Diferenciado",$H$4=#REF!),BDI!$E$17,IF(AND(#REF!="Diferenciado",$H$4=#REF!),BDI!#REF!,IF(#REF!="ZERO",0))))),"")</f>
        <v>#REF!</v>
      </c>
      <c r="H2646" s="136" t="str">
        <f t="shared" si="136"/>
        <v/>
      </c>
      <c r="I2646" s="134" t="str">
        <f t="shared" si="137"/>
        <v/>
      </c>
      <c r="J2646" s="226"/>
    </row>
    <row r="2647" spans="1:10" hidden="1" x14ac:dyDescent="0.25">
      <c r="A2647" s="112" t="s">
        <v>6517</v>
      </c>
      <c r="B2647" s="113" t="s">
        <v>6518</v>
      </c>
      <c r="C2647" s="114" t="s">
        <v>20</v>
      </c>
      <c r="D2647" s="114">
        <v>0</v>
      </c>
      <c r="E2647" s="133" t="s">
        <v>514</v>
      </c>
      <c r="F2647" s="134" t="str">
        <f t="shared" si="135"/>
        <v/>
      </c>
      <c r="G2647" s="135" t="e">
        <f>IF(A2647&lt;&gt;"",IF(AND(#REF!="Padrão",$H$4=#REF!),BDI!$B$17,IF(AND(#REF!="Padrão",$H$4=#REF!),BDI!#REF!,IF(AND(#REF!="Diferenciado",$H$4=#REF!),BDI!$E$17,IF(AND(#REF!="Diferenciado",$H$4=#REF!),BDI!#REF!,IF(#REF!="ZERO",0))))),"")</f>
        <v>#REF!</v>
      </c>
      <c r="H2647" s="136" t="str">
        <f t="shared" si="136"/>
        <v/>
      </c>
      <c r="I2647" s="134" t="str">
        <f t="shared" si="137"/>
        <v/>
      </c>
      <c r="J2647" s="226"/>
    </row>
    <row r="2648" spans="1:10" hidden="1" x14ac:dyDescent="0.25">
      <c r="A2648" s="112" t="s">
        <v>6519</v>
      </c>
      <c r="B2648" s="113" t="s">
        <v>6520</v>
      </c>
      <c r="C2648" s="114" t="s">
        <v>20</v>
      </c>
      <c r="D2648" s="114">
        <v>0</v>
      </c>
      <c r="E2648" s="133" t="s">
        <v>514</v>
      </c>
      <c r="F2648" s="134" t="str">
        <f t="shared" si="135"/>
        <v/>
      </c>
      <c r="G2648" s="135" t="e">
        <f>IF(A2648&lt;&gt;"",IF(AND(#REF!="Padrão",$H$4=#REF!),BDI!$B$17,IF(AND(#REF!="Padrão",$H$4=#REF!),BDI!#REF!,IF(AND(#REF!="Diferenciado",$H$4=#REF!),BDI!$E$17,IF(AND(#REF!="Diferenciado",$H$4=#REF!),BDI!#REF!,IF(#REF!="ZERO",0))))),"")</f>
        <v>#REF!</v>
      </c>
      <c r="H2648" s="136" t="str">
        <f t="shared" si="136"/>
        <v/>
      </c>
      <c r="I2648" s="134" t="str">
        <f t="shared" si="137"/>
        <v/>
      </c>
      <c r="J2648" s="226"/>
    </row>
    <row r="2649" spans="1:10" hidden="1" x14ac:dyDescent="0.25">
      <c r="A2649" s="112" t="s">
        <v>6521</v>
      </c>
      <c r="B2649" s="113" t="s">
        <v>6522</v>
      </c>
      <c r="C2649" s="114" t="s">
        <v>20</v>
      </c>
      <c r="D2649" s="114">
        <v>0</v>
      </c>
      <c r="E2649" s="133" t="s">
        <v>514</v>
      </c>
      <c r="F2649" s="134" t="str">
        <f t="shared" si="135"/>
        <v/>
      </c>
      <c r="G2649" s="135" t="e">
        <f>IF(A2649&lt;&gt;"",IF(AND(#REF!="Padrão",$H$4=#REF!),BDI!$B$17,IF(AND(#REF!="Padrão",$H$4=#REF!),BDI!#REF!,IF(AND(#REF!="Diferenciado",$H$4=#REF!),BDI!$E$17,IF(AND(#REF!="Diferenciado",$H$4=#REF!),BDI!#REF!,IF(#REF!="ZERO",0))))),"")</f>
        <v>#REF!</v>
      </c>
      <c r="H2649" s="136" t="str">
        <f t="shared" si="136"/>
        <v/>
      </c>
      <c r="I2649" s="134" t="str">
        <f t="shared" si="137"/>
        <v/>
      </c>
      <c r="J2649" s="226"/>
    </row>
    <row r="2650" spans="1:10" hidden="1" x14ac:dyDescent="0.25">
      <c r="A2650" s="112" t="s">
        <v>6523</v>
      </c>
      <c r="B2650" s="113" t="s">
        <v>6524</v>
      </c>
      <c r="C2650" s="114" t="s">
        <v>92</v>
      </c>
      <c r="D2650" s="114">
        <v>0</v>
      </c>
      <c r="E2650" s="133" t="s">
        <v>514</v>
      </c>
      <c r="F2650" s="134" t="str">
        <f t="shared" si="135"/>
        <v/>
      </c>
      <c r="G2650" s="135" t="e">
        <f>IF(A2650&lt;&gt;"",IF(AND(#REF!="Padrão",$H$4=#REF!),BDI!$B$17,IF(AND(#REF!="Padrão",$H$4=#REF!),BDI!#REF!,IF(AND(#REF!="Diferenciado",$H$4=#REF!),BDI!$E$17,IF(AND(#REF!="Diferenciado",$H$4=#REF!),BDI!#REF!,IF(#REF!="ZERO",0))))),"")</f>
        <v>#REF!</v>
      </c>
      <c r="H2650" s="136" t="str">
        <f t="shared" si="136"/>
        <v/>
      </c>
      <c r="I2650" s="134" t="str">
        <f t="shared" si="137"/>
        <v/>
      </c>
      <c r="J2650" s="226"/>
    </row>
    <row r="2651" spans="1:10" hidden="1" x14ac:dyDescent="0.25">
      <c r="A2651" s="112" t="s">
        <v>6525</v>
      </c>
      <c r="B2651" s="113" t="s">
        <v>6526</v>
      </c>
      <c r="C2651" s="114" t="s">
        <v>20</v>
      </c>
      <c r="D2651" s="114">
        <v>0</v>
      </c>
      <c r="E2651" s="133" t="s">
        <v>514</v>
      </c>
      <c r="F2651" s="134" t="str">
        <f t="shared" si="135"/>
        <v/>
      </c>
      <c r="G2651" s="135" t="e">
        <f>IF(A2651&lt;&gt;"",IF(AND(#REF!="Padrão",$H$4=#REF!),BDI!$B$17,IF(AND(#REF!="Padrão",$H$4=#REF!),BDI!#REF!,IF(AND(#REF!="Diferenciado",$H$4=#REF!),BDI!$E$17,IF(AND(#REF!="Diferenciado",$H$4=#REF!),BDI!#REF!,IF(#REF!="ZERO",0))))),"")</f>
        <v>#REF!</v>
      </c>
      <c r="H2651" s="136" t="str">
        <f t="shared" si="136"/>
        <v/>
      </c>
      <c r="I2651" s="134" t="str">
        <f t="shared" si="137"/>
        <v/>
      </c>
      <c r="J2651" s="226"/>
    </row>
    <row r="2652" spans="1:10" hidden="1" x14ac:dyDescent="0.25">
      <c r="A2652" s="112" t="s">
        <v>6527</v>
      </c>
      <c r="B2652" s="113" t="s">
        <v>6528</v>
      </c>
      <c r="C2652" s="114" t="s">
        <v>20</v>
      </c>
      <c r="D2652" s="114">
        <v>0</v>
      </c>
      <c r="E2652" s="133" t="s">
        <v>514</v>
      </c>
      <c r="F2652" s="134" t="str">
        <f t="shared" si="135"/>
        <v/>
      </c>
      <c r="G2652" s="135" t="e">
        <f>IF(A2652&lt;&gt;"",IF(AND(#REF!="Padrão",$H$4=#REF!),BDI!$B$17,IF(AND(#REF!="Padrão",$H$4=#REF!),BDI!#REF!,IF(AND(#REF!="Diferenciado",$H$4=#REF!),BDI!$E$17,IF(AND(#REF!="Diferenciado",$H$4=#REF!),BDI!#REF!,IF(#REF!="ZERO",0))))),"")</f>
        <v>#REF!</v>
      </c>
      <c r="H2652" s="136" t="str">
        <f t="shared" si="136"/>
        <v/>
      </c>
      <c r="I2652" s="134" t="str">
        <f t="shared" si="137"/>
        <v/>
      </c>
      <c r="J2652" s="226"/>
    </row>
    <row r="2653" spans="1:10" hidden="1" x14ac:dyDescent="0.25">
      <c r="A2653" s="112" t="s">
        <v>6529</v>
      </c>
      <c r="B2653" s="113" t="s">
        <v>6530</v>
      </c>
      <c r="C2653" s="114" t="s">
        <v>20</v>
      </c>
      <c r="D2653" s="114">
        <v>0</v>
      </c>
      <c r="E2653" s="133" t="s">
        <v>514</v>
      </c>
      <c r="F2653" s="134" t="str">
        <f t="shared" si="135"/>
        <v/>
      </c>
      <c r="G2653" s="135" t="e">
        <f>IF(A2653&lt;&gt;"",IF(AND(#REF!="Padrão",$H$4=#REF!),BDI!$B$17,IF(AND(#REF!="Padrão",$H$4=#REF!),BDI!#REF!,IF(AND(#REF!="Diferenciado",$H$4=#REF!),BDI!$E$17,IF(AND(#REF!="Diferenciado",$H$4=#REF!),BDI!#REF!,IF(#REF!="ZERO",0))))),"")</f>
        <v>#REF!</v>
      </c>
      <c r="H2653" s="136" t="str">
        <f t="shared" si="136"/>
        <v/>
      </c>
      <c r="I2653" s="134" t="str">
        <f t="shared" si="137"/>
        <v/>
      </c>
      <c r="J2653" s="226"/>
    </row>
    <row r="2654" spans="1:10" hidden="1" x14ac:dyDescent="0.25">
      <c r="A2654" s="112" t="s">
        <v>6531</v>
      </c>
      <c r="B2654" s="113" t="s">
        <v>6532</v>
      </c>
      <c r="C2654" s="114" t="s">
        <v>20</v>
      </c>
      <c r="D2654" s="114">
        <v>0</v>
      </c>
      <c r="E2654" s="133" t="s">
        <v>514</v>
      </c>
      <c r="F2654" s="134" t="str">
        <f t="shared" si="135"/>
        <v/>
      </c>
      <c r="G2654" s="135" t="e">
        <f>IF(A2654&lt;&gt;"",IF(AND(#REF!="Padrão",$H$4=#REF!),BDI!$B$17,IF(AND(#REF!="Padrão",$H$4=#REF!),BDI!#REF!,IF(AND(#REF!="Diferenciado",$H$4=#REF!),BDI!$E$17,IF(AND(#REF!="Diferenciado",$H$4=#REF!),BDI!#REF!,IF(#REF!="ZERO",0))))),"")</f>
        <v>#REF!</v>
      </c>
      <c r="H2654" s="136" t="str">
        <f t="shared" si="136"/>
        <v/>
      </c>
      <c r="I2654" s="134" t="str">
        <f t="shared" si="137"/>
        <v/>
      </c>
      <c r="J2654" s="226"/>
    </row>
    <row r="2655" spans="1:10" hidden="1" x14ac:dyDescent="0.25">
      <c r="A2655" s="112" t="s">
        <v>6533</v>
      </c>
      <c r="B2655" s="113" t="s">
        <v>6534</v>
      </c>
      <c r="C2655" s="114" t="s">
        <v>20</v>
      </c>
      <c r="D2655" s="114">
        <v>0</v>
      </c>
      <c r="E2655" s="133" t="s">
        <v>514</v>
      </c>
      <c r="F2655" s="134" t="str">
        <f t="shared" si="135"/>
        <v/>
      </c>
      <c r="G2655" s="135" t="e">
        <f>IF(A2655&lt;&gt;"",IF(AND(#REF!="Padrão",$H$4=#REF!),BDI!$B$17,IF(AND(#REF!="Padrão",$H$4=#REF!),BDI!#REF!,IF(AND(#REF!="Diferenciado",$H$4=#REF!),BDI!$E$17,IF(AND(#REF!="Diferenciado",$H$4=#REF!),BDI!#REF!,IF(#REF!="ZERO",0))))),"")</f>
        <v>#REF!</v>
      </c>
      <c r="H2655" s="136" t="str">
        <f t="shared" si="136"/>
        <v/>
      </c>
      <c r="I2655" s="134" t="str">
        <f t="shared" si="137"/>
        <v/>
      </c>
      <c r="J2655" s="226"/>
    </row>
    <row r="2656" spans="1:10" hidden="1" x14ac:dyDescent="0.25">
      <c r="A2656" s="112" t="s">
        <v>6535</v>
      </c>
      <c r="B2656" s="113" t="s">
        <v>6536</v>
      </c>
      <c r="C2656" s="114" t="s">
        <v>20</v>
      </c>
      <c r="D2656" s="114">
        <v>0</v>
      </c>
      <c r="E2656" s="133" t="s">
        <v>514</v>
      </c>
      <c r="F2656" s="134" t="str">
        <f t="shared" si="135"/>
        <v/>
      </c>
      <c r="G2656" s="135" t="e">
        <f>IF(A2656&lt;&gt;"",IF(AND(#REF!="Padrão",$H$4=#REF!),BDI!$B$17,IF(AND(#REF!="Padrão",$H$4=#REF!),BDI!#REF!,IF(AND(#REF!="Diferenciado",$H$4=#REF!),BDI!$E$17,IF(AND(#REF!="Diferenciado",$H$4=#REF!),BDI!#REF!,IF(#REF!="ZERO",0))))),"")</f>
        <v>#REF!</v>
      </c>
      <c r="H2656" s="136" t="str">
        <f t="shared" si="136"/>
        <v/>
      </c>
      <c r="I2656" s="134" t="str">
        <f t="shared" si="137"/>
        <v/>
      </c>
      <c r="J2656" s="226"/>
    </row>
    <row r="2657" spans="1:10" hidden="1" x14ac:dyDescent="0.25">
      <c r="A2657" s="112" t="s">
        <v>6537</v>
      </c>
      <c r="B2657" s="113" t="s">
        <v>6538</v>
      </c>
      <c r="C2657" s="114" t="s">
        <v>20</v>
      </c>
      <c r="D2657" s="114">
        <v>0</v>
      </c>
      <c r="E2657" s="133" t="s">
        <v>514</v>
      </c>
      <c r="F2657" s="134" t="str">
        <f t="shared" si="135"/>
        <v/>
      </c>
      <c r="G2657" s="135" t="e">
        <f>IF(A2657&lt;&gt;"",IF(AND(#REF!="Padrão",$H$4=#REF!),BDI!$B$17,IF(AND(#REF!="Padrão",$H$4=#REF!),BDI!#REF!,IF(AND(#REF!="Diferenciado",$H$4=#REF!),BDI!$E$17,IF(AND(#REF!="Diferenciado",$H$4=#REF!),BDI!#REF!,IF(#REF!="ZERO",0))))),"")</f>
        <v>#REF!</v>
      </c>
      <c r="H2657" s="136" t="str">
        <f t="shared" si="136"/>
        <v/>
      </c>
      <c r="I2657" s="134" t="str">
        <f t="shared" si="137"/>
        <v/>
      </c>
      <c r="J2657" s="226"/>
    </row>
    <row r="2658" spans="1:10" hidden="1" x14ac:dyDescent="0.25">
      <c r="A2658" s="112" t="s">
        <v>6539</v>
      </c>
      <c r="B2658" s="113" t="s">
        <v>6540</v>
      </c>
      <c r="C2658" s="114" t="s">
        <v>20</v>
      </c>
      <c r="D2658" s="114">
        <v>0</v>
      </c>
      <c r="E2658" s="133" t="s">
        <v>514</v>
      </c>
      <c r="F2658" s="134" t="str">
        <f t="shared" si="135"/>
        <v/>
      </c>
      <c r="G2658" s="135" t="e">
        <f>IF(A2658&lt;&gt;"",IF(AND(#REF!="Padrão",$H$4=#REF!),BDI!$B$17,IF(AND(#REF!="Padrão",$H$4=#REF!),BDI!#REF!,IF(AND(#REF!="Diferenciado",$H$4=#REF!),BDI!$E$17,IF(AND(#REF!="Diferenciado",$H$4=#REF!),BDI!#REF!,IF(#REF!="ZERO",0))))),"")</f>
        <v>#REF!</v>
      </c>
      <c r="H2658" s="136" t="str">
        <f t="shared" si="136"/>
        <v/>
      </c>
      <c r="I2658" s="134" t="str">
        <f t="shared" si="137"/>
        <v/>
      </c>
      <c r="J2658" s="226"/>
    </row>
    <row r="2659" spans="1:10" hidden="1" x14ac:dyDescent="0.25">
      <c r="A2659" s="112" t="s">
        <v>6541</v>
      </c>
      <c r="B2659" s="113" t="s">
        <v>6542</v>
      </c>
      <c r="C2659" s="114" t="s">
        <v>20</v>
      </c>
      <c r="D2659" s="114">
        <v>0</v>
      </c>
      <c r="E2659" s="133" t="s">
        <v>514</v>
      </c>
      <c r="F2659" s="134" t="str">
        <f t="shared" si="135"/>
        <v/>
      </c>
      <c r="G2659" s="135" t="e">
        <f>IF(A2659&lt;&gt;"",IF(AND(#REF!="Padrão",$H$4=#REF!),BDI!$B$17,IF(AND(#REF!="Padrão",$H$4=#REF!),BDI!#REF!,IF(AND(#REF!="Diferenciado",$H$4=#REF!),BDI!$E$17,IF(AND(#REF!="Diferenciado",$H$4=#REF!),BDI!#REF!,IF(#REF!="ZERO",0))))),"")</f>
        <v>#REF!</v>
      </c>
      <c r="H2659" s="136" t="str">
        <f t="shared" si="136"/>
        <v/>
      </c>
      <c r="I2659" s="134" t="str">
        <f t="shared" si="137"/>
        <v/>
      </c>
      <c r="J2659" s="226"/>
    </row>
    <row r="2660" spans="1:10" hidden="1" x14ac:dyDescent="0.25">
      <c r="A2660" s="112" t="s">
        <v>6543</v>
      </c>
      <c r="B2660" s="113" t="s">
        <v>6544</v>
      </c>
      <c r="C2660" s="114" t="s">
        <v>20</v>
      </c>
      <c r="D2660" s="114">
        <v>0</v>
      </c>
      <c r="E2660" s="133" t="s">
        <v>514</v>
      </c>
      <c r="F2660" s="134" t="str">
        <f t="shared" si="135"/>
        <v/>
      </c>
      <c r="G2660" s="135" t="e">
        <f>IF(A2660&lt;&gt;"",IF(AND(#REF!="Padrão",$H$4=#REF!),BDI!$B$17,IF(AND(#REF!="Padrão",$H$4=#REF!),BDI!#REF!,IF(AND(#REF!="Diferenciado",$H$4=#REF!),BDI!$E$17,IF(AND(#REF!="Diferenciado",$H$4=#REF!),BDI!#REF!,IF(#REF!="ZERO",0))))),"")</f>
        <v>#REF!</v>
      </c>
      <c r="H2660" s="136" t="str">
        <f t="shared" si="136"/>
        <v/>
      </c>
      <c r="I2660" s="134" t="str">
        <f t="shared" si="137"/>
        <v/>
      </c>
      <c r="J2660" s="226"/>
    </row>
    <row r="2661" spans="1:10" hidden="1" x14ac:dyDescent="0.25">
      <c r="A2661" s="112" t="s">
        <v>6545</v>
      </c>
      <c r="B2661" s="113" t="s">
        <v>6546</v>
      </c>
      <c r="C2661" s="114" t="s">
        <v>20</v>
      </c>
      <c r="D2661" s="114">
        <v>0</v>
      </c>
      <c r="E2661" s="133" t="s">
        <v>514</v>
      </c>
      <c r="F2661" s="134" t="str">
        <f t="shared" si="135"/>
        <v/>
      </c>
      <c r="G2661" s="135" t="e">
        <f>IF(A2661&lt;&gt;"",IF(AND(#REF!="Padrão",$H$4=#REF!),BDI!$B$17,IF(AND(#REF!="Padrão",$H$4=#REF!),BDI!#REF!,IF(AND(#REF!="Diferenciado",$H$4=#REF!),BDI!$E$17,IF(AND(#REF!="Diferenciado",$H$4=#REF!),BDI!#REF!,IF(#REF!="ZERO",0))))),"")</f>
        <v>#REF!</v>
      </c>
      <c r="H2661" s="136" t="str">
        <f t="shared" si="136"/>
        <v/>
      </c>
      <c r="I2661" s="134" t="str">
        <f t="shared" si="137"/>
        <v/>
      </c>
      <c r="J2661" s="226"/>
    </row>
    <row r="2662" spans="1:10" hidden="1" x14ac:dyDescent="0.25">
      <c r="A2662" s="112" t="s">
        <v>6547</v>
      </c>
      <c r="B2662" s="113" t="s">
        <v>6548</v>
      </c>
      <c r="C2662" s="114" t="s">
        <v>20</v>
      </c>
      <c r="D2662" s="114">
        <v>0</v>
      </c>
      <c r="E2662" s="133" t="s">
        <v>514</v>
      </c>
      <c r="F2662" s="134" t="str">
        <f t="shared" si="135"/>
        <v/>
      </c>
      <c r="G2662" s="135" t="e">
        <f>IF(A2662&lt;&gt;"",IF(AND(#REF!="Padrão",$H$4=#REF!),BDI!$B$17,IF(AND(#REF!="Padrão",$H$4=#REF!),BDI!#REF!,IF(AND(#REF!="Diferenciado",$H$4=#REF!),BDI!$E$17,IF(AND(#REF!="Diferenciado",$H$4=#REF!),BDI!#REF!,IF(#REF!="ZERO",0))))),"")</f>
        <v>#REF!</v>
      </c>
      <c r="H2662" s="136" t="str">
        <f t="shared" si="136"/>
        <v/>
      </c>
      <c r="I2662" s="134" t="str">
        <f t="shared" si="137"/>
        <v/>
      </c>
      <c r="J2662" s="226"/>
    </row>
    <row r="2663" spans="1:10" hidden="1" x14ac:dyDescent="0.25">
      <c r="A2663" s="112" t="s">
        <v>6549</v>
      </c>
      <c r="B2663" s="113" t="s">
        <v>6550</v>
      </c>
      <c r="C2663" s="114" t="s">
        <v>20</v>
      </c>
      <c r="D2663" s="114">
        <v>0</v>
      </c>
      <c r="E2663" s="133" t="s">
        <v>514</v>
      </c>
      <c r="F2663" s="134" t="str">
        <f t="shared" si="135"/>
        <v/>
      </c>
      <c r="G2663" s="135" t="e">
        <f>IF(A2663&lt;&gt;"",IF(AND(#REF!="Padrão",$H$4=#REF!),BDI!$B$17,IF(AND(#REF!="Padrão",$H$4=#REF!),BDI!#REF!,IF(AND(#REF!="Diferenciado",$H$4=#REF!),BDI!$E$17,IF(AND(#REF!="Diferenciado",$H$4=#REF!),BDI!#REF!,IF(#REF!="ZERO",0))))),"")</f>
        <v>#REF!</v>
      </c>
      <c r="H2663" s="136" t="str">
        <f t="shared" si="136"/>
        <v/>
      </c>
      <c r="I2663" s="134" t="str">
        <f t="shared" si="137"/>
        <v/>
      </c>
      <c r="J2663" s="226"/>
    </row>
    <row r="2664" spans="1:10" hidden="1" x14ac:dyDescent="0.25">
      <c r="A2664" s="112" t="s">
        <v>6551</v>
      </c>
      <c r="B2664" s="113" t="s">
        <v>6552</v>
      </c>
      <c r="C2664" s="114" t="s">
        <v>20</v>
      </c>
      <c r="D2664" s="114">
        <v>0</v>
      </c>
      <c r="E2664" s="133" t="s">
        <v>514</v>
      </c>
      <c r="F2664" s="134" t="str">
        <f t="shared" si="135"/>
        <v/>
      </c>
      <c r="G2664" s="135" t="e">
        <f>IF(A2664&lt;&gt;"",IF(AND(#REF!="Padrão",$H$4=#REF!),BDI!$B$17,IF(AND(#REF!="Padrão",$H$4=#REF!),BDI!#REF!,IF(AND(#REF!="Diferenciado",$H$4=#REF!),BDI!$E$17,IF(AND(#REF!="Diferenciado",$H$4=#REF!),BDI!#REF!,IF(#REF!="ZERO",0))))),"")</f>
        <v>#REF!</v>
      </c>
      <c r="H2664" s="136" t="str">
        <f t="shared" si="136"/>
        <v/>
      </c>
      <c r="I2664" s="134" t="str">
        <f t="shared" si="137"/>
        <v/>
      </c>
      <c r="J2664" s="226"/>
    </row>
    <row r="2665" spans="1:10" hidden="1" x14ac:dyDescent="0.25">
      <c r="A2665" s="112" t="s">
        <v>6553</v>
      </c>
      <c r="B2665" s="113" t="s">
        <v>6554</v>
      </c>
      <c r="C2665" s="114" t="s">
        <v>20</v>
      </c>
      <c r="D2665" s="114">
        <v>0</v>
      </c>
      <c r="E2665" s="133" t="s">
        <v>514</v>
      </c>
      <c r="F2665" s="134" t="str">
        <f t="shared" si="135"/>
        <v/>
      </c>
      <c r="G2665" s="135" t="e">
        <f>IF(A2665&lt;&gt;"",IF(AND(#REF!="Padrão",$H$4=#REF!),BDI!$B$17,IF(AND(#REF!="Padrão",$H$4=#REF!),BDI!#REF!,IF(AND(#REF!="Diferenciado",$H$4=#REF!),BDI!$E$17,IF(AND(#REF!="Diferenciado",$H$4=#REF!),BDI!#REF!,IF(#REF!="ZERO",0))))),"")</f>
        <v>#REF!</v>
      </c>
      <c r="H2665" s="136" t="str">
        <f t="shared" si="136"/>
        <v/>
      </c>
      <c r="I2665" s="134" t="str">
        <f t="shared" si="137"/>
        <v/>
      </c>
      <c r="J2665" s="226"/>
    </row>
    <row r="2666" spans="1:10" hidden="1" x14ac:dyDescent="0.25">
      <c r="A2666" s="112" t="s">
        <v>6555</v>
      </c>
      <c r="B2666" s="113" t="s">
        <v>6556</v>
      </c>
      <c r="C2666" s="114" t="s">
        <v>20</v>
      </c>
      <c r="D2666" s="114">
        <v>0</v>
      </c>
      <c r="E2666" s="133" t="s">
        <v>514</v>
      </c>
      <c r="F2666" s="134" t="str">
        <f t="shared" si="135"/>
        <v/>
      </c>
      <c r="G2666" s="135" t="e">
        <f>IF(A2666&lt;&gt;"",IF(AND(#REF!="Padrão",$H$4=#REF!),BDI!$B$17,IF(AND(#REF!="Padrão",$H$4=#REF!),BDI!#REF!,IF(AND(#REF!="Diferenciado",$H$4=#REF!),BDI!$E$17,IF(AND(#REF!="Diferenciado",$H$4=#REF!),BDI!#REF!,IF(#REF!="ZERO",0))))),"")</f>
        <v>#REF!</v>
      </c>
      <c r="H2666" s="136" t="str">
        <f t="shared" si="136"/>
        <v/>
      </c>
      <c r="I2666" s="134" t="str">
        <f t="shared" si="137"/>
        <v/>
      </c>
      <c r="J2666" s="226"/>
    </row>
    <row r="2667" spans="1:10" hidden="1" x14ac:dyDescent="0.25">
      <c r="A2667" s="112" t="s">
        <v>6557</v>
      </c>
      <c r="B2667" s="113" t="s">
        <v>6558</v>
      </c>
      <c r="C2667" s="114" t="s">
        <v>20</v>
      </c>
      <c r="D2667" s="114">
        <v>0</v>
      </c>
      <c r="E2667" s="133" t="s">
        <v>514</v>
      </c>
      <c r="F2667" s="134" t="str">
        <f t="shared" si="135"/>
        <v/>
      </c>
      <c r="G2667" s="135" t="e">
        <f>IF(A2667&lt;&gt;"",IF(AND(#REF!="Padrão",$H$4=#REF!),BDI!$B$17,IF(AND(#REF!="Padrão",$H$4=#REF!),BDI!#REF!,IF(AND(#REF!="Diferenciado",$H$4=#REF!),BDI!$E$17,IF(AND(#REF!="Diferenciado",$H$4=#REF!),BDI!#REF!,IF(#REF!="ZERO",0))))),"")</f>
        <v>#REF!</v>
      </c>
      <c r="H2667" s="136" t="str">
        <f t="shared" si="136"/>
        <v/>
      </c>
      <c r="I2667" s="134" t="str">
        <f t="shared" si="137"/>
        <v/>
      </c>
      <c r="J2667" s="226"/>
    </row>
    <row r="2668" spans="1:10" hidden="1" x14ac:dyDescent="0.25">
      <c r="A2668" s="112" t="s">
        <v>6559</v>
      </c>
      <c r="B2668" s="113" t="s">
        <v>6560</v>
      </c>
      <c r="C2668" s="114" t="s">
        <v>20</v>
      </c>
      <c r="D2668" s="114">
        <v>0</v>
      </c>
      <c r="E2668" s="133" t="s">
        <v>514</v>
      </c>
      <c r="F2668" s="134" t="str">
        <f t="shared" si="135"/>
        <v/>
      </c>
      <c r="G2668" s="135" t="e">
        <f>IF(A2668&lt;&gt;"",IF(AND(#REF!="Padrão",$H$4=#REF!),BDI!$B$17,IF(AND(#REF!="Padrão",$H$4=#REF!),BDI!#REF!,IF(AND(#REF!="Diferenciado",$H$4=#REF!),BDI!$E$17,IF(AND(#REF!="Diferenciado",$H$4=#REF!),BDI!#REF!,IF(#REF!="ZERO",0))))),"")</f>
        <v>#REF!</v>
      </c>
      <c r="H2668" s="136" t="str">
        <f t="shared" si="136"/>
        <v/>
      </c>
      <c r="I2668" s="134" t="str">
        <f t="shared" si="137"/>
        <v/>
      </c>
      <c r="J2668" s="226"/>
    </row>
    <row r="2669" spans="1:10" hidden="1" x14ac:dyDescent="0.25">
      <c r="A2669" s="112" t="s">
        <v>6561</v>
      </c>
      <c r="B2669" s="113" t="s">
        <v>6562</v>
      </c>
      <c r="C2669" s="114" t="s">
        <v>20</v>
      </c>
      <c r="D2669" s="114">
        <v>0</v>
      </c>
      <c r="E2669" s="133" t="s">
        <v>514</v>
      </c>
      <c r="F2669" s="134" t="str">
        <f t="shared" si="135"/>
        <v/>
      </c>
      <c r="G2669" s="135" t="e">
        <f>IF(A2669&lt;&gt;"",IF(AND(#REF!="Padrão",$H$4=#REF!),BDI!$B$17,IF(AND(#REF!="Padrão",$H$4=#REF!),BDI!#REF!,IF(AND(#REF!="Diferenciado",$H$4=#REF!),BDI!$E$17,IF(AND(#REF!="Diferenciado",$H$4=#REF!),BDI!#REF!,IF(#REF!="ZERO",0))))),"")</f>
        <v>#REF!</v>
      </c>
      <c r="H2669" s="136" t="str">
        <f t="shared" si="136"/>
        <v/>
      </c>
      <c r="I2669" s="134" t="str">
        <f t="shared" si="137"/>
        <v/>
      </c>
      <c r="J2669" s="226"/>
    </row>
    <row r="2670" spans="1:10" hidden="1" x14ac:dyDescent="0.25">
      <c r="A2670" s="112" t="s">
        <v>6563</v>
      </c>
      <c r="B2670" s="113" t="s">
        <v>6564</v>
      </c>
      <c r="C2670" s="114" t="s">
        <v>20</v>
      </c>
      <c r="D2670" s="114">
        <v>0</v>
      </c>
      <c r="E2670" s="133" t="s">
        <v>514</v>
      </c>
      <c r="F2670" s="134" t="str">
        <f t="shared" si="135"/>
        <v/>
      </c>
      <c r="G2670" s="135" t="e">
        <f>IF(A2670&lt;&gt;"",IF(AND(#REF!="Padrão",$H$4=#REF!),BDI!$B$17,IF(AND(#REF!="Padrão",$H$4=#REF!),BDI!#REF!,IF(AND(#REF!="Diferenciado",$H$4=#REF!),BDI!$E$17,IF(AND(#REF!="Diferenciado",$H$4=#REF!),BDI!#REF!,IF(#REF!="ZERO",0))))),"")</f>
        <v>#REF!</v>
      </c>
      <c r="H2670" s="136" t="str">
        <f t="shared" si="136"/>
        <v/>
      </c>
      <c r="I2670" s="134" t="str">
        <f t="shared" si="137"/>
        <v/>
      </c>
      <c r="J2670" s="226"/>
    </row>
    <row r="2671" spans="1:10" hidden="1" x14ac:dyDescent="0.25">
      <c r="A2671" s="112" t="s">
        <v>6565</v>
      </c>
      <c r="B2671" s="113" t="s">
        <v>6566</v>
      </c>
      <c r="C2671" s="114" t="s">
        <v>20</v>
      </c>
      <c r="D2671" s="114">
        <v>0</v>
      </c>
      <c r="E2671" s="133" t="s">
        <v>514</v>
      </c>
      <c r="F2671" s="134" t="str">
        <f t="shared" si="135"/>
        <v/>
      </c>
      <c r="G2671" s="135" t="e">
        <f>IF(A2671&lt;&gt;"",IF(AND(#REF!="Padrão",$H$4=#REF!),BDI!$B$17,IF(AND(#REF!="Padrão",$H$4=#REF!),BDI!#REF!,IF(AND(#REF!="Diferenciado",$H$4=#REF!),BDI!$E$17,IF(AND(#REF!="Diferenciado",$H$4=#REF!),BDI!#REF!,IF(#REF!="ZERO",0))))),"")</f>
        <v>#REF!</v>
      </c>
      <c r="H2671" s="136" t="str">
        <f t="shared" si="136"/>
        <v/>
      </c>
      <c r="I2671" s="134" t="str">
        <f t="shared" si="137"/>
        <v/>
      </c>
      <c r="J2671" s="226"/>
    </row>
    <row r="2672" spans="1:10" hidden="1" x14ac:dyDescent="0.25">
      <c r="A2672" s="112" t="s">
        <v>6567</v>
      </c>
      <c r="B2672" s="113" t="s">
        <v>6568</v>
      </c>
      <c r="C2672" s="114" t="s">
        <v>20</v>
      </c>
      <c r="D2672" s="114">
        <v>0</v>
      </c>
      <c r="E2672" s="133" t="s">
        <v>514</v>
      </c>
      <c r="F2672" s="134" t="str">
        <f t="shared" si="135"/>
        <v/>
      </c>
      <c r="G2672" s="135" t="e">
        <f>IF(A2672&lt;&gt;"",IF(AND(#REF!="Padrão",$H$4=#REF!),BDI!$B$17,IF(AND(#REF!="Padrão",$H$4=#REF!),BDI!#REF!,IF(AND(#REF!="Diferenciado",$H$4=#REF!),BDI!$E$17,IF(AND(#REF!="Diferenciado",$H$4=#REF!),BDI!#REF!,IF(#REF!="ZERO",0))))),"")</f>
        <v>#REF!</v>
      </c>
      <c r="H2672" s="136" t="str">
        <f t="shared" si="136"/>
        <v/>
      </c>
      <c r="I2672" s="134" t="str">
        <f t="shared" si="137"/>
        <v/>
      </c>
      <c r="J2672" s="226"/>
    </row>
    <row r="2673" spans="1:10" hidden="1" x14ac:dyDescent="0.25">
      <c r="A2673" s="112" t="s">
        <v>6569</v>
      </c>
      <c r="B2673" s="113" t="s">
        <v>6570</v>
      </c>
      <c r="C2673" s="114" t="s">
        <v>20</v>
      </c>
      <c r="D2673" s="114">
        <v>0</v>
      </c>
      <c r="E2673" s="133" t="s">
        <v>514</v>
      </c>
      <c r="F2673" s="134" t="str">
        <f t="shared" si="135"/>
        <v/>
      </c>
      <c r="G2673" s="135" t="e">
        <f>IF(A2673&lt;&gt;"",IF(AND(#REF!="Padrão",$H$4=#REF!),BDI!$B$17,IF(AND(#REF!="Padrão",$H$4=#REF!),BDI!#REF!,IF(AND(#REF!="Diferenciado",$H$4=#REF!),BDI!$E$17,IF(AND(#REF!="Diferenciado",$H$4=#REF!),BDI!#REF!,IF(#REF!="ZERO",0))))),"")</f>
        <v>#REF!</v>
      </c>
      <c r="H2673" s="136" t="str">
        <f t="shared" si="136"/>
        <v/>
      </c>
      <c r="I2673" s="134" t="str">
        <f t="shared" si="137"/>
        <v/>
      </c>
      <c r="J2673" s="226"/>
    </row>
    <row r="2674" spans="1:10" hidden="1" x14ac:dyDescent="0.25">
      <c r="A2674" s="112" t="s">
        <v>6571</v>
      </c>
      <c r="B2674" s="113" t="s">
        <v>6572</v>
      </c>
      <c r="C2674" s="114" t="s">
        <v>20</v>
      </c>
      <c r="D2674" s="114">
        <v>0</v>
      </c>
      <c r="E2674" s="133" t="s">
        <v>514</v>
      </c>
      <c r="F2674" s="134" t="str">
        <f t="shared" si="135"/>
        <v/>
      </c>
      <c r="G2674" s="135" t="e">
        <f>IF(A2674&lt;&gt;"",IF(AND(#REF!="Padrão",$H$4=#REF!),BDI!$B$17,IF(AND(#REF!="Padrão",$H$4=#REF!),BDI!#REF!,IF(AND(#REF!="Diferenciado",$H$4=#REF!),BDI!$E$17,IF(AND(#REF!="Diferenciado",$H$4=#REF!),BDI!#REF!,IF(#REF!="ZERO",0))))),"")</f>
        <v>#REF!</v>
      </c>
      <c r="H2674" s="136" t="str">
        <f t="shared" si="136"/>
        <v/>
      </c>
      <c r="I2674" s="134" t="str">
        <f t="shared" si="137"/>
        <v/>
      </c>
      <c r="J2674" s="226"/>
    </row>
    <row r="2675" spans="1:10" hidden="1" x14ac:dyDescent="0.25">
      <c r="A2675" s="112" t="s">
        <v>6573</v>
      </c>
      <c r="B2675" s="113" t="s">
        <v>6574</v>
      </c>
      <c r="C2675" s="114" t="s">
        <v>20</v>
      </c>
      <c r="D2675" s="114">
        <v>0</v>
      </c>
      <c r="E2675" s="133" t="s">
        <v>514</v>
      </c>
      <c r="F2675" s="134" t="str">
        <f t="shared" si="135"/>
        <v/>
      </c>
      <c r="G2675" s="135" t="e">
        <f>IF(A2675&lt;&gt;"",IF(AND(#REF!="Padrão",$H$4=#REF!),BDI!$B$17,IF(AND(#REF!="Padrão",$H$4=#REF!),BDI!#REF!,IF(AND(#REF!="Diferenciado",$H$4=#REF!),BDI!$E$17,IF(AND(#REF!="Diferenciado",$H$4=#REF!),BDI!#REF!,IF(#REF!="ZERO",0))))),"")</f>
        <v>#REF!</v>
      </c>
      <c r="H2675" s="136" t="str">
        <f t="shared" si="136"/>
        <v/>
      </c>
      <c r="I2675" s="134" t="str">
        <f t="shared" si="137"/>
        <v/>
      </c>
      <c r="J2675" s="226"/>
    </row>
    <row r="2676" spans="1:10" hidden="1" x14ac:dyDescent="0.25">
      <c r="A2676" s="112" t="s">
        <v>6575</v>
      </c>
      <c r="B2676" s="113" t="s">
        <v>6576</v>
      </c>
      <c r="C2676" s="114" t="s">
        <v>20</v>
      </c>
      <c r="D2676" s="114">
        <v>0</v>
      </c>
      <c r="E2676" s="133" t="s">
        <v>514</v>
      </c>
      <c r="F2676" s="134" t="str">
        <f t="shared" si="135"/>
        <v/>
      </c>
      <c r="G2676" s="135" t="e">
        <f>IF(A2676&lt;&gt;"",IF(AND(#REF!="Padrão",$H$4=#REF!),BDI!$B$17,IF(AND(#REF!="Padrão",$H$4=#REF!),BDI!#REF!,IF(AND(#REF!="Diferenciado",$H$4=#REF!),BDI!$E$17,IF(AND(#REF!="Diferenciado",$H$4=#REF!),BDI!#REF!,IF(#REF!="ZERO",0))))),"")</f>
        <v>#REF!</v>
      </c>
      <c r="H2676" s="136" t="str">
        <f t="shared" si="136"/>
        <v/>
      </c>
      <c r="I2676" s="134" t="str">
        <f t="shared" si="137"/>
        <v/>
      </c>
      <c r="J2676" s="226"/>
    </row>
    <row r="2677" spans="1:10" hidden="1" x14ac:dyDescent="0.25">
      <c r="A2677" s="112" t="s">
        <v>6577</v>
      </c>
      <c r="B2677" s="113" t="s">
        <v>6578</v>
      </c>
      <c r="C2677" s="114" t="s">
        <v>20</v>
      </c>
      <c r="D2677" s="114">
        <v>0</v>
      </c>
      <c r="E2677" s="133" t="s">
        <v>514</v>
      </c>
      <c r="F2677" s="134" t="str">
        <f t="shared" si="135"/>
        <v/>
      </c>
      <c r="G2677" s="135" t="e">
        <f>IF(A2677&lt;&gt;"",IF(AND(#REF!="Padrão",$H$4=#REF!),BDI!$B$17,IF(AND(#REF!="Padrão",$H$4=#REF!),BDI!#REF!,IF(AND(#REF!="Diferenciado",$H$4=#REF!),BDI!$E$17,IF(AND(#REF!="Diferenciado",$H$4=#REF!),BDI!#REF!,IF(#REF!="ZERO",0))))),"")</f>
        <v>#REF!</v>
      </c>
      <c r="H2677" s="136" t="str">
        <f t="shared" si="136"/>
        <v/>
      </c>
      <c r="I2677" s="134" t="str">
        <f t="shared" si="137"/>
        <v/>
      </c>
      <c r="J2677" s="226"/>
    </row>
    <row r="2678" spans="1:10" hidden="1" x14ac:dyDescent="0.25">
      <c r="A2678" s="112" t="s">
        <v>6579</v>
      </c>
      <c r="B2678" s="113" t="s">
        <v>6580</v>
      </c>
      <c r="C2678" s="114" t="s">
        <v>20</v>
      </c>
      <c r="D2678" s="114">
        <v>0</v>
      </c>
      <c r="E2678" s="133" t="s">
        <v>514</v>
      </c>
      <c r="F2678" s="134" t="str">
        <f t="shared" si="135"/>
        <v/>
      </c>
      <c r="G2678" s="135" t="e">
        <f>IF(A2678&lt;&gt;"",IF(AND(#REF!="Padrão",$H$4=#REF!),BDI!$B$17,IF(AND(#REF!="Padrão",$H$4=#REF!),BDI!#REF!,IF(AND(#REF!="Diferenciado",$H$4=#REF!),BDI!$E$17,IF(AND(#REF!="Diferenciado",$H$4=#REF!),BDI!#REF!,IF(#REF!="ZERO",0))))),"")</f>
        <v>#REF!</v>
      </c>
      <c r="H2678" s="136" t="str">
        <f t="shared" si="136"/>
        <v/>
      </c>
      <c r="I2678" s="134" t="str">
        <f t="shared" si="137"/>
        <v/>
      </c>
      <c r="J2678" s="226"/>
    </row>
    <row r="2679" spans="1:10" hidden="1" x14ac:dyDescent="0.25">
      <c r="A2679" s="112" t="s">
        <v>6581</v>
      </c>
      <c r="B2679" s="113" t="s">
        <v>6582</v>
      </c>
      <c r="C2679" s="114" t="s">
        <v>20</v>
      </c>
      <c r="D2679" s="114">
        <v>0</v>
      </c>
      <c r="E2679" s="133" t="s">
        <v>514</v>
      </c>
      <c r="F2679" s="134" t="str">
        <f t="shared" si="135"/>
        <v/>
      </c>
      <c r="G2679" s="135" t="e">
        <f>IF(A2679&lt;&gt;"",IF(AND(#REF!="Padrão",$H$4=#REF!),BDI!$B$17,IF(AND(#REF!="Padrão",$H$4=#REF!),BDI!#REF!,IF(AND(#REF!="Diferenciado",$H$4=#REF!),BDI!$E$17,IF(AND(#REF!="Diferenciado",$H$4=#REF!),BDI!#REF!,IF(#REF!="ZERO",0))))),"")</f>
        <v>#REF!</v>
      </c>
      <c r="H2679" s="136" t="str">
        <f t="shared" si="136"/>
        <v/>
      </c>
      <c r="I2679" s="134" t="str">
        <f t="shared" si="137"/>
        <v/>
      </c>
      <c r="J2679" s="226"/>
    </row>
    <row r="2680" spans="1:10" hidden="1" x14ac:dyDescent="0.25">
      <c r="A2680" s="112" t="s">
        <v>6583</v>
      </c>
      <c r="B2680" s="113" t="s">
        <v>6584</v>
      </c>
      <c r="C2680" s="114" t="s">
        <v>20</v>
      </c>
      <c r="D2680" s="114">
        <v>0</v>
      </c>
      <c r="E2680" s="133" t="s">
        <v>514</v>
      </c>
      <c r="F2680" s="134" t="str">
        <f t="shared" si="135"/>
        <v/>
      </c>
      <c r="G2680" s="135" t="e">
        <f>IF(A2680&lt;&gt;"",IF(AND(#REF!="Padrão",$H$4=#REF!),BDI!$B$17,IF(AND(#REF!="Padrão",$H$4=#REF!),BDI!#REF!,IF(AND(#REF!="Diferenciado",$H$4=#REF!),BDI!$E$17,IF(AND(#REF!="Diferenciado",$H$4=#REF!),BDI!#REF!,IF(#REF!="ZERO",0))))),"")</f>
        <v>#REF!</v>
      </c>
      <c r="H2680" s="136" t="str">
        <f t="shared" si="136"/>
        <v/>
      </c>
      <c r="I2680" s="134" t="str">
        <f t="shared" si="137"/>
        <v/>
      </c>
      <c r="J2680" s="226"/>
    </row>
    <row r="2681" spans="1:10" hidden="1" x14ac:dyDescent="0.25">
      <c r="A2681" s="112" t="s">
        <v>6585</v>
      </c>
      <c r="B2681" s="113" t="s">
        <v>6586</v>
      </c>
      <c r="C2681" s="114" t="s">
        <v>20</v>
      </c>
      <c r="D2681" s="114">
        <v>0</v>
      </c>
      <c r="E2681" s="133" t="s">
        <v>514</v>
      </c>
      <c r="F2681" s="134" t="str">
        <f t="shared" si="135"/>
        <v/>
      </c>
      <c r="G2681" s="135" t="e">
        <f>IF(A2681&lt;&gt;"",IF(AND(#REF!="Padrão",$H$4=#REF!),BDI!$B$17,IF(AND(#REF!="Padrão",$H$4=#REF!),BDI!#REF!,IF(AND(#REF!="Diferenciado",$H$4=#REF!),BDI!$E$17,IF(AND(#REF!="Diferenciado",$H$4=#REF!),BDI!#REF!,IF(#REF!="ZERO",0))))),"")</f>
        <v>#REF!</v>
      </c>
      <c r="H2681" s="136" t="str">
        <f t="shared" si="136"/>
        <v/>
      </c>
      <c r="I2681" s="134" t="str">
        <f t="shared" si="137"/>
        <v/>
      </c>
      <c r="J2681" s="226"/>
    </row>
    <row r="2682" spans="1:10" hidden="1" x14ac:dyDescent="0.25">
      <c r="A2682" s="112" t="s">
        <v>6641</v>
      </c>
      <c r="B2682" s="113" t="s">
        <v>6655</v>
      </c>
      <c r="C2682" s="114" t="s">
        <v>20</v>
      </c>
      <c r="D2682" s="114">
        <v>0</v>
      </c>
      <c r="E2682" s="133" t="s">
        <v>514</v>
      </c>
      <c r="F2682" s="134" t="str">
        <f t="shared" ref="F2682:F2695" si="138">IF(ISNUMBER(E2682),D2682*E2682,"")</f>
        <v/>
      </c>
      <c r="G2682" s="135" t="e">
        <f>IF(A2682&lt;&gt;"",IF(AND(#REF!="Padrão",$H$4=#REF!),BDI!$B$17,IF(AND(#REF!="Padrão",$H$4=#REF!),BDI!#REF!,IF(AND(#REF!="Diferenciado",$H$4=#REF!),BDI!$E$17,IF(AND(#REF!="Diferenciado",$H$4=#REF!),BDI!#REF!,IF(#REF!="ZERO",0))))),"")</f>
        <v>#REF!</v>
      </c>
      <c r="H2682" s="136" t="str">
        <f t="shared" ref="H2682:H2695" si="139">IF(ISNUMBER(E2682),ROUND(E2682*(1+G2682),2),"")</f>
        <v/>
      </c>
      <c r="I2682" s="134" t="str">
        <f t="shared" ref="I2682:I2695" si="140">IF(ISNUMBER(E2682),ROUND(H2682*D2682,2),"")</f>
        <v/>
      </c>
      <c r="J2682" s="226"/>
    </row>
    <row r="2683" spans="1:10" hidden="1" x14ac:dyDescent="0.25">
      <c r="A2683" s="112" t="s">
        <v>6642</v>
      </c>
      <c r="B2683" s="113" t="s">
        <v>6656</v>
      </c>
      <c r="C2683" s="114" t="s">
        <v>92</v>
      </c>
      <c r="D2683" s="114">
        <v>0</v>
      </c>
      <c r="E2683" s="133">
        <f ca="1">OFFSET(INDEX(Composições!A:J,MATCH(Orçamentária!A2683,Composições!A:A,0),8),2,0)</f>
        <v>194.43649049999999</v>
      </c>
      <c r="F2683" s="134">
        <f t="shared" ca="1" si="138"/>
        <v>0</v>
      </c>
      <c r="G2683" s="135" t="e">
        <f>IF(A2683&lt;&gt;"",IF(AND(#REF!="Padrão",$H$4=#REF!),BDI!$B$17,IF(AND(#REF!="Padrão",$H$4=#REF!),BDI!#REF!,IF(AND(#REF!="Diferenciado",$H$4=#REF!),BDI!$E$17,IF(AND(#REF!="Diferenciado",$H$4=#REF!),BDI!#REF!,IF(#REF!="ZERO",0))))),"")</f>
        <v>#REF!</v>
      </c>
      <c r="H2683" s="136" t="e">
        <f t="shared" ca="1" si="139"/>
        <v>#REF!</v>
      </c>
      <c r="I2683" s="134" t="e">
        <f t="shared" ca="1" si="140"/>
        <v>#REF!</v>
      </c>
      <c r="J2683" s="226"/>
    </row>
    <row r="2684" spans="1:10" hidden="1" x14ac:dyDescent="0.25">
      <c r="A2684" s="112" t="s">
        <v>6643</v>
      </c>
      <c r="B2684" s="113" t="s">
        <v>6657</v>
      </c>
      <c r="C2684" s="114" t="s">
        <v>20</v>
      </c>
      <c r="D2684" s="114">
        <v>0</v>
      </c>
      <c r="E2684" s="133">
        <f ca="1">OFFSET(INDEX(Composições!A:J,MATCH(Orçamentária!A2684,Composições!A:A,0),8),2,0)</f>
        <v>72.902999999999992</v>
      </c>
      <c r="F2684" s="134">
        <f t="shared" ca="1" si="138"/>
        <v>0</v>
      </c>
      <c r="G2684" s="135" t="e">
        <f>IF(A2684&lt;&gt;"",IF(AND(#REF!="Padrão",$H$4=#REF!),BDI!$B$17,IF(AND(#REF!="Padrão",$H$4=#REF!),BDI!#REF!,IF(AND(#REF!="Diferenciado",$H$4=#REF!),BDI!$E$17,IF(AND(#REF!="Diferenciado",$H$4=#REF!),BDI!#REF!,IF(#REF!="ZERO",0))))),"")</f>
        <v>#REF!</v>
      </c>
      <c r="H2684" s="136" t="e">
        <f t="shared" ca="1" si="139"/>
        <v>#REF!</v>
      </c>
      <c r="I2684" s="134" t="e">
        <f t="shared" ca="1" si="140"/>
        <v>#REF!</v>
      </c>
      <c r="J2684" s="226"/>
    </row>
    <row r="2685" spans="1:10" hidden="1" x14ac:dyDescent="0.25">
      <c r="A2685" s="112" t="s">
        <v>6644</v>
      </c>
      <c r="B2685" s="113" t="s">
        <v>6658</v>
      </c>
      <c r="C2685" s="114" t="s">
        <v>20</v>
      </c>
      <c r="D2685" s="114">
        <v>0</v>
      </c>
      <c r="E2685" s="133">
        <f ca="1">OFFSET(INDEX(Composições!A:J,MATCH(Orçamentária!A2685,Composições!A:A,0),8),2,0)</f>
        <v>225.6592</v>
      </c>
      <c r="F2685" s="134">
        <f t="shared" ca="1" si="138"/>
        <v>0</v>
      </c>
      <c r="G2685" s="135" t="e">
        <f>IF(A2685&lt;&gt;"",IF(AND(#REF!="Padrão",$H$4=#REF!),BDI!$B$17,IF(AND(#REF!="Padrão",$H$4=#REF!),BDI!#REF!,IF(AND(#REF!="Diferenciado",$H$4=#REF!),BDI!$E$17,IF(AND(#REF!="Diferenciado",$H$4=#REF!),BDI!#REF!,IF(#REF!="ZERO",0))))),"")</f>
        <v>#REF!</v>
      </c>
      <c r="H2685" s="136" t="e">
        <f t="shared" ca="1" si="139"/>
        <v>#REF!</v>
      </c>
      <c r="I2685" s="134" t="e">
        <f t="shared" ca="1" si="140"/>
        <v>#REF!</v>
      </c>
      <c r="J2685" s="226"/>
    </row>
    <row r="2686" spans="1:10" hidden="1" x14ac:dyDescent="0.25">
      <c r="A2686" s="112" t="s">
        <v>6645</v>
      </c>
      <c r="B2686" s="113" t="s">
        <v>6659</v>
      </c>
      <c r="C2686" s="114" t="s">
        <v>20</v>
      </c>
      <c r="D2686" s="114">
        <v>0</v>
      </c>
      <c r="E2686" s="133">
        <f ca="1">OFFSET(INDEX(Composições!A:J,MATCH(Orçamentária!A2686,Composições!A:A,0),8),2,0)</f>
        <v>16.57845</v>
      </c>
      <c r="F2686" s="134">
        <f t="shared" ca="1" si="138"/>
        <v>0</v>
      </c>
      <c r="G2686" s="135" t="e">
        <f>IF(A2686&lt;&gt;"",IF(AND(#REF!="Padrão",$H$4=#REF!),BDI!$B$17,IF(AND(#REF!="Padrão",$H$4=#REF!),BDI!#REF!,IF(AND(#REF!="Diferenciado",$H$4=#REF!),BDI!$E$17,IF(AND(#REF!="Diferenciado",$H$4=#REF!),BDI!#REF!,IF(#REF!="ZERO",0))))),"")</f>
        <v>#REF!</v>
      </c>
      <c r="H2686" s="136" t="e">
        <f t="shared" ca="1" si="139"/>
        <v>#REF!</v>
      </c>
      <c r="I2686" s="134" t="e">
        <f t="shared" ca="1" si="140"/>
        <v>#REF!</v>
      </c>
      <c r="J2686" s="226"/>
    </row>
    <row r="2687" spans="1:10" hidden="1" x14ac:dyDescent="0.25">
      <c r="A2687" s="112" t="s">
        <v>6646</v>
      </c>
      <c r="B2687" s="113" t="s">
        <v>6660</v>
      </c>
      <c r="C2687" s="114" t="s">
        <v>20</v>
      </c>
      <c r="D2687" s="114">
        <v>0</v>
      </c>
      <c r="E2687" s="133">
        <f ca="1">OFFSET(INDEX(Composições!A:J,MATCH(Orçamentária!A2687,Composições!A:A,0),8),2,0)</f>
        <v>24.867675000000002</v>
      </c>
      <c r="F2687" s="134">
        <f t="shared" ca="1" si="138"/>
        <v>0</v>
      </c>
      <c r="G2687" s="135" t="e">
        <f>IF(A2687&lt;&gt;"",IF(AND(#REF!="Padrão",$H$4=#REF!),BDI!$B$17,IF(AND(#REF!="Padrão",$H$4=#REF!),BDI!#REF!,IF(AND(#REF!="Diferenciado",$H$4=#REF!),BDI!$E$17,IF(AND(#REF!="Diferenciado",$H$4=#REF!),BDI!#REF!,IF(#REF!="ZERO",0))))),"")</f>
        <v>#REF!</v>
      </c>
      <c r="H2687" s="136" t="e">
        <f t="shared" ca="1" si="139"/>
        <v>#REF!</v>
      </c>
      <c r="I2687" s="134" t="e">
        <f t="shared" ca="1" si="140"/>
        <v>#REF!</v>
      </c>
      <c r="J2687" s="226"/>
    </row>
    <row r="2688" spans="1:10" hidden="1" x14ac:dyDescent="0.25">
      <c r="A2688" s="112" t="s">
        <v>6647</v>
      </c>
      <c r="B2688" s="113" t="s">
        <v>6661</v>
      </c>
      <c r="C2688" s="114" t="s">
        <v>92</v>
      </c>
      <c r="D2688" s="114">
        <v>0</v>
      </c>
      <c r="E2688" s="133" t="s">
        <v>514</v>
      </c>
      <c r="F2688" s="134" t="str">
        <f t="shared" si="138"/>
        <v/>
      </c>
      <c r="G2688" s="135" t="e">
        <f>IF(A2688&lt;&gt;"",IF(AND(#REF!="Padrão",$H$4=#REF!),BDI!$B$17,IF(AND(#REF!="Padrão",$H$4=#REF!),BDI!#REF!,IF(AND(#REF!="Diferenciado",$H$4=#REF!),BDI!$E$17,IF(AND(#REF!="Diferenciado",$H$4=#REF!),BDI!#REF!,IF(#REF!="ZERO",0))))),"")</f>
        <v>#REF!</v>
      </c>
      <c r="H2688" s="136" t="str">
        <f t="shared" si="139"/>
        <v/>
      </c>
      <c r="I2688" s="134" t="str">
        <f t="shared" si="140"/>
        <v/>
      </c>
      <c r="J2688" s="226"/>
    </row>
    <row r="2689" spans="1:11" hidden="1" x14ac:dyDescent="0.25">
      <c r="A2689" s="112" t="s">
        <v>6648</v>
      </c>
      <c r="B2689" s="113" t="s">
        <v>6662</v>
      </c>
      <c r="C2689" s="114" t="s">
        <v>92</v>
      </c>
      <c r="D2689" s="114">
        <v>0</v>
      </c>
      <c r="E2689" s="133" t="s">
        <v>514</v>
      </c>
      <c r="F2689" s="134" t="str">
        <f t="shared" si="138"/>
        <v/>
      </c>
      <c r="G2689" s="135" t="e">
        <f>IF(A2689&lt;&gt;"",IF(AND(#REF!="Padrão",$H$4=#REF!),BDI!$B$17,IF(AND(#REF!="Padrão",$H$4=#REF!),BDI!#REF!,IF(AND(#REF!="Diferenciado",$H$4=#REF!),BDI!$E$17,IF(AND(#REF!="Diferenciado",$H$4=#REF!),BDI!#REF!,IF(#REF!="ZERO",0))))),"")</f>
        <v>#REF!</v>
      </c>
      <c r="H2689" s="136" t="str">
        <f t="shared" si="139"/>
        <v/>
      </c>
      <c r="I2689" s="134" t="str">
        <f t="shared" si="140"/>
        <v/>
      </c>
      <c r="J2689" s="226"/>
    </row>
    <row r="2690" spans="1:11" hidden="1" x14ac:dyDescent="0.25">
      <c r="A2690" s="112" t="s">
        <v>6649</v>
      </c>
      <c r="B2690" s="113" t="s">
        <v>6663</v>
      </c>
      <c r="C2690" s="114" t="s">
        <v>20</v>
      </c>
      <c r="D2690" s="114">
        <v>0</v>
      </c>
      <c r="E2690" s="133" t="s">
        <v>514</v>
      </c>
      <c r="F2690" s="134" t="str">
        <f t="shared" si="138"/>
        <v/>
      </c>
      <c r="G2690" s="135" t="e">
        <f>IF(A2690&lt;&gt;"",IF(AND(#REF!="Padrão",$H$4=#REF!),BDI!$B$17,IF(AND(#REF!="Padrão",$H$4=#REF!),BDI!#REF!,IF(AND(#REF!="Diferenciado",$H$4=#REF!),BDI!$E$17,IF(AND(#REF!="Diferenciado",$H$4=#REF!),BDI!#REF!,IF(#REF!="ZERO",0))))),"")</f>
        <v>#REF!</v>
      </c>
      <c r="H2690" s="136" t="str">
        <f t="shared" si="139"/>
        <v/>
      </c>
      <c r="I2690" s="134" t="str">
        <f t="shared" si="140"/>
        <v/>
      </c>
      <c r="J2690" s="226"/>
    </row>
    <row r="2691" spans="1:11" hidden="1" x14ac:dyDescent="0.25">
      <c r="A2691" s="112" t="s">
        <v>6650</v>
      </c>
      <c r="B2691" s="113" t="s">
        <v>6664</v>
      </c>
      <c r="C2691" s="114" t="s">
        <v>20</v>
      </c>
      <c r="D2691" s="114">
        <v>0</v>
      </c>
      <c r="E2691" s="133" t="s">
        <v>514</v>
      </c>
      <c r="F2691" s="134" t="str">
        <f t="shared" si="138"/>
        <v/>
      </c>
      <c r="G2691" s="135" t="e">
        <f>IF(A2691&lt;&gt;"",IF(AND(#REF!="Padrão",$H$4=#REF!),BDI!$B$17,IF(AND(#REF!="Padrão",$H$4=#REF!),BDI!#REF!,IF(AND(#REF!="Diferenciado",$H$4=#REF!),BDI!$E$17,IF(AND(#REF!="Diferenciado",$H$4=#REF!),BDI!#REF!,IF(#REF!="ZERO",0))))),"")</f>
        <v>#REF!</v>
      </c>
      <c r="H2691" s="136" t="str">
        <f t="shared" si="139"/>
        <v/>
      </c>
      <c r="I2691" s="134" t="str">
        <f t="shared" si="140"/>
        <v/>
      </c>
      <c r="J2691" s="226"/>
    </row>
    <row r="2692" spans="1:11" hidden="1" x14ac:dyDescent="0.25">
      <c r="A2692" s="112" t="s">
        <v>6651</v>
      </c>
      <c r="B2692" s="113" t="s">
        <v>6665</v>
      </c>
      <c r="C2692" s="114" t="s">
        <v>20</v>
      </c>
      <c r="D2692" s="114">
        <v>0</v>
      </c>
      <c r="E2692" s="133" t="s">
        <v>514</v>
      </c>
      <c r="F2692" s="134" t="str">
        <f t="shared" si="138"/>
        <v/>
      </c>
      <c r="G2692" s="135" t="e">
        <f>IF(A2692&lt;&gt;"",IF(AND(#REF!="Padrão",$H$4=#REF!),BDI!$B$17,IF(AND(#REF!="Padrão",$H$4=#REF!),BDI!#REF!,IF(AND(#REF!="Diferenciado",$H$4=#REF!),BDI!$E$17,IF(AND(#REF!="Diferenciado",$H$4=#REF!),BDI!#REF!,IF(#REF!="ZERO",0))))),"")</f>
        <v>#REF!</v>
      </c>
      <c r="H2692" s="136" t="str">
        <f t="shared" si="139"/>
        <v/>
      </c>
      <c r="I2692" s="134" t="str">
        <f t="shared" si="140"/>
        <v/>
      </c>
      <c r="J2692" s="226"/>
    </row>
    <row r="2693" spans="1:11" hidden="1" x14ac:dyDescent="0.25">
      <c r="A2693" s="112" t="s">
        <v>6652</v>
      </c>
      <c r="B2693" s="113" t="s">
        <v>6666</v>
      </c>
      <c r="C2693" s="114" t="s">
        <v>20</v>
      </c>
      <c r="D2693" s="114">
        <v>0</v>
      </c>
      <c r="E2693" s="133" t="s">
        <v>514</v>
      </c>
      <c r="F2693" s="134" t="str">
        <f t="shared" si="138"/>
        <v/>
      </c>
      <c r="G2693" s="135" t="e">
        <f>IF(A2693&lt;&gt;"",IF(AND(#REF!="Padrão",$H$4=#REF!),BDI!$B$17,IF(AND(#REF!="Padrão",$H$4=#REF!),BDI!#REF!,IF(AND(#REF!="Diferenciado",$H$4=#REF!),BDI!$E$17,IF(AND(#REF!="Diferenciado",$H$4=#REF!),BDI!#REF!,IF(#REF!="ZERO",0))))),"")</f>
        <v>#REF!</v>
      </c>
      <c r="H2693" s="136" t="str">
        <f t="shared" si="139"/>
        <v/>
      </c>
      <c r="I2693" s="134" t="str">
        <f t="shared" si="140"/>
        <v/>
      </c>
      <c r="J2693" s="226"/>
    </row>
    <row r="2694" spans="1:11" s="161" customFormat="1" hidden="1" x14ac:dyDescent="0.25">
      <c r="A2694" s="162" t="s">
        <v>6653</v>
      </c>
      <c r="B2694" s="163" t="s">
        <v>6667</v>
      </c>
      <c r="C2694" s="164" t="s">
        <v>94</v>
      </c>
      <c r="D2694" s="164">
        <v>600</v>
      </c>
      <c r="E2694" s="133">
        <f ca="1">OFFSET(INDEX(Composições!A:J,MATCH(Orçamentária!A2694,Composições!A:A,0),8),2,0)</f>
        <v>18.818549999999998</v>
      </c>
      <c r="F2694" s="134">
        <f t="shared" ca="1" si="138"/>
        <v>11291.13</v>
      </c>
      <c r="G2694" s="135">
        <f>BDI!$B$17</f>
        <v>0.191</v>
      </c>
      <c r="H2694" s="136">
        <f t="shared" ca="1" si="139"/>
        <v>22.41</v>
      </c>
      <c r="I2694" s="182">
        <f t="shared" ca="1" si="140"/>
        <v>13446</v>
      </c>
      <c r="J2694" s="226"/>
      <c r="K2694" s="224" t="s">
        <v>8074</v>
      </c>
    </row>
    <row r="2695" spans="1:11" s="161" customFormat="1" hidden="1" x14ac:dyDescent="0.25">
      <c r="A2695" s="162" t="s">
        <v>6654</v>
      </c>
      <c r="B2695" s="163" t="s">
        <v>6668</v>
      </c>
      <c r="C2695" s="164" t="s">
        <v>94</v>
      </c>
      <c r="D2695" s="164">
        <v>600</v>
      </c>
      <c r="E2695" s="133">
        <f ca="1">OFFSET(INDEX(Composições!A:J,MATCH(Orçamentária!A2695,Composições!A:A,0),8),2,0)</f>
        <v>2.99473155</v>
      </c>
      <c r="F2695" s="134">
        <f t="shared" ca="1" si="138"/>
        <v>1796.8389300000001</v>
      </c>
      <c r="G2695" s="135">
        <f>BDI!$B$17</f>
        <v>0.191</v>
      </c>
      <c r="H2695" s="136">
        <f t="shared" ca="1" si="139"/>
        <v>3.57</v>
      </c>
      <c r="I2695" s="182">
        <f t="shared" ca="1" si="140"/>
        <v>2142</v>
      </c>
      <c r="J2695" s="226"/>
      <c r="K2695" s="224" t="s">
        <v>8074</v>
      </c>
    </row>
    <row r="2696" spans="1:11" hidden="1" x14ac:dyDescent="0.25">
      <c r="A2696" s="112" t="s">
        <v>6695</v>
      </c>
      <c r="B2696" s="113" t="s">
        <v>7809</v>
      </c>
      <c r="C2696" s="114" t="s">
        <v>94</v>
      </c>
      <c r="D2696" s="114">
        <v>0</v>
      </c>
      <c r="E2696" s="133">
        <f ca="1">OFFSET(INDEX(Composições!A:J,MATCH(Orçamentária!A2696,Composições!A:A,0),8),2,0)</f>
        <v>20.059249999999999</v>
      </c>
      <c r="F2696" s="134">
        <f t="shared" ref="F2696:F2707" ca="1" si="141">IF(ISNUMBER(E2696),D2696*E2696,"")</f>
        <v>0</v>
      </c>
      <c r="G2696" s="135" t="e">
        <f>IF(A2696&lt;&gt;"",IF(AND(#REF!="Padrão",$H$4=#REF!),BDI!$B$17,IF(AND(#REF!="Padrão",$H$4=#REF!),BDI!#REF!,IF(AND(#REF!="Diferenciado",$H$4=#REF!),BDI!$E$17,IF(AND(#REF!="Diferenciado",$H$4=#REF!),BDI!#REF!,IF(#REF!="ZERO",0))))),"")</f>
        <v>#REF!</v>
      </c>
      <c r="H2696" s="136" t="e">
        <f t="shared" ref="H2696:H2707" ca="1" si="142">IF(ISNUMBER(E2696),ROUND(E2696*(1+G2696),2),"")</f>
        <v>#REF!</v>
      </c>
      <c r="I2696" s="134" t="e">
        <f t="shared" ref="I2696:I2707" ca="1" si="143">IF(ISNUMBER(E2696),ROUND(H2696*D2696,2),"")</f>
        <v>#REF!</v>
      </c>
      <c r="J2696" s="226"/>
    </row>
    <row r="2697" spans="1:11" hidden="1" x14ac:dyDescent="0.25">
      <c r="A2697" s="112" t="s">
        <v>6696</v>
      </c>
      <c r="B2697" s="113" t="s">
        <v>3962</v>
      </c>
      <c r="C2697" s="114" t="s">
        <v>20</v>
      </c>
      <c r="D2697" s="114">
        <v>0</v>
      </c>
      <c r="E2697" s="133">
        <f ca="1">OFFSET(INDEX(Composições!A:J,MATCH(Orçamentária!A2697,Composições!A:A,0),8),2,0)</f>
        <v>53.666440499999993</v>
      </c>
      <c r="F2697" s="134">
        <f t="shared" ca="1" si="141"/>
        <v>0</v>
      </c>
      <c r="G2697" s="135" t="e">
        <f>IF(A2697&lt;&gt;"",IF(AND(#REF!="Padrão",$H$4=#REF!),BDI!$B$17,IF(AND(#REF!="Padrão",$H$4=#REF!),BDI!#REF!,IF(AND(#REF!="Diferenciado",$H$4=#REF!),BDI!$E$17,IF(AND(#REF!="Diferenciado",$H$4=#REF!),BDI!#REF!,IF(#REF!="ZERO",0))))),"")</f>
        <v>#REF!</v>
      </c>
      <c r="H2697" s="136" t="e">
        <f t="shared" ca="1" si="142"/>
        <v>#REF!</v>
      </c>
      <c r="I2697" s="134" t="e">
        <f t="shared" ca="1" si="143"/>
        <v>#REF!</v>
      </c>
      <c r="J2697" s="226"/>
    </row>
    <row r="2698" spans="1:11" hidden="1" x14ac:dyDescent="0.25">
      <c r="A2698" s="112" t="s">
        <v>6697</v>
      </c>
      <c r="B2698" s="113" t="s">
        <v>6708</v>
      </c>
      <c r="C2698" s="114" t="s">
        <v>20</v>
      </c>
      <c r="D2698" s="114">
        <v>0</v>
      </c>
      <c r="E2698" s="133" t="s">
        <v>514</v>
      </c>
      <c r="F2698" s="134" t="str">
        <f t="shared" si="141"/>
        <v/>
      </c>
      <c r="G2698" s="135" t="e">
        <f>IF(A2698&lt;&gt;"",IF(AND(#REF!="Padrão",$H$4=#REF!),BDI!$B$17,IF(AND(#REF!="Padrão",$H$4=#REF!),BDI!#REF!,IF(AND(#REF!="Diferenciado",$H$4=#REF!),BDI!$E$17,IF(AND(#REF!="Diferenciado",$H$4=#REF!),BDI!#REF!,IF(#REF!="ZERO",0))))),"")</f>
        <v>#REF!</v>
      </c>
      <c r="H2698" s="136" t="str">
        <f t="shared" si="142"/>
        <v/>
      </c>
      <c r="I2698" s="134" t="str">
        <f t="shared" si="143"/>
        <v/>
      </c>
      <c r="J2698" s="226"/>
    </row>
    <row r="2699" spans="1:11" hidden="1" x14ac:dyDescent="0.25">
      <c r="A2699" s="112" t="s">
        <v>6698</v>
      </c>
      <c r="B2699" s="113" t="s">
        <v>6709</v>
      </c>
      <c r="C2699" s="114" t="s">
        <v>20</v>
      </c>
      <c r="D2699" s="114">
        <v>0</v>
      </c>
      <c r="E2699" s="133" t="s">
        <v>514</v>
      </c>
      <c r="F2699" s="134" t="str">
        <f t="shared" si="141"/>
        <v/>
      </c>
      <c r="G2699" s="135" t="e">
        <f>IF(A2699&lt;&gt;"",IF(AND(#REF!="Padrão",$H$4=#REF!),BDI!$B$17,IF(AND(#REF!="Padrão",$H$4=#REF!),BDI!#REF!,IF(AND(#REF!="Diferenciado",$H$4=#REF!),BDI!$E$17,IF(AND(#REF!="Diferenciado",$H$4=#REF!),BDI!#REF!,IF(#REF!="ZERO",0))))),"")</f>
        <v>#REF!</v>
      </c>
      <c r="H2699" s="136" t="str">
        <f t="shared" si="142"/>
        <v/>
      </c>
      <c r="I2699" s="134" t="str">
        <f t="shared" si="143"/>
        <v/>
      </c>
      <c r="J2699" s="226"/>
    </row>
    <row r="2700" spans="1:11" hidden="1" x14ac:dyDescent="0.25">
      <c r="A2700" s="112" t="s">
        <v>6699</v>
      </c>
      <c r="B2700" s="113" t="s">
        <v>6710</v>
      </c>
      <c r="C2700" s="114" t="s">
        <v>20</v>
      </c>
      <c r="D2700" s="114">
        <v>0</v>
      </c>
      <c r="E2700" s="133" t="s">
        <v>514</v>
      </c>
      <c r="F2700" s="134" t="str">
        <f t="shared" si="141"/>
        <v/>
      </c>
      <c r="G2700" s="135" t="e">
        <f>IF(A2700&lt;&gt;"",IF(AND(#REF!="Padrão",$H$4=#REF!),BDI!$B$17,IF(AND(#REF!="Padrão",$H$4=#REF!),BDI!#REF!,IF(AND(#REF!="Diferenciado",$H$4=#REF!),BDI!$E$17,IF(AND(#REF!="Diferenciado",$H$4=#REF!),BDI!#REF!,IF(#REF!="ZERO",0))))),"")</f>
        <v>#REF!</v>
      </c>
      <c r="H2700" s="136" t="str">
        <f t="shared" si="142"/>
        <v/>
      </c>
      <c r="I2700" s="134" t="str">
        <f t="shared" si="143"/>
        <v/>
      </c>
      <c r="J2700" s="226"/>
    </row>
    <row r="2701" spans="1:11" hidden="1" x14ac:dyDescent="0.25">
      <c r="A2701" s="112" t="s">
        <v>6700</v>
      </c>
      <c r="B2701" s="113" t="s">
        <v>6711</v>
      </c>
      <c r="C2701" s="114" t="s">
        <v>4994</v>
      </c>
      <c r="D2701" s="114">
        <v>0</v>
      </c>
      <c r="E2701" s="133" t="s">
        <v>514</v>
      </c>
      <c r="F2701" s="134" t="str">
        <f t="shared" si="141"/>
        <v/>
      </c>
      <c r="G2701" s="135" t="e">
        <f>IF(A2701&lt;&gt;"",IF(AND(#REF!="Padrão",$H$4=#REF!),BDI!$B$17,IF(AND(#REF!="Padrão",$H$4=#REF!),BDI!#REF!,IF(AND(#REF!="Diferenciado",$H$4=#REF!),BDI!$E$17,IF(AND(#REF!="Diferenciado",$H$4=#REF!),BDI!#REF!,IF(#REF!="ZERO",0))))),"")</f>
        <v>#REF!</v>
      </c>
      <c r="H2701" s="136" t="str">
        <f t="shared" si="142"/>
        <v/>
      </c>
      <c r="I2701" s="134" t="str">
        <f t="shared" si="143"/>
        <v/>
      </c>
      <c r="J2701" s="226"/>
    </row>
    <row r="2702" spans="1:11" hidden="1" x14ac:dyDescent="0.25">
      <c r="A2702" s="112" t="s">
        <v>6701</v>
      </c>
      <c r="B2702" s="113" t="s">
        <v>6712</v>
      </c>
      <c r="C2702" s="114" t="s">
        <v>20</v>
      </c>
      <c r="D2702" s="114">
        <v>0</v>
      </c>
      <c r="E2702" s="133" t="s">
        <v>514</v>
      </c>
      <c r="F2702" s="134" t="str">
        <f t="shared" si="141"/>
        <v/>
      </c>
      <c r="G2702" s="135" t="e">
        <f>IF(A2702&lt;&gt;"",IF(AND(#REF!="Padrão",$H$4=#REF!),BDI!$B$17,IF(AND(#REF!="Padrão",$H$4=#REF!),BDI!#REF!,IF(AND(#REF!="Diferenciado",$H$4=#REF!),BDI!$E$17,IF(AND(#REF!="Diferenciado",$H$4=#REF!),BDI!#REF!,IF(#REF!="ZERO",0))))),"")</f>
        <v>#REF!</v>
      </c>
      <c r="H2702" s="136" t="str">
        <f t="shared" si="142"/>
        <v/>
      </c>
      <c r="I2702" s="134" t="str">
        <f t="shared" si="143"/>
        <v/>
      </c>
      <c r="J2702" s="226"/>
    </row>
    <row r="2703" spans="1:11" hidden="1" x14ac:dyDescent="0.25">
      <c r="A2703" s="112" t="s">
        <v>6702</v>
      </c>
      <c r="B2703" s="113" t="s">
        <v>6713</v>
      </c>
      <c r="C2703" s="114" t="s">
        <v>94</v>
      </c>
      <c r="D2703" s="114">
        <v>0</v>
      </c>
      <c r="E2703" s="133" t="s">
        <v>514</v>
      </c>
      <c r="F2703" s="134" t="str">
        <f t="shared" si="141"/>
        <v/>
      </c>
      <c r="G2703" s="135" t="e">
        <f>IF(A2703&lt;&gt;"",IF(AND(#REF!="Padrão",$H$4=#REF!),BDI!$B$17,IF(AND(#REF!="Padrão",$H$4=#REF!),BDI!#REF!,IF(AND(#REF!="Diferenciado",$H$4=#REF!),BDI!$E$17,IF(AND(#REF!="Diferenciado",$H$4=#REF!),BDI!#REF!,IF(#REF!="ZERO",0))))),"")</f>
        <v>#REF!</v>
      </c>
      <c r="H2703" s="136" t="str">
        <f t="shared" si="142"/>
        <v/>
      </c>
      <c r="I2703" s="134" t="str">
        <f t="shared" si="143"/>
        <v/>
      </c>
      <c r="J2703" s="226"/>
    </row>
    <row r="2704" spans="1:11" hidden="1" x14ac:dyDescent="0.25">
      <c r="A2704" s="112" t="s">
        <v>6703</v>
      </c>
      <c r="B2704" s="113" t="s">
        <v>6714</v>
      </c>
      <c r="C2704" s="114" t="s">
        <v>94</v>
      </c>
      <c r="D2704" s="114">
        <v>0</v>
      </c>
      <c r="E2704" s="133" t="s">
        <v>514</v>
      </c>
      <c r="F2704" s="134" t="str">
        <f t="shared" si="141"/>
        <v/>
      </c>
      <c r="G2704" s="135" t="e">
        <f>IF(A2704&lt;&gt;"",IF(AND(#REF!="Padrão",$H$4=#REF!),BDI!$B$17,IF(AND(#REF!="Padrão",$H$4=#REF!),BDI!#REF!,IF(AND(#REF!="Diferenciado",$H$4=#REF!),BDI!$E$17,IF(AND(#REF!="Diferenciado",$H$4=#REF!),BDI!#REF!,IF(#REF!="ZERO",0))))),"")</f>
        <v>#REF!</v>
      </c>
      <c r="H2704" s="136" t="str">
        <f t="shared" si="142"/>
        <v/>
      </c>
      <c r="I2704" s="134" t="str">
        <f t="shared" si="143"/>
        <v/>
      </c>
      <c r="J2704" s="226"/>
    </row>
    <row r="2705" spans="1:10" hidden="1" x14ac:dyDescent="0.25">
      <c r="A2705" s="112" t="s">
        <v>6704</v>
      </c>
      <c r="B2705" s="113" t="s">
        <v>6715</v>
      </c>
      <c r="C2705" s="114" t="s">
        <v>94</v>
      </c>
      <c r="D2705" s="114">
        <v>0</v>
      </c>
      <c r="E2705" s="133" t="s">
        <v>514</v>
      </c>
      <c r="F2705" s="134" t="str">
        <f t="shared" si="141"/>
        <v/>
      </c>
      <c r="G2705" s="135" t="e">
        <f>IF(A2705&lt;&gt;"",IF(AND(#REF!="Padrão",$H$4=#REF!),BDI!$B$17,IF(AND(#REF!="Padrão",$H$4=#REF!),BDI!#REF!,IF(AND(#REF!="Diferenciado",$H$4=#REF!),BDI!$E$17,IF(AND(#REF!="Diferenciado",$H$4=#REF!),BDI!#REF!,IF(#REF!="ZERO",0))))),"")</f>
        <v>#REF!</v>
      </c>
      <c r="H2705" s="136" t="str">
        <f t="shared" si="142"/>
        <v/>
      </c>
      <c r="I2705" s="134" t="str">
        <f t="shared" si="143"/>
        <v/>
      </c>
      <c r="J2705" s="226"/>
    </row>
    <row r="2706" spans="1:10" hidden="1" x14ac:dyDescent="0.25">
      <c r="A2706" s="112" t="s">
        <v>6705</v>
      </c>
      <c r="B2706" s="113" t="s">
        <v>6716</v>
      </c>
      <c r="C2706" s="114" t="s">
        <v>94</v>
      </c>
      <c r="D2706" s="114">
        <v>0</v>
      </c>
      <c r="E2706" s="133">
        <f ca="1">OFFSET(INDEX(Composições!A:J,MATCH(Orçamentária!A2706,Composições!A:A,0),8),2,0)</f>
        <v>13.48191645</v>
      </c>
      <c r="F2706" s="134">
        <f t="shared" ca="1" si="141"/>
        <v>0</v>
      </c>
      <c r="G2706" s="135" t="e">
        <f>IF(A2706&lt;&gt;"",IF(AND(#REF!="Padrão",$H$4=#REF!),BDI!$B$17,IF(AND(#REF!="Padrão",$H$4=#REF!),BDI!#REF!,IF(AND(#REF!="Diferenciado",$H$4=#REF!),BDI!$E$17,IF(AND(#REF!="Diferenciado",$H$4=#REF!),BDI!#REF!,IF(#REF!="ZERO",0))))),"")</f>
        <v>#REF!</v>
      </c>
      <c r="H2706" s="136" t="e">
        <f t="shared" ca="1" si="142"/>
        <v>#REF!</v>
      </c>
      <c r="I2706" s="134" t="e">
        <f t="shared" ca="1" si="143"/>
        <v>#REF!</v>
      </c>
      <c r="J2706" s="226"/>
    </row>
    <row r="2707" spans="1:10" hidden="1" x14ac:dyDescent="0.25">
      <c r="A2707" s="112" t="s">
        <v>6706</v>
      </c>
      <c r="B2707" s="113" t="s">
        <v>6717</v>
      </c>
      <c r="C2707" s="114" t="s">
        <v>94</v>
      </c>
      <c r="D2707" s="114">
        <v>0</v>
      </c>
      <c r="E2707" s="133">
        <f ca="1">OFFSET(INDEX(Composições!A:J,MATCH(Orçamentária!A2707,Composições!A:A,0),8),2,0)</f>
        <v>20.020319000000001</v>
      </c>
      <c r="F2707" s="134">
        <f t="shared" ca="1" si="141"/>
        <v>0</v>
      </c>
      <c r="G2707" s="135" t="e">
        <f>IF(A2707&lt;&gt;"",IF(AND(#REF!="Padrão",$H$4=#REF!),BDI!$B$17,IF(AND(#REF!="Padrão",$H$4=#REF!),BDI!#REF!,IF(AND(#REF!="Diferenciado",$H$4=#REF!),BDI!$E$17,IF(AND(#REF!="Diferenciado",$H$4=#REF!),BDI!#REF!,IF(#REF!="ZERO",0))))),"")</f>
        <v>#REF!</v>
      </c>
      <c r="H2707" s="136" t="e">
        <f t="shared" ca="1" si="142"/>
        <v>#REF!</v>
      </c>
      <c r="I2707" s="134" t="e">
        <f t="shared" ca="1" si="143"/>
        <v>#REF!</v>
      </c>
      <c r="J2707" s="226"/>
    </row>
    <row r="2708" spans="1:10" hidden="1" x14ac:dyDescent="0.25">
      <c r="A2708" s="112" t="s">
        <v>6707</v>
      </c>
      <c r="B2708" s="113" t="s">
        <v>6780</v>
      </c>
      <c r="C2708" s="114" t="s">
        <v>20</v>
      </c>
      <c r="D2708" s="114">
        <v>0</v>
      </c>
      <c r="E2708" s="133">
        <f ca="1">OFFSET(INDEX(Composições!A:J,MATCH(Orçamentária!A2708,Composições!A:A,0),8),2,0)</f>
        <v>93.638963500000003</v>
      </c>
      <c r="F2708" s="134">
        <f t="shared" ref="F2708:F2710" ca="1" si="144">IF(ISNUMBER(E2708),D2708*E2708,"")</f>
        <v>0</v>
      </c>
      <c r="G2708" s="135" t="e">
        <f>IF(A2708&lt;&gt;"",IF(AND(#REF!="Padrão",$H$4=#REF!),BDI!$B$17,IF(AND(#REF!="Padrão",$H$4=#REF!),BDI!#REF!,IF(AND(#REF!="Diferenciado",$H$4=#REF!),BDI!$E$17,IF(AND(#REF!="Diferenciado",$H$4=#REF!),BDI!#REF!,IF(#REF!="ZERO",0))))),"")</f>
        <v>#REF!</v>
      </c>
      <c r="H2708" s="136" t="e">
        <f t="shared" ref="H2708:H2710" ca="1" si="145">IF(ISNUMBER(E2708),ROUND(E2708*(1+G2708),2),"")</f>
        <v>#REF!</v>
      </c>
      <c r="I2708" s="134" t="e">
        <f t="shared" ref="I2708:I2710" ca="1" si="146">IF(ISNUMBER(E2708),ROUND(H2708*D2708,2),"")</f>
        <v>#REF!</v>
      </c>
      <c r="J2708" s="226"/>
    </row>
    <row r="2709" spans="1:10" hidden="1" x14ac:dyDescent="0.25">
      <c r="A2709" s="112" t="s">
        <v>6718</v>
      </c>
      <c r="B2709" s="113" t="s">
        <v>6781</v>
      </c>
      <c r="C2709" s="114" t="s">
        <v>20</v>
      </c>
      <c r="D2709" s="114">
        <v>0</v>
      </c>
      <c r="E2709" s="133">
        <f ca="1">OFFSET(INDEX(Composições!A:J,MATCH(Orçamentária!A2709,Composições!A:A,0),8),2,0)</f>
        <v>197.74471349999999</v>
      </c>
      <c r="F2709" s="134">
        <f t="shared" ca="1" si="144"/>
        <v>0</v>
      </c>
      <c r="G2709" s="135" t="e">
        <f>IF(A2709&lt;&gt;"",IF(AND(#REF!="Padrão",$H$4=#REF!),BDI!$B$17,IF(AND(#REF!="Padrão",$H$4=#REF!),BDI!#REF!,IF(AND(#REF!="Diferenciado",$H$4=#REF!),BDI!$E$17,IF(AND(#REF!="Diferenciado",$H$4=#REF!),BDI!#REF!,IF(#REF!="ZERO",0))))),"")</f>
        <v>#REF!</v>
      </c>
      <c r="H2709" s="136" t="e">
        <f t="shared" ca="1" si="145"/>
        <v>#REF!</v>
      </c>
      <c r="I2709" s="134" t="e">
        <f t="shared" ca="1" si="146"/>
        <v>#REF!</v>
      </c>
      <c r="J2709" s="226"/>
    </row>
    <row r="2710" spans="1:10" hidden="1" x14ac:dyDescent="0.25">
      <c r="A2710" s="112" t="s">
        <v>6719</v>
      </c>
      <c r="B2710" s="113" t="s">
        <v>6782</v>
      </c>
      <c r="C2710" s="114" t="s">
        <v>20</v>
      </c>
      <c r="D2710" s="114">
        <v>0</v>
      </c>
      <c r="E2710" s="133">
        <f ca="1">OFFSET(INDEX(Composições!A:J,MATCH(Orçamentária!A2710,Composições!A:A,0),8),2,0)</f>
        <v>43.386627805126395</v>
      </c>
      <c r="F2710" s="134">
        <f t="shared" ca="1" si="144"/>
        <v>0</v>
      </c>
      <c r="G2710" s="135" t="e">
        <f>IF(A2710&lt;&gt;"",IF(AND(#REF!="Padrão",$H$4=#REF!),BDI!$B$17,IF(AND(#REF!="Padrão",$H$4=#REF!),BDI!#REF!,IF(AND(#REF!="Diferenciado",$H$4=#REF!),BDI!$E$17,IF(AND(#REF!="Diferenciado",$H$4=#REF!),BDI!#REF!,IF(#REF!="ZERO",0))))),"")</f>
        <v>#REF!</v>
      </c>
      <c r="H2710" s="136" t="e">
        <f t="shared" ca="1" si="145"/>
        <v>#REF!</v>
      </c>
      <c r="I2710" s="134" t="e">
        <f t="shared" ca="1" si="146"/>
        <v>#REF!</v>
      </c>
      <c r="J2710" s="226"/>
    </row>
    <row r="2711" spans="1:10" hidden="1" x14ac:dyDescent="0.25">
      <c r="A2711" s="112" t="s">
        <v>6720</v>
      </c>
      <c r="B2711" s="113" t="s">
        <v>6787</v>
      </c>
      <c r="C2711" s="114" t="s">
        <v>20</v>
      </c>
      <c r="D2711" s="114">
        <v>0</v>
      </c>
      <c r="E2711" s="133" t="s">
        <v>514</v>
      </c>
      <c r="F2711" s="134" t="str">
        <f t="shared" ref="F2711:F2774" si="147">IF(ISNUMBER(E2711),D2711*E2711,"")</f>
        <v/>
      </c>
      <c r="G2711" s="135" t="e">
        <f>IF(A2711&lt;&gt;"",IF(AND(#REF!="Padrão",$H$4=#REF!),BDI!$B$17,IF(AND(#REF!="Padrão",$H$4=#REF!),BDI!#REF!,IF(AND(#REF!="Diferenciado",$H$4=#REF!),BDI!$E$17,IF(AND(#REF!="Diferenciado",$H$4=#REF!),BDI!#REF!,IF(#REF!="ZERO",0))))),"")</f>
        <v>#REF!</v>
      </c>
      <c r="H2711" s="136" t="str">
        <f t="shared" ref="H2711:H2774" si="148">IF(ISNUMBER(E2711),ROUND(E2711*(1+G2711),2),"")</f>
        <v/>
      </c>
      <c r="I2711" s="134" t="str">
        <f t="shared" ref="I2711:I2774" si="149">IF(ISNUMBER(E2711),ROUND(H2711*D2711,2),"")</f>
        <v/>
      </c>
      <c r="J2711" s="226"/>
    </row>
    <row r="2712" spans="1:10" hidden="1" x14ac:dyDescent="0.25">
      <c r="A2712" s="112" t="s">
        <v>6721</v>
      </c>
      <c r="B2712" s="113" t="s">
        <v>6788</v>
      </c>
      <c r="C2712" s="114" t="s">
        <v>20</v>
      </c>
      <c r="D2712" s="114">
        <v>0</v>
      </c>
      <c r="E2712" s="133" t="s">
        <v>514</v>
      </c>
      <c r="F2712" s="134" t="str">
        <f t="shared" si="147"/>
        <v/>
      </c>
      <c r="G2712" s="135" t="e">
        <f>IF(A2712&lt;&gt;"",IF(AND(#REF!="Padrão",$H$4=#REF!),BDI!$B$17,IF(AND(#REF!="Padrão",$H$4=#REF!),BDI!#REF!,IF(AND(#REF!="Diferenciado",$H$4=#REF!),BDI!$E$17,IF(AND(#REF!="Diferenciado",$H$4=#REF!),BDI!#REF!,IF(#REF!="ZERO",0))))),"")</f>
        <v>#REF!</v>
      </c>
      <c r="H2712" s="136" t="str">
        <f t="shared" si="148"/>
        <v/>
      </c>
      <c r="I2712" s="134" t="str">
        <f t="shared" si="149"/>
        <v/>
      </c>
      <c r="J2712" s="226"/>
    </row>
    <row r="2713" spans="1:10" hidden="1" x14ac:dyDescent="0.25">
      <c r="A2713" s="112" t="s">
        <v>6722</v>
      </c>
      <c r="B2713" s="113" t="s">
        <v>6789</v>
      </c>
      <c r="C2713" s="114" t="s">
        <v>20</v>
      </c>
      <c r="D2713" s="114">
        <v>0</v>
      </c>
      <c r="E2713" s="133" t="s">
        <v>514</v>
      </c>
      <c r="F2713" s="134" t="str">
        <f t="shared" si="147"/>
        <v/>
      </c>
      <c r="G2713" s="135" t="e">
        <f>IF(A2713&lt;&gt;"",IF(AND(#REF!="Padrão",$H$4=#REF!),BDI!$B$17,IF(AND(#REF!="Padrão",$H$4=#REF!),BDI!#REF!,IF(AND(#REF!="Diferenciado",$H$4=#REF!),BDI!$E$17,IF(AND(#REF!="Diferenciado",$H$4=#REF!),BDI!#REF!,IF(#REF!="ZERO",0))))),"")</f>
        <v>#REF!</v>
      </c>
      <c r="H2713" s="136" t="str">
        <f t="shared" si="148"/>
        <v/>
      </c>
      <c r="I2713" s="134" t="str">
        <f t="shared" si="149"/>
        <v/>
      </c>
      <c r="J2713" s="226"/>
    </row>
    <row r="2714" spans="1:10" hidden="1" x14ac:dyDescent="0.25">
      <c r="A2714" s="112" t="s">
        <v>6723</v>
      </c>
      <c r="B2714" s="113" t="s">
        <v>6790</v>
      </c>
      <c r="C2714" s="114" t="s">
        <v>20</v>
      </c>
      <c r="D2714" s="114">
        <v>0</v>
      </c>
      <c r="E2714" s="133">
        <f ca="1">OFFSET(INDEX(Composições!A:J,MATCH(Orçamentária!A2714,Composições!A:A,0),8),2,0)</f>
        <v>43.386627805126395</v>
      </c>
      <c r="F2714" s="134">
        <f t="shared" ca="1" si="147"/>
        <v>0</v>
      </c>
      <c r="G2714" s="135" t="e">
        <f>IF(A2714&lt;&gt;"",IF(AND(#REF!="Padrão",$H$4=#REF!),BDI!$B$17,IF(AND(#REF!="Padrão",$H$4=#REF!),BDI!#REF!,IF(AND(#REF!="Diferenciado",$H$4=#REF!),BDI!$E$17,IF(AND(#REF!="Diferenciado",$H$4=#REF!),BDI!#REF!,IF(#REF!="ZERO",0))))),"")</f>
        <v>#REF!</v>
      </c>
      <c r="H2714" s="136" t="e">
        <f t="shared" ca="1" si="148"/>
        <v>#REF!</v>
      </c>
      <c r="I2714" s="134" t="e">
        <f t="shared" ca="1" si="149"/>
        <v>#REF!</v>
      </c>
      <c r="J2714" s="226"/>
    </row>
    <row r="2715" spans="1:10" hidden="1" x14ac:dyDescent="0.25">
      <c r="A2715" s="112" t="s">
        <v>6724</v>
      </c>
      <c r="B2715" s="113" t="s">
        <v>6791</v>
      </c>
      <c r="C2715" s="114" t="s">
        <v>20</v>
      </c>
      <c r="D2715" s="114">
        <v>0</v>
      </c>
      <c r="E2715" s="133">
        <f ca="1">OFFSET(INDEX(Composições!A:J,MATCH(Orçamentária!A2715,Composições!A:A,0),8),2,0)</f>
        <v>43.386627805126395</v>
      </c>
      <c r="F2715" s="134">
        <f t="shared" ca="1" si="147"/>
        <v>0</v>
      </c>
      <c r="G2715" s="135" t="e">
        <f>IF(A2715&lt;&gt;"",IF(AND(#REF!="Padrão",$H$4=#REF!),BDI!$B$17,IF(AND(#REF!="Padrão",$H$4=#REF!),BDI!#REF!,IF(AND(#REF!="Diferenciado",$H$4=#REF!),BDI!$E$17,IF(AND(#REF!="Diferenciado",$H$4=#REF!),BDI!#REF!,IF(#REF!="ZERO",0))))),"")</f>
        <v>#REF!</v>
      </c>
      <c r="H2715" s="136" t="e">
        <f t="shared" ca="1" si="148"/>
        <v>#REF!</v>
      </c>
      <c r="I2715" s="134" t="e">
        <f t="shared" ca="1" si="149"/>
        <v>#REF!</v>
      </c>
      <c r="J2715" s="226"/>
    </row>
    <row r="2716" spans="1:10" hidden="1" x14ac:dyDescent="0.25">
      <c r="A2716" s="112" t="s">
        <v>6725</v>
      </c>
      <c r="B2716" s="113" t="s">
        <v>6792</v>
      </c>
      <c r="C2716" s="114" t="s">
        <v>20</v>
      </c>
      <c r="D2716" s="114">
        <v>0</v>
      </c>
      <c r="E2716" s="133" t="s">
        <v>514</v>
      </c>
      <c r="F2716" s="134" t="str">
        <f t="shared" si="147"/>
        <v/>
      </c>
      <c r="G2716" s="135" t="e">
        <f>IF(A2716&lt;&gt;"",IF(AND(#REF!="Padrão",$H$4=#REF!),BDI!$B$17,IF(AND(#REF!="Padrão",$H$4=#REF!),BDI!#REF!,IF(AND(#REF!="Diferenciado",$H$4=#REF!),BDI!$E$17,IF(AND(#REF!="Diferenciado",$H$4=#REF!),BDI!#REF!,IF(#REF!="ZERO",0))))),"")</f>
        <v>#REF!</v>
      </c>
      <c r="H2716" s="136" t="str">
        <f t="shared" si="148"/>
        <v/>
      </c>
      <c r="I2716" s="134" t="str">
        <f t="shared" si="149"/>
        <v/>
      </c>
      <c r="J2716" s="226"/>
    </row>
    <row r="2717" spans="1:10" hidden="1" x14ac:dyDescent="0.25">
      <c r="A2717" s="112" t="s">
        <v>6726</v>
      </c>
      <c r="B2717" s="113" t="s">
        <v>6793</v>
      </c>
      <c r="C2717" s="114" t="s">
        <v>20</v>
      </c>
      <c r="D2717" s="114">
        <v>0</v>
      </c>
      <c r="E2717" s="133" t="s">
        <v>514</v>
      </c>
      <c r="F2717" s="134" t="str">
        <f t="shared" si="147"/>
        <v/>
      </c>
      <c r="G2717" s="135" t="e">
        <f>IF(A2717&lt;&gt;"",IF(AND(#REF!="Padrão",$H$4=#REF!),BDI!$B$17,IF(AND(#REF!="Padrão",$H$4=#REF!),BDI!#REF!,IF(AND(#REF!="Diferenciado",$H$4=#REF!),BDI!$E$17,IF(AND(#REF!="Diferenciado",$H$4=#REF!),BDI!#REF!,IF(#REF!="ZERO",0))))),"")</f>
        <v>#REF!</v>
      </c>
      <c r="H2717" s="136" t="str">
        <f t="shared" si="148"/>
        <v/>
      </c>
      <c r="I2717" s="134" t="str">
        <f t="shared" si="149"/>
        <v/>
      </c>
      <c r="J2717" s="226"/>
    </row>
    <row r="2718" spans="1:10" hidden="1" x14ac:dyDescent="0.25">
      <c r="A2718" s="112" t="s">
        <v>6727</v>
      </c>
      <c r="B2718" s="113" t="s">
        <v>6794</v>
      </c>
      <c r="C2718" s="114" t="s">
        <v>20</v>
      </c>
      <c r="D2718" s="114">
        <v>0</v>
      </c>
      <c r="E2718" s="133" t="s">
        <v>514</v>
      </c>
      <c r="F2718" s="134" t="str">
        <f t="shared" si="147"/>
        <v/>
      </c>
      <c r="G2718" s="135" t="e">
        <f>IF(A2718&lt;&gt;"",IF(AND(#REF!="Padrão",$H$4=#REF!),BDI!$B$17,IF(AND(#REF!="Padrão",$H$4=#REF!),BDI!#REF!,IF(AND(#REF!="Diferenciado",$H$4=#REF!),BDI!$E$17,IF(AND(#REF!="Diferenciado",$H$4=#REF!),BDI!#REF!,IF(#REF!="ZERO",0))))),"")</f>
        <v>#REF!</v>
      </c>
      <c r="H2718" s="136" t="str">
        <f t="shared" si="148"/>
        <v/>
      </c>
      <c r="I2718" s="134" t="str">
        <f t="shared" si="149"/>
        <v/>
      </c>
      <c r="J2718" s="226"/>
    </row>
    <row r="2719" spans="1:10" hidden="1" x14ac:dyDescent="0.25">
      <c r="A2719" s="112" t="s">
        <v>6728</v>
      </c>
      <c r="B2719" s="113" t="s">
        <v>6795</v>
      </c>
      <c r="C2719" s="114" t="s">
        <v>20</v>
      </c>
      <c r="D2719" s="114">
        <v>0</v>
      </c>
      <c r="E2719" s="133" t="s">
        <v>514</v>
      </c>
      <c r="F2719" s="134" t="str">
        <f t="shared" si="147"/>
        <v/>
      </c>
      <c r="G2719" s="135" t="e">
        <f>IF(A2719&lt;&gt;"",IF(AND(#REF!="Padrão",$H$4=#REF!),BDI!$B$17,IF(AND(#REF!="Padrão",$H$4=#REF!),BDI!#REF!,IF(AND(#REF!="Diferenciado",$H$4=#REF!),BDI!$E$17,IF(AND(#REF!="Diferenciado",$H$4=#REF!),BDI!#REF!,IF(#REF!="ZERO",0))))),"")</f>
        <v>#REF!</v>
      </c>
      <c r="H2719" s="136" t="str">
        <f t="shared" si="148"/>
        <v/>
      </c>
      <c r="I2719" s="134" t="str">
        <f t="shared" si="149"/>
        <v/>
      </c>
      <c r="J2719" s="226"/>
    </row>
    <row r="2720" spans="1:10" hidden="1" x14ac:dyDescent="0.25">
      <c r="A2720" s="112" t="s">
        <v>6729</v>
      </c>
      <c r="B2720" s="113" t="s">
        <v>6252</v>
      </c>
      <c r="C2720" s="114" t="s">
        <v>20</v>
      </c>
      <c r="D2720" s="114">
        <v>0</v>
      </c>
      <c r="E2720" s="133" t="s">
        <v>514</v>
      </c>
      <c r="F2720" s="134" t="str">
        <f t="shared" si="147"/>
        <v/>
      </c>
      <c r="G2720" s="135" t="e">
        <f>IF(A2720&lt;&gt;"",IF(AND(#REF!="Padrão",$H$4=#REF!),BDI!$B$17,IF(AND(#REF!="Padrão",$H$4=#REF!),BDI!#REF!,IF(AND(#REF!="Diferenciado",$H$4=#REF!),BDI!$E$17,IF(AND(#REF!="Diferenciado",$H$4=#REF!),BDI!#REF!,IF(#REF!="ZERO",0))))),"")</f>
        <v>#REF!</v>
      </c>
      <c r="H2720" s="136" t="str">
        <f t="shared" si="148"/>
        <v/>
      </c>
      <c r="I2720" s="134" t="str">
        <f t="shared" si="149"/>
        <v/>
      </c>
      <c r="J2720" s="226"/>
    </row>
    <row r="2721" spans="1:10" hidden="1" x14ac:dyDescent="0.25">
      <c r="A2721" s="112" t="s">
        <v>6730</v>
      </c>
      <c r="B2721" s="113" t="s">
        <v>6253</v>
      </c>
      <c r="C2721" s="114" t="s">
        <v>20</v>
      </c>
      <c r="D2721" s="114">
        <v>0</v>
      </c>
      <c r="E2721" s="133" t="s">
        <v>514</v>
      </c>
      <c r="F2721" s="134" t="str">
        <f t="shared" si="147"/>
        <v/>
      </c>
      <c r="G2721" s="135" t="e">
        <f>IF(A2721&lt;&gt;"",IF(AND(#REF!="Padrão",$H$4=#REF!),BDI!$B$17,IF(AND(#REF!="Padrão",$H$4=#REF!),BDI!#REF!,IF(AND(#REF!="Diferenciado",$H$4=#REF!),BDI!$E$17,IF(AND(#REF!="Diferenciado",$H$4=#REF!),BDI!#REF!,IF(#REF!="ZERO",0))))),"")</f>
        <v>#REF!</v>
      </c>
      <c r="H2721" s="136" t="str">
        <f t="shared" si="148"/>
        <v/>
      </c>
      <c r="I2721" s="134" t="str">
        <f t="shared" si="149"/>
        <v/>
      </c>
      <c r="J2721" s="226"/>
    </row>
    <row r="2722" spans="1:10" hidden="1" x14ac:dyDescent="0.25">
      <c r="A2722" s="112" t="s">
        <v>6731</v>
      </c>
      <c r="B2722" s="113" t="s">
        <v>6796</v>
      </c>
      <c r="C2722" s="114" t="s">
        <v>20</v>
      </c>
      <c r="D2722" s="114">
        <v>0</v>
      </c>
      <c r="E2722" s="133">
        <f ca="1">OFFSET(INDEX(Composições!A:J,MATCH(Orçamentária!A2722,Composições!A:A,0),8),2,0)</f>
        <v>14.3925</v>
      </c>
      <c r="F2722" s="134">
        <f t="shared" ca="1" si="147"/>
        <v>0</v>
      </c>
      <c r="G2722" s="135" t="e">
        <f>IF(A2722&lt;&gt;"",IF(AND(#REF!="Padrão",$H$4=#REF!),BDI!$B$17,IF(AND(#REF!="Padrão",$H$4=#REF!),BDI!#REF!,IF(AND(#REF!="Diferenciado",$H$4=#REF!),BDI!$E$17,IF(AND(#REF!="Diferenciado",$H$4=#REF!),BDI!#REF!,IF(#REF!="ZERO",0))))),"")</f>
        <v>#REF!</v>
      </c>
      <c r="H2722" s="136" t="e">
        <f t="shared" ca="1" si="148"/>
        <v>#REF!</v>
      </c>
      <c r="I2722" s="134" t="e">
        <f t="shared" ca="1" si="149"/>
        <v>#REF!</v>
      </c>
      <c r="J2722" s="226"/>
    </row>
    <row r="2723" spans="1:10" hidden="1" x14ac:dyDescent="0.25">
      <c r="A2723" s="112" t="s">
        <v>6732</v>
      </c>
      <c r="B2723" s="113" t="s">
        <v>6797</v>
      </c>
      <c r="C2723" s="114" t="s">
        <v>20</v>
      </c>
      <c r="D2723" s="114">
        <v>0</v>
      </c>
      <c r="E2723" s="133" t="s">
        <v>514</v>
      </c>
      <c r="F2723" s="134" t="str">
        <f t="shared" si="147"/>
        <v/>
      </c>
      <c r="G2723" s="135" t="e">
        <f>IF(A2723&lt;&gt;"",IF(AND(#REF!="Padrão",$H$4=#REF!),BDI!$B$17,IF(AND(#REF!="Padrão",$H$4=#REF!),BDI!#REF!,IF(AND(#REF!="Diferenciado",$H$4=#REF!),BDI!$E$17,IF(AND(#REF!="Diferenciado",$H$4=#REF!),BDI!#REF!,IF(#REF!="ZERO",0))))),"")</f>
        <v>#REF!</v>
      </c>
      <c r="H2723" s="136" t="str">
        <f t="shared" si="148"/>
        <v/>
      </c>
      <c r="I2723" s="134" t="str">
        <f t="shared" si="149"/>
        <v/>
      </c>
      <c r="J2723" s="226"/>
    </row>
    <row r="2724" spans="1:10" hidden="1" x14ac:dyDescent="0.25">
      <c r="A2724" s="112" t="s">
        <v>6733</v>
      </c>
      <c r="B2724" s="113" t="s">
        <v>3461</v>
      </c>
      <c r="C2724" s="114" t="s">
        <v>20</v>
      </c>
      <c r="D2724" s="114">
        <v>0</v>
      </c>
      <c r="E2724" s="133">
        <f ca="1">OFFSET(INDEX(Composições!A:J,MATCH(Orçamentária!A2724,Composições!A:A,0),8),2,0)</f>
        <v>2.9544999999999999</v>
      </c>
      <c r="F2724" s="134">
        <f t="shared" ca="1" si="147"/>
        <v>0</v>
      </c>
      <c r="G2724" s="135" t="e">
        <f>IF(A2724&lt;&gt;"",IF(AND(#REF!="Padrão",$H$4=#REF!),BDI!$B$17,IF(AND(#REF!="Padrão",$H$4=#REF!),BDI!#REF!,IF(AND(#REF!="Diferenciado",$H$4=#REF!),BDI!$E$17,IF(AND(#REF!="Diferenciado",$H$4=#REF!),BDI!#REF!,IF(#REF!="ZERO",0))))),"")</f>
        <v>#REF!</v>
      </c>
      <c r="H2724" s="136" t="e">
        <f t="shared" ca="1" si="148"/>
        <v>#REF!</v>
      </c>
      <c r="I2724" s="134" t="e">
        <f t="shared" ca="1" si="149"/>
        <v>#REF!</v>
      </c>
      <c r="J2724" s="226"/>
    </row>
    <row r="2725" spans="1:10" hidden="1" x14ac:dyDescent="0.25">
      <c r="A2725" s="112" t="s">
        <v>6734</v>
      </c>
      <c r="B2725" s="113" t="s">
        <v>6798</v>
      </c>
      <c r="C2725" s="114" t="s">
        <v>42</v>
      </c>
      <c r="D2725" s="114">
        <v>0</v>
      </c>
      <c r="E2725" s="133">
        <f ca="1">OFFSET(INDEX(Composições!A:J,MATCH(Orçamentária!A2725,Composições!A:A,0),8),2,0)</f>
        <v>3.0590000000000002</v>
      </c>
      <c r="F2725" s="134">
        <f t="shared" ca="1" si="147"/>
        <v>0</v>
      </c>
      <c r="G2725" s="135" t="e">
        <f>IF(A2725&lt;&gt;"",IF(AND(#REF!="Padrão",$H$4=#REF!),BDI!$B$17,IF(AND(#REF!="Padrão",$H$4=#REF!),BDI!#REF!,IF(AND(#REF!="Diferenciado",$H$4=#REF!),BDI!$E$17,IF(AND(#REF!="Diferenciado",$H$4=#REF!),BDI!#REF!,IF(#REF!="ZERO",0))))),"")</f>
        <v>#REF!</v>
      </c>
      <c r="H2725" s="136" t="e">
        <f t="shared" ca="1" si="148"/>
        <v>#REF!</v>
      </c>
      <c r="I2725" s="134" t="e">
        <f t="shared" ca="1" si="149"/>
        <v>#REF!</v>
      </c>
      <c r="J2725" s="226"/>
    </row>
    <row r="2726" spans="1:10" hidden="1" x14ac:dyDescent="0.25">
      <c r="A2726" s="112" t="s">
        <v>6735</v>
      </c>
      <c r="B2726" s="113" t="s">
        <v>6799</v>
      </c>
      <c r="C2726" s="114" t="s">
        <v>42</v>
      </c>
      <c r="D2726" s="114">
        <v>0</v>
      </c>
      <c r="E2726" s="133" t="s">
        <v>514</v>
      </c>
      <c r="F2726" s="134" t="str">
        <f t="shared" si="147"/>
        <v/>
      </c>
      <c r="G2726" s="135" t="e">
        <f>IF(A2726&lt;&gt;"",IF(AND(#REF!="Padrão",$H$4=#REF!),BDI!$B$17,IF(AND(#REF!="Padrão",$H$4=#REF!),BDI!#REF!,IF(AND(#REF!="Diferenciado",$H$4=#REF!),BDI!$E$17,IF(AND(#REF!="Diferenciado",$H$4=#REF!),BDI!#REF!,IF(#REF!="ZERO",0))))),"")</f>
        <v>#REF!</v>
      </c>
      <c r="H2726" s="136" t="str">
        <f t="shared" si="148"/>
        <v/>
      </c>
      <c r="I2726" s="134" t="str">
        <f t="shared" si="149"/>
        <v/>
      </c>
      <c r="J2726" s="226"/>
    </row>
    <row r="2727" spans="1:10" hidden="1" x14ac:dyDescent="0.25">
      <c r="A2727" s="112" t="s">
        <v>6736</v>
      </c>
      <c r="B2727" s="113" t="s">
        <v>3474</v>
      </c>
      <c r="C2727" s="114" t="s">
        <v>20</v>
      </c>
      <c r="D2727" s="114">
        <v>0</v>
      </c>
      <c r="E2727" s="133" t="s">
        <v>514</v>
      </c>
      <c r="F2727" s="134" t="str">
        <f t="shared" si="147"/>
        <v/>
      </c>
      <c r="G2727" s="135" t="e">
        <f>IF(A2727&lt;&gt;"",IF(AND(#REF!="Padrão",$H$4=#REF!),BDI!$B$17,IF(AND(#REF!="Padrão",$H$4=#REF!),BDI!#REF!,IF(AND(#REF!="Diferenciado",$H$4=#REF!),BDI!$E$17,IF(AND(#REF!="Diferenciado",$H$4=#REF!),BDI!#REF!,IF(#REF!="ZERO",0))))),"")</f>
        <v>#REF!</v>
      </c>
      <c r="H2727" s="136" t="str">
        <f t="shared" si="148"/>
        <v/>
      </c>
      <c r="I2727" s="134" t="str">
        <f t="shared" si="149"/>
        <v/>
      </c>
      <c r="J2727" s="226"/>
    </row>
    <row r="2728" spans="1:10" hidden="1" x14ac:dyDescent="0.25">
      <c r="A2728" s="112" t="s">
        <v>6737</v>
      </c>
      <c r="B2728" s="113" t="s">
        <v>6800</v>
      </c>
      <c r="C2728" s="114" t="s">
        <v>20</v>
      </c>
      <c r="D2728" s="114">
        <v>0</v>
      </c>
      <c r="E2728" s="133" t="s">
        <v>514</v>
      </c>
      <c r="F2728" s="134" t="str">
        <f t="shared" si="147"/>
        <v/>
      </c>
      <c r="G2728" s="135" t="e">
        <f>IF(A2728&lt;&gt;"",IF(AND(#REF!="Padrão",$H$4=#REF!),BDI!$B$17,IF(AND(#REF!="Padrão",$H$4=#REF!),BDI!#REF!,IF(AND(#REF!="Diferenciado",$H$4=#REF!),BDI!$E$17,IF(AND(#REF!="Diferenciado",$H$4=#REF!),BDI!#REF!,IF(#REF!="ZERO",0))))),"")</f>
        <v>#REF!</v>
      </c>
      <c r="H2728" s="136" t="str">
        <f t="shared" si="148"/>
        <v/>
      </c>
      <c r="I2728" s="134" t="str">
        <f t="shared" si="149"/>
        <v/>
      </c>
      <c r="J2728" s="226"/>
    </row>
    <row r="2729" spans="1:10" hidden="1" x14ac:dyDescent="0.25">
      <c r="A2729" s="112" t="s">
        <v>6738</v>
      </c>
      <c r="B2729" s="113" t="s">
        <v>6249</v>
      </c>
      <c r="C2729" s="114" t="s">
        <v>20</v>
      </c>
      <c r="D2729" s="114">
        <v>0</v>
      </c>
      <c r="E2729" s="133">
        <f ca="1">OFFSET(INDEX(Composições!A:J,MATCH(Orçamentária!A2729,Composições!A:A,0),8),2,0)</f>
        <v>38.332499999999996</v>
      </c>
      <c r="F2729" s="134">
        <f t="shared" ca="1" si="147"/>
        <v>0</v>
      </c>
      <c r="G2729" s="135" t="e">
        <f>IF(A2729&lt;&gt;"",IF(AND(#REF!="Padrão",$H$4=#REF!),BDI!$B$17,IF(AND(#REF!="Padrão",$H$4=#REF!),BDI!#REF!,IF(AND(#REF!="Diferenciado",$H$4=#REF!),BDI!$E$17,IF(AND(#REF!="Diferenciado",$H$4=#REF!),BDI!#REF!,IF(#REF!="ZERO",0))))),"")</f>
        <v>#REF!</v>
      </c>
      <c r="H2729" s="136" t="e">
        <f t="shared" ca="1" si="148"/>
        <v>#REF!</v>
      </c>
      <c r="I2729" s="134" t="e">
        <f t="shared" ca="1" si="149"/>
        <v>#REF!</v>
      </c>
      <c r="J2729" s="226"/>
    </row>
    <row r="2730" spans="1:10" hidden="1" x14ac:dyDescent="0.25">
      <c r="A2730" s="112" t="s">
        <v>6739</v>
      </c>
      <c r="B2730" s="113" t="s">
        <v>2764</v>
      </c>
      <c r="C2730" s="114" t="s">
        <v>20</v>
      </c>
      <c r="D2730" s="114">
        <v>0</v>
      </c>
      <c r="E2730" s="133" t="s">
        <v>514</v>
      </c>
      <c r="F2730" s="134" t="str">
        <f t="shared" si="147"/>
        <v/>
      </c>
      <c r="G2730" s="135" t="e">
        <f>IF(A2730&lt;&gt;"",IF(AND(#REF!="Padrão",$H$4=#REF!),BDI!$B$17,IF(AND(#REF!="Padrão",$H$4=#REF!),BDI!#REF!,IF(AND(#REF!="Diferenciado",$H$4=#REF!),BDI!$E$17,IF(AND(#REF!="Diferenciado",$H$4=#REF!),BDI!#REF!,IF(#REF!="ZERO",0))))),"")</f>
        <v>#REF!</v>
      </c>
      <c r="H2730" s="136" t="str">
        <f t="shared" si="148"/>
        <v/>
      </c>
      <c r="I2730" s="134" t="str">
        <f t="shared" si="149"/>
        <v/>
      </c>
      <c r="J2730" s="226"/>
    </row>
    <row r="2731" spans="1:10" hidden="1" x14ac:dyDescent="0.25">
      <c r="A2731" s="112" t="s">
        <v>6740</v>
      </c>
      <c r="B2731" s="113" t="s">
        <v>6801</v>
      </c>
      <c r="C2731" s="114" t="s">
        <v>20</v>
      </c>
      <c r="D2731" s="114">
        <v>0</v>
      </c>
      <c r="E2731" s="133" t="s">
        <v>514</v>
      </c>
      <c r="F2731" s="134" t="str">
        <f t="shared" si="147"/>
        <v/>
      </c>
      <c r="G2731" s="135" t="e">
        <f>IF(A2731&lt;&gt;"",IF(AND(#REF!="Padrão",$H$4=#REF!),BDI!$B$17,IF(AND(#REF!="Padrão",$H$4=#REF!),BDI!#REF!,IF(AND(#REF!="Diferenciado",$H$4=#REF!),BDI!$E$17,IF(AND(#REF!="Diferenciado",$H$4=#REF!),BDI!#REF!,IF(#REF!="ZERO",0))))),"")</f>
        <v>#REF!</v>
      </c>
      <c r="H2731" s="136" t="str">
        <f t="shared" si="148"/>
        <v/>
      </c>
      <c r="I2731" s="134" t="str">
        <f t="shared" si="149"/>
        <v/>
      </c>
      <c r="J2731" s="226"/>
    </row>
    <row r="2732" spans="1:10" hidden="1" x14ac:dyDescent="0.25">
      <c r="A2732" s="112" t="s">
        <v>6741</v>
      </c>
      <c r="B2732" s="113" t="s">
        <v>6802</v>
      </c>
      <c r="C2732" s="114" t="s">
        <v>20</v>
      </c>
      <c r="D2732" s="114">
        <v>0</v>
      </c>
      <c r="E2732" s="133" t="s">
        <v>514</v>
      </c>
      <c r="F2732" s="134" t="str">
        <f t="shared" si="147"/>
        <v/>
      </c>
      <c r="G2732" s="135" t="e">
        <f>IF(A2732&lt;&gt;"",IF(AND(#REF!="Padrão",$H$4=#REF!),BDI!$B$17,IF(AND(#REF!="Padrão",$H$4=#REF!),BDI!#REF!,IF(AND(#REF!="Diferenciado",$H$4=#REF!),BDI!$E$17,IF(AND(#REF!="Diferenciado",$H$4=#REF!),BDI!#REF!,IF(#REF!="ZERO",0))))),"")</f>
        <v>#REF!</v>
      </c>
      <c r="H2732" s="136" t="str">
        <f t="shared" si="148"/>
        <v/>
      </c>
      <c r="I2732" s="134" t="str">
        <f t="shared" si="149"/>
        <v/>
      </c>
      <c r="J2732" s="226"/>
    </row>
    <row r="2733" spans="1:10" hidden="1" x14ac:dyDescent="0.25">
      <c r="A2733" s="112" t="s">
        <v>6742</v>
      </c>
      <c r="B2733" s="113" t="s">
        <v>6803</v>
      </c>
      <c r="C2733" s="114" t="s">
        <v>20</v>
      </c>
      <c r="D2733" s="114">
        <v>0</v>
      </c>
      <c r="E2733" s="133" t="s">
        <v>514</v>
      </c>
      <c r="F2733" s="134" t="str">
        <f t="shared" si="147"/>
        <v/>
      </c>
      <c r="G2733" s="135" t="e">
        <f>IF(A2733&lt;&gt;"",IF(AND(#REF!="Padrão",$H$4=#REF!),BDI!$B$17,IF(AND(#REF!="Padrão",$H$4=#REF!),BDI!#REF!,IF(AND(#REF!="Diferenciado",$H$4=#REF!),BDI!$E$17,IF(AND(#REF!="Diferenciado",$H$4=#REF!),BDI!#REF!,IF(#REF!="ZERO",0))))),"")</f>
        <v>#REF!</v>
      </c>
      <c r="H2733" s="136" t="str">
        <f t="shared" si="148"/>
        <v/>
      </c>
      <c r="I2733" s="134" t="str">
        <f t="shared" si="149"/>
        <v/>
      </c>
      <c r="J2733" s="226"/>
    </row>
    <row r="2734" spans="1:10" hidden="1" x14ac:dyDescent="0.25">
      <c r="A2734" s="112" t="s">
        <v>6743</v>
      </c>
      <c r="B2734" s="113" t="s">
        <v>6804</v>
      </c>
      <c r="C2734" s="114" t="s">
        <v>20</v>
      </c>
      <c r="D2734" s="114">
        <v>0</v>
      </c>
      <c r="E2734" s="133" t="s">
        <v>514</v>
      </c>
      <c r="F2734" s="134" t="str">
        <f t="shared" si="147"/>
        <v/>
      </c>
      <c r="G2734" s="135" t="e">
        <f>IF(A2734&lt;&gt;"",IF(AND(#REF!="Padrão",$H$4=#REF!),BDI!$B$17,IF(AND(#REF!="Padrão",$H$4=#REF!),BDI!#REF!,IF(AND(#REF!="Diferenciado",$H$4=#REF!),BDI!$E$17,IF(AND(#REF!="Diferenciado",$H$4=#REF!),BDI!#REF!,IF(#REF!="ZERO",0))))),"")</f>
        <v>#REF!</v>
      </c>
      <c r="H2734" s="136" t="str">
        <f t="shared" si="148"/>
        <v/>
      </c>
      <c r="I2734" s="134" t="str">
        <f t="shared" si="149"/>
        <v/>
      </c>
      <c r="J2734" s="226"/>
    </row>
    <row r="2735" spans="1:10" hidden="1" x14ac:dyDescent="0.25">
      <c r="A2735" s="112" t="s">
        <v>6744</v>
      </c>
      <c r="B2735" s="113" t="s">
        <v>6805</v>
      </c>
      <c r="C2735" s="114" t="s">
        <v>20</v>
      </c>
      <c r="D2735" s="114">
        <v>0</v>
      </c>
      <c r="E2735" s="133">
        <f ca="1">OFFSET(INDEX(Composições!A:J,MATCH(Orçamentária!A2735,Composições!A:A,0),8),2,0)</f>
        <v>158.49799999999999</v>
      </c>
      <c r="F2735" s="134">
        <f t="shared" ca="1" si="147"/>
        <v>0</v>
      </c>
      <c r="G2735" s="135" t="e">
        <f>IF(A2735&lt;&gt;"",IF(AND(#REF!="Padrão",$H$4=#REF!),BDI!$B$17,IF(AND(#REF!="Padrão",$H$4=#REF!),BDI!#REF!,IF(AND(#REF!="Diferenciado",$H$4=#REF!),BDI!$E$17,IF(AND(#REF!="Diferenciado",$H$4=#REF!),BDI!#REF!,IF(#REF!="ZERO",0))))),"")</f>
        <v>#REF!</v>
      </c>
      <c r="H2735" s="136" t="e">
        <f t="shared" ca="1" si="148"/>
        <v>#REF!</v>
      </c>
      <c r="I2735" s="134" t="e">
        <f t="shared" ca="1" si="149"/>
        <v>#REF!</v>
      </c>
      <c r="J2735" s="226"/>
    </row>
    <row r="2736" spans="1:10" hidden="1" x14ac:dyDescent="0.25">
      <c r="A2736" s="112" t="s">
        <v>6745</v>
      </c>
      <c r="B2736" s="113" t="s">
        <v>6806</v>
      </c>
      <c r="C2736" s="114" t="s">
        <v>20</v>
      </c>
      <c r="D2736" s="114">
        <v>0</v>
      </c>
      <c r="E2736" s="133">
        <f ca="1">OFFSET(INDEX(Composições!A:J,MATCH(Orçamentária!A2736,Composições!A:A,0),8),2,0)</f>
        <v>169.005</v>
      </c>
      <c r="F2736" s="134">
        <f t="shared" ca="1" si="147"/>
        <v>0</v>
      </c>
      <c r="G2736" s="135" t="e">
        <f>IF(A2736&lt;&gt;"",IF(AND(#REF!="Padrão",$H$4=#REF!),BDI!$B$17,IF(AND(#REF!="Padrão",$H$4=#REF!),BDI!#REF!,IF(AND(#REF!="Diferenciado",$H$4=#REF!),BDI!$E$17,IF(AND(#REF!="Diferenciado",$H$4=#REF!),BDI!#REF!,IF(#REF!="ZERO",0))))),"")</f>
        <v>#REF!</v>
      </c>
      <c r="H2736" s="136" t="e">
        <f t="shared" ca="1" si="148"/>
        <v>#REF!</v>
      </c>
      <c r="I2736" s="134" t="e">
        <f t="shared" ca="1" si="149"/>
        <v>#REF!</v>
      </c>
      <c r="J2736" s="226"/>
    </row>
    <row r="2737" spans="1:10" hidden="1" x14ac:dyDescent="0.25">
      <c r="A2737" s="112" t="s">
        <v>6746</v>
      </c>
      <c r="B2737" s="113" t="s">
        <v>6807</v>
      </c>
      <c r="C2737" s="114" t="s">
        <v>20</v>
      </c>
      <c r="D2737" s="114">
        <v>0</v>
      </c>
      <c r="E2737" s="133" t="s">
        <v>514</v>
      </c>
      <c r="F2737" s="134" t="str">
        <f t="shared" si="147"/>
        <v/>
      </c>
      <c r="G2737" s="135" t="e">
        <f>IF(A2737&lt;&gt;"",IF(AND(#REF!="Padrão",$H$4=#REF!),BDI!$B$17,IF(AND(#REF!="Padrão",$H$4=#REF!),BDI!#REF!,IF(AND(#REF!="Diferenciado",$H$4=#REF!),BDI!$E$17,IF(AND(#REF!="Diferenciado",$H$4=#REF!),BDI!#REF!,IF(#REF!="ZERO",0))))),"")</f>
        <v>#REF!</v>
      </c>
      <c r="H2737" s="136" t="str">
        <f t="shared" si="148"/>
        <v/>
      </c>
      <c r="I2737" s="134" t="str">
        <f t="shared" si="149"/>
        <v/>
      </c>
      <c r="J2737" s="226"/>
    </row>
    <row r="2738" spans="1:10" hidden="1" x14ac:dyDescent="0.25">
      <c r="A2738" s="112" t="s">
        <v>6747</v>
      </c>
      <c r="B2738" s="113" t="s">
        <v>6808</v>
      </c>
      <c r="C2738" s="114" t="s">
        <v>20</v>
      </c>
      <c r="D2738" s="114">
        <v>0</v>
      </c>
      <c r="E2738" s="133" t="s">
        <v>514</v>
      </c>
      <c r="F2738" s="134" t="str">
        <f t="shared" si="147"/>
        <v/>
      </c>
      <c r="G2738" s="135" t="e">
        <f>IF(A2738&lt;&gt;"",IF(AND(#REF!="Padrão",$H$4=#REF!),BDI!$B$17,IF(AND(#REF!="Padrão",$H$4=#REF!),BDI!#REF!,IF(AND(#REF!="Diferenciado",$H$4=#REF!),BDI!$E$17,IF(AND(#REF!="Diferenciado",$H$4=#REF!),BDI!#REF!,IF(#REF!="ZERO",0))))),"")</f>
        <v>#REF!</v>
      </c>
      <c r="H2738" s="136" t="str">
        <f t="shared" si="148"/>
        <v/>
      </c>
      <c r="I2738" s="134" t="str">
        <f t="shared" si="149"/>
        <v/>
      </c>
      <c r="J2738" s="226"/>
    </row>
    <row r="2739" spans="1:10" hidden="1" x14ac:dyDescent="0.25">
      <c r="A2739" s="112" t="s">
        <v>6748</v>
      </c>
      <c r="B2739" s="113" t="s">
        <v>6809</v>
      </c>
      <c r="C2739" s="114" t="s">
        <v>20</v>
      </c>
      <c r="D2739" s="114">
        <v>0</v>
      </c>
      <c r="E2739" s="133" t="s">
        <v>514</v>
      </c>
      <c r="F2739" s="134" t="str">
        <f t="shared" si="147"/>
        <v/>
      </c>
      <c r="G2739" s="135" t="e">
        <f>IF(A2739&lt;&gt;"",IF(AND(#REF!="Padrão",$H$4=#REF!),BDI!$B$17,IF(AND(#REF!="Padrão",$H$4=#REF!),BDI!#REF!,IF(AND(#REF!="Diferenciado",$H$4=#REF!),BDI!$E$17,IF(AND(#REF!="Diferenciado",$H$4=#REF!),BDI!#REF!,IF(#REF!="ZERO",0))))),"")</f>
        <v>#REF!</v>
      </c>
      <c r="H2739" s="136" t="str">
        <f t="shared" si="148"/>
        <v/>
      </c>
      <c r="I2739" s="134" t="str">
        <f t="shared" si="149"/>
        <v/>
      </c>
      <c r="J2739" s="226"/>
    </row>
    <row r="2740" spans="1:10" hidden="1" x14ac:dyDescent="0.25">
      <c r="A2740" s="112" t="s">
        <v>6749</v>
      </c>
      <c r="B2740" s="113" t="s">
        <v>6810</v>
      </c>
      <c r="C2740" s="114" t="s">
        <v>20</v>
      </c>
      <c r="D2740" s="114">
        <v>0</v>
      </c>
      <c r="E2740" s="133">
        <f ca="1">OFFSET(INDEX(Composições!A:J,MATCH(Orçamentária!A2740,Composições!A:A,0),8),2,0)</f>
        <v>4.0469999999999997</v>
      </c>
      <c r="F2740" s="134">
        <f t="shared" ca="1" si="147"/>
        <v>0</v>
      </c>
      <c r="G2740" s="135" t="e">
        <f>IF(A2740&lt;&gt;"",IF(AND(#REF!="Padrão",$H$4=#REF!),BDI!$B$17,IF(AND(#REF!="Padrão",$H$4=#REF!),BDI!#REF!,IF(AND(#REF!="Diferenciado",$H$4=#REF!),BDI!$E$17,IF(AND(#REF!="Diferenciado",$H$4=#REF!),BDI!#REF!,IF(#REF!="ZERO",0))))),"")</f>
        <v>#REF!</v>
      </c>
      <c r="H2740" s="136" t="e">
        <f t="shared" ca="1" si="148"/>
        <v>#REF!</v>
      </c>
      <c r="I2740" s="134" t="e">
        <f t="shared" ca="1" si="149"/>
        <v>#REF!</v>
      </c>
      <c r="J2740" s="226"/>
    </row>
    <row r="2741" spans="1:10" hidden="1" x14ac:dyDescent="0.25">
      <c r="A2741" s="112" t="s">
        <v>6750</v>
      </c>
      <c r="B2741" s="113" t="s">
        <v>6811</v>
      </c>
      <c r="C2741" s="114" t="s">
        <v>20</v>
      </c>
      <c r="D2741" s="114">
        <v>0</v>
      </c>
      <c r="E2741" s="133" t="s">
        <v>514</v>
      </c>
      <c r="F2741" s="134" t="str">
        <f t="shared" si="147"/>
        <v/>
      </c>
      <c r="G2741" s="135" t="e">
        <f>IF(A2741&lt;&gt;"",IF(AND(#REF!="Padrão",$H$4=#REF!),BDI!$B$17,IF(AND(#REF!="Padrão",$H$4=#REF!),BDI!#REF!,IF(AND(#REF!="Diferenciado",$H$4=#REF!),BDI!$E$17,IF(AND(#REF!="Diferenciado",$H$4=#REF!),BDI!#REF!,IF(#REF!="ZERO",0))))),"")</f>
        <v>#REF!</v>
      </c>
      <c r="H2741" s="136" t="str">
        <f t="shared" si="148"/>
        <v/>
      </c>
      <c r="I2741" s="134" t="str">
        <f t="shared" si="149"/>
        <v/>
      </c>
      <c r="J2741" s="226"/>
    </row>
    <row r="2742" spans="1:10" hidden="1" x14ac:dyDescent="0.25">
      <c r="A2742" s="112" t="s">
        <v>6751</v>
      </c>
      <c r="B2742" s="113" t="s">
        <v>6812</v>
      </c>
      <c r="C2742" s="114" t="s">
        <v>20</v>
      </c>
      <c r="D2742" s="114">
        <v>0</v>
      </c>
      <c r="E2742" s="133">
        <f ca="1">OFFSET(INDEX(Composições!A:J,MATCH(Orçamentária!A2742,Composições!A:A,0),8),2,0)</f>
        <v>195.35799999999998</v>
      </c>
      <c r="F2742" s="134">
        <f t="shared" ca="1" si="147"/>
        <v>0</v>
      </c>
      <c r="G2742" s="135" t="e">
        <f>IF(A2742&lt;&gt;"",IF(AND(#REF!="Padrão",$H$4=#REF!),BDI!$B$17,IF(AND(#REF!="Padrão",$H$4=#REF!),BDI!#REF!,IF(AND(#REF!="Diferenciado",$H$4=#REF!),BDI!$E$17,IF(AND(#REF!="Diferenciado",$H$4=#REF!),BDI!#REF!,IF(#REF!="ZERO",0))))),"")</f>
        <v>#REF!</v>
      </c>
      <c r="H2742" s="136" t="e">
        <f t="shared" ca="1" si="148"/>
        <v>#REF!</v>
      </c>
      <c r="I2742" s="134" t="e">
        <f t="shared" ca="1" si="149"/>
        <v>#REF!</v>
      </c>
      <c r="J2742" s="226"/>
    </row>
    <row r="2743" spans="1:10" hidden="1" x14ac:dyDescent="0.25">
      <c r="A2743" s="112" t="s">
        <v>6752</v>
      </c>
      <c r="B2743" s="113" t="s">
        <v>6813</v>
      </c>
      <c r="C2743" s="114" t="s">
        <v>20</v>
      </c>
      <c r="D2743" s="114">
        <v>0</v>
      </c>
      <c r="E2743" s="133" t="s">
        <v>514</v>
      </c>
      <c r="F2743" s="134" t="str">
        <f t="shared" si="147"/>
        <v/>
      </c>
      <c r="G2743" s="135" t="e">
        <f>IF(A2743&lt;&gt;"",IF(AND(#REF!="Padrão",$H$4=#REF!),BDI!$B$17,IF(AND(#REF!="Padrão",$H$4=#REF!),BDI!#REF!,IF(AND(#REF!="Diferenciado",$H$4=#REF!),BDI!$E$17,IF(AND(#REF!="Diferenciado",$H$4=#REF!),BDI!#REF!,IF(#REF!="ZERO",0))))),"")</f>
        <v>#REF!</v>
      </c>
      <c r="H2743" s="136" t="str">
        <f t="shared" si="148"/>
        <v/>
      </c>
      <c r="I2743" s="134" t="str">
        <f t="shared" si="149"/>
        <v/>
      </c>
      <c r="J2743" s="226"/>
    </row>
    <row r="2744" spans="1:10" hidden="1" x14ac:dyDescent="0.25">
      <c r="A2744" s="112" t="s">
        <v>6753</v>
      </c>
      <c r="B2744" s="113" t="s">
        <v>6814</v>
      </c>
      <c r="C2744" s="114" t="s">
        <v>20</v>
      </c>
      <c r="D2744" s="114">
        <v>0</v>
      </c>
      <c r="E2744" s="133">
        <f ca="1">OFFSET(INDEX(Composições!A:J,MATCH(Orçamentária!A2744,Composições!A:A,0),8),2,0)</f>
        <v>22.505500000000001</v>
      </c>
      <c r="F2744" s="134">
        <f t="shared" ca="1" si="147"/>
        <v>0</v>
      </c>
      <c r="G2744" s="135" t="e">
        <f>IF(A2744&lt;&gt;"",IF(AND(#REF!="Padrão",$H$4=#REF!),BDI!$B$17,IF(AND(#REF!="Padrão",$H$4=#REF!),BDI!#REF!,IF(AND(#REF!="Diferenciado",$H$4=#REF!),BDI!$E$17,IF(AND(#REF!="Diferenciado",$H$4=#REF!),BDI!#REF!,IF(#REF!="ZERO",0))))),"")</f>
        <v>#REF!</v>
      </c>
      <c r="H2744" s="136" t="e">
        <f t="shared" ca="1" si="148"/>
        <v>#REF!</v>
      </c>
      <c r="I2744" s="134" t="e">
        <f t="shared" ca="1" si="149"/>
        <v>#REF!</v>
      </c>
      <c r="J2744" s="226"/>
    </row>
    <row r="2745" spans="1:10" hidden="1" x14ac:dyDescent="0.25">
      <c r="A2745" s="112" t="s">
        <v>6754</v>
      </c>
      <c r="B2745" s="113" t="s">
        <v>6264</v>
      </c>
      <c r="C2745" s="114" t="s">
        <v>20</v>
      </c>
      <c r="D2745" s="114">
        <v>0</v>
      </c>
      <c r="E2745" s="133" t="s">
        <v>514</v>
      </c>
      <c r="F2745" s="134" t="str">
        <f t="shared" si="147"/>
        <v/>
      </c>
      <c r="G2745" s="135" t="e">
        <f>IF(A2745&lt;&gt;"",IF(AND(#REF!="Padrão",$H$4=#REF!),BDI!$B$17,IF(AND(#REF!="Padrão",$H$4=#REF!),BDI!#REF!,IF(AND(#REF!="Diferenciado",$H$4=#REF!),BDI!$E$17,IF(AND(#REF!="Diferenciado",$H$4=#REF!),BDI!#REF!,IF(#REF!="ZERO",0))))),"")</f>
        <v>#REF!</v>
      </c>
      <c r="H2745" s="136" t="str">
        <f t="shared" si="148"/>
        <v/>
      </c>
      <c r="I2745" s="134" t="str">
        <f t="shared" si="149"/>
        <v/>
      </c>
      <c r="J2745" s="226"/>
    </row>
    <row r="2746" spans="1:10" hidden="1" x14ac:dyDescent="0.25">
      <c r="A2746" s="112" t="s">
        <v>6755</v>
      </c>
      <c r="B2746" s="113" t="s">
        <v>6815</v>
      </c>
      <c r="C2746" s="114" t="s">
        <v>20</v>
      </c>
      <c r="D2746" s="114">
        <v>0</v>
      </c>
      <c r="E2746" s="133" t="s">
        <v>514</v>
      </c>
      <c r="F2746" s="134" t="str">
        <f t="shared" si="147"/>
        <v/>
      </c>
      <c r="G2746" s="135" t="e">
        <f>IF(A2746&lt;&gt;"",IF(AND(#REF!="Padrão",$H$4=#REF!),BDI!$B$17,IF(AND(#REF!="Padrão",$H$4=#REF!),BDI!#REF!,IF(AND(#REF!="Diferenciado",$H$4=#REF!),BDI!$E$17,IF(AND(#REF!="Diferenciado",$H$4=#REF!),BDI!#REF!,IF(#REF!="ZERO",0))))),"")</f>
        <v>#REF!</v>
      </c>
      <c r="H2746" s="136" t="str">
        <f t="shared" si="148"/>
        <v/>
      </c>
      <c r="I2746" s="134" t="str">
        <f t="shared" si="149"/>
        <v/>
      </c>
      <c r="J2746" s="226"/>
    </row>
    <row r="2747" spans="1:10" hidden="1" x14ac:dyDescent="0.25">
      <c r="A2747" s="112" t="s">
        <v>6756</v>
      </c>
      <c r="B2747" s="113" t="s">
        <v>6816</v>
      </c>
      <c r="C2747" s="114" t="s">
        <v>20</v>
      </c>
      <c r="D2747" s="114">
        <v>0</v>
      </c>
      <c r="E2747" s="133">
        <f ca="1">OFFSET(INDEX(Composições!A:J,MATCH(Orçamentária!A2747,Composições!A:A,0),8),2,0)</f>
        <v>46.530999999999992</v>
      </c>
      <c r="F2747" s="134">
        <f t="shared" ca="1" si="147"/>
        <v>0</v>
      </c>
      <c r="G2747" s="135" t="e">
        <f>IF(A2747&lt;&gt;"",IF(AND(#REF!="Padrão",$H$4=#REF!),BDI!$B$17,IF(AND(#REF!="Padrão",$H$4=#REF!),BDI!#REF!,IF(AND(#REF!="Diferenciado",$H$4=#REF!),BDI!$E$17,IF(AND(#REF!="Diferenciado",$H$4=#REF!),BDI!#REF!,IF(#REF!="ZERO",0))))),"")</f>
        <v>#REF!</v>
      </c>
      <c r="H2747" s="136" t="e">
        <f t="shared" ca="1" si="148"/>
        <v>#REF!</v>
      </c>
      <c r="I2747" s="134" t="e">
        <f t="shared" ca="1" si="149"/>
        <v>#REF!</v>
      </c>
      <c r="J2747" s="226"/>
    </row>
    <row r="2748" spans="1:10" hidden="1" x14ac:dyDescent="0.25">
      <c r="A2748" s="112" t="s">
        <v>6757</v>
      </c>
      <c r="B2748" s="113" t="s">
        <v>6817</v>
      </c>
      <c r="C2748" s="114" t="s">
        <v>20</v>
      </c>
      <c r="D2748" s="114">
        <v>0</v>
      </c>
      <c r="E2748" s="133">
        <f ca="1">OFFSET(INDEX(Composições!A:J,MATCH(Orçamentária!A2748,Composições!A:A,0),8),2,0)</f>
        <v>472.38749999999999</v>
      </c>
      <c r="F2748" s="134">
        <f t="shared" ca="1" si="147"/>
        <v>0</v>
      </c>
      <c r="G2748" s="135" t="e">
        <f>IF(A2748&lt;&gt;"",IF(AND(#REF!="Padrão",$H$4=#REF!),BDI!$B$17,IF(AND(#REF!="Padrão",$H$4=#REF!),BDI!#REF!,IF(AND(#REF!="Diferenciado",$H$4=#REF!),BDI!$E$17,IF(AND(#REF!="Diferenciado",$H$4=#REF!),BDI!#REF!,IF(#REF!="ZERO",0))))),"")</f>
        <v>#REF!</v>
      </c>
      <c r="H2748" s="136" t="e">
        <f t="shared" ca="1" si="148"/>
        <v>#REF!</v>
      </c>
      <c r="I2748" s="134" t="e">
        <f t="shared" ca="1" si="149"/>
        <v>#REF!</v>
      </c>
      <c r="J2748" s="226"/>
    </row>
    <row r="2749" spans="1:10" hidden="1" x14ac:dyDescent="0.25">
      <c r="A2749" s="112" t="s">
        <v>6758</v>
      </c>
      <c r="B2749" s="113" t="s">
        <v>6818</v>
      </c>
      <c r="C2749" s="114" t="s">
        <v>20</v>
      </c>
      <c r="D2749" s="114">
        <v>0</v>
      </c>
      <c r="E2749" s="133" t="s">
        <v>514</v>
      </c>
      <c r="F2749" s="134" t="str">
        <f t="shared" si="147"/>
        <v/>
      </c>
      <c r="G2749" s="135" t="e">
        <f>IF(A2749&lt;&gt;"",IF(AND(#REF!="Padrão",$H$4=#REF!),BDI!$B$17,IF(AND(#REF!="Padrão",$H$4=#REF!),BDI!#REF!,IF(AND(#REF!="Diferenciado",$H$4=#REF!),BDI!$E$17,IF(AND(#REF!="Diferenciado",$H$4=#REF!),BDI!#REF!,IF(#REF!="ZERO",0))))),"")</f>
        <v>#REF!</v>
      </c>
      <c r="H2749" s="136" t="str">
        <f t="shared" si="148"/>
        <v/>
      </c>
      <c r="I2749" s="134" t="str">
        <f t="shared" si="149"/>
        <v/>
      </c>
      <c r="J2749" s="226"/>
    </row>
    <row r="2750" spans="1:10" hidden="1" x14ac:dyDescent="0.25">
      <c r="A2750" s="112" t="s">
        <v>6759</v>
      </c>
      <c r="B2750" s="113" t="s">
        <v>6819</v>
      </c>
      <c r="C2750" s="114" t="s">
        <v>20</v>
      </c>
      <c r="D2750" s="114">
        <v>0</v>
      </c>
      <c r="E2750" s="133">
        <f ca="1">OFFSET(INDEX(Composições!A:J,MATCH(Orçamentária!A2750,Composições!A:A,0),8),2,0)</f>
        <v>367.04199999999997</v>
      </c>
      <c r="F2750" s="134">
        <f t="shared" ca="1" si="147"/>
        <v>0</v>
      </c>
      <c r="G2750" s="135" t="e">
        <f>IF(A2750&lt;&gt;"",IF(AND(#REF!="Padrão",$H$4=#REF!),BDI!$B$17,IF(AND(#REF!="Padrão",$H$4=#REF!),BDI!#REF!,IF(AND(#REF!="Diferenciado",$H$4=#REF!),BDI!$E$17,IF(AND(#REF!="Diferenciado",$H$4=#REF!),BDI!#REF!,IF(#REF!="ZERO",0))))),"")</f>
        <v>#REF!</v>
      </c>
      <c r="H2750" s="136" t="e">
        <f t="shared" ca="1" si="148"/>
        <v>#REF!</v>
      </c>
      <c r="I2750" s="134" t="e">
        <f t="shared" ca="1" si="149"/>
        <v>#REF!</v>
      </c>
      <c r="J2750" s="226"/>
    </row>
    <row r="2751" spans="1:10" hidden="1" x14ac:dyDescent="0.25">
      <c r="A2751" s="112" t="s">
        <v>6760</v>
      </c>
      <c r="B2751" s="113" t="s">
        <v>6820</v>
      </c>
      <c r="C2751" s="114" t="s">
        <v>20</v>
      </c>
      <c r="D2751" s="114">
        <v>0</v>
      </c>
      <c r="E2751" s="133" t="s">
        <v>514</v>
      </c>
      <c r="F2751" s="134" t="str">
        <f t="shared" si="147"/>
        <v/>
      </c>
      <c r="G2751" s="135" t="e">
        <f>IF(A2751&lt;&gt;"",IF(AND(#REF!="Padrão",$H$4=#REF!),BDI!$B$17,IF(AND(#REF!="Padrão",$H$4=#REF!),BDI!#REF!,IF(AND(#REF!="Diferenciado",$H$4=#REF!),BDI!$E$17,IF(AND(#REF!="Diferenciado",$H$4=#REF!),BDI!#REF!,IF(#REF!="ZERO",0))))),"")</f>
        <v>#REF!</v>
      </c>
      <c r="H2751" s="136" t="str">
        <f t="shared" si="148"/>
        <v/>
      </c>
      <c r="I2751" s="134" t="str">
        <f t="shared" si="149"/>
        <v/>
      </c>
      <c r="J2751" s="226"/>
    </row>
    <row r="2752" spans="1:10" hidden="1" x14ac:dyDescent="0.25">
      <c r="A2752" s="112" t="s">
        <v>6761</v>
      </c>
      <c r="B2752" s="113" t="s">
        <v>6821</v>
      </c>
      <c r="C2752" s="114" t="s">
        <v>20</v>
      </c>
      <c r="D2752" s="114">
        <v>0</v>
      </c>
      <c r="E2752" s="133">
        <f ca="1">OFFSET(INDEX(Composições!A:J,MATCH(Orçamentária!A2752,Composições!A:A,0),8),2,0)</f>
        <v>67.45</v>
      </c>
      <c r="F2752" s="134">
        <f t="shared" ca="1" si="147"/>
        <v>0</v>
      </c>
      <c r="G2752" s="135" t="e">
        <f>IF(A2752&lt;&gt;"",IF(AND(#REF!="Padrão",$H$4=#REF!),BDI!$B$17,IF(AND(#REF!="Padrão",$H$4=#REF!),BDI!#REF!,IF(AND(#REF!="Diferenciado",$H$4=#REF!),BDI!$E$17,IF(AND(#REF!="Diferenciado",$H$4=#REF!),BDI!#REF!,IF(#REF!="ZERO",0))))),"")</f>
        <v>#REF!</v>
      </c>
      <c r="H2752" s="136" t="e">
        <f t="shared" ca="1" si="148"/>
        <v>#REF!</v>
      </c>
      <c r="I2752" s="134" t="e">
        <f t="shared" ca="1" si="149"/>
        <v>#REF!</v>
      </c>
      <c r="J2752" s="226"/>
    </row>
    <row r="2753" spans="1:10" hidden="1" x14ac:dyDescent="0.25">
      <c r="A2753" s="112" t="s">
        <v>6762</v>
      </c>
      <c r="B2753" s="113" t="s">
        <v>6822</v>
      </c>
      <c r="C2753" s="114" t="s">
        <v>20</v>
      </c>
      <c r="D2753" s="114">
        <v>0</v>
      </c>
      <c r="E2753" s="133">
        <f ca="1">OFFSET(INDEX(Composições!A:J,MATCH(Orçamentária!A2753,Composições!A:A,0),8),2,0)</f>
        <v>125.78</v>
      </c>
      <c r="F2753" s="134">
        <f t="shared" ca="1" si="147"/>
        <v>0</v>
      </c>
      <c r="G2753" s="135" t="e">
        <f>IF(A2753&lt;&gt;"",IF(AND(#REF!="Padrão",$H$4=#REF!),BDI!$B$17,IF(AND(#REF!="Padrão",$H$4=#REF!),BDI!#REF!,IF(AND(#REF!="Diferenciado",$H$4=#REF!),BDI!$E$17,IF(AND(#REF!="Diferenciado",$H$4=#REF!),BDI!#REF!,IF(#REF!="ZERO",0))))),"")</f>
        <v>#REF!</v>
      </c>
      <c r="H2753" s="136" t="e">
        <f t="shared" ca="1" si="148"/>
        <v>#REF!</v>
      </c>
      <c r="I2753" s="134" t="e">
        <f t="shared" ca="1" si="149"/>
        <v>#REF!</v>
      </c>
      <c r="J2753" s="226"/>
    </row>
    <row r="2754" spans="1:10" hidden="1" x14ac:dyDescent="0.25">
      <c r="A2754" s="112" t="s">
        <v>6763</v>
      </c>
      <c r="B2754" s="113" t="s">
        <v>6823</v>
      </c>
      <c r="C2754" s="114" t="s">
        <v>20</v>
      </c>
      <c r="D2754" s="114">
        <v>0</v>
      </c>
      <c r="E2754" s="133" t="s">
        <v>514</v>
      </c>
      <c r="F2754" s="134" t="str">
        <f t="shared" si="147"/>
        <v/>
      </c>
      <c r="G2754" s="135" t="e">
        <f>IF(A2754&lt;&gt;"",IF(AND(#REF!="Padrão",$H$4=#REF!),BDI!$B$17,IF(AND(#REF!="Padrão",$H$4=#REF!),BDI!#REF!,IF(AND(#REF!="Diferenciado",$H$4=#REF!),BDI!$E$17,IF(AND(#REF!="Diferenciado",$H$4=#REF!),BDI!#REF!,IF(#REF!="ZERO",0))))),"")</f>
        <v>#REF!</v>
      </c>
      <c r="H2754" s="136" t="str">
        <f t="shared" si="148"/>
        <v/>
      </c>
      <c r="I2754" s="134" t="str">
        <f t="shared" si="149"/>
        <v/>
      </c>
      <c r="J2754" s="226"/>
    </row>
    <row r="2755" spans="1:10" hidden="1" x14ac:dyDescent="0.25">
      <c r="A2755" s="112" t="s">
        <v>6764</v>
      </c>
      <c r="B2755" s="113" t="s">
        <v>6824</v>
      </c>
      <c r="C2755" s="114" t="s">
        <v>20</v>
      </c>
      <c r="D2755" s="114">
        <v>0</v>
      </c>
      <c r="E2755" s="133" t="s">
        <v>514</v>
      </c>
      <c r="F2755" s="134" t="str">
        <f t="shared" si="147"/>
        <v/>
      </c>
      <c r="G2755" s="135" t="e">
        <f>IF(A2755&lt;&gt;"",IF(AND(#REF!="Padrão",$H$4=#REF!),BDI!$B$17,IF(AND(#REF!="Padrão",$H$4=#REF!),BDI!#REF!,IF(AND(#REF!="Diferenciado",$H$4=#REF!),BDI!$E$17,IF(AND(#REF!="Diferenciado",$H$4=#REF!),BDI!#REF!,IF(#REF!="ZERO",0))))),"")</f>
        <v>#REF!</v>
      </c>
      <c r="H2755" s="136" t="str">
        <f t="shared" si="148"/>
        <v/>
      </c>
      <c r="I2755" s="134" t="str">
        <f t="shared" si="149"/>
        <v/>
      </c>
      <c r="J2755" s="226"/>
    </row>
    <row r="2756" spans="1:10" hidden="1" x14ac:dyDescent="0.25">
      <c r="A2756" s="112" t="s">
        <v>6825</v>
      </c>
      <c r="B2756" s="113" t="s">
        <v>6826</v>
      </c>
      <c r="C2756" s="114" t="s">
        <v>20</v>
      </c>
      <c r="D2756" s="114">
        <v>0</v>
      </c>
      <c r="E2756" s="133" t="s">
        <v>514</v>
      </c>
      <c r="F2756" s="134" t="str">
        <f t="shared" si="147"/>
        <v/>
      </c>
      <c r="G2756" s="135" t="e">
        <f>IF(A2756&lt;&gt;"",IF(AND(#REF!="Padrão",$H$4=#REF!),BDI!$B$17,IF(AND(#REF!="Padrão",$H$4=#REF!),BDI!#REF!,IF(AND(#REF!="Diferenciado",$H$4=#REF!),BDI!$E$17,IF(AND(#REF!="Diferenciado",$H$4=#REF!),BDI!#REF!,IF(#REF!="ZERO",0))))),"")</f>
        <v>#REF!</v>
      </c>
      <c r="H2756" s="136" t="str">
        <f t="shared" si="148"/>
        <v/>
      </c>
      <c r="I2756" s="134" t="str">
        <f t="shared" si="149"/>
        <v/>
      </c>
      <c r="J2756" s="226"/>
    </row>
    <row r="2757" spans="1:10" hidden="1" x14ac:dyDescent="0.25">
      <c r="A2757" s="112" t="s">
        <v>6827</v>
      </c>
      <c r="B2757" s="113" t="s">
        <v>6828</v>
      </c>
      <c r="C2757" s="114" t="s">
        <v>20</v>
      </c>
      <c r="D2757" s="114">
        <v>0</v>
      </c>
      <c r="E2757" s="133">
        <f ca="1">OFFSET(INDEX(Composições!A:J,MATCH(Orçamentária!A2757,Composições!A:A,0),8),2,0)</f>
        <v>67.849000000000004</v>
      </c>
      <c r="F2757" s="134">
        <f t="shared" ca="1" si="147"/>
        <v>0</v>
      </c>
      <c r="G2757" s="135" t="e">
        <f>IF(A2757&lt;&gt;"",IF(AND(#REF!="Padrão",$H$4=#REF!),BDI!$B$17,IF(AND(#REF!="Padrão",$H$4=#REF!),BDI!#REF!,IF(AND(#REF!="Diferenciado",$H$4=#REF!),BDI!$E$17,IF(AND(#REF!="Diferenciado",$H$4=#REF!),BDI!#REF!,IF(#REF!="ZERO",0))))),"")</f>
        <v>#REF!</v>
      </c>
      <c r="H2757" s="136" t="e">
        <f t="shared" ca="1" si="148"/>
        <v>#REF!</v>
      </c>
      <c r="I2757" s="134" t="e">
        <f t="shared" ca="1" si="149"/>
        <v>#REF!</v>
      </c>
      <c r="J2757" s="226"/>
    </row>
    <row r="2758" spans="1:10" hidden="1" x14ac:dyDescent="0.25">
      <c r="A2758" s="112" t="s">
        <v>6829</v>
      </c>
      <c r="B2758" s="113" t="s">
        <v>6830</v>
      </c>
      <c r="C2758" s="114" t="s">
        <v>20</v>
      </c>
      <c r="D2758" s="114">
        <v>0</v>
      </c>
      <c r="E2758" s="133" t="s">
        <v>514</v>
      </c>
      <c r="F2758" s="134" t="str">
        <f t="shared" si="147"/>
        <v/>
      </c>
      <c r="G2758" s="135" t="e">
        <f>IF(A2758&lt;&gt;"",IF(AND(#REF!="Padrão",$H$4=#REF!),BDI!$B$17,IF(AND(#REF!="Padrão",$H$4=#REF!),BDI!#REF!,IF(AND(#REF!="Diferenciado",$H$4=#REF!),BDI!$E$17,IF(AND(#REF!="Diferenciado",$H$4=#REF!),BDI!#REF!,IF(#REF!="ZERO",0))))),"")</f>
        <v>#REF!</v>
      </c>
      <c r="H2758" s="136" t="str">
        <f t="shared" si="148"/>
        <v/>
      </c>
      <c r="I2758" s="134" t="str">
        <f t="shared" si="149"/>
        <v/>
      </c>
      <c r="J2758" s="226"/>
    </row>
    <row r="2759" spans="1:10" hidden="1" x14ac:dyDescent="0.25">
      <c r="A2759" s="112" t="s">
        <v>6831</v>
      </c>
      <c r="B2759" s="113" t="s">
        <v>3451</v>
      </c>
      <c r="C2759" s="114" t="s">
        <v>20</v>
      </c>
      <c r="D2759" s="114">
        <v>0</v>
      </c>
      <c r="E2759" s="133" t="s">
        <v>514</v>
      </c>
      <c r="F2759" s="134" t="str">
        <f t="shared" si="147"/>
        <v/>
      </c>
      <c r="G2759" s="135" t="e">
        <f>IF(A2759&lt;&gt;"",IF(AND(#REF!="Padrão",$H$4=#REF!),BDI!$B$17,IF(AND(#REF!="Padrão",$H$4=#REF!),BDI!#REF!,IF(AND(#REF!="Diferenciado",$H$4=#REF!),BDI!$E$17,IF(AND(#REF!="Diferenciado",$H$4=#REF!),BDI!#REF!,IF(#REF!="ZERO",0))))),"")</f>
        <v>#REF!</v>
      </c>
      <c r="H2759" s="136" t="str">
        <f t="shared" si="148"/>
        <v/>
      </c>
      <c r="I2759" s="134" t="str">
        <f t="shared" si="149"/>
        <v/>
      </c>
      <c r="J2759" s="226"/>
    </row>
    <row r="2760" spans="1:10" hidden="1" x14ac:dyDescent="0.25">
      <c r="A2760" s="112" t="s">
        <v>6832</v>
      </c>
      <c r="B2760" s="113" t="s">
        <v>6833</v>
      </c>
      <c r="C2760" s="114" t="s">
        <v>20</v>
      </c>
      <c r="D2760" s="114">
        <v>0</v>
      </c>
      <c r="E2760" s="133" t="s">
        <v>514</v>
      </c>
      <c r="F2760" s="134" t="str">
        <f t="shared" si="147"/>
        <v/>
      </c>
      <c r="G2760" s="135" t="e">
        <f>IF(A2760&lt;&gt;"",IF(AND(#REF!="Padrão",$H$4=#REF!),BDI!$B$17,IF(AND(#REF!="Padrão",$H$4=#REF!),BDI!#REF!,IF(AND(#REF!="Diferenciado",$H$4=#REF!),BDI!$E$17,IF(AND(#REF!="Diferenciado",$H$4=#REF!),BDI!#REF!,IF(#REF!="ZERO",0))))),"")</f>
        <v>#REF!</v>
      </c>
      <c r="H2760" s="136" t="str">
        <f t="shared" si="148"/>
        <v/>
      </c>
      <c r="I2760" s="134" t="str">
        <f t="shared" si="149"/>
        <v/>
      </c>
      <c r="J2760" s="226"/>
    </row>
    <row r="2761" spans="1:10" hidden="1" x14ac:dyDescent="0.25">
      <c r="A2761" s="112" t="s">
        <v>6834</v>
      </c>
      <c r="B2761" s="113" t="s">
        <v>6835</v>
      </c>
      <c r="C2761" s="114" t="s">
        <v>20</v>
      </c>
      <c r="D2761" s="114">
        <v>0</v>
      </c>
      <c r="E2761" s="133" t="s">
        <v>514</v>
      </c>
      <c r="F2761" s="134" t="str">
        <f t="shared" si="147"/>
        <v/>
      </c>
      <c r="G2761" s="135" t="e">
        <f>IF(A2761&lt;&gt;"",IF(AND(#REF!="Padrão",$H$4=#REF!),BDI!$B$17,IF(AND(#REF!="Padrão",$H$4=#REF!),BDI!#REF!,IF(AND(#REF!="Diferenciado",$H$4=#REF!),BDI!$E$17,IF(AND(#REF!="Diferenciado",$H$4=#REF!),BDI!#REF!,IF(#REF!="ZERO",0))))),"")</f>
        <v>#REF!</v>
      </c>
      <c r="H2761" s="136" t="str">
        <f t="shared" si="148"/>
        <v/>
      </c>
      <c r="I2761" s="134" t="str">
        <f t="shared" si="149"/>
        <v/>
      </c>
      <c r="J2761" s="226"/>
    </row>
    <row r="2762" spans="1:10" hidden="1" x14ac:dyDescent="0.25">
      <c r="A2762" s="112" t="s">
        <v>6836</v>
      </c>
      <c r="B2762" s="113" t="s">
        <v>6837</v>
      </c>
      <c r="C2762" s="114" t="s">
        <v>20</v>
      </c>
      <c r="D2762" s="114">
        <v>0</v>
      </c>
      <c r="E2762" s="133" t="s">
        <v>514</v>
      </c>
      <c r="F2762" s="134" t="str">
        <f t="shared" si="147"/>
        <v/>
      </c>
      <c r="G2762" s="135" t="e">
        <f>IF(A2762&lt;&gt;"",IF(AND(#REF!="Padrão",$H$4=#REF!),BDI!$B$17,IF(AND(#REF!="Padrão",$H$4=#REF!),BDI!#REF!,IF(AND(#REF!="Diferenciado",$H$4=#REF!),BDI!$E$17,IF(AND(#REF!="Diferenciado",$H$4=#REF!),BDI!#REF!,IF(#REF!="ZERO",0))))),"")</f>
        <v>#REF!</v>
      </c>
      <c r="H2762" s="136" t="str">
        <f t="shared" si="148"/>
        <v/>
      </c>
      <c r="I2762" s="134" t="str">
        <f t="shared" si="149"/>
        <v/>
      </c>
      <c r="J2762" s="226"/>
    </row>
    <row r="2763" spans="1:10" hidden="1" x14ac:dyDescent="0.25">
      <c r="A2763" s="112" t="s">
        <v>6838</v>
      </c>
      <c r="B2763" s="113" t="s">
        <v>6839</v>
      </c>
      <c r="C2763" s="114" t="s">
        <v>20</v>
      </c>
      <c r="D2763" s="114">
        <v>0</v>
      </c>
      <c r="E2763" s="133" t="s">
        <v>514</v>
      </c>
      <c r="F2763" s="134" t="str">
        <f t="shared" si="147"/>
        <v/>
      </c>
      <c r="G2763" s="135" t="e">
        <f>IF(A2763&lt;&gt;"",IF(AND(#REF!="Padrão",$H$4=#REF!),BDI!$B$17,IF(AND(#REF!="Padrão",$H$4=#REF!),BDI!#REF!,IF(AND(#REF!="Diferenciado",$H$4=#REF!),BDI!$E$17,IF(AND(#REF!="Diferenciado",$H$4=#REF!),BDI!#REF!,IF(#REF!="ZERO",0))))),"")</f>
        <v>#REF!</v>
      </c>
      <c r="H2763" s="136" t="str">
        <f t="shared" si="148"/>
        <v/>
      </c>
      <c r="I2763" s="134" t="str">
        <f t="shared" si="149"/>
        <v/>
      </c>
      <c r="J2763" s="226"/>
    </row>
    <row r="2764" spans="1:10" hidden="1" x14ac:dyDescent="0.25">
      <c r="A2764" s="112" t="s">
        <v>6840</v>
      </c>
      <c r="B2764" s="113" t="s">
        <v>1647</v>
      </c>
      <c r="C2764" s="114" t="s">
        <v>20</v>
      </c>
      <c r="D2764" s="114">
        <v>0</v>
      </c>
      <c r="E2764" s="133" t="s">
        <v>514</v>
      </c>
      <c r="F2764" s="134" t="str">
        <f t="shared" si="147"/>
        <v/>
      </c>
      <c r="G2764" s="135" t="e">
        <f>IF(A2764&lt;&gt;"",IF(AND(#REF!="Padrão",$H$4=#REF!),BDI!$B$17,IF(AND(#REF!="Padrão",$H$4=#REF!),BDI!#REF!,IF(AND(#REF!="Diferenciado",$H$4=#REF!),BDI!$E$17,IF(AND(#REF!="Diferenciado",$H$4=#REF!),BDI!#REF!,IF(#REF!="ZERO",0))))),"")</f>
        <v>#REF!</v>
      </c>
      <c r="H2764" s="136" t="str">
        <f t="shared" si="148"/>
        <v/>
      </c>
      <c r="I2764" s="134" t="str">
        <f t="shared" si="149"/>
        <v/>
      </c>
      <c r="J2764" s="226"/>
    </row>
    <row r="2765" spans="1:10" hidden="1" x14ac:dyDescent="0.25">
      <c r="A2765" s="112" t="s">
        <v>6841</v>
      </c>
      <c r="B2765" s="113" t="s">
        <v>6250</v>
      </c>
      <c r="C2765" s="114" t="s">
        <v>20</v>
      </c>
      <c r="D2765" s="114">
        <v>0</v>
      </c>
      <c r="E2765" s="133">
        <f ca="1">OFFSET(INDEX(Composições!A:J,MATCH(Orçamentária!A2765,Composições!A:A,0),8),2,0)</f>
        <v>101.25099999999999</v>
      </c>
      <c r="F2765" s="134">
        <f t="shared" ca="1" si="147"/>
        <v>0</v>
      </c>
      <c r="G2765" s="135" t="e">
        <f>IF(A2765&lt;&gt;"",IF(AND(#REF!="Padrão",$H$4=#REF!),BDI!$B$17,IF(AND(#REF!="Padrão",$H$4=#REF!),BDI!#REF!,IF(AND(#REF!="Diferenciado",$H$4=#REF!),BDI!$E$17,IF(AND(#REF!="Diferenciado",$H$4=#REF!),BDI!#REF!,IF(#REF!="ZERO",0))))),"")</f>
        <v>#REF!</v>
      </c>
      <c r="H2765" s="136" t="e">
        <f t="shared" ca="1" si="148"/>
        <v>#REF!</v>
      </c>
      <c r="I2765" s="134" t="e">
        <f t="shared" ca="1" si="149"/>
        <v>#REF!</v>
      </c>
      <c r="J2765" s="226"/>
    </row>
    <row r="2766" spans="1:10" hidden="1" x14ac:dyDescent="0.25">
      <c r="A2766" s="112" t="s">
        <v>6842</v>
      </c>
      <c r="B2766" s="113" t="s">
        <v>1648</v>
      </c>
      <c r="C2766" s="114" t="s">
        <v>20</v>
      </c>
      <c r="D2766" s="114">
        <v>0</v>
      </c>
      <c r="E2766" s="133" t="s">
        <v>514</v>
      </c>
      <c r="F2766" s="134" t="str">
        <f t="shared" si="147"/>
        <v/>
      </c>
      <c r="G2766" s="135" t="e">
        <f>IF(A2766&lt;&gt;"",IF(AND(#REF!="Padrão",$H$4=#REF!),BDI!$B$17,IF(AND(#REF!="Padrão",$H$4=#REF!),BDI!#REF!,IF(AND(#REF!="Diferenciado",$H$4=#REF!),BDI!$E$17,IF(AND(#REF!="Diferenciado",$H$4=#REF!),BDI!#REF!,IF(#REF!="ZERO",0))))),"")</f>
        <v>#REF!</v>
      </c>
      <c r="H2766" s="136" t="str">
        <f t="shared" si="148"/>
        <v/>
      </c>
      <c r="I2766" s="134" t="str">
        <f t="shared" si="149"/>
        <v/>
      </c>
      <c r="J2766" s="226"/>
    </row>
    <row r="2767" spans="1:10" hidden="1" x14ac:dyDescent="0.25">
      <c r="A2767" s="112" t="s">
        <v>6843</v>
      </c>
      <c r="B2767" s="113" t="s">
        <v>6254</v>
      </c>
      <c r="C2767" s="114" t="s">
        <v>20</v>
      </c>
      <c r="D2767" s="114">
        <v>0</v>
      </c>
      <c r="E2767" s="133" t="s">
        <v>514</v>
      </c>
      <c r="F2767" s="134" t="str">
        <f t="shared" si="147"/>
        <v/>
      </c>
      <c r="G2767" s="135" t="e">
        <f>IF(A2767&lt;&gt;"",IF(AND(#REF!="Padrão",$H$4=#REF!),BDI!$B$17,IF(AND(#REF!="Padrão",$H$4=#REF!),BDI!#REF!,IF(AND(#REF!="Diferenciado",$H$4=#REF!),BDI!$E$17,IF(AND(#REF!="Diferenciado",$H$4=#REF!),BDI!#REF!,IF(#REF!="ZERO",0))))),"")</f>
        <v>#REF!</v>
      </c>
      <c r="H2767" s="136" t="str">
        <f t="shared" si="148"/>
        <v/>
      </c>
      <c r="I2767" s="134" t="str">
        <f t="shared" si="149"/>
        <v/>
      </c>
      <c r="J2767" s="226"/>
    </row>
    <row r="2768" spans="1:10" hidden="1" x14ac:dyDescent="0.25">
      <c r="A2768" s="112" t="s">
        <v>6844</v>
      </c>
      <c r="B2768" s="113" t="s">
        <v>6255</v>
      </c>
      <c r="C2768" s="114" t="s">
        <v>20</v>
      </c>
      <c r="D2768" s="114">
        <v>0</v>
      </c>
      <c r="E2768" s="133" t="s">
        <v>514</v>
      </c>
      <c r="F2768" s="134" t="str">
        <f t="shared" si="147"/>
        <v/>
      </c>
      <c r="G2768" s="135" t="e">
        <f>IF(A2768&lt;&gt;"",IF(AND(#REF!="Padrão",$H$4=#REF!),BDI!$B$17,IF(AND(#REF!="Padrão",$H$4=#REF!),BDI!#REF!,IF(AND(#REF!="Diferenciado",$H$4=#REF!),BDI!$E$17,IF(AND(#REF!="Diferenciado",$H$4=#REF!),BDI!#REF!,IF(#REF!="ZERO",0))))),"")</f>
        <v>#REF!</v>
      </c>
      <c r="H2768" s="136" t="str">
        <f t="shared" si="148"/>
        <v/>
      </c>
      <c r="I2768" s="134" t="str">
        <f t="shared" si="149"/>
        <v/>
      </c>
      <c r="J2768" s="226"/>
    </row>
    <row r="2769" spans="1:10" hidden="1" x14ac:dyDescent="0.25">
      <c r="A2769" s="112" t="s">
        <v>6845</v>
      </c>
      <c r="B2769" s="113" t="s">
        <v>6846</v>
      </c>
      <c r="C2769" s="114" t="s">
        <v>20</v>
      </c>
      <c r="D2769" s="114">
        <v>0</v>
      </c>
      <c r="E2769" s="133" t="s">
        <v>514</v>
      </c>
      <c r="F2769" s="134" t="str">
        <f t="shared" si="147"/>
        <v/>
      </c>
      <c r="G2769" s="135" t="e">
        <f>IF(A2769&lt;&gt;"",IF(AND(#REF!="Padrão",$H$4=#REF!),BDI!$B$17,IF(AND(#REF!="Padrão",$H$4=#REF!),BDI!#REF!,IF(AND(#REF!="Diferenciado",$H$4=#REF!),BDI!$E$17,IF(AND(#REF!="Diferenciado",$H$4=#REF!),BDI!#REF!,IF(#REF!="ZERO",0))))),"")</f>
        <v>#REF!</v>
      </c>
      <c r="H2769" s="136" t="str">
        <f t="shared" si="148"/>
        <v/>
      </c>
      <c r="I2769" s="134" t="str">
        <f t="shared" si="149"/>
        <v/>
      </c>
      <c r="J2769" s="226"/>
    </row>
    <row r="2770" spans="1:10" hidden="1" x14ac:dyDescent="0.25">
      <c r="A2770" s="112" t="s">
        <v>6847</v>
      </c>
      <c r="B2770" s="113" t="s">
        <v>6848</v>
      </c>
      <c r="C2770" s="114" t="s">
        <v>20</v>
      </c>
      <c r="D2770" s="114">
        <v>0</v>
      </c>
      <c r="E2770" s="133" t="s">
        <v>514</v>
      </c>
      <c r="F2770" s="134" t="str">
        <f t="shared" si="147"/>
        <v/>
      </c>
      <c r="G2770" s="135" t="e">
        <f>IF(A2770&lt;&gt;"",IF(AND(#REF!="Padrão",$H$4=#REF!),BDI!$B$17,IF(AND(#REF!="Padrão",$H$4=#REF!),BDI!#REF!,IF(AND(#REF!="Diferenciado",$H$4=#REF!),BDI!$E$17,IF(AND(#REF!="Diferenciado",$H$4=#REF!),BDI!#REF!,IF(#REF!="ZERO",0))))),"")</f>
        <v>#REF!</v>
      </c>
      <c r="H2770" s="136" t="str">
        <f t="shared" si="148"/>
        <v/>
      </c>
      <c r="I2770" s="134" t="str">
        <f t="shared" si="149"/>
        <v/>
      </c>
      <c r="J2770" s="226"/>
    </row>
    <row r="2771" spans="1:10" hidden="1" x14ac:dyDescent="0.25">
      <c r="A2771" s="112" t="s">
        <v>6849</v>
      </c>
      <c r="B2771" s="113" t="s">
        <v>6850</v>
      </c>
      <c r="C2771" s="114" t="s">
        <v>20</v>
      </c>
      <c r="D2771" s="114">
        <v>0</v>
      </c>
      <c r="E2771" s="133" t="s">
        <v>514</v>
      </c>
      <c r="F2771" s="134" t="str">
        <f t="shared" si="147"/>
        <v/>
      </c>
      <c r="G2771" s="135" t="e">
        <f>IF(A2771&lt;&gt;"",IF(AND(#REF!="Padrão",$H$4=#REF!),BDI!$B$17,IF(AND(#REF!="Padrão",$H$4=#REF!),BDI!#REF!,IF(AND(#REF!="Diferenciado",$H$4=#REF!),BDI!$E$17,IF(AND(#REF!="Diferenciado",$H$4=#REF!),BDI!#REF!,IF(#REF!="ZERO",0))))),"")</f>
        <v>#REF!</v>
      </c>
      <c r="H2771" s="136" t="str">
        <f t="shared" si="148"/>
        <v/>
      </c>
      <c r="I2771" s="134" t="str">
        <f t="shared" si="149"/>
        <v/>
      </c>
      <c r="J2771" s="226"/>
    </row>
    <row r="2772" spans="1:10" hidden="1" x14ac:dyDescent="0.25">
      <c r="A2772" s="112" t="s">
        <v>6851</v>
      </c>
      <c r="B2772" s="113" t="s">
        <v>6852</v>
      </c>
      <c r="C2772" s="114" t="s">
        <v>20</v>
      </c>
      <c r="D2772" s="114">
        <v>0</v>
      </c>
      <c r="E2772" s="133" t="s">
        <v>514</v>
      </c>
      <c r="F2772" s="134" t="str">
        <f t="shared" si="147"/>
        <v/>
      </c>
      <c r="G2772" s="135" t="e">
        <f>IF(A2772&lt;&gt;"",IF(AND(#REF!="Padrão",$H$4=#REF!),BDI!$B$17,IF(AND(#REF!="Padrão",$H$4=#REF!),BDI!#REF!,IF(AND(#REF!="Diferenciado",$H$4=#REF!),BDI!$E$17,IF(AND(#REF!="Diferenciado",$H$4=#REF!),BDI!#REF!,IF(#REF!="ZERO",0))))),"")</f>
        <v>#REF!</v>
      </c>
      <c r="H2772" s="136" t="str">
        <f t="shared" si="148"/>
        <v/>
      </c>
      <c r="I2772" s="134" t="str">
        <f t="shared" si="149"/>
        <v/>
      </c>
      <c r="J2772" s="226"/>
    </row>
    <row r="2773" spans="1:10" hidden="1" x14ac:dyDescent="0.25">
      <c r="A2773" s="112" t="s">
        <v>6853</v>
      </c>
      <c r="B2773" s="113" t="s">
        <v>6854</v>
      </c>
      <c r="C2773" s="114" t="s">
        <v>20</v>
      </c>
      <c r="D2773" s="114">
        <v>0</v>
      </c>
      <c r="E2773" s="133" t="s">
        <v>514</v>
      </c>
      <c r="F2773" s="134" t="str">
        <f t="shared" si="147"/>
        <v/>
      </c>
      <c r="G2773" s="135" t="e">
        <f>IF(A2773&lt;&gt;"",IF(AND(#REF!="Padrão",$H$4=#REF!),BDI!$B$17,IF(AND(#REF!="Padrão",$H$4=#REF!),BDI!#REF!,IF(AND(#REF!="Diferenciado",$H$4=#REF!),BDI!$E$17,IF(AND(#REF!="Diferenciado",$H$4=#REF!),BDI!#REF!,IF(#REF!="ZERO",0))))),"")</f>
        <v>#REF!</v>
      </c>
      <c r="H2773" s="136" t="str">
        <f t="shared" si="148"/>
        <v/>
      </c>
      <c r="I2773" s="134" t="str">
        <f t="shared" si="149"/>
        <v/>
      </c>
      <c r="J2773" s="226"/>
    </row>
    <row r="2774" spans="1:10" hidden="1" x14ac:dyDescent="0.25">
      <c r="A2774" s="112" t="s">
        <v>6855</v>
      </c>
      <c r="B2774" s="113" t="s">
        <v>6856</v>
      </c>
      <c r="C2774" s="114" t="s">
        <v>20</v>
      </c>
      <c r="D2774" s="114">
        <v>0</v>
      </c>
      <c r="E2774" s="133" t="s">
        <v>514</v>
      </c>
      <c r="F2774" s="134" t="str">
        <f t="shared" si="147"/>
        <v/>
      </c>
      <c r="G2774" s="135" t="e">
        <f>IF(A2774&lt;&gt;"",IF(AND(#REF!="Padrão",$H$4=#REF!),BDI!$B$17,IF(AND(#REF!="Padrão",$H$4=#REF!),BDI!#REF!,IF(AND(#REF!="Diferenciado",$H$4=#REF!),BDI!$E$17,IF(AND(#REF!="Diferenciado",$H$4=#REF!),BDI!#REF!,IF(#REF!="ZERO",0))))),"")</f>
        <v>#REF!</v>
      </c>
      <c r="H2774" s="136" t="str">
        <f t="shared" si="148"/>
        <v/>
      </c>
      <c r="I2774" s="134" t="str">
        <f t="shared" si="149"/>
        <v/>
      </c>
      <c r="J2774" s="226"/>
    </row>
    <row r="2775" spans="1:10" hidden="1" x14ac:dyDescent="0.25">
      <c r="A2775" s="112" t="s">
        <v>6857</v>
      </c>
      <c r="B2775" s="113" t="s">
        <v>1643</v>
      </c>
      <c r="C2775" s="114" t="s">
        <v>20</v>
      </c>
      <c r="D2775" s="114">
        <v>0</v>
      </c>
      <c r="E2775" s="133" t="s">
        <v>514</v>
      </c>
      <c r="F2775" s="134" t="str">
        <f t="shared" ref="F2775:F2838" si="150">IF(ISNUMBER(E2775),D2775*E2775,"")</f>
        <v/>
      </c>
      <c r="G2775" s="135" t="e">
        <f>IF(A2775&lt;&gt;"",IF(AND(#REF!="Padrão",$H$4=#REF!),BDI!$B$17,IF(AND(#REF!="Padrão",$H$4=#REF!),BDI!#REF!,IF(AND(#REF!="Diferenciado",$H$4=#REF!),BDI!$E$17,IF(AND(#REF!="Diferenciado",$H$4=#REF!),BDI!#REF!,IF(#REF!="ZERO",0))))),"")</f>
        <v>#REF!</v>
      </c>
      <c r="H2775" s="136" t="str">
        <f t="shared" ref="H2775:H2838" si="151">IF(ISNUMBER(E2775),ROUND(E2775*(1+G2775),2),"")</f>
        <v/>
      </c>
      <c r="I2775" s="134" t="str">
        <f t="shared" ref="I2775:I2838" si="152">IF(ISNUMBER(E2775),ROUND(H2775*D2775,2),"")</f>
        <v/>
      </c>
      <c r="J2775" s="226"/>
    </row>
    <row r="2776" spans="1:10" hidden="1" x14ac:dyDescent="0.25">
      <c r="A2776" s="112" t="s">
        <v>6858</v>
      </c>
      <c r="B2776" s="113" t="s">
        <v>1642</v>
      </c>
      <c r="C2776" s="114" t="s">
        <v>20</v>
      </c>
      <c r="D2776" s="114">
        <v>0</v>
      </c>
      <c r="E2776" s="133" t="s">
        <v>514</v>
      </c>
      <c r="F2776" s="134" t="str">
        <f t="shared" si="150"/>
        <v/>
      </c>
      <c r="G2776" s="135" t="e">
        <f>IF(A2776&lt;&gt;"",IF(AND(#REF!="Padrão",$H$4=#REF!),BDI!$B$17,IF(AND(#REF!="Padrão",$H$4=#REF!),BDI!#REF!,IF(AND(#REF!="Diferenciado",$H$4=#REF!),BDI!$E$17,IF(AND(#REF!="Diferenciado",$H$4=#REF!),BDI!#REF!,IF(#REF!="ZERO",0))))),"")</f>
        <v>#REF!</v>
      </c>
      <c r="H2776" s="136" t="str">
        <f t="shared" si="151"/>
        <v/>
      </c>
      <c r="I2776" s="134" t="str">
        <f t="shared" si="152"/>
        <v/>
      </c>
      <c r="J2776" s="226"/>
    </row>
    <row r="2777" spans="1:10" hidden="1" x14ac:dyDescent="0.25">
      <c r="A2777" s="112" t="s">
        <v>6859</v>
      </c>
      <c r="B2777" s="113" t="s">
        <v>6860</v>
      </c>
      <c r="C2777" s="114" t="s">
        <v>20</v>
      </c>
      <c r="D2777" s="114">
        <v>0</v>
      </c>
      <c r="E2777" s="133" t="s">
        <v>514</v>
      </c>
      <c r="F2777" s="134" t="str">
        <f t="shared" si="150"/>
        <v/>
      </c>
      <c r="G2777" s="135" t="e">
        <f>IF(A2777&lt;&gt;"",IF(AND(#REF!="Padrão",$H$4=#REF!),BDI!$B$17,IF(AND(#REF!="Padrão",$H$4=#REF!),BDI!#REF!,IF(AND(#REF!="Diferenciado",$H$4=#REF!),BDI!$E$17,IF(AND(#REF!="Diferenciado",$H$4=#REF!),BDI!#REF!,IF(#REF!="ZERO",0))))),"")</f>
        <v>#REF!</v>
      </c>
      <c r="H2777" s="136" t="str">
        <f t="shared" si="151"/>
        <v/>
      </c>
      <c r="I2777" s="134" t="str">
        <f t="shared" si="152"/>
        <v/>
      </c>
      <c r="J2777" s="226"/>
    </row>
    <row r="2778" spans="1:10" hidden="1" x14ac:dyDescent="0.25">
      <c r="A2778" s="112" t="s">
        <v>6861</v>
      </c>
      <c r="B2778" s="113" t="s">
        <v>1666</v>
      </c>
      <c r="C2778" s="114" t="s">
        <v>20</v>
      </c>
      <c r="D2778" s="114">
        <v>0</v>
      </c>
      <c r="E2778" s="133" t="s">
        <v>514</v>
      </c>
      <c r="F2778" s="134" t="str">
        <f t="shared" si="150"/>
        <v/>
      </c>
      <c r="G2778" s="135" t="e">
        <f>IF(A2778&lt;&gt;"",IF(AND(#REF!="Padrão",$H$4=#REF!),BDI!$B$17,IF(AND(#REF!="Padrão",$H$4=#REF!),BDI!#REF!,IF(AND(#REF!="Diferenciado",$H$4=#REF!),BDI!$E$17,IF(AND(#REF!="Diferenciado",$H$4=#REF!),BDI!#REF!,IF(#REF!="ZERO",0))))),"")</f>
        <v>#REF!</v>
      </c>
      <c r="H2778" s="136" t="str">
        <f t="shared" si="151"/>
        <v/>
      </c>
      <c r="I2778" s="134" t="str">
        <f t="shared" si="152"/>
        <v/>
      </c>
      <c r="J2778" s="226"/>
    </row>
    <row r="2779" spans="1:10" hidden="1" x14ac:dyDescent="0.25">
      <c r="A2779" s="112" t="s">
        <v>6862</v>
      </c>
      <c r="B2779" s="113" t="s">
        <v>6863</v>
      </c>
      <c r="C2779" s="114" t="s">
        <v>20</v>
      </c>
      <c r="D2779" s="114">
        <v>0</v>
      </c>
      <c r="E2779" s="133" t="s">
        <v>514</v>
      </c>
      <c r="F2779" s="134" t="str">
        <f t="shared" si="150"/>
        <v/>
      </c>
      <c r="G2779" s="135" t="e">
        <f>IF(A2779&lt;&gt;"",IF(AND(#REF!="Padrão",$H$4=#REF!),BDI!$B$17,IF(AND(#REF!="Padrão",$H$4=#REF!),BDI!#REF!,IF(AND(#REF!="Diferenciado",$H$4=#REF!),BDI!$E$17,IF(AND(#REF!="Diferenciado",$H$4=#REF!),BDI!#REF!,IF(#REF!="ZERO",0))))),"")</f>
        <v>#REF!</v>
      </c>
      <c r="H2779" s="136" t="str">
        <f t="shared" si="151"/>
        <v/>
      </c>
      <c r="I2779" s="134" t="str">
        <f t="shared" si="152"/>
        <v/>
      </c>
      <c r="J2779" s="226"/>
    </row>
    <row r="2780" spans="1:10" hidden="1" x14ac:dyDescent="0.25">
      <c r="A2780" s="112" t="s">
        <v>6864</v>
      </c>
      <c r="B2780" s="113" t="s">
        <v>6865</v>
      </c>
      <c r="C2780" s="114" t="s">
        <v>20</v>
      </c>
      <c r="D2780" s="114">
        <v>0</v>
      </c>
      <c r="E2780" s="133" t="s">
        <v>514</v>
      </c>
      <c r="F2780" s="134" t="str">
        <f t="shared" si="150"/>
        <v/>
      </c>
      <c r="G2780" s="135" t="e">
        <f>IF(A2780&lt;&gt;"",IF(AND(#REF!="Padrão",$H$4=#REF!),BDI!$B$17,IF(AND(#REF!="Padrão",$H$4=#REF!),BDI!#REF!,IF(AND(#REF!="Diferenciado",$H$4=#REF!),BDI!$E$17,IF(AND(#REF!="Diferenciado",$H$4=#REF!),BDI!#REF!,IF(#REF!="ZERO",0))))),"")</f>
        <v>#REF!</v>
      </c>
      <c r="H2780" s="136" t="str">
        <f t="shared" si="151"/>
        <v/>
      </c>
      <c r="I2780" s="134" t="str">
        <f t="shared" si="152"/>
        <v/>
      </c>
      <c r="J2780" s="226"/>
    </row>
    <row r="2781" spans="1:10" hidden="1" x14ac:dyDescent="0.25">
      <c r="A2781" s="112" t="s">
        <v>6866</v>
      </c>
      <c r="B2781" s="113" t="s">
        <v>6867</v>
      </c>
      <c r="C2781" s="114" t="s">
        <v>20</v>
      </c>
      <c r="D2781" s="114">
        <v>0</v>
      </c>
      <c r="E2781" s="133" t="s">
        <v>514</v>
      </c>
      <c r="F2781" s="134" t="str">
        <f t="shared" si="150"/>
        <v/>
      </c>
      <c r="G2781" s="135" t="e">
        <f>IF(A2781&lt;&gt;"",IF(AND(#REF!="Padrão",$H$4=#REF!),BDI!$B$17,IF(AND(#REF!="Padrão",$H$4=#REF!),BDI!#REF!,IF(AND(#REF!="Diferenciado",$H$4=#REF!),BDI!$E$17,IF(AND(#REF!="Diferenciado",$H$4=#REF!),BDI!#REF!,IF(#REF!="ZERO",0))))),"")</f>
        <v>#REF!</v>
      </c>
      <c r="H2781" s="136" t="str">
        <f t="shared" si="151"/>
        <v/>
      </c>
      <c r="I2781" s="134" t="str">
        <f t="shared" si="152"/>
        <v/>
      </c>
      <c r="J2781" s="226"/>
    </row>
    <row r="2782" spans="1:10" hidden="1" x14ac:dyDescent="0.25">
      <c r="A2782" s="112" t="s">
        <v>6868</v>
      </c>
      <c r="B2782" s="113" t="s">
        <v>6869</v>
      </c>
      <c r="C2782" s="114" t="s">
        <v>20</v>
      </c>
      <c r="D2782" s="114">
        <v>0</v>
      </c>
      <c r="E2782" s="133" t="s">
        <v>514</v>
      </c>
      <c r="F2782" s="134" t="str">
        <f t="shared" si="150"/>
        <v/>
      </c>
      <c r="G2782" s="135" t="e">
        <f>IF(A2782&lt;&gt;"",IF(AND(#REF!="Padrão",$H$4=#REF!),BDI!$B$17,IF(AND(#REF!="Padrão",$H$4=#REF!),BDI!#REF!,IF(AND(#REF!="Diferenciado",$H$4=#REF!),BDI!$E$17,IF(AND(#REF!="Diferenciado",$H$4=#REF!),BDI!#REF!,IF(#REF!="ZERO",0))))),"")</f>
        <v>#REF!</v>
      </c>
      <c r="H2782" s="136" t="str">
        <f t="shared" si="151"/>
        <v/>
      </c>
      <c r="I2782" s="134" t="str">
        <f t="shared" si="152"/>
        <v/>
      </c>
      <c r="J2782" s="226"/>
    </row>
    <row r="2783" spans="1:10" hidden="1" x14ac:dyDescent="0.25">
      <c r="A2783" s="112" t="s">
        <v>6870</v>
      </c>
      <c r="B2783" s="113" t="s">
        <v>6871</v>
      </c>
      <c r="C2783" s="114" t="s">
        <v>20</v>
      </c>
      <c r="D2783" s="114">
        <v>0</v>
      </c>
      <c r="E2783" s="133">
        <f ca="1">OFFSET(INDEX(Composições!A:J,MATCH(Orçamentária!A2783,Composições!A:A,0),8),2,0)</f>
        <v>101.77349999999998</v>
      </c>
      <c r="F2783" s="134">
        <f t="shared" ca="1" si="150"/>
        <v>0</v>
      </c>
      <c r="G2783" s="135" t="e">
        <f>IF(A2783&lt;&gt;"",IF(AND(#REF!="Padrão",$H$4=#REF!),BDI!$B$17,IF(AND(#REF!="Padrão",$H$4=#REF!),BDI!#REF!,IF(AND(#REF!="Diferenciado",$H$4=#REF!),BDI!$E$17,IF(AND(#REF!="Diferenciado",$H$4=#REF!),BDI!#REF!,IF(#REF!="ZERO",0))))),"")</f>
        <v>#REF!</v>
      </c>
      <c r="H2783" s="136" t="e">
        <f t="shared" ca="1" si="151"/>
        <v>#REF!</v>
      </c>
      <c r="I2783" s="134" t="e">
        <f t="shared" ca="1" si="152"/>
        <v>#REF!</v>
      </c>
      <c r="J2783" s="226"/>
    </row>
    <row r="2784" spans="1:10" hidden="1" x14ac:dyDescent="0.25">
      <c r="A2784" s="112" t="s">
        <v>6872</v>
      </c>
      <c r="B2784" s="113" t="s">
        <v>6873</v>
      </c>
      <c r="C2784" s="114" t="s">
        <v>20</v>
      </c>
      <c r="D2784" s="114">
        <v>0</v>
      </c>
      <c r="E2784" s="133" t="s">
        <v>514</v>
      </c>
      <c r="F2784" s="134" t="str">
        <f t="shared" si="150"/>
        <v/>
      </c>
      <c r="G2784" s="135" t="e">
        <f>IF(A2784&lt;&gt;"",IF(AND(#REF!="Padrão",$H$4=#REF!),BDI!$B$17,IF(AND(#REF!="Padrão",$H$4=#REF!),BDI!#REF!,IF(AND(#REF!="Diferenciado",$H$4=#REF!),BDI!$E$17,IF(AND(#REF!="Diferenciado",$H$4=#REF!),BDI!#REF!,IF(#REF!="ZERO",0))))),"")</f>
        <v>#REF!</v>
      </c>
      <c r="H2784" s="136" t="str">
        <f t="shared" si="151"/>
        <v/>
      </c>
      <c r="I2784" s="134" t="str">
        <f t="shared" si="152"/>
        <v/>
      </c>
      <c r="J2784" s="226"/>
    </row>
    <row r="2785" spans="1:10" hidden="1" x14ac:dyDescent="0.25">
      <c r="A2785" s="112" t="s">
        <v>6874</v>
      </c>
      <c r="B2785" s="113" t="s">
        <v>6875</v>
      </c>
      <c r="C2785" s="114" t="s">
        <v>20</v>
      </c>
      <c r="D2785" s="114">
        <v>0</v>
      </c>
      <c r="E2785" s="133" t="s">
        <v>514</v>
      </c>
      <c r="F2785" s="134" t="str">
        <f t="shared" si="150"/>
        <v/>
      </c>
      <c r="G2785" s="135" t="e">
        <f>IF(A2785&lt;&gt;"",IF(AND(#REF!="Padrão",$H$4=#REF!),BDI!$B$17,IF(AND(#REF!="Padrão",$H$4=#REF!),BDI!#REF!,IF(AND(#REF!="Diferenciado",$H$4=#REF!),BDI!$E$17,IF(AND(#REF!="Diferenciado",$H$4=#REF!),BDI!#REF!,IF(#REF!="ZERO",0))))),"")</f>
        <v>#REF!</v>
      </c>
      <c r="H2785" s="136" t="str">
        <f t="shared" si="151"/>
        <v/>
      </c>
      <c r="I2785" s="134" t="str">
        <f t="shared" si="152"/>
        <v/>
      </c>
      <c r="J2785" s="226"/>
    </row>
    <row r="2786" spans="1:10" hidden="1" x14ac:dyDescent="0.25">
      <c r="A2786" s="112" t="s">
        <v>6876</v>
      </c>
      <c r="B2786" s="113" t="s">
        <v>6877</v>
      </c>
      <c r="C2786" s="114" t="s">
        <v>20</v>
      </c>
      <c r="D2786" s="114">
        <v>0</v>
      </c>
      <c r="E2786" s="133" t="s">
        <v>514</v>
      </c>
      <c r="F2786" s="134" t="str">
        <f t="shared" si="150"/>
        <v/>
      </c>
      <c r="G2786" s="135" t="e">
        <f>IF(A2786&lt;&gt;"",IF(AND(#REF!="Padrão",$H$4=#REF!),BDI!$B$17,IF(AND(#REF!="Padrão",$H$4=#REF!),BDI!#REF!,IF(AND(#REF!="Diferenciado",$H$4=#REF!),BDI!$E$17,IF(AND(#REF!="Diferenciado",$H$4=#REF!),BDI!#REF!,IF(#REF!="ZERO",0))))),"")</f>
        <v>#REF!</v>
      </c>
      <c r="H2786" s="136" t="str">
        <f t="shared" si="151"/>
        <v/>
      </c>
      <c r="I2786" s="134" t="str">
        <f t="shared" si="152"/>
        <v/>
      </c>
      <c r="J2786" s="226"/>
    </row>
    <row r="2787" spans="1:10" hidden="1" x14ac:dyDescent="0.25">
      <c r="A2787" s="112" t="s">
        <v>6878</v>
      </c>
      <c r="B2787" s="113" t="s">
        <v>6879</v>
      </c>
      <c r="C2787" s="114" t="s">
        <v>20</v>
      </c>
      <c r="D2787" s="114">
        <v>0</v>
      </c>
      <c r="E2787" s="133" t="s">
        <v>514</v>
      </c>
      <c r="F2787" s="134" t="str">
        <f t="shared" si="150"/>
        <v/>
      </c>
      <c r="G2787" s="135" t="e">
        <f>IF(A2787&lt;&gt;"",IF(AND(#REF!="Padrão",$H$4=#REF!),BDI!$B$17,IF(AND(#REF!="Padrão",$H$4=#REF!),BDI!#REF!,IF(AND(#REF!="Diferenciado",$H$4=#REF!),BDI!$E$17,IF(AND(#REF!="Diferenciado",$H$4=#REF!),BDI!#REF!,IF(#REF!="ZERO",0))))),"")</f>
        <v>#REF!</v>
      </c>
      <c r="H2787" s="136" t="str">
        <f t="shared" si="151"/>
        <v/>
      </c>
      <c r="I2787" s="134" t="str">
        <f t="shared" si="152"/>
        <v/>
      </c>
      <c r="J2787" s="226"/>
    </row>
    <row r="2788" spans="1:10" hidden="1" x14ac:dyDescent="0.25">
      <c r="A2788" s="112" t="s">
        <v>6880</v>
      </c>
      <c r="B2788" s="113" t="s">
        <v>6881</v>
      </c>
      <c r="C2788" s="114" t="s">
        <v>20</v>
      </c>
      <c r="D2788" s="114">
        <v>0</v>
      </c>
      <c r="E2788" s="133" t="s">
        <v>514</v>
      </c>
      <c r="F2788" s="134" t="str">
        <f t="shared" si="150"/>
        <v/>
      </c>
      <c r="G2788" s="135" t="e">
        <f>IF(A2788&lt;&gt;"",IF(AND(#REF!="Padrão",$H$4=#REF!),BDI!$B$17,IF(AND(#REF!="Padrão",$H$4=#REF!),BDI!#REF!,IF(AND(#REF!="Diferenciado",$H$4=#REF!),BDI!$E$17,IF(AND(#REF!="Diferenciado",$H$4=#REF!),BDI!#REF!,IF(#REF!="ZERO",0))))),"")</f>
        <v>#REF!</v>
      </c>
      <c r="H2788" s="136" t="str">
        <f t="shared" si="151"/>
        <v/>
      </c>
      <c r="I2788" s="134" t="str">
        <f t="shared" si="152"/>
        <v/>
      </c>
      <c r="J2788" s="226"/>
    </row>
    <row r="2789" spans="1:10" hidden="1" x14ac:dyDescent="0.25">
      <c r="A2789" s="112" t="s">
        <v>6882</v>
      </c>
      <c r="B2789" s="113" t="s">
        <v>3458</v>
      </c>
      <c r="C2789" s="114" t="s">
        <v>20</v>
      </c>
      <c r="D2789" s="114">
        <v>0</v>
      </c>
      <c r="E2789" s="133">
        <f ca="1">OFFSET(INDEX(Composições!A:J,MATCH(Orçamentária!A2789,Composições!A:A,0),8),2,0)</f>
        <v>170.5915</v>
      </c>
      <c r="F2789" s="134">
        <f t="shared" ca="1" si="150"/>
        <v>0</v>
      </c>
      <c r="G2789" s="135" t="e">
        <f>IF(A2789&lt;&gt;"",IF(AND(#REF!="Padrão",$H$4=#REF!),BDI!$B$17,IF(AND(#REF!="Padrão",$H$4=#REF!),BDI!#REF!,IF(AND(#REF!="Diferenciado",$H$4=#REF!),BDI!$E$17,IF(AND(#REF!="Diferenciado",$H$4=#REF!),BDI!#REF!,IF(#REF!="ZERO",0))))),"")</f>
        <v>#REF!</v>
      </c>
      <c r="H2789" s="136" t="e">
        <f t="shared" ca="1" si="151"/>
        <v>#REF!</v>
      </c>
      <c r="I2789" s="134" t="e">
        <f t="shared" ca="1" si="152"/>
        <v>#REF!</v>
      </c>
      <c r="J2789" s="226"/>
    </row>
    <row r="2790" spans="1:10" hidden="1" x14ac:dyDescent="0.25">
      <c r="A2790" s="112" t="s">
        <v>6883</v>
      </c>
      <c r="B2790" s="113" t="s">
        <v>3452</v>
      </c>
      <c r="C2790" s="114" t="s">
        <v>20</v>
      </c>
      <c r="D2790" s="114">
        <v>0</v>
      </c>
      <c r="E2790" s="133" t="s">
        <v>514</v>
      </c>
      <c r="F2790" s="134" t="str">
        <f t="shared" si="150"/>
        <v/>
      </c>
      <c r="G2790" s="135" t="e">
        <f>IF(A2790&lt;&gt;"",IF(AND(#REF!="Padrão",$H$4=#REF!),BDI!$B$17,IF(AND(#REF!="Padrão",$H$4=#REF!),BDI!#REF!,IF(AND(#REF!="Diferenciado",$H$4=#REF!),BDI!$E$17,IF(AND(#REF!="Diferenciado",$H$4=#REF!),BDI!#REF!,IF(#REF!="ZERO",0))))),"")</f>
        <v>#REF!</v>
      </c>
      <c r="H2790" s="136" t="str">
        <f t="shared" si="151"/>
        <v/>
      </c>
      <c r="I2790" s="134" t="str">
        <f t="shared" si="152"/>
        <v/>
      </c>
      <c r="J2790" s="226"/>
    </row>
    <row r="2791" spans="1:10" hidden="1" x14ac:dyDescent="0.25">
      <c r="A2791" s="112" t="s">
        <v>6884</v>
      </c>
      <c r="B2791" s="113" t="s">
        <v>3453</v>
      </c>
      <c r="C2791" s="114" t="s">
        <v>20</v>
      </c>
      <c r="D2791" s="114">
        <v>0</v>
      </c>
      <c r="E2791" s="133" t="s">
        <v>514</v>
      </c>
      <c r="F2791" s="134" t="str">
        <f t="shared" si="150"/>
        <v/>
      </c>
      <c r="G2791" s="135" t="e">
        <f>IF(A2791&lt;&gt;"",IF(AND(#REF!="Padrão",$H$4=#REF!),BDI!$B$17,IF(AND(#REF!="Padrão",$H$4=#REF!),BDI!#REF!,IF(AND(#REF!="Diferenciado",$H$4=#REF!),BDI!$E$17,IF(AND(#REF!="Diferenciado",$H$4=#REF!),BDI!#REF!,IF(#REF!="ZERO",0))))),"")</f>
        <v>#REF!</v>
      </c>
      <c r="H2791" s="136" t="str">
        <f t="shared" si="151"/>
        <v/>
      </c>
      <c r="I2791" s="134" t="str">
        <f t="shared" si="152"/>
        <v/>
      </c>
      <c r="J2791" s="226"/>
    </row>
    <row r="2792" spans="1:10" hidden="1" x14ac:dyDescent="0.25">
      <c r="A2792" s="112" t="s">
        <v>6885</v>
      </c>
      <c r="B2792" s="113" t="s">
        <v>3455</v>
      </c>
      <c r="C2792" s="114" t="s">
        <v>20</v>
      </c>
      <c r="D2792" s="114">
        <v>0</v>
      </c>
      <c r="E2792" s="133" t="s">
        <v>514</v>
      </c>
      <c r="F2792" s="134" t="str">
        <f t="shared" si="150"/>
        <v/>
      </c>
      <c r="G2792" s="135" t="e">
        <f>IF(A2792&lt;&gt;"",IF(AND(#REF!="Padrão",$H$4=#REF!),BDI!$B$17,IF(AND(#REF!="Padrão",$H$4=#REF!),BDI!#REF!,IF(AND(#REF!="Diferenciado",$H$4=#REF!),BDI!$E$17,IF(AND(#REF!="Diferenciado",$H$4=#REF!),BDI!#REF!,IF(#REF!="ZERO",0))))),"")</f>
        <v>#REF!</v>
      </c>
      <c r="H2792" s="136" t="str">
        <f t="shared" si="151"/>
        <v/>
      </c>
      <c r="I2792" s="134" t="str">
        <f t="shared" si="152"/>
        <v/>
      </c>
      <c r="J2792" s="226"/>
    </row>
    <row r="2793" spans="1:10" hidden="1" x14ac:dyDescent="0.25">
      <c r="A2793" s="112" t="s">
        <v>6886</v>
      </c>
      <c r="B2793" s="113" t="s">
        <v>3454</v>
      </c>
      <c r="C2793" s="114" t="s">
        <v>20</v>
      </c>
      <c r="D2793" s="114">
        <v>0</v>
      </c>
      <c r="E2793" s="133" t="s">
        <v>514</v>
      </c>
      <c r="F2793" s="134" t="str">
        <f t="shared" si="150"/>
        <v/>
      </c>
      <c r="G2793" s="135" t="e">
        <f>IF(A2793&lt;&gt;"",IF(AND(#REF!="Padrão",$H$4=#REF!),BDI!$B$17,IF(AND(#REF!="Padrão",$H$4=#REF!),BDI!#REF!,IF(AND(#REF!="Diferenciado",$H$4=#REF!),BDI!$E$17,IF(AND(#REF!="Diferenciado",$H$4=#REF!),BDI!#REF!,IF(#REF!="ZERO",0))))),"")</f>
        <v>#REF!</v>
      </c>
      <c r="H2793" s="136" t="str">
        <f t="shared" si="151"/>
        <v/>
      </c>
      <c r="I2793" s="134" t="str">
        <f t="shared" si="152"/>
        <v/>
      </c>
      <c r="J2793" s="226"/>
    </row>
    <row r="2794" spans="1:10" hidden="1" x14ac:dyDescent="0.25">
      <c r="A2794" s="112" t="s">
        <v>6887</v>
      </c>
      <c r="B2794" s="113" t="s">
        <v>6265</v>
      </c>
      <c r="C2794" s="114" t="s">
        <v>20</v>
      </c>
      <c r="D2794" s="114">
        <v>0</v>
      </c>
      <c r="E2794" s="133" t="s">
        <v>514</v>
      </c>
      <c r="F2794" s="134" t="str">
        <f t="shared" si="150"/>
        <v/>
      </c>
      <c r="G2794" s="135" t="e">
        <f>IF(A2794&lt;&gt;"",IF(AND(#REF!="Padrão",$H$4=#REF!),BDI!$B$17,IF(AND(#REF!="Padrão",$H$4=#REF!),BDI!#REF!,IF(AND(#REF!="Diferenciado",$H$4=#REF!),BDI!$E$17,IF(AND(#REF!="Diferenciado",$H$4=#REF!),BDI!#REF!,IF(#REF!="ZERO",0))))),"")</f>
        <v>#REF!</v>
      </c>
      <c r="H2794" s="136" t="str">
        <f t="shared" si="151"/>
        <v/>
      </c>
      <c r="I2794" s="134" t="str">
        <f t="shared" si="152"/>
        <v/>
      </c>
      <c r="J2794" s="226"/>
    </row>
    <row r="2795" spans="1:10" hidden="1" x14ac:dyDescent="0.25">
      <c r="A2795" s="112" t="s">
        <v>6888</v>
      </c>
      <c r="B2795" s="113" t="s">
        <v>6889</v>
      </c>
      <c r="C2795" s="114" t="s">
        <v>20</v>
      </c>
      <c r="D2795" s="114">
        <v>0</v>
      </c>
      <c r="E2795" s="133" t="s">
        <v>514</v>
      </c>
      <c r="F2795" s="134" t="str">
        <f t="shared" si="150"/>
        <v/>
      </c>
      <c r="G2795" s="135" t="e">
        <f>IF(A2795&lt;&gt;"",IF(AND(#REF!="Padrão",$H$4=#REF!),BDI!$B$17,IF(AND(#REF!="Padrão",$H$4=#REF!),BDI!#REF!,IF(AND(#REF!="Diferenciado",$H$4=#REF!),BDI!$E$17,IF(AND(#REF!="Diferenciado",$H$4=#REF!),BDI!#REF!,IF(#REF!="ZERO",0))))),"")</f>
        <v>#REF!</v>
      </c>
      <c r="H2795" s="136" t="str">
        <f t="shared" si="151"/>
        <v/>
      </c>
      <c r="I2795" s="134" t="str">
        <f t="shared" si="152"/>
        <v/>
      </c>
      <c r="J2795" s="226"/>
    </row>
    <row r="2796" spans="1:10" hidden="1" x14ac:dyDescent="0.25">
      <c r="A2796" s="112" t="s">
        <v>6890</v>
      </c>
      <c r="B2796" s="113" t="s">
        <v>6891</v>
      </c>
      <c r="C2796" s="114" t="s">
        <v>20</v>
      </c>
      <c r="D2796" s="114">
        <v>0</v>
      </c>
      <c r="E2796" s="133" t="s">
        <v>514</v>
      </c>
      <c r="F2796" s="134" t="str">
        <f t="shared" si="150"/>
        <v/>
      </c>
      <c r="G2796" s="135" t="e">
        <f>IF(A2796&lt;&gt;"",IF(AND(#REF!="Padrão",$H$4=#REF!),BDI!$B$17,IF(AND(#REF!="Padrão",$H$4=#REF!),BDI!#REF!,IF(AND(#REF!="Diferenciado",$H$4=#REF!),BDI!$E$17,IF(AND(#REF!="Diferenciado",$H$4=#REF!),BDI!#REF!,IF(#REF!="ZERO",0))))),"")</f>
        <v>#REF!</v>
      </c>
      <c r="H2796" s="136" t="str">
        <f t="shared" si="151"/>
        <v/>
      </c>
      <c r="I2796" s="134" t="str">
        <f t="shared" si="152"/>
        <v/>
      </c>
      <c r="J2796" s="226"/>
    </row>
    <row r="2797" spans="1:10" hidden="1" x14ac:dyDescent="0.25">
      <c r="A2797" s="112" t="s">
        <v>6892</v>
      </c>
      <c r="B2797" s="113" t="s">
        <v>6893</v>
      </c>
      <c r="C2797" s="114" t="s">
        <v>20</v>
      </c>
      <c r="D2797" s="114">
        <v>0</v>
      </c>
      <c r="E2797" s="133" t="s">
        <v>514</v>
      </c>
      <c r="F2797" s="134" t="str">
        <f t="shared" si="150"/>
        <v/>
      </c>
      <c r="G2797" s="135" t="e">
        <f>IF(A2797&lt;&gt;"",IF(AND(#REF!="Padrão",$H$4=#REF!),BDI!$B$17,IF(AND(#REF!="Padrão",$H$4=#REF!),BDI!#REF!,IF(AND(#REF!="Diferenciado",$H$4=#REF!),BDI!$E$17,IF(AND(#REF!="Diferenciado",$H$4=#REF!),BDI!#REF!,IF(#REF!="ZERO",0))))),"")</f>
        <v>#REF!</v>
      </c>
      <c r="H2797" s="136" t="str">
        <f t="shared" si="151"/>
        <v/>
      </c>
      <c r="I2797" s="134" t="str">
        <f t="shared" si="152"/>
        <v/>
      </c>
      <c r="J2797" s="226"/>
    </row>
    <row r="2798" spans="1:10" hidden="1" x14ac:dyDescent="0.25">
      <c r="A2798" s="112" t="s">
        <v>6894</v>
      </c>
      <c r="B2798" s="113" t="s">
        <v>6895</v>
      </c>
      <c r="C2798" s="114" t="s">
        <v>20</v>
      </c>
      <c r="D2798" s="114">
        <v>0</v>
      </c>
      <c r="E2798" s="133" t="s">
        <v>514</v>
      </c>
      <c r="F2798" s="134" t="str">
        <f t="shared" si="150"/>
        <v/>
      </c>
      <c r="G2798" s="135" t="e">
        <f>IF(A2798&lt;&gt;"",IF(AND(#REF!="Padrão",$H$4=#REF!),BDI!$B$17,IF(AND(#REF!="Padrão",$H$4=#REF!),BDI!#REF!,IF(AND(#REF!="Diferenciado",$H$4=#REF!),BDI!$E$17,IF(AND(#REF!="Diferenciado",$H$4=#REF!),BDI!#REF!,IF(#REF!="ZERO",0))))),"")</f>
        <v>#REF!</v>
      </c>
      <c r="H2798" s="136" t="str">
        <f t="shared" si="151"/>
        <v/>
      </c>
      <c r="I2798" s="134" t="str">
        <f t="shared" si="152"/>
        <v/>
      </c>
      <c r="J2798" s="226"/>
    </row>
    <row r="2799" spans="1:10" hidden="1" x14ac:dyDescent="0.25">
      <c r="A2799" s="112" t="s">
        <v>6896</v>
      </c>
      <c r="B2799" s="113" t="s">
        <v>6266</v>
      </c>
      <c r="C2799" s="114" t="s">
        <v>20</v>
      </c>
      <c r="D2799" s="114">
        <v>0</v>
      </c>
      <c r="E2799" s="133" t="s">
        <v>514</v>
      </c>
      <c r="F2799" s="134" t="str">
        <f t="shared" si="150"/>
        <v/>
      </c>
      <c r="G2799" s="135" t="e">
        <f>IF(A2799&lt;&gt;"",IF(AND(#REF!="Padrão",$H$4=#REF!),BDI!$B$17,IF(AND(#REF!="Padrão",$H$4=#REF!),BDI!#REF!,IF(AND(#REF!="Diferenciado",$H$4=#REF!),BDI!$E$17,IF(AND(#REF!="Diferenciado",$H$4=#REF!),BDI!#REF!,IF(#REF!="ZERO",0))))),"")</f>
        <v>#REF!</v>
      </c>
      <c r="H2799" s="136" t="str">
        <f t="shared" si="151"/>
        <v/>
      </c>
      <c r="I2799" s="134" t="str">
        <f t="shared" si="152"/>
        <v/>
      </c>
      <c r="J2799" s="226"/>
    </row>
    <row r="2800" spans="1:10" hidden="1" x14ac:dyDescent="0.25">
      <c r="A2800" s="112" t="s">
        <v>6897</v>
      </c>
      <c r="B2800" s="113" t="s">
        <v>6267</v>
      </c>
      <c r="C2800" s="114" t="s">
        <v>20</v>
      </c>
      <c r="D2800" s="114">
        <v>0</v>
      </c>
      <c r="E2800" s="133" t="s">
        <v>514</v>
      </c>
      <c r="F2800" s="134" t="str">
        <f t="shared" si="150"/>
        <v/>
      </c>
      <c r="G2800" s="135" t="e">
        <f>IF(A2800&lt;&gt;"",IF(AND(#REF!="Padrão",$H$4=#REF!),BDI!$B$17,IF(AND(#REF!="Padrão",$H$4=#REF!),BDI!#REF!,IF(AND(#REF!="Diferenciado",$H$4=#REF!),BDI!$E$17,IF(AND(#REF!="Diferenciado",$H$4=#REF!),BDI!#REF!,IF(#REF!="ZERO",0))))),"")</f>
        <v>#REF!</v>
      </c>
      <c r="H2800" s="136" t="str">
        <f t="shared" si="151"/>
        <v/>
      </c>
      <c r="I2800" s="134" t="str">
        <f t="shared" si="152"/>
        <v/>
      </c>
      <c r="J2800" s="226"/>
    </row>
    <row r="2801" spans="1:10" hidden="1" x14ac:dyDescent="0.25">
      <c r="A2801" s="112" t="s">
        <v>6898</v>
      </c>
      <c r="B2801" s="113" t="s">
        <v>3477</v>
      </c>
      <c r="C2801" s="114" t="s">
        <v>20</v>
      </c>
      <c r="D2801" s="114">
        <v>0</v>
      </c>
      <c r="E2801" s="133" t="s">
        <v>514</v>
      </c>
      <c r="F2801" s="134" t="str">
        <f t="shared" si="150"/>
        <v/>
      </c>
      <c r="G2801" s="135" t="e">
        <f>IF(A2801&lt;&gt;"",IF(AND(#REF!="Padrão",$H$4=#REF!),BDI!$B$17,IF(AND(#REF!="Padrão",$H$4=#REF!),BDI!#REF!,IF(AND(#REF!="Diferenciado",$H$4=#REF!),BDI!$E$17,IF(AND(#REF!="Diferenciado",$H$4=#REF!),BDI!#REF!,IF(#REF!="ZERO",0))))),"")</f>
        <v>#REF!</v>
      </c>
      <c r="H2801" s="136" t="str">
        <f t="shared" si="151"/>
        <v/>
      </c>
      <c r="I2801" s="134" t="str">
        <f t="shared" si="152"/>
        <v/>
      </c>
      <c r="J2801" s="226"/>
    </row>
    <row r="2802" spans="1:10" hidden="1" x14ac:dyDescent="0.25">
      <c r="A2802" s="112" t="s">
        <v>6899</v>
      </c>
      <c r="B2802" s="113" t="s">
        <v>6900</v>
      </c>
      <c r="C2802" s="114" t="s">
        <v>20</v>
      </c>
      <c r="D2802" s="114">
        <v>0</v>
      </c>
      <c r="E2802" s="133" t="s">
        <v>514</v>
      </c>
      <c r="F2802" s="134" t="str">
        <f t="shared" si="150"/>
        <v/>
      </c>
      <c r="G2802" s="135" t="e">
        <f>IF(A2802&lt;&gt;"",IF(AND(#REF!="Padrão",$H$4=#REF!),BDI!$B$17,IF(AND(#REF!="Padrão",$H$4=#REF!),BDI!#REF!,IF(AND(#REF!="Diferenciado",$H$4=#REF!),BDI!$E$17,IF(AND(#REF!="Diferenciado",$H$4=#REF!),BDI!#REF!,IF(#REF!="ZERO",0))))),"")</f>
        <v>#REF!</v>
      </c>
      <c r="H2802" s="136" t="str">
        <f t="shared" si="151"/>
        <v/>
      </c>
      <c r="I2802" s="134" t="str">
        <f t="shared" si="152"/>
        <v/>
      </c>
      <c r="J2802" s="226"/>
    </row>
    <row r="2803" spans="1:10" hidden="1" x14ac:dyDescent="0.25">
      <c r="A2803" s="112" t="s">
        <v>6901</v>
      </c>
      <c r="B2803" s="113" t="s">
        <v>6902</v>
      </c>
      <c r="C2803" s="114" t="s">
        <v>20</v>
      </c>
      <c r="D2803" s="114">
        <v>0</v>
      </c>
      <c r="E2803" s="133" t="s">
        <v>514</v>
      </c>
      <c r="F2803" s="134" t="str">
        <f t="shared" si="150"/>
        <v/>
      </c>
      <c r="G2803" s="135" t="e">
        <f>IF(A2803&lt;&gt;"",IF(AND(#REF!="Padrão",$H$4=#REF!),BDI!$B$17,IF(AND(#REF!="Padrão",$H$4=#REF!),BDI!#REF!,IF(AND(#REF!="Diferenciado",$H$4=#REF!),BDI!$E$17,IF(AND(#REF!="Diferenciado",$H$4=#REF!),BDI!#REF!,IF(#REF!="ZERO",0))))),"")</f>
        <v>#REF!</v>
      </c>
      <c r="H2803" s="136" t="str">
        <f t="shared" si="151"/>
        <v/>
      </c>
      <c r="I2803" s="134" t="str">
        <f t="shared" si="152"/>
        <v/>
      </c>
      <c r="J2803" s="226"/>
    </row>
    <row r="2804" spans="1:10" hidden="1" x14ac:dyDescent="0.25">
      <c r="A2804" s="112" t="s">
        <v>6903</v>
      </c>
      <c r="B2804" s="113" t="s">
        <v>6904</v>
      </c>
      <c r="C2804" s="114" t="s">
        <v>20</v>
      </c>
      <c r="D2804" s="114">
        <v>0</v>
      </c>
      <c r="E2804" s="133" t="s">
        <v>514</v>
      </c>
      <c r="F2804" s="134" t="str">
        <f t="shared" si="150"/>
        <v/>
      </c>
      <c r="G2804" s="135" t="e">
        <f>IF(A2804&lt;&gt;"",IF(AND(#REF!="Padrão",$H$4=#REF!),BDI!$B$17,IF(AND(#REF!="Padrão",$H$4=#REF!),BDI!#REF!,IF(AND(#REF!="Diferenciado",$H$4=#REF!),BDI!$E$17,IF(AND(#REF!="Diferenciado",$H$4=#REF!),BDI!#REF!,IF(#REF!="ZERO",0))))),"")</f>
        <v>#REF!</v>
      </c>
      <c r="H2804" s="136" t="str">
        <f t="shared" si="151"/>
        <v/>
      </c>
      <c r="I2804" s="134" t="str">
        <f t="shared" si="152"/>
        <v/>
      </c>
      <c r="J2804" s="226"/>
    </row>
    <row r="2805" spans="1:10" hidden="1" x14ac:dyDescent="0.25">
      <c r="A2805" s="112" t="s">
        <v>6905</v>
      </c>
      <c r="B2805" s="113" t="s">
        <v>6906</v>
      </c>
      <c r="C2805" s="114" t="s">
        <v>20</v>
      </c>
      <c r="D2805" s="114">
        <v>0</v>
      </c>
      <c r="E2805" s="133" t="s">
        <v>514</v>
      </c>
      <c r="F2805" s="134" t="str">
        <f t="shared" si="150"/>
        <v/>
      </c>
      <c r="G2805" s="135" t="e">
        <f>IF(A2805&lt;&gt;"",IF(AND(#REF!="Padrão",$H$4=#REF!),BDI!$B$17,IF(AND(#REF!="Padrão",$H$4=#REF!),BDI!#REF!,IF(AND(#REF!="Diferenciado",$H$4=#REF!),BDI!$E$17,IF(AND(#REF!="Diferenciado",$H$4=#REF!),BDI!#REF!,IF(#REF!="ZERO",0))))),"")</f>
        <v>#REF!</v>
      </c>
      <c r="H2805" s="136" t="str">
        <f t="shared" si="151"/>
        <v/>
      </c>
      <c r="I2805" s="134" t="str">
        <f t="shared" si="152"/>
        <v/>
      </c>
      <c r="J2805" s="226"/>
    </row>
    <row r="2806" spans="1:10" hidden="1" x14ac:dyDescent="0.25">
      <c r="A2806" s="112" t="s">
        <v>6907</v>
      </c>
      <c r="B2806" s="113" t="s">
        <v>6908</v>
      </c>
      <c r="C2806" s="114" t="s">
        <v>20</v>
      </c>
      <c r="D2806" s="114">
        <v>0</v>
      </c>
      <c r="E2806" s="133">
        <f ca="1">OFFSET(INDEX(Composições!A:J,MATCH(Orçamentária!A2806,Composições!A:A,0),8),2,0)</f>
        <v>26.115499999999997</v>
      </c>
      <c r="F2806" s="134">
        <f t="shared" ca="1" si="150"/>
        <v>0</v>
      </c>
      <c r="G2806" s="135" t="e">
        <f>IF(A2806&lt;&gt;"",IF(AND(#REF!="Padrão",$H$4=#REF!),BDI!$B$17,IF(AND(#REF!="Padrão",$H$4=#REF!),BDI!#REF!,IF(AND(#REF!="Diferenciado",$H$4=#REF!),BDI!$E$17,IF(AND(#REF!="Diferenciado",$H$4=#REF!),BDI!#REF!,IF(#REF!="ZERO",0))))),"")</f>
        <v>#REF!</v>
      </c>
      <c r="H2806" s="136" t="e">
        <f t="shared" ca="1" si="151"/>
        <v>#REF!</v>
      </c>
      <c r="I2806" s="134" t="e">
        <f t="shared" ca="1" si="152"/>
        <v>#REF!</v>
      </c>
      <c r="J2806" s="226"/>
    </row>
    <row r="2807" spans="1:10" hidden="1" x14ac:dyDescent="0.25">
      <c r="A2807" s="112" t="s">
        <v>6909</v>
      </c>
      <c r="B2807" s="113" t="s">
        <v>6910</v>
      </c>
      <c r="C2807" s="114" t="s">
        <v>20</v>
      </c>
      <c r="D2807" s="114">
        <v>0</v>
      </c>
      <c r="E2807" s="133" t="s">
        <v>514</v>
      </c>
      <c r="F2807" s="134" t="str">
        <f t="shared" si="150"/>
        <v/>
      </c>
      <c r="G2807" s="135" t="e">
        <f>IF(A2807&lt;&gt;"",IF(AND(#REF!="Padrão",$H$4=#REF!),BDI!$B$17,IF(AND(#REF!="Padrão",$H$4=#REF!),BDI!#REF!,IF(AND(#REF!="Diferenciado",$H$4=#REF!),BDI!$E$17,IF(AND(#REF!="Diferenciado",$H$4=#REF!),BDI!#REF!,IF(#REF!="ZERO",0))))),"")</f>
        <v>#REF!</v>
      </c>
      <c r="H2807" s="136" t="str">
        <f t="shared" si="151"/>
        <v/>
      </c>
      <c r="I2807" s="134" t="str">
        <f t="shared" si="152"/>
        <v/>
      </c>
      <c r="J2807" s="226"/>
    </row>
    <row r="2808" spans="1:10" hidden="1" x14ac:dyDescent="0.25">
      <c r="A2808" s="112" t="s">
        <v>6911</v>
      </c>
      <c r="B2808" s="113" t="s">
        <v>6912</v>
      </c>
      <c r="C2808" s="114" t="s">
        <v>20</v>
      </c>
      <c r="D2808" s="114">
        <v>0</v>
      </c>
      <c r="E2808" s="133" t="s">
        <v>514</v>
      </c>
      <c r="F2808" s="134" t="str">
        <f t="shared" si="150"/>
        <v/>
      </c>
      <c r="G2808" s="135" t="e">
        <f>IF(A2808&lt;&gt;"",IF(AND(#REF!="Padrão",$H$4=#REF!),BDI!$B$17,IF(AND(#REF!="Padrão",$H$4=#REF!),BDI!#REF!,IF(AND(#REF!="Diferenciado",$H$4=#REF!),BDI!$E$17,IF(AND(#REF!="Diferenciado",$H$4=#REF!),BDI!#REF!,IF(#REF!="ZERO",0))))),"")</f>
        <v>#REF!</v>
      </c>
      <c r="H2808" s="136" t="str">
        <f t="shared" si="151"/>
        <v/>
      </c>
      <c r="I2808" s="134" t="str">
        <f t="shared" si="152"/>
        <v/>
      </c>
      <c r="J2808" s="226"/>
    </row>
    <row r="2809" spans="1:10" hidden="1" x14ac:dyDescent="0.25">
      <c r="A2809" s="112" t="s">
        <v>6913</v>
      </c>
      <c r="B2809" s="113" t="s">
        <v>6914</v>
      </c>
      <c r="C2809" s="114" t="s">
        <v>20</v>
      </c>
      <c r="D2809" s="114">
        <v>0</v>
      </c>
      <c r="E2809" s="133" t="s">
        <v>514</v>
      </c>
      <c r="F2809" s="134" t="str">
        <f t="shared" si="150"/>
        <v/>
      </c>
      <c r="G2809" s="135" t="e">
        <f>IF(A2809&lt;&gt;"",IF(AND(#REF!="Padrão",$H$4=#REF!),BDI!$B$17,IF(AND(#REF!="Padrão",$H$4=#REF!),BDI!#REF!,IF(AND(#REF!="Diferenciado",$H$4=#REF!),BDI!$E$17,IF(AND(#REF!="Diferenciado",$H$4=#REF!),BDI!#REF!,IF(#REF!="ZERO",0))))),"")</f>
        <v>#REF!</v>
      </c>
      <c r="H2809" s="136" t="str">
        <f t="shared" si="151"/>
        <v/>
      </c>
      <c r="I2809" s="134" t="str">
        <f t="shared" si="152"/>
        <v/>
      </c>
      <c r="J2809" s="226"/>
    </row>
    <row r="2810" spans="1:10" hidden="1" x14ac:dyDescent="0.25">
      <c r="A2810" s="112" t="s">
        <v>6915</v>
      </c>
      <c r="B2810" s="113" t="s">
        <v>6916</v>
      </c>
      <c r="C2810" s="114" t="s">
        <v>20</v>
      </c>
      <c r="D2810" s="114">
        <v>0</v>
      </c>
      <c r="E2810" s="133" t="s">
        <v>514</v>
      </c>
      <c r="F2810" s="134" t="str">
        <f t="shared" si="150"/>
        <v/>
      </c>
      <c r="G2810" s="135" t="e">
        <f>IF(A2810&lt;&gt;"",IF(AND(#REF!="Padrão",$H$4=#REF!),BDI!$B$17,IF(AND(#REF!="Padrão",$H$4=#REF!),BDI!#REF!,IF(AND(#REF!="Diferenciado",$H$4=#REF!),BDI!$E$17,IF(AND(#REF!="Diferenciado",$H$4=#REF!),BDI!#REF!,IF(#REF!="ZERO",0))))),"")</f>
        <v>#REF!</v>
      </c>
      <c r="H2810" s="136" t="str">
        <f t="shared" si="151"/>
        <v/>
      </c>
      <c r="I2810" s="134" t="str">
        <f t="shared" si="152"/>
        <v/>
      </c>
      <c r="J2810" s="226"/>
    </row>
    <row r="2811" spans="1:10" hidden="1" x14ac:dyDescent="0.25">
      <c r="A2811" s="112" t="s">
        <v>6917</v>
      </c>
      <c r="B2811" s="113" t="s">
        <v>6918</v>
      </c>
      <c r="C2811" s="114" t="s">
        <v>20</v>
      </c>
      <c r="D2811" s="114">
        <v>0</v>
      </c>
      <c r="E2811" s="133" t="s">
        <v>514</v>
      </c>
      <c r="F2811" s="134" t="str">
        <f t="shared" si="150"/>
        <v/>
      </c>
      <c r="G2811" s="135" t="e">
        <f>IF(A2811&lt;&gt;"",IF(AND(#REF!="Padrão",$H$4=#REF!),BDI!$B$17,IF(AND(#REF!="Padrão",$H$4=#REF!),BDI!#REF!,IF(AND(#REF!="Diferenciado",$H$4=#REF!),BDI!$E$17,IF(AND(#REF!="Diferenciado",$H$4=#REF!),BDI!#REF!,IF(#REF!="ZERO",0))))),"")</f>
        <v>#REF!</v>
      </c>
      <c r="H2811" s="136" t="str">
        <f t="shared" si="151"/>
        <v/>
      </c>
      <c r="I2811" s="134" t="str">
        <f t="shared" si="152"/>
        <v/>
      </c>
      <c r="J2811" s="226"/>
    </row>
    <row r="2812" spans="1:10" hidden="1" x14ac:dyDescent="0.25">
      <c r="A2812" s="112" t="s">
        <v>6919</v>
      </c>
      <c r="B2812" s="113" t="s">
        <v>3630</v>
      </c>
      <c r="C2812" s="114" t="s">
        <v>20</v>
      </c>
      <c r="D2812" s="114">
        <v>0</v>
      </c>
      <c r="E2812" s="133">
        <f ca="1">OFFSET(INDEX(Composições!A:J,MATCH(Orçamentária!A2812,Composições!A:A,0),8),2,0)</f>
        <v>52.202500000000001</v>
      </c>
      <c r="F2812" s="134">
        <f t="shared" ca="1" si="150"/>
        <v>0</v>
      </c>
      <c r="G2812" s="135" t="e">
        <f>IF(A2812&lt;&gt;"",IF(AND(#REF!="Padrão",$H$4=#REF!),BDI!$B$17,IF(AND(#REF!="Padrão",$H$4=#REF!),BDI!#REF!,IF(AND(#REF!="Diferenciado",$H$4=#REF!),BDI!$E$17,IF(AND(#REF!="Diferenciado",$H$4=#REF!),BDI!#REF!,IF(#REF!="ZERO",0))))),"")</f>
        <v>#REF!</v>
      </c>
      <c r="H2812" s="136" t="e">
        <f t="shared" ca="1" si="151"/>
        <v>#REF!</v>
      </c>
      <c r="I2812" s="134" t="e">
        <f t="shared" ca="1" si="152"/>
        <v>#REF!</v>
      </c>
      <c r="J2812" s="226"/>
    </row>
    <row r="2813" spans="1:10" hidden="1" x14ac:dyDescent="0.25">
      <c r="A2813" s="112" t="s">
        <v>6920</v>
      </c>
      <c r="B2813" s="113" t="s">
        <v>6921</v>
      </c>
      <c r="C2813" s="114" t="s">
        <v>20</v>
      </c>
      <c r="D2813" s="114">
        <v>0</v>
      </c>
      <c r="E2813" s="133">
        <f ca="1">OFFSET(INDEX(Composições!A:J,MATCH(Orçamentária!A2813,Composições!A:A,0),8),2,0)</f>
        <v>60.258499999999998</v>
      </c>
      <c r="F2813" s="134">
        <f t="shared" ca="1" si="150"/>
        <v>0</v>
      </c>
      <c r="G2813" s="135" t="e">
        <f>IF(A2813&lt;&gt;"",IF(AND(#REF!="Padrão",$H$4=#REF!),BDI!$B$17,IF(AND(#REF!="Padrão",$H$4=#REF!),BDI!#REF!,IF(AND(#REF!="Diferenciado",$H$4=#REF!),BDI!$E$17,IF(AND(#REF!="Diferenciado",$H$4=#REF!),BDI!#REF!,IF(#REF!="ZERO",0))))),"")</f>
        <v>#REF!</v>
      </c>
      <c r="H2813" s="136" t="e">
        <f t="shared" ca="1" si="151"/>
        <v>#REF!</v>
      </c>
      <c r="I2813" s="134" t="e">
        <f t="shared" ca="1" si="152"/>
        <v>#REF!</v>
      </c>
      <c r="J2813" s="226"/>
    </row>
    <row r="2814" spans="1:10" hidden="1" x14ac:dyDescent="0.25">
      <c r="A2814" s="112" t="s">
        <v>6922</v>
      </c>
      <c r="B2814" s="113" t="s">
        <v>6923</v>
      </c>
      <c r="C2814" s="114" t="s">
        <v>20</v>
      </c>
      <c r="D2814" s="114">
        <v>0</v>
      </c>
      <c r="E2814" s="133">
        <f ca="1">OFFSET(INDEX(Composições!A:J,MATCH(Orçamentária!A2814,Composições!A:A,0),8),2,0)</f>
        <v>146.10049999999998</v>
      </c>
      <c r="F2814" s="134">
        <f t="shared" ca="1" si="150"/>
        <v>0</v>
      </c>
      <c r="G2814" s="135" t="e">
        <f>IF(A2814&lt;&gt;"",IF(AND(#REF!="Padrão",$H$4=#REF!),BDI!$B$17,IF(AND(#REF!="Padrão",$H$4=#REF!),BDI!#REF!,IF(AND(#REF!="Diferenciado",$H$4=#REF!),BDI!$E$17,IF(AND(#REF!="Diferenciado",$H$4=#REF!),BDI!#REF!,IF(#REF!="ZERO",0))))),"")</f>
        <v>#REF!</v>
      </c>
      <c r="H2814" s="136" t="e">
        <f t="shared" ca="1" si="151"/>
        <v>#REF!</v>
      </c>
      <c r="I2814" s="134" t="e">
        <f t="shared" ca="1" si="152"/>
        <v>#REF!</v>
      </c>
      <c r="J2814" s="226"/>
    </row>
    <row r="2815" spans="1:10" hidden="1" x14ac:dyDescent="0.25">
      <c r="A2815" s="112" t="s">
        <v>6924</v>
      </c>
      <c r="B2815" s="113" t="s">
        <v>6925</v>
      </c>
      <c r="C2815" s="114" t="s">
        <v>20</v>
      </c>
      <c r="D2815" s="114">
        <v>0</v>
      </c>
      <c r="E2815" s="133">
        <f ca="1">OFFSET(INDEX(Composições!A:J,MATCH(Orçamentária!A2815,Composições!A:A,0),8),2,0)</f>
        <v>225.29249999999999</v>
      </c>
      <c r="F2815" s="134">
        <f t="shared" ca="1" si="150"/>
        <v>0</v>
      </c>
      <c r="G2815" s="135" t="e">
        <f>IF(A2815&lt;&gt;"",IF(AND(#REF!="Padrão",$H$4=#REF!),BDI!$B$17,IF(AND(#REF!="Padrão",$H$4=#REF!),BDI!#REF!,IF(AND(#REF!="Diferenciado",$H$4=#REF!),BDI!$E$17,IF(AND(#REF!="Diferenciado",$H$4=#REF!),BDI!#REF!,IF(#REF!="ZERO",0))))),"")</f>
        <v>#REF!</v>
      </c>
      <c r="H2815" s="136" t="e">
        <f t="shared" ca="1" si="151"/>
        <v>#REF!</v>
      </c>
      <c r="I2815" s="134" t="e">
        <f t="shared" ca="1" si="152"/>
        <v>#REF!</v>
      </c>
      <c r="J2815" s="226"/>
    </row>
    <row r="2816" spans="1:10" hidden="1" x14ac:dyDescent="0.25">
      <c r="A2816" s="112" t="s">
        <v>6926</v>
      </c>
      <c r="B2816" s="113" t="s">
        <v>6927</v>
      </c>
      <c r="C2816" s="114" t="s">
        <v>20</v>
      </c>
      <c r="D2816" s="114">
        <v>0</v>
      </c>
      <c r="E2816" s="133">
        <f ca="1">OFFSET(INDEX(Composições!A:J,MATCH(Orçamentária!A2816,Composições!A:A,0),8),2,0)</f>
        <v>52.202500000000001</v>
      </c>
      <c r="F2816" s="134">
        <f t="shared" ca="1" si="150"/>
        <v>0</v>
      </c>
      <c r="G2816" s="135" t="e">
        <f>IF(A2816&lt;&gt;"",IF(AND(#REF!="Padrão",$H$4=#REF!),BDI!$B$17,IF(AND(#REF!="Padrão",$H$4=#REF!),BDI!#REF!,IF(AND(#REF!="Diferenciado",$H$4=#REF!),BDI!$E$17,IF(AND(#REF!="Diferenciado",$H$4=#REF!),BDI!#REF!,IF(#REF!="ZERO",0))))),"")</f>
        <v>#REF!</v>
      </c>
      <c r="H2816" s="136" t="e">
        <f t="shared" ca="1" si="151"/>
        <v>#REF!</v>
      </c>
      <c r="I2816" s="134" t="e">
        <f t="shared" ca="1" si="152"/>
        <v>#REF!</v>
      </c>
      <c r="J2816" s="226"/>
    </row>
    <row r="2817" spans="1:10" hidden="1" x14ac:dyDescent="0.25">
      <c r="A2817" s="112" t="s">
        <v>6928</v>
      </c>
      <c r="B2817" s="113" t="s">
        <v>6929</v>
      </c>
      <c r="C2817" s="114" t="s">
        <v>20</v>
      </c>
      <c r="D2817" s="114">
        <v>0</v>
      </c>
      <c r="E2817" s="133">
        <f ca="1">OFFSET(INDEX(Composições!A:J,MATCH(Orçamentária!A2817,Composições!A:A,0),8),2,0)</f>
        <v>99.759500000000003</v>
      </c>
      <c r="F2817" s="134">
        <f t="shared" ca="1" si="150"/>
        <v>0</v>
      </c>
      <c r="G2817" s="135" t="e">
        <f>IF(A2817&lt;&gt;"",IF(AND(#REF!="Padrão",$H$4=#REF!),BDI!$B$17,IF(AND(#REF!="Padrão",$H$4=#REF!),BDI!#REF!,IF(AND(#REF!="Diferenciado",$H$4=#REF!),BDI!$E$17,IF(AND(#REF!="Diferenciado",$H$4=#REF!),BDI!#REF!,IF(#REF!="ZERO",0))))),"")</f>
        <v>#REF!</v>
      </c>
      <c r="H2817" s="136" t="e">
        <f t="shared" ca="1" si="151"/>
        <v>#REF!</v>
      </c>
      <c r="I2817" s="134" t="e">
        <f t="shared" ca="1" si="152"/>
        <v>#REF!</v>
      </c>
      <c r="J2817" s="226"/>
    </row>
    <row r="2818" spans="1:10" hidden="1" x14ac:dyDescent="0.25">
      <c r="A2818" s="112" t="s">
        <v>6930</v>
      </c>
      <c r="B2818" s="113" t="s">
        <v>6931</v>
      </c>
      <c r="C2818" s="114" t="s">
        <v>20</v>
      </c>
      <c r="D2818" s="114">
        <v>0</v>
      </c>
      <c r="E2818" s="133">
        <f ca="1">OFFSET(INDEX(Composições!A:J,MATCH(Orçamentária!A2818,Composições!A:A,0),8),2,0)</f>
        <v>79.021000000000001</v>
      </c>
      <c r="F2818" s="134">
        <f t="shared" ca="1" si="150"/>
        <v>0</v>
      </c>
      <c r="G2818" s="135" t="e">
        <f>IF(A2818&lt;&gt;"",IF(AND(#REF!="Padrão",$H$4=#REF!),BDI!$B$17,IF(AND(#REF!="Padrão",$H$4=#REF!),BDI!#REF!,IF(AND(#REF!="Diferenciado",$H$4=#REF!),BDI!$E$17,IF(AND(#REF!="Diferenciado",$H$4=#REF!),BDI!#REF!,IF(#REF!="ZERO",0))))),"")</f>
        <v>#REF!</v>
      </c>
      <c r="H2818" s="136" t="e">
        <f t="shared" ca="1" si="151"/>
        <v>#REF!</v>
      </c>
      <c r="I2818" s="134" t="e">
        <f t="shared" ca="1" si="152"/>
        <v>#REF!</v>
      </c>
      <c r="J2818" s="226"/>
    </row>
    <row r="2819" spans="1:10" hidden="1" x14ac:dyDescent="0.25">
      <c r="A2819" s="112" t="s">
        <v>6932</v>
      </c>
      <c r="B2819" s="113" t="s">
        <v>6933</v>
      </c>
      <c r="C2819" s="114" t="s">
        <v>20</v>
      </c>
      <c r="D2819" s="114">
        <v>0</v>
      </c>
      <c r="E2819" s="133">
        <f ca="1">OFFSET(INDEX(Composições!A:J,MATCH(Orçamentária!A2819,Composições!A:A,0),8),2,0)</f>
        <v>57.978499999999997</v>
      </c>
      <c r="F2819" s="134">
        <f t="shared" ca="1" si="150"/>
        <v>0</v>
      </c>
      <c r="G2819" s="135" t="e">
        <f>IF(A2819&lt;&gt;"",IF(AND(#REF!="Padrão",$H$4=#REF!),BDI!$B$17,IF(AND(#REF!="Padrão",$H$4=#REF!),BDI!#REF!,IF(AND(#REF!="Diferenciado",$H$4=#REF!),BDI!$E$17,IF(AND(#REF!="Diferenciado",$H$4=#REF!),BDI!#REF!,IF(#REF!="ZERO",0))))),"")</f>
        <v>#REF!</v>
      </c>
      <c r="H2819" s="136" t="e">
        <f t="shared" ca="1" si="151"/>
        <v>#REF!</v>
      </c>
      <c r="I2819" s="134" t="e">
        <f t="shared" ca="1" si="152"/>
        <v>#REF!</v>
      </c>
      <c r="J2819" s="226"/>
    </row>
    <row r="2820" spans="1:10" hidden="1" x14ac:dyDescent="0.25">
      <c r="A2820" s="112" t="s">
        <v>6934</v>
      </c>
      <c r="B2820" s="113" t="s">
        <v>6935</v>
      </c>
      <c r="C2820" s="114" t="s">
        <v>20</v>
      </c>
      <c r="D2820" s="114">
        <v>0</v>
      </c>
      <c r="E2820" s="133">
        <f ca="1">OFFSET(INDEX(Composições!A:J,MATCH(Orçamentária!A2820,Composições!A:A,0),8),2,0)</f>
        <v>34.826999999999998</v>
      </c>
      <c r="F2820" s="134">
        <f t="shared" ca="1" si="150"/>
        <v>0</v>
      </c>
      <c r="G2820" s="135" t="e">
        <f>IF(A2820&lt;&gt;"",IF(AND(#REF!="Padrão",$H$4=#REF!),BDI!$B$17,IF(AND(#REF!="Padrão",$H$4=#REF!),BDI!#REF!,IF(AND(#REF!="Diferenciado",$H$4=#REF!),BDI!$E$17,IF(AND(#REF!="Diferenciado",$H$4=#REF!),BDI!#REF!,IF(#REF!="ZERO",0))))),"")</f>
        <v>#REF!</v>
      </c>
      <c r="H2820" s="136" t="e">
        <f t="shared" ca="1" si="151"/>
        <v>#REF!</v>
      </c>
      <c r="I2820" s="134" t="e">
        <f t="shared" ca="1" si="152"/>
        <v>#REF!</v>
      </c>
      <c r="J2820" s="226"/>
    </row>
    <row r="2821" spans="1:10" hidden="1" x14ac:dyDescent="0.25">
      <c r="A2821" s="112" t="s">
        <v>6936</v>
      </c>
      <c r="B2821" s="113" t="s">
        <v>6937</v>
      </c>
      <c r="C2821" s="114" t="s">
        <v>20</v>
      </c>
      <c r="D2821" s="114">
        <v>0</v>
      </c>
      <c r="E2821" s="133">
        <f ca="1">OFFSET(INDEX(Composições!A:J,MATCH(Orçamentária!A2821,Composições!A:A,0),8),2,0)</f>
        <v>288.1825</v>
      </c>
      <c r="F2821" s="134">
        <f t="shared" ca="1" si="150"/>
        <v>0</v>
      </c>
      <c r="G2821" s="135" t="e">
        <f>IF(A2821&lt;&gt;"",IF(AND(#REF!="Padrão",$H$4=#REF!),BDI!$B$17,IF(AND(#REF!="Padrão",$H$4=#REF!),BDI!#REF!,IF(AND(#REF!="Diferenciado",$H$4=#REF!),BDI!$E$17,IF(AND(#REF!="Diferenciado",$H$4=#REF!),BDI!#REF!,IF(#REF!="ZERO",0))))),"")</f>
        <v>#REF!</v>
      </c>
      <c r="H2821" s="136" t="e">
        <f t="shared" ca="1" si="151"/>
        <v>#REF!</v>
      </c>
      <c r="I2821" s="134" t="e">
        <f t="shared" ca="1" si="152"/>
        <v>#REF!</v>
      </c>
      <c r="J2821" s="226"/>
    </row>
    <row r="2822" spans="1:10" hidden="1" x14ac:dyDescent="0.25">
      <c r="A2822" s="112" t="s">
        <v>6938</v>
      </c>
      <c r="B2822" s="113" t="s">
        <v>6939</v>
      </c>
      <c r="C2822" s="114" t="s">
        <v>20</v>
      </c>
      <c r="D2822" s="114">
        <v>0</v>
      </c>
      <c r="E2822" s="133">
        <f ca="1">OFFSET(INDEX(Composições!A:J,MATCH(Orçamentária!A2822,Composições!A:A,0),8),2,0)</f>
        <v>138.95650000000001</v>
      </c>
      <c r="F2822" s="134">
        <f t="shared" ca="1" si="150"/>
        <v>0</v>
      </c>
      <c r="G2822" s="135" t="e">
        <f>IF(A2822&lt;&gt;"",IF(AND(#REF!="Padrão",$H$4=#REF!),BDI!$B$17,IF(AND(#REF!="Padrão",$H$4=#REF!),BDI!#REF!,IF(AND(#REF!="Diferenciado",$H$4=#REF!),BDI!$E$17,IF(AND(#REF!="Diferenciado",$H$4=#REF!),BDI!#REF!,IF(#REF!="ZERO",0))))),"")</f>
        <v>#REF!</v>
      </c>
      <c r="H2822" s="136" t="e">
        <f t="shared" ca="1" si="151"/>
        <v>#REF!</v>
      </c>
      <c r="I2822" s="134" t="e">
        <f t="shared" ca="1" si="152"/>
        <v>#REF!</v>
      </c>
      <c r="J2822" s="226"/>
    </row>
    <row r="2823" spans="1:10" hidden="1" x14ac:dyDescent="0.25">
      <c r="A2823" s="112" t="s">
        <v>6940</v>
      </c>
      <c r="B2823" s="113" t="s">
        <v>6941</v>
      </c>
      <c r="C2823" s="114" t="s">
        <v>20</v>
      </c>
      <c r="D2823" s="114">
        <v>0</v>
      </c>
      <c r="E2823" s="133">
        <f ca="1">OFFSET(INDEX(Composições!A:J,MATCH(Orçamentária!A2823,Composições!A:A,0),8),2,0)</f>
        <v>348.89699999999999</v>
      </c>
      <c r="F2823" s="134">
        <f t="shared" ca="1" si="150"/>
        <v>0</v>
      </c>
      <c r="G2823" s="135" t="e">
        <f>IF(A2823&lt;&gt;"",IF(AND(#REF!="Padrão",$H$4=#REF!),BDI!$B$17,IF(AND(#REF!="Padrão",$H$4=#REF!),BDI!#REF!,IF(AND(#REF!="Diferenciado",$H$4=#REF!),BDI!$E$17,IF(AND(#REF!="Diferenciado",$H$4=#REF!),BDI!#REF!,IF(#REF!="ZERO",0))))),"")</f>
        <v>#REF!</v>
      </c>
      <c r="H2823" s="136" t="e">
        <f t="shared" ca="1" si="151"/>
        <v>#REF!</v>
      </c>
      <c r="I2823" s="134" t="e">
        <f t="shared" ca="1" si="152"/>
        <v>#REF!</v>
      </c>
      <c r="J2823" s="226"/>
    </row>
    <row r="2824" spans="1:10" hidden="1" x14ac:dyDescent="0.25">
      <c r="A2824" s="112" t="s">
        <v>6942</v>
      </c>
      <c r="B2824" s="113" t="s">
        <v>6943</v>
      </c>
      <c r="C2824" s="114" t="s">
        <v>20</v>
      </c>
      <c r="D2824" s="114">
        <v>0</v>
      </c>
      <c r="E2824" s="133">
        <f ca="1">OFFSET(INDEX(Composições!A:J,MATCH(Orçamentária!A2824,Composições!A:A,0),8),2,0)</f>
        <v>36.726999999999997</v>
      </c>
      <c r="F2824" s="134">
        <f t="shared" ca="1" si="150"/>
        <v>0</v>
      </c>
      <c r="G2824" s="135" t="e">
        <f>IF(A2824&lt;&gt;"",IF(AND(#REF!="Padrão",$H$4=#REF!),BDI!$B$17,IF(AND(#REF!="Padrão",$H$4=#REF!),BDI!#REF!,IF(AND(#REF!="Diferenciado",$H$4=#REF!),BDI!$E$17,IF(AND(#REF!="Diferenciado",$H$4=#REF!),BDI!#REF!,IF(#REF!="ZERO",0))))),"")</f>
        <v>#REF!</v>
      </c>
      <c r="H2824" s="136" t="e">
        <f t="shared" ca="1" si="151"/>
        <v>#REF!</v>
      </c>
      <c r="I2824" s="134" t="e">
        <f t="shared" ca="1" si="152"/>
        <v>#REF!</v>
      </c>
      <c r="J2824" s="226"/>
    </row>
    <row r="2825" spans="1:10" hidden="1" x14ac:dyDescent="0.25">
      <c r="A2825" s="112" t="s">
        <v>6944</v>
      </c>
      <c r="B2825" s="113" t="s">
        <v>6945</v>
      </c>
      <c r="C2825" s="114" t="s">
        <v>20</v>
      </c>
      <c r="D2825" s="114">
        <v>0</v>
      </c>
      <c r="E2825" s="133">
        <f ca="1">OFFSET(INDEX(Composições!A:J,MATCH(Orçamentária!A2825,Composições!A:A,0),8),2,0)</f>
        <v>726.97799999999995</v>
      </c>
      <c r="F2825" s="134">
        <f t="shared" ca="1" si="150"/>
        <v>0</v>
      </c>
      <c r="G2825" s="135" t="e">
        <f>IF(A2825&lt;&gt;"",IF(AND(#REF!="Padrão",$H$4=#REF!),BDI!$B$17,IF(AND(#REF!="Padrão",$H$4=#REF!),BDI!#REF!,IF(AND(#REF!="Diferenciado",$H$4=#REF!),BDI!$E$17,IF(AND(#REF!="Diferenciado",$H$4=#REF!),BDI!#REF!,IF(#REF!="ZERO",0))))),"")</f>
        <v>#REF!</v>
      </c>
      <c r="H2825" s="136" t="e">
        <f t="shared" ca="1" si="151"/>
        <v>#REF!</v>
      </c>
      <c r="I2825" s="134" t="e">
        <f t="shared" ca="1" si="152"/>
        <v>#REF!</v>
      </c>
      <c r="J2825" s="226"/>
    </row>
    <row r="2826" spans="1:10" hidden="1" x14ac:dyDescent="0.25">
      <c r="A2826" s="112" t="s">
        <v>6946</v>
      </c>
      <c r="B2826" s="113" t="s">
        <v>6947</v>
      </c>
      <c r="C2826" s="114" t="s">
        <v>20</v>
      </c>
      <c r="D2826" s="114">
        <v>0</v>
      </c>
      <c r="E2826" s="133" t="s">
        <v>514</v>
      </c>
      <c r="F2826" s="134" t="str">
        <f t="shared" si="150"/>
        <v/>
      </c>
      <c r="G2826" s="135" t="e">
        <f>IF(A2826&lt;&gt;"",IF(AND(#REF!="Padrão",$H$4=#REF!),BDI!$B$17,IF(AND(#REF!="Padrão",$H$4=#REF!),BDI!#REF!,IF(AND(#REF!="Diferenciado",$H$4=#REF!),BDI!$E$17,IF(AND(#REF!="Diferenciado",$H$4=#REF!),BDI!#REF!,IF(#REF!="ZERO",0))))),"")</f>
        <v>#REF!</v>
      </c>
      <c r="H2826" s="136" t="str">
        <f t="shared" si="151"/>
        <v/>
      </c>
      <c r="I2826" s="134" t="str">
        <f t="shared" si="152"/>
        <v/>
      </c>
      <c r="J2826" s="226"/>
    </row>
    <row r="2827" spans="1:10" hidden="1" x14ac:dyDescent="0.25">
      <c r="A2827" s="112" t="s">
        <v>6948</v>
      </c>
      <c r="B2827" s="113" t="s">
        <v>6949</v>
      </c>
      <c r="C2827" s="114" t="s">
        <v>20</v>
      </c>
      <c r="D2827" s="114">
        <v>0</v>
      </c>
      <c r="E2827" s="133" t="s">
        <v>514</v>
      </c>
      <c r="F2827" s="134" t="str">
        <f t="shared" si="150"/>
        <v/>
      </c>
      <c r="G2827" s="135" t="e">
        <f>IF(A2827&lt;&gt;"",IF(AND(#REF!="Padrão",$H$4=#REF!),BDI!$B$17,IF(AND(#REF!="Padrão",$H$4=#REF!),BDI!#REF!,IF(AND(#REF!="Diferenciado",$H$4=#REF!),BDI!$E$17,IF(AND(#REF!="Diferenciado",$H$4=#REF!),BDI!#REF!,IF(#REF!="ZERO",0))))),"")</f>
        <v>#REF!</v>
      </c>
      <c r="H2827" s="136" t="str">
        <f t="shared" si="151"/>
        <v/>
      </c>
      <c r="I2827" s="134" t="str">
        <f t="shared" si="152"/>
        <v/>
      </c>
      <c r="J2827" s="226"/>
    </row>
    <row r="2828" spans="1:10" hidden="1" x14ac:dyDescent="0.25">
      <c r="A2828" s="112" t="s">
        <v>6950</v>
      </c>
      <c r="B2828" s="113" t="s">
        <v>6951</v>
      </c>
      <c r="C2828" s="114" t="s">
        <v>20</v>
      </c>
      <c r="D2828" s="114">
        <v>0</v>
      </c>
      <c r="E2828" s="133">
        <f ca="1">OFFSET(INDEX(Composições!A:J,MATCH(Orçamentária!A2828,Composições!A:A,0),8),2,0)</f>
        <v>24.681000000000001</v>
      </c>
      <c r="F2828" s="134">
        <f t="shared" ca="1" si="150"/>
        <v>0</v>
      </c>
      <c r="G2828" s="135" t="e">
        <f>IF(A2828&lt;&gt;"",IF(AND(#REF!="Padrão",$H$4=#REF!),BDI!$B$17,IF(AND(#REF!="Padrão",$H$4=#REF!),BDI!#REF!,IF(AND(#REF!="Diferenciado",$H$4=#REF!),BDI!$E$17,IF(AND(#REF!="Diferenciado",$H$4=#REF!),BDI!#REF!,IF(#REF!="ZERO",0))))),"")</f>
        <v>#REF!</v>
      </c>
      <c r="H2828" s="136" t="e">
        <f t="shared" ca="1" si="151"/>
        <v>#REF!</v>
      </c>
      <c r="I2828" s="134" t="e">
        <f t="shared" ca="1" si="152"/>
        <v>#REF!</v>
      </c>
      <c r="J2828" s="226"/>
    </row>
    <row r="2829" spans="1:10" hidden="1" x14ac:dyDescent="0.25">
      <c r="A2829" s="112" t="s">
        <v>6952</v>
      </c>
      <c r="B2829" s="113" t="s">
        <v>6953</v>
      </c>
      <c r="C2829" s="114" t="s">
        <v>20</v>
      </c>
      <c r="D2829" s="114">
        <v>0</v>
      </c>
      <c r="E2829" s="133">
        <f ca="1">OFFSET(INDEX(Composições!A:J,MATCH(Orçamentária!A2829,Composições!A:A,0),8),2,0)</f>
        <v>29.459499999999998</v>
      </c>
      <c r="F2829" s="134">
        <f t="shared" ca="1" si="150"/>
        <v>0</v>
      </c>
      <c r="G2829" s="135" t="e">
        <f>IF(A2829&lt;&gt;"",IF(AND(#REF!="Padrão",$H$4=#REF!),BDI!$B$17,IF(AND(#REF!="Padrão",$H$4=#REF!),BDI!#REF!,IF(AND(#REF!="Diferenciado",$H$4=#REF!),BDI!$E$17,IF(AND(#REF!="Diferenciado",$H$4=#REF!),BDI!#REF!,IF(#REF!="ZERO",0))))),"")</f>
        <v>#REF!</v>
      </c>
      <c r="H2829" s="136" t="e">
        <f t="shared" ca="1" si="151"/>
        <v>#REF!</v>
      </c>
      <c r="I2829" s="134" t="e">
        <f t="shared" ca="1" si="152"/>
        <v>#REF!</v>
      </c>
      <c r="J2829" s="226"/>
    </row>
    <row r="2830" spans="1:10" hidden="1" x14ac:dyDescent="0.25">
      <c r="A2830" s="112" t="s">
        <v>6954</v>
      </c>
      <c r="B2830" s="113" t="s">
        <v>6955</v>
      </c>
      <c r="C2830" s="114" t="s">
        <v>20</v>
      </c>
      <c r="D2830" s="114">
        <v>0</v>
      </c>
      <c r="E2830" s="133">
        <f ca="1">OFFSET(INDEX(Composições!A:J,MATCH(Orçamentária!A2830,Composições!A:A,0),8),2,0)</f>
        <v>31.673000000000002</v>
      </c>
      <c r="F2830" s="134">
        <f t="shared" ca="1" si="150"/>
        <v>0</v>
      </c>
      <c r="G2830" s="135" t="e">
        <f>IF(A2830&lt;&gt;"",IF(AND(#REF!="Padrão",$H$4=#REF!),BDI!$B$17,IF(AND(#REF!="Padrão",$H$4=#REF!),BDI!#REF!,IF(AND(#REF!="Diferenciado",$H$4=#REF!),BDI!$E$17,IF(AND(#REF!="Diferenciado",$H$4=#REF!),BDI!#REF!,IF(#REF!="ZERO",0))))),"")</f>
        <v>#REF!</v>
      </c>
      <c r="H2830" s="136" t="e">
        <f t="shared" ca="1" si="151"/>
        <v>#REF!</v>
      </c>
      <c r="I2830" s="134" t="e">
        <f t="shared" ca="1" si="152"/>
        <v>#REF!</v>
      </c>
      <c r="J2830" s="226"/>
    </row>
    <row r="2831" spans="1:10" hidden="1" x14ac:dyDescent="0.25">
      <c r="A2831" s="112" t="s">
        <v>6956</v>
      </c>
      <c r="B2831" s="113" t="s">
        <v>6957</v>
      </c>
      <c r="C2831" s="114" t="s">
        <v>20</v>
      </c>
      <c r="D2831" s="114">
        <v>0</v>
      </c>
      <c r="E2831" s="133">
        <f ca="1">OFFSET(INDEX(Composições!A:J,MATCH(Orçamentária!A2831,Composições!A:A,0),8),2,0)</f>
        <v>86.820499999999996</v>
      </c>
      <c r="F2831" s="134">
        <f t="shared" ca="1" si="150"/>
        <v>0</v>
      </c>
      <c r="G2831" s="135" t="e">
        <f>IF(A2831&lt;&gt;"",IF(AND(#REF!="Padrão",$H$4=#REF!),BDI!$B$17,IF(AND(#REF!="Padrão",$H$4=#REF!),BDI!#REF!,IF(AND(#REF!="Diferenciado",$H$4=#REF!),BDI!$E$17,IF(AND(#REF!="Diferenciado",$H$4=#REF!),BDI!#REF!,IF(#REF!="ZERO",0))))),"")</f>
        <v>#REF!</v>
      </c>
      <c r="H2831" s="136" t="e">
        <f t="shared" ca="1" si="151"/>
        <v>#REF!</v>
      </c>
      <c r="I2831" s="134" t="e">
        <f t="shared" ca="1" si="152"/>
        <v>#REF!</v>
      </c>
      <c r="J2831" s="226"/>
    </row>
    <row r="2832" spans="1:10" hidden="1" x14ac:dyDescent="0.25">
      <c r="A2832" s="112" t="s">
        <v>6958</v>
      </c>
      <c r="B2832" s="113" t="s">
        <v>6959</v>
      </c>
      <c r="C2832" s="114" t="s">
        <v>20</v>
      </c>
      <c r="D2832" s="114">
        <v>0</v>
      </c>
      <c r="E2832" s="133">
        <f ca="1">OFFSET(INDEX(Composições!A:J,MATCH(Orçamentária!A2832,Composições!A:A,0),8),2,0)</f>
        <v>154.55549999999999</v>
      </c>
      <c r="F2832" s="134">
        <f t="shared" ca="1" si="150"/>
        <v>0</v>
      </c>
      <c r="G2832" s="135" t="e">
        <f>IF(A2832&lt;&gt;"",IF(AND(#REF!="Padrão",$H$4=#REF!),BDI!$B$17,IF(AND(#REF!="Padrão",$H$4=#REF!),BDI!#REF!,IF(AND(#REF!="Diferenciado",$H$4=#REF!),BDI!$E$17,IF(AND(#REF!="Diferenciado",$H$4=#REF!),BDI!#REF!,IF(#REF!="ZERO",0))))),"")</f>
        <v>#REF!</v>
      </c>
      <c r="H2832" s="136" t="e">
        <f t="shared" ca="1" si="151"/>
        <v>#REF!</v>
      </c>
      <c r="I2832" s="134" t="e">
        <f t="shared" ca="1" si="152"/>
        <v>#REF!</v>
      </c>
      <c r="J2832" s="226"/>
    </row>
    <row r="2833" spans="1:10" hidden="1" x14ac:dyDescent="0.25">
      <c r="A2833" s="112" t="s">
        <v>6960</v>
      </c>
      <c r="B2833" s="113" t="s">
        <v>6961</v>
      </c>
      <c r="C2833" s="114" t="s">
        <v>20</v>
      </c>
      <c r="D2833" s="114">
        <v>0</v>
      </c>
      <c r="E2833" s="133">
        <f ca="1">OFFSET(INDEX(Composições!A:J,MATCH(Orçamentária!A2833,Composições!A:A,0),8),2,0)</f>
        <v>180.5</v>
      </c>
      <c r="F2833" s="134">
        <f t="shared" ca="1" si="150"/>
        <v>0</v>
      </c>
      <c r="G2833" s="135" t="e">
        <f>IF(A2833&lt;&gt;"",IF(AND(#REF!="Padrão",$H$4=#REF!),BDI!$B$17,IF(AND(#REF!="Padrão",$H$4=#REF!),BDI!#REF!,IF(AND(#REF!="Diferenciado",$H$4=#REF!),BDI!$E$17,IF(AND(#REF!="Diferenciado",$H$4=#REF!),BDI!#REF!,IF(#REF!="ZERO",0))))),"")</f>
        <v>#REF!</v>
      </c>
      <c r="H2833" s="136" t="e">
        <f t="shared" ca="1" si="151"/>
        <v>#REF!</v>
      </c>
      <c r="I2833" s="134" t="e">
        <f t="shared" ca="1" si="152"/>
        <v>#REF!</v>
      </c>
      <c r="J2833" s="226"/>
    </row>
    <row r="2834" spans="1:10" hidden="1" x14ac:dyDescent="0.25">
      <c r="A2834" s="112" t="s">
        <v>6962</v>
      </c>
      <c r="B2834" s="113" t="s">
        <v>6963</v>
      </c>
      <c r="C2834" s="114" t="s">
        <v>20</v>
      </c>
      <c r="D2834" s="114">
        <v>0</v>
      </c>
      <c r="E2834" s="133" t="s">
        <v>514</v>
      </c>
      <c r="F2834" s="134" t="str">
        <f t="shared" si="150"/>
        <v/>
      </c>
      <c r="G2834" s="135" t="e">
        <f>IF(A2834&lt;&gt;"",IF(AND(#REF!="Padrão",$H$4=#REF!),BDI!$B$17,IF(AND(#REF!="Padrão",$H$4=#REF!),BDI!#REF!,IF(AND(#REF!="Diferenciado",$H$4=#REF!),BDI!$E$17,IF(AND(#REF!="Diferenciado",$H$4=#REF!),BDI!#REF!,IF(#REF!="ZERO",0))))),"")</f>
        <v>#REF!</v>
      </c>
      <c r="H2834" s="136" t="str">
        <f t="shared" si="151"/>
        <v/>
      </c>
      <c r="I2834" s="134" t="str">
        <f t="shared" si="152"/>
        <v/>
      </c>
      <c r="J2834" s="226"/>
    </row>
    <row r="2835" spans="1:10" hidden="1" x14ac:dyDescent="0.25">
      <c r="A2835" s="112" t="s">
        <v>6964</v>
      </c>
      <c r="B2835" s="113" t="s">
        <v>6965</v>
      </c>
      <c r="C2835" s="114" t="s">
        <v>20</v>
      </c>
      <c r="D2835" s="114">
        <v>0</v>
      </c>
      <c r="E2835" s="133" t="s">
        <v>514</v>
      </c>
      <c r="F2835" s="134" t="str">
        <f t="shared" si="150"/>
        <v/>
      </c>
      <c r="G2835" s="135" t="e">
        <f>IF(A2835&lt;&gt;"",IF(AND(#REF!="Padrão",$H$4=#REF!),BDI!$B$17,IF(AND(#REF!="Padrão",$H$4=#REF!),BDI!#REF!,IF(AND(#REF!="Diferenciado",$H$4=#REF!),BDI!$E$17,IF(AND(#REF!="Diferenciado",$H$4=#REF!),BDI!#REF!,IF(#REF!="ZERO",0))))),"")</f>
        <v>#REF!</v>
      </c>
      <c r="H2835" s="136" t="str">
        <f t="shared" si="151"/>
        <v/>
      </c>
      <c r="I2835" s="134" t="str">
        <f t="shared" si="152"/>
        <v/>
      </c>
      <c r="J2835" s="226"/>
    </row>
    <row r="2836" spans="1:10" hidden="1" x14ac:dyDescent="0.25">
      <c r="A2836" s="112" t="s">
        <v>6966</v>
      </c>
      <c r="B2836" s="113" t="s">
        <v>6967</v>
      </c>
      <c r="C2836" s="114" t="s">
        <v>20</v>
      </c>
      <c r="D2836" s="114">
        <v>0</v>
      </c>
      <c r="E2836" s="133" t="s">
        <v>514</v>
      </c>
      <c r="F2836" s="134" t="str">
        <f t="shared" si="150"/>
        <v/>
      </c>
      <c r="G2836" s="135" t="e">
        <f>IF(A2836&lt;&gt;"",IF(AND(#REF!="Padrão",$H$4=#REF!),BDI!$B$17,IF(AND(#REF!="Padrão",$H$4=#REF!),BDI!#REF!,IF(AND(#REF!="Diferenciado",$H$4=#REF!),BDI!$E$17,IF(AND(#REF!="Diferenciado",$H$4=#REF!),BDI!#REF!,IF(#REF!="ZERO",0))))),"")</f>
        <v>#REF!</v>
      </c>
      <c r="H2836" s="136" t="str">
        <f t="shared" si="151"/>
        <v/>
      </c>
      <c r="I2836" s="134" t="str">
        <f t="shared" si="152"/>
        <v/>
      </c>
      <c r="J2836" s="226"/>
    </row>
    <row r="2837" spans="1:10" hidden="1" x14ac:dyDescent="0.25">
      <c r="A2837" s="112" t="s">
        <v>6968</v>
      </c>
      <c r="B2837" s="113" t="s">
        <v>6969</v>
      </c>
      <c r="C2837" s="114" t="s">
        <v>20</v>
      </c>
      <c r="D2837" s="114">
        <v>0</v>
      </c>
      <c r="E2837" s="133" t="s">
        <v>514</v>
      </c>
      <c r="F2837" s="134" t="str">
        <f t="shared" si="150"/>
        <v/>
      </c>
      <c r="G2837" s="135" t="e">
        <f>IF(A2837&lt;&gt;"",IF(AND(#REF!="Padrão",$H$4=#REF!),BDI!$B$17,IF(AND(#REF!="Padrão",$H$4=#REF!),BDI!#REF!,IF(AND(#REF!="Diferenciado",$H$4=#REF!),BDI!$E$17,IF(AND(#REF!="Diferenciado",$H$4=#REF!),BDI!#REF!,IF(#REF!="ZERO",0))))),"")</f>
        <v>#REF!</v>
      </c>
      <c r="H2837" s="136" t="str">
        <f t="shared" si="151"/>
        <v/>
      </c>
      <c r="I2837" s="134" t="str">
        <f t="shared" si="152"/>
        <v/>
      </c>
      <c r="J2837" s="226"/>
    </row>
    <row r="2838" spans="1:10" hidden="1" x14ac:dyDescent="0.25">
      <c r="A2838" s="112" t="s">
        <v>6970</v>
      </c>
      <c r="B2838" s="113" t="s">
        <v>6971</v>
      </c>
      <c r="C2838" s="114" t="s">
        <v>20</v>
      </c>
      <c r="D2838" s="114">
        <v>0</v>
      </c>
      <c r="E2838" s="133" t="s">
        <v>514</v>
      </c>
      <c r="F2838" s="134" t="str">
        <f t="shared" si="150"/>
        <v/>
      </c>
      <c r="G2838" s="135" t="e">
        <f>IF(A2838&lt;&gt;"",IF(AND(#REF!="Padrão",$H$4=#REF!),BDI!$B$17,IF(AND(#REF!="Padrão",$H$4=#REF!),BDI!#REF!,IF(AND(#REF!="Diferenciado",$H$4=#REF!),BDI!$E$17,IF(AND(#REF!="Diferenciado",$H$4=#REF!),BDI!#REF!,IF(#REF!="ZERO",0))))),"")</f>
        <v>#REF!</v>
      </c>
      <c r="H2838" s="136" t="str">
        <f t="shared" si="151"/>
        <v/>
      </c>
      <c r="I2838" s="134" t="str">
        <f t="shared" si="152"/>
        <v/>
      </c>
      <c r="J2838" s="226"/>
    </row>
    <row r="2839" spans="1:10" hidden="1" x14ac:dyDescent="0.25">
      <c r="A2839" s="112" t="s">
        <v>6972</v>
      </c>
      <c r="B2839" s="113" t="s">
        <v>6973</v>
      </c>
      <c r="C2839" s="114" t="s">
        <v>20</v>
      </c>
      <c r="D2839" s="114">
        <v>0</v>
      </c>
      <c r="E2839" s="133" t="s">
        <v>514</v>
      </c>
      <c r="F2839" s="134" t="str">
        <f t="shared" ref="F2839:F2902" si="153">IF(ISNUMBER(E2839),D2839*E2839,"")</f>
        <v/>
      </c>
      <c r="G2839" s="135" t="e">
        <f>IF(A2839&lt;&gt;"",IF(AND(#REF!="Padrão",$H$4=#REF!),BDI!$B$17,IF(AND(#REF!="Padrão",$H$4=#REF!),BDI!#REF!,IF(AND(#REF!="Diferenciado",$H$4=#REF!),BDI!$E$17,IF(AND(#REF!="Diferenciado",$H$4=#REF!),BDI!#REF!,IF(#REF!="ZERO",0))))),"")</f>
        <v>#REF!</v>
      </c>
      <c r="H2839" s="136" t="str">
        <f t="shared" ref="H2839:H2902" si="154">IF(ISNUMBER(E2839),ROUND(E2839*(1+G2839),2),"")</f>
        <v/>
      </c>
      <c r="I2839" s="134" t="str">
        <f t="shared" ref="I2839:I2902" si="155">IF(ISNUMBER(E2839),ROUND(H2839*D2839,2),"")</f>
        <v/>
      </c>
      <c r="J2839" s="226"/>
    </row>
    <row r="2840" spans="1:10" hidden="1" x14ac:dyDescent="0.25">
      <c r="A2840" s="112" t="s">
        <v>6974</v>
      </c>
      <c r="B2840" s="113" t="s">
        <v>6975</v>
      </c>
      <c r="C2840" s="114" t="s">
        <v>20</v>
      </c>
      <c r="D2840" s="114">
        <v>0</v>
      </c>
      <c r="E2840" s="133" t="s">
        <v>514</v>
      </c>
      <c r="F2840" s="134" t="str">
        <f t="shared" si="153"/>
        <v/>
      </c>
      <c r="G2840" s="135" t="e">
        <f>IF(A2840&lt;&gt;"",IF(AND(#REF!="Padrão",$H$4=#REF!),BDI!$B$17,IF(AND(#REF!="Padrão",$H$4=#REF!),BDI!#REF!,IF(AND(#REF!="Diferenciado",$H$4=#REF!),BDI!$E$17,IF(AND(#REF!="Diferenciado",$H$4=#REF!),BDI!#REF!,IF(#REF!="ZERO",0))))),"")</f>
        <v>#REF!</v>
      </c>
      <c r="H2840" s="136" t="str">
        <f t="shared" si="154"/>
        <v/>
      </c>
      <c r="I2840" s="134" t="str">
        <f t="shared" si="155"/>
        <v/>
      </c>
      <c r="J2840" s="226"/>
    </row>
    <row r="2841" spans="1:10" hidden="1" x14ac:dyDescent="0.25">
      <c r="A2841" s="112" t="s">
        <v>6976</v>
      </c>
      <c r="B2841" s="113" t="s">
        <v>6977</v>
      </c>
      <c r="C2841" s="114" t="s">
        <v>20</v>
      </c>
      <c r="D2841" s="114">
        <v>0</v>
      </c>
      <c r="E2841" s="133" t="s">
        <v>514</v>
      </c>
      <c r="F2841" s="134" t="str">
        <f t="shared" si="153"/>
        <v/>
      </c>
      <c r="G2841" s="135" t="e">
        <f>IF(A2841&lt;&gt;"",IF(AND(#REF!="Padrão",$H$4=#REF!),BDI!$B$17,IF(AND(#REF!="Padrão",$H$4=#REF!),BDI!#REF!,IF(AND(#REF!="Diferenciado",$H$4=#REF!),BDI!$E$17,IF(AND(#REF!="Diferenciado",$H$4=#REF!),BDI!#REF!,IF(#REF!="ZERO",0))))),"")</f>
        <v>#REF!</v>
      </c>
      <c r="H2841" s="136" t="str">
        <f t="shared" si="154"/>
        <v/>
      </c>
      <c r="I2841" s="134" t="str">
        <f t="shared" si="155"/>
        <v/>
      </c>
      <c r="J2841" s="226"/>
    </row>
    <row r="2842" spans="1:10" hidden="1" x14ac:dyDescent="0.25">
      <c r="A2842" s="112" t="s">
        <v>6978</v>
      </c>
      <c r="B2842" s="113" t="s">
        <v>3478</v>
      </c>
      <c r="C2842" s="114" t="s">
        <v>20</v>
      </c>
      <c r="D2842" s="114">
        <v>0</v>
      </c>
      <c r="E2842" s="133" t="s">
        <v>514</v>
      </c>
      <c r="F2842" s="134" t="str">
        <f t="shared" si="153"/>
        <v/>
      </c>
      <c r="G2842" s="135" t="e">
        <f>IF(A2842&lt;&gt;"",IF(AND(#REF!="Padrão",$H$4=#REF!),BDI!$B$17,IF(AND(#REF!="Padrão",$H$4=#REF!),BDI!#REF!,IF(AND(#REF!="Diferenciado",$H$4=#REF!),BDI!$E$17,IF(AND(#REF!="Diferenciado",$H$4=#REF!),BDI!#REF!,IF(#REF!="ZERO",0))))),"")</f>
        <v>#REF!</v>
      </c>
      <c r="H2842" s="136" t="str">
        <f t="shared" si="154"/>
        <v/>
      </c>
      <c r="I2842" s="134" t="str">
        <f t="shared" si="155"/>
        <v/>
      </c>
      <c r="J2842" s="226"/>
    </row>
    <row r="2843" spans="1:10" hidden="1" x14ac:dyDescent="0.25">
      <c r="A2843" s="112" t="s">
        <v>6979</v>
      </c>
      <c r="B2843" s="113" t="s">
        <v>6256</v>
      </c>
      <c r="C2843" s="114" t="s">
        <v>20</v>
      </c>
      <c r="D2843" s="114">
        <v>0</v>
      </c>
      <c r="E2843" s="133" t="s">
        <v>514</v>
      </c>
      <c r="F2843" s="134" t="str">
        <f t="shared" si="153"/>
        <v/>
      </c>
      <c r="G2843" s="135" t="e">
        <f>IF(A2843&lt;&gt;"",IF(AND(#REF!="Padrão",$H$4=#REF!),BDI!$B$17,IF(AND(#REF!="Padrão",$H$4=#REF!),BDI!#REF!,IF(AND(#REF!="Diferenciado",$H$4=#REF!),BDI!$E$17,IF(AND(#REF!="Diferenciado",$H$4=#REF!),BDI!#REF!,IF(#REF!="ZERO",0))))),"")</f>
        <v>#REF!</v>
      </c>
      <c r="H2843" s="136" t="str">
        <f t="shared" si="154"/>
        <v/>
      </c>
      <c r="I2843" s="134" t="str">
        <f t="shared" si="155"/>
        <v/>
      </c>
      <c r="J2843" s="226"/>
    </row>
    <row r="2844" spans="1:10" hidden="1" x14ac:dyDescent="0.25">
      <c r="A2844" s="112" t="s">
        <v>6980</v>
      </c>
      <c r="B2844" s="113" t="s">
        <v>6981</v>
      </c>
      <c r="C2844" s="114" t="s">
        <v>20</v>
      </c>
      <c r="D2844" s="114">
        <v>0</v>
      </c>
      <c r="E2844" s="133" t="s">
        <v>514</v>
      </c>
      <c r="F2844" s="134" t="str">
        <f t="shared" si="153"/>
        <v/>
      </c>
      <c r="G2844" s="135" t="e">
        <f>IF(A2844&lt;&gt;"",IF(AND(#REF!="Padrão",$H$4=#REF!),BDI!$B$17,IF(AND(#REF!="Padrão",$H$4=#REF!),BDI!#REF!,IF(AND(#REF!="Diferenciado",$H$4=#REF!),BDI!$E$17,IF(AND(#REF!="Diferenciado",$H$4=#REF!),BDI!#REF!,IF(#REF!="ZERO",0))))),"")</f>
        <v>#REF!</v>
      </c>
      <c r="H2844" s="136" t="str">
        <f t="shared" si="154"/>
        <v/>
      </c>
      <c r="I2844" s="134" t="str">
        <f t="shared" si="155"/>
        <v/>
      </c>
      <c r="J2844" s="226"/>
    </row>
    <row r="2845" spans="1:10" hidden="1" x14ac:dyDescent="0.25">
      <c r="A2845" s="112" t="s">
        <v>6982</v>
      </c>
      <c r="B2845" s="113" t="s">
        <v>6983</v>
      </c>
      <c r="C2845" s="114" t="s">
        <v>20</v>
      </c>
      <c r="D2845" s="114">
        <v>0</v>
      </c>
      <c r="E2845" s="133" t="s">
        <v>514</v>
      </c>
      <c r="F2845" s="134" t="str">
        <f t="shared" si="153"/>
        <v/>
      </c>
      <c r="G2845" s="135" t="e">
        <f>IF(A2845&lt;&gt;"",IF(AND(#REF!="Padrão",$H$4=#REF!),BDI!$B$17,IF(AND(#REF!="Padrão",$H$4=#REF!),BDI!#REF!,IF(AND(#REF!="Diferenciado",$H$4=#REF!),BDI!$E$17,IF(AND(#REF!="Diferenciado",$H$4=#REF!),BDI!#REF!,IF(#REF!="ZERO",0))))),"")</f>
        <v>#REF!</v>
      </c>
      <c r="H2845" s="136" t="str">
        <f t="shared" si="154"/>
        <v/>
      </c>
      <c r="I2845" s="134" t="str">
        <f t="shared" si="155"/>
        <v/>
      </c>
      <c r="J2845" s="226"/>
    </row>
    <row r="2846" spans="1:10" hidden="1" x14ac:dyDescent="0.25">
      <c r="A2846" s="112" t="s">
        <v>6984</v>
      </c>
      <c r="B2846" s="113" t="s">
        <v>6985</v>
      </c>
      <c r="C2846" s="114" t="s">
        <v>20</v>
      </c>
      <c r="D2846" s="114">
        <v>0</v>
      </c>
      <c r="E2846" s="133" t="s">
        <v>514</v>
      </c>
      <c r="F2846" s="134" t="str">
        <f t="shared" si="153"/>
        <v/>
      </c>
      <c r="G2846" s="135" t="e">
        <f>IF(A2846&lt;&gt;"",IF(AND(#REF!="Padrão",$H$4=#REF!),BDI!$B$17,IF(AND(#REF!="Padrão",$H$4=#REF!),BDI!#REF!,IF(AND(#REF!="Diferenciado",$H$4=#REF!),BDI!$E$17,IF(AND(#REF!="Diferenciado",$H$4=#REF!),BDI!#REF!,IF(#REF!="ZERO",0))))),"")</f>
        <v>#REF!</v>
      </c>
      <c r="H2846" s="136" t="str">
        <f t="shared" si="154"/>
        <v/>
      </c>
      <c r="I2846" s="134" t="str">
        <f t="shared" si="155"/>
        <v/>
      </c>
      <c r="J2846" s="226"/>
    </row>
    <row r="2847" spans="1:10" hidden="1" x14ac:dyDescent="0.25">
      <c r="A2847" s="112" t="s">
        <v>6986</v>
      </c>
      <c r="B2847" s="113" t="s">
        <v>6987</v>
      </c>
      <c r="C2847" s="114" t="s">
        <v>20</v>
      </c>
      <c r="D2847" s="114">
        <v>0</v>
      </c>
      <c r="E2847" s="133" t="s">
        <v>514</v>
      </c>
      <c r="F2847" s="134" t="str">
        <f t="shared" si="153"/>
        <v/>
      </c>
      <c r="G2847" s="135" t="e">
        <f>IF(A2847&lt;&gt;"",IF(AND(#REF!="Padrão",$H$4=#REF!),BDI!$B$17,IF(AND(#REF!="Padrão",$H$4=#REF!),BDI!#REF!,IF(AND(#REF!="Diferenciado",$H$4=#REF!),BDI!$E$17,IF(AND(#REF!="Diferenciado",$H$4=#REF!),BDI!#REF!,IF(#REF!="ZERO",0))))),"")</f>
        <v>#REF!</v>
      </c>
      <c r="H2847" s="136" t="str">
        <f t="shared" si="154"/>
        <v/>
      </c>
      <c r="I2847" s="134" t="str">
        <f t="shared" si="155"/>
        <v/>
      </c>
      <c r="J2847" s="226"/>
    </row>
    <row r="2848" spans="1:10" hidden="1" x14ac:dyDescent="0.25">
      <c r="A2848" s="112" t="s">
        <v>6988</v>
      </c>
      <c r="B2848" s="113" t="s">
        <v>6989</v>
      </c>
      <c r="C2848" s="114" t="s">
        <v>20</v>
      </c>
      <c r="D2848" s="114">
        <v>0</v>
      </c>
      <c r="E2848" s="133" t="s">
        <v>514</v>
      </c>
      <c r="F2848" s="134" t="str">
        <f t="shared" si="153"/>
        <v/>
      </c>
      <c r="G2848" s="135" t="e">
        <f>IF(A2848&lt;&gt;"",IF(AND(#REF!="Padrão",$H$4=#REF!),BDI!$B$17,IF(AND(#REF!="Padrão",$H$4=#REF!),BDI!#REF!,IF(AND(#REF!="Diferenciado",$H$4=#REF!),BDI!$E$17,IF(AND(#REF!="Diferenciado",$H$4=#REF!),BDI!#REF!,IF(#REF!="ZERO",0))))),"")</f>
        <v>#REF!</v>
      </c>
      <c r="H2848" s="136" t="str">
        <f t="shared" si="154"/>
        <v/>
      </c>
      <c r="I2848" s="134" t="str">
        <f t="shared" si="155"/>
        <v/>
      </c>
      <c r="J2848" s="226"/>
    </row>
    <row r="2849" spans="1:10" hidden="1" x14ac:dyDescent="0.25">
      <c r="A2849" s="112" t="s">
        <v>6990</v>
      </c>
      <c r="B2849" s="113" t="s">
        <v>6991</v>
      </c>
      <c r="C2849" s="114" t="s">
        <v>20</v>
      </c>
      <c r="D2849" s="114">
        <v>0</v>
      </c>
      <c r="E2849" s="133" t="s">
        <v>514</v>
      </c>
      <c r="F2849" s="134" t="str">
        <f t="shared" si="153"/>
        <v/>
      </c>
      <c r="G2849" s="135" t="e">
        <f>IF(A2849&lt;&gt;"",IF(AND(#REF!="Padrão",$H$4=#REF!),BDI!$B$17,IF(AND(#REF!="Padrão",$H$4=#REF!),BDI!#REF!,IF(AND(#REF!="Diferenciado",$H$4=#REF!),BDI!$E$17,IF(AND(#REF!="Diferenciado",$H$4=#REF!),BDI!#REF!,IF(#REF!="ZERO",0))))),"")</f>
        <v>#REF!</v>
      </c>
      <c r="H2849" s="136" t="str">
        <f t="shared" si="154"/>
        <v/>
      </c>
      <c r="I2849" s="134" t="str">
        <f t="shared" si="155"/>
        <v/>
      </c>
      <c r="J2849" s="226"/>
    </row>
    <row r="2850" spans="1:10" hidden="1" x14ac:dyDescent="0.25">
      <c r="A2850" s="112" t="s">
        <v>6992</v>
      </c>
      <c r="B2850" s="113" t="s">
        <v>6993</v>
      </c>
      <c r="C2850" s="114" t="s">
        <v>20</v>
      </c>
      <c r="D2850" s="114">
        <v>0</v>
      </c>
      <c r="E2850" s="133" t="s">
        <v>514</v>
      </c>
      <c r="F2850" s="134" t="str">
        <f t="shared" si="153"/>
        <v/>
      </c>
      <c r="G2850" s="135" t="e">
        <f>IF(A2850&lt;&gt;"",IF(AND(#REF!="Padrão",$H$4=#REF!),BDI!$B$17,IF(AND(#REF!="Padrão",$H$4=#REF!),BDI!#REF!,IF(AND(#REF!="Diferenciado",$H$4=#REF!),BDI!$E$17,IF(AND(#REF!="Diferenciado",$H$4=#REF!),BDI!#REF!,IF(#REF!="ZERO",0))))),"")</f>
        <v>#REF!</v>
      </c>
      <c r="H2850" s="136" t="str">
        <f t="shared" si="154"/>
        <v/>
      </c>
      <c r="I2850" s="134" t="str">
        <f t="shared" si="155"/>
        <v/>
      </c>
      <c r="J2850" s="226"/>
    </row>
    <row r="2851" spans="1:10" hidden="1" x14ac:dyDescent="0.25">
      <c r="A2851" s="112" t="s">
        <v>6994</v>
      </c>
      <c r="B2851" s="113" t="s">
        <v>6251</v>
      </c>
      <c r="C2851" s="114" t="s">
        <v>20</v>
      </c>
      <c r="D2851" s="114">
        <v>0</v>
      </c>
      <c r="E2851" s="133" t="s">
        <v>514</v>
      </c>
      <c r="F2851" s="134" t="str">
        <f t="shared" si="153"/>
        <v/>
      </c>
      <c r="G2851" s="135" t="e">
        <f>IF(A2851&lt;&gt;"",IF(AND(#REF!="Padrão",$H$4=#REF!),BDI!$B$17,IF(AND(#REF!="Padrão",$H$4=#REF!),BDI!#REF!,IF(AND(#REF!="Diferenciado",$H$4=#REF!),BDI!$E$17,IF(AND(#REF!="Diferenciado",$H$4=#REF!),BDI!#REF!,IF(#REF!="ZERO",0))))),"")</f>
        <v>#REF!</v>
      </c>
      <c r="H2851" s="136" t="str">
        <f t="shared" si="154"/>
        <v/>
      </c>
      <c r="I2851" s="134" t="str">
        <f t="shared" si="155"/>
        <v/>
      </c>
      <c r="J2851" s="226"/>
    </row>
    <row r="2852" spans="1:10" hidden="1" x14ac:dyDescent="0.25">
      <c r="A2852" s="112" t="s">
        <v>6995</v>
      </c>
      <c r="B2852" s="113" t="s">
        <v>6996</v>
      </c>
      <c r="C2852" s="114" t="s">
        <v>20</v>
      </c>
      <c r="D2852" s="114">
        <v>0</v>
      </c>
      <c r="E2852" s="133" t="s">
        <v>514</v>
      </c>
      <c r="F2852" s="134" t="str">
        <f t="shared" si="153"/>
        <v/>
      </c>
      <c r="G2852" s="135" t="e">
        <f>IF(A2852&lt;&gt;"",IF(AND(#REF!="Padrão",$H$4=#REF!),BDI!$B$17,IF(AND(#REF!="Padrão",$H$4=#REF!),BDI!#REF!,IF(AND(#REF!="Diferenciado",$H$4=#REF!),BDI!$E$17,IF(AND(#REF!="Diferenciado",$H$4=#REF!),BDI!#REF!,IF(#REF!="ZERO",0))))),"")</f>
        <v>#REF!</v>
      </c>
      <c r="H2852" s="136" t="str">
        <f t="shared" si="154"/>
        <v/>
      </c>
      <c r="I2852" s="134" t="str">
        <f t="shared" si="155"/>
        <v/>
      </c>
      <c r="J2852" s="226"/>
    </row>
    <row r="2853" spans="1:10" hidden="1" x14ac:dyDescent="0.25">
      <c r="A2853" s="112" t="s">
        <v>6997</v>
      </c>
      <c r="B2853" s="113" t="s">
        <v>6998</v>
      </c>
      <c r="C2853" s="114" t="s">
        <v>20</v>
      </c>
      <c r="D2853" s="114">
        <v>0</v>
      </c>
      <c r="E2853" s="133">
        <f ca="1">OFFSET(INDEX(Composições!A:J,MATCH(Orçamentária!A2853,Composições!A:A,0),8),2,0)</f>
        <v>21.346499999999999</v>
      </c>
      <c r="F2853" s="134">
        <f t="shared" ca="1" si="153"/>
        <v>0</v>
      </c>
      <c r="G2853" s="135" t="e">
        <f>IF(A2853&lt;&gt;"",IF(AND(#REF!="Padrão",$H$4=#REF!),BDI!$B$17,IF(AND(#REF!="Padrão",$H$4=#REF!),BDI!#REF!,IF(AND(#REF!="Diferenciado",$H$4=#REF!),BDI!$E$17,IF(AND(#REF!="Diferenciado",$H$4=#REF!),BDI!#REF!,IF(#REF!="ZERO",0))))),"")</f>
        <v>#REF!</v>
      </c>
      <c r="H2853" s="136" t="e">
        <f t="shared" ca="1" si="154"/>
        <v>#REF!</v>
      </c>
      <c r="I2853" s="134" t="e">
        <f t="shared" ca="1" si="155"/>
        <v>#REF!</v>
      </c>
      <c r="J2853" s="226"/>
    </row>
    <row r="2854" spans="1:10" hidden="1" x14ac:dyDescent="0.25">
      <c r="A2854" s="112" t="s">
        <v>6999</v>
      </c>
      <c r="B2854" s="113" t="s">
        <v>7000</v>
      </c>
      <c r="C2854" s="114" t="s">
        <v>20</v>
      </c>
      <c r="D2854" s="114">
        <v>0</v>
      </c>
      <c r="E2854" s="133">
        <f ca="1">OFFSET(INDEX(Composições!A:J,MATCH(Orçamentária!A2854,Composições!A:A,0),8),2,0)</f>
        <v>8.3314999999999984</v>
      </c>
      <c r="F2854" s="134">
        <f t="shared" ca="1" si="153"/>
        <v>0</v>
      </c>
      <c r="G2854" s="135" t="e">
        <f>IF(A2854&lt;&gt;"",IF(AND(#REF!="Padrão",$H$4=#REF!),BDI!$B$17,IF(AND(#REF!="Padrão",$H$4=#REF!),BDI!#REF!,IF(AND(#REF!="Diferenciado",$H$4=#REF!),BDI!$E$17,IF(AND(#REF!="Diferenciado",$H$4=#REF!),BDI!#REF!,IF(#REF!="ZERO",0))))),"")</f>
        <v>#REF!</v>
      </c>
      <c r="H2854" s="136" t="e">
        <f t="shared" ca="1" si="154"/>
        <v>#REF!</v>
      </c>
      <c r="I2854" s="134" t="e">
        <f t="shared" ca="1" si="155"/>
        <v>#REF!</v>
      </c>
      <c r="J2854" s="226"/>
    </row>
    <row r="2855" spans="1:10" hidden="1" x14ac:dyDescent="0.25">
      <c r="A2855" s="112" t="s">
        <v>7001</v>
      </c>
      <c r="B2855" s="113" t="s">
        <v>7002</v>
      </c>
      <c r="C2855" s="114" t="s">
        <v>20</v>
      </c>
      <c r="D2855" s="114">
        <v>0</v>
      </c>
      <c r="E2855" s="133">
        <f ca="1">OFFSET(INDEX(Composições!A:J,MATCH(Orçamentária!A2855,Composições!A:A,0),8),2,0)</f>
        <v>13.850999999999999</v>
      </c>
      <c r="F2855" s="134">
        <f t="shared" ca="1" si="153"/>
        <v>0</v>
      </c>
      <c r="G2855" s="135" t="e">
        <f>IF(A2855&lt;&gt;"",IF(AND(#REF!="Padrão",$H$4=#REF!),BDI!$B$17,IF(AND(#REF!="Padrão",$H$4=#REF!),BDI!#REF!,IF(AND(#REF!="Diferenciado",$H$4=#REF!),BDI!$E$17,IF(AND(#REF!="Diferenciado",$H$4=#REF!),BDI!#REF!,IF(#REF!="ZERO",0))))),"")</f>
        <v>#REF!</v>
      </c>
      <c r="H2855" s="136" t="e">
        <f t="shared" ca="1" si="154"/>
        <v>#REF!</v>
      </c>
      <c r="I2855" s="134" t="e">
        <f t="shared" ca="1" si="155"/>
        <v>#REF!</v>
      </c>
      <c r="J2855" s="226"/>
    </row>
    <row r="2856" spans="1:10" hidden="1" x14ac:dyDescent="0.25">
      <c r="A2856" s="112" t="s">
        <v>7003</v>
      </c>
      <c r="B2856" s="113" t="s">
        <v>7004</v>
      </c>
      <c r="C2856" s="114" t="s">
        <v>20</v>
      </c>
      <c r="D2856" s="114">
        <v>0</v>
      </c>
      <c r="E2856" s="133" t="s">
        <v>514</v>
      </c>
      <c r="F2856" s="134" t="str">
        <f t="shared" si="153"/>
        <v/>
      </c>
      <c r="G2856" s="135" t="e">
        <f>IF(A2856&lt;&gt;"",IF(AND(#REF!="Padrão",$H$4=#REF!),BDI!$B$17,IF(AND(#REF!="Padrão",$H$4=#REF!),BDI!#REF!,IF(AND(#REF!="Diferenciado",$H$4=#REF!),BDI!$E$17,IF(AND(#REF!="Diferenciado",$H$4=#REF!),BDI!#REF!,IF(#REF!="ZERO",0))))),"")</f>
        <v>#REF!</v>
      </c>
      <c r="H2856" s="136" t="str">
        <f t="shared" si="154"/>
        <v/>
      </c>
      <c r="I2856" s="134" t="str">
        <f t="shared" si="155"/>
        <v/>
      </c>
      <c r="J2856" s="226"/>
    </row>
    <row r="2857" spans="1:10" hidden="1" x14ac:dyDescent="0.25">
      <c r="A2857" s="112" t="s">
        <v>7005</v>
      </c>
      <c r="B2857" s="113" t="s">
        <v>7006</v>
      </c>
      <c r="C2857" s="114" t="s">
        <v>20</v>
      </c>
      <c r="D2857" s="114">
        <v>0</v>
      </c>
      <c r="E2857" s="133">
        <f ca="1">OFFSET(INDEX(Composições!A:J,MATCH(Orçamentária!A2857,Composições!A:A,0),8),2,0)</f>
        <v>414.91249999999997</v>
      </c>
      <c r="F2857" s="134">
        <f t="shared" ca="1" si="153"/>
        <v>0</v>
      </c>
      <c r="G2857" s="135" t="e">
        <f>IF(A2857&lt;&gt;"",IF(AND(#REF!="Padrão",$H$4=#REF!),BDI!$B$17,IF(AND(#REF!="Padrão",$H$4=#REF!),BDI!#REF!,IF(AND(#REF!="Diferenciado",$H$4=#REF!),BDI!$E$17,IF(AND(#REF!="Diferenciado",$H$4=#REF!),BDI!#REF!,IF(#REF!="ZERO",0))))),"")</f>
        <v>#REF!</v>
      </c>
      <c r="H2857" s="136" t="e">
        <f t="shared" ca="1" si="154"/>
        <v>#REF!</v>
      </c>
      <c r="I2857" s="134" t="e">
        <f t="shared" ca="1" si="155"/>
        <v>#REF!</v>
      </c>
      <c r="J2857" s="226"/>
    </row>
    <row r="2858" spans="1:10" hidden="1" x14ac:dyDescent="0.25">
      <c r="A2858" s="112" t="s">
        <v>7007</v>
      </c>
      <c r="B2858" s="113" t="s">
        <v>7008</v>
      </c>
      <c r="C2858" s="114" t="s">
        <v>20</v>
      </c>
      <c r="D2858" s="114">
        <v>0</v>
      </c>
      <c r="E2858" s="133">
        <f ca="1">OFFSET(INDEX(Composições!A:J,MATCH(Orçamentária!A2858,Composições!A:A,0),8),2,0)</f>
        <v>340.41349999999994</v>
      </c>
      <c r="F2858" s="134">
        <f t="shared" ca="1" si="153"/>
        <v>0</v>
      </c>
      <c r="G2858" s="135" t="e">
        <f>IF(A2858&lt;&gt;"",IF(AND(#REF!="Padrão",$H$4=#REF!),BDI!$B$17,IF(AND(#REF!="Padrão",$H$4=#REF!),BDI!#REF!,IF(AND(#REF!="Diferenciado",$H$4=#REF!),BDI!$E$17,IF(AND(#REF!="Diferenciado",$H$4=#REF!),BDI!#REF!,IF(#REF!="ZERO",0))))),"")</f>
        <v>#REF!</v>
      </c>
      <c r="H2858" s="136" t="e">
        <f t="shared" ca="1" si="154"/>
        <v>#REF!</v>
      </c>
      <c r="I2858" s="134" t="e">
        <f t="shared" ca="1" si="155"/>
        <v>#REF!</v>
      </c>
      <c r="J2858" s="226"/>
    </row>
    <row r="2859" spans="1:10" hidden="1" x14ac:dyDescent="0.25">
      <c r="A2859" s="112" t="s">
        <v>7009</v>
      </c>
      <c r="B2859" s="113" t="s">
        <v>7010</v>
      </c>
      <c r="C2859" s="114" t="s">
        <v>20</v>
      </c>
      <c r="D2859" s="114">
        <v>0</v>
      </c>
      <c r="E2859" s="133">
        <f ca="1">OFFSET(INDEX(Composições!A:J,MATCH(Orçamentária!A2859,Composições!A:A,0),8),2,0)</f>
        <v>199.87049999999996</v>
      </c>
      <c r="F2859" s="134">
        <f t="shared" ca="1" si="153"/>
        <v>0</v>
      </c>
      <c r="G2859" s="135" t="e">
        <f>IF(A2859&lt;&gt;"",IF(AND(#REF!="Padrão",$H$4=#REF!),BDI!$B$17,IF(AND(#REF!="Padrão",$H$4=#REF!),BDI!#REF!,IF(AND(#REF!="Diferenciado",$H$4=#REF!),BDI!$E$17,IF(AND(#REF!="Diferenciado",$H$4=#REF!),BDI!#REF!,IF(#REF!="ZERO",0))))),"")</f>
        <v>#REF!</v>
      </c>
      <c r="H2859" s="136" t="e">
        <f t="shared" ca="1" si="154"/>
        <v>#REF!</v>
      </c>
      <c r="I2859" s="134" t="e">
        <f t="shared" ca="1" si="155"/>
        <v>#REF!</v>
      </c>
      <c r="J2859" s="226"/>
    </row>
    <row r="2860" spans="1:10" hidden="1" x14ac:dyDescent="0.25">
      <c r="A2860" s="112" t="s">
        <v>7011</v>
      </c>
      <c r="B2860" s="113" t="s">
        <v>7012</v>
      </c>
      <c r="C2860" s="114" t="s">
        <v>20</v>
      </c>
      <c r="D2860" s="114">
        <v>0</v>
      </c>
      <c r="E2860" s="133">
        <f ca="1">OFFSET(INDEX(Composições!A:J,MATCH(Orçamentária!A2860,Composições!A:A,0),8),2,0)</f>
        <v>532.35149999999999</v>
      </c>
      <c r="F2860" s="134">
        <f t="shared" ca="1" si="153"/>
        <v>0</v>
      </c>
      <c r="G2860" s="135" t="e">
        <f>IF(A2860&lt;&gt;"",IF(AND(#REF!="Padrão",$H$4=#REF!),BDI!$B$17,IF(AND(#REF!="Padrão",$H$4=#REF!),BDI!#REF!,IF(AND(#REF!="Diferenciado",$H$4=#REF!),BDI!$E$17,IF(AND(#REF!="Diferenciado",$H$4=#REF!),BDI!#REF!,IF(#REF!="ZERO",0))))),"")</f>
        <v>#REF!</v>
      </c>
      <c r="H2860" s="136" t="e">
        <f t="shared" ca="1" si="154"/>
        <v>#REF!</v>
      </c>
      <c r="I2860" s="134" t="e">
        <f t="shared" ca="1" si="155"/>
        <v>#REF!</v>
      </c>
      <c r="J2860" s="226"/>
    </row>
    <row r="2861" spans="1:10" hidden="1" x14ac:dyDescent="0.25">
      <c r="A2861" s="112" t="s">
        <v>7013</v>
      </c>
      <c r="B2861" s="113" t="s">
        <v>7014</v>
      </c>
      <c r="C2861" s="114" t="s">
        <v>20</v>
      </c>
      <c r="D2861" s="114">
        <v>0</v>
      </c>
      <c r="E2861" s="133">
        <f ca="1">OFFSET(INDEX(Composições!A:J,MATCH(Orçamentária!A2861,Composições!A:A,0),8),2,0)</f>
        <v>88.843999999999994</v>
      </c>
      <c r="F2861" s="134">
        <f t="shared" ca="1" si="153"/>
        <v>0</v>
      </c>
      <c r="G2861" s="135" t="e">
        <f>IF(A2861&lt;&gt;"",IF(AND(#REF!="Padrão",$H$4=#REF!),BDI!$B$17,IF(AND(#REF!="Padrão",$H$4=#REF!),BDI!#REF!,IF(AND(#REF!="Diferenciado",$H$4=#REF!),BDI!$E$17,IF(AND(#REF!="Diferenciado",$H$4=#REF!),BDI!#REF!,IF(#REF!="ZERO",0))))),"")</f>
        <v>#REF!</v>
      </c>
      <c r="H2861" s="136" t="e">
        <f t="shared" ca="1" si="154"/>
        <v>#REF!</v>
      </c>
      <c r="I2861" s="134" t="e">
        <f t="shared" ca="1" si="155"/>
        <v>#REF!</v>
      </c>
      <c r="J2861" s="226"/>
    </row>
    <row r="2862" spans="1:10" hidden="1" x14ac:dyDescent="0.25">
      <c r="A2862" s="112" t="s">
        <v>7015</v>
      </c>
      <c r="B2862" s="113" t="s">
        <v>6262</v>
      </c>
      <c r="C2862" s="114" t="s">
        <v>20</v>
      </c>
      <c r="D2862" s="114">
        <v>0</v>
      </c>
      <c r="E2862" s="133" t="s">
        <v>514</v>
      </c>
      <c r="F2862" s="134" t="str">
        <f t="shared" si="153"/>
        <v/>
      </c>
      <c r="G2862" s="135" t="e">
        <f>IF(A2862&lt;&gt;"",IF(AND(#REF!="Padrão",$H$4=#REF!),BDI!$B$17,IF(AND(#REF!="Padrão",$H$4=#REF!),BDI!#REF!,IF(AND(#REF!="Diferenciado",$H$4=#REF!),BDI!$E$17,IF(AND(#REF!="Diferenciado",$H$4=#REF!),BDI!#REF!,IF(#REF!="ZERO",0))))),"")</f>
        <v>#REF!</v>
      </c>
      <c r="H2862" s="136" t="str">
        <f t="shared" si="154"/>
        <v/>
      </c>
      <c r="I2862" s="134" t="str">
        <f t="shared" si="155"/>
        <v/>
      </c>
      <c r="J2862" s="226"/>
    </row>
    <row r="2863" spans="1:10" hidden="1" x14ac:dyDescent="0.25">
      <c r="A2863" s="112" t="s">
        <v>7016</v>
      </c>
      <c r="B2863" s="113" t="s">
        <v>6261</v>
      </c>
      <c r="C2863" s="114" t="s">
        <v>20</v>
      </c>
      <c r="D2863" s="114">
        <v>0</v>
      </c>
      <c r="E2863" s="133" t="s">
        <v>514</v>
      </c>
      <c r="F2863" s="134" t="str">
        <f t="shared" si="153"/>
        <v/>
      </c>
      <c r="G2863" s="135" t="e">
        <f>IF(A2863&lt;&gt;"",IF(AND(#REF!="Padrão",$H$4=#REF!),BDI!$B$17,IF(AND(#REF!="Padrão",$H$4=#REF!),BDI!#REF!,IF(AND(#REF!="Diferenciado",$H$4=#REF!),BDI!$E$17,IF(AND(#REF!="Diferenciado",$H$4=#REF!),BDI!#REF!,IF(#REF!="ZERO",0))))),"")</f>
        <v>#REF!</v>
      </c>
      <c r="H2863" s="136" t="str">
        <f t="shared" si="154"/>
        <v/>
      </c>
      <c r="I2863" s="134" t="str">
        <f t="shared" si="155"/>
        <v/>
      </c>
      <c r="J2863" s="226"/>
    </row>
    <row r="2864" spans="1:10" hidden="1" x14ac:dyDescent="0.25">
      <c r="A2864" s="112" t="s">
        <v>7017</v>
      </c>
      <c r="B2864" s="113" t="s">
        <v>1656</v>
      </c>
      <c r="C2864" s="114" t="s">
        <v>20</v>
      </c>
      <c r="D2864" s="114">
        <v>0</v>
      </c>
      <c r="E2864" s="133" t="s">
        <v>514</v>
      </c>
      <c r="F2864" s="134" t="str">
        <f t="shared" si="153"/>
        <v/>
      </c>
      <c r="G2864" s="135" t="e">
        <f>IF(A2864&lt;&gt;"",IF(AND(#REF!="Padrão",$H$4=#REF!),BDI!$B$17,IF(AND(#REF!="Padrão",$H$4=#REF!),BDI!#REF!,IF(AND(#REF!="Diferenciado",$H$4=#REF!),BDI!$E$17,IF(AND(#REF!="Diferenciado",$H$4=#REF!),BDI!#REF!,IF(#REF!="ZERO",0))))),"")</f>
        <v>#REF!</v>
      </c>
      <c r="H2864" s="136" t="str">
        <f t="shared" si="154"/>
        <v/>
      </c>
      <c r="I2864" s="134" t="str">
        <f t="shared" si="155"/>
        <v/>
      </c>
      <c r="J2864" s="226"/>
    </row>
    <row r="2865" spans="1:10" hidden="1" x14ac:dyDescent="0.25">
      <c r="A2865" s="112" t="s">
        <v>7018</v>
      </c>
      <c r="B2865" s="113" t="s">
        <v>6259</v>
      </c>
      <c r="C2865" s="114" t="s">
        <v>20</v>
      </c>
      <c r="D2865" s="114">
        <v>0</v>
      </c>
      <c r="E2865" s="133" t="s">
        <v>514</v>
      </c>
      <c r="F2865" s="134" t="str">
        <f t="shared" si="153"/>
        <v/>
      </c>
      <c r="G2865" s="135" t="e">
        <f>IF(A2865&lt;&gt;"",IF(AND(#REF!="Padrão",$H$4=#REF!),BDI!$B$17,IF(AND(#REF!="Padrão",$H$4=#REF!),BDI!#REF!,IF(AND(#REF!="Diferenciado",$H$4=#REF!),BDI!$E$17,IF(AND(#REF!="Diferenciado",$H$4=#REF!),BDI!#REF!,IF(#REF!="ZERO",0))))),"")</f>
        <v>#REF!</v>
      </c>
      <c r="H2865" s="136" t="str">
        <f t="shared" si="154"/>
        <v/>
      </c>
      <c r="I2865" s="134" t="str">
        <f t="shared" si="155"/>
        <v/>
      </c>
      <c r="J2865" s="226"/>
    </row>
    <row r="2866" spans="1:10" hidden="1" x14ac:dyDescent="0.25">
      <c r="A2866" s="112" t="s">
        <v>7019</v>
      </c>
      <c r="B2866" s="113" t="s">
        <v>1658</v>
      </c>
      <c r="C2866" s="114" t="s">
        <v>20</v>
      </c>
      <c r="D2866" s="114">
        <v>0</v>
      </c>
      <c r="E2866" s="133" t="s">
        <v>514</v>
      </c>
      <c r="F2866" s="134" t="str">
        <f t="shared" si="153"/>
        <v/>
      </c>
      <c r="G2866" s="135" t="e">
        <f>IF(A2866&lt;&gt;"",IF(AND(#REF!="Padrão",$H$4=#REF!),BDI!$B$17,IF(AND(#REF!="Padrão",$H$4=#REF!),BDI!#REF!,IF(AND(#REF!="Diferenciado",$H$4=#REF!),BDI!$E$17,IF(AND(#REF!="Diferenciado",$H$4=#REF!),BDI!#REF!,IF(#REF!="ZERO",0))))),"")</f>
        <v>#REF!</v>
      </c>
      <c r="H2866" s="136" t="str">
        <f t="shared" si="154"/>
        <v/>
      </c>
      <c r="I2866" s="134" t="str">
        <f t="shared" si="155"/>
        <v/>
      </c>
      <c r="J2866" s="226"/>
    </row>
    <row r="2867" spans="1:10" hidden="1" x14ac:dyDescent="0.25">
      <c r="A2867" s="112" t="s">
        <v>7020</v>
      </c>
      <c r="B2867" s="113" t="s">
        <v>1657</v>
      </c>
      <c r="C2867" s="114" t="s">
        <v>20</v>
      </c>
      <c r="D2867" s="114">
        <v>0</v>
      </c>
      <c r="E2867" s="133" t="s">
        <v>514</v>
      </c>
      <c r="F2867" s="134" t="str">
        <f t="shared" si="153"/>
        <v/>
      </c>
      <c r="G2867" s="135" t="e">
        <f>IF(A2867&lt;&gt;"",IF(AND(#REF!="Padrão",$H$4=#REF!),BDI!$B$17,IF(AND(#REF!="Padrão",$H$4=#REF!),BDI!#REF!,IF(AND(#REF!="Diferenciado",$H$4=#REF!),BDI!$E$17,IF(AND(#REF!="Diferenciado",$H$4=#REF!),BDI!#REF!,IF(#REF!="ZERO",0))))),"")</f>
        <v>#REF!</v>
      </c>
      <c r="H2867" s="136" t="str">
        <f t="shared" si="154"/>
        <v/>
      </c>
      <c r="I2867" s="134" t="str">
        <f t="shared" si="155"/>
        <v/>
      </c>
      <c r="J2867" s="226"/>
    </row>
    <row r="2868" spans="1:10" hidden="1" x14ac:dyDescent="0.25">
      <c r="A2868" s="112" t="s">
        <v>7021</v>
      </c>
      <c r="B2868" s="113" t="s">
        <v>7022</v>
      </c>
      <c r="C2868" s="114" t="s">
        <v>92</v>
      </c>
      <c r="D2868" s="114">
        <v>0</v>
      </c>
      <c r="E2868" s="133">
        <f ca="1">OFFSET(INDEX(Composições!A:J,MATCH(Orçamentária!A2868,Composições!A:A,0),8),2,0)</f>
        <v>56.087999999999994</v>
      </c>
      <c r="F2868" s="134">
        <f t="shared" ca="1" si="153"/>
        <v>0</v>
      </c>
      <c r="G2868" s="135" t="e">
        <f>IF(A2868&lt;&gt;"",IF(AND(#REF!="Padrão",$H$4=#REF!),BDI!$B$17,IF(AND(#REF!="Padrão",$H$4=#REF!),BDI!#REF!,IF(AND(#REF!="Diferenciado",$H$4=#REF!),BDI!$E$17,IF(AND(#REF!="Diferenciado",$H$4=#REF!),BDI!#REF!,IF(#REF!="ZERO",0))))),"")</f>
        <v>#REF!</v>
      </c>
      <c r="H2868" s="136" t="e">
        <f t="shared" ca="1" si="154"/>
        <v>#REF!</v>
      </c>
      <c r="I2868" s="134" t="e">
        <f t="shared" ca="1" si="155"/>
        <v>#REF!</v>
      </c>
      <c r="J2868" s="226"/>
    </row>
    <row r="2869" spans="1:10" hidden="1" x14ac:dyDescent="0.25">
      <c r="A2869" s="112" t="s">
        <v>7023</v>
      </c>
      <c r="B2869" s="113" t="s">
        <v>7024</v>
      </c>
      <c r="C2869" s="114" t="s">
        <v>92</v>
      </c>
      <c r="D2869" s="114">
        <v>0</v>
      </c>
      <c r="E2869" s="133">
        <f ca="1">OFFSET(INDEX(Composições!A:J,MATCH(Orçamentária!A2869,Composições!A:A,0),8),2,0)</f>
        <v>71.183500000000009</v>
      </c>
      <c r="F2869" s="134">
        <f t="shared" ca="1" si="153"/>
        <v>0</v>
      </c>
      <c r="G2869" s="135" t="e">
        <f>IF(A2869&lt;&gt;"",IF(AND(#REF!="Padrão",$H$4=#REF!),BDI!$B$17,IF(AND(#REF!="Padrão",$H$4=#REF!),BDI!#REF!,IF(AND(#REF!="Diferenciado",$H$4=#REF!),BDI!$E$17,IF(AND(#REF!="Diferenciado",$H$4=#REF!),BDI!#REF!,IF(#REF!="ZERO",0))))),"")</f>
        <v>#REF!</v>
      </c>
      <c r="H2869" s="136" t="e">
        <f t="shared" ca="1" si="154"/>
        <v>#REF!</v>
      </c>
      <c r="I2869" s="134" t="e">
        <f t="shared" ca="1" si="155"/>
        <v>#REF!</v>
      </c>
      <c r="J2869" s="226"/>
    </row>
    <row r="2870" spans="1:10" hidden="1" x14ac:dyDescent="0.25">
      <c r="A2870" s="112" t="s">
        <v>7025</v>
      </c>
      <c r="B2870" s="113" t="s">
        <v>7026</v>
      </c>
      <c r="C2870" s="114" t="s">
        <v>92</v>
      </c>
      <c r="D2870" s="114">
        <v>0</v>
      </c>
      <c r="E2870" s="133">
        <f ca="1">OFFSET(INDEX(Composições!A:J,MATCH(Orçamentária!A2870,Composições!A:A,0),8),2,0)</f>
        <v>139.58349999999999</v>
      </c>
      <c r="F2870" s="134">
        <f t="shared" ca="1" si="153"/>
        <v>0</v>
      </c>
      <c r="G2870" s="135" t="e">
        <f>IF(A2870&lt;&gt;"",IF(AND(#REF!="Padrão",$H$4=#REF!),BDI!$B$17,IF(AND(#REF!="Padrão",$H$4=#REF!),BDI!#REF!,IF(AND(#REF!="Diferenciado",$H$4=#REF!),BDI!$E$17,IF(AND(#REF!="Diferenciado",$H$4=#REF!),BDI!#REF!,IF(#REF!="ZERO",0))))),"")</f>
        <v>#REF!</v>
      </c>
      <c r="H2870" s="136" t="e">
        <f t="shared" ca="1" si="154"/>
        <v>#REF!</v>
      </c>
      <c r="I2870" s="134" t="e">
        <f t="shared" ca="1" si="155"/>
        <v>#REF!</v>
      </c>
      <c r="J2870" s="226"/>
    </row>
    <row r="2871" spans="1:10" hidden="1" x14ac:dyDescent="0.25">
      <c r="A2871" s="112" t="s">
        <v>7027</v>
      </c>
      <c r="B2871" s="113" t="s">
        <v>7028</v>
      </c>
      <c r="C2871" s="114" t="s">
        <v>92</v>
      </c>
      <c r="D2871" s="114">
        <v>0</v>
      </c>
      <c r="E2871" s="133">
        <f ca="1">OFFSET(INDEX(Composições!A:J,MATCH(Orçamentária!A2871,Composições!A:A,0),8),2,0)</f>
        <v>103.3695</v>
      </c>
      <c r="F2871" s="134">
        <f t="shared" ca="1" si="153"/>
        <v>0</v>
      </c>
      <c r="G2871" s="135" t="e">
        <f>IF(A2871&lt;&gt;"",IF(AND(#REF!="Padrão",$H$4=#REF!),BDI!$B$17,IF(AND(#REF!="Padrão",$H$4=#REF!),BDI!#REF!,IF(AND(#REF!="Diferenciado",$H$4=#REF!),BDI!$E$17,IF(AND(#REF!="Diferenciado",$H$4=#REF!),BDI!#REF!,IF(#REF!="ZERO",0))))),"")</f>
        <v>#REF!</v>
      </c>
      <c r="H2871" s="136" t="e">
        <f t="shared" ca="1" si="154"/>
        <v>#REF!</v>
      </c>
      <c r="I2871" s="134" t="e">
        <f t="shared" ca="1" si="155"/>
        <v>#REF!</v>
      </c>
      <c r="J2871" s="226"/>
    </row>
    <row r="2872" spans="1:10" hidden="1" x14ac:dyDescent="0.25">
      <c r="A2872" s="112" t="s">
        <v>7029</v>
      </c>
      <c r="B2872" s="113" t="s">
        <v>7030</v>
      </c>
      <c r="C2872" s="114" t="s">
        <v>92</v>
      </c>
      <c r="D2872" s="114">
        <v>0</v>
      </c>
      <c r="E2872" s="133">
        <f ca="1">OFFSET(INDEX(Composições!A:J,MATCH(Orçamentária!A2872,Composições!A:A,0),8),2,0)</f>
        <v>202.43549999999999</v>
      </c>
      <c r="F2872" s="134">
        <f t="shared" ca="1" si="153"/>
        <v>0</v>
      </c>
      <c r="G2872" s="135" t="e">
        <f>IF(A2872&lt;&gt;"",IF(AND(#REF!="Padrão",$H$4=#REF!),BDI!$B$17,IF(AND(#REF!="Padrão",$H$4=#REF!),BDI!#REF!,IF(AND(#REF!="Diferenciado",$H$4=#REF!),BDI!$E$17,IF(AND(#REF!="Diferenciado",$H$4=#REF!),BDI!#REF!,IF(#REF!="ZERO",0))))),"")</f>
        <v>#REF!</v>
      </c>
      <c r="H2872" s="136" t="e">
        <f t="shared" ca="1" si="154"/>
        <v>#REF!</v>
      </c>
      <c r="I2872" s="134" t="e">
        <f t="shared" ca="1" si="155"/>
        <v>#REF!</v>
      </c>
      <c r="J2872" s="226"/>
    </row>
    <row r="2873" spans="1:10" hidden="1" x14ac:dyDescent="0.25">
      <c r="A2873" s="112" t="s">
        <v>7031</v>
      </c>
      <c r="B2873" s="113" t="s">
        <v>7032</v>
      </c>
      <c r="C2873" s="114" t="s">
        <v>92</v>
      </c>
      <c r="D2873" s="114">
        <v>0</v>
      </c>
      <c r="E2873" s="133">
        <f ca="1">OFFSET(INDEX(Composições!A:J,MATCH(Orçamentária!A2873,Composições!A:A,0),8),2,0)</f>
        <v>285.19</v>
      </c>
      <c r="F2873" s="134">
        <f t="shared" ca="1" si="153"/>
        <v>0</v>
      </c>
      <c r="G2873" s="135" t="e">
        <f>IF(A2873&lt;&gt;"",IF(AND(#REF!="Padrão",$H$4=#REF!),BDI!$B$17,IF(AND(#REF!="Padrão",$H$4=#REF!),BDI!#REF!,IF(AND(#REF!="Diferenciado",$H$4=#REF!),BDI!$E$17,IF(AND(#REF!="Diferenciado",$H$4=#REF!),BDI!#REF!,IF(#REF!="ZERO",0))))),"")</f>
        <v>#REF!</v>
      </c>
      <c r="H2873" s="136" t="e">
        <f t="shared" ca="1" si="154"/>
        <v>#REF!</v>
      </c>
      <c r="I2873" s="134" t="e">
        <f t="shared" ca="1" si="155"/>
        <v>#REF!</v>
      </c>
      <c r="J2873" s="226"/>
    </row>
    <row r="2874" spans="1:10" hidden="1" x14ac:dyDescent="0.25">
      <c r="A2874" s="112" t="s">
        <v>7033</v>
      </c>
      <c r="B2874" s="113" t="s">
        <v>7034</v>
      </c>
      <c r="C2874" s="114" t="s">
        <v>92</v>
      </c>
      <c r="D2874" s="114">
        <v>0</v>
      </c>
      <c r="E2874" s="133">
        <f ca="1">OFFSET(INDEX(Composições!A:J,MATCH(Orçamentária!A2874,Composições!A:A,0),8),2,0)</f>
        <v>416.90750000000003</v>
      </c>
      <c r="F2874" s="134">
        <f t="shared" ca="1" si="153"/>
        <v>0</v>
      </c>
      <c r="G2874" s="135" t="e">
        <f>IF(A2874&lt;&gt;"",IF(AND(#REF!="Padrão",$H$4=#REF!),BDI!$B$17,IF(AND(#REF!="Padrão",$H$4=#REF!),BDI!#REF!,IF(AND(#REF!="Diferenciado",$H$4=#REF!),BDI!$E$17,IF(AND(#REF!="Diferenciado",$H$4=#REF!),BDI!#REF!,IF(#REF!="ZERO",0))))),"")</f>
        <v>#REF!</v>
      </c>
      <c r="H2874" s="136" t="e">
        <f t="shared" ca="1" si="154"/>
        <v>#REF!</v>
      </c>
      <c r="I2874" s="134" t="e">
        <f t="shared" ca="1" si="155"/>
        <v>#REF!</v>
      </c>
      <c r="J2874" s="226"/>
    </row>
    <row r="2875" spans="1:10" hidden="1" x14ac:dyDescent="0.25">
      <c r="A2875" s="112" t="s">
        <v>7035</v>
      </c>
      <c r="B2875" s="113" t="s">
        <v>7036</v>
      </c>
      <c r="C2875" s="114" t="s">
        <v>92</v>
      </c>
      <c r="D2875" s="114">
        <v>0</v>
      </c>
      <c r="E2875" s="133">
        <f ca="1">OFFSET(INDEX(Composições!A:J,MATCH(Orçamentária!A2875,Composições!A:A,0),8),2,0)</f>
        <v>614.745</v>
      </c>
      <c r="F2875" s="134">
        <f t="shared" ca="1" si="153"/>
        <v>0</v>
      </c>
      <c r="G2875" s="135" t="e">
        <f>IF(A2875&lt;&gt;"",IF(AND(#REF!="Padrão",$H$4=#REF!),BDI!$B$17,IF(AND(#REF!="Padrão",$H$4=#REF!),BDI!#REF!,IF(AND(#REF!="Diferenciado",$H$4=#REF!),BDI!$E$17,IF(AND(#REF!="Diferenciado",$H$4=#REF!),BDI!#REF!,IF(#REF!="ZERO",0))))),"")</f>
        <v>#REF!</v>
      </c>
      <c r="H2875" s="136" t="e">
        <f t="shared" ca="1" si="154"/>
        <v>#REF!</v>
      </c>
      <c r="I2875" s="134" t="e">
        <f t="shared" ca="1" si="155"/>
        <v>#REF!</v>
      </c>
      <c r="J2875" s="226"/>
    </row>
    <row r="2876" spans="1:10" hidden="1" x14ac:dyDescent="0.25">
      <c r="A2876" s="112" t="s">
        <v>7037</v>
      </c>
      <c r="B2876" s="113" t="s">
        <v>7038</v>
      </c>
      <c r="C2876" s="114" t="s">
        <v>92</v>
      </c>
      <c r="D2876" s="114">
        <v>0</v>
      </c>
      <c r="E2876" s="133">
        <f ca="1">OFFSET(INDEX(Composições!A:J,MATCH(Orçamentária!A2876,Composições!A:A,0),8),2,0)</f>
        <v>13.575499999999998</v>
      </c>
      <c r="F2876" s="134">
        <f t="shared" ca="1" si="153"/>
        <v>0</v>
      </c>
      <c r="G2876" s="135" t="e">
        <f>IF(A2876&lt;&gt;"",IF(AND(#REF!="Padrão",$H$4=#REF!),BDI!$B$17,IF(AND(#REF!="Padrão",$H$4=#REF!),BDI!#REF!,IF(AND(#REF!="Diferenciado",$H$4=#REF!),BDI!$E$17,IF(AND(#REF!="Diferenciado",$H$4=#REF!),BDI!#REF!,IF(#REF!="ZERO",0))))),"")</f>
        <v>#REF!</v>
      </c>
      <c r="H2876" s="136" t="e">
        <f t="shared" ca="1" si="154"/>
        <v>#REF!</v>
      </c>
      <c r="I2876" s="134" t="e">
        <f t="shared" ca="1" si="155"/>
        <v>#REF!</v>
      </c>
      <c r="J2876" s="226"/>
    </row>
    <row r="2877" spans="1:10" hidden="1" x14ac:dyDescent="0.25">
      <c r="A2877" s="112" t="s">
        <v>7039</v>
      </c>
      <c r="B2877" s="113" t="s">
        <v>7040</v>
      </c>
      <c r="C2877" s="114" t="s">
        <v>92</v>
      </c>
      <c r="D2877" s="114">
        <v>0</v>
      </c>
      <c r="E2877" s="133">
        <f ca="1">OFFSET(INDEX(Composições!A:J,MATCH(Orçamentária!A2877,Composições!A:A,0),8),2,0)</f>
        <v>21.792999999999999</v>
      </c>
      <c r="F2877" s="134">
        <f t="shared" ca="1" si="153"/>
        <v>0</v>
      </c>
      <c r="G2877" s="135" t="e">
        <f>IF(A2877&lt;&gt;"",IF(AND(#REF!="Padrão",$H$4=#REF!),BDI!$B$17,IF(AND(#REF!="Padrão",$H$4=#REF!),BDI!#REF!,IF(AND(#REF!="Diferenciado",$H$4=#REF!),BDI!$E$17,IF(AND(#REF!="Diferenciado",$H$4=#REF!),BDI!#REF!,IF(#REF!="ZERO",0))))),"")</f>
        <v>#REF!</v>
      </c>
      <c r="H2877" s="136" t="e">
        <f t="shared" ca="1" si="154"/>
        <v>#REF!</v>
      </c>
      <c r="I2877" s="134" t="e">
        <f t="shared" ca="1" si="155"/>
        <v>#REF!</v>
      </c>
      <c r="J2877" s="226"/>
    </row>
    <row r="2878" spans="1:10" hidden="1" x14ac:dyDescent="0.25">
      <c r="A2878" s="112" t="s">
        <v>7041</v>
      </c>
      <c r="B2878" s="113" t="s">
        <v>7042</v>
      </c>
      <c r="C2878" s="114" t="s">
        <v>92</v>
      </c>
      <c r="D2878" s="114">
        <v>0</v>
      </c>
      <c r="E2878" s="133">
        <f ca="1">OFFSET(INDEX(Composições!A:J,MATCH(Orçamentária!A2878,Composições!A:A,0),8),2,0)</f>
        <v>54.244999999999997</v>
      </c>
      <c r="F2878" s="134">
        <f t="shared" ca="1" si="153"/>
        <v>0</v>
      </c>
      <c r="G2878" s="135" t="e">
        <f>IF(A2878&lt;&gt;"",IF(AND(#REF!="Padrão",$H$4=#REF!),BDI!$B$17,IF(AND(#REF!="Padrão",$H$4=#REF!),BDI!#REF!,IF(AND(#REF!="Diferenciado",$H$4=#REF!),BDI!$E$17,IF(AND(#REF!="Diferenciado",$H$4=#REF!),BDI!#REF!,IF(#REF!="ZERO",0))))),"")</f>
        <v>#REF!</v>
      </c>
      <c r="H2878" s="136" t="e">
        <f t="shared" ca="1" si="154"/>
        <v>#REF!</v>
      </c>
      <c r="I2878" s="134" t="e">
        <f t="shared" ca="1" si="155"/>
        <v>#REF!</v>
      </c>
      <c r="J2878" s="226"/>
    </row>
    <row r="2879" spans="1:10" hidden="1" x14ac:dyDescent="0.25">
      <c r="A2879" s="112" t="s">
        <v>7043</v>
      </c>
      <c r="B2879" s="113" t="s">
        <v>7044</v>
      </c>
      <c r="C2879" s="114" t="s">
        <v>92</v>
      </c>
      <c r="D2879" s="114">
        <v>0</v>
      </c>
      <c r="E2879" s="133">
        <f ca="1">OFFSET(INDEX(Composições!A:J,MATCH(Orçamentária!A2879,Composições!A:A,0),8),2,0)</f>
        <v>21.2895</v>
      </c>
      <c r="F2879" s="134">
        <f t="shared" ca="1" si="153"/>
        <v>0</v>
      </c>
      <c r="G2879" s="135" t="e">
        <f>IF(A2879&lt;&gt;"",IF(AND(#REF!="Padrão",$H$4=#REF!),BDI!$B$17,IF(AND(#REF!="Padrão",$H$4=#REF!),BDI!#REF!,IF(AND(#REF!="Diferenciado",$H$4=#REF!),BDI!$E$17,IF(AND(#REF!="Diferenciado",$H$4=#REF!),BDI!#REF!,IF(#REF!="ZERO",0))))),"")</f>
        <v>#REF!</v>
      </c>
      <c r="H2879" s="136" t="e">
        <f t="shared" ca="1" si="154"/>
        <v>#REF!</v>
      </c>
      <c r="I2879" s="134" t="e">
        <f t="shared" ca="1" si="155"/>
        <v>#REF!</v>
      </c>
      <c r="J2879" s="226"/>
    </row>
    <row r="2880" spans="1:10" hidden="1" x14ac:dyDescent="0.25">
      <c r="A2880" s="112" t="s">
        <v>7045</v>
      </c>
      <c r="B2880" s="113" t="s">
        <v>7046</v>
      </c>
      <c r="C2880" s="114" t="s">
        <v>92</v>
      </c>
      <c r="D2880" s="114">
        <v>0</v>
      </c>
      <c r="E2880" s="133">
        <f ca="1">OFFSET(INDEX(Composições!A:J,MATCH(Orçamentária!A2880,Composições!A:A,0),8),2,0)</f>
        <v>27.721</v>
      </c>
      <c r="F2880" s="134">
        <f t="shared" ca="1" si="153"/>
        <v>0</v>
      </c>
      <c r="G2880" s="135" t="e">
        <f>IF(A2880&lt;&gt;"",IF(AND(#REF!="Padrão",$H$4=#REF!),BDI!$B$17,IF(AND(#REF!="Padrão",$H$4=#REF!),BDI!#REF!,IF(AND(#REF!="Diferenciado",$H$4=#REF!),BDI!$E$17,IF(AND(#REF!="Diferenciado",$H$4=#REF!),BDI!#REF!,IF(#REF!="ZERO",0))))),"")</f>
        <v>#REF!</v>
      </c>
      <c r="H2880" s="136" t="e">
        <f t="shared" ca="1" si="154"/>
        <v>#REF!</v>
      </c>
      <c r="I2880" s="134" t="e">
        <f t="shared" ca="1" si="155"/>
        <v>#REF!</v>
      </c>
      <c r="J2880" s="226"/>
    </row>
    <row r="2881" spans="1:10" hidden="1" x14ac:dyDescent="0.25">
      <c r="A2881" s="112" t="s">
        <v>7047</v>
      </c>
      <c r="B2881" s="113" t="s">
        <v>7048</v>
      </c>
      <c r="C2881" s="114" t="s">
        <v>92</v>
      </c>
      <c r="D2881" s="114">
        <v>0</v>
      </c>
      <c r="E2881" s="133">
        <f ca="1">OFFSET(INDEX(Composições!A:J,MATCH(Orçamentária!A2881,Composições!A:A,0),8),2,0)</f>
        <v>37.220999999999997</v>
      </c>
      <c r="F2881" s="134">
        <f t="shared" ca="1" si="153"/>
        <v>0</v>
      </c>
      <c r="G2881" s="135" t="e">
        <f>IF(A2881&lt;&gt;"",IF(AND(#REF!="Padrão",$H$4=#REF!),BDI!$B$17,IF(AND(#REF!="Padrão",$H$4=#REF!),BDI!#REF!,IF(AND(#REF!="Diferenciado",$H$4=#REF!),BDI!$E$17,IF(AND(#REF!="Diferenciado",$H$4=#REF!),BDI!#REF!,IF(#REF!="ZERO",0))))),"")</f>
        <v>#REF!</v>
      </c>
      <c r="H2881" s="136" t="e">
        <f t="shared" ca="1" si="154"/>
        <v>#REF!</v>
      </c>
      <c r="I2881" s="134" t="e">
        <f t="shared" ca="1" si="155"/>
        <v>#REF!</v>
      </c>
      <c r="J2881" s="226"/>
    </row>
    <row r="2882" spans="1:10" hidden="1" x14ac:dyDescent="0.25">
      <c r="A2882" s="112" t="s">
        <v>7049</v>
      </c>
      <c r="B2882" s="113" t="s">
        <v>7050</v>
      </c>
      <c r="C2882" s="114" t="s">
        <v>92</v>
      </c>
      <c r="D2882" s="114">
        <v>0</v>
      </c>
      <c r="E2882" s="133">
        <f ca="1">OFFSET(INDEX(Composições!A:J,MATCH(Orçamentária!A2882,Composições!A:A,0),8),2,0)</f>
        <v>78.232499999999987</v>
      </c>
      <c r="F2882" s="134">
        <f t="shared" ca="1" si="153"/>
        <v>0</v>
      </c>
      <c r="G2882" s="135" t="e">
        <f>IF(A2882&lt;&gt;"",IF(AND(#REF!="Padrão",$H$4=#REF!),BDI!$B$17,IF(AND(#REF!="Padrão",$H$4=#REF!),BDI!#REF!,IF(AND(#REF!="Diferenciado",$H$4=#REF!),BDI!$E$17,IF(AND(#REF!="Diferenciado",$H$4=#REF!),BDI!#REF!,IF(#REF!="ZERO",0))))),"")</f>
        <v>#REF!</v>
      </c>
      <c r="H2882" s="136" t="e">
        <f t="shared" ca="1" si="154"/>
        <v>#REF!</v>
      </c>
      <c r="I2882" s="134" t="e">
        <f t="shared" ca="1" si="155"/>
        <v>#REF!</v>
      </c>
      <c r="J2882" s="226"/>
    </row>
    <row r="2883" spans="1:10" hidden="1" x14ac:dyDescent="0.25">
      <c r="A2883" s="112" t="s">
        <v>7051</v>
      </c>
      <c r="B2883" s="113" t="s">
        <v>7052</v>
      </c>
      <c r="C2883" s="114" t="s">
        <v>92</v>
      </c>
      <c r="D2883" s="114">
        <v>0</v>
      </c>
      <c r="E2883" s="133">
        <f ca="1">OFFSET(INDEX(Composições!A:J,MATCH(Orçamentária!A2883,Composições!A:A,0),8),2,0)</f>
        <v>109.45899999999999</v>
      </c>
      <c r="F2883" s="134">
        <f t="shared" ca="1" si="153"/>
        <v>0</v>
      </c>
      <c r="G2883" s="135" t="e">
        <f>IF(A2883&lt;&gt;"",IF(AND(#REF!="Padrão",$H$4=#REF!),BDI!$B$17,IF(AND(#REF!="Padrão",$H$4=#REF!),BDI!#REF!,IF(AND(#REF!="Diferenciado",$H$4=#REF!),BDI!$E$17,IF(AND(#REF!="Diferenciado",$H$4=#REF!),BDI!#REF!,IF(#REF!="ZERO",0))))),"")</f>
        <v>#REF!</v>
      </c>
      <c r="H2883" s="136" t="e">
        <f t="shared" ca="1" si="154"/>
        <v>#REF!</v>
      </c>
      <c r="I2883" s="134" t="e">
        <f t="shared" ca="1" si="155"/>
        <v>#REF!</v>
      </c>
      <c r="J2883" s="226"/>
    </row>
    <row r="2884" spans="1:10" hidden="1" x14ac:dyDescent="0.25">
      <c r="A2884" s="112" t="s">
        <v>7053</v>
      </c>
      <c r="B2884" s="113" t="s">
        <v>7054</v>
      </c>
      <c r="C2884" s="114" t="s">
        <v>92</v>
      </c>
      <c r="D2884" s="114">
        <v>0</v>
      </c>
      <c r="E2884" s="133">
        <f ca="1">OFFSET(INDEX(Composições!A:J,MATCH(Orçamentária!A2884,Composições!A:A,0),8),2,0)</f>
        <v>125.761</v>
      </c>
      <c r="F2884" s="134">
        <f t="shared" ca="1" si="153"/>
        <v>0</v>
      </c>
      <c r="G2884" s="135" t="e">
        <f>IF(A2884&lt;&gt;"",IF(AND(#REF!="Padrão",$H$4=#REF!),BDI!$B$17,IF(AND(#REF!="Padrão",$H$4=#REF!),BDI!#REF!,IF(AND(#REF!="Diferenciado",$H$4=#REF!),BDI!$E$17,IF(AND(#REF!="Diferenciado",$H$4=#REF!),BDI!#REF!,IF(#REF!="ZERO",0))))),"")</f>
        <v>#REF!</v>
      </c>
      <c r="H2884" s="136" t="e">
        <f t="shared" ca="1" si="154"/>
        <v>#REF!</v>
      </c>
      <c r="I2884" s="134" t="e">
        <f t="shared" ca="1" si="155"/>
        <v>#REF!</v>
      </c>
      <c r="J2884" s="226"/>
    </row>
    <row r="2885" spans="1:10" hidden="1" x14ac:dyDescent="0.25">
      <c r="A2885" s="112" t="s">
        <v>7055</v>
      </c>
      <c r="B2885" s="113" t="s">
        <v>7056</v>
      </c>
      <c r="C2885" s="114" t="s">
        <v>20</v>
      </c>
      <c r="D2885" s="114">
        <v>0</v>
      </c>
      <c r="E2885" s="133">
        <f ca="1">OFFSET(INDEX(Composições!A:J,MATCH(Orçamentária!A2885,Composições!A:A,0),8),2,0)</f>
        <v>35.0075</v>
      </c>
      <c r="F2885" s="134">
        <f t="shared" ca="1" si="153"/>
        <v>0</v>
      </c>
      <c r="G2885" s="135" t="e">
        <f>IF(A2885&lt;&gt;"",IF(AND(#REF!="Padrão",$H$4=#REF!),BDI!$B$17,IF(AND(#REF!="Padrão",$H$4=#REF!),BDI!#REF!,IF(AND(#REF!="Diferenciado",$H$4=#REF!),BDI!$E$17,IF(AND(#REF!="Diferenciado",$H$4=#REF!),BDI!#REF!,IF(#REF!="ZERO",0))))),"")</f>
        <v>#REF!</v>
      </c>
      <c r="H2885" s="136" t="e">
        <f t="shared" ca="1" si="154"/>
        <v>#REF!</v>
      </c>
      <c r="I2885" s="134" t="e">
        <f t="shared" ca="1" si="155"/>
        <v>#REF!</v>
      </c>
      <c r="J2885" s="226"/>
    </row>
    <row r="2886" spans="1:10" hidden="1" x14ac:dyDescent="0.25">
      <c r="A2886" s="112" t="s">
        <v>7057</v>
      </c>
      <c r="B2886" s="113" t="s">
        <v>7058</v>
      </c>
      <c r="C2886" s="114" t="s">
        <v>20</v>
      </c>
      <c r="D2886" s="114">
        <v>0</v>
      </c>
      <c r="E2886" s="133">
        <f ca="1">OFFSET(INDEX(Composições!A:J,MATCH(Orçamentária!A2886,Composições!A:A,0),8),2,0)</f>
        <v>53.58</v>
      </c>
      <c r="F2886" s="134">
        <f t="shared" ca="1" si="153"/>
        <v>0</v>
      </c>
      <c r="G2886" s="135" t="e">
        <f>IF(A2886&lt;&gt;"",IF(AND(#REF!="Padrão",$H$4=#REF!),BDI!$B$17,IF(AND(#REF!="Padrão",$H$4=#REF!),BDI!#REF!,IF(AND(#REF!="Diferenciado",$H$4=#REF!),BDI!$E$17,IF(AND(#REF!="Diferenciado",$H$4=#REF!),BDI!#REF!,IF(#REF!="ZERO",0))))),"")</f>
        <v>#REF!</v>
      </c>
      <c r="H2886" s="136" t="e">
        <f t="shared" ca="1" si="154"/>
        <v>#REF!</v>
      </c>
      <c r="I2886" s="134" t="e">
        <f t="shared" ca="1" si="155"/>
        <v>#REF!</v>
      </c>
      <c r="J2886" s="226"/>
    </row>
    <row r="2887" spans="1:10" hidden="1" x14ac:dyDescent="0.25">
      <c r="A2887" s="112" t="s">
        <v>7059</v>
      </c>
      <c r="B2887" s="113" t="s">
        <v>7060</v>
      </c>
      <c r="C2887" s="114" t="s">
        <v>20</v>
      </c>
      <c r="D2887" s="114">
        <v>0</v>
      </c>
      <c r="E2887" s="133">
        <f ca="1">OFFSET(INDEX(Composições!A:J,MATCH(Orçamentária!A2887,Composições!A:A,0),8),2,0)</f>
        <v>87.162499999999994</v>
      </c>
      <c r="F2887" s="134">
        <f t="shared" ca="1" si="153"/>
        <v>0</v>
      </c>
      <c r="G2887" s="135" t="e">
        <f>IF(A2887&lt;&gt;"",IF(AND(#REF!="Padrão",$H$4=#REF!),BDI!$B$17,IF(AND(#REF!="Padrão",$H$4=#REF!),BDI!#REF!,IF(AND(#REF!="Diferenciado",$H$4=#REF!),BDI!$E$17,IF(AND(#REF!="Diferenciado",$H$4=#REF!),BDI!#REF!,IF(#REF!="ZERO",0))))),"")</f>
        <v>#REF!</v>
      </c>
      <c r="H2887" s="136" t="e">
        <f t="shared" ca="1" si="154"/>
        <v>#REF!</v>
      </c>
      <c r="I2887" s="134" t="e">
        <f t="shared" ca="1" si="155"/>
        <v>#REF!</v>
      </c>
      <c r="J2887" s="226"/>
    </row>
    <row r="2888" spans="1:10" hidden="1" x14ac:dyDescent="0.25">
      <c r="A2888" s="112" t="s">
        <v>7061</v>
      </c>
      <c r="B2888" s="113" t="s">
        <v>7062</v>
      </c>
      <c r="C2888" s="114" t="s">
        <v>20</v>
      </c>
      <c r="D2888" s="114">
        <v>0</v>
      </c>
      <c r="E2888" s="133" t="s">
        <v>514</v>
      </c>
      <c r="F2888" s="134" t="str">
        <f t="shared" si="153"/>
        <v/>
      </c>
      <c r="G2888" s="135" t="e">
        <f>IF(A2888&lt;&gt;"",IF(AND(#REF!="Padrão",$H$4=#REF!),BDI!$B$17,IF(AND(#REF!="Padrão",$H$4=#REF!),BDI!#REF!,IF(AND(#REF!="Diferenciado",$H$4=#REF!),BDI!$E$17,IF(AND(#REF!="Diferenciado",$H$4=#REF!),BDI!#REF!,IF(#REF!="ZERO",0))))),"")</f>
        <v>#REF!</v>
      </c>
      <c r="H2888" s="136" t="str">
        <f t="shared" si="154"/>
        <v/>
      </c>
      <c r="I2888" s="134" t="str">
        <f t="shared" si="155"/>
        <v/>
      </c>
      <c r="J2888" s="226"/>
    </row>
    <row r="2889" spans="1:10" hidden="1" x14ac:dyDescent="0.25">
      <c r="A2889" s="112" t="s">
        <v>7063</v>
      </c>
      <c r="B2889" s="113" t="s">
        <v>7064</v>
      </c>
      <c r="C2889" s="114" t="s">
        <v>20</v>
      </c>
      <c r="D2889" s="114">
        <v>0</v>
      </c>
      <c r="E2889" s="133" t="s">
        <v>514</v>
      </c>
      <c r="F2889" s="134" t="str">
        <f t="shared" si="153"/>
        <v/>
      </c>
      <c r="G2889" s="135" t="e">
        <f>IF(A2889&lt;&gt;"",IF(AND(#REF!="Padrão",$H$4=#REF!),BDI!$B$17,IF(AND(#REF!="Padrão",$H$4=#REF!),BDI!#REF!,IF(AND(#REF!="Diferenciado",$H$4=#REF!),BDI!$E$17,IF(AND(#REF!="Diferenciado",$H$4=#REF!),BDI!#REF!,IF(#REF!="ZERO",0))))),"")</f>
        <v>#REF!</v>
      </c>
      <c r="H2889" s="136" t="str">
        <f t="shared" si="154"/>
        <v/>
      </c>
      <c r="I2889" s="134" t="str">
        <f t="shared" si="155"/>
        <v/>
      </c>
      <c r="J2889" s="226"/>
    </row>
    <row r="2890" spans="1:10" hidden="1" x14ac:dyDescent="0.25">
      <c r="A2890" s="112" t="s">
        <v>7065</v>
      </c>
      <c r="B2890" s="113" t="s">
        <v>7066</v>
      </c>
      <c r="C2890" s="114" t="s">
        <v>92</v>
      </c>
      <c r="D2890" s="114">
        <v>0</v>
      </c>
      <c r="E2890" s="133">
        <f ca="1">OFFSET(INDEX(Composições!A:J,MATCH(Orçamentária!A2890,Composições!A:A,0),8),2,0)</f>
        <v>350.74949999999995</v>
      </c>
      <c r="F2890" s="134">
        <f t="shared" ca="1" si="153"/>
        <v>0</v>
      </c>
      <c r="G2890" s="135" t="e">
        <f>IF(A2890&lt;&gt;"",IF(AND(#REF!="Padrão",$H$4=#REF!),BDI!$B$17,IF(AND(#REF!="Padrão",$H$4=#REF!),BDI!#REF!,IF(AND(#REF!="Diferenciado",$H$4=#REF!),BDI!$E$17,IF(AND(#REF!="Diferenciado",$H$4=#REF!),BDI!#REF!,IF(#REF!="ZERO",0))))),"")</f>
        <v>#REF!</v>
      </c>
      <c r="H2890" s="136" t="e">
        <f t="shared" ca="1" si="154"/>
        <v>#REF!</v>
      </c>
      <c r="I2890" s="134" t="e">
        <f t="shared" ca="1" si="155"/>
        <v>#REF!</v>
      </c>
      <c r="J2890" s="226"/>
    </row>
    <row r="2891" spans="1:10" hidden="1" x14ac:dyDescent="0.25">
      <c r="A2891" s="112" t="s">
        <v>7067</v>
      </c>
      <c r="B2891" s="113" t="s">
        <v>7068</v>
      </c>
      <c r="C2891" s="114" t="s">
        <v>92</v>
      </c>
      <c r="D2891" s="114">
        <v>0</v>
      </c>
      <c r="E2891" s="133">
        <f ca="1">OFFSET(INDEX(Composições!A:J,MATCH(Orçamentária!A2891,Composições!A:A,0),8),2,0)</f>
        <v>17.755500000000001</v>
      </c>
      <c r="F2891" s="134">
        <f t="shared" ca="1" si="153"/>
        <v>0</v>
      </c>
      <c r="G2891" s="135" t="e">
        <f>IF(A2891&lt;&gt;"",IF(AND(#REF!="Padrão",$H$4=#REF!),BDI!$B$17,IF(AND(#REF!="Padrão",$H$4=#REF!),BDI!#REF!,IF(AND(#REF!="Diferenciado",$H$4=#REF!),BDI!$E$17,IF(AND(#REF!="Diferenciado",$H$4=#REF!),BDI!#REF!,IF(#REF!="ZERO",0))))),"")</f>
        <v>#REF!</v>
      </c>
      <c r="H2891" s="136" t="e">
        <f t="shared" ca="1" si="154"/>
        <v>#REF!</v>
      </c>
      <c r="I2891" s="134" t="e">
        <f t="shared" ca="1" si="155"/>
        <v>#REF!</v>
      </c>
      <c r="J2891" s="226"/>
    </row>
    <row r="2892" spans="1:10" hidden="1" x14ac:dyDescent="0.25">
      <c r="A2892" s="112" t="s">
        <v>7069</v>
      </c>
      <c r="B2892" s="113" t="s">
        <v>4983</v>
      </c>
      <c r="C2892" s="114" t="s">
        <v>92</v>
      </c>
      <c r="D2892" s="114">
        <v>0</v>
      </c>
      <c r="E2892" s="133">
        <f ca="1">OFFSET(INDEX(Composições!A:J,MATCH(Orçamentária!A2892,Composições!A:A,0),8),2,0)</f>
        <v>45.419499999999999</v>
      </c>
      <c r="F2892" s="134">
        <f t="shared" ca="1" si="153"/>
        <v>0</v>
      </c>
      <c r="G2892" s="135" t="e">
        <f>IF(A2892&lt;&gt;"",IF(AND(#REF!="Padrão",$H$4=#REF!),BDI!$B$17,IF(AND(#REF!="Padrão",$H$4=#REF!),BDI!#REF!,IF(AND(#REF!="Diferenciado",$H$4=#REF!),BDI!$E$17,IF(AND(#REF!="Diferenciado",$H$4=#REF!),BDI!#REF!,IF(#REF!="ZERO",0))))),"")</f>
        <v>#REF!</v>
      </c>
      <c r="H2892" s="136" t="e">
        <f t="shared" ca="1" si="154"/>
        <v>#REF!</v>
      </c>
      <c r="I2892" s="134" t="e">
        <f t="shared" ca="1" si="155"/>
        <v>#REF!</v>
      </c>
      <c r="J2892" s="226"/>
    </row>
    <row r="2893" spans="1:10" hidden="1" x14ac:dyDescent="0.25">
      <c r="A2893" s="112" t="s">
        <v>7070</v>
      </c>
      <c r="B2893" s="113" t="s">
        <v>7071</v>
      </c>
      <c r="C2893" s="114" t="s">
        <v>92</v>
      </c>
      <c r="D2893" s="114">
        <v>0</v>
      </c>
      <c r="E2893" s="133">
        <f ca="1">OFFSET(INDEX(Composições!A:J,MATCH(Orçamentária!A2893,Composições!A:A,0),8),2,0)</f>
        <v>6.4029999999999996</v>
      </c>
      <c r="F2893" s="134">
        <f t="shared" ca="1" si="153"/>
        <v>0</v>
      </c>
      <c r="G2893" s="135" t="e">
        <f>IF(A2893&lt;&gt;"",IF(AND(#REF!="Padrão",$H$4=#REF!),BDI!$B$17,IF(AND(#REF!="Padrão",$H$4=#REF!),BDI!#REF!,IF(AND(#REF!="Diferenciado",$H$4=#REF!),BDI!$E$17,IF(AND(#REF!="Diferenciado",$H$4=#REF!),BDI!#REF!,IF(#REF!="ZERO",0))))),"")</f>
        <v>#REF!</v>
      </c>
      <c r="H2893" s="136" t="e">
        <f t="shared" ca="1" si="154"/>
        <v>#REF!</v>
      </c>
      <c r="I2893" s="134" t="e">
        <f t="shared" ca="1" si="155"/>
        <v>#REF!</v>
      </c>
      <c r="J2893" s="226"/>
    </row>
    <row r="2894" spans="1:10" hidden="1" x14ac:dyDescent="0.25">
      <c r="A2894" s="112" t="s">
        <v>7072</v>
      </c>
      <c r="B2894" s="113" t="s">
        <v>7073</v>
      </c>
      <c r="C2894" s="114" t="s">
        <v>92</v>
      </c>
      <c r="D2894" s="114">
        <v>0</v>
      </c>
      <c r="E2894" s="133">
        <f ca="1">OFFSET(INDEX(Composições!A:J,MATCH(Orçamentária!A2894,Composições!A:A,0),8),2,0)</f>
        <v>10.8965</v>
      </c>
      <c r="F2894" s="134">
        <f t="shared" ca="1" si="153"/>
        <v>0</v>
      </c>
      <c r="G2894" s="135" t="e">
        <f>IF(A2894&lt;&gt;"",IF(AND(#REF!="Padrão",$H$4=#REF!),BDI!$B$17,IF(AND(#REF!="Padrão",$H$4=#REF!),BDI!#REF!,IF(AND(#REF!="Diferenciado",$H$4=#REF!),BDI!$E$17,IF(AND(#REF!="Diferenciado",$H$4=#REF!),BDI!#REF!,IF(#REF!="ZERO",0))))),"")</f>
        <v>#REF!</v>
      </c>
      <c r="H2894" s="136" t="e">
        <f t="shared" ca="1" si="154"/>
        <v>#REF!</v>
      </c>
      <c r="I2894" s="134" t="e">
        <f t="shared" ca="1" si="155"/>
        <v>#REF!</v>
      </c>
      <c r="J2894" s="226"/>
    </row>
    <row r="2895" spans="1:10" hidden="1" x14ac:dyDescent="0.25">
      <c r="A2895" s="112" t="s">
        <v>7074</v>
      </c>
      <c r="B2895" s="113" t="s">
        <v>7075</v>
      </c>
      <c r="C2895" s="114" t="s">
        <v>92</v>
      </c>
      <c r="D2895" s="114">
        <v>0</v>
      </c>
      <c r="E2895" s="133">
        <f ca="1">OFFSET(INDEX(Composições!A:J,MATCH(Orçamentária!A2895,Composições!A:A,0),8),2,0)</f>
        <v>15.731999999999998</v>
      </c>
      <c r="F2895" s="134">
        <f t="shared" ca="1" si="153"/>
        <v>0</v>
      </c>
      <c r="G2895" s="135" t="e">
        <f>IF(A2895&lt;&gt;"",IF(AND(#REF!="Padrão",$H$4=#REF!),BDI!$B$17,IF(AND(#REF!="Padrão",$H$4=#REF!),BDI!#REF!,IF(AND(#REF!="Diferenciado",$H$4=#REF!),BDI!$E$17,IF(AND(#REF!="Diferenciado",$H$4=#REF!),BDI!#REF!,IF(#REF!="ZERO",0))))),"")</f>
        <v>#REF!</v>
      </c>
      <c r="H2895" s="136" t="e">
        <f t="shared" ca="1" si="154"/>
        <v>#REF!</v>
      </c>
      <c r="I2895" s="134" t="e">
        <f t="shared" ca="1" si="155"/>
        <v>#REF!</v>
      </c>
      <c r="J2895" s="226"/>
    </row>
    <row r="2896" spans="1:10" hidden="1" x14ac:dyDescent="0.25">
      <c r="A2896" s="112" t="s">
        <v>7076</v>
      </c>
      <c r="B2896" s="113" t="s">
        <v>7077</v>
      </c>
      <c r="C2896" s="114" t="s">
        <v>92</v>
      </c>
      <c r="D2896" s="114">
        <v>0</v>
      </c>
      <c r="E2896" s="133">
        <f ca="1">OFFSET(INDEX(Composições!A:J,MATCH(Orçamentária!A2896,Composições!A:A,0),8),2,0)</f>
        <v>43.205999999999996</v>
      </c>
      <c r="F2896" s="134">
        <f t="shared" ca="1" si="153"/>
        <v>0</v>
      </c>
      <c r="G2896" s="135" t="e">
        <f>IF(A2896&lt;&gt;"",IF(AND(#REF!="Padrão",$H$4=#REF!),BDI!$B$17,IF(AND(#REF!="Padrão",$H$4=#REF!),BDI!#REF!,IF(AND(#REF!="Diferenciado",$H$4=#REF!),BDI!$E$17,IF(AND(#REF!="Diferenciado",$H$4=#REF!),BDI!#REF!,IF(#REF!="ZERO",0))))),"")</f>
        <v>#REF!</v>
      </c>
      <c r="H2896" s="136" t="e">
        <f t="shared" ca="1" si="154"/>
        <v>#REF!</v>
      </c>
      <c r="I2896" s="134" t="e">
        <f t="shared" ca="1" si="155"/>
        <v>#REF!</v>
      </c>
      <c r="J2896" s="226"/>
    </row>
    <row r="2897" spans="1:10" hidden="1" x14ac:dyDescent="0.25">
      <c r="A2897" s="112" t="s">
        <v>7078</v>
      </c>
      <c r="B2897" s="113" t="s">
        <v>7079</v>
      </c>
      <c r="C2897" s="114" t="s">
        <v>92</v>
      </c>
      <c r="D2897" s="114">
        <v>0</v>
      </c>
      <c r="E2897" s="133">
        <f ca="1">OFFSET(INDEX(Composições!A:J,MATCH(Orçamentária!A2897,Composições!A:A,0),8),2,0)</f>
        <v>25.640499999999996</v>
      </c>
      <c r="F2897" s="134">
        <f t="shared" ca="1" si="153"/>
        <v>0</v>
      </c>
      <c r="G2897" s="135" t="e">
        <f>IF(A2897&lt;&gt;"",IF(AND(#REF!="Padrão",$H$4=#REF!),BDI!$B$17,IF(AND(#REF!="Padrão",$H$4=#REF!),BDI!#REF!,IF(AND(#REF!="Diferenciado",$H$4=#REF!),BDI!$E$17,IF(AND(#REF!="Diferenciado",$H$4=#REF!),BDI!#REF!,IF(#REF!="ZERO",0))))),"")</f>
        <v>#REF!</v>
      </c>
      <c r="H2897" s="136" t="e">
        <f t="shared" ca="1" si="154"/>
        <v>#REF!</v>
      </c>
      <c r="I2897" s="134" t="e">
        <f t="shared" ca="1" si="155"/>
        <v>#REF!</v>
      </c>
      <c r="J2897" s="226"/>
    </row>
    <row r="2898" spans="1:10" hidden="1" x14ac:dyDescent="0.25">
      <c r="A2898" s="112" t="s">
        <v>7080</v>
      </c>
      <c r="B2898" s="113" t="s">
        <v>7081</v>
      </c>
      <c r="C2898" s="114" t="s">
        <v>92</v>
      </c>
      <c r="D2898" s="114">
        <v>0</v>
      </c>
      <c r="E2898" s="133">
        <f ca="1">OFFSET(INDEX(Composições!A:J,MATCH(Orçamentária!A2898,Composições!A:A,0),8),2,0)</f>
        <v>95.370499999999993</v>
      </c>
      <c r="F2898" s="134">
        <f t="shared" ca="1" si="153"/>
        <v>0</v>
      </c>
      <c r="G2898" s="135" t="e">
        <f>IF(A2898&lt;&gt;"",IF(AND(#REF!="Padrão",$H$4=#REF!),BDI!$B$17,IF(AND(#REF!="Padrão",$H$4=#REF!),BDI!#REF!,IF(AND(#REF!="Diferenciado",$H$4=#REF!),BDI!$E$17,IF(AND(#REF!="Diferenciado",$H$4=#REF!),BDI!#REF!,IF(#REF!="ZERO",0))))),"")</f>
        <v>#REF!</v>
      </c>
      <c r="H2898" s="136" t="e">
        <f t="shared" ca="1" si="154"/>
        <v>#REF!</v>
      </c>
      <c r="I2898" s="134" t="e">
        <f t="shared" ca="1" si="155"/>
        <v>#REF!</v>
      </c>
      <c r="J2898" s="226"/>
    </row>
    <row r="2899" spans="1:10" hidden="1" x14ac:dyDescent="0.25">
      <c r="A2899" s="112" t="s">
        <v>7082</v>
      </c>
      <c r="B2899" s="113" t="s">
        <v>7083</v>
      </c>
      <c r="C2899" s="114" t="s">
        <v>92</v>
      </c>
      <c r="D2899" s="114">
        <v>0</v>
      </c>
      <c r="E2899" s="133">
        <f ca="1">OFFSET(INDEX(Composições!A:J,MATCH(Orçamentária!A2899,Composições!A:A,0),8),2,0)</f>
        <v>61.227499999999999</v>
      </c>
      <c r="F2899" s="134">
        <f t="shared" ca="1" si="153"/>
        <v>0</v>
      </c>
      <c r="G2899" s="135" t="e">
        <f>IF(A2899&lt;&gt;"",IF(AND(#REF!="Padrão",$H$4=#REF!),BDI!$B$17,IF(AND(#REF!="Padrão",$H$4=#REF!),BDI!#REF!,IF(AND(#REF!="Diferenciado",$H$4=#REF!),BDI!$E$17,IF(AND(#REF!="Diferenciado",$H$4=#REF!),BDI!#REF!,IF(#REF!="ZERO",0))))),"")</f>
        <v>#REF!</v>
      </c>
      <c r="H2899" s="136" t="e">
        <f t="shared" ca="1" si="154"/>
        <v>#REF!</v>
      </c>
      <c r="I2899" s="134" t="e">
        <f t="shared" ca="1" si="155"/>
        <v>#REF!</v>
      </c>
      <c r="J2899" s="226"/>
    </row>
    <row r="2900" spans="1:10" hidden="1" x14ac:dyDescent="0.25">
      <c r="A2900" s="112" t="s">
        <v>7084</v>
      </c>
      <c r="B2900" s="113" t="s">
        <v>7085</v>
      </c>
      <c r="C2900" s="114" t="s">
        <v>92</v>
      </c>
      <c r="D2900" s="114">
        <v>0</v>
      </c>
      <c r="E2900" s="133">
        <f ca="1">OFFSET(INDEX(Composições!A:J,MATCH(Orçamentária!A2900,Composições!A:A,0),8),2,0)</f>
        <v>123.348</v>
      </c>
      <c r="F2900" s="134">
        <f t="shared" ca="1" si="153"/>
        <v>0</v>
      </c>
      <c r="G2900" s="135" t="e">
        <f>IF(A2900&lt;&gt;"",IF(AND(#REF!="Padrão",$H$4=#REF!),BDI!$B$17,IF(AND(#REF!="Padrão",$H$4=#REF!),BDI!#REF!,IF(AND(#REF!="Diferenciado",$H$4=#REF!),BDI!$E$17,IF(AND(#REF!="Diferenciado",$H$4=#REF!),BDI!#REF!,IF(#REF!="ZERO",0))))),"")</f>
        <v>#REF!</v>
      </c>
      <c r="H2900" s="136" t="e">
        <f t="shared" ca="1" si="154"/>
        <v>#REF!</v>
      </c>
      <c r="I2900" s="134" t="e">
        <f t="shared" ca="1" si="155"/>
        <v>#REF!</v>
      </c>
      <c r="J2900" s="226"/>
    </row>
    <row r="2901" spans="1:10" hidden="1" x14ac:dyDescent="0.25">
      <c r="A2901" s="112" t="s">
        <v>7086</v>
      </c>
      <c r="B2901" s="113" t="s">
        <v>7087</v>
      </c>
      <c r="C2901" s="114" t="s">
        <v>92</v>
      </c>
      <c r="D2901" s="114">
        <v>0</v>
      </c>
      <c r="E2901" s="133">
        <f ca="1">OFFSET(INDEX(Composições!A:J,MATCH(Orçamentária!A2901,Composições!A:A,0),8),2,0)</f>
        <v>13.214499999999999</v>
      </c>
      <c r="F2901" s="134">
        <f t="shared" ca="1" si="153"/>
        <v>0</v>
      </c>
      <c r="G2901" s="135" t="e">
        <f>IF(A2901&lt;&gt;"",IF(AND(#REF!="Padrão",$H$4=#REF!),BDI!$B$17,IF(AND(#REF!="Padrão",$H$4=#REF!),BDI!#REF!,IF(AND(#REF!="Diferenciado",$H$4=#REF!),BDI!$E$17,IF(AND(#REF!="Diferenciado",$H$4=#REF!),BDI!#REF!,IF(#REF!="ZERO",0))))),"")</f>
        <v>#REF!</v>
      </c>
      <c r="H2901" s="136" t="e">
        <f t="shared" ca="1" si="154"/>
        <v>#REF!</v>
      </c>
      <c r="I2901" s="134" t="e">
        <f t="shared" ca="1" si="155"/>
        <v>#REF!</v>
      </c>
      <c r="J2901" s="226"/>
    </row>
    <row r="2902" spans="1:10" hidden="1" x14ac:dyDescent="0.25">
      <c r="A2902" s="112" t="s">
        <v>7088</v>
      </c>
      <c r="B2902" s="113" t="s">
        <v>7089</v>
      </c>
      <c r="C2902" s="114" t="s">
        <v>92</v>
      </c>
      <c r="D2902" s="114">
        <v>0</v>
      </c>
      <c r="E2902" s="133">
        <f ca="1">OFFSET(INDEX(Composições!A:J,MATCH(Orçamentária!A2902,Composições!A:A,0),8),2,0)</f>
        <v>148.91249999999999</v>
      </c>
      <c r="F2902" s="134">
        <f t="shared" ca="1" si="153"/>
        <v>0</v>
      </c>
      <c r="G2902" s="135" t="e">
        <f>IF(A2902&lt;&gt;"",IF(AND(#REF!="Padrão",$H$4=#REF!),BDI!$B$17,IF(AND(#REF!="Padrão",$H$4=#REF!),BDI!#REF!,IF(AND(#REF!="Diferenciado",$H$4=#REF!),BDI!$E$17,IF(AND(#REF!="Diferenciado",$H$4=#REF!),BDI!#REF!,IF(#REF!="ZERO",0))))),"")</f>
        <v>#REF!</v>
      </c>
      <c r="H2902" s="136" t="e">
        <f t="shared" ca="1" si="154"/>
        <v>#REF!</v>
      </c>
      <c r="I2902" s="134" t="e">
        <f t="shared" ca="1" si="155"/>
        <v>#REF!</v>
      </c>
      <c r="J2902" s="226"/>
    </row>
    <row r="2903" spans="1:10" hidden="1" x14ac:dyDescent="0.25">
      <c r="A2903" s="112" t="s">
        <v>7090</v>
      </c>
      <c r="B2903" s="113" t="s">
        <v>7091</v>
      </c>
      <c r="C2903" s="114" t="s">
        <v>92</v>
      </c>
      <c r="D2903" s="114">
        <v>0</v>
      </c>
      <c r="E2903" s="133">
        <f ca="1">OFFSET(INDEX(Composições!A:J,MATCH(Orçamentária!A2903,Composições!A:A,0),8),2,0)</f>
        <v>224.51349999999999</v>
      </c>
      <c r="F2903" s="134">
        <f t="shared" ref="F2903:F2966" ca="1" si="156">IF(ISNUMBER(E2903),D2903*E2903,"")</f>
        <v>0</v>
      </c>
      <c r="G2903" s="135" t="e">
        <f>IF(A2903&lt;&gt;"",IF(AND(#REF!="Padrão",$H$4=#REF!),BDI!$B$17,IF(AND(#REF!="Padrão",$H$4=#REF!),BDI!#REF!,IF(AND(#REF!="Diferenciado",$H$4=#REF!),BDI!$E$17,IF(AND(#REF!="Diferenciado",$H$4=#REF!),BDI!#REF!,IF(#REF!="ZERO",0))))),"")</f>
        <v>#REF!</v>
      </c>
      <c r="H2903" s="136" t="e">
        <f t="shared" ref="H2903:H2966" ca="1" si="157">IF(ISNUMBER(E2903),ROUND(E2903*(1+G2903),2),"")</f>
        <v>#REF!</v>
      </c>
      <c r="I2903" s="134" t="e">
        <f t="shared" ref="I2903:I2966" ca="1" si="158">IF(ISNUMBER(E2903),ROUND(H2903*D2903,2),"")</f>
        <v>#REF!</v>
      </c>
      <c r="J2903" s="226"/>
    </row>
    <row r="2904" spans="1:10" hidden="1" x14ac:dyDescent="0.25">
      <c r="A2904" s="112" t="s">
        <v>7092</v>
      </c>
      <c r="B2904" s="113" t="s">
        <v>7093</v>
      </c>
      <c r="C2904" s="114" t="s">
        <v>92</v>
      </c>
      <c r="D2904" s="114">
        <v>0</v>
      </c>
      <c r="E2904" s="133">
        <f ca="1">OFFSET(INDEX(Composições!A:J,MATCH(Orçamentária!A2904,Composições!A:A,0),8),2,0)</f>
        <v>3.8189999999999995</v>
      </c>
      <c r="F2904" s="134">
        <f t="shared" ca="1" si="156"/>
        <v>0</v>
      </c>
      <c r="G2904" s="135" t="e">
        <f>IF(A2904&lt;&gt;"",IF(AND(#REF!="Padrão",$H$4=#REF!),BDI!$B$17,IF(AND(#REF!="Padrão",$H$4=#REF!),BDI!#REF!,IF(AND(#REF!="Diferenciado",$H$4=#REF!),BDI!$E$17,IF(AND(#REF!="Diferenciado",$H$4=#REF!),BDI!#REF!,IF(#REF!="ZERO",0))))),"")</f>
        <v>#REF!</v>
      </c>
      <c r="H2904" s="136" t="e">
        <f t="shared" ca="1" si="157"/>
        <v>#REF!</v>
      </c>
      <c r="I2904" s="134" t="e">
        <f t="shared" ca="1" si="158"/>
        <v>#REF!</v>
      </c>
      <c r="J2904" s="226"/>
    </row>
    <row r="2905" spans="1:10" hidden="1" x14ac:dyDescent="0.25">
      <c r="A2905" s="112" t="s">
        <v>7094</v>
      </c>
      <c r="B2905" s="113" t="s">
        <v>6323</v>
      </c>
      <c r="C2905" s="114" t="s">
        <v>92</v>
      </c>
      <c r="D2905" s="114">
        <v>0</v>
      </c>
      <c r="E2905" s="133">
        <f ca="1">OFFSET(INDEX(Composições!A:J,MATCH(Orçamentária!A2905,Composições!A:A,0),8),2,0)</f>
        <v>4.9020000000000001</v>
      </c>
      <c r="F2905" s="134">
        <f t="shared" ca="1" si="156"/>
        <v>0</v>
      </c>
      <c r="G2905" s="135" t="e">
        <f>IF(A2905&lt;&gt;"",IF(AND(#REF!="Padrão",$H$4=#REF!),BDI!$B$17,IF(AND(#REF!="Padrão",$H$4=#REF!),BDI!#REF!,IF(AND(#REF!="Diferenciado",$H$4=#REF!),BDI!$E$17,IF(AND(#REF!="Diferenciado",$H$4=#REF!),BDI!#REF!,IF(#REF!="ZERO",0))))),"")</f>
        <v>#REF!</v>
      </c>
      <c r="H2905" s="136" t="e">
        <f t="shared" ca="1" si="157"/>
        <v>#REF!</v>
      </c>
      <c r="I2905" s="134" t="e">
        <f t="shared" ca="1" si="158"/>
        <v>#REF!</v>
      </c>
      <c r="J2905" s="226"/>
    </row>
    <row r="2906" spans="1:10" hidden="1" x14ac:dyDescent="0.25">
      <c r="A2906" s="112" t="s">
        <v>7095</v>
      </c>
      <c r="B2906" s="113" t="s">
        <v>6324</v>
      </c>
      <c r="C2906" s="114" t="s">
        <v>92</v>
      </c>
      <c r="D2906" s="114">
        <v>0</v>
      </c>
      <c r="E2906" s="133">
        <f ca="1">OFFSET(INDEX(Composições!A:J,MATCH(Orçamentária!A2906,Composições!A:A,0),8),2,0)</f>
        <v>11.010499999999999</v>
      </c>
      <c r="F2906" s="134">
        <f t="shared" ca="1" si="156"/>
        <v>0</v>
      </c>
      <c r="G2906" s="135" t="e">
        <f>IF(A2906&lt;&gt;"",IF(AND(#REF!="Padrão",$H$4=#REF!),BDI!$B$17,IF(AND(#REF!="Padrão",$H$4=#REF!),BDI!#REF!,IF(AND(#REF!="Diferenciado",$H$4=#REF!),BDI!$E$17,IF(AND(#REF!="Diferenciado",$H$4=#REF!),BDI!#REF!,IF(#REF!="ZERO",0))))),"")</f>
        <v>#REF!</v>
      </c>
      <c r="H2906" s="136" t="e">
        <f t="shared" ca="1" si="157"/>
        <v>#REF!</v>
      </c>
      <c r="I2906" s="134" t="e">
        <f t="shared" ca="1" si="158"/>
        <v>#REF!</v>
      </c>
      <c r="J2906" s="226"/>
    </row>
    <row r="2907" spans="1:10" hidden="1" x14ac:dyDescent="0.25">
      <c r="A2907" s="112" t="s">
        <v>7096</v>
      </c>
      <c r="B2907" s="113" t="s">
        <v>6325</v>
      </c>
      <c r="C2907" s="114" t="s">
        <v>92</v>
      </c>
      <c r="D2907" s="114">
        <v>0</v>
      </c>
      <c r="E2907" s="133">
        <f ca="1">OFFSET(INDEX(Composições!A:J,MATCH(Orçamentária!A2907,Composições!A:A,0),8),2,0)</f>
        <v>16.026499999999999</v>
      </c>
      <c r="F2907" s="134">
        <f t="shared" ca="1" si="156"/>
        <v>0</v>
      </c>
      <c r="G2907" s="135" t="e">
        <f>IF(A2907&lt;&gt;"",IF(AND(#REF!="Padrão",$H$4=#REF!),BDI!$B$17,IF(AND(#REF!="Padrão",$H$4=#REF!),BDI!#REF!,IF(AND(#REF!="Diferenciado",$H$4=#REF!),BDI!$E$17,IF(AND(#REF!="Diferenciado",$H$4=#REF!),BDI!#REF!,IF(#REF!="ZERO",0))))),"")</f>
        <v>#REF!</v>
      </c>
      <c r="H2907" s="136" t="e">
        <f t="shared" ca="1" si="157"/>
        <v>#REF!</v>
      </c>
      <c r="I2907" s="134" t="e">
        <f t="shared" ca="1" si="158"/>
        <v>#REF!</v>
      </c>
      <c r="J2907" s="226"/>
    </row>
    <row r="2908" spans="1:10" hidden="1" x14ac:dyDescent="0.25">
      <c r="A2908" s="112" t="s">
        <v>7097</v>
      </c>
      <c r="B2908" s="113" t="s">
        <v>6326</v>
      </c>
      <c r="C2908" s="114" t="s">
        <v>92</v>
      </c>
      <c r="D2908" s="114">
        <v>0</v>
      </c>
      <c r="E2908" s="133">
        <f ca="1">OFFSET(INDEX(Composições!A:J,MATCH(Orçamentária!A2908,Composições!A:A,0),8),2,0)</f>
        <v>18.353999999999999</v>
      </c>
      <c r="F2908" s="134">
        <f t="shared" ca="1" si="156"/>
        <v>0</v>
      </c>
      <c r="G2908" s="135" t="e">
        <f>IF(A2908&lt;&gt;"",IF(AND(#REF!="Padrão",$H$4=#REF!),BDI!$B$17,IF(AND(#REF!="Padrão",$H$4=#REF!),BDI!#REF!,IF(AND(#REF!="Diferenciado",$H$4=#REF!),BDI!$E$17,IF(AND(#REF!="Diferenciado",$H$4=#REF!),BDI!#REF!,IF(#REF!="ZERO",0))))),"")</f>
        <v>#REF!</v>
      </c>
      <c r="H2908" s="136" t="e">
        <f t="shared" ca="1" si="157"/>
        <v>#REF!</v>
      </c>
      <c r="I2908" s="134" t="e">
        <f t="shared" ca="1" si="158"/>
        <v>#REF!</v>
      </c>
      <c r="J2908" s="226"/>
    </row>
    <row r="2909" spans="1:10" hidden="1" x14ac:dyDescent="0.25">
      <c r="A2909" s="112" t="s">
        <v>7098</v>
      </c>
      <c r="B2909" s="113" t="s">
        <v>7099</v>
      </c>
      <c r="C2909" s="114" t="s">
        <v>92</v>
      </c>
      <c r="D2909" s="114">
        <v>0</v>
      </c>
      <c r="E2909" s="133">
        <f ca="1">OFFSET(INDEX(Composições!A:J,MATCH(Orçamentária!A2909,Composições!A:A,0),8),2,0)</f>
        <v>30.97</v>
      </c>
      <c r="F2909" s="134">
        <f t="shared" ca="1" si="156"/>
        <v>0</v>
      </c>
      <c r="G2909" s="135" t="e">
        <f>IF(A2909&lt;&gt;"",IF(AND(#REF!="Padrão",$H$4=#REF!),BDI!$B$17,IF(AND(#REF!="Padrão",$H$4=#REF!),BDI!#REF!,IF(AND(#REF!="Diferenciado",$H$4=#REF!),BDI!$E$17,IF(AND(#REF!="Diferenciado",$H$4=#REF!),BDI!#REF!,IF(#REF!="ZERO",0))))),"")</f>
        <v>#REF!</v>
      </c>
      <c r="H2909" s="136" t="e">
        <f t="shared" ca="1" si="157"/>
        <v>#REF!</v>
      </c>
      <c r="I2909" s="134" t="e">
        <f t="shared" ca="1" si="158"/>
        <v>#REF!</v>
      </c>
      <c r="J2909" s="226"/>
    </row>
    <row r="2910" spans="1:10" hidden="1" x14ac:dyDescent="0.25">
      <c r="A2910" s="112" t="s">
        <v>7100</v>
      </c>
      <c r="B2910" s="113" t="s">
        <v>7101</v>
      </c>
      <c r="C2910" s="114" t="s">
        <v>92</v>
      </c>
      <c r="D2910" s="114">
        <v>0</v>
      </c>
      <c r="E2910" s="133">
        <f ca="1">OFFSET(INDEX(Composições!A:J,MATCH(Orçamentária!A2910,Composições!A:A,0),8),2,0)</f>
        <v>51.8795</v>
      </c>
      <c r="F2910" s="134">
        <f t="shared" ca="1" si="156"/>
        <v>0</v>
      </c>
      <c r="G2910" s="135" t="e">
        <f>IF(A2910&lt;&gt;"",IF(AND(#REF!="Padrão",$H$4=#REF!),BDI!$B$17,IF(AND(#REF!="Padrão",$H$4=#REF!),BDI!#REF!,IF(AND(#REF!="Diferenciado",$H$4=#REF!),BDI!$E$17,IF(AND(#REF!="Diferenciado",$H$4=#REF!),BDI!#REF!,IF(#REF!="ZERO",0))))),"")</f>
        <v>#REF!</v>
      </c>
      <c r="H2910" s="136" t="e">
        <f t="shared" ca="1" si="157"/>
        <v>#REF!</v>
      </c>
      <c r="I2910" s="134" t="e">
        <f t="shared" ca="1" si="158"/>
        <v>#REF!</v>
      </c>
      <c r="J2910" s="226"/>
    </row>
    <row r="2911" spans="1:10" hidden="1" x14ac:dyDescent="0.25">
      <c r="A2911" s="112" t="s">
        <v>7102</v>
      </c>
      <c r="B2911" s="113" t="s">
        <v>7103</v>
      </c>
      <c r="C2911" s="114" t="s">
        <v>92</v>
      </c>
      <c r="D2911" s="114">
        <v>0</v>
      </c>
      <c r="E2911" s="133">
        <f ca="1">OFFSET(INDEX(Composições!A:J,MATCH(Orçamentária!A2911,Composições!A:A,0),8),2,0)</f>
        <v>64.827999999999989</v>
      </c>
      <c r="F2911" s="134">
        <f t="shared" ca="1" si="156"/>
        <v>0</v>
      </c>
      <c r="G2911" s="135" t="e">
        <f>IF(A2911&lt;&gt;"",IF(AND(#REF!="Padrão",$H$4=#REF!),BDI!$B$17,IF(AND(#REF!="Padrão",$H$4=#REF!),BDI!#REF!,IF(AND(#REF!="Diferenciado",$H$4=#REF!),BDI!$E$17,IF(AND(#REF!="Diferenciado",$H$4=#REF!),BDI!#REF!,IF(#REF!="ZERO",0))))),"")</f>
        <v>#REF!</v>
      </c>
      <c r="H2911" s="136" t="e">
        <f t="shared" ca="1" si="157"/>
        <v>#REF!</v>
      </c>
      <c r="I2911" s="134" t="e">
        <f t="shared" ca="1" si="158"/>
        <v>#REF!</v>
      </c>
      <c r="J2911" s="226"/>
    </row>
    <row r="2912" spans="1:10" hidden="1" x14ac:dyDescent="0.25">
      <c r="A2912" s="112" t="s">
        <v>7104</v>
      </c>
      <c r="B2912" s="113" t="s">
        <v>7105</v>
      </c>
      <c r="C2912" s="114" t="s">
        <v>92</v>
      </c>
      <c r="D2912" s="114">
        <v>0</v>
      </c>
      <c r="E2912" s="133">
        <f ca="1">OFFSET(INDEX(Composições!A:J,MATCH(Orçamentária!A2912,Composições!A:A,0),8),2,0)</f>
        <v>103.9965</v>
      </c>
      <c r="F2912" s="134">
        <f t="shared" ca="1" si="156"/>
        <v>0</v>
      </c>
      <c r="G2912" s="135" t="e">
        <f>IF(A2912&lt;&gt;"",IF(AND(#REF!="Padrão",$H$4=#REF!),BDI!$B$17,IF(AND(#REF!="Padrão",$H$4=#REF!),BDI!#REF!,IF(AND(#REF!="Diferenciado",$H$4=#REF!),BDI!$E$17,IF(AND(#REF!="Diferenciado",$H$4=#REF!),BDI!#REF!,IF(#REF!="ZERO",0))))),"")</f>
        <v>#REF!</v>
      </c>
      <c r="H2912" s="136" t="e">
        <f t="shared" ca="1" si="157"/>
        <v>#REF!</v>
      </c>
      <c r="I2912" s="134" t="e">
        <f t="shared" ca="1" si="158"/>
        <v>#REF!</v>
      </c>
      <c r="J2912" s="226"/>
    </row>
    <row r="2913" spans="1:10" hidden="1" x14ac:dyDescent="0.25">
      <c r="A2913" s="112" t="s">
        <v>7106</v>
      </c>
      <c r="B2913" s="113" t="s">
        <v>7107</v>
      </c>
      <c r="C2913" s="114" t="s">
        <v>20</v>
      </c>
      <c r="D2913" s="114">
        <v>0</v>
      </c>
      <c r="E2913" s="133" t="s">
        <v>514</v>
      </c>
      <c r="F2913" s="134" t="str">
        <f t="shared" si="156"/>
        <v/>
      </c>
      <c r="G2913" s="135" t="e">
        <f>IF(A2913&lt;&gt;"",IF(AND(#REF!="Padrão",$H$4=#REF!),BDI!$B$17,IF(AND(#REF!="Padrão",$H$4=#REF!),BDI!#REF!,IF(AND(#REF!="Diferenciado",$H$4=#REF!),BDI!$E$17,IF(AND(#REF!="Diferenciado",$H$4=#REF!),BDI!#REF!,IF(#REF!="ZERO",0))))),"")</f>
        <v>#REF!</v>
      </c>
      <c r="H2913" s="136" t="str">
        <f t="shared" si="157"/>
        <v/>
      </c>
      <c r="I2913" s="134" t="str">
        <f t="shared" si="158"/>
        <v/>
      </c>
      <c r="J2913" s="226"/>
    </row>
    <row r="2914" spans="1:10" hidden="1" x14ac:dyDescent="0.25">
      <c r="A2914" s="112" t="s">
        <v>7108</v>
      </c>
      <c r="B2914" s="113" t="s">
        <v>7109</v>
      </c>
      <c r="C2914" s="114" t="s">
        <v>20</v>
      </c>
      <c r="D2914" s="114">
        <v>0</v>
      </c>
      <c r="E2914" s="133" t="s">
        <v>514</v>
      </c>
      <c r="F2914" s="134" t="str">
        <f t="shared" si="156"/>
        <v/>
      </c>
      <c r="G2914" s="135" t="e">
        <f>IF(A2914&lt;&gt;"",IF(AND(#REF!="Padrão",$H$4=#REF!),BDI!$B$17,IF(AND(#REF!="Padrão",$H$4=#REF!),BDI!#REF!,IF(AND(#REF!="Diferenciado",$H$4=#REF!),BDI!$E$17,IF(AND(#REF!="Diferenciado",$H$4=#REF!),BDI!#REF!,IF(#REF!="ZERO",0))))),"")</f>
        <v>#REF!</v>
      </c>
      <c r="H2914" s="136" t="str">
        <f t="shared" si="157"/>
        <v/>
      </c>
      <c r="I2914" s="134" t="str">
        <f t="shared" si="158"/>
        <v/>
      </c>
      <c r="J2914" s="226"/>
    </row>
    <row r="2915" spans="1:10" hidden="1" x14ac:dyDescent="0.25">
      <c r="A2915" s="112" t="s">
        <v>7110</v>
      </c>
      <c r="B2915" s="113" t="s">
        <v>7111</v>
      </c>
      <c r="C2915" s="114" t="s">
        <v>20</v>
      </c>
      <c r="D2915" s="114">
        <v>0</v>
      </c>
      <c r="E2915" s="133" t="s">
        <v>514</v>
      </c>
      <c r="F2915" s="134" t="str">
        <f t="shared" si="156"/>
        <v/>
      </c>
      <c r="G2915" s="135" t="e">
        <f>IF(A2915&lt;&gt;"",IF(AND(#REF!="Padrão",$H$4=#REF!),BDI!$B$17,IF(AND(#REF!="Padrão",$H$4=#REF!),BDI!#REF!,IF(AND(#REF!="Diferenciado",$H$4=#REF!),BDI!$E$17,IF(AND(#REF!="Diferenciado",$H$4=#REF!),BDI!#REF!,IF(#REF!="ZERO",0))))),"")</f>
        <v>#REF!</v>
      </c>
      <c r="H2915" s="136" t="str">
        <f t="shared" si="157"/>
        <v/>
      </c>
      <c r="I2915" s="134" t="str">
        <f t="shared" si="158"/>
        <v/>
      </c>
      <c r="J2915" s="226"/>
    </row>
    <row r="2916" spans="1:10" hidden="1" x14ac:dyDescent="0.25">
      <c r="A2916" s="112" t="s">
        <v>7112</v>
      </c>
      <c r="B2916" s="113" t="s">
        <v>7113</v>
      </c>
      <c r="C2916" s="114" t="s">
        <v>20</v>
      </c>
      <c r="D2916" s="114">
        <v>0</v>
      </c>
      <c r="E2916" s="133" t="s">
        <v>514</v>
      </c>
      <c r="F2916" s="134" t="str">
        <f t="shared" si="156"/>
        <v/>
      </c>
      <c r="G2916" s="135" t="e">
        <f>IF(A2916&lt;&gt;"",IF(AND(#REF!="Padrão",$H$4=#REF!),BDI!$B$17,IF(AND(#REF!="Padrão",$H$4=#REF!),BDI!#REF!,IF(AND(#REF!="Diferenciado",$H$4=#REF!),BDI!$E$17,IF(AND(#REF!="Diferenciado",$H$4=#REF!),BDI!#REF!,IF(#REF!="ZERO",0))))),"")</f>
        <v>#REF!</v>
      </c>
      <c r="H2916" s="136" t="str">
        <f t="shared" si="157"/>
        <v/>
      </c>
      <c r="I2916" s="134" t="str">
        <f t="shared" si="158"/>
        <v/>
      </c>
      <c r="J2916" s="226"/>
    </row>
    <row r="2917" spans="1:10" hidden="1" x14ac:dyDescent="0.25">
      <c r="A2917" s="112" t="s">
        <v>7114</v>
      </c>
      <c r="B2917" s="113" t="s">
        <v>7115</v>
      </c>
      <c r="C2917" s="114" t="s">
        <v>20</v>
      </c>
      <c r="D2917" s="114">
        <v>0</v>
      </c>
      <c r="E2917" s="133" t="s">
        <v>514</v>
      </c>
      <c r="F2917" s="134" t="str">
        <f t="shared" si="156"/>
        <v/>
      </c>
      <c r="G2917" s="135" t="e">
        <f>IF(A2917&lt;&gt;"",IF(AND(#REF!="Padrão",$H$4=#REF!),BDI!$B$17,IF(AND(#REF!="Padrão",$H$4=#REF!),BDI!#REF!,IF(AND(#REF!="Diferenciado",$H$4=#REF!),BDI!$E$17,IF(AND(#REF!="Diferenciado",$H$4=#REF!),BDI!#REF!,IF(#REF!="ZERO",0))))),"")</f>
        <v>#REF!</v>
      </c>
      <c r="H2917" s="136" t="str">
        <f t="shared" si="157"/>
        <v/>
      </c>
      <c r="I2917" s="134" t="str">
        <f t="shared" si="158"/>
        <v/>
      </c>
      <c r="J2917" s="226"/>
    </row>
    <row r="2918" spans="1:10" hidden="1" x14ac:dyDescent="0.25">
      <c r="A2918" s="112" t="s">
        <v>7116</v>
      </c>
      <c r="B2918" s="113" t="s">
        <v>7788</v>
      </c>
      <c r="C2918" s="114" t="s">
        <v>1905</v>
      </c>
      <c r="D2918" s="114">
        <v>0</v>
      </c>
      <c r="E2918" s="133" t="s">
        <v>514</v>
      </c>
      <c r="F2918" s="134" t="str">
        <f t="shared" si="156"/>
        <v/>
      </c>
      <c r="G2918" s="135" t="e">
        <f>IF(A2918&lt;&gt;"",IF(AND(#REF!="Padrão",$H$4=#REF!),BDI!$B$17,IF(AND(#REF!="Padrão",$H$4=#REF!),BDI!#REF!,IF(AND(#REF!="Diferenciado",$H$4=#REF!),BDI!$E$17,IF(AND(#REF!="Diferenciado",$H$4=#REF!),BDI!#REF!,IF(#REF!="ZERO",0))))),"")</f>
        <v>#REF!</v>
      </c>
      <c r="H2918" s="136" t="str">
        <f t="shared" si="157"/>
        <v/>
      </c>
      <c r="I2918" s="134" t="str">
        <f t="shared" si="158"/>
        <v/>
      </c>
      <c r="J2918" s="226"/>
    </row>
    <row r="2919" spans="1:10" hidden="1" x14ac:dyDescent="0.25">
      <c r="A2919" s="112" t="s">
        <v>7117</v>
      </c>
      <c r="B2919" s="113" t="s">
        <v>7118</v>
      </c>
      <c r="C2919" s="114" t="s">
        <v>20</v>
      </c>
      <c r="D2919" s="114">
        <v>0</v>
      </c>
      <c r="E2919" s="133" t="s">
        <v>514</v>
      </c>
      <c r="F2919" s="134" t="str">
        <f t="shared" si="156"/>
        <v/>
      </c>
      <c r="G2919" s="135" t="e">
        <f>IF(A2919&lt;&gt;"",IF(AND(#REF!="Padrão",$H$4=#REF!),BDI!$B$17,IF(AND(#REF!="Padrão",$H$4=#REF!),BDI!#REF!,IF(AND(#REF!="Diferenciado",$H$4=#REF!),BDI!$E$17,IF(AND(#REF!="Diferenciado",$H$4=#REF!),BDI!#REF!,IF(#REF!="ZERO",0))))),"")</f>
        <v>#REF!</v>
      </c>
      <c r="H2919" s="136" t="str">
        <f t="shared" si="157"/>
        <v/>
      </c>
      <c r="I2919" s="134" t="str">
        <f t="shared" si="158"/>
        <v/>
      </c>
      <c r="J2919" s="226"/>
    </row>
    <row r="2920" spans="1:10" hidden="1" x14ac:dyDescent="0.25">
      <c r="A2920" s="112" t="s">
        <v>7119</v>
      </c>
      <c r="B2920" s="113" t="s">
        <v>7120</v>
      </c>
      <c r="C2920" s="114" t="s">
        <v>20</v>
      </c>
      <c r="D2920" s="114">
        <v>0</v>
      </c>
      <c r="E2920" s="133" t="s">
        <v>514</v>
      </c>
      <c r="F2920" s="134" t="str">
        <f t="shared" si="156"/>
        <v/>
      </c>
      <c r="G2920" s="135" t="e">
        <f>IF(A2920&lt;&gt;"",IF(AND(#REF!="Padrão",$H$4=#REF!),BDI!$B$17,IF(AND(#REF!="Padrão",$H$4=#REF!),BDI!#REF!,IF(AND(#REF!="Diferenciado",$H$4=#REF!),BDI!$E$17,IF(AND(#REF!="Diferenciado",$H$4=#REF!),BDI!#REF!,IF(#REF!="ZERO",0))))),"")</f>
        <v>#REF!</v>
      </c>
      <c r="H2920" s="136" t="str">
        <f t="shared" si="157"/>
        <v/>
      </c>
      <c r="I2920" s="134" t="str">
        <f t="shared" si="158"/>
        <v/>
      </c>
      <c r="J2920" s="226"/>
    </row>
    <row r="2921" spans="1:10" hidden="1" x14ac:dyDescent="0.25">
      <c r="A2921" s="112" t="s">
        <v>7121</v>
      </c>
      <c r="B2921" s="113" t="s">
        <v>3459</v>
      </c>
      <c r="C2921" s="114" t="s">
        <v>20</v>
      </c>
      <c r="D2921" s="114">
        <v>0</v>
      </c>
      <c r="E2921" s="133" t="s">
        <v>514</v>
      </c>
      <c r="F2921" s="134" t="str">
        <f t="shared" si="156"/>
        <v/>
      </c>
      <c r="G2921" s="135" t="e">
        <f>IF(A2921&lt;&gt;"",IF(AND(#REF!="Padrão",$H$4=#REF!),BDI!$B$17,IF(AND(#REF!="Padrão",$H$4=#REF!),BDI!#REF!,IF(AND(#REF!="Diferenciado",$H$4=#REF!),BDI!$E$17,IF(AND(#REF!="Diferenciado",$H$4=#REF!),BDI!#REF!,IF(#REF!="ZERO",0))))),"")</f>
        <v>#REF!</v>
      </c>
      <c r="H2921" s="136" t="str">
        <f t="shared" si="157"/>
        <v/>
      </c>
      <c r="I2921" s="134" t="str">
        <f t="shared" si="158"/>
        <v/>
      </c>
      <c r="J2921" s="226"/>
    </row>
    <row r="2922" spans="1:10" hidden="1" x14ac:dyDescent="0.25">
      <c r="A2922" s="112" t="s">
        <v>7122</v>
      </c>
      <c r="B2922" s="113" t="s">
        <v>3460</v>
      </c>
      <c r="C2922" s="114" t="s">
        <v>20</v>
      </c>
      <c r="D2922" s="114">
        <v>0</v>
      </c>
      <c r="E2922" s="133" t="s">
        <v>514</v>
      </c>
      <c r="F2922" s="134" t="str">
        <f t="shared" si="156"/>
        <v/>
      </c>
      <c r="G2922" s="135" t="e">
        <f>IF(A2922&lt;&gt;"",IF(AND(#REF!="Padrão",$H$4=#REF!),BDI!$B$17,IF(AND(#REF!="Padrão",$H$4=#REF!),BDI!#REF!,IF(AND(#REF!="Diferenciado",$H$4=#REF!),BDI!$E$17,IF(AND(#REF!="Diferenciado",$H$4=#REF!),BDI!#REF!,IF(#REF!="ZERO",0))))),"")</f>
        <v>#REF!</v>
      </c>
      <c r="H2922" s="136" t="str">
        <f t="shared" si="157"/>
        <v/>
      </c>
      <c r="I2922" s="134" t="str">
        <f t="shared" si="158"/>
        <v/>
      </c>
      <c r="J2922" s="226"/>
    </row>
    <row r="2923" spans="1:10" hidden="1" x14ac:dyDescent="0.25">
      <c r="A2923" s="112" t="s">
        <v>7123</v>
      </c>
      <c r="B2923" s="113" t="s">
        <v>7124</v>
      </c>
      <c r="C2923" s="114" t="s">
        <v>20</v>
      </c>
      <c r="D2923" s="114">
        <v>0</v>
      </c>
      <c r="E2923" s="133">
        <f ca="1">OFFSET(INDEX(Composições!A:J,MATCH(Orçamentária!A2923,Composições!A:A,0),8),2,0)</f>
        <v>34.788999999999994</v>
      </c>
      <c r="F2923" s="134">
        <f t="shared" ca="1" si="156"/>
        <v>0</v>
      </c>
      <c r="G2923" s="135" t="e">
        <f>IF(A2923&lt;&gt;"",IF(AND(#REF!="Padrão",$H$4=#REF!),BDI!$B$17,IF(AND(#REF!="Padrão",$H$4=#REF!),BDI!#REF!,IF(AND(#REF!="Diferenciado",$H$4=#REF!),BDI!$E$17,IF(AND(#REF!="Diferenciado",$H$4=#REF!),BDI!#REF!,IF(#REF!="ZERO",0))))),"")</f>
        <v>#REF!</v>
      </c>
      <c r="H2923" s="136" t="e">
        <f t="shared" ca="1" si="157"/>
        <v>#REF!</v>
      </c>
      <c r="I2923" s="134" t="e">
        <f t="shared" ca="1" si="158"/>
        <v>#REF!</v>
      </c>
      <c r="J2923" s="226"/>
    </row>
    <row r="2924" spans="1:10" hidden="1" x14ac:dyDescent="0.25">
      <c r="A2924" s="112" t="s">
        <v>7125</v>
      </c>
      <c r="B2924" s="113" t="s">
        <v>7126</v>
      </c>
      <c r="C2924" s="114" t="s">
        <v>20</v>
      </c>
      <c r="D2924" s="114">
        <v>0</v>
      </c>
      <c r="E2924" s="133">
        <f ca="1">OFFSET(INDEX(Composições!A:J,MATCH(Orçamentária!A2924,Composições!A:A,0),8),2,0)</f>
        <v>47.528500000000001</v>
      </c>
      <c r="F2924" s="134">
        <f t="shared" ca="1" si="156"/>
        <v>0</v>
      </c>
      <c r="G2924" s="135" t="e">
        <f>IF(A2924&lt;&gt;"",IF(AND(#REF!="Padrão",$H$4=#REF!),BDI!$B$17,IF(AND(#REF!="Padrão",$H$4=#REF!),BDI!#REF!,IF(AND(#REF!="Diferenciado",$H$4=#REF!),BDI!$E$17,IF(AND(#REF!="Diferenciado",$H$4=#REF!),BDI!#REF!,IF(#REF!="ZERO",0))))),"")</f>
        <v>#REF!</v>
      </c>
      <c r="H2924" s="136" t="e">
        <f t="shared" ca="1" si="157"/>
        <v>#REF!</v>
      </c>
      <c r="I2924" s="134" t="e">
        <f t="shared" ca="1" si="158"/>
        <v>#REF!</v>
      </c>
      <c r="J2924" s="226"/>
    </row>
    <row r="2925" spans="1:10" hidden="1" x14ac:dyDescent="0.25">
      <c r="A2925" s="112" t="s">
        <v>7127</v>
      </c>
      <c r="B2925" s="113" t="s">
        <v>1659</v>
      </c>
      <c r="C2925" s="114" t="s">
        <v>20</v>
      </c>
      <c r="D2925" s="114">
        <v>0</v>
      </c>
      <c r="E2925" s="133" t="s">
        <v>514</v>
      </c>
      <c r="F2925" s="134" t="str">
        <f t="shared" si="156"/>
        <v/>
      </c>
      <c r="G2925" s="135" t="e">
        <f>IF(A2925&lt;&gt;"",IF(AND(#REF!="Padrão",$H$4=#REF!),BDI!$B$17,IF(AND(#REF!="Padrão",$H$4=#REF!),BDI!#REF!,IF(AND(#REF!="Diferenciado",$H$4=#REF!),BDI!$E$17,IF(AND(#REF!="Diferenciado",$H$4=#REF!),BDI!#REF!,IF(#REF!="ZERO",0))))),"")</f>
        <v>#REF!</v>
      </c>
      <c r="H2925" s="136" t="str">
        <f t="shared" si="157"/>
        <v/>
      </c>
      <c r="I2925" s="134" t="str">
        <f t="shared" si="158"/>
        <v/>
      </c>
      <c r="J2925" s="226"/>
    </row>
    <row r="2926" spans="1:10" hidden="1" x14ac:dyDescent="0.25">
      <c r="A2926" s="112" t="s">
        <v>7128</v>
      </c>
      <c r="B2926" s="113" t="s">
        <v>7129</v>
      </c>
      <c r="C2926" s="114" t="s">
        <v>20</v>
      </c>
      <c r="D2926" s="114">
        <v>0</v>
      </c>
      <c r="E2926" s="133">
        <f ca="1">OFFSET(INDEX(Composições!A:J,MATCH(Orçamentária!A2926,Composições!A:A,0),8),2,0)</f>
        <v>60.733499999999999</v>
      </c>
      <c r="F2926" s="134">
        <f t="shared" ca="1" si="156"/>
        <v>0</v>
      </c>
      <c r="G2926" s="135" t="e">
        <f>IF(A2926&lt;&gt;"",IF(AND(#REF!="Padrão",$H$4=#REF!),BDI!$B$17,IF(AND(#REF!="Padrão",$H$4=#REF!),BDI!#REF!,IF(AND(#REF!="Diferenciado",$H$4=#REF!),BDI!$E$17,IF(AND(#REF!="Diferenciado",$H$4=#REF!),BDI!#REF!,IF(#REF!="ZERO",0))))),"")</f>
        <v>#REF!</v>
      </c>
      <c r="H2926" s="136" t="e">
        <f t="shared" ca="1" si="157"/>
        <v>#REF!</v>
      </c>
      <c r="I2926" s="134" t="e">
        <f t="shared" ca="1" si="158"/>
        <v>#REF!</v>
      </c>
      <c r="J2926" s="226"/>
    </row>
    <row r="2927" spans="1:10" hidden="1" x14ac:dyDescent="0.25">
      <c r="A2927" s="112" t="s">
        <v>7130</v>
      </c>
      <c r="B2927" s="113" t="s">
        <v>7131</v>
      </c>
      <c r="C2927" s="114" t="s">
        <v>20</v>
      </c>
      <c r="D2927" s="114">
        <v>0</v>
      </c>
      <c r="E2927" s="133">
        <f ca="1">OFFSET(INDEX(Composições!A:J,MATCH(Orçamentária!A2927,Composições!A:A,0),8),2,0)</f>
        <v>155.857</v>
      </c>
      <c r="F2927" s="134">
        <f t="shared" ca="1" si="156"/>
        <v>0</v>
      </c>
      <c r="G2927" s="135" t="e">
        <f>IF(A2927&lt;&gt;"",IF(AND(#REF!="Padrão",$H$4=#REF!),BDI!$B$17,IF(AND(#REF!="Padrão",$H$4=#REF!),BDI!#REF!,IF(AND(#REF!="Diferenciado",$H$4=#REF!),BDI!$E$17,IF(AND(#REF!="Diferenciado",$H$4=#REF!),BDI!#REF!,IF(#REF!="ZERO",0))))),"")</f>
        <v>#REF!</v>
      </c>
      <c r="H2927" s="136" t="e">
        <f t="shared" ca="1" si="157"/>
        <v>#REF!</v>
      </c>
      <c r="I2927" s="134" t="e">
        <f t="shared" ca="1" si="158"/>
        <v>#REF!</v>
      </c>
      <c r="J2927" s="226"/>
    </row>
    <row r="2928" spans="1:10" hidden="1" x14ac:dyDescent="0.25">
      <c r="A2928" s="112" t="s">
        <v>7132</v>
      </c>
      <c r="B2928" s="113" t="s">
        <v>7133</v>
      </c>
      <c r="C2928" s="114" t="s">
        <v>20</v>
      </c>
      <c r="D2928" s="114">
        <v>0</v>
      </c>
      <c r="E2928" s="133" t="s">
        <v>514</v>
      </c>
      <c r="F2928" s="134" t="str">
        <f t="shared" si="156"/>
        <v/>
      </c>
      <c r="G2928" s="135" t="e">
        <f>IF(A2928&lt;&gt;"",IF(AND(#REF!="Padrão",$H$4=#REF!),BDI!$B$17,IF(AND(#REF!="Padrão",$H$4=#REF!),BDI!#REF!,IF(AND(#REF!="Diferenciado",$H$4=#REF!),BDI!$E$17,IF(AND(#REF!="Diferenciado",$H$4=#REF!),BDI!#REF!,IF(#REF!="ZERO",0))))),"")</f>
        <v>#REF!</v>
      </c>
      <c r="H2928" s="136" t="str">
        <f t="shared" si="157"/>
        <v/>
      </c>
      <c r="I2928" s="134" t="str">
        <f t="shared" si="158"/>
        <v/>
      </c>
      <c r="J2928" s="226"/>
    </row>
    <row r="2929" spans="1:10" hidden="1" x14ac:dyDescent="0.25">
      <c r="A2929" s="112" t="s">
        <v>7134</v>
      </c>
      <c r="B2929" s="113" t="s">
        <v>7135</v>
      </c>
      <c r="C2929" s="114" t="s">
        <v>20</v>
      </c>
      <c r="D2929" s="114">
        <v>0</v>
      </c>
      <c r="E2929" s="133">
        <f ca="1">OFFSET(INDEX(Composições!A:J,MATCH(Orçamentária!A2929,Composições!A:A,0),8),2,0)</f>
        <v>87.78949999999999</v>
      </c>
      <c r="F2929" s="134">
        <f t="shared" ca="1" si="156"/>
        <v>0</v>
      </c>
      <c r="G2929" s="135" t="e">
        <f>IF(A2929&lt;&gt;"",IF(AND(#REF!="Padrão",$H$4=#REF!),BDI!$B$17,IF(AND(#REF!="Padrão",$H$4=#REF!),BDI!#REF!,IF(AND(#REF!="Diferenciado",$H$4=#REF!),BDI!$E$17,IF(AND(#REF!="Diferenciado",$H$4=#REF!),BDI!#REF!,IF(#REF!="ZERO",0))))),"")</f>
        <v>#REF!</v>
      </c>
      <c r="H2929" s="136" t="e">
        <f t="shared" ca="1" si="157"/>
        <v>#REF!</v>
      </c>
      <c r="I2929" s="134" t="e">
        <f t="shared" ca="1" si="158"/>
        <v>#REF!</v>
      </c>
      <c r="J2929" s="226"/>
    </row>
    <row r="2930" spans="1:10" hidden="1" x14ac:dyDescent="0.25">
      <c r="A2930" s="112" t="s">
        <v>7136</v>
      </c>
      <c r="B2930" s="113" t="s">
        <v>7137</v>
      </c>
      <c r="C2930" s="114" t="s">
        <v>20</v>
      </c>
      <c r="D2930" s="114">
        <v>0</v>
      </c>
      <c r="E2930" s="133">
        <f ca="1">OFFSET(INDEX(Composições!A:J,MATCH(Orçamentária!A2930,Composições!A:A,0),8),2,0)</f>
        <v>279.68950000000001</v>
      </c>
      <c r="F2930" s="134">
        <f t="shared" ca="1" si="156"/>
        <v>0</v>
      </c>
      <c r="G2930" s="135" t="e">
        <f>IF(A2930&lt;&gt;"",IF(AND(#REF!="Padrão",$H$4=#REF!),BDI!$B$17,IF(AND(#REF!="Padrão",$H$4=#REF!),BDI!#REF!,IF(AND(#REF!="Diferenciado",$H$4=#REF!),BDI!$E$17,IF(AND(#REF!="Diferenciado",$H$4=#REF!),BDI!#REF!,IF(#REF!="ZERO",0))))),"")</f>
        <v>#REF!</v>
      </c>
      <c r="H2930" s="136" t="e">
        <f t="shared" ca="1" si="157"/>
        <v>#REF!</v>
      </c>
      <c r="I2930" s="134" t="e">
        <f t="shared" ca="1" si="158"/>
        <v>#REF!</v>
      </c>
      <c r="J2930" s="226"/>
    </row>
    <row r="2931" spans="1:10" hidden="1" x14ac:dyDescent="0.25">
      <c r="A2931" s="112" t="s">
        <v>7138</v>
      </c>
      <c r="B2931" s="113" t="s">
        <v>7139</v>
      </c>
      <c r="C2931" s="114" t="s">
        <v>20</v>
      </c>
      <c r="D2931" s="114">
        <v>0</v>
      </c>
      <c r="E2931" s="133">
        <f ca="1">OFFSET(INDEX(Composições!A:J,MATCH(Orçamentária!A2931,Composições!A:A,0),8),2,0)</f>
        <v>338.85550000000001</v>
      </c>
      <c r="F2931" s="134">
        <f t="shared" ca="1" si="156"/>
        <v>0</v>
      </c>
      <c r="G2931" s="135" t="e">
        <f>IF(A2931&lt;&gt;"",IF(AND(#REF!="Padrão",$H$4=#REF!),BDI!$B$17,IF(AND(#REF!="Padrão",$H$4=#REF!),BDI!#REF!,IF(AND(#REF!="Diferenciado",$H$4=#REF!),BDI!$E$17,IF(AND(#REF!="Diferenciado",$H$4=#REF!),BDI!#REF!,IF(#REF!="ZERO",0))))),"")</f>
        <v>#REF!</v>
      </c>
      <c r="H2931" s="136" t="e">
        <f t="shared" ca="1" si="157"/>
        <v>#REF!</v>
      </c>
      <c r="I2931" s="134" t="e">
        <f t="shared" ca="1" si="158"/>
        <v>#REF!</v>
      </c>
      <c r="J2931" s="226"/>
    </row>
    <row r="2932" spans="1:10" hidden="1" x14ac:dyDescent="0.25">
      <c r="A2932" s="112" t="s">
        <v>7140</v>
      </c>
      <c r="B2932" s="113" t="s">
        <v>7141</v>
      </c>
      <c r="C2932" s="114" t="s">
        <v>20</v>
      </c>
      <c r="D2932" s="114">
        <v>0</v>
      </c>
      <c r="E2932" s="133">
        <f ca="1">OFFSET(INDEX(Composições!A:J,MATCH(Orçamentária!A2932,Composições!A:A,0),8),2,0)</f>
        <v>588.09749999999997</v>
      </c>
      <c r="F2932" s="134">
        <f t="shared" ca="1" si="156"/>
        <v>0</v>
      </c>
      <c r="G2932" s="135" t="e">
        <f>IF(A2932&lt;&gt;"",IF(AND(#REF!="Padrão",$H$4=#REF!),BDI!$B$17,IF(AND(#REF!="Padrão",$H$4=#REF!),BDI!#REF!,IF(AND(#REF!="Diferenciado",$H$4=#REF!),BDI!$E$17,IF(AND(#REF!="Diferenciado",$H$4=#REF!),BDI!#REF!,IF(#REF!="ZERO",0))))),"")</f>
        <v>#REF!</v>
      </c>
      <c r="H2932" s="136" t="e">
        <f t="shared" ca="1" si="157"/>
        <v>#REF!</v>
      </c>
      <c r="I2932" s="134" t="e">
        <f t="shared" ca="1" si="158"/>
        <v>#REF!</v>
      </c>
      <c r="J2932" s="226"/>
    </row>
    <row r="2933" spans="1:10" hidden="1" x14ac:dyDescent="0.25">
      <c r="A2933" s="112" t="s">
        <v>7142</v>
      </c>
      <c r="B2933" s="113" t="s">
        <v>7143</v>
      </c>
      <c r="C2933" s="114" t="s">
        <v>20</v>
      </c>
      <c r="D2933" s="114">
        <v>0</v>
      </c>
      <c r="E2933" s="133">
        <f ca="1">OFFSET(INDEX(Composições!A:J,MATCH(Orçamentária!A2933,Composições!A:A,0),8),2,0)</f>
        <v>154.85</v>
      </c>
      <c r="F2933" s="134">
        <f t="shared" ca="1" si="156"/>
        <v>0</v>
      </c>
      <c r="G2933" s="135" t="e">
        <f>IF(A2933&lt;&gt;"",IF(AND(#REF!="Padrão",$H$4=#REF!),BDI!$B$17,IF(AND(#REF!="Padrão",$H$4=#REF!),BDI!#REF!,IF(AND(#REF!="Diferenciado",$H$4=#REF!),BDI!$E$17,IF(AND(#REF!="Diferenciado",$H$4=#REF!),BDI!#REF!,IF(#REF!="ZERO",0))))),"")</f>
        <v>#REF!</v>
      </c>
      <c r="H2933" s="136" t="e">
        <f t="shared" ca="1" si="157"/>
        <v>#REF!</v>
      </c>
      <c r="I2933" s="134" t="e">
        <f t="shared" ca="1" si="158"/>
        <v>#REF!</v>
      </c>
      <c r="J2933" s="226"/>
    </row>
    <row r="2934" spans="1:10" hidden="1" x14ac:dyDescent="0.25">
      <c r="A2934" s="112" t="s">
        <v>7144</v>
      </c>
      <c r="B2934" s="113" t="s">
        <v>7145</v>
      </c>
      <c r="C2934" s="114" t="s">
        <v>20</v>
      </c>
      <c r="D2934" s="114">
        <v>0</v>
      </c>
      <c r="E2934" s="133">
        <f ca="1">OFFSET(INDEX(Composições!A:J,MATCH(Orçamentária!A2934,Composições!A:A,0),8),2,0)</f>
        <v>248.14</v>
      </c>
      <c r="F2934" s="134">
        <f t="shared" ca="1" si="156"/>
        <v>0</v>
      </c>
      <c r="G2934" s="135" t="e">
        <f>IF(A2934&lt;&gt;"",IF(AND(#REF!="Padrão",$H$4=#REF!),BDI!$B$17,IF(AND(#REF!="Padrão",$H$4=#REF!),BDI!#REF!,IF(AND(#REF!="Diferenciado",$H$4=#REF!),BDI!$E$17,IF(AND(#REF!="Diferenciado",$H$4=#REF!),BDI!#REF!,IF(#REF!="ZERO",0))))),"")</f>
        <v>#REF!</v>
      </c>
      <c r="H2934" s="136" t="e">
        <f t="shared" ca="1" si="157"/>
        <v>#REF!</v>
      </c>
      <c r="I2934" s="134" t="e">
        <f t="shared" ca="1" si="158"/>
        <v>#REF!</v>
      </c>
      <c r="J2934" s="226"/>
    </row>
    <row r="2935" spans="1:10" hidden="1" x14ac:dyDescent="0.25">
      <c r="A2935" s="112" t="s">
        <v>7146</v>
      </c>
      <c r="B2935" s="113" t="s">
        <v>7147</v>
      </c>
      <c r="C2935" s="114" t="s">
        <v>20</v>
      </c>
      <c r="D2935" s="114">
        <v>0</v>
      </c>
      <c r="E2935" s="133" t="s">
        <v>514</v>
      </c>
      <c r="F2935" s="134" t="str">
        <f t="shared" si="156"/>
        <v/>
      </c>
      <c r="G2935" s="135" t="e">
        <f>IF(A2935&lt;&gt;"",IF(AND(#REF!="Padrão",$H$4=#REF!),BDI!$B$17,IF(AND(#REF!="Padrão",$H$4=#REF!),BDI!#REF!,IF(AND(#REF!="Diferenciado",$H$4=#REF!),BDI!$E$17,IF(AND(#REF!="Diferenciado",$H$4=#REF!),BDI!#REF!,IF(#REF!="ZERO",0))))),"")</f>
        <v>#REF!</v>
      </c>
      <c r="H2935" s="136" t="str">
        <f t="shared" si="157"/>
        <v/>
      </c>
      <c r="I2935" s="134" t="str">
        <f t="shared" si="158"/>
        <v/>
      </c>
      <c r="J2935" s="226"/>
    </row>
    <row r="2936" spans="1:10" hidden="1" x14ac:dyDescent="0.25">
      <c r="A2936" s="112" t="s">
        <v>7148</v>
      </c>
      <c r="B2936" s="113" t="s">
        <v>6263</v>
      </c>
      <c r="C2936" s="114" t="s">
        <v>20</v>
      </c>
      <c r="D2936" s="114">
        <v>0</v>
      </c>
      <c r="E2936" s="133">
        <f ca="1">OFFSET(INDEX(Composições!A:J,MATCH(Orçamentária!A2936,Composições!A:A,0),8),2,0)</f>
        <v>43.785499999999999</v>
      </c>
      <c r="F2936" s="134">
        <f t="shared" ca="1" si="156"/>
        <v>0</v>
      </c>
      <c r="G2936" s="135" t="e">
        <f>IF(A2936&lt;&gt;"",IF(AND(#REF!="Padrão",$H$4=#REF!),BDI!$B$17,IF(AND(#REF!="Padrão",$H$4=#REF!),BDI!#REF!,IF(AND(#REF!="Diferenciado",$H$4=#REF!),BDI!$E$17,IF(AND(#REF!="Diferenciado",$H$4=#REF!),BDI!#REF!,IF(#REF!="ZERO",0))))),"")</f>
        <v>#REF!</v>
      </c>
      <c r="H2936" s="136" t="e">
        <f t="shared" ca="1" si="157"/>
        <v>#REF!</v>
      </c>
      <c r="I2936" s="134" t="e">
        <f t="shared" ca="1" si="158"/>
        <v>#REF!</v>
      </c>
      <c r="J2936" s="226"/>
    </row>
    <row r="2937" spans="1:10" hidden="1" x14ac:dyDescent="0.25">
      <c r="A2937" s="112" t="s">
        <v>7149</v>
      </c>
      <c r="B2937" s="113" t="s">
        <v>6257</v>
      </c>
      <c r="C2937" s="114" t="s">
        <v>20</v>
      </c>
      <c r="D2937" s="114">
        <v>0</v>
      </c>
      <c r="E2937" s="133">
        <f ca="1">OFFSET(INDEX(Composições!A:J,MATCH(Orçamentária!A2937,Composições!A:A,0),8),2,0)</f>
        <v>147.40199999999999</v>
      </c>
      <c r="F2937" s="134">
        <f t="shared" ca="1" si="156"/>
        <v>0</v>
      </c>
      <c r="G2937" s="135" t="e">
        <f>IF(A2937&lt;&gt;"",IF(AND(#REF!="Padrão",$H$4=#REF!),BDI!$B$17,IF(AND(#REF!="Padrão",$H$4=#REF!),BDI!#REF!,IF(AND(#REF!="Diferenciado",$H$4=#REF!),BDI!$E$17,IF(AND(#REF!="Diferenciado",$H$4=#REF!),BDI!#REF!,IF(#REF!="ZERO",0))))),"")</f>
        <v>#REF!</v>
      </c>
      <c r="H2937" s="136" t="e">
        <f t="shared" ca="1" si="157"/>
        <v>#REF!</v>
      </c>
      <c r="I2937" s="134" t="e">
        <f t="shared" ca="1" si="158"/>
        <v>#REF!</v>
      </c>
      <c r="J2937" s="226"/>
    </row>
    <row r="2938" spans="1:10" hidden="1" x14ac:dyDescent="0.25">
      <c r="A2938" s="112" t="s">
        <v>7150</v>
      </c>
      <c r="B2938" s="113" t="s">
        <v>2960</v>
      </c>
      <c r="C2938" s="114" t="s">
        <v>20</v>
      </c>
      <c r="D2938" s="114">
        <v>0</v>
      </c>
      <c r="E2938" s="133">
        <f ca="1">OFFSET(INDEX(Composições!A:J,MATCH(Orçamentária!A2938,Composições!A:A,0),8),2,0)</f>
        <v>106.39049999999999</v>
      </c>
      <c r="F2938" s="134">
        <f t="shared" ca="1" si="156"/>
        <v>0</v>
      </c>
      <c r="G2938" s="135" t="e">
        <f>IF(A2938&lt;&gt;"",IF(AND(#REF!="Padrão",$H$4=#REF!),BDI!$B$17,IF(AND(#REF!="Padrão",$H$4=#REF!),BDI!#REF!,IF(AND(#REF!="Diferenciado",$H$4=#REF!),BDI!$E$17,IF(AND(#REF!="Diferenciado",$H$4=#REF!),BDI!#REF!,IF(#REF!="ZERO",0))))),"")</f>
        <v>#REF!</v>
      </c>
      <c r="H2938" s="136" t="e">
        <f t="shared" ca="1" si="157"/>
        <v>#REF!</v>
      </c>
      <c r="I2938" s="134" t="e">
        <f t="shared" ca="1" si="158"/>
        <v>#REF!</v>
      </c>
      <c r="J2938" s="226"/>
    </row>
    <row r="2939" spans="1:10" hidden="1" x14ac:dyDescent="0.25">
      <c r="A2939" s="112" t="s">
        <v>7151</v>
      </c>
      <c r="B2939" s="113" t="s">
        <v>7152</v>
      </c>
      <c r="C2939" s="114" t="s">
        <v>20</v>
      </c>
      <c r="D2939" s="114">
        <v>0</v>
      </c>
      <c r="E2939" s="133">
        <f ca="1">OFFSET(INDEX(Composições!A:J,MATCH(Orçamentária!A2939,Composições!A:A,0),8),2,0)</f>
        <v>4.6360000000000001</v>
      </c>
      <c r="F2939" s="134">
        <f t="shared" ca="1" si="156"/>
        <v>0</v>
      </c>
      <c r="G2939" s="135" t="e">
        <f>IF(A2939&lt;&gt;"",IF(AND(#REF!="Padrão",$H$4=#REF!),BDI!$B$17,IF(AND(#REF!="Padrão",$H$4=#REF!),BDI!#REF!,IF(AND(#REF!="Diferenciado",$H$4=#REF!),BDI!$E$17,IF(AND(#REF!="Diferenciado",$H$4=#REF!),BDI!#REF!,IF(#REF!="ZERO",0))))),"")</f>
        <v>#REF!</v>
      </c>
      <c r="H2939" s="136" t="e">
        <f t="shared" ca="1" si="157"/>
        <v>#REF!</v>
      </c>
      <c r="I2939" s="134" t="e">
        <f t="shared" ca="1" si="158"/>
        <v>#REF!</v>
      </c>
      <c r="J2939" s="226"/>
    </row>
    <row r="2940" spans="1:10" hidden="1" x14ac:dyDescent="0.25">
      <c r="A2940" s="112" t="s">
        <v>7153</v>
      </c>
      <c r="B2940" s="113" t="s">
        <v>7154</v>
      </c>
      <c r="C2940" s="114" t="s">
        <v>20</v>
      </c>
      <c r="D2940" s="114">
        <v>0</v>
      </c>
      <c r="E2940" s="133">
        <f ca="1">OFFSET(INDEX(Composições!A:J,MATCH(Orçamentária!A2940,Composições!A:A,0),8),2,0)</f>
        <v>321.77449999999999</v>
      </c>
      <c r="F2940" s="134">
        <f t="shared" ca="1" si="156"/>
        <v>0</v>
      </c>
      <c r="G2940" s="135" t="e">
        <f>IF(A2940&lt;&gt;"",IF(AND(#REF!="Padrão",$H$4=#REF!),BDI!$B$17,IF(AND(#REF!="Padrão",$H$4=#REF!),BDI!#REF!,IF(AND(#REF!="Diferenciado",$H$4=#REF!),BDI!$E$17,IF(AND(#REF!="Diferenciado",$H$4=#REF!),BDI!#REF!,IF(#REF!="ZERO",0))))),"")</f>
        <v>#REF!</v>
      </c>
      <c r="H2940" s="136" t="e">
        <f t="shared" ca="1" si="157"/>
        <v>#REF!</v>
      </c>
      <c r="I2940" s="134" t="e">
        <f t="shared" ca="1" si="158"/>
        <v>#REF!</v>
      </c>
      <c r="J2940" s="226"/>
    </row>
    <row r="2941" spans="1:10" hidden="1" x14ac:dyDescent="0.25">
      <c r="A2941" s="112" t="s">
        <v>7155</v>
      </c>
      <c r="B2941" s="113" t="s">
        <v>7156</v>
      </c>
      <c r="C2941" s="114" t="s">
        <v>20</v>
      </c>
      <c r="D2941" s="114">
        <v>0</v>
      </c>
      <c r="E2941" s="133" t="s">
        <v>514</v>
      </c>
      <c r="F2941" s="134" t="str">
        <f t="shared" si="156"/>
        <v/>
      </c>
      <c r="G2941" s="135" t="e">
        <f>IF(A2941&lt;&gt;"",IF(AND(#REF!="Padrão",$H$4=#REF!),BDI!$B$17,IF(AND(#REF!="Padrão",$H$4=#REF!),BDI!#REF!,IF(AND(#REF!="Diferenciado",$H$4=#REF!),BDI!$E$17,IF(AND(#REF!="Diferenciado",$H$4=#REF!),BDI!#REF!,IF(#REF!="ZERO",0))))),"")</f>
        <v>#REF!</v>
      </c>
      <c r="H2941" s="136" t="str">
        <f t="shared" si="157"/>
        <v/>
      </c>
      <c r="I2941" s="134" t="str">
        <f t="shared" si="158"/>
        <v/>
      </c>
      <c r="J2941" s="226"/>
    </row>
    <row r="2942" spans="1:10" hidden="1" x14ac:dyDescent="0.25">
      <c r="A2942" s="112" t="s">
        <v>7157</v>
      </c>
      <c r="B2942" s="113" t="s">
        <v>7158</v>
      </c>
      <c r="C2942" s="114" t="s">
        <v>20</v>
      </c>
      <c r="D2942" s="114">
        <v>0</v>
      </c>
      <c r="E2942" s="133" t="s">
        <v>514</v>
      </c>
      <c r="F2942" s="134" t="str">
        <f t="shared" si="156"/>
        <v/>
      </c>
      <c r="G2942" s="135" t="e">
        <f>IF(A2942&lt;&gt;"",IF(AND(#REF!="Padrão",$H$4=#REF!),BDI!$B$17,IF(AND(#REF!="Padrão",$H$4=#REF!),BDI!#REF!,IF(AND(#REF!="Diferenciado",$H$4=#REF!),BDI!$E$17,IF(AND(#REF!="Diferenciado",$H$4=#REF!),BDI!#REF!,IF(#REF!="ZERO",0))))),"")</f>
        <v>#REF!</v>
      </c>
      <c r="H2942" s="136" t="str">
        <f t="shared" si="157"/>
        <v/>
      </c>
      <c r="I2942" s="134" t="str">
        <f t="shared" si="158"/>
        <v/>
      </c>
      <c r="J2942" s="226"/>
    </row>
    <row r="2943" spans="1:10" hidden="1" x14ac:dyDescent="0.25">
      <c r="A2943" s="112" t="s">
        <v>7159</v>
      </c>
      <c r="B2943" s="113" t="s">
        <v>7160</v>
      </c>
      <c r="C2943" s="114" t="s">
        <v>20</v>
      </c>
      <c r="D2943" s="114">
        <v>0</v>
      </c>
      <c r="E2943" s="133" t="s">
        <v>514</v>
      </c>
      <c r="F2943" s="134" t="str">
        <f t="shared" si="156"/>
        <v/>
      </c>
      <c r="G2943" s="135" t="e">
        <f>IF(A2943&lt;&gt;"",IF(AND(#REF!="Padrão",$H$4=#REF!),BDI!$B$17,IF(AND(#REF!="Padrão",$H$4=#REF!),BDI!#REF!,IF(AND(#REF!="Diferenciado",$H$4=#REF!),BDI!$E$17,IF(AND(#REF!="Diferenciado",$H$4=#REF!),BDI!#REF!,IF(#REF!="ZERO",0))))),"")</f>
        <v>#REF!</v>
      </c>
      <c r="H2943" s="136" t="str">
        <f t="shared" si="157"/>
        <v/>
      </c>
      <c r="I2943" s="134" t="str">
        <f t="shared" si="158"/>
        <v/>
      </c>
      <c r="J2943" s="226"/>
    </row>
    <row r="2944" spans="1:10" hidden="1" x14ac:dyDescent="0.25">
      <c r="A2944" s="112" t="s">
        <v>7161</v>
      </c>
      <c r="B2944" s="113" t="s">
        <v>7162</v>
      </c>
      <c r="C2944" s="114" t="s">
        <v>20</v>
      </c>
      <c r="D2944" s="114">
        <v>0</v>
      </c>
      <c r="E2944" s="133" t="s">
        <v>514</v>
      </c>
      <c r="F2944" s="134" t="str">
        <f t="shared" si="156"/>
        <v/>
      </c>
      <c r="G2944" s="135" t="e">
        <f>IF(A2944&lt;&gt;"",IF(AND(#REF!="Padrão",$H$4=#REF!),BDI!$B$17,IF(AND(#REF!="Padrão",$H$4=#REF!),BDI!#REF!,IF(AND(#REF!="Diferenciado",$H$4=#REF!),BDI!$E$17,IF(AND(#REF!="Diferenciado",$H$4=#REF!),BDI!#REF!,IF(#REF!="ZERO",0))))),"")</f>
        <v>#REF!</v>
      </c>
      <c r="H2944" s="136" t="str">
        <f t="shared" si="157"/>
        <v/>
      </c>
      <c r="I2944" s="134" t="str">
        <f t="shared" si="158"/>
        <v/>
      </c>
      <c r="J2944" s="226"/>
    </row>
    <row r="2945" spans="1:10" hidden="1" x14ac:dyDescent="0.25">
      <c r="A2945" s="112" t="s">
        <v>7163</v>
      </c>
      <c r="B2945" s="113" t="s">
        <v>7164</v>
      </c>
      <c r="C2945" s="114" t="s">
        <v>20</v>
      </c>
      <c r="D2945" s="114">
        <v>0</v>
      </c>
      <c r="E2945" s="133">
        <f ca="1">OFFSET(INDEX(Composições!A:J,MATCH(Orçamentária!A2945,Composições!A:A,0),8),2,0)</f>
        <v>15.827</v>
      </c>
      <c r="F2945" s="134">
        <f t="shared" ca="1" si="156"/>
        <v>0</v>
      </c>
      <c r="G2945" s="135" t="e">
        <f>IF(A2945&lt;&gt;"",IF(AND(#REF!="Padrão",$H$4=#REF!),BDI!$B$17,IF(AND(#REF!="Padrão",$H$4=#REF!),BDI!#REF!,IF(AND(#REF!="Diferenciado",$H$4=#REF!),BDI!$E$17,IF(AND(#REF!="Diferenciado",$H$4=#REF!),BDI!#REF!,IF(#REF!="ZERO",0))))),"")</f>
        <v>#REF!</v>
      </c>
      <c r="H2945" s="136" t="e">
        <f t="shared" ca="1" si="157"/>
        <v>#REF!</v>
      </c>
      <c r="I2945" s="134" t="e">
        <f t="shared" ca="1" si="158"/>
        <v>#REF!</v>
      </c>
      <c r="J2945" s="226"/>
    </row>
    <row r="2946" spans="1:10" hidden="1" x14ac:dyDescent="0.25">
      <c r="A2946" s="112" t="s">
        <v>7165</v>
      </c>
      <c r="B2946" s="113" t="s">
        <v>7166</v>
      </c>
      <c r="C2946" s="114" t="s">
        <v>20</v>
      </c>
      <c r="D2946" s="114">
        <v>0</v>
      </c>
      <c r="E2946" s="133">
        <f ca="1">OFFSET(INDEX(Composições!A:J,MATCH(Orçamentária!A2946,Composições!A:A,0),8),2,0)</f>
        <v>266.53199999999998</v>
      </c>
      <c r="F2946" s="134">
        <f t="shared" ca="1" si="156"/>
        <v>0</v>
      </c>
      <c r="G2946" s="135" t="e">
        <f>IF(A2946&lt;&gt;"",IF(AND(#REF!="Padrão",$H$4=#REF!),BDI!$B$17,IF(AND(#REF!="Padrão",$H$4=#REF!),BDI!#REF!,IF(AND(#REF!="Diferenciado",$H$4=#REF!),BDI!$E$17,IF(AND(#REF!="Diferenciado",$H$4=#REF!),BDI!#REF!,IF(#REF!="ZERO",0))))),"")</f>
        <v>#REF!</v>
      </c>
      <c r="H2946" s="136" t="e">
        <f t="shared" ca="1" si="157"/>
        <v>#REF!</v>
      </c>
      <c r="I2946" s="134" t="e">
        <f t="shared" ca="1" si="158"/>
        <v>#REF!</v>
      </c>
      <c r="J2946" s="226"/>
    </row>
    <row r="2947" spans="1:10" hidden="1" x14ac:dyDescent="0.25">
      <c r="A2947" s="112" t="s">
        <v>7167</v>
      </c>
      <c r="B2947" s="113" t="s">
        <v>7168</v>
      </c>
      <c r="C2947" s="114" t="s">
        <v>20</v>
      </c>
      <c r="D2947" s="114">
        <v>0</v>
      </c>
      <c r="E2947" s="133" t="s">
        <v>514</v>
      </c>
      <c r="F2947" s="134" t="str">
        <f t="shared" si="156"/>
        <v/>
      </c>
      <c r="G2947" s="135" t="e">
        <f>IF(A2947&lt;&gt;"",IF(AND(#REF!="Padrão",$H$4=#REF!),BDI!$B$17,IF(AND(#REF!="Padrão",$H$4=#REF!),BDI!#REF!,IF(AND(#REF!="Diferenciado",$H$4=#REF!),BDI!$E$17,IF(AND(#REF!="Diferenciado",$H$4=#REF!),BDI!#REF!,IF(#REF!="ZERO",0))))),"")</f>
        <v>#REF!</v>
      </c>
      <c r="H2947" s="136" t="str">
        <f t="shared" si="157"/>
        <v/>
      </c>
      <c r="I2947" s="134" t="str">
        <f t="shared" si="158"/>
        <v/>
      </c>
      <c r="J2947" s="226"/>
    </row>
    <row r="2948" spans="1:10" hidden="1" x14ac:dyDescent="0.25">
      <c r="A2948" s="112" t="s">
        <v>7169</v>
      </c>
      <c r="B2948" s="113" t="s">
        <v>7170</v>
      </c>
      <c r="C2948" s="114" t="s">
        <v>20</v>
      </c>
      <c r="D2948" s="114">
        <v>0</v>
      </c>
      <c r="E2948" s="133">
        <f ca="1">OFFSET(INDEX(Composições!A:J,MATCH(Orçamentária!A2948,Composições!A:A,0),8),2,0)</f>
        <v>4887.1324999999997</v>
      </c>
      <c r="F2948" s="134">
        <f t="shared" ca="1" si="156"/>
        <v>0</v>
      </c>
      <c r="G2948" s="135" t="e">
        <f>IF(A2948&lt;&gt;"",IF(AND(#REF!="Padrão",$H$4=#REF!),BDI!$B$17,IF(AND(#REF!="Padrão",$H$4=#REF!),BDI!#REF!,IF(AND(#REF!="Diferenciado",$H$4=#REF!),BDI!$E$17,IF(AND(#REF!="Diferenciado",$H$4=#REF!),BDI!#REF!,IF(#REF!="ZERO",0))))),"")</f>
        <v>#REF!</v>
      </c>
      <c r="H2948" s="136" t="e">
        <f t="shared" ca="1" si="157"/>
        <v>#REF!</v>
      </c>
      <c r="I2948" s="134" t="e">
        <f t="shared" ca="1" si="158"/>
        <v>#REF!</v>
      </c>
      <c r="J2948" s="226"/>
    </row>
    <row r="2949" spans="1:10" hidden="1" x14ac:dyDescent="0.25">
      <c r="A2949" s="112" t="s">
        <v>7171</v>
      </c>
      <c r="B2949" s="113" t="s">
        <v>7172</v>
      </c>
      <c r="C2949" s="114" t="s">
        <v>20</v>
      </c>
      <c r="D2949" s="114">
        <v>0</v>
      </c>
      <c r="E2949" s="133" t="s">
        <v>514</v>
      </c>
      <c r="F2949" s="134" t="str">
        <f t="shared" si="156"/>
        <v/>
      </c>
      <c r="G2949" s="135" t="e">
        <f>IF(A2949&lt;&gt;"",IF(AND(#REF!="Padrão",$H$4=#REF!),BDI!$B$17,IF(AND(#REF!="Padrão",$H$4=#REF!),BDI!#REF!,IF(AND(#REF!="Diferenciado",$H$4=#REF!),BDI!$E$17,IF(AND(#REF!="Diferenciado",$H$4=#REF!),BDI!#REF!,IF(#REF!="ZERO",0))))),"")</f>
        <v>#REF!</v>
      </c>
      <c r="H2949" s="136" t="str">
        <f t="shared" si="157"/>
        <v/>
      </c>
      <c r="I2949" s="134" t="str">
        <f t="shared" si="158"/>
        <v/>
      </c>
      <c r="J2949" s="226"/>
    </row>
    <row r="2950" spans="1:10" hidden="1" x14ac:dyDescent="0.25">
      <c r="A2950" s="112" t="s">
        <v>7173</v>
      </c>
      <c r="B2950" s="113" t="s">
        <v>7174</v>
      </c>
      <c r="C2950" s="114" t="s">
        <v>20</v>
      </c>
      <c r="D2950" s="114">
        <v>0</v>
      </c>
      <c r="E2950" s="133" t="s">
        <v>514</v>
      </c>
      <c r="F2950" s="134" t="str">
        <f t="shared" si="156"/>
        <v/>
      </c>
      <c r="G2950" s="135" t="e">
        <f>IF(A2950&lt;&gt;"",IF(AND(#REF!="Padrão",$H$4=#REF!),BDI!$B$17,IF(AND(#REF!="Padrão",$H$4=#REF!),BDI!#REF!,IF(AND(#REF!="Diferenciado",$H$4=#REF!),BDI!$E$17,IF(AND(#REF!="Diferenciado",$H$4=#REF!),BDI!#REF!,IF(#REF!="ZERO",0))))),"")</f>
        <v>#REF!</v>
      </c>
      <c r="H2950" s="136" t="str">
        <f t="shared" si="157"/>
        <v/>
      </c>
      <c r="I2950" s="134" t="str">
        <f t="shared" si="158"/>
        <v/>
      </c>
      <c r="J2950" s="226"/>
    </row>
    <row r="2951" spans="1:10" hidden="1" x14ac:dyDescent="0.25">
      <c r="A2951" s="112" t="s">
        <v>7175</v>
      </c>
      <c r="B2951" s="113" t="s">
        <v>7176</v>
      </c>
      <c r="C2951" s="114" t="s">
        <v>20</v>
      </c>
      <c r="D2951" s="114">
        <v>0</v>
      </c>
      <c r="E2951" s="133" t="s">
        <v>514</v>
      </c>
      <c r="F2951" s="134" t="str">
        <f t="shared" si="156"/>
        <v/>
      </c>
      <c r="G2951" s="135" t="e">
        <f>IF(A2951&lt;&gt;"",IF(AND(#REF!="Padrão",$H$4=#REF!),BDI!$B$17,IF(AND(#REF!="Padrão",$H$4=#REF!),BDI!#REF!,IF(AND(#REF!="Diferenciado",$H$4=#REF!),BDI!$E$17,IF(AND(#REF!="Diferenciado",$H$4=#REF!),BDI!#REF!,IF(#REF!="ZERO",0))))),"")</f>
        <v>#REF!</v>
      </c>
      <c r="H2951" s="136" t="str">
        <f t="shared" si="157"/>
        <v/>
      </c>
      <c r="I2951" s="134" t="str">
        <f t="shared" si="158"/>
        <v/>
      </c>
      <c r="J2951" s="226"/>
    </row>
    <row r="2952" spans="1:10" hidden="1" x14ac:dyDescent="0.25">
      <c r="A2952" s="112" t="s">
        <v>7177</v>
      </c>
      <c r="B2952" s="113" t="s">
        <v>7178</v>
      </c>
      <c r="C2952" s="114" t="s">
        <v>20</v>
      </c>
      <c r="D2952" s="114">
        <v>0</v>
      </c>
      <c r="E2952" s="133" t="s">
        <v>514</v>
      </c>
      <c r="F2952" s="134" t="str">
        <f t="shared" si="156"/>
        <v/>
      </c>
      <c r="G2952" s="135" t="e">
        <f>IF(A2952&lt;&gt;"",IF(AND(#REF!="Padrão",$H$4=#REF!),BDI!$B$17,IF(AND(#REF!="Padrão",$H$4=#REF!),BDI!#REF!,IF(AND(#REF!="Diferenciado",$H$4=#REF!),BDI!$E$17,IF(AND(#REF!="Diferenciado",$H$4=#REF!),BDI!#REF!,IF(#REF!="ZERO",0))))),"")</f>
        <v>#REF!</v>
      </c>
      <c r="H2952" s="136" t="str">
        <f t="shared" si="157"/>
        <v/>
      </c>
      <c r="I2952" s="134" t="str">
        <f t="shared" si="158"/>
        <v/>
      </c>
      <c r="J2952" s="226"/>
    </row>
    <row r="2953" spans="1:10" hidden="1" x14ac:dyDescent="0.25">
      <c r="A2953" s="112" t="s">
        <v>7179</v>
      </c>
      <c r="B2953" s="113" t="s">
        <v>7180</v>
      </c>
      <c r="C2953" s="114" t="s">
        <v>20</v>
      </c>
      <c r="D2953" s="114">
        <v>0</v>
      </c>
      <c r="E2953" s="133" t="s">
        <v>514</v>
      </c>
      <c r="F2953" s="134" t="str">
        <f t="shared" si="156"/>
        <v/>
      </c>
      <c r="G2953" s="135" t="e">
        <f>IF(A2953&lt;&gt;"",IF(AND(#REF!="Padrão",$H$4=#REF!),BDI!$B$17,IF(AND(#REF!="Padrão",$H$4=#REF!),BDI!#REF!,IF(AND(#REF!="Diferenciado",$H$4=#REF!),BDI!$E$17,IF(AND(#REF!="Diferenciado",$H$4=#REF!),BDI!#REF!,IF(#REF!="ZERO",0))))),"")</f>
        <v>#REF!</v>
      </c>
      <c r="H2953" s="136" t="str">
        <f t="shared" si="157"/>
        <v/>
      </c>
      <c r="I2953" s="134" t="str">
        <f t="shared" si="158"/>
        <v/>
      </c>
      <c r="J2953" s="226"/>
    </row>
    <row r="2954" spans="1:10" hidden="1" x14ac:dyDescent="0.25">
      <c r="A2954" s="112" t="s">
        <v>7181</v>
      </c>
      <c r="B2954" s="113" t="s">
        <v>7182</v>
      </c>
      <c r="C2954" s="114" t="s">
        <v>20</v>
      </c>
      <c r="D2954" s="114">
        <v>0</v>
      </c>
      <c r="E2954" s="133" t="s">
        <v>514</v>
      </c>
      <c r="F2954" s="134" t="str">
        <f t="shared" si="156"/>
        <v/>
      </c>
      <c r="G2954" s="135" t="e">
        <f>IF(A2954&lt;&gt;"",IF(AND(#REF!="Padrão",$H$4=#REF!),BDI!$B$17,IF(AND(#REF!="Padrão",$H$4=#REF!),BDI!#REF!,IF(AND(#REF!="Diferenciado",$H$4=#REF!),BDI!$E$17,IF(AND(#REF!="Diferenciado",$H$4=#REF!),BDI!#REF!,IF(#REF!="ZERO",0))))),"")</f>
        <v>#REF!</v>
      </c>
      <c r="H2954" s="136" t="str">
        <f t="shared" si="157"/>
        <v/>
      </c>
      <c r="I2954" s="134" t="str">
        <f t="shared" si="158"/>
        <v/>
      </c>
      <c r="J2954" s="226"/>
    </row>
    <row r="2955" spans="1:10" hidden="1" x14ac:dyDescent="0.25">
      <c r="A2955" s="112" t="s">
        <v>7183</v>
      </c>
      <c r="B2955" s="113" t="s">
        <v>7184</v>
      </c>
      <c r="C2955" s="114" t="s">
        <v>20</v>
      </c>
      <c r="D2955" s="114">
        <v>0</v>
      </c>
      <c r="E2955" s="133" t="s">
        <v>514</v>
      </c>
      <c r="F2955" s="134" t="str">
        <f t="shared" si="156"/>
        <v/>
      </c>
      <c r="G2955" s="135" t="e">
        <f>IF(A2955&lt;&gt;"",IF(AND(#REF!="Padrão",$H$4=#REF!),BDI!$B$17,IF(AND(#REF!="Padrão",$H$4=#REF!),BDI!#REF!,IF(AND(#REF!="Diferenciado",$H$4=#REF!),BDI!$E$17,IF(AND(#REF!="Diferenciado",$H$4=#REF!),BDI!#REF!,IF(#REF!="ZERO",0))))),"")</f>
        <v>#REF!</v>
      </c>
      <c r="H2955" s="136" t="str">
        <f t="shared" si="157"/>
        <v/>
      </c>
      <c r="I2955" s="134" t="str">
        <f t="shared" si="158"/>
        <v/>
      </c>
      <c r="J2955" s="226"/>
    </row>
    <row r="2956" spans="1:10" hidden="1" x14ac:dyDescent="0.25">
      <c r="A2956" s="112" t="s">
        <v>7185</v>
      </c>
      <c r="B2956" s="113" t="s">
        <v>7186</v>
      </c>
      <c r="C2956" s="114" t="s">
        <v>20</v>
      </c>
      <c r="D2956" s="114">
        <v>0</v>
      </c>
      <c r="E2956" s="133" t="s">
        <v>514</v>
      </c>
      <c r="F2956" s="134" t="str">
        <f t="shared" si="156"/>
        <v/>
      </c>
      <c r="G2956" s="135" t="e">
        <f>IF(A2956&lt;&gt;"",IF(AND(#REF!="Padrão",$H$4=#REF!),BDI!$B$17,IF(AND(#REF!="Padrão",$H$4=#REF!),BDI!#REF!,IF(AND(#REF!="Diferenciado",$H$4=#REF!),BDI!$E$17,IF(AND(#REF!="Diferenciado",$H$4=#REF!),BDI!#REF!,IF(#REF!="ZERO",0))))),"")</f>
        <v>#REF!</v>
      </c>
      <c r="H2956" s="136" t="str">
        <f t="shared" si="157"/>
        <v/>
      </c>
      <c r="I2956" s="134" t="str">
        <f t="shared" si="158"/>
        <v/>
      </c>
      <c r="J2956" s="226"/>
    </row>
    <row r="2957" spans="1:10" hidden="1" x14ac:dyDescent="0.25">
      <c r="A2957" s="112" t="s">
        <v>7187</v>
      </c>
      <c r="B2957" s="113" t="s">
        <v>7188</v>
      </c>
      <c r="C2957" s="114" t="s">
        <v>20</v>
      </c>
      <c r="D2957" s="114">
        <v>0</v>
      </c>
      <c r="E2957" s="133" t="s">
        <v>514</v>
      </c>
      <c r="F2957" s="134" t="str">
        <f t="shared" si="156"/>
        <v/>
      </c>
      <c r="G2957" s="135" t="e">
        <f>IF(A2957&lt;&gt;"",IF(AND(#REF!="Padrão",$H$4=#REF!),BDI!$B$17,IF(AND(#REF!="Padrão",$H$4=#REF!),BDI!#REF!,IF(AND(#REF!="Diferenciado",$H$4=#REF!),BDI!$E$17,IF(AND(#REF!="Diferenciado",$H$4=#REF!),BDI!#REF!,IF(#REF!="ZERO",0))))),"")</f>
        <v>#REF!</v>
      </c>
      <c r="H2957" s="136" t="str">
        <f t="shared" si="157"/>
        <v/>
      </c>
      <c r="I2957" s="134" t="str">
        <f t="shared" si="158"/>
        <v/>
      </c>
      <c r="J2957" s="226"/>
    </row>
    <row r="2958" spans="1:10" hidden="1" x14ac:dyDescent="0.25">
      <c r="A2958" s="112" t="s">
        <v>7189</v>
      </c>
      <c r="B2958" s="113" t="s">
        <v>7190</v>
      </c>
      <c r="C2958" s="114" t="s">
        <v>20</v>
      </c>
      <c r="D2958" s="114">
        <v>0</v>
      </c>
      <c r="E2958" s="133" t="s">
        <v>514</v>
      </c>
      <c r="F2958" s="134" t="str">
        <f t="shared" si="156"/>
        <v/>
      </c>
      <c r="G2958" s="135" t="e">
        <f>IF(A2958&lt;&gt;"",IF(AND(#REF!="Padrão",$H$4=#REF!),BDI!$B$17,IF(AND(#REF!="Padrão",$H$4=#REF!),BDI!#REF!,IF(AND(#REF!="Diferenciado",$H$4=#REF!),BDI!$E$17,IF(AND(#REF!="Diferenciado",$H$4=#REF!),BDI!#REF!,IF(#REF!="ZERO",0))))),"")</f>
        <v>#REF!</v>
      </c>
      <c r="H2958" s="136" t="str">
        <f t="shared" si="157"/>
        <v/>
      </c>
      <c r="I2958" s="134" t="str">
        <f t="shared" si="158"/>
        <v/>
      </c>
      <c r="J2958" s="226"/>
    </row>
    <row r="2959" spans="1:10" hidden="1" x14ac:dyDescent="0.25">
      <c r="A2959" s="112" t="s">
        <v>7191</v>
      </c>
      <c r="B2959" s="113" t="s">
        <v>7192</v>
      </c>
      <c r="C2959" s="114" t="s">
        <v>20</v>
      </c>
      <c r="D2959" s="114">
        <v>0</v>
      </c>
      <c r="E2959" s="133" t="s">
        <v>514</v>
      </c>
      <c r="F2959" s="134" t="str">
        <f t="shared" si="156"/>
        <v/>
      </c>
      <c r="G2959" s="135" t="e">
        <f>IF(A2959&lt;&gt;"",IF(AND(#REF!="Padrão",$H$4=#REF!),BDI!$B$17,IF(AND(#REF!="Padrão",$H$4=#REF!),BDI!#REF!,IF(AND(#REF!="Diferenciado",$H$4=#REF!),BDI!$E$17,IF(AND(#REF!="Diferenciado",$H$4=#REF!),BDI!#REF!,IF(#REF!="ZERO",0))))),"")</f>
        <v>#REF!</v>
      </c>
      <c r="H2959" s="136" t="str">
        <f t="shared" si="157"/>
        <v/>
      </c>
      <c r="I2959" s="134" t="str">
        <f t="shared" si="158"/>
        <v/>
      </c>
      <c r="J2959" s="226"/>
    </row>
    <row r="2960" spans="1:10" hidden="1" x14ac:dyDescent="0.25">
      <c r="A2960" s="112" t="s">
        <v>7193</v>
      </c>
      <c r="B2960" s="113" t="s">
        <v>7194</v>
      </c>
      <c r="C2960" s="114" t="s">
        <v>20</v>
      </c>
      <c r="D2960" s="114">
        <v>0</v>
      </c>
      <c r="E2960" s="133" t="s">
        <v>514</v>
      </c>
      <c r="F2960" s="134" t="str">
        <f t="shared" si="156"/>
        <v/>
      </c>
      <c r="G2960" s="135" t="e">
        <f>IF(A2960&lt;&gt;"",IF(AND(#REF!="Padrão",$H$4=#REF!),BDI!$B$17,IF(AND(#REF!="Padrão",$H$4=#REF!),BDI!#REF!,IF(AND(#REF!="Diferenciado",$H$4=#REF!),BDI!$E$17,IF(AND(#REF!="Diferenciado",$H$4=#REF!),BDI!#REF!,IF(#REF!="ZERO",0))))),"")</f>
        <v>#REF!</v>
      </c>
      <c r="H2960" s="136" t="str">
        <f t="shared" si="157"/>
        <v/>
      </c>
      <c r="I2960" s="134" t="str">
        <f t="shared" si="158"/>
        <v/>
      </c>
      <c r="J2960" s="226"/>
    </row>
    <row r="2961" spans="1:10" hidden="1" x14ac:dyDescent="0.25">
      <c r="A2961" s="112" t="s">
        <v>7195</v>
      </c>
      <c r="B2961" s="113" t="s">
        <v>7196</v>
      </c>
      <c r="C2961" s="114" t="s">
        <v>20</v>
      </c>
      <c r="D2961" s="114">
        <v>0</v>
      </c>
      <c r="E2961" s="133" t="s">
        <v>514</v>
      </c>
      <c r="F2961" s="134" t="str">
        <f t="shared" si="156"/>
        <v/>
      </c>
      <c r="G2961" s="135" t="e">
        <f>IF(A2961&lt;&gt;"",IF(AND(#REF!="Padrão",$H$4=#REF!),BDI!$B$17,IF(AND(#REF!="Padrão",$H$4=#REF!),BDI!#REF!,IF(AND(#REF!="Diferenciado",$H$4=#REF!),BDI!$E$17,IF(AND(#REF!="Diferenciado",$H$4=#REF!),BDI!#REF!,IF(#REF!="ZERO",0))))),"")</f>
        <v>#REF!</v>
      </c>
      <c r="H2961" s="136" t="str">
        <f t="shared" si="157"/>
        <v/>
      </c>
      <c r="I2961" s="134" t="str">
        <f t="shared" si="158"/>
        <v/>
      </c>
      <c r="J2961" s="226"/>
    </row>
    <row r="2962" spans="1:10" hidden="1" x14ac:dyDescent="0.25">
      <c r="A2962" s="112" t="s">
        <v>7197</v>
      </c>
      <c r="B2962" s="113" t="s">
        <v>7198</v>
      </c>
      <c r="C2962" s="114" t="s">
        <v>20</v>
      </c>
      <c r="D2962" s="114">
        <v>0</v>
      </c>
      <c r="E2962" s="133" t="s">
        <v>514</v>
      </c>
      <c r="F2962" s="134" t="str">
        <f t="shared" si="156"/>
        <v/>
      </c>
      <c r="G2962" s="135" t="e">
        <f>IF(A2962&lt;&gt;"",IF(AND(#REF!="Padrão",$H$4=#REF!),BDI!$B$17,IF(AND(#REF!="Padrão",$H$4=#REF!),BDI!#REF!,IF(AND(#REF!="Diferenciado",$H$4=#REF!),BDI!$E$17,IF(AND(#REF!="Diferenciado",$H$4=#REF!),BDI!#REF!,IF(#REF!="ZERO",0))))),"")</f>
        <v>#REF!</v>
      </c>
      <c r="H2962" s="136" t="str">
        <f t="shared" si="157"/>
        <v/>
      </c>
      <c r="I2962" s="134" t="str">
        <f t="shared" si="158"/>
        <v/>
      </c>
      <c r="J2962" s="226"/>
    </row>
    <row r="2963" spans="1:10" hidden="1" x14ac:dyDescent="0.25">
      <c r="A2963" s="112" t="s">
        <v>7199</v>
      </c>
      <c r="B2963" s="113" t="s">
        <v>7200</v>
      </c>
      <c r="C2963" s="114" t="s">
        <v>20</v>
      </c>
      <c r="D2963" s="114">
        <v>0</v>
      </c>
      <c r="E2963" s="133" t="s">
        <v>514</v>
      </c>
      <c r="F2963" s="134" t="str">
        <f t="shared" si="156"/>
        <v/>
      </c>
      <c r="G2963" s="135" t="e">
        <f>IF(A2963&lt;&gt;"",IF(AND(#REF!="Padrão",$H$4=#REF!),BDI!$B$17,IF(AND(#REF!="Padrão",$H$4=#REF!),BDI!#REF!,IF(AND(#REF!="Diferenciado",$H$4=#REF!),BDI!$E$17,IF(AND(#REF!="Diferenciado",$H$4=#REF!),BDI!#REF!,IF(#REF!="ZERO",0))))),"")</f>
        <v>#REF!</v>
      </c>
      <c r="H2963" s="136" t="str">
        <f t="shared" si="157"/>
        <v/>
      </c>
      <c r="I2963" s="134" t="str">
        <f t="shared" si="158"/>
        <v/>
      </c>
      <c r="J2963" s="226"/>
    </row>
    <row r="2964" spans="1:10" hidden="1" x14ac:dyDescent="0.25">
      <c r="A2964" s="112" t="s">
        <v>7201</v>
      </c>
      <c r="B2964" s="113" t="s">
        <v>7202</v>
      </c>
      <c r="C2964" s="114" t="s">
        <v>20</v>
      </c>
      <c r="D2964" s="114">
        <v>0</v>
      </c>
      <c r="E2964" s="133" t="s">
        <v>514</v>
      </c>
      <c r="F2964" s="134" t="str">
        <f t="shared" si="156"/>
        <v/>
      </c>
      <c r="G2964" s="135" t="e">
        <f>IF(A2964&lt;&gt;"",IF(AND(#REF!="Padrão",$H$4=#REF!),BDI!$B$17,IF(AND(#REF!="Padrão",$H$4=#REF!),BDI!#REF!,IF(AND(#REF!="Diferenciado",$H$4=#REF!),BDI!$E$17,IF(AND(#REF!="Diferenciado",$H$4=#REF!),BDI!#REF!,IF(#REF!="ZERO",0))))),"")</f>
        <v>#REF!</v>
      </c>
      <c r="H2964" s="136" t="str">
        <f t="shared" si="157"/>
        <v/>
      </c>
      <c r="I2964" s="134" t="str">
        <f t="shared" si="158"/>
        <v/>
      </c>
      <c r="J2964" s="226"/>
    </row>
    <row r="2965" spans="1:10" hidden="1" x14ac:dyDescent="0.25">
      <c r="A2965" s="112" t="s">
        <v>7203</v>
      </c>
      <c r="B2965" s="113" t="s">
        <v>7204</v>
      </c>
      <c r="C2965" s="114" t="s">
        <v>20</v>
      </c>
      <c r="D2965" s="114">
        <v>0</v>
      </c>
      <c r="E2965" s="133" t="s">
        <v>514</v>
      </c>
      <c r="F2965" s="134" t="str">
        <f t="shared" si="156"/>
        <v/>
      </c>
      <c r="G2965" s="135" t="e">
        <f>IF(A2965&lt;&gt;"",IF(AND(#REF!="Padrão",$H$4=#REF!),BDI!$B$17,IF(AND(#REF!="Padrão",$H$4=#REF!),BDI!#REF!,IF(AND(#REF!="Diferenciado",$H$4=#REF!),BDI!$E$17,IF(AND(#REF!="Diferenciado",$H$4=#REF!),BDI!#REF!,IF(#REF!="ZERO",0))))),"")</f>
        <v>#REF!</v>
      </c>
      <c r="H2965" s="136" t="str">
        <f t="shared" si="157"/>
        <v/>
      </c>
      <c r="I2965" s="134" t="str">
        <f t="shared" si="158"/>
        <v/>
      </c>
      <c r="J2965" s="226"/>
    </row>
    <row r="2966" spans="1:10" hidden="1" x14ac:dyDescent="0.25">
      <c r="A2966" s="112" t="s">
        <v>7205</v>
      </c>
      <c r="B2966" s="113" t="s">
        <v>7206</v>
      </c>
      <c r="C2966" s="114" t="s">
        <v>20</v>
      </c>
      <c r="D2966" s="114">
        <v>0</v>
      </c>
      <c r="E2966" s="133" t="s">
        <v>514</v>
      </c>
      <c r="F2966" s="134" t="str">
        <f t="shared" si="156"/>
        <v/>
      </c>
      <c r="G2966" s="135" t="e">
        <f>IF(A2966&lt;&gt;"",IF(AND(#REF!="Padrão",$H$4=#REF!),BDI!$B$17,IF(AND(#REF!="Padrão",$H$4=#REF!),BDI!#REF!,IF(AND(#REF!="Diferenciado",$H$4=#REF!),BDI!$E$17,IF(AND(#REF!="Diferenciado",$H$4=#REF!),BDI!#REF!,IF(#REF!="ZERO",0))))),"")</f>
        <v>#REF!</v>
      </c>
      <c r="H2966" s="136" t="str">
        <f t="shared" si="157"/>
        <v/>
      </c>
      <c r="I2966" s="134" t="str">
        <f t="shared" si="158"/>
        <v/>
      </c>
      <c r="J2966" s="226"/>
    </row>
    <row r="2967" spans="1:10" hidden="1" x14ac:dyDescent="0.25">
      <c r="A2967" s="112" t="s">
        <v>7207</v>
      </c>
      <c r="B2967" s="113" t="s">
        <v>7208</v>
      </c>
      <c r="C2967" s="114" t="s">
        <v>20</v>
      </c>
      <c r="D2967" s="114">
        <v>0</v>
      </c>
      <c r="E2967" s="133" t="s">
        <v>514</v>
      </c>
      <c r="F2967" s="134" t="str">
        <f t="shared" ref="F2967:F3030" si="159">IF(ISNUMBER(E2967),D2967*E2967,"")</f>
        <v/>
      </c>
      <c r="G2967" s="135" t="e">
        <f>IF(A2967&lt;&gt;"",IF(AND(#REF!="Padrão",$H$4=#REF!),BDI!$B$17,IF(AND(#REF!="Padrão",$H$4=#REF!),BDI!#REF!,IF(AND(#REF!="Diferenciado",$H$4=#REF!),BDI!$E$17,IF(AND(#REF!="Diferenciado",$H$4=#REF!),BDI!#REF!,IF(#REF!="ZERO",0))))),"")</f>
        <v>#REF!</v>
      </c>
      <c r="H2967" s="136" t="str">
        <f t="shared" ref="H2967:H3030" si="160">IF(ISNUMBER(E2967),ROUND(E2967*(1+G2967),2),"")</f>
        <v/>
      </c>
      <c r="I2967" s="134" t="str">
        <f t="shared" ref="I2967:I3030" si="161">IF(ISNUMBER(E2967),ROUND(H2967*D2967,2),"")</f>
        <v/>
      </c>
      <c r="J2967" s="226"/>
    </row>
    <row r="2968" spans="1:10" hidden="1" x14ac:dyDescent="0.25">
      <c r="A2968" s="112" t="s">
        <v>7209</v>
      </c>
      <c r="B2968" s="113" t="s">
        <v>7210</v>
      </c>
      <c r="C2968" s="114" t="s">
        <v>20</v>
      </c>
      <c r="D2968" s="114">
        <v>0</v>
      </c>
      <c r="E2968" s="133" t="s">
        <v>514</v>
      </c>
      <c r="F2968" s="134" t="str">
        <f t="shared" si="159"/>
        <v/>
      </c>
      <c r="G2968" s="135" t="e">
        <f>IF(A2968&lt;&gt;"",IF(AND(#REF!="Padrão",$H$4=#REF!),BDI!$B$17,IF(AND(#REF!="Padrão",$H$4=#REF!),BDI!#REF!,IF(AND(#REF!="Diferenciado",$H$4=#REF!),BDI!$E$17,IF(AND(#REF!="Diferenciado",$H$4=#REF!),BDI!#REF!,IF(#REF!="ZERO",0))))),"")</f>
        <v>#REF!</v>
      </c>
      <c r="H2968" s="136" t="str">
        <f t="shared" si="160"/>
        <v/>
      </c>
      <c r="I2968" s="134" t="str">
        <f t="shared" si="161"/>
        <v/>
      </c>
      <c r="J2968" s="226"/>
    </row>
    <row r="2969" spans="1:10" hidden="1" x14ac:dyDescent="0.25">
      <c r="A2969" s="112" t="s">
        <v>7211</v>
      </c>
      <c r="B2969" s="113" t="s">
        <v>7212</v>
      </c>
      <c r="C2969" s="114" t="s">
        <v>20</v>
      </c>
      <c r="D2969" s="114">
        <v>0</v>
      </c>
      <c r="E2969" s="133" t="s">
        <v>514</v>
      </c>
      <c r="F2969" s="134" t="str">
        <f t="shared" si="159"/>
        <v/>
      </c>
      <c r="G2969" s="135" t="e">
        <f>IF(A2969&lt;&gt;"",IF(AND(#REF!="Padrão",$H$4=#REF!),BDI!$B$17,IF(AND(#REF!="Padrão",$H$4=#REF!),BDI!#REF!,IF(AND(#REF!="Diferenciado",$H$4=#REF!),BDI!$E$17,IF(AND(#REF!="Diferenciado",$H$4=#REF!),BDI!#REF!,IF(#REF!="ZERO",0))))),"")</f>
        <v>#REF!</v>
      </c>
      <c r="H2969" s="136" t="str">
        <f t="shared" si="160"/>
        <v/>
      </c>
      <c r="I2969" s="134" t="str">
        <f t="shared" si="161"/>
        <v/>
      </c>
      <c r="J2969" s="226"/>
    </row>
    <row r="2970" spans="1:10" hidden="1" x14ac:dyDescent="0.25">
      <c r="A2970" s="112" t="s">
        <v>7213</v>
      </c>
      <c r="B2970" s="113" t="s">
        <v>7214</v>
      </c>
      <c r="C2970" s="114" t="s">
        <v>20</v>
      </c>
      <c r="D2970" s="114">
        <v>0</v>
      </c>
      <c r="E2970" s="133" t="s">
        <v>514</v>
      </c>
      <c r="F2970" s="134" t="str">
        <f t="shared" si="159"/>
        <v/>
      </c>
      <c r="G2970" s="135" t="e">
        <f>IF(A2970&lt;&gt;"",IF(AND(#REF!="Padrão",$H$4=#REF!),BDI!$B$17,IF(AND(#REF!="Padrão",$H$4=#REF!),BDI!#REF!,IF(AND(#REF!="Diferenciado",$H$4=#REF!),BDI!$E$17,IF(AND(#REF!="Diferenciado",$H$4=#REF!),BDI!#REF!,IF(#REF!="ZERO",0))))),"")</f>
        <v>#REF!</v>
      </c>
      <c r="H2970" s="136" t="str">
        <f t="shared" si="160"/>
        <v/>
      </c>
      <c r="I2970" s="134" t="str">
        <f t="shared" si="161"/>
        <v/>
      </c>
      <c r="J2970" s="226"/>
    </row>
    <row r="2971" spans="1:10" hidden="1" x14ac:dyDescent="0.25">
      <c r="A2971" s="112" t="s">
        <v>7215</v>
      </c>
      <c r="B2971" s="113" t="s">
        <v>7216</v>
      </c>
      <c r="C2971" s="114" t="s">
        <v>20</v>
      </c>
      <c r="D2971" s="114">
        <v>0</v>
      </c>
      <c r="E2971" s="133" t="s">
        <v>514</v>
      </c>
      <c r="F2971" s="134" t="str">
        <f t="shared" si="159"/>
        <v/>
      </c>
      <c r="G2971" s="135" t="e">
        <f>IF(A2971&lt;&gt;"",IF(AND(#REF!="Padrão",$H$4=#REF!),BDI!$B$17,IF(AND(#REF!="Padrão",$H$4=#REF!),BDI!#REF!,IF(AND(#REF!="Diferenciado",$H$4=#REF!),BDI!$E$17,IF(AND(#REF!="Diferenciado",$H$4=#REF!),BDI!#REF!,IF(#REF!="ZERO",0))))),"")</f>
        <v>#REF!</v>
      </c>
      <c r="H2971" s="136" t="str">
        <f t="shared" si="160"/>
        <v/>
      </c>
      <c r="I2971" s="134" t="str">
        <f t="shared" si="161"/>
        <v/>
      </c>
      <c r="J2971" s="226"/>
    </row>
    <row r="2972" spans="1:10" hidden="1" x14ac:dyDescent="0.25">
      <c r="A2972" s="112" t="s">
        <v>7217</v>
      </c>
      <c r="B2972" s="113" t="s">
        <v>7218</v>
      </c>
      <c r="C2972" s="114" t="s">
        <v>20</v>
      </c>
      <c r="D2972" s="114">
        <v>0</v>
      </c>
      <c r="E2972" s="133" t="s">
        <v>514</v>
      </c>
      <c r="F2972" s="134" t="str">
        <f t="shared" si="159"/>
        <v/>
      </c>
      <c r="G2972" s="135" t="e">
        <f>IF(A2972&lt;&gt;"",IF(AND(#REF!="Padrão",$H$4=#REF!),BDI!$B$17,IF(AND(#REF!="Padrão",$H$4=#REF!),BDI!#REF!,IF(AND(#REF!="Diferenciado",$H$4=#REF!),BDI!$E$17,IF(AND(#REF!="Diferenciado",$H$4=#REF!),BDI!#REF!,IF(#REF!="ZERO",0))))),"")</f>
        <v>#REF!</v>
      </c>
      <c r="H2972" s="136" t="str">
        <f t="shared" si="160"/>
        <v/>
      </c>
      <c r="I2972" s="134" t="str">
        <f t="shared" si="161"/>
        <v/>
      </c>
      <c r="J2972" s="226"/>
    </row>
    <row r="2973" spans="1:10" hidden="1" x14ac:dyDescent="0.25">
      <c r="A2973" s="112" t="s">
        <v>7219</v>
      </c>
      <c r="B2973" s="113" t="s">
        <v>7220</v>
      </c>
      <c r="C2973" s="114" t="s">
        <v>20</v>
      </c>
      <c r="D2973" s="114">
        <v>0</v>
      </c>
      <c r="E2973" s="133" t="s">
        <v>514</v>
      </c>
      <c r="F2973" s="134" t="str">
        <f t="shared" si="159"/>
        <v/>
      </c>
      <c r="G2973" s="135" t="e">
        <f>IF(A2973&lt;&gt;"",IF(AND(#REF!="Padrão",$H$4=#REF!),BDI!$B$17,IF(AND(#REF!="Padrão",$H$4=#REF!),BDI!#REF!,IF(AND(#REF!="Diferenciado",$H$4=#REF!),BDI!$E$17,IF(AND(#REF!="Diferenciado",$H$4=#REF!),BDI!#REF!,IF(#REF!="ZERO",0))))),"")</f>
        <v>#REF!</v>
      </c>
      <c r="H2973" s="136" t="str">
        <f t="shared" si="160"/>
        <v/>
      </c>
      <c r="I2973" s="134" t="str">
        <f t="shared" si="161"/>
        <v/>
      </c>
      <c r="J2973" s="226"/>
    </row>
    <row r="2974" spans="1:10" hidden="1" x14ac:dyDescent="0.25">
      <c r="A2974" s="112" t="s">
        <v>7221</v>
      </c>
      <c r="B2974" s="113" t="s">
        <v>7222</v>
      </c>
      <c r="C2974" s="114" t="s">
        <v>20</v>
      </c>
      <c r="D2974" s="114">
        <v>0</v>
      </c>
      <c r="E2974" s="133" t="s">
        <v>514</v>
      </c>
      <c r="F2974" s="134" t="str">
        <f t="shared" si="159"/>
        <v/>
      </c>
      <c r="G2974" s="135" t="e">
        <f>IF(A2974&lt;&gt;"",IF(AND(#REF!="Padrão",$H$4=#REF!),BDI!$B$17,IF(AND(#REF!="Padrão",$H$4=#REF!),BDI!#REF!,IF(AND(#REF!="Diferenciado",$H$4=#REF!),BDI!$E$17,IF(AND(#REF!="Diferenciado",$H$4=#REF!),BDI!#REF!,IF(#REF!="ZERO",0))))),"")</f>
        <v>#REF!</v>
      </c>
      <c r="H2974" s="136" t="str">
        <f t="shared" si="160"/>
        <v/>
      </c>
      <c r="I2974" s="134" t="str">
        <f t="shared" si="161"/>
        <v/>
      </c>
      <c r="J2974" s="226"/>
    </row>
    <row r="2975" spans="1:10" hidden="1" x14ac:dyDescent="0.25">
      <c r="A2975" s="112" t="s">
        <v>7223</v>
      </c>
      <c r="B2975" s="113" t="s">
        <v>7224</v>
      </c>
      <c r="C2975" s="114" t="s">
        <v>20</v>
      </c>
      <c r="D2975" s="114">
        <v>0</v>
      </c>
      <c r="E2975" s="133">
        <f ca="1">OFFSET(INDEX(Composições!A:J,MATCH(Orçamentária!A2975,Composições!A:A,0),8),2,0)</f>
        <v>1.6909999999999998</v>
      </c>
      <c r="F2975" s="134">
        <f t="shared" ca="1" si="159"/>
        <v>0</v>
      </c>
      <c r="G2975" s="135" t="e">
        <f>IF(A2975&lt;&gt;"",IF(AND(#REF!="Padrão",$H$4=#REF!),BDI!$B$17,IF(AND(#REF!="Padrão",$H$4=#REF!),BDI!#REF!,IF(AND(#REF!="Diferenciado",$H$4=#REF!),BDI!$E$17,IF(AND(#REF!="Diferenciado",$H$4=#REF!),BDI!#REF!,IF(#REF!="ZERO",0))))),"")</f>
        <v>#REF!</v>
      </c>
      <c r="H2975" s="136" t="e">
        <f t="shared" ca="1" si="160"/>
        <v>#REF!</v>
      </c>
      <c r="I2975" s="134" t="e">
        <f t="shared" ca="1" si="161"/>
        <v>#REF!</v>
      </c>
      <c r="J2975" s="226"/>
    </row>
    <row r="2976" spans="1:10" hidden="1" x14ac:dyDescent="0.25">
      <c r="A2976" s="112" t="s">
        <v>7225</v>
      </c>
      <c r="B2976" s="113" t="s">
        <v>7226</v>
      </c>
      <c r="C2976" s="114" t="s">
        <v>20</v>
      </c>
      <c r="D2976" s="114">
        <v>0</v>
      </c>
      <c r="E2976" s="133" t="s">
        <v>514</v>
      </c>
      <c r="F2976" s="134" t="str">
        <f t="shared" si="159"/>
        <v/>
      </c>
      <c r="G2976" s="135" t="e">
        <f>IF(A2976&lt;&gt;"",IF(AND(#REF!="Padrão",$H$4=#REF!),BDI!$B$17,IF(AND(#REF!="Padrão",$H$4=#REF!),BDI!#REF!,IF(AND(#REF!="Diferenciado",$H$4=#REF!),BDI!$E$17,IF(AND(#REF!="Diferenciado",$H$4=#REF!),BDI!#REF!,IF(#REF!="ZERO",0))))),"")</f>
        <v>#REF!</v>
      </c>
      <c r="H2976" s="136" t="str">
        <f t="shared" si="160"/>
        <v/>
      </c>
      <c r="I2976" s="134" t="str">
        <f t="shared" si="161"/>
        <v/>
      </c>
      <c r="J2976" s="226"/>
    </row>
    <row r="2977" spans="1:10" hidden="1" x14ac:dyDescent="0.25">
      <c r="A2977" s="112" t="s">
        <v>7227</v>
      </c>
      <c r="B2977" s="113" t="s">
        <v>7228</v>
      </c>
      <c r="C2977" s="114" t="s">
        <v>20</v>
      </c>
      <c r="D2977" s="114">
        <v>0</v>
      </c>
      <c r="E2977" s="133" t="s">
        <v>514</v>
      </c>
      <c r="F2977" s="134" t="str">
        <f t="shared" si="159"/>
        <v/>
      </c>
      <c r="G2977" s="135" t="e">
        <f>IF(A2977&lt;&gt;"",IF(AND(#REF!="Padrão",$H$4=#REF!),BDI!$B$17,IF(AND(#REF!="Padrão",$H$4=#REF!),BDI!#REF!,IF(AND(#REF!="Diferenciado",$H$4=#REF!),BDI!$E$17,IF(AND(#REF!="Diferenciado",$H$4=#REF!),BDI!#REF!,IF(#REF!="ZERO",0))))),"")</f>
        <v>#REF!</v>
      </c>
      <c r="H2977" s="136" t="str">
        <f t="shared" si="160"/>
        <v/>
      </c>
      <c r="I2977" s="134" t="str">
        <f t="shared" si="161"/>
        <v/>
      </c>
      <c r="J2977" s="226"/>
    </row>
    <row r="2978" spans="1:10" hidden="1" x14ac:dyDescent="0.25">
      <c r="A2978" s="112" t="s">
        <v>7229</v>
      </c>
      <c r="B2978" s="113" t="s">
        <v>7230</v>
      </c>
      <c r="C2978" s="114" t="s">
        <v>20</v>
      </c>
      <c r="D2978" s="114">
        <v>0</v>
      </c>
      <c r="E2978" s="133">
        <f ca="1">OFFSET(INDEX(Composições!A:J,MATCH(Orçamentária!A2978,Composições!A:A,0),8),2,0)</f>
        <v>108.05299999999998</v>
      </c>
      <c r="F2978" s="134">
        <f t="shared" ca="1" si="159"/>
        <v>0</v>
      </c>
      <c r="G2978" s="135" t="e">
        <f>IF(A2978&lt;&gt;"",IF(AND(#REF!="Padrão",$H$4=#REF!),BDI!$B$17,IF(AND(#REF!="Padrão",$H$4=#REF!),BDI!#REF!,IF(AND(#REF!="Diferenciado",$H$4=#REF!),BDI!$E$17,IF(AND(#REF!="Diferenciado",$H$4=#REF!),BDI!#REF!,IF(#REF!="ZERO",0))))),"")</f>
        <v>#REF!</v>
      </c>
      <c r="H2978" s="136" t="e">
        <f t="shared" ca="1" si="160"/>
        <v>#REF!</v>
      </c>
      <c r="I2978" s="134" t="e">
        <f t="shared" ca="1" si="161"/>
        <v>#REF!</v>
      </c>
      <c r="J2978" s="226"/>
    </row>
    <row r="2979" spans="1:10" hidden="1" x14ac:dyDescent="0.25">
      <c r="A2979" s="112" t="s">
        <v>7231</v>
      </c>
      <c r="B2979" s="113" t="s">
        <v>7232</v>
      </c>
      <c r="C2979" s="114" t="s">
        <v>20</v>
      </c>
      <c r="D2979" s="114">
        <v>0</v>
      </c>
      <c r="E2979" s="133">
        <f ca="1">OFFSET(INDEX(Composições!A:J,MATCH(Orçamentária!A2979,Composições!A:A,0),8),2,0)</f>
        <v>455.90499999999997</v>
      </c>
      <c r="F2979" s="134">
        <f t="shared" ca="1" si="159"/>
        <v>0</v>
      </c>
      <c r="G2979" s="135" t="e">
        <f>IF(A2979&lt;&gt;"",IF(AND(#REF!="Padrão",$H$4=#REF!),BDI!$B$17,IF(AND(#REF!="Padrão",$H$4=#REF!),BDI!#REF!,IF(AND(#REF!="Diferenciado",$H$4=#REF!),BDI!$E$17,IF(AND(#REF!="Diferenciado",$H$4=#REF!),BDI!#REF!,IF(#REF!="ZERO",0))))),"")</f>
        <v>#REF!</v>
      </c>
      <c r="H2979" s="136" t="e">
        <f t="shared" ca="1" si="160"/>
        <v>#REF!</v>
      </c>
      <c r="I2979" s="134" t="e">
        <f t="shared" ca="1" si="161"/>
        <v>#REF!</v>
      </c>
      <c r="J2979" s="226"/>
    </row>
    <row r="2980" spans="1:10" hidden="1" x14ac:dyDescent="0.25">
      <c r="A2980" s="112" t="s">
        <v>7233</v>
      </c>
      <c r="B2980" s="113" t="s">
        <v>7234</v>
      </c>
      <c r="C2980" s="114" t="s">
        <v>20</v>
      </c>
      <c r="D2980" s="114">
        <v>0</v>
      </c>
      <c r="E2980" s="133">
        <f ca="1">OFFSET(INDEX(Composições!A:J,MATCH(Orçamentária!A2980,Composições!A:A,0),8),2,0)</f>
        <v>5.4339999999999993</v>
      </c>
      <c r="F2980" s="134">
        <f t="shared" ca="1" si="159"/>
        <v>0</v>
      </c>
      <c r="G2980" s="135" t="e">
        <f>IF(A2980&lt;&gt;"",IF(AND(#REF!="Padrão",$H$4=#REF!),BDI!$B$17,IF(AND(#REF!="Padrão",$H$4=#REF!),BDI!#REF!,IF(AND(#REF!="Diferenciado",$H$4=#REF!),BDI!$E$17,IF(AND(#REF!="Diferenciado",$H$4=#REF!),BDI!#REF!,IF(#REF!="ZERO",0))))),"")</f>
        <v>#REF!</v>
      </c>
      <c r="H2980" s="136" t="e">
        <f t="shared" ca="1" si="160"/>
        <v>#REF!</v>
      </c>
      <c r="I2980" s="134" t="e">
        <f t="shared" ca="1" si="161"/>
        <v>#REF!</v>
      </c>
      <c r="J2980" s="226"/>
    </row>
    <row r="2981" spans="1:10" hidden="1" x14ac:dyDescent="0.25">
      <c r="A2981" s="112" t="s">
        <v>7235</v>
      </c>
      <c r="B2981" s="113" t="s">
        <v>7236</v>
      </c>
      <c r="C2981" s="114" t="s">
        <v>20</v>
      </c>
      <c r="D2981" s="114">
        <v>0</v>
      </c>
      <c r="E2981" s="133">
        <f ca="1">OFFSET(INDEX(Composições!A:J,MATCH(Orçamentária!A2981,Composições!A:A,0),8),2,0)</f>
        <v>33.981500000000004</v>
      </c>
      <c r="F2981" s="134">
        <f t="shared" ca="1" si="159"/>
        <v>0</v>
      </c>
      <c r="G2981" s="135" t="e">
        <f>IF(A2981&lt;&gt;"",IF(AND(#REF!="Padrão",$H$4=#REF!),BDI!$B$17,IF(AND(#REF!="Padrão",$H$4=#REF!),BDI!#REF!,IF(AND(#REF!="Diferenciado",$H$4=#REF!),BDI!$E$17,IF(AND(#REF!="Diferenciado",$H$4=#REF!),BDI!#REF!,IF(#REF!="ZERO",0))))),"")</f>
        <v>#REF!</v>
      </c>
      <c r="H2981" s="136" t="e">
        <f t="shared" ca="1" si="160"/>
        <v>#REF!</v>
      </c>
      <c r="I2981" s="134" t="e">
        <f t="shared" ca="1" si="161"/>
        <v>#REF!</v>
      </c>
      <c r="J2981" s="226"/>
    </row>
    <row r="2982" spans="1:10" hidden="1" x14ac:dyDescent="0.25">
      <c r="A2982" s="112" t="s">
        <v>7237</v>
      </c>
      <c r="B2982" s="113" t="s">
        <v>7238</v>
      </c>
      <c r="C2982" s="114" t="s">
        <v>20</v>
      </c>
      <c r="D2982" s="114">
        <v>0</v>
      </c>
      <c r="E2982" s="133">
        <f ca="1">OFFSET(INDEX(Composições!A:J,MATCH(Orçamentária!A2982,Composições!A:A,0),8),2,0)</f>
        <v>15.523</v>
      </c>
      <c r="F2982" s="134">
        <f t="shared" ca="1" si="159"/>
        <v>0</v>
      </c>
      <c r="G2982" s="135" t="e">
        <f>IF(A2982&lt;&gt;"",IF(AND(#REF!="Padrão",$H$4=#REF!),BDI!$B$17,IF(AND(#REF!="Padrão",$H$4=#REF!),BDI!#REF!,IF(AND(#REF!="Diferenciado",$H$4=#REF!),BDI!$E$17,IF(AND(#REF!="Diferenciado",$H$4=#REF!),BDI!#REF!,IF(#REF!="ZERO",0))))),"")</f>
        <v>#REF!</v>
      </c>
      <c r="H2982" s="136" t="e">
        <f t="shared" ca="1" si="160"/>
        <v>#REF!</v>
      </c>
      <c r="I2982" s="134" t="e">
        <f t="shared" ca="1" si="161"/>
        <v>#REF!</v>
      </c>
      <c r="J2982" s="226"/>
    </row>
    <row r="2983" spans="1:10" hidden="1" x14ac:dyDescent="0.25">
      <c r="A2983" s="112" t="s">
        <v>7239</v>
      </c>
      <c r="B2983" s="113" t="s">
        <v>7240</v>
      </c>
      <c r="C2983" s="114" t="s">
        <v>20</v>
      </c>
      <c r="D2983" s="114">
        <v>0</v>
      </c>
      <c r="E2983" s="133" t="s">
        <v>514</v>
      </c>
      <c r="F2983" s="134" t="str">
        <f t="shared" si="159"/>
        <v/>
      </c>
      <c r="G2983" s="135" t="e">
        <f>IF(A2983&lt;&gt;"",IF(AND(#REF!="Padrão",$H$4=#REF!),BDI!$B$17,IF(AND(#REF!="Padrão",$H$4=#REF!),BDI!#REF!,IF(AND(#REF!="Diferenciado",$H$4=#REF!),BDI!$E$17,IF(AND(#REF!="Diferenciado",$H$4=#REF!),BDI!#REF!,IF(#REF!="ZERO",0))))),"")</f>
        <v>#REF!</v>
      </c>
      <c r="H2983" s="136" t="str">
        <f t="shared" si="160"/>
        <v/>
      </c>
      <c r="I2983" s="134" t="str">
        <f t="shared" si="161"/>
        <v/>
      </c>
      <c r="J2983" s="226"/>
    </row>
    <row r="2984" spans="1:10" hidden="1" x14ac:dyDescent="0.25">
      <c r="A2984" s="112" t="s">
        <v>7241</v>
      </c>
      <c r="B2984" s="113" t="s">
        <v>7242</v>
      </c>
      <c r="C2984" s="114" t="s">
        <v>20</v>
      </c>
      <c r="D2984" s="114">
        <v>0</v>
      </c>
      <c r="E2984" s="133">
        <f ca="1">OFFSET(INDEX(Composições!A:J,MATCH(Orçamentária!A2984,Composições!A:A,0),8),2,0)</f>
        <v>15.874499999999999</v>
      </c>
      <c r="F2984" s="134">
        <f t="shared" ca="1" si="159"/>
        <v>0</v>
      </c>
      <c r="G2984" s="135" t="e">
        <f>IF(A2984&lt;&gt;"",IF(AND(#REF!="Padrão",$H$4=#REF!),BDI!$B$17,IF(AND(#REF!="Padrão",$H$4=#REF!),BDI!#REF!,IF(AND(#REF!="Diferenciado",$H$4=#REF!),BDI!$E$17,IF(AND(#REF!="Diferenciado",$H$4=#REF!),BDI!#REF!,IF(#REF!="ZERO",0))))),"")</f>
        <v>#REF!</v>
      </c>
      <c r="H2984" s="136" t="e">
        <f t="shared" ca="1" si="160"/>
        <v>#REF!</v>
      </c>
      <c r="I2984" s="134" t="e">
        <f t="shared" ca="1" si="161"/>
        <v>#REF!</v>
      </c>
      <c r="J2984" s="226"/>
    </row>
    <row r="2985" spans="1:10" hidden="1" x14ac:dyDescent="0.25">
      <c r="A2985" s="112" t="s">
        <v>7243</v>
      </c>
      <c r="B2985" s="113" t="s">
        <v>7244</v>
      </c>
      <c r="C2985" s="114" t="s">
        <v>20</v>
      </c>
      <c r="D2985" s="114">
        <v>0</v>
      </c>
      <c r="E2985" s="133">
        <f ca="1">OFFSET(INDEX(Composições!A:J,MATCH(Orçamentária!A2985,Composições!A:A,0),8),2,0)</f>
        <v>18.524999999999999</v>
      </c>
      <c r="F2985" s="134">
        <f t="shared" ca="1" si="159"/>
        <v>0</v>
      </c>
      <c r="G2985" s="135" t="e">
        <f>IF(A2985&lt;&gt;"",IF(AND(#REF!="Padrão",$H$4=#REF!),BDI!$B$17,IF(AND(#REF!="Padrão",$H$4=#REF!),BDI!#REF!,IF(AND(#REF!="Diferenciado",$H$4=#REF!),BDI!$E$17,IF(AND(#REF!="Diferenciado",$H$4=#REF!),BDI!#REF!,IF(#REF!="ZERO",0))))),"")</f>
        <v>#REF!</v>
      </c>
      <c r="H2985" s="136" t="e">
        <f t="shared" ca="1" si="160"/>
        <v>#REF!</v>
      </c>
      <c r="I2985" s="134" t="e">
        <f t="shared" ca="1" si="161"/>
        <v>#REF!</v>
      </c>
      <c r="J2985" s="226"/>
    </row>
    <row r="2986" spans="1:10" hidden="1" x14ac:dyDescent="0.25">
      <c r="A2986" s="112" t="s">
        <v>7245</v>
      </c>
      <c r="B2986" s="113" t="s">
        <v>7246</v>
      </c>
      <c r="C2986" s="114" t="s">
        <v>20</v>
      </c>
      <c r="D2986" s="114">
        <v>0</v>
      </c>
      <c r="E2986" s="133" t="s">
        <v>514</v>
      </c>
      <c r="F2986" s="134" t="str">
        <f t="shared" si="159"/>
        <v/>
      </c>
      <c r="G2986" s="135" t="e">
        <f>IF(A2986&lt;&gt;"",IF(AND(#REF!="Padrão",$H$4=#REF!),BDI!$B$17,IF(AND(#REF!="Padrão",$H$4=#REF!),BDI!#REF!,IF(AND(#REF!="Diferenciado",$H$4=#REF!),BDI!$E$17,IF(AND(#REF!="Diferenciado",$H$4=#REF!),BDI!#REF!,IF(#REF!="ZERO",0))))),"")</f>
        <v>#REF!</v>
      </c>
      <c r="H2986" s="136" t="str">
        <f t="shared" si="160"/>
        <v/>
      </c>
      <c r="I2986" s="134" t="str">
        <f t="shared" si="161"/>
        <v/>
      </c>
      <c r="J2986" s="226"/>
    </row>
    <row r="2987" spans="1:10" hidden="1" x14ac:dyDescent="0.25">
      <c r="A2987" s="112" t="s">
        <v>7247</v>
      </c>
      <c r="B2987" s="113" t="s">
        <v>7248</v>
      </c>
      <c r="C2987" s="114" t="s">
        <v>20</v>
      </c>
      <c r="D2987" s="114">
        <v>0</v>
      </c>
      <c r="E2987" s="133" t="s">
        <v>514</v>
      </c>
      <c r="F2987" s="134" t="str">
        <f t="shared" si="159"/>
        <v/>
      </c>
      <c r="G2987" s="135" t="e">
        <f>IF(A2987&lt;&gt;"",IF(AND(#REF!="Padrão",$H$4=#REF!),BDI!$B$17,IF(AND(#REF!="Padrão",$H$4=#REF!),BDI!#REF!,IF(AND(#REF!="Diferenciado",$H$4=#REF!),BDI!$E$17,IF(AND(#REF!="Diferenciado",$H$4=#REF!),BDI!#REF!,IF(#REF!="ZERO",0))))),"")</f>
        <v>#REF!</v>
      </c>
      <c r="H2987" s="136" t="str">
        <f t="shared" si="160"/>
        <v/>
      </c>
      <c r="I2987" s="134" t="str">
        <f t="shared" si="161"/>
        <v/>
      </c>
      <c r="J2987" s="226"/>
    </row>
    <row r="2988" spans="1:10" hidden="1" x14ac:dyDescent="0.25">
      <c r="A2988" s="112" t="s">
        <v>7249</v>
      </c>
      <c r="B2988" s="113" t="s">
        <v>7250</v>
      </c>
      <c r="C2988" s="114" t="s">
        <v>20</v>
      </c>
      <c r="D2988" s="114">
        <v>0</v>
      </c>
      <c r="E2988" s="133" t="s">
        <v>514</v>
      </c>
      <c r="F2988" s="134" t="str">
        <f t="shared" si="159"/>
        <v/>
      </c>
      <c r="G2988" s="135" t="e">
        <f>IF(A2988&lt;&gt;"",IF(AND(#REF!="Padrão",$H$4=#REF!),BDI!$B$17,IF(AND(#REF!="Padrão",$H$4=#REF!),BDI!#REF!,IF(AND(#REF!="Diferenciado",$H$4=#REF!),BDI!$E$17,IF(AND(#REF!="Diferenciado",$H$4=#REF!),BDI!#REF!,IF(#REF!="ZERO",0))))),"")</f>
        <v>#REF!</v>
      </c>
      <c r="H2988" s="136" t="str">
        <f t="shared" si="160"/>
        <v/>
      </c>
      <c r="I2988" s="134" t="str">
        <f t="shared" si="161"/>
        <v/>
      </c>
      <c r="J2988" s="226"/>
    </row>
    <row r="2989" spans="1:10" hidden="1" x14ac:dyDescent="0.25">
      <c r="A2989" s="112" t="s">
        <v>7251</v>
      </c>
      <c r="B2989" s="113" t="s">
        <v>7252</v>
      </c>
      <c r="C2989" s="114" t="s">
        <v>20</v>
      </c>
      <c r="D2989" s="114">
        <v>0</v>
      </c>
      <c r="E2989" s="133" t="s">
        <v>514</v>
      </c>
      <c r="F2989" s="134" t="str">
        <f t="shared" si="159"/>
        <v/>
      </c>
      <c r="G2989" s="135" t="e">
        <f>IF(A2989&lt;&gt;"",IF(AND(#REF!="Padrão",$H$4=#REF!),BDI!$B$17,IF(AND(#REF!="Padrão",$H$4=#REF!),BDI!#REF!,IF(AND(#REF!="Diferenciado",$H$4=#REF!),BDI!$E$17,IF(AND(#REF!="Diferenciado",$H$4=#REF!),BDI!#REF!,IF(#REF!="ZERO",0))))),"")</f>
        <v>#REF!</v>
      </c>
      <c r="H2989" s="136" t="str">
        <f t="shared" si="160"/>
        <v/>
      </c>
      <c r="I2989" s="134" t="str">
        <f t="shared" si="161"/>
        <v/>
      </c>
      <c r="J2989" s="226"/>
    </row>
    <row r="2990" spans="1:10" hidden="1" x14ac:dyDescent="0.25">
      <c r="A2990" s="112" t="s">
        <v>7253</v>
      </c>
      <c r="B2990" s="113" t="s">
        <v>7254</v>
      </c>
      <c r="C2990" s="114" t="s">
        <v>20</v>
      </c>
      <c r="D2990" s="114">
        <v>0</v>
      </c>
      <c r="E2990" s="133">
        <f ca="1">OFFSET(INDEX(Composições!A:J,MATCH(Orçamentária!A2990,Composições!A:A,0),8),2,0)</f>
        <v>131.63200000000001</v>
      </c>
      <c r="F2990" s="134">
        <f t="shared" ca="1" si="159"/>
        <v>0</v>
      </c>
      <c r="G2990" s="135" t="e">
        <f>IF(A2990&lt;&gt;"",IF(AND(#REF!="Padrão",$H$4=#REF!),BDI!$B$17,IF(AND(#REF!="Padrão",$H$4=#REF!),BDI!#REF!,IF(AND(#REF!="Diferenciado",$H$4=#REF!),BDI!$E$17,IF(AND(#REF!="Diferenciado",$H$4=#REF!),BDI!#REF!,IF(#REF!="ZERO",0))))),"")</f>
        <v>#REF!</v>
      </c>
      <c r="H2990" s="136" t="e">
        <f t="shared" ca="1" si="160"/>
        <v>#REF!</v>
      </c>
      <c r="I2990" s="134" t="e">
        <f t="shared" ca="1" si="161"/>
        <v>#REF!</v>
      </c>
      <c r="J2990" s="226"/>
    </row>
    <row r="2991" spans="1:10" hidden="1" x14ac:dyDescent="0.25">
      <c r="A2991" s="112" t="s">
        <v>7255</v>
      </c>
      <c r="B2991" s="113" t="s">
        <v>7256</v>
      </c>
      <c r="C2991" s="114" t="s">
        <v>20</v>
      </c>
      <c r="D2991" s="114">
        <v>0</v>
      </c>
      <c r="E2991" s="133">
        <f ca="1">OFFSET(INDEX(Composições!A:J,MATCH(Orçamentária!A2991,Composições!A:A,0),8),2,0)</f>
        <v>54.1785</v>
      </c>
      <c r="F2991" s="134">
        <f t="shared" ca="1" si="159"/>
        <v>0</v>
      </c>
      <c r="G2991" s="135" t="e">
        <f>IF(A2991&lt;&gt;"",IF(AND(#REF!="Padrão",$H$4=#REF!),BDI!$B$17,IF(AND(#REF!="Padrão",$H$4=#REF!),BDI!#REF!,IF(AND(#REF!="Diferenciado",$H$4=#REF!),BDI!$E$17,IF(AND(#REF!="Diferenciado",$H$4=#REF!),BDI!#REF!,IF(#REF!="ZERO",0))))),"")</f>
        <v>#REF!</v>
      </c>
      <c r="H2991" s="136" t="e">
        <f t="shared" ca="1" si="160"/>
        <v>#REF!</v>
      </c>
      <c r="I2991" s="134" t="e">
        <f t="shared" ca="1" si="161"/>
        <v>#REF!</v>
      </c>
      <c r="J2991" s="226"/>
    </row>
    <row r="2992" spans="1:10" hidden="1" x14ac:dyDescent="0.25">
      <c r="A2992" s="112" t="s">
        <v>7257</v>
      </c>
      <c r="B2992" s="113" t="s">
        <v>7258</v>
      </c>
      <c r="C2992" s="114" t="s">
        <v>20</v>
      </c>
      <c r="D2992" s="114">
        <v>0</v>
      </c>
      <c r="E2992" s="133">
        <f ca="1">OFFSET(INDEX(Composições!A:J,MATCH(Orçamentária!A2992,Composições!A:A,0),8),2,0)</f>
        <v>308.35099999999994</v>
      </c>
      <c r="F2992" s="134">
        <f t="shared" ca="1" si="159"/>
        <v>0</v>
      </c>
      <c r="G2992" s="135" t="e">
        <f>IF(A2992&lt;&gt;"",IF(AND(#REF!="Padrão",$H$4=#REF!),BDI!$B$17,IF(AND(#REF!="Padrão",$H$4=#REF!),BDI!#REF!,IF(AND(#REF!="Diferenciado",$H$4=#REF!),BDI!$E$17,IF(AND(#REF!="Diferenciado",$H$4=#REF!),BDI!#REF!,IF(#REF!="ZERO",0))))),"")</f>
        <v>#REF!</v>
      </c>
      <c r="H2992" s="136" t="e">
        <f t="shared" ca="1" si="160"/>
        <v>#REF!</v>
      </c>
      <c r="I2992" s="134" t="e">
        <f t="shared" ca="1" si="161"/>
        <v>#REF!</v>
      </c>
      <c r="J2992" s="226"/>
    </row>
    <row r="2993" spans="1:10" hidden="1" x14ac:dyDescent="0.25">
      <c r="A2993" s="112" t="s">
        <v>7259</v>
      </c>
      <c r="B2993" s="113" t="s">
        <v>7260</v>
      </c>
      <c r="C2993" s="114" t="s">
        <v>20</v>
      </c>
      <c r="D2993" s="114">
        <v>0</v>
      </c>
      <c r="E2993" s="133">
        <f ca="1">OFFSET(INDEX(Composições!A:J,MATCH(Orçamentária!A2993,Composições!A:A,0),8),2,0)</f>
        <v>69.701499999999996</v>
      </c>
      <c r="F2993" s="134">
        <f t="shared" ca="1" si="159"/>
        <v>0</v>
      </c>
      <c r="G2993" s="135" t="e">
        <f>IF(A2993&lt;&gt;"",IF(AND(#REF!="Padrão",$H$4=#REF!),BDI!$B$17,IF(AND(#REF!="Padrão",$H$4=#REF!),BDI!#REF!,IF(AND(#REF!="Diferenciado",$H$4=#REF!),BDI!$E$17,IF(AND(#REF!="Diferenciado",$H$4=#REF!),BDI!#REF!,IF(#REF!="ZERO",0))))),"")</f>
        <v>#REF!</v>
      </c>
      <c r="H2993" s="136" t="e">
        <f t="shared" ca="1" si="160"/>
        <v>#REF!</v>
      </c>
      <c r="I2993" s="134" t="e">
        <f t="shared" ca="1" si="161"/>
        <v>#REF!</v>
      </c>
      <c r="J2993" s="226"/>
    </row>
    <row r="2994" spans="1:10" hidden="1" x14ac:dyDescent="0.25">
      <c r="A2994" s="112" t="s">
        <v>7261</v>
      </c>
      <c r="B2994" s="113" t="s">
        <v>7262</v>
      </c>
      <c r="C2994" s="114" t="s">
        <v>20</v>
      </c>
      <c r="D2994" s="114">
        <v>0</v>
      </c>
      <c r="E2994" s="133">
        <f ca="1">OFFSET(INDEX(Composições!A:J,MATCH(Orçamentária!A2994,Composições!A:A,0),8),2,0)</f>
        <v>40.47</v>
      </c>
      <c r="F2994" s="134">
        <f t="shared" ca="1" si="159"/>
        <v>0</v>
      </c>
      <c r="G2994" s="135" t="e">
        <f>IF(A2994&lt;&gt;"",IF(AND(#REF!="Padrão",$H$4=#REF!),BDI!$B$17,IF(AND(#REF!="Padrão",$H$4=#REF!),BDI!#REF!,IF(AND(#REF!="Diferenciado",$H$4=#REF!),BDI!$E$17,IF(AND(#REF!="Diferenciado",$H$4=#REF!),BDI!#REF!,IF(#REF!="ZERO",0))))),"")</f>
        <v>#REF!</v>
      </c>
      <c r="H2994" s="136" t="e">
        <f t="shared" ca="1" si="160"/>
        <v>#REF!</v>
      </c>
      <c r="I2994" s="134" t="e">
        <f t="shared" ca="1" si="161"/>
        <v>#REF!</v>
      </c>
      <c r="J2994" s="226"/>
    </row>
    <row r="2995" spans="1:10" hidden="1" x14ac:dyDescent="0.25">
      <c r="A2995" s="112" t="s">
        <v>7263</v>
      </c>
      <c r="B2995" s="113" t="s">
        <v>7264</v>
      </c>
      <c r="C2995" s="114" t="s">
        <v>20</v>
      </c>
      <c r="D2995" s="114">
        <v>0</v>
      </c>
      <c r="E2995" s="133">
        <f ca="1">OFFSET(INDEX(Composições!A:J,MATCH(Orçamentária!A2995,Composições!A:A,0),8),2,0)</f>
        <v>43.576499999999996</v>
      </c>
      <c r="F2995" s="134">
        <f t="shared" ca="1" si="159"/>
        <v>0</v>
      </c>
      <c r="G2995" s="135" t="e">
        <f>IF(A2995&lt;&gt;"",IF(AND(#REF!="Padrão",$H$4=#REF!),BDI!$B$17,IF(AND(#REF!="Padrão",$H$4=#REF!),BDI!#REF!,IF(AND(#REF!="Diferenciado",$H$4=#REF!),BDI!$E$17,IF(AND(#REF!="Diferenciado",$H$4=#REF!),BDI!#REF!,IF(#REF!="ZERO",0))))),"")</f>
        <v>#REF!</v>
      </c>
      <c r="H2995" s="136" t="e">
        <f t="shared" ca="1" si="160"/>
        <v>#REF!</v>
      </c>
      <c r="I2995" s="134" t="e">
        <f t="shared" ca="1" si="161"/>
        <v>#REF!</v>
      </c>
      <c r="J2995" s="226"/>
    </row>
    <row r="2996" spans="1:10" hidden="1" x14ac:dyDescent="0.25">
      <c r="A2996" s="112" t="s">
        <v>7265</v>
      </c>
      <c r="B2996" s="113" t="s">
        <v>7266</v>
      </c>
      <c r="C2996" s="114" t="s">
        <v>20</v>
      </c>
      <c r="D2996" s="114">
        <v>0</v>
      </c>
      <c r="E2996" s="133">
        <f ca="1">OFFSET(INDEX(Composições!A:J,MATCH(Orçamentária!A2996,Composições!A:A,0),8),2,0)</f>
        <v>14.715499999999999</v>
      </c>
      <c r="F2996" s="134">
        <f t="shared" ca="1" si="159"/>
        <v>0</v>
      </c>
      <c r="G2996" s="135" t="e">
        <f>IF(A2996&lt;&gt;"",IF(AND(#REF!="Padrão",$H$4=#REF!),BDI!$B$17,IF(AND(#REF!="Padrão",$H$4=#REF!),BDI!#REF!,IF(AND(#REF!="Diferenciado",$H$4=#REF!),BDI!$E$17,IF(AND(#REF!="Diferenciado",$H$4=#REF!),BDI!#REF!,IF(#REF!="ZERO",0))))),"")</f>
        <v>#REF!</v>
      </c>
      <c r="H2996" s="136" t="e">
        <f t="shared" ca="1" si="160"/>
        <v>#REF!</v>
      </c>
      <c r="I2996" s="134" t="e">
        <f t="shared" ca="1" si="161"/>
        <v>#REF!</v>
      </c>
      <c r="J2996" s="226"/>
    </row>
    <row r="2997" spans="1:10" hidden="1" x14ac:dyDescent="0.25">
      <c r="A2997" s="112" t="s">
        <v>7267</v>
      </c>
      <c r="B2997" s="113" t="s">
        <v>7268</v>
      </c>
      <c r="C2997" s="114" t="s">
        <v>20</v>
      </c>
      <c r="D2997" s="114">
        <v>0</v>
      </c>
      <c r="E2997" s="133" t="s">
        <v>514</v>
      </c>
      <c r="F2997" s="134" t="str">
        <f t="shared" si="159"/>
        <v/>
      </c>
      <c r="G2997" s="135" t="e">
        <f>IF(A2997&lt;&gt;"",IF(AND(#REF!="Padrão",$H$4=#REF!),BDI!$B$17,IF(AND(#REF!="Padrão",$H$4=#REF!),BDI!#REF!,IF(AND(#REF!="Diferenciado",$H$4=#REF!),BDI!$E$17,IF(AND(#REF!="Diferenciado",$H$4=#REF!),BDI!#REF!,IF(#REF!="ZERO",0))))),"")</f>
        <v>#REF!</v>
      </c>
      <c r="H2997" s="136" t="str">
        <f t="shared" si="160"/>
        <v/>
      </c>
      <c r="I2997" s="134" t="str">
        <f t="shared" si="161"/>
        <v/>
      </c>
      <c r="J2997" s="226"/>
    </row>
    <row r="2998" spans="1:10" hidden="1" x14ac:dyDescent="0.25">
      <c r="A2998" s="112" t="s">
        <v>7269</v>
      </c>
      <c r="B2998" s="113" t="s">
        <v>7270</v>
      </c>
      <c r="C2998" s="114" t="s">
        <v>20</v>
      </c>
      <c r="D2998" s="114">
        <v>0</v>
      </c>
      <c r="E2998" s="133" t="s">
        <v>514</v>
      </c>
      <c r="F2998" s="134" t="str">
        <f t="shared" si="159"/>
        <v/>
      </c>
      <c r="G2998" s="135" t="e">
        <f>IF(A2998&lt;&gt;"",IF(AND(#REF!="Padrão",$H$4=#REF!),BDI!$B$17,IF(AND(#REF!="Padrão",$H$4=#REF!),BDI!#REF!,IF(AND(#REF!="Diferenciado",$H$4=#REF!),BDI!$E$17,IF(AND(#REF!="Diferenciado",$H$4=#REF!),BDI!#REF!,IF(#REF!="ZERO",0))))),"")</f>
        <v>#REF!</v>
      </c>
      <c r="H2998" s="136" t="str">
        <f t="shared" si="160"/>
        <v/>
      </c>
      <c r="I2998" s="134" t="str">
        <f t="shared" si="161"/>
        <v/>
      </c>
      <c r="J2998" s="226"/>
    </row>
    <row r="2999" spans="1:10" hidden="1" x14ac:dyDescent="0.25">
      <c r="A2999" s="112" t="s">
        <v>7271</v>
      </c>
      <c r="B2999" s="113" t="s">
        <v>7272</v>
      </c>
      <c r="C2999" s="114" t="s">
        <v>20</v>
      </c>
      <c r="D2999" s="114">
        <v>0</v>
      </c>
      <c r="E2999" s="133" t="s">
        <v>514</v>
      </c>
      <c r="F2999" s="134" t="str">
        <f t="shared" si="159"/>
        <v/>
      </c>
      <c r="G2999" s="135" t="e">
        <f>IF(A2999&lt;&gt;"",IF(AND(#REF!="Padrão",$H$4=#REF!),BDI!$B$17,IF(AND(#REF!="Padrão",$H$4=#REF!),BDI!#REF!,IF(AND(#REF!="Diferenciado",$H$4=#REF!),BDI!$E$17,IF(AND(#REF!="Diferenciado",$H$4=#REF!),BDI!#REF!,IF(#REF!="ZERO",0))))),"")</f>
        <v>#REF!</v>
      </c>
      <c r="H2999" s="136" t="str">
        <f t="shared" si="160"/>
        <v/>
      </c>
      <c r="I2999" s="134" t="str">
        <f t="shared" si="161"/>
        <v/>
      </c>
      <c r="J2999" s="226"/>
    </row>
    <row r="3000" spans="1:10" hidden="1" x14ac:dyDescent="0.25">
      <c r="A3000" s="112" t="s">
        <v>7273</v>
      </c>
      <c r="B3000" s="113" t="s">
        <v>7274</v>
      </c>
      <c r="C3000" s="114" t="s">
        <v>20</v>
      </c>
      <c r="D3000" s="114">
        <v>0</v>
      </c>
      <c r="E3000" s="133" t="s">
        <v>514</v>
      </c>
      <c r="F3000" s="134" t="str">
        <f t="shared" si="159"/>
        <v/>
      </c>
      <c r="G3000" s="135" t="e">
        <f>IF(A3000&lt;&gt;"",IF(AND(#REF!="Padrão",$H$4=#REF!),BDI!$B$17,IF(AND(#REF!="Padrão",$H$4=#REF!),BDI!#REF!,IF(AND(#REF!="Diferenciado",$H$4=#REF!),BDI!$E$17,IF(AND(#REF!="Diferenciado",$H$4=#REF!),BDI!#REF!,IF(#REF!="ZERO",0))))),"")</f>
        <v>#REF!</v>
      </c>
      <c r="H3000" s="136" t="str">
        <f t="shared" si="160"/>
        <v/>
      </c>
      <c r="I3000" s="134" t="str">
        <f t="shared" si="161"/>
        <v/>
      </c>
      <c r="J3000" s="226"/>
    </row>
    <row r="3001" spans="1:10" hidden="1" x14ac:dyDescent="0.25">
      <c r="A3001" s="112" t="s">
        <v>7275</v>
      </c>
      <c r="B3001" s="113" t="s">
        <v>7276</v>
      </c>
      <c r="C3001" s="114" t="s">
        <v>20</v>
      </c>
      <c r="D3001" s="114">
        <v>0</v>
      </c>
      <c r="E3001" s="133">
        <f ca="1">OFFSET(INDEX(Composições!A:J,MATCH(Orçamentária!A3001,Composições!A:A,0),8),2,0)</f>
        <v>7.9229999999999992</v>
      </c>
      <c r="F3001" s="134">
        <f t="shared" ca="1" si="159"/>
        <v>0</v>
      </c>
      <c r="G3001" s="135" t="e">
        <f>IF(A3001&lt;&gt;"",IF(AND(#REF!="Padrão",$H$4=#REF!),BDI!$B$17,IF(AND(#REF!="Padrão",$H$4=#REF!),BDI!#REF!,IF(AND(#REF!="Diferenciado",$H$4=#REF!),BDI!$E$17,IF(AND(#REF!="Diferenciado",$H$4=#REF!),BDI!#REF!,IF(#REF!="ZERO",0))))),"")</f>
        <v>#REF!</v>
      </c>
      <c r="H3001" s="136" t="e">
        <f t="shared" ca="1" si="160"/>
        <v>#REF!</v>
      </c>
      <c r="I3001" s="134" t="e">
        <f t="shared" ca="1" si="161"/>
        <v>#REF!</v>
      </c>
      <c r="J3001" s="226"/>
    </row>
    <row r="3002" spans="1:10" hidden="1" x14ac:dyDescent="0.25">
      <c r="A3002" s="112" t="s">
        <v>7277</v>
      </c>
      <c r="B3002" s="113" t="s">
        <v>7278</v>
      </c>
      <c r="C3002" s="114" t="s">
        <v>20</v>
      </c>
      <c r="D3002" s="114">
        <v>0</v>
      </c>
      <c r="E3002" s="133">
        <f ca="1">OFFSET(INDEX(Composições!A:J,MATCH(Orçamentária!A3002,Composições!A:A,0),8),2,0)</f>
        <v>37.733999999999995</v>
      </c>
      <c r="F3002" s="134">
        <f t="shared" ca="1" si="159"/>
        <v>0</v>
      </c>
      <c r="G3002" s="135" t="e">
        <f>IF(A3002&lt;&gt;"",IF(AND(#REF!="Padrão",$H$4=#REF!),BDI!$B$17,IF(AND(#REF!="Padrão",$H$4=#REF!),BDI!#REF!,IF(AND(#REF!="Diferenciado",$H$4=#REF!),BDI!$E$17,IF(AND(#REF!="Diferenciado",$H$4=#REF!),BDI!#REF!,IF(#REF!="ZERO",0))))),"")</f>
        <v>#REF!</v>
      </c>
      <c r="H3002" s="136" t="e">
        <f t="shared" ca="1" si="160"/>
        <v>#REF!</v>
      </c>
      <c r="I3002" s="134" t="e">
        <f t="shared" ca="1" si="161"/>
        <v>#REF!</v>
      </c>
      <c r="J3002" s="226"/>
    </row>
    <row r="3003" spans="1:10" hidden="1" x14ac:dyDescent="0.25">
      <c r="A3003" s="112" t="s">
        <v>7279</v>
      </c>
      <c r="B3003" s="113" t="s">
        <v>7280</v>
      </c>
      <c r="C3003" s="114" t="s">
        <v>20</v>
      </c>
      <c r="D3003" s="114">
        <v>0</v>
      </c>
      <c r="E3003" s="133">
        <f ca="1">OFFSET(INDEX(Composições!A:J,MATCH(Orçamentária!A3003,Composições!A:A,0),8),2,0)</f>
        <v>5.4719999999999995</v>
      </c>
      <c r="F3003" s="134">
        <f t="shared" ca="1" si="159"/>
        <v>0</v>
      </c>
      <c r="G3003" s="135" t="e">
        <f>IF(A3003&lt;&gt;"",IF(AND(#REF!="Padrão",$H$4=#REF!),BDI!$B$17,IF(AND(#REF!="Padrão",$H$4=#REF!),BDI!#REF!,IF(AND(#REF!="Diferenciado",$H$4=#REF!),BDI!$E$17,IF(AND(#REF!="Diferenciado",$H$4=#REF!),BDI!#REF!,IF(#REF!="ZERO",0))))),"")</f>
        <v>#REF!</v>
      </c>
      <c r="H3003" s="136" t="e">
        <f t="shared" ca="1" si="160"/>
        <v>#REF!</v>
      </c>
      <c r="I3003" s="134" t="e">
        <f t="shared" ca="1" si="161"/>
        <v>#REF!</v>
      </c>
      <c r="J3003" s="226"/>
    </row>
    <row r="3004" spans="1:10" hidden="1" x14ac:dyDescent="0.25">
      <c r="A3004" s="112" t="s">
        <v>7281</v>
      </c>
      <c r="B3004" s="113" t="s">
        <v>7282</v>
      </c>
      <c r="C3004" s="114" t="s">
        <v>20</v>
      </c>
      <c r="D3004" s="114">
        <v>0</v>
      </c>
      <c r="E3004" s="133">
        <f ca="1">OFFSET(INDEX(Composições!A:J,MATCH(Orçamentária!A3004,Composições!A:A,0),8),2,0)</f>
        <v>3.8</v>
      </c>
      <c r="F3004" s="134">
        <f t="shared" ca="1" si="159"/>
        <v>0</v>
      </c>
      <c r="G3004" s="135" t="e">
        <f>IF(A3004&lt;&gt;"",IF(AND(#REF!="Padrão",$H$4=#REF!),BDI!$B$17,IF(AND(#REF!="Padrão",$H$4=#REF!),BDI!#REF!,IF(AND(#REF!="Diferenciado",$H$4=#REF!),BDI!$E$17,IF(AND(#REF!="Diferenciado",$H$4=#REF!),BDI!#REF!,IF(#REF!="ZERO",0))))),"")</f>
        <v>#REF!</v>
      </c>
      <c r="H3004" s="136" t="e">
        <f t="shared" ca="1" si="160"/>
        <v>#REF!</v>
      </c>
      <c r="I3004" s="134" t="e">
        <f t="shared" ca="1" si="161"/>
        <v>#REF!</v>
      </c>
      <c r="J3004" s="226"/>
    </row>
    <row r="3005" spans="1:10" hidden="1" x14ac:dyDescent="0.25">
      <c r="A3005" s="112" t="s">
        <v>7283</v>
      </c>
      <c r="B3005" s="113" t="s">
        <v>7284</v>
      </c>
      <c r="C3005" s="114" t="s">
        <v>20</v>
      </c>
      <c r="D3005" s="114">
        <v>0</v>
      </c>
      <c r="E3005" s="133" t="s">
        <v>514</v>
      </c>
      <c r="F3005" s="134" t="str">
        <f t="shared" si="159"/>
        <v/>
      </c>
      <c r="G3005" s="135" t="e">
        <f>IF(A3005&lt;&gt;"",IF(AND(#REF!="Padrão",$H$4=#REF!),BDI!$B$17,IF(AND(#REF!="Padrão",$H$4=#REF!),BDI!#REF!,IF(AND(#REF!="Diferenciado",$H$4=#REF!),BDI!$E$17,IF(AND(#REF!="Diferenciado",$H$4=#REF!),BDI!#REF!,IF(#REF!="ZERO",0))))),"")</f>
        <v>#REF!</v>
      </c>
      <c r="H3005" s="136" t="str">
        <f t="shared" si="160"/>
        <v/>
      </c>
      <c r="I3005" s="134" t="str">
        <f t="shared" si="161"/>
        <v/>
      </c>
      <c r="J3005" s="226"/>
    </row>
    <row r="3006" spans="1:10" hidden="1" x14ac:dyDescent="0.25">
      <c r="A3006" s="112" t="s">
        <v>7285</v>
      </c>
      <c r="B3006" s="113" t="s">
        <v>7286</v>
      </c>
      <c r="C3006" s="114" t="s">
        <v>20</v>
      </c>
      <c r="D3006" s="114">
        <v>0</v>
      </c>
      <c r="E3006" s="133" t="s">
        <v>514</v>
      </c>
      <c r="F3006" s="134" t="str">
        <f t="shared" si="159"/>
        <v/>
      </c>
      <c r="G3006" s="135" t="e">
        <f>IF(A3006&lt;&gt;"",IF(AND(#REF!="Padrão",$H$4=#REF!),BDI!$B$17,IF(AND(#REF!="Padrão",$H$4=#REF!),BDI!#REF!,IF(AND(#REF!="Diferenciado",$H$4=#REF!),BDI!$E$17,IF(AND(#REF!="Diferenciado",$H$4=#REF!),BDI!#REF!,IF(#REF!="ZERO",0))))),"")</f>
        <v>#REF!</v>
      </c>
      <c r="H3006" s="136" t="str">
        <f t="shared" si="160"/>
        <v/>
      </c>
      <c r="I3006" s="134" t="str">
        <f t="shared" si="161"/>
        <v/>
      </c>
      <c r="J3006" s="226"/>
    </row>
    <row r="3007" spans="1:10" hidden="1" x14ac:dyDescent="0.25">
      <c r="A3007" s="112" t="s">
        <v>7287</v>
      </c>
      <c r="B3007" s="113" t="s">
        <v>7288</v>
      </c>
      <c r="C3007" s="114" t="s">
        <v>20</v>
      </c>
      <c r="D3007" s="114">
        <v>0</v>
      </c>
      <c r="E3007" s="133" t="s">
        <v>514</v>
      </c>
      <c r="F3007" s="134" t="str">
        <f t="shared" si="159"/>
        <v/>
      </c>
      <c r="G3007" s="135" t="e">
        <f>IF(A3007&lt;&gt;"",IF(AND(#REF!="Padrão",$H$4=#REF!),BDI!$B$17,IF(AND(#REF!="Padrão",$H$4=#REF!),BDI!#REF!,IF(AND(#REF!="Diferenciado",$H$4=#REF!),BDI!$E$17,IF(AND(#REF!="Diferenciado",$H$4=#REF!),BDI!#REF!,IF(#REF!="ZERO",0))))),"")</f>
        <v>#REF!</v>
      </c>
      <c r="H3007" s="136" t="str">
        <f t="shared" si="160"/>
        <v/>
      </c>
      <c r="I3007" s="134" t="str">
        <f t="shared" si="161"/>
        <v/>
      </c>
      <c r="J3007" s="226"/>
    </row>
    <row r="3008" spans="1:10" hidden="1" x14ac:dyDescent="0.25">
      <c r="A3008" s="112" t="s">
        <v>7289</v>
      </c>
      <c r="B3008" s="113" t="s">
        <v>7290</v>
      </c>
      <c r="C3008" s="114" t="s">
        <v>20</v>
      </c>
      <c r="D3008" s="114">
        <v>0</v>
      </c>
      <c r="E3008" s="133" t="s">
        <v>514</v>
      </c>
      <c r="F3008" s="134" t="str">
        <f t="shared" si="159"/>
        <v/>
      </c>
      <c r="G3008" s="135" t="e">
        <f>IF(A3008&lt;&gt;"",IF(AND(#REF!="Padrão",$H$4=#REF!),BDI!$B$17,IF(AND(#REF!="Padrão",$H$4=#REF!),BDI!#REF!,IF(AND(#REF!="Diferenciado",$H$4=#REF!),BDI!$E$17,IF(AND(#REF!="Diferenciado",$H$4=#REF!),BDI!#REF!,IF(#REF!="ZERO",0))))),"")</f>
        <v>#REF!</v>
      </c>
      <c r="H3008" s="136" t="str">
        <f t="shared" si="160"/>
        <v/>
      </c>
      <c r="I3008" s="134" t="str">
        <f t="shared" si="161"/>
        <v/>
      </c>
      <c r="J3008" s="226"/>
    </row>
    <row r="3009" spans="1:10" hidden="1" x14ac:dyDescent="0.25">
      <c r="A3009" s="112" t="s">
        <v>7291</v>
      </c>
      <c r="B3009" s="113" t="s">
        <v>7292</v>
      </c>
      <c r="C3009" s="114" t="s">
        <v>20</v>
      </c>
      <c r="D3009" s="114">
        <v>0</v>
      </c>
      <c r="E3009" s="133" t="s">
        <v>514</v>
      </c>
      <c r="F3009" s="134" t="str">
        <f t="shared" si="159"/>
        <v/>
      </c>
      <c r="G3009" s="135" t="e">
        <f>IF(A3009&lt;&gt;"",IF(AND(#REF!="Padrão",$H$4=#REF!),BDI!$B$17,IF(AND(#REF!="Padrão",$H$4=#REF!),BDI!#REF!,IF(AND(#REF!="Diferenciado",$H$4=#REF!),BDI!$E$17,IF(AND(#REF!="Diferenciado",$H$4=#REF!),BDI!#REF!,IF(#REF!="ZERO",0))))),"")</f>
        <v>#REF!</v>
      </c>
      <c r="H3009" s="136" t="str">
        <f t="shared" si="160"/>
        <v/>
      </c>
      <c r="I3009" s="134" t="str">
        <f t="shared" si="161"/>
        <v/>
      </c>
      <c r="J3009" s="226"/>
    </row>
    <row r="3010" spans="1:10" hidden="1" x14ac:dyDescent="0.25">
      <c r="A3010" s="112" t="s">
        <v>7293</v>
      </c>
      <c r="B3010" s="113" t="s">
        <v>7294</v>
      </c>
      <c r="C3010" s="114" t="s">
        <v>20</v>
      </c>
      <c r="D3010" s="114">
        <v>0</v>
      </c>
      <c r="E3010" s="133" t="s">
        <v>514</v>
      </c>
      <c r="F3010" s="134" t="str">
        <f t="shared" si="159"/>
        <v/>
      </c>
      <c r="G3010" s="135" t="e">
        <f>IF(A3010&lt;&gt;"",IF(AND(#REF!="Padrão",$H$4=#REF!),BDI!$B$17,IF(AND(#REF!="Padrão",$H$4=#REF!),BDI!#REF!,IF(AND(#REF!="Diferenciado",$H$4=#REF!),BDI!$E$17,IF(AND(#REF!="Diferenciado",$H$4=#REF!),BDI!#REF!,IF(#REF!="ZERO",0))))),"")</f>
        <v>#REF!</v>
      </c>
      <c r="H3010" s="136" t="str">
        <f t="shared" si="160"/>
        <v/>
      </c>
      <c r="I3010" s="134" t="str">
        <f t="shared" si="161"/>
        <v/>
      </c>
      <c r="J3010" s="226"/>
    </row>
    <row r="3011" spans="1:10" hidden="1" x14ac:dyDescent="0.25">
      <c r="A3011" s="112" t="s">
        <v>7295</v>
      </c>
      <c r="B3011" s="113" t="s">
        <v>7296</v>
      </c>
      <c r="C3011" s="114" t="s">
        <v>20</v>
      </c>
      <c r="D3011" s="114">
        <v>0</v>
      </c>
      <c r="E3011" s="133">
        <f ca="1">OFFSET(INDEX(Composições!A:J,MATCH(Orçamentária!A3011,Composições!A:A,0),8),2,0)</f>
        <v>3.9234999999999998</v>
      </c>
      <c r="F3011" s="134">
        <f t="shared" ca="1" si="159"/>
        <v>0</v>
      </c>
      <c r="G3011" s="135" t="e">
        <f>IF(A3011&lt;&gt;"",IF(AND(#REF!="Padrão",$H$4=#REF!),BDI!$B$17,IF(AND(#REF!="Padrão",$H$4=#REF!),BDI!#REF!,IF(AND(#REF!="Diferenciado",$H$4=#REF!),BDI!$E$17,IF(AND(#REF!="Diferenciado",$H$4=#REF!),BDI!#REF!,IF(#REF!="ZERO",0))))),"")</f>
        <v>#REF!</v>
      </c>
      <c r="H3011" s="136" t="e">
        <f t="shared" ca="1" si="160"/>
        <v>#REF!</v>
      </c>
      <c r="I3011" s="134" t="e">
        <f t="shared" ca="1" si="161"/>
        <v>#REF!</v>
      </c>
      <c r="J3011" s="226"/>
    </row>
    <row r="3012" spans="1:10" hidden="1" x14ac:dyDescent="0.25">
      <c r="A3012" s="112" t="s">
        <v>7297</v>
      </c>
      <c r="B3012" s="113" t="s">
        <v>7298</v>
      </c>
      <c r="C3012" s="114" t="s">
        <v>20</v>
      </c>
      <c r="D3012" s="114">
        <v>0</v>
      </c>
      <c r="E3012" s="133">
        <f ca="1">OFFSET(INDEX(Composições!A:J,MATCH(Orçamentária!A3012,Composições!A:A,0),8),2,0)</f>
        <v>8.2840000000000007</v>
      </c>
      <c r="F3012" s="134">
        <f t="shared" ca="1" si="159"/>
        <v>0</v>
      </c>
      <c r="G3012" s="135" t="e">
        <f>IF(A3012&lt;&gt;"",IF(AND(#REF!="Padrão",$H$4=#REF!),BDI!$B$17,IF(AND(#REF!="Padrão",$H$4=#REF!),BDI!#REF!,IF(AND(#REF!="Diferenciado",$H$4=#REF!),BDI!$E$17,IF(AND(#REF!="Diferenciado",$H$4=#REF!),BDI!#REF!,IF(#REF!="ZERO",0))))),"")</f>
        <v>#REF!</v>
      </c>
      <c r="H3012" s="136" t="e">
        <f t="shared" ca="1" si="160"/>
        <v>#REF!</v>
      </c>
      <c r="I3012" s="134" t="e">
        <f t="shared" ca="1" si="161"/>
        <v>#REF!</v>
      </c>
      <c r="J3012" s="226"/>
    </row>
    <row r="3013" spans="1:10" hidden="1" x14ac:dyDescent="0.25">
      <c r="A3013" s="112" t="s">
        <v>7299</v>
      </c>
      <c r="B3013" s="113" t="s">
        <v>7300</v>
      </c>
      <c r="C3013" s="114" t="s">
        <v>20</v>
      </c>
      <c r="D3013" s="114">
        <v>0</v>
      </c>
      <c r="E3013" s="133">
        <f ca="1">OFFSET(INDEX(Composições!A:J,MATCH(Orçamentária!A3013,Composições!A:A,0),8),2,0)</f>
        <v>32.148000000000003</v>
      </c>
      <c r="F3013" s="134">
        <f t="shared" ca="1" si="159"/>
        <v>0</v>
      </c>
      <c r="G3013" s="135" t="e">
        <f>IF(A3013&lt;&gt;"",IF(AND(#REF!="Padrão",$H$4=#REF!),BDI!$B$17,IF(AND(#REF!="Padrão",$H$4=#REF!),BDI!#REF!,IF(AND(#REF!="Diferenciado",$H$4=#REF!),BDI!$E$17,IF(AND(#REF!="Diferenciado",$H$4=#REF!),BDI!#REF!,IF(#REF!="ZERO",0))))),"")</f>
        <v>#REF!</v>
      </c>
      <c r="H3013" s="136" t="e">
        <f t="shared" ca="1" si="160"/>
        <v>#REF!</v>
      </c>
      <c r="I3013" s="134" t="e">
        <f t="shared" ca="1" si="161"/>
        <v>#REF!</v>
      </c>
      <c r="J3013" s="226"/>
    </row>
    <row r="3014" spans="1:10" hidden="1" x14ac:dyDescent="0.25">
      <c r="A3014" s="112" t="s">
        <v>7301</v>
      </c>
      <c r="B3014" s="113" t="s">
        <v>7302</v>
      </c>
      <c r="C3014" s="114" t="s">
        <v>20</v>
      </c>
      <c r="D3014" s="114">
        <v>0</v>
      </c>
      <c r="E3014" s="133">
        <f ca="1">OFFSET(INDEX(Composições!A:J,MATCH(Orçamentária!A3014,Composições!A:A,0),8),2,0)</f>
        <v>39.748000000000005</v>
      </c>
      <c r="F3014" s="134">
        <f t="shared" ca="1" si="159"/>
        <v>0</v>
      </c>
      <c r="G3014" s="135" t="e">
        <f>IF(A3014&lt;&gt;"",IF(AND(#REF!="Padrão",$H$4=#REF!),BDI!$B$17,IF(AND(#REF!="Padrão",$H$4=#REF!),BDI!#REF!,IF(AND(#REF!="Diferenciado",$H$4=#REF!),BDI!$E$17,IF(AND(#REF!="Diferenciado",$H$4=#REF!),BDI!#REF!,IF(#REF!="ZERO",0))))),"")</f>
        <v>#REF!</v>
      </c>
      <c r="H3014" s="136" t="e">
        <f t="shared" ca="1" si="160"/>
        <v>#REF!</v>
      </c>
      <c r="I3014" s="134" t="e">
        <f t="shared" ca="1" si="161"/>
        <v>#REF!</v>
      </c>
      <c r="J3014" s="226"/>
    </row>
    <row r="3015" spans="1:10" hidden="1" x14ac:dyDescent="0.25">
      <c r="A3015" s="112" t="s">
        <v>7303</v>
      </c>
      <c r="B3015" s="113" t="s">
        <v>7304</v>
      </c>
      <c r="C3015" s="114" t="s">
        <v>20</v>
      </c>
      <c r="D3015" s="114">
        <v>0</v>
      </c>
      <c r="E3015" s="133" t="s">
        <v>514</v>
      </c>
      <c r="F3015" s="134" t="str">
        <f t="shared" si="159"/>
        <v/>
      </c>
      <c r="G3015" s="135" t="e">
        <f>IF(A3015&lt;&gt;"",IF(AND(#REF!="Padrão",$H$4=#REF!),BDI!$B$17,IF(AND(#REF!="Padrão",$H$4=#REF!),BDI!#REF!,IF(AND(#REF!="Diferenciado",$H$4=#REF!),BDI!$E$17,IF(AND(#REF!="Diferenciado",$H$4=#REF!),BDI!#REF!,IF(#REF!="ZERO",0))))),"")</f>
        <v>#REF!</v>
      </c>
      <c r="H3015" s="136" t="str">
        <f t="shared" si="160"/>
        <v/>
      </c>
      <c r="I3015" s="134" t="str">
        <f t="shared" si="161"/>
        <v/>
      </c>
      <c r="J3015" s="226"/>
    </row>
    <row r="3016" spans="1:10" hidden="1" x14ac:dyDescent="0.25">
      <c r="A3016" s="112" t="s">
        <v>7305</v>
      </c>
      <c r="B3016" s="113" t="s">
        <v>7306</v>
      </c>
      <c r="C3016" s="114" t="s">
        <v>20</v>
      </c>
      <c r="D3016" s="114">
        <v>0</v>
      </c>
      <c r="E3016" s="133" t="s">
        <v>514</v>
      </c>
      <c r="F3016" s="134" t="str">
        <f t="shared" si="159"/>
        <v/>
      </c>
      <c r="G3016" s="135" t="e">
        <f>IF(A3016&lt;&gt;"",IF(AND(#REF!="Padrão",$H$4=#REF!),BDI!$B$17,IF(AND(#REF!="Padrão",$H$4=#REF!),BDI!#REF!,IF(AND(#REF!="Diferenciado",$H$4=#REF!),BDI!$E$17,IF(AND(#REF!="Diferenciado",$H$4=#REF!),BDI!#REF!,IF(#REF!="ZERO",0))))),"")</f>
        <v>#REF!</v>
      </c>
      <c r="H3016" s="136" t="str">
        <f t="shared" si="160"/>
        <v/>
      </c>
      <c r="I3016" s="134" t="str">
        <f t="shared" si="161"/>
        <v/>
      </c>
      <c r="J3016" s="226"/>
    </row>
    <row r="3017" spans="1:10" hidden="1" x14ac:dyDescent="0.25">
      <c r="A3017" s="112" t="s">
        <v>7307</v>
      </c>
      <c r="B3017" s="113" t="s">
        <v>7308</v>
      </c>
      <c r="C3017" s="114" t="s">
        <v>20</v>
      </c>
      <c r="D3017" s="114">
        <v>0</v>
      </c>
      <c r="E3017" s="133" t="s">
        <v>514</v>
      </c>
      <c r="F3017" s="134" t="str">
        <f t="shared" si="159"/>
        <v/>
      </c>
      <c r="G3017" s="135" t="e">
        <f>IF(A3017&lt;&gt;"",IF(AND(#REF!="Padrão",$H$4=#REF!),BDI!$B$17,IF(AND(#REF!="Padrão",$H$4=#REF!),BDI!#REF!,IF(AND(#REF!="Diferenciado",$H$4=#REF!),BDI!$E$17,IF(AND(#REF!="Diferenciado",$H$4=#REF!),BDI!#REF!,IF(#REF!="ZERO",0))))),"")</f>
        <v>#REF!</v>
      </c>
      <c r="H3017" s="136" t="str">
        <f t="shared" si="160"/>
        <v/>
      </c>
      <c r="I3017" s="134" t="str">
        <f t="shared" si="161"/>
        <v/>
      </c>
      <c r="J3017" s="226"/>
    </row>
    <row r="3018" spans="1:10" hidden="1" x14ac:dyDescent="0.25">
      <c r="A3018" s="112" t="s">
        <v>7309</v>
      </c>
      <c r="B3018" s="113" t="s">
        <v>7310</v>
      </c>
      <c r="C3018" s="114" t="s">
        <v>92</v>
      </c>
      <c r="D3018" s="114">
        <v>0</v>
      </c>
      <c r="E3018" s="133">
        <f ca="1">OFFSET(INDEX(Composições!A:J,MATCH(Orçamentária!A3018,Composições!A:A,0),8),2,0)</f>
        <v>10.801499999999999</v>
      </c>
      <c r="F3018" s="134">
        <f t="shared" ca="1" si="159"/>
        <v>0</v>
      </c>
      <c r="G3018" s="135" t="e">
        <f>IF(A3018&lt;&gt;"",IF(AND(#REF!="Padrão",$H$4=#REF!),BDI!$B$17,IF(AND(#REF!="Padrão",$H$4=#REF!),BDI!#REF!,IF(AND(#REF!="Diferenciado",$H$4=#REF!),BDI!$E$17,IF(AND(#REF!="Diferenciado",$H$4=#REF!),BDI!#REF!,IF(#REF!="ZERO",0))))),"")</f>
        <v>#REF!</v>
      </c>
      <c r="H3018" s="136" t="e">
        <f t="shared" ca="1" si="160"/>
        <v>#REF!</v>
      </c>
      <c r="I3018" s="134" t="e">
        <f t="shared" ca="1" si="161"/>
        <v>#REF!</v>
      </c>
      <c r="J3018" s="226"/>
    </row>
    <row r="3019" spans="1:10" hidden="1" x14ac:dyDescent="0.25">
      <c r="A3019" s="112" t="s">
        <v>7311</v>
      </c>
      <c r="B3019" s="113" t="s">
        <v>7312</v>
      </c>
      <c r="C3019" s="114" t="s">
        <v>92</v>
      </c>
      <c r="D3019" s="114">
        <v>0</v>
      </c>
      <c r="E3019" s="133">
        <f ca="1">OFFSET(INDEX(Composições!A:J,MATCH(Orçamentária!A3019,Composições!A:A,0),8),2,0)</f>
        <v>13.470999999999998</v>
      </c>
      <c r="F3019" s="134">
        <f t="shared" ca="1" si="159"/>
        <v>0</v>
      </c>
      <c r="G3019" s="135" t="e">
        <f>IF(A3019&lt;&gt;"",IF(AND(#REF!="Padrão",$H$4=#REF!),BDI!$B$17,IF(AND(#REF!="Padrão",$H$4=#REF!),BDI!#REF!,IF(AND(#REF!="Diferenciado",$H$4=#REF!),BDI!$E$17,IF(AND(#REF!="Diferenciado",$H$4=#REF!),BDI!#REF!,IF(#REF!="ZERO",0))))),"")</f>
        <v>#REF!</v>
      </c>
      <c r="H3019" s="136" t="e">
        <f t="shared" ca="1" si="160"/>
        <v>#REF!</v>
      </c>
      <c r="I3019" s="134" t="e">
        <f t="shared" ca="1" si="161"/>
        <v>#REF!</v>
      </c>
      <c r="J3019" s="226"/>
    </row>
    <row r="3020" spans="1:10" hidden="1" x14ac:dyDescent="0.25">
      <c r="A3020" s="112" t="s">
        <v>7313</v>
      </c>
      <c r="B3020" s="113" t="s">
        <v>7314</v>
      </c>
      <c r="C3020" s="114" t="s">
        <v>20</v>
      </c>
      <c r="D3020" s="114">
        <v>0</v>
      </c>
      <c r="E3020" s="133">
        <f ca="1">OFFSET(INDEX(Composições!A:J,MATCH(Orçamentária!A3020,Composições!A:A,0),8),2,0)</f>
        <v>31.311999999999998</v>
      </c>
      <c r="F3020" s="134">
        <f t="shared" ca="1" si="159"/>
        <v>0</v>
      </c>
      <c r="G3020" s="135" t="e">
        <f>IF(A3020&lt;&gt;"",IF(AND(#REF!="Padrão",$H$4=#REF!),BDI!$B$17,IF(AND(#REF!="Padrão",$H$4=#REF!),BDI!#REF!,IF(AND(#REF!="Diferenciado",$H$4=#REF!),BDI!$E$17,IF(AND(#REF!="Diferenciado",$H$4=#REF!),BDI!#REF!,IF(#REF!="ZERO",0))))),"")</f>
        <v>#REF!</v>
      </c>
      <c r="H3020" s="136" t="e">
        <f t="shared" ca="1" si="160"/>
        <v>#REF!</v>
      </c>
      <c r="I3020" s="134" t="e">
        <f t="shared" ca="1" si="161"/>
        <v>#REF!</v>
      </c>
      <c r="J3020" s="226"/>
    </row>
    <row r="3021" spans="1:10" hidden="1" x14ac:dyDescent="0.25">
      <c r="A3021" s="112" t="s">
        <v>7315</v>
      </c>
      <c r="B3021" s="113" t="s">
        <v>7316</v>
      </c>
      <c r="C3021" s="114" t="s">
        <v>20</v>
      </c>
      <c r="D3021" s="114">
        <v>0</v>
      </c>
      <c r="E3021" s="133" t="s">
        <v>514</v>
      </c>
      <c r="F3021" s="134" t="str">
        <f t="shared" si="159"/>
        <v/>
      </c>
      <c r="G3021" s="135" t="e">
        <f>IF(A3021&lt;&gt;"",IF(AND(#REF!="Padrão",$H$4=#REF!),BDI!$B$17,IF(AND(#REF!="Padrão",$H$4=#REF!),BDI!#REF!,IF(AND(#REF!="Diferenciado",$H$4=#REF!),BDI!$E$17,IF(AND(#REF!="Diferenciado",$H$4=#REF!),BDI!#REF!,IF(#REF!="ZERO",0))))),"")</f>
        <v>#REF!</v>
      </c>
      <c r="H3021" s="136" t="str">
        <f t="shared" si="160"/>
        <v/>
      </c>
      <c r="I3021" s="134" t="str">
        <f t="shared" si="161"/>
        <v/>
      </c>
      <c r="J3021" s="226"/>
    </row>
    <row r="3022" spans="1:10" hidden="1" x14ac:dyDescent="0.25">
      <c r="A3022" s="112" t="s">
        <v>7317</v>
      </c>
      <c r="B3022" s="113" t="s">
        <v>7318</v>
      </c>
      <c r="C3022" s="114" t="s">
        <v>20</v>
      </c>
      <c r="D3022" s="114">
        <v>0</v>
      </c>
      <c r="E3022" s="133">
        <f ca="1">OFFSET(INDEX(Composições!A:J,MATCH(Orçamentária!A3022,Composições!A:A,0),8),2,0)</f>
        <v>8.5975000000000001</v>
      </c>
      <c r="F3022" s="134">
        <f t="shared" ca="1" si="159"/>
        <v>0</v>
      </c>
      <c r="G3022" s="135" t="e">
        <f>IF(A3022&lt;&gt;"",IF(AND(#REF!="Padrão",$H$4=#REF!),BDI!$B$17,IF(AND(#REF!="Padrão",$H$4=#REF!),BDI!#REF!,IF(AND(#REF!="Diferenciado",$H$4=#REF!),BDI!$E$17,IF(AND(#REF!="Diferenciado",$H$4=#REF!),BDI!#REF!,IF(#REF!="ZERO",0))))),"")</f>
        <v>#REF!</v>
      </c>
      <c r="H3022" s="136" t="e">
        <f t="shared" ca="1" si="160"/>
        <v>#REF!</v>
      </c>
      <c r="I3022" s="134" t="e">
        <f t="shared" ca="1" si="161"/>
        <v>#REF!</v>
      </c>
      <c r="J3022" s="226"/>
    </row>
    <row r="3023" spans="1:10" hidden="1" x14ac:dyDescent="0.25">
      <c r="A3023" s="112" t="s">
        <v>7319</v>
      </c>
      <c r="B3023" s="113" t="s">
        <v>7320</v>
      </c>
      <c r="C3023" s="114" t="s">
        <v>20</v>
      </c>
      <c r="D3023" s="114">
        <v>0</v>
      </c>
      <c r="E3023" s="133" t="s">
        <v>514</v>
      </c>
      <c r="F3023" s="134" t="str">
        <f t="shared" si="159"/>
        <v/>
      </c>
      <c r="G3023" s="135" t="e">
        <f>IF(A3023&lt;&gt;"",IF(AND(#REF!="Padrão",$H$4=#REF!),BDI!$B$17,IF(AND(#REF!="Padrão",$H$4=#REF!),BDI!#REF!,IF(AND(#REF!="Diferenciado",$H$4=#REF!),BDI!$E$17,IF(AND(#REF!="Diferenciado",$H$4=#REF!),BDI!#REF!,IF(#REF!="ZERO",0))))),"")</f>
        <v>#REF!</v>
      </c>
      <c r="H3023" s="136" t="str">
        <f t="shared" si="160"/>
        <v/>
      </c>
      <c r="I3023" s="134" t="str">
        <f t="shared" si="161"/>
        <v/>
      </c>
      <c r="J3023" s="226"/>
    </row>
    <row r="3024" spans="1:10" hidden="1" x14ac:dyDescent="0.25">
      <c r="A3024" s="112" t="s">
        <v>7321</v>
      </c>
      <c r="B3024" s="113" t="s">
        <v>7322</v>
      </c>
      <c r="C3024" s="114" t="s">
        <v>20</v>
      </c>
      <c r="D3024" s="114">
        <v>0</v>
      </c>
      <c r="E3024" s="133">
        <f ca="1">OFFSET(INDEX(Composições!A:J,MATCH(Orçamentária!A3024,Composições!A:A,0),8),2,0)</f>
        <v>14.487499999999999</v>
      </c>
      <c r="F3024" s="134">
        <f t="shared" ca="1" si="159"/>
        <v>0</v>
      </c>
      <c r="G3024" s="135" t="e">
        <f>IF(A3024&lt;&gt;"",IF(AND(#REF!="Padrão",$H$4=#REF!),BDI!$B$17,IF(AND(#REF!="Padrão",$H$4=#REF!),BDI!#REF!,IF(AND(#REF!="Diferenciado",$H$4=#REF!),BDI!$E$17,IF(AND(#REF!="Diferenciado",$H$4=#REF!),BDI!#REF!,IF(#REF!="ZERO",0))))),"")</f>
        <v>#REF!</v>
      </c>
      <c r="H3024" s="136" t="e">
        <f t="shared" ca="1" si="160"/>
        <v>#REF!</v>
      </c>
      <c r="I3024" s="134" t="e">
        <f t="shared" ca="1" si="161"/>
        <v>#REF!</v>
      </c>
      <c r="J3024" s="226"/>
    </row>
    <row r="3025" spans="1:10" hidden="1" x14ac:dyDescent="0.25">
      <c r="A3025" s="112" t="s">
        <v>7323</v>
      </c>
      <c r="B3025" s="113" t="s">
        <v>7324</v>
      </c>
      <c r="C3025" s="114" t="s">
        <v>20</v>
      </c>
      <c r="D3025" s="114">
        <v>0</v>
      </c>
      <c r="E3025" s="133">
        <f ca="1">OFFSET(INDEX(Composições!A:J,MATCH(Orçamentária!A3025,Composições!A:A,0),8),2,0)</f>
        <v>9.9179999999999993</v>
      </c>
      <c r="F3025" s="134">
        <f t="shared" ca="1" si="159"/>
        <v>0</v>
      </c>
      <c r="G3025" s="135" t="e">
        <f>IF(A3025&lt;&gt;"",IF(AND(#REF!="Padrão",$H$4=#REF!),BDI!$B$17,IF(AND(#REF!="Padrão",$H$4=#REF!),BDI!#REF!,IF(AND(#REF!="Diferenciado",$H$4=#REF!),BDI!$E$17,IF(AND(#REF!="Diferenciado",$H$4=#REF!),BDI!#REF!,IF(#REF!="ZERO",0))))),"")</f>
        <v>#REF!</v>
      </c>
      <c r="H3025" s="136" t="e">
        <f t="shared" ca="1" si="160"/>
        <v>#REF!</v>
      </c>
      <c r="I3025" s="134" t="e">
        <f t="shared" ca="1" si="161"/>
        <v>#REF!</v>
      </c>
      <c r="J3025" s="226"/>
    </row>
    <row r="3026" spans="1:10" hidden="1" x14ac:dyDescent="0.25">
      <c r="A3026" s="112" t="s">
        <v>7325</v>
      </c>
      <c r="B3026" s="113" t="s">
        <v>7326</v>
      </c>
      <c r="C3026" s="114" t="s">
        <v>20</v>
      </c>
      <c r="D3026" s="114">
        <v>0</v>
      </c>
      <c r="E3026" s="133">
        <f ca="1">OFFSET(INDEX(Composições!A:J,MATCH(Orçamentária!A3026,Composições!A:A,0),8),2,0)</f>
        <v>22.049499999999998</v>
      </c>
      <c r="F3026" s="134">
        <f t="shared" ca="1" si="159"/>
        <v>0</v>
      </c>
      <c r="G3026" s="135" t="e">
        <f>IF(A3026&lt;&gt;"",IF(AND(#REF!="Padrão",$H$4=#REF!),BDI!$B$17,IF(AND(#REF!="Padrão",$H$4=#REF!),BDI!#REF!,IF(AND(#REF!="Diferenciado",$H$4=#REF!),BDI!$E$17,IF(AND(#REF!="Diferenciado",$H$4=#REF!),BDI!#REF!,IF(#REF!="ZERO",0))))),"")</f>
        <v>#REF!</v>
      </c>
      <c r="H3026" s="136" t="e">
        <f t="shared" ca="1" si="160"/>
        <v>#REF!</v>
      </c>
      <c r="I3026" s="134" t="e">
        <f t="shared" ca="1" si="161"/>
        <v>#REF!</v>
      </c>
      <c r="J3026" s="226"/>
    </row>
    <row r="3027" spans="1:10" hidden="1" x14ac:dyDescent="0.25">
      <c r="A3027" s="112" t="s">
        <v>7327</v>
      </c>
      <c r="B3027" s="113" t="s">
        <v>7328</v>
      </c>
      <c r="C3027" s="114" t="s">
        <v>20</v>
      </c>
      <c r="D3027" s="114">
        <v>0</v>
      </c>
      <c r="E3027" s="133">
        <f ca="1">OFFSET(INDEX(Composições!A:J,MATCH(Orçamentária!A3027,Composições!A:A,0),8),2,0)</f>
        <v>257.04149999999998</v>
      </c>
      <c r="F3027" s="134">
        <f t="shared" ca="1" si="159"/>
        <v>0</v>
      </c>
      <c r="G3027" s="135" t="e">
        <f>IF(A3027&lt;&gt;"",IF(AND(#REF!="Padrão",$H$4=#REF!),BDI!$B$17,IF(AND(#REF!="Padrão",$H$4=#REF!),BDI!#REF!,IF(AND(#REF!="Diferenciado",$H$4=#REF!),BDI!$E$17,IF(AND(#REF!="Diferenciado",$H$4=#REF!),BDI!#REF!,IF(#REF!="ZERO",0))))),"")</f>
        <v>#REF!</v>
      </c>
      <c r="H3027" s="136" t="e">
        <f t="shared" ca="1" si="160"/>
        <v>#REF!</v>
      </c>
      <c r="I3027" s="134" t="e">
        <f t="shared" ca="1" si="161"/>
        <v>#REF!</v>
      </c>
      <c r="J3027" s="226"/>
    </row>
    <row r="3028" spans="1:10" hidden="1" x14ac:dyDescent="0.25">
      <c r="A3028" s="112" t="s">
        <v>7329</v>
      </c>
      <c r="B3028" s="113" t="s">
        <v>7330</v>
      </c>
      <c r="C3028" s="114" t="s">
        <v>20</v>
      </c>
      <c r="D3028" s="114">
        <v>0</v>
      </c>
      <c r="E3028" s="133">
        <f ca="1">OFFSET(INDEX(Composições!A:J,MATCH(Orçamentária!A3028,Composições!A:A,0),8),2,0)</f>
        <v>137.96849999999998</v>
      </c>
      <c r="F3028" s="134">
        <f t="shared" ca="1" si="159"/>
        <v>0</v>
      </c>
      <c r="G3028" s="135" t="e">
        <f>IF(A3028&lt;&gt;"",IF(AND(#REF!="Padrão",$H$4=#REF!),BDI!$B$17,IF(AND(#REF!="Padrão",$H$4=#REF!),BDI!#REF!,IF(AND(#REF!="Diferenciado",$H$4=#REF!),BDI!$E$17,IF(AND(#REF!="Diferenciado",$H$4=#REF!),BDI!#REF!,IF(#REF!="ZERO",0))))),"")</f>
        <v>#REF!</v>
      </c>
      <c r="H3028" s="136" t="e">
        <f t="shared" ca="1" si="160"/>
        <v>#REF!</v>
      </c>
      <c r="I3028" s="134" t="e">
        <f t="shared" ca="1" si="161"/>
        <v>#REF!</v>
      </c>
      <c r="J3028" s="226"/>
    </row>
    <row r="3029" spans="1:10" hidden="1" x14ac:dyDescent="0.25">
      <c r="A3029" s="112" t="s">
        <v>7331</v>
      </c>
      <c r="B3029" s="113" t="s">
        <v>7332</v>
      </c>
      <c r="C3029" s="114" t="s">
        <v>20</v>
      </c>
      <c r="D3029" s="114">
        <v>0</v>
      </c>
      <c r="E3029" s="133">
        <f ca="1">OFFSET(INDEX(Composições!A:J,MATCH(Orçamentária!A3029,Composições!A:A,0),8),2,0)</f>
        <v>406.30549999999999</v>
      </c>
      <c r="F3029" s="134">
        <f t="shared" ca="1" si="159"/>
        <v>0</v>
      </c>
      <c r="G3029" s="135" t="e">
        <f>IF(A3029&lt;&gt;"",IF(AND(#REF!="Padrão",$H$4=#REF!),BDI!$B$17,IF(AND(#REF!="Padrão",$H$4=#REF!),BDI!#REF!,IF(AND(#REF!="Diferenciado",$H$4=#REF!),BDI!$E$17,IF(AND(#REF!="Diferenciado",$H$4=#REF!),BDI!#REF!,IF(#REF!="ZERO",0))))),"")</f>
        <v>#REF!</v>
      </c>
      <c r="H3029" s="136" t="e">
        <f t="shared" ca="1" si="160"/>
        <v>#REF!</v>
      </c>
      <c r="I3029" s="134" t="e">
        <f t="shared" ca="1" si="161"/>
        <v>#REF!</v>
      </c>
      <c r="J3029" s="226"/>
    </row>
    <row r="3030" spans="1:10" hidden="1" x14ac:dyDescent="0.25">
      <c r="A3030" s="112" t="s">
        <v>7333</v>
      </c>
      <c r="B3030" s="113" t="s">
        <v>7334</v>
      </c>
      <c r="C3030" s="114" t="s">
        <v>20</v>
      </c>
      <c r="D3030" s="114">
        <v>0</v>
      </c>
      <c r="E3030" s="133">
        <f ca="1">OFFSET(INDEX(Composições!A:J,MATCH(Orçamentária!A3030,Composições!A:A,0),8),2,0)</f>
        <v>45.504999999999995</v>
      </c>
      <c r="F3030" s="134">
        <f t="shared" ca="1" si="159"/>
        <v>0</v>
      </c>
      <c r="G3030" s="135" t="e">
        <f>IF(A3030&lt;&gt;"",IF(AND(#REF!="Padrão",$H$4=#REF!),BDI!$B$17,IF(AND(#REF!="Padrão",$H$4=#REF!),BDI!#REF!,IF(AND(#REF!="Diferenciado",$H$4=#REF!),BDI!$E$17,IF(AND(#REF!="Diferenciado",$H$4=#REF!),BDI!#REF!,IF(#REF!="ZERO",0))))),"")</f>
        <v>#REF!</v>
      </c>
      <c r="H3030" s="136" t="e">
        <f t="shared" ca="1" si="160"/>
        <v>#REF!</v>
      </c>
      <c r="I3030" s="134" t="e">
        <f t="shared" ca="1" si="161"/>
        <v>#REF!</v>
      </c>
      <c r="J3030" s="226"/>
    </row>
    <row r="3031" spans="1:10" hidden="1" x14ac:dyDescent="0.25">
      <c r="A3031" s="112" t="s">
        <v>7335</v>
      </c>
      <c r="B3031" s="113" t="s">
        <v>7336</v>
      </c>
      <c r="C3031" s="114" t="s">
        <v>20</v>
      </c>
      <c r="D3031" s="114">
        <v>0</v>
      </c>
      <c r="E3031" s="133">
        <f ca="1">OFFSET(INDEX(Composições!A:J,MATCH(Orçamentária!A3031,Composições!A:A,0),8),2,0)</f>
        <v>11.703999999999999</v>
      </c>
      <c r="F3031" s="134">
        <f t="shared" ref="F3031:F3094" ca="1" si="162">IF(ISNUMBER(E3031),D3031*E3031,"")</f>
        <v>0</v>
      </c>
      <c r="G3031" s="135" t="e">
        <f>IF(A3031&lt;&gt;"",IF(AND(#REF!="Padrão",$H$4=#REF!),BDI!$B$17,IF(AND(#REF!="Padrão",$H$4=#REF!),BDI!#REF!,IF(AND(#REF!="Diferenciado",$H$4=#REF!),BDI!$E$17,IF(AND(#REF!="Diferenciado",$H$4=#REF!),BDI!#REF!,IF(#REF!="ZERO",0))))),"")</f>
        <v>#REF!</v>
      </c>
      <c r="H3031" s="136" t="e">
        <f t="shared" ref="H3031:H3094" ca="1" si="163">IF(ISNUMBER(E3031),ROUND(E3031*(1+G3031),2),"")</f>
        <v>#REF!</v>
      </c>
      <c r="I3031" s="134" t="e">
        <f t="shared" ref="I3031:I3094" ca="1" si="164">IF(ISNUMBER(E3031),ROUND(H3031*D3031,2),"")</f>
        <v>#REF!</v>
      </c>
      <c r="J3031" s="226"/>
    </row>
    <row r="3032" spans="1:10" hidden="1" x14ac:dyDescent="0.25">
      <c r="A3032" s="112" t="s">
        <v>7337</v>
      </c>
      <c r="B3032" s="113" t="s">
        <v>7338</v>
      </c>
      <c r="C3032" s="114" t="s">
        <v>20</v>
      </c>
      <c r="D3032" s="114">
        <v>0</v>
      </c>
      <c r="E3032" s="133">
        <f ca="1">OFFSET(INDEX(Composições!A:J,MATCH(Orçamentária!A3032,Composições!A:A,0),8),2,0)</f>
        <v>18.515499999999999</v>
      </c>
      <c r="F3032" s="134">
        <f t="shared" ca="1" si="162"/>
        <v>0</v>
      </c>
      <c r="G3032" s="135" t="e">
        <f>IF(A3032&lt;&gt;"",IF(AND(#REF!="Padrão",$H$4=#REF!),BDI!$B$17,IF(AND(#REF!="Padrão",$H$4=#REF!),BDI!#REF!,IF(AND(#REF!="Diferenciado",$H$4=#REF!),BDI!$E$17,IF(AND(#REF!="Diferenciado",$H$4=#REF!),BDI!#REF!,IF(#REF!="ZERO",0))))),"")</f>
        <v>#REF!</v>
      </c>
      <c r="H3032" s="136" t="e">
        <f t="shared" ca="1" si="163"/>
        <v>#REF!</v>
      </c>
      <c r="I3032" s="134" t="e">
        <f t="shared" ca="1" si="164"/>
        <v>#REF!</v>
      </c>
      <c r="J3032" s="226"/>
    </row>
    <row r="3033" spans="1:10" hidden="1" x14ac:dyDescent="0.25">
      <c r="A3033" s="112" t="s">
        <v>7339</v>
      </c>
      <c r="B3033" s="113" t="s">
        <v>7340</v>
      </c>
      <c r="C3033" s="114" t="s">
        <v>20</v>
      </c>
      <c r="D3033" s="114">
        <v>0</v>
      </c>
      <c r="E3033" s="133">
        <f ca="1">OFFSET(INDEX(Composições!A:J,MATCH(Orçamentária!A3033,Composições!A:A,0),8),2,0)</f>
        <v>68.989000000000004</v>
      </c>
      <c r="F3033" s="134">
        <f t="shared" ca="1" si="162"/>
        <v>0</v>
      </c>
      <c r="G3033" s="135" t="e">
        <f>IF(A3033&lt;&gt;"",IF(AND(#REF!="Padrão",$H$4=#REF!),BDI!$B$17,IF(AND(#REF!="Padrão",$H$4=#REF!),BDI!#REF!,IF(AND(#REF!="Diferenciado",$H$4=#REF!),BDI!$E$17,IF(AND(#REF!="Diferenciado",$H$4=#REF!),BDI!#REF!,IF(#REF!="ZERO",0))))),"")</f>
        <v>#REF!</v>
      </c>
      <c r="H3033" s="136" t="e">
        <f t="shared" ca="1" si="163"/>
        <v>#REF!</v>
      </c>
      <c r="I3033" s="134" t="e">
        <f t="shared" ca="1" si="164"/>
        <v>#REF!</v>
      </c>
      <c r="J3033" s="226"/>
    </row>
    <row r="3034" spans="1:10" hidden="1" x14ac:dyDescent="0.25">
      <c r="A3034" s="112" t="s">
        <v>7341</v>
      </c>
      <c r="B3034" s="113" t="s">
        <v>7342</v>
      </c>
      <c r="C3034" s="114" t="s">
        <v>20</v>
      </c>
      <c r="D3034" s="114">
        <v>0</v>
      </c>
      <c r="E3034" s="133">
        <f ca="1">OFFSET(INDEX(Composições!A:J,MATCH(Orçamentária!A3034,Composições!A:A,0),8),2,0)</f>
        <v>92.482499999999987</v>
      </c>
      <c r="F3034" s="134">
        <f t="shared" ca="1" si="162"/>
        <v>0</v>
      </c>
      <c r="G3034" s="135" t="e">
        <f>IF(A3034&lt;&gt;"",IF(AND(#REF!="Padrão",$H$4=#REF!),BDI!$B$17,IF(AND(#REF!="Padrão",$H$4=#REF!),BDI!#REF!,IF(AND(#REF!="Diferenciado",$H$4=#REF!),BDI!$E$17,IF(AND(#REF!="Diferenciado",$H$4=#REF!),BDI!#REF!,IF(#REF!="ZERO",0))))),"")</f>
        <v>#REF!</v>
      </c>
      <c r="H3034" s="136" t="e">
        <f t="shared" ca="1" si="163"/>
        <v>#REF!</v>
      </c>
      <c r="I3034" s="134" t="e">
        <f t="shared" ca="1" si="164"/>
        <v>#REF!</v>
      </c>
      <c r="J3034" s="226"/>
    </row>
    <row r="3035" spans="1:10" hidden="1" x14ac:dyDescent="0.25">
      <c r="A3035" s="112" t="s">
        <v>7343</v>
      </c>
      <c r="B3035" s="113" t="s">
        <v>7344</v>
      </c>
      <c r="C3035" s="114" t="s">
        <v>20</v>
      </c>
      <c r="D3035" s="114">
        <v>0</v>
      </c>
      <c r="E3035" s="133">
        <f ca="1">OFFSET(INDEX(Composições!A:J,MATCH(Orçamentária!A3035,Composições!A:A,0),8),2,0)</f>
        <v>101.441</v>
      </c>
      <c r="F3035" s="134">
        <f t="shared" ca="1" si="162"/>
        <v>0</v>
      </c>
      <c r="G3035" s="135" t="e">
        <f>IF(A3035&lt;&gt;"",IF(AND(#REF!="Padrão",$H$4=#REF!),BDI!$B$17,IF(AND(#REF!="Padrão",$H$4=#REF!),BDI!#REF!,IF(AND(#REF!="Diferenciado",$H$4=#REF!),BDI!$E$17,IF(AND(#REF!="Diferenciado",$H$4=#REF!),BDI!#REF!,IF(#REF!="ZERO",0))))),"")</f>
        <v>#REF!</v>
      </c>
      <c r="H3035" s="136" t="e">
        <f t="shared" ca="1" si="163"/>
        <v>#REF!</v>
      </c>
      <c r="I3035" s="134" t="e">
        <f t="shared" ca="1" si="164"/>
        <v>#REF!</v>
      </c>
      <c r="J3035" s="226"/>
    </row>
    <row r="3036" spans="1:10" hidden="1" x14ac:dyDescent="0.25">
      <c r="A3036" s="112" t="s">
        <v>7345</v>
      </c>
      <c r="B3036" s="113" t="s">
        <v>7346</v>
      </c>
      <c r="C3036" s="114" t="s">
        <v>20</v>
      </c>
      <c r="D3036" s="114">
        <v>0</v>
      </c>
      <c r="E3036" s="133">
        <f ca="1">OFFSET(INDEX(Composições!A:J,MATCH(Orçamentária!A3036,Composições!A:A,0),8),2,0)</f>
        <v>260.01499999999999</v>
      </c>
      <c r="F3036" s="134">
        <f t="shared" ca="1" si="162"/>
        <v>0</v>
      </c>
      <c r="G3036" s="135" t="e">
        <f>IF(A3036&lt;&gt;"",IF(AND(#REF!="Padrão",$H$4=#REF!),BDI!$B$17,IF(AND(#REF!="Padrão",$H$4=#REF!),BDI!#REF!,IF(AND(#REF!="Diferenciado",$H$4=#REF!),BDI!$E$17,IF(AND(#REF!="Diferenciado",$H$4=#REF!),BDI!#REF!,IF(#REF!="ZERO",0))))),"")</f>
        <v>#REF!</v>
      </c>
      <c r="H3036" s="136" t="e">
        <f t="shared" ca="1" si="163"/>
        <v>#REF!</v>
      </c>
      <c r="I3036" s="134" t="e">
        <f t="shared" ca="1" si="164"/>
        <v>#REF!</v>
      </c>
      <c r="J3036" s="226"/>
    </row>
    <row r="3037" spans="1:10" hidden="1" x14ac:dyDescent="0.25">
      <c r="A3037" s="112" t="s">
        <v>7347</v>
      </c>
      <c r="B3037" s="113" t="s">
        <v>7348</v>
      </c>
      <c r="C3037" s="114" t="s">
        <v>20</v>
      </c>
      <c r="D3037" s="114">
        <v>0</v>
      </c>
      <c r="E3037" s="133">
        <f ca="1">OFFSET(INDEX(Composições!A:J,MATCH(Orçamentária!A3037,Composições!A:A,0),8),2,0)</f>
        <v>365.01850000000002</v>
      </c>
      <c r="F3037" s="134">
        <f t="shared" ca="1" si="162"/>
        <v>0</v>
      </c>
      <c r="G3037" s="135" t="e">
        <f>IF(A3037&lt;&gt;"",IF(AND(#REF!="Padrão",$H$4=#REF!),BDI!$B$17,IF(AND(#REF!="Padrão",$H$4=#REF!),BDI!#REF!,IF(AND(#REF!="Diferenciado",$H$4=#REF!),BDI!$E$17,IF(AND(#REF!="Diferenciado",$H$4=#REF!),BDI!#REF!,IF(#REF!="ZERO",0))))),"")</f>
        <v>#REF!</v>
      </c>
      <c r="H3037" s="136" t="e">
        <f t="shared" ca="1" si="163"/>
        <v>#REF!</v>
      </c>
      <c r="I3037" s="134" t="e">
        <f t="shared" ca="1" si="164"/>
        <v>#REF!</v>
      </c>
      <c r="J3037" s="226"/>
    </row>
    <row r="3038" spans="1:10" hidden="1" x14ac:dyDescent="0.25">
      <c r="A3038" s="112" t="s">
        <v>7349</v>
      </c>
      <c r="B3038" s="113" t="s">
        <v>7350</v>
      </c>
      <c r="C3038" s="114" t="s">
        <v>20</v>
      </c>
      <c r="D3038" s="114">
        <v>0</v>
      </c>
      <c r="E3038" s="133">
        <f ca="1">OFFSET(INDEX(Composições!A:J,MATCH(Orçamentária!A3038,Composições!A:A,0),8),2,0)</f>
        <v>33.126499999999993</v>
      </c>
      <c r="F3038" s="134">
        <f t="shared" ca="1" si="162"/>
        <v>0</v>
      </c>
      <c r="G3038" s="135" t="e">
        <f>IF(A3038&lt;&gt;"",IF(AND(#REF!="Padrão",$H$4=#REF!),BDI!$B$17,IF(AND(#REF!="Padrão",$H$4=#REF!),BDI!#REF!,IF(AND(#REF!="Diferenciado",$H$4=#REF!),BDI!$E$17,IF(AND(#REF!="Diferenciado",$H$4=#REF!),BDI!#REF!,IF(#REF!="ZERO",0))))),"")</f>
        <v>#REF!</v>
      </c>
      <c r="H3038" s="136" t="e">
        <f t="shared" ca="1" si="163"/>
        <v>#REF!</v>
      </c>
      <c r="I3038" s="134" t="e">
        <f t="shared" ca="1" si="164"/>
        <v>#REF!</v>
      </c>
      <c r="J3038" s="226"/>
    </row>
    <row r="3039" spans="1:10" hidden="1" x14ac:dyDescent="0.25">
      <c r="A3039" s="112" t="s">
        <v>7351</v>
      </c>
      <c r="B3039" s="113" t="s">
        <v>7352</v>
      </c>
      <c r="C3039" s="114" t="s">
        <v>20</v>
      </c>
      <c r="D3039" s="114">
        <v>0</v>
      </c>
      <c r="E3039" s="133">
        <f ca="1">OFFSET(INDEX(Composições!A:J,MATCH(Orçamentária!A3039,Composições!A:A,0),8),2,0)</f>
        <v>167.83649999999997</v>
      </c>
      <c r="F3039" s="134">
        <f t="shared" ca="1" si="162"/>
        <v>0</v>
      </c>
      <c r="G3039" s="135" t="e">
        <f>IF(A3039&lt;&gt;"",IF(AND(#REF!="Padrão",$H$4=#REF!),BDI!$B$17,IF(AND(#REF!="Padrão",$H$4=#REF!),BDI!#REF!,IF(AND(#REF!="Diferenciado",$H$4=#REF!),BDI!$E$17,IF(AND(#REF!="Diferenciado",$H$4=#REF!),BDI!#REF!,IF(#REF!="ZERO",0))))),"")</f>
        <v>#REF!</v>
      </c>
      <c r="H3039" s="136" t="e">
        <f t="shared" ca="1" si="163"/>
        <v>#REF!</v>
      </c>
      <c r="I3039" s="134" t="e">
        <f t="shared" ca="1" si="164"/>
        <v>#REF!</v>
      </c>
      <c r="J3039" s="226"/>
    </row>
    <row r="3040" spans="1:10" hidden="1" x14ac:dyDescent="0.25">
      <c r="A3040" s="112" t="s">
        <v>7353</v>
      </c>
      <c r="B3040" s="113" t="s">
        <v>7354</v>
      </c>
      <c r="C3040" s="114" t="s">
        <v>20</v>
      </c>
      <c r="D3040" s="114">
        <v>0</v>
      </c>
      <c r="E3040" s="133">
        <f ca="1">OFFSET(INDEX(Composições!A:J,MATCH(Orçamentária!A3040,Composições!A:A,0),8),2,0)</f>
        <v>41.714499999999994</v>
      </c>
      <c r="F3040" s="134">
        <f t="shared" ca="1" si="162"/>
        <v>0</v>
      </c>
      <c r="G3040" s="135" t="e">
        <f>IF(A3040&lt;&gt;"",IF(AND(#REF!="Padrão",$H$4=#REF!),BDI!$B$17,IF(AND(#REF!="Padrão",$H$4=#REF!),BDI!#REF!,IF(AND(#REF!="Diferenciado",$H$4=#REF!),BDI!$E$17,IF(AND(#REF!="Diferenciado",$H$4=#REF!),BDI!#REF!,IF(#REF!="ZERO",0))))),"")</f>
        <v>#REF!</v>
      </c>
      <c r="H3040" s="136" t="e">
        <f t="shared" ca="1" si="163"/>
        <v>#REF!</v>
      </c>
      <c r="I3040" s="134" t="e">
        <f t="shared" ca="1" si="164"/>
        <v>#REF!</v>
      </c>
      <c r="J3040" s="226"/>
    </row>
    <row r="3041" spans="1:10" hidden="1" x14ac:dyDescent="0.25">
      <c r="A3041" s="112" t="s">
        <v>7355</v>
      </c>
      <c r="B3041" s="113" t="s">
        <v>7356</v>
      </c>
      <c r="C3041" s="114" t="s">
        <v>20</v>
      </c>
      <c r="D3041" s="114">
        <v>0</v>
      </c>
      <c r="E3041" s="133">
        <f ca="1">OFFSET(INDEX(Composições!A:J,MATCH(Orçamentária!A3041,Composições!A:A,0),8),2,0)</f>
        <v>9.386000000000001</v>
      </c>
      <c r="F3041" s="134">
        <f t="shared" ca="1" si="162"/>
        <v>0</v>
      </c>
      <c r="G3041" s="135" t="e">
        <f>IF(A3041&lt;&gt;"",IF(AND(#REF!="Padrão",$H$4=#REF!),BDI!$B$17,IF(AND(#REF!="Padrão",$H$4=#REF!),BDI!#REF!,IF(AND(#REF!="Diferenciado",$H$4=#REF!),BDI!$E$17,IF(AND(#REF!="Diferenciado",$H$4=#REF!),BDI!#REF!,IF(#REF!="ZERO",0))))),"")</f>
        <v>#REF!</v>
      </c>
      <c r="H3041" s="136" t="e">
        <f t="shared" ca="1" si="163"/>
        <v>#REF!</v>
      </c>
      <c r="I3041" s="134" t="e">
        <f t="shared" ca="1" si="164"/>
        <v>#REF!</v>
      </c>
      <c r="J3041" s="226"/>
    </row>
    <row r="3042" spans="1:10" hidden="1" x14ac:dyDescent="0.25">
      <c r="A3042" s="112" t="s">
        <v>7357</v>
      </c>
      <c r="B3042" s="113" t="s">
        <v>7358</v>
      </c>
      <c r="C3042" s="114" t="s">
        <v>20</v>
      </c>
      <c r="D3042" s="114">
        <v>0</v>
      </c>
      <c r="E3042" s="133">
        <f ca="1">OFFSET(INDEX(Composições!A:J,MATCH(Orçamentária!A3042,Composições!A:A,0),8),2,0)</f>
        <v>125.45699999999999</v>
      </c>
      <c r="F3042" s="134">
        <f t="shared" ca="1" si="162"/>
        <v>0</v>
      </c>
      <c r="G3042" s="135" t="e">
        <f>IF(A3042&lt;&gt;"",IF(AND(#REF!="Padrão",$H$4=#REF!),BDI!$B$17,IF(AND(#REF!="Padrão",$H$4=#REF!),BDI!#REF!,IF(AND(#REF!="Diferenciado",$H$4=#REF!),BDI!$E$17,IF(AND(#REF!="Diferenciado",$H$4=#REF!),BDI!#REF!,IF(#REF!="ZERO",0))))),"")</f>
        <v>#REF!</v>
      </c>
      <c r="H3042" s="136" t="e">
        <f t="shared" ca="1" si="163"/>
        <v>#REF!</v>
      </c>
      <c r="I3042" s="134" t="e">
        <f t="shared" ca="1" si="164"/>
        <v>#REF!</v>
      </c>
      <c r="J3042" s="226"/>
    </row>
    <row r="3043" spans="1:10" hidden="1" x14ac:dyDescent="0.25">
      <c r="A3043" s="112" t="s">
        <v>7359</v>
      </c>
      <c r="B3043" s="113" t="s">
        <v>7360</v>
      </c>
      <c r="C3043" s="114" t="s">
        <v>20</v>
      </c>
      <c r="D3043" s="114">
        <v>0</v>
      </c>
      <c r="E3043" s="133">
        <f ca="1">OFFSET(INDEX(Composições!A:J,MATCH(Orçamentária!A3043,Composições!A:A,0),8),2,0)</f>
        <v>66.072499999999991</v>
      </c>
      <c r="F3043" s="134">
        <f t="shared" ca="1" si="162"/>
        <v>0</v>
      </c>
      <c r="G3043" s="135" t="e">
        <f>IF(A3043&lt;&gt;"",IF(AND(#REF!="Padrão",$H$4=#REF!),BDI!$B$17,IF(AND(#REF!="Padrão",$H$4=#REF!),BDI!#REF!,IF(AND(#REF!="Diferenciado",$H$4=#REF!),BDI!$E$17,IF(AND(#REF!="Diferenciado",$H$4=#REF!),BDI!#REF!,IF(#REF!="ZERO",0))))),"")</f>
        <v>#REF!</v>
      </c>
      <c r="H3043" s="136" t="e">
        <f t="shared" ca="1" si="163"/>
        <v>#REF!</v>
      </c>
      <c r="I3043" s="134" t="e">
        <f t="shared" ca="1" si="164"/>
        <v>#REF!</v>
      </c>
      <c r="J3043" s="226"/>
    </row>
    <row r="3044" spans="1:10" hidden="1" x14ac:dyDescent="0.25">
      <c r="A3044" s="112" t="s">
        <v>7361</v>
      </c>
      <c r="B3044" s="113" t="s">
        <v>7362</v>
      </c>
      <c r="C3044" s="114" t="s">
        <v>20</v>
      </c>
      <c r="D3044" s="114">
        <v>0</v>
      </c>
      <c r="E3044" s="133">
        <f ca="1">OFFSET(INDEX(Composições!A:J,MATCH(Orçamentária!A3044,Composições!A:A,0),8),2,0)</f>
        <v>73.140499999999989</v>
      </c>
      <c r="F3044" s="134">
        <f t="shared" ca="1" si="162"/>
        <v>0</v>
      </c>
      <c r="G3044" s="135" t="e">
        <f>IF(A3044&lt;&gt;"",IF(AND(#REF!="Padrão",$H$4=#REF!),BDI!$B$17,IF(AND(#REF!="Padrão",$H$4=#REF!),BDI!#REF!,IF(AND(#REF!="Diferenciado",$H$4=#REF!),BDI!$E$17,IF(AND(#REF!="Diferenciado",$H$4=#REF!),BDI!#REF!,IF(#REF!="ZERO",0))))),"")</f>
        <v>#REF!</v>
      </c>
      <c r="H3044" s="136" t="e">
        <f t="shared" ca="1" si="163"/>
        <v>#REF!</v>
      </c>
      <c r="I3044" s="134" t="e">
        <f t="shared" ca="1" si="164"/>
        <v>#REF!</v>
      </c>
      <c r="J3044" s="226"/>
    </row>
    <row r="3045" spans="1:10" hidden="1" x14ac:dyDescent="0.25">
      <c r="A3045" s="112" t="s">
        <v>7363</v>
      </c>
      <c r="B3045" s="113" t="s">
        <v>7364</v>
      </c>
      <c r="C3045" s="114" t="s">
        <v>20</v>
      </c>
      <c r="D3045" s="114">
        <v>0</v>
      </c>
      <c r="E3045" s="133">
        <f ca="1">OFFSET(INDEX(Composições!A:J,MATCH(Orçamentária!A3045,Composições!A:A,0),8),2,0)</f>
        <v>4.5979999999999999</v>
      </c>
      <c r="F3045" s="134">
        <f t="shared" ca="1" si="162"/>
        <v>0</v>
      </c>
      <c r="G3045" s="135" t="e">
        <f>IF(A3045&lt;&gt;"",IF(AND(#REF!="Padrão",$H$4=#REF!),BDI!$B$17,IF(AND(#REF!="Padrão",$H$4=#REF!),BDI!#REF!,IF(AND(#REF!="Diferenciado",$H$4=#REF!),BDI!$E$17,IF(AND(#REF!="Diferenciado",$H$4=#REF!),BDI!#REF!,IF(#REF!="ZERO",0))))),"")</f>
        <v>#REF!</v>
      </c>
      <c r="H3045" s="136" t="e">
        <f t="shared" ca="1" si="163"/>
        <v>#REF!</v>
      </c>
      <c r="I3045" s="134" t="e">
        <f t="shared" ca="1" si="164"/>
        <v>#REF!</v>
      </c>
      <c r="J3045" s="226"/>
    </row>
    <row r="3046" spans="1:10" hidden="1" x14ac:dyDescent="0.25">
      <c r="A3046" s="112" t="s">
        <v>7365</v>
      </c>
      <c r="B3046" s="113" t="s">
        <v>7366</v>
      </c>
      <c r="C3046" s="114" t="s">
        <v>20</v>
      </c>
      <c r="D3046" s="114">
        <v>0</v>
      </c>
      <c r="E3046" s="133">
        <f ca="1">OFFSET(INDEX(Composições!A:J,MATCH(Orçamentária!A3046,Composições!A:A,0),8),2,0)</f>
        <v>8.4834999999999994</v>
      </c>
      <c r="F3046" s="134">
        <f t="shared" ca="1" si="162"/>
        <v>0</v>
      </c>
      <c r="G3046" s="135" t="e">
        <f>IF(A3046&lt;&gt;"",IF(AND(#REF!="Padrão",$H$4=#REF!),BDI!$B$17,IF(AND(#REF!="Padrão",$H$4=#REF!),BDI!#REF!,IF(AND(#REF!="Diferenciado",$H$4=#REF!),BDI!$E$17,IF(AND(#REF!="Diferenciado",$H$4=#REF!),BDI!#REF!,IF(#REF!="ZERO",0))))),"")</f>
        <v>#REF!</v>
      </c>
      <c r="H3046" s="136" t="e">
        <f t="shared" ca="1" si="163"/>
        <v>#REF!</v>
      </c>
      <c r="I3046" s="134" t="e">
        <f t="shared" ca="1" si="164"/>
        <v>#REF!</v>
      </c>
      <c r="J3046" s="226"/>
    </row>
    <row r="3047" spans="1:10" hidden="1" x14ac:dyDescent="0.25">
      <c r="A3047" s="112" t="s">
        <v>7367</v>
      </c>
      <c r="B3047" s="113" t="s">
        <v>7368</v>
      </c>
      <c r="C3047" s="114" t="s">
        <v>20</v>
      </c>
      <c r="D3047" s="114">
        <v>0</v>
      </c>
      <c r="E3047" s="133">
        <f ca="1">OFFSET(INDEX(Composições!A:J,MATCH(Orçamentária!A3047,Composições!A:A,0),8),2,0)</f>
        <v>2.1849999999999996</v>
      </c>
      <c r="F3047" s="134">
        <f t="shared" ca="1" si="162"/>
        <v>0</v>
      </c>
      <c r="G3047" s="135" t="e">
        <f>IF(A3047&lt;&gt;"",IF(AND(#REF!="Padrão",$H$4=#REF!),BDI!$B$17,IF(AND(#REF!="Padrão",$H$4=#REF!),BDI!#REF!,IF(AND(#REF!="Diferenciado",$H$4=#REF!),BDI!$E$17,IF(AND(#REF!="Diferenciado",$H$4=#REF!),BDI!#REF!,IF(#REF!="ZERO",0))))),"")</f>
        <v>#REF!</v>
      </c>
      <c r="H3047" s="136" t="e">
        <f t="shared" ca="1" si="163"/>
        <v>#REF!</v>
      </c>
      <c r="I3047" s="134" t="e">
        <f t="shared" ca="1" si="164"/>
        <v>#REF!</v>
      </c>
      <c r="J3047" s="226"/>
    </row>
    <row r="3048" spans="1:10" hidden="1" x14ac:dyDescent="0.25">
      <c r="A3048" s="112" t="s">
        <v>7369</v>
      </c>
      <c r="B3048" s="113" t="s">
        <v>7370</v>
      </c>
      <c r="C3048" s="114" t="s">
        <v>20</v>
      </c>
      <c r="D3048" s="114">
        <v>0</v>
      </c>
      <c r="E3048" s="133">
        <f ca="1">OFFSET(INDEX(Composições!A:J,MATCH(Orçamentária!A3048,Composições!A:A,0),8),2,0)</f>
        <v>4.4364999999999997</v>
      </c>
      <c r="F3048" s="134">
        <f t="shared" ca="1" si="162"/>
        <v>0</v>
      </c>
      <c r="G3048" s="135" t="e">
        <f>IF(A3048&lt;&gt;"",IF(AND(#REF!="Padrão",$H$4=#REF!),BDI!$B$17,IF(AND(#REF!="Padrão",$H$4=#REF!),BDI!#REF!,IF(AND(#REF!="Diferenciado",$H$4=#REF!),BDI!$E$17,IF(AND(#REF!="Diferenciado",$H$4=#REF!),BDI!#REF!,IF(#REF!="ZERO",0))))),"")</f>
        <v>#REF!</v>
      </c>
      <c r="H3048" s="136" t="e">
        <f t="shared" ca="1" si="163"/>
        <v>#REF!</v>
      </c>
      <c r="I3048" s="134" t="e">
        <f t="shared" ca="1" si="164"/>
        <v>#REF!</v>
      </c>
      <c r="J3048" s="226"/>
    </row>
    <row r="3049" spans="1:10" hidden="1" x14ac:dyDescent="0.25">
      <c r="A3049" s="112" t="s">
        <v>7371</v>
      </c>
      <c r="B3049" s="113" t="s">
        <v>7372</v>
      </c>
      <c r="C3049" s="114" t="s">
        <v>20</v>
      </c>
      <c r="D3049" s="114">
        <v>0</v>
      </c>
      <c r="E3049" s="133">
        <f ca="1">OFFSET(INDEX(Composições!A:J,MATCH(Orçamentária!A3049,Composições!A:A,0),8),2,0)</f>
        <v>9.6709999999999994</v>
      </c>
      <c r="F3049" s="134">
        <f t="shared" ca="1" si="162"/>
        <v>0</v>
      </c>
      <c r="G3049" s="135" t="e">
        <f>IF(A3049&lt;&gt;"",IF(AND(#REF!="Padrão",$H$4=#REF!),BDI!$B$17,IF(AND(#REF!="Padrão",$H$4=#REF!),BDI!#REF!,IF(AND(#REF!="Diferenciado",$H$4=#REF!),BDI!$E$17,IF(AND(#REF!="Diferenciado",$H$4=#REF!),BDI!#REF!,IF(#REF!="ZERO",0))))),"")</f>
        <v>#REF!</v>
      </c>
      <c r="H3049" s="136" t="e">
        <f t="shared" ca="1" si="163"/>
        <v>#REF!</v>
      </c>
      <c r="I3049" s="134" t="e">
        <f t="shared" ca="1" si="164"/>
        <v>#REF!</v>
      </c>
      <c r="J3049" s="226"/>
    </row>
    <row r="3050" spans="1:10" hidden="1" x14ac:dyDescent="0.25">
      <c r="A3050" s="112" t="s">
        <v>7373</v>
      </c>
      <c r="B3050" s="113" t="s">
        <v>7374</v>
      </c>
      <c r="C3050" s="114" t="s">
        <v>20</v>
      </c>
      <c r="D3050" s="114">
        <v>0</v>
      </c>
      <c r="E3050" s="133">
        <f ca="1">OFFSET(INDEX(Composições!A:J,MATCH(Orçamentária!A3050,Composições!A:A,0),8),2,0)</f>
        <v>19.512999999999998</v>
      </c>
      <c r="F3050" s="134">
        <f t="shared" ca="1" si="162"/>
        <v>0</v>
      </c>
      <c r="G3050" s="135" t="e">
        <f>IF(A3050&lt;&gt;"",IF(AND(#REF!="Padrão",$H$4=#REF!),BDI!$B$17,IF(AND(#REF!="Padrão",$H$4=#REF!),BDI!#REF!,IF(AND(#REF!="Diferenciado",$H$4=#REF!),BDI!$E$17,IF(AND(#REF!="Diferenciado",$H$4=#REF!),BDI!#REF!,IF(#REF!="ZERO",0))))),"")</f>
        <v>#REF!</v>
      </c>
      <c r="H3050" s="136" t="e">
        <f t="shared" ca="1" si="163"/>
        <v>#REF!</v>
      </c>
      <c r="I3050" s="134" t="e">
        <f t="shared" ca="1" si="164"/>
        <v>#REF!</v>
      </c>
      <c r="J3050" s="226"/>
    </row>
    <row r="3051" spans="1:10" hidden="1" x14ac:dyDescent="0.25">
      <c r="A3051" s="112" t="s">
        <v>7375</v>
      </c>
      <c r="B3051" s="113" t="s">
        <v>7376</v>
      </c>
      <c r="C3051" s="114" t="s">
        <v>20</v>
      </c>
      <c r="D3051" s="114">
        <v>0</v>
      </c>
      <c r="E3051" s="133">
        <f ca="1">OFFSET(INDEX(Composições!A:J,MATCH(Orçamentária!A3051,Composições!A:A,0),8),2,0)</f>
        <v>15.808</v>
      </c>
      <c r="F3051" s="134">
        <f t="shared" ca="1" si="162"/>
        <v>0</v>
      </c>
      <c r="G3051" s="135" t="e">
        <f>IF(A3051&lt;&gt;"",IF(AND(#REF!="Padrão",$H$4=#REF!),BDI!$B$17,IF(AND(#REF!="Padrão",$H$4=#REF!),BDI!#REF!,IF(AND(#REF!="Diferenciado",$H$4=#REF!),BDI!$E$17,IF(AND(#REF!="Diferenciado",$H$4=#REF!),BDI!#REF!,IF(#REF!="ZERO",0))))),"")</f>
        <v>#REF!</v>
      </c>
      <c r="H3051" s="136" t="e">
        <f t="shared" ca="1" si="163"/>
        <v>#REF!</v>
      </c>
      <c r="I3051" s="134" t="e">
        <f t="shared" ca="1" si="164"/>
        <v>#REF!</v>
      </c>
      <c r="J3051" s="226"/>
    </row>
    <row r="3052" spans="1:10" hidden="1" x14ac:dyDescent="0.25">
      <c r="A3052" s="112" t="s">
        <v>7377</v>
      </c>
      <c r="B3052" s="113" t="s">
        <v>7378</v>
      </c>
      <c r="C3052" s="114" t="s">
        <v>20</v>
      </c>
      <c r="D3052" s="114">
        <v>0</v>
      </c>
      <c r="E3052" s="133">
        <f ca="1">OFFSET(INDEX(Composições!A:J,MATCH(Orçamentária!A3052,Composições!A:A,0),8),2,0)</f>
        <v>102.4195</v>
      </c>
      <c r="F3052" s="134">
        <f t="shared" ca="1" si="162"/>
        <v>0</v>
      </c>
      <c r="G3052" s="135" t="e">
        <f>IF(A3052&lt;&gt;"",IF(AND(#REF!="Padrão",$H$4=#REF!),BDI!$B$17,IF(AND(#REF!="Padrão",$H$4=#REF!),BDI!#REF!,IF(AND(#REF!="Diferenciado",$H$4=#REF!),BDI!$E$17,IF(AND(#REF!="Diferenciado",$H$4=#REF!),BDI!#REF!,IF(#REF!="ZERO",0))))),"")</f>
        <v>#REF!</v>
      </c>
      <c r="H3052" s="136" t="e">
        <f t="shared" ca="1" si="163"/>
        <v>#REF!</v>
      </c>
      <c r="I3052" s="134" t="e">
        <f t="shared" ca="1" si="164"/>
        <v>#REF!</v>
      </c>
      <c r="J3052" s="226"/>
    </row>
    <row r="3053" spans="1:10" hidden="1" x14ac:dyDescent="0.25">
      <c r="A3053" s="112" t="s">
        <v>7379</v>
      </c>
      <c r="B3053" s="113" t="s">
        <v>7380</v>
      </c>
      <c r="C3053" s="114" t="s">
        <v>20</v>
      </c>
      <c r="D3053" s="114">
        <v>0</v>
      </c>
      <c r="E3053" s="133">
        <f ca="1">OFFSET(INDEX(Composições!A:J,MATCH(Orçamentária!A3053,Composições!A:A,0),8),2,0)</f>
        <v>317.77499999999998</v>
      </c>
      <c r="F3053" s="134">
        <f t="shared" ca="1" si="162"/>
        <v>0</v>
      </c>
      <c r="G3053" s="135" t="e">
        <f>IF(A3053&lt;&gt;"",IF(AND(#REF!="Padrão",$H$4=#REF!),BDI!$B$17,IF(AND(#REF!="Padrão",$H$4=#REF!),BDI!#REF!,IF(AND(#REF!="Diferenciado",$H$4=#REF!),BDI!$E$17,IF(AND(#REF!="Diferenciado",$H$4=#REF!),BDI!#REF!,IF(#REF!="ZERO",0))))),"")</f>
        <v>#REF!</v>
      </c>
      <c r="H3053" s="136" t="e">
        <f t="shared" ca="1" si="163"/>
        <v>#REF!</v>
      </c>
      <c r="I3053" s="134" t="e">
        <f t="shared" ca="1" si="164"/>
        <v>#REF!</v>
      </c>
      <c r="J3053" s="226"/>
    </row>
    <row r="3054" spans="1:10" hidden="1" x14ac:dyDescent="0.25">
      <c r="A3054" s="112" t="s">
        <v>7381</v>
      </c>
      <c r="B3054" s="113" t="s">
        <v>7382</v>
      </c>
      <c r="C3054" s="114" t="s">
        <v>92</v>
      </c>
      <c r="D3054" s="114">
        <v>0</v>
      </c>
      <c r="E3054" s="133" t="s">
        <v>514</v>
      </c>
      <c r="F3054" s="134" t="str">
        <f t="shared" si="162"/>
        <v/>
      </c>
      <c r="G3054" s="135" t="e">
        <f>IF(A3054&lt;&gt;"",IF(AND(#REF!="Padrão",$H$4=#REF!),BDI!$B$17,IF(AND(#REF!="Padrão",$H$4=#REF!),BDI!#REF!,IF(AND(#REF!="Diferenciado",$H$4=#REF!),BDI!$E$17,IF(AND(#REF!="Diferenciado",$H$4=#REF!),BDI!#REF!,IF(#REF!="ZERO",0))))),"")</f>
        <v>#REF!</v>
      </c>
      <c r="H3054" s="136" t="str">
        <f t="shared" si="163"/>
        <v/>
      </c>
      <c r="I3054" s="134" t="str">
        <f t="shared" si="164"/>
        <v/>
      </c>
      <c r="J3054" s="226"/>
    </row>
    <row r="3055" spans="1:10" hidden="1" x14ac:dyDescent="0.25">
      <c r="A3055" s="112" t="s">
        <v>7383</v>
      </c>
      <c r="B3055" s="113" t="s">
        <v>7384</v>
      </c>
      <c r="C3055" s="114" t="s">
        <v>92</v>
      </c>
      <c r="D3055" s="114">
        <v>0</v>
      </c>
      <c r="E3055" s="133" t="s">
        <v>514</v>
      </c>
      <c r="F3055" s="134" t="str">
        <f t="shared" si="162"/>
        <v/>
      </c>
      <c r="G3055" s="135" t="e">
        <f>IF(A3055&lt;&gt;"",IF(AND(#REF!="Padrão",$H$4=#REF!),BDI!$B$17,IF(AND(#REF!="Padrão",$H$4=#REF!),BDI!#REF!,IF(AND(#REF!="Diferenciado",$H$4=#REF!),BDI!$E$17,IF(AND(#REF!="Diferenciado",$H$4=#REF!),BDI!#REF!,IF(#REF!="ZERO",0))))),"")</f>
        <v>#REF!</v>
      </c>
      <c r="H3055" s="136" t="str">
        <f t="shared" si="163"/>
        <v/>
      </c>
      <c r="I3055" s="134" t="str">
        <f t="shared" si="164"/>
        <v/>
      </c>
      <c r="J3055" s="226"/>
    </row>
    <row r="3056" spans="1:10" hidden="1" x14ac:dyDescent="0.25">
      <c r="A3056" s="112" t="s">
        <v>7385</v>
      </c>
      <c r="B3056" s="113" t="s">
        <v>7386</v>
      </c>
      <c r="C3056" s="114" t="s">
        <v>20</v>
      </c>
      <c r="D3056" s="114">
        <v>0</v>
      </c>
      <c r="E3056" s="133" t="s">
        <v>514</v>
      </c>
      <c r="F3056" s="134" t="str">
        <f t="shared" si="162"/>
        <v/>
      </c>
      <c r="G3056" s="135" t="e">
        <f>IF(A3056&lt;&gt;"",IF(AND(#REF!="Padrão",$H$4=#REF!),BDI!$B$17,IF(AND(#REF!="Padrão",$H$4=#REF!),BDI!#REF!,IF(AND(#REF!="Diferenciado",$H$4=#REF!),BDI!$E$17,IF(AND(#REF!="Diferenciado",$H$4=#REF!),BDI!#REF!,IF(#REF!="ZERO",0))))),"")</f>
        <v>#REF!</v>
      </c>
      <c r="H3056" s="136" t="str">
        <f t="shared" si="163"/>
        <v/>
      </c>
      <c r="I3056" s="134" t="str">
        <f t="shared" si="164"/>
        <v/>
      </c>
      <c r="J3056" s="226"/>
    </row>
    <row r="3057" spans="1:10" hidden="1" x14ac:dyDescent="0.25">
      <c r="A3057" s="112" t="s">
        <v>7387</v>
      </c>
      <c r="B3057" s="113" t="s">
        <v>7388</v>
      </c>
      <c r="C3057" s="114" t="s">
        <v>92</v>
      </c>
      <c r="D3057" s="114">
        <v>0</v>
      </c>
      <c r="E3057" s="133" t="s">
        <v>514</v>
      </c>
      <c r="F3057" s="134" t="str">
        <f t="shared" si="162"/>
        <v/>
      </c>
      <c r="G3057" s="135" t="e">
        <f>IF(A3057&lt;&gt;"",IF(AND(#REF!="Padrão",$H$4=#REF!),BDI!$B$17,IF(AND(#REF!="Padrão",$H$4=#REF!),BDI!#REF!,IF(AND(#REF!="Diferenciado",$H$4=#REF!),BDI!$E$17,IF(AND(#REF!="Diferenciado",$H$4=#REF!),BDI!#REF!,IF(#REF!="ZERO",0))))),"")</f>
        <v>#REF!</v>
      </c>
      <c r="H3057" s="136" t="str">
        <f t="shared" si="163"/>
        <v/>
      </c>
      <c r="I3057" s="134" t="str">
        <f t="shared" si="164"/>
        <v/>
      </c>
      <c r="J3057" s="226"/>
    </row>
    <row r="3058" spans="1:10" hidden="1" x14ac:dyDescent="0.25">
      <c r="A3058" s="112" t="s">
        <v>7389</v>
      </c>
      <c r="B3058" s="113" t="s">
        <v>7390</v>
      </c>
      <c r="C3058" s="114" t="s">
        <v>20</v>
      </c>
      <c r="D3058" s="114">
        <v>0</v>
      </c>
      <c r="E3058" s="133" t="s">
        <v>514</v>
      </c>
      <c r="F3058" s="134" t="str">
        <f t="shared" si="162"/>
        <v/>
      </c>
      <c r="G3058" s="135" t="e">
        <f>IF(A3058&lt;&gt;"",IF(AND(#REF!="Padrão",$H$4=#REF!),BDI!$B$17,IF(AND(#REF!="Padrão",$H$4=#REF!),BDI!#REF!,IF(AND(#REF!="Diferenciado",$H$4=#REF!),BDI!$E$17,IF(AND(#REF!="Diferenciado",$H$4=#REF!),BDI!#REF!,IF(#REF!="ZERO",0))))),"")</f>
        <v>#REF!</v>
      </c>
      <c r="H3058" s="136" t="str">
        <f t="shared" si="163"/>
        <v/>
      </c>
      <c r="I3058" s="134" t="str">
        <f t="shared" si="164"/>
        <v/>
      </c>
      <c r="J3058" s="226"/>
    </row>
    <row r="3059" spans="1:10" hidden="1" x14ac:dyDescent="0.25">
      <c r="A3059" s="112" t="s">
        <v>7391</v>
      </c>
      <c r="B3059" s="113" t="s">
        <v>7392</v>
      </c>
      <c r="C3059" s="114" t="s">
        <v>20</v>
      </c>
      <c r="D3059" s="114">
        <v>0</v>
      </c>
      <c r="E3059" s="133" t="s">
        <v>514</v>
      </c>
      <c r="F3059" s="134" t="str">
        <f t="shared" si="162"/>
        <v/>
      </c>
      <c r="G3059" s="135" t="e">
        <f>IF(A3059&lt;&gt;"",IF(AND(#REF!="Padrão",$H$4=#REF!),BDI!$B$17,IF(AND(#REF!="Padrão",$H$4=#REF!),BDI!#REF!,IF(AND(#REF!="Diferenciado",$H$4=#REF!),BDI!$E$17,IF(AND(#REF!="Diferenciado",$H$4=#REF!),BDI!#REF!,IF(#REF!="ZERO",0))))),"")</f>
        <v>#REF!</v>
      </c>
      <c r="H3059" s="136" t="str">
        <f t="shared" si="163"/>
        <v/>
      </c>
      <c r="I3059" s="134" t="str">
        <f t="shared" si="164"/>
        <v/>
      </c>
      <c r="J3059" s="226"/>
    </row>
    <row r="3060" spans="1:10" hidden="1" x14ac:dyDescent="0.25">
      <c r="A3060" s="112" t="s">
        <v>7393</v>
      </c>
      <c r="B3060" s="113" t="s">
        <v>7394</v>
      </c>
      <c r="C3060" s="114" t="s">
        <v>20</v>
      </c>
      <c r="D3060" s="114">
        <v>0</v>
      </c>
      <c r="E3060" s="133" t="s">
        <v>514</v>
      </c>
      <c r="F3060" s="134" t="str">
        <f t="shared" si="162"/>
        <v/>
      </c>
      <c r="G3060" s="135" t="e">
        <f>IF(A3060&lt;&gt;"",IF(AND(#REF!="Padrão",$H$4=#REF!),BDI!$B$17,IF(AND(#REF!="Padrão",$H$4=#REF!),BDI!#REF!,IF(AND(#REF!="Diferenciado",$H$4=#REF!),BDI!$E$17,IF(AND(#REF!="Diferenciado",$H$4=#REF!),BDI!#REF!,IF(#REF!="ZERO",0))))),"")</f>
        <v>#REF!</v>
      </c>
      <c r="H3060" s="136" t="str">
        <f t="shared" si="163"/>
        <v/>
      </c>
      <c r="I3060" s="134" t="str">
        <f t="shared" si="164"/>
        <v/>
      </c>
      <c r="J3060" s="226"/>
    </row>
    <row r="3061" spans="1:10" hidden="1" x14ac:dyDescent="0.25">
      <c r="A3061" s="112" t="s">
        <v>7395</v>
      </c>
      <c r="B3061" s="113" t="s">
        <v>7396</v>
      </c>
      <c r="C3061" s="114" t="s">
        <v>20</v>
      </c>
      <c r="D3061" s="114">
        <v>0</v>
      </c>
      <c r="E3061" s="133" t="s">
        <v>514</v>
      </c>
      <c r="F3061" s="134" t="str">
        <f t="shared" si="162"/>
        <v/>
      </c>
      <c r="G3061" s="135" t="e">
        <f>IF(A3061&lt;&gt;"",IF(AND(#REF!="Padrão",$H$4=#REF!),BDI!$B$17,IF(AND(#REF!="Padrão",$H$4=#REF!),BDI!#REF!,IF(AND(#REF!="Diferenciado",$H$4=#REF!),BDI!$E$17,IF(AND(#REF!="Diferenciado",$H$4=#REF!),BDI!#REF!,IF(#REF!="ZERO",0))))),"")</f>
        <v>#REF!</v>
      </c>
      <c r="H3061" s="136" t="str">
        <f t="shared" si="163"/>
        <v/>
      </c>
      <c r="I3061" s="134" t="str">
        <f t="shared" si="164"/>
        <v/>
      </c>
      <c r="J3061" s="226"/>
    </row>
    <row r="3062" spans="1:10" hidden="1" x14ac:dyDescent="0.25">
      <c r="A3062" s="112" t="s">
        <v>7397</v>
      </c>
      <c r="B3062" s="113" t="s">
        <v>7398</v>
      </c>
      <c r="C3062" s="114" t="s">
        <v>20</v>
      </c>
      <c r="D3062" s="114">
        <v>0</v>
      </c>
      <c r="E3062" s="133" t="s">
        <v>514</v>
      </c>
      <c r="F3062" s="134" t="str">
        <f t="shared" si="162"/>
        <v/>
      </c>
      <c r="G3062" s="135" t="e">
        <f>IF(A3062&lt;&gt;"",IF(AND(#REF!="Padrão",$H$4=#REF!),BDI!$B$17,IF(AND(#REF!="Padrão",$H$4=#REF!),BDI!#REF!,IF(AND(#REF!="Diferenciado",$H$4=#REF!),BDI!$E$17,IF(AND(#REF!="Diferenciado",$H$4=#REF!),BDI!#REF!,IF(#REF!="ZERO",0))))),"")</f>
        <v>#REF!</v>
      </c>
      <c r="H3062" s="136" t="str">
        <f t="shared" si="163"/>
        <v/>
      </c>
      <c r="I3062" s="134" t="str">
        <f t="shared" si="164"/>
        <v/>
      </c>
      <c r="J3062" s="226"/>
    </row>
    <row r="3063" spans="1:10" hidden="1" x14ac:dyDescent="0.25">
      <c r="A3063" s="112" t="s">
        <v>7399</v>
      </c>
      <c r="B3063" s="113" t="s">
        <v>7400</v>
      </c>
      <c r="C3063" s="114" t="s">
        <v>20</v>
      </c>
      <c r="D3063" s="114">
        <v>0</v>
      </c>
      <c r="E3063" s="133" t="s">
        <v>514</v>
      </c>
      <c r="F3063" s="134" t="str">
        <f t="shared" si="162"/>
        <v/>
      </c>
      <c r="G3063" s="135" t="e">
        <f>IF(A3063&lt;&gt;"",IF(AND(#REF!="Padrão",$H$4=#REF!),BDI!$B$17,IF(AND(#REF!="Padrão",$H$4=#REF!),BDI!#REF!,IF(AND(#REF!="Diferenciado",$H$4=#REF!),BDI!$E$17,IF(AND(#REF!="Diferenciado",$H$4=#REF!),BDI!#REF!,IF(#REF!="ZERO",0))))),"")</f>
        <v>#REF!</v>
      </c>
      <c r="H3063" s="136" t="str">
        <f t="shared" si="163"/>
        <v/>
      </c>
      <c r="I3063" s="134" t="str">
        <f t="shared" si="164"/>
        <v/>
      </c>
      <c r="J3063" s="226"/>
    </row>
    <row r="3064" spans="1:10" hidden="1" x14ac:dyDescent="0.25">
      <c r="A3064" s="112" t="s">
        <v>7401</v>
      </c>
      <c r="B3064" s="113" t="s">
        <v>7402</v>
      </c>
      <c r="C3064" s="114" t="s">
        <v>20</v>
      </c>
      <c r="D3064" s="114">
        <v>0</v>
      </c>
      <c r="E3064" s="133" t="s">
        <v>514</v>
      </c>
      <c r="F3064" s="134" t="str">
        <f t="shared" si="162"/>
        <v/>
      </c>
      <c r="G3064" s="135" t="e">
        <f>IF(A3064&lt;&gt;"",IF(AND(#REF!="Padrão",$H$4=#REF!),BDI!$B$17,IF(AND(#REF!="Padrão",$H$4=#REF!),BDI!#REF!,IF(AND(#REF!="Diferenciado",$H$4=#REF!),BDI!$E$17,IF(AND(#REF!="Diferenciado",$H$4=#REF!),BDI!#REF!,IF(#REF!="ZERO",0))))),"")</f>
        <v>#REF!</v>
      </c>
      <c r="H3064" s="136" t="str">
        <f t="shared" si="163"/>
        <v/>
      </c>
      <c r="I3064" s="134" t="str">
        <f t="shared" si="164"/>
        <v/>
      </c>
      <c r="J3064" s="226"/>
    </row>
    <row r="3065" spans="1:10" hidden="1" x14ac:dyDescent="0.25">
      <c r="A3065" s="112" t="s">
        <v>7403</v>
      </c>
      <c r="B3065" s="113" t="s">
        <v>7404</v>
      </c>
      <c r="C3065" s="114" t="s">
        <v>20</v>
      </c>
      <c r="D3065" s="114">
        <v>0</v>
      </c>
      <c r="E3065" s="133" t="s">
        <v>514</v>
      </c>
      <c r="F3065" s="134" t="str">
        <f t="shared" si="162"/>
        <v/>
      </c>
      <c r="G3065" s="135" t="e">
        <f>IF(A3065&lt;&gt;"",IF(AND(#REF!="Padrão",$H$4=#REF!),BDI!$B$17,IF(AND(#REF!="Padrão",$H$4=#REF!),BDI!#REF!,IF(AND(#REF!="Diferenciado",$H$4=#REF!),BDI!$E$17,IF(AND(#REF!="Diferenciado",$H$4=#REF!),BDI!#REF!,IF(#REF!="ZERO",0))))),"")</f>
        <v>#REF!</v>
      </c>
      <c r="H3065" s="136" t="str">
        <f t="shared" si="163"/>
        <v/>
      </c>
      <c r="I3065" s="134" t="str">
        <f t="shared" si="164"/>
        <v/>
      </c>
      <c r="J3065" s="226"/>
    </row>
    <row r="3066" spans="1:10" hidden="1" x14ac:dyDescent="0.25">
      <c r="A3066" s="112" t="s">
        <v>7405</v>
      </c>
      <c r="B3066" s="113" t="s">
        <v>7406</v>
      </c>
      <c r="C3066" s="114" t="s">
        <v>20</v>
      </c>
      <c r="D3066" s="114">
        <v>0</v>
      </c>
      <c r="E3066" s="133" t="s">
        <v>514</v>
      </c>
      <c r="F3066" s="134" t="str">
        <f t="shared" si="162"/>
        <v/>
      </c>
      <c r="G3066" s="135" t="e">
        <f>IF(A3066&lt;&gt;"",IF(AND(#REF!="Padrão",$H$4=#REF!),BDI!$B$17,IF(AND(#REF!="Padrão",$H$4=#REF!),BDI!#REF!,IF(AND(#REF!="Diferenciado",$H$4=#REF!),BDI!$E$17,IF(AND(#REF!="Diferenciado",$H$4=#REF!),BDI!#REF!,IF(#REF!="ZERO",0))))),"")</f>
        <v>#REF!</v>
      </c>
      <c r="H3066" s="136" t="str">
        <f t="shared" si="163"/>
        <v/>
      </c>
      <c r="I3066" s="134" t="str">
        <f t="shared" si="164"/>
        <v/>
      </c>
      <c r="J3066" s="226"/>
    </row>
    <row r="3067" spans="1:10" hidden="1" x14ac:dyDescent="0.25">
      <c r="A3067" s="112" t="s">
        <v>7407</v>
      </c>
      <c r="B3067" s="113" t="s">
        <v>7408</v>
      </c>
      <c r="C3067" s="114" t="s">
        <v>20</v>
      </c>
      <c r="D3067" s="114">
        <v>0</v>
      </c>
      <c r="E3067" s="133" t="s">
        <v>514</v>
      </c>
      <c r="F3067" s="134" t="str">
        <f t="shared" si="162"/>
        <v/>
      </c>
      <c r="G3067" s="135" t="e">
        <f>IF(A3067&lt;&gt;"",IF(AND(#REF!="Padrão",$H$4=#REF!),BDI!$B$17,IF(AND(#REF!="Padrão",$H$4=#REF!),BDI!#REF!,IF(AND(#REF!="Diferenciado",$H$4=#REF!),BDI!$E$17,IF(AND(#REF!="Diferenciado",$H$4=#REF!),BDI!#REF!,IF(#REF!="ZERO",0))))),"")</f>
        <v>#REF!</v>
      </c>
      <c r="H3067" s="136" t="str">
        <f t="shared" si="163"/>
        <v/>
      </c>
      <c r="I3067" s="134" t="str">
        <f t="shared" si="164"/>
        <v/>
      </c>
      <c r="J3067" s="226"/>
    </row>
    <row r="3068" spans="1:10" hidden="1" x14ac:dyDescent="0.25">
      <c r="A3068" s="112" t="s">
        <v>7409</v>
      </c>
      <c r="B3068" s="113" t="s">
        <v>7410</v>
      </c>
      <c r="C3068" s="114" t="s">
        <v>20</v>
      </c>
      <c r="D3068" s="114">
        <v>0</v>
      </c>
      <c r="E3068" s="133" t="s">
        <v>514</v>
      </c>
      <c r="F3068" s="134" t="str">
        <f t="shared" si="162"/>
        <v/>
      </c>
      <c r="G3068" s="135" t="e">
        <f>IF(A3068&lt;&gt;"",IF(AND(#REF!="Padrão",$H$4=#REF!),BDI!$B$17,IF(AND(#REF!="Padrão",$H$4=#REF!),BDI!#REF!,IF(AND(#REF!="Diferenciado",$H$4=#REF!),BDI!$E$17,IF(AND(#REF!="Diferenciado",$H$4=#REF!),BDI!#REF!,IF(#REF!="ZERO",0))))),"")</f>
        <v>#REF!</v>
      </c>
      <c r="H3068" s="136" t="str">
        <f t="shared" si="163"/>
        <v/>
      </c>
      <c r="I3068" s="134" t="str">
        <f t="shared" si="164"/>
        <v/>
      </c>
      <c r="J3068" s="226"/>
    </row>
    <row r="3069" spans="1:10" hidden="1" x14ac:dyDescent="0.25">
      <c r="A3069" s="112" t="s">
        <v>7411</v>
      </c>
      <c r="B3069" s="113" t="s">
        <v>7412</v>
      </c>
      <c r="C3069" s="114" t="s">
        <v>20</v>
      </c>
      <c r="D3069" s="114">
        <v>0</v>
      </c>
      <c r="E3069" s="133" t="s">
        <v>514</v>
      </c>
      <c r="F3069" s="134" t="str">
        <f t="shared" si="162"/>
        <v/>
      </c>
      <c r="G3069" s="135" t="e">
        <f>IF(A3069&lt;&gt;"",IF(AND(#REF!="Padrão",$H$4=#REF!),BDI!$B$17,IF(AND(#REF!="Padrão",$H$4=#REF!),BDI!#REF!,IF(AND(#REF!="Diferenciado",$H$4=#REF!),BDI!$E$17,IF(AND(#REF!="Diferenciado",$H$4=#REF!),BDI!#REF!,IF(#REF!="ZERO",0))))),"")</f>
        <v>#REF!</v>
      </c>
      <c r="H3069" s="136" t="str">
        <f t="shared" si="163"/>
        <v/>
      </c>
      <c r="I3069" s="134" t="str">
        <f t="shared" si="164"/>
        <v/>
      </c>
      <c r="J3069" s="226"/>
    </row>
    <row r="3070" spans="1:10" hidden="1" x14ac:dyDescent="0.25">
      <c r="A3070" s="112" t="s">
        <v>7413</v>
      </c>
      <c r="B3070" s="113" t="s">
        <v>7414</v>
      </c>
      <c r="C3070" s="114" t="s">
        <v>20</v>
      </c>
      <c r="D3070" s="114">
        <v>0</v>
      </c>
      <c r="E3070" s="133" t="s">
        <v>514</v>
      </c>
      <c r="F3070" s="134" t="str">
        <f t="shared" si="162"/>
        <v/>
      </c>
      <c r="G3070" s="135" t="e">
        <f>IF(A3070&lt;&gt;"",IF(AND(#REF!="Padrão",$H$4=#REF!),BDI!$B$17,IF(AND(#REF!="Padrão",$H$4=#REF!),BDI!#REF!,IF(AND(#REF!="Diferenciado",$H$4=#REF!),BDI!$E$17,IF(AND(#REF!="Diferenciado",$H$4=#REF!),BDI!#REF!,IF(#REF!="ZERO",0))))),"")</f>
        <v>#REF!</v>
      </c>
      <c r="H3070" s="136" t="str">
        <f t="shared" si="163"/>
        <v/>
      </c>
      <c r="I3070" s="134" t="str">
        <f t="shared" si="164"/>
        <v/>
      </c>
      <c r="J3070" s="226"/>
    </row>
    <row r="3071" spans="1:10" hidden="1" x14ac:dyDescent="0.25">
      <c r="A3071" s="112" t="s">
        <v>7415</v>
      </c>
      <c r="B3071" s="113" t="s">
        <v>7416</v>
      </c>
      <c r="C3071" s="114" t="s">
        <v>20</v>
      </c>
      <c r="D3071" s="114">
        <v>0</v>
      </c>
      <c r="E3071" s="133" t="s">
        <v>514</v>
      </c>
      <c r="F3071" s="134" t="str">
        <f t="shared" si="162"/>
        <v/>
      </c>
      <c r="G3071" s="135" t="e">
        <f>IF(A3071&lt;&gt;"",IF(AND(#REF!="Padrão",$H$4=#REF!),BDI!$B$17,IF(AND(#REF!="Padrão",$H$4=#REF!),BDI!#REF!,IF(AND(#REF!="Diferenciado",$H$4=#REF!),BDI!$E$17,IF(AND(#REF!="Diferenciado",$H$4=#REF!),BDI!#REF!,IF(#REF!="ZERO",0))))),"")</f>
        <v>#REF!</v>
      </c>
      <c r="H3071" s="136" t="str">
        <f t="shared" si="163"/>
        <v/>
      </c>
      <c r="I3071" s="134" t="str">
        <f t="shared" si="164"/>
        <v/>
      </c>
      <c r="J3071" s="226"/>
    </row>
    <row r="3072" spans="1:10" hidden="1" x14ac:dyDescent="0.25">
      <c r="A3072" s="112" t="s">
        <v>7417</v>
      </c>
      <c r="B3072" s="113" t="s">
        <v>7418</v>
      </c>
      <c r="C3072" s="114" t="s">
        <v>20</v>
      </c>
      <c r="D3072" s="114">
        <v>0</v>
      </c>
      <c r="E3072" s="133" t="s">
        <v>514</v>
      </c>
      <c r="F3072" s="134" t="str">
        <f t="shared" si="162"/>
        <v/>
      </c>
      <c r="G3072" s="135" t="e">
        <f>IF(A3072&lt;&gt;"",IF(AND(#REF!="Padrão",$H$4=#REF!),BDI!$B$17,IF(AND(#REF!="Padrão",$H$4=#REF!),BDI!#REF!,IF(AND(#REF!="Diferenciado",$H$4=#REF!),BDI!$E$17,IF(AND(#REF!="Diferenciado",$H$4=#REF!),BDI!#REF!,IF(#REF!="ZERO",0))))),"")</f>
        <v>#REF!</v>
      </c>
      <c r="H3072" s="136" t="str">
        <f t="shared" si="163"/>
        <v/>
      </c>
      <c r="I3072" s="134" t="str">
        <f t="shared" si="164"/>
        <v/>
      </c>
      <c r="J3072" s="226"/>
    </row>
    <row r="3073" spans="1:10" hidden="1" x14ac:dyDescent="0.25">
      <c r="A3073" s="112" t="s">
        <v>7419</v>
      </c>
      <c r="B3073" s="113" t="s">
        <v>7420</v>
      </c>
      <c r="C3073" s="114" t="s">
        <v>20</v>
      </c>
      <c r="D3073" s="114">
        <v>0</v>
      </c>
      <c r="E3073" s="133" t="s">
        <v>514</v>
      </c>
      <c r="F3073" s="134" t="str">
        <f t="shared" si="162"/>
        <v/>
      </c>
      <c r="G3073" s="135" t="e">
        <f>IF(A3073&lt;&gt;"",IF(AND(#REF!="Padrão",$H$4=#REF!),BDI!$B$17,IF(AND(#REF!="Padrão",$H$4=#REF!),BDI!#REF!,IF(AND(#REF!="Diferenciado",$H$4=#REF!),BDI!$E$17,IF(AND(#REF!="Diferenciado",$H$4=#REF!),BDI!#REF!,IF(#REF!="ZERO",0))))),"")</f>
        <v>#REF!</v>
      </c>
      <c r="H3073" s="136" t="str">
        <f t="shared" si="163"/>
        <v/>
      </c>
      <c r="I3073" s="134" t="str">
        <f t="shared" si="164"/>
        <v/>
      </c>
      <c r="J3073" s="226"/>
    </row>
    <row r="3074" spans="1:10" hidden="1" x14ac:dyDescent="0.25">
      <c r="A3074" s="112" t="s">
        <v>7421</v>
      </c>
      <c r="B3074" s="113" t="s">
        <v>7422</v>
      </c>
      <c r="C3074" s="114" t="s">
        <v>20</v>
      </c>
      <c r="D3074" s="114">
        <v>0</v>
      </c>
      <c r="E3074" s="133" t="s">
        <v>514</v>
      </c>
      <c r="F3074" s="134" t="str">
        <f t="shared" si="162"/>
        <v/>
      </c>
      <c r="G3074" s="135" t="e">
        <f>IF(A3074&lt;&gt;"",IF(AND(#REF!="Padrão",$H$4=#REF!),BDI!$B$17,IF(AND(#REF!="Padrão",$H$4=#REF!),BDI!#REF!,IF(AND(#REF!="Diferenciado",$H$4=#REF!),BDI!$E$17,IF(AND(#REF!="Diferenciado",$H$4=#REF!),BDI!#REF!,IF(#REF!="ZERO",0))))),"")</f>
        <v>#REF!</v>
      </c>
      <c r="H3074" s="136" t="str">
        <f t="shared" si="163"/>
        <v/>
      </c>
      <c r="I3074" s="134" t="str">
        <f t="shared" si="164"/>
        <v/>
      </c>
      <c r="J3074" s="226"/>
    </row>
    <row r="3075" spans="1:10" hidden="1" x14ac:dyDescent="0.25">
      <c r="A3075" s="112" t="s">
        <v>7423</v>
      </c>
      <c r="B3075" s="113" t="s">
        <v>7424</v>
      </c>
      <c r="C3075" s="114" t="s">
        <v>20</v>
      </c>
      <c r="D3075" s="114">
        <v>0</v>
      </c>
      <c r="E3075" s="133" t="s">
        <v>514</v>
      </c>
      <c r="F3075" s="134" t="str">
        <f t="shared" si="162"/>
        <v/>
      </c>
      <c r="G3075" s="135" t="e">
        <f>IF(A3075&lt;&gt;"",IF(AND(#REF!="Padrão",$H$4=#REF!),BDI!$B$17,IF(AND(#REF!="Padrão",$H$4=#REF!),BDI!#REF!,IF(AND(#REF!="Diferenciado",$H$4=#REF!),BDI!$E$17,IF(AND(#REF!="Diferenciado",$H$4=#REF!),BDI!#REF!,IF(#REF!="ZERO",0))))),"")</f>
        <v>#REF!</v>
      </c>
      <c r="H3075" s="136" t="str">
        <f t="shared" si="163"/>
        <v/>
      </c>
      <c r="I3075" s="134" t="str">
        <f t="shared" si="164"/>
        <v/>
      </c>
      <c r="J3075" s="226"/>
    </row>
    <row r="3076" spans="1:10" hidden="1" x14ac:dyDescent="0.25">
      <c r="A3076" s="112" t="s">
        <v>7425</v>
      </c>
      <c r="B3076" s="113" t="s">
        <v>7426</v>
      </c>
      <c r="C3076" s="114" t="s">
        <v>20</v>
      </c>
      <c r="D3076" s="114">
        <v>0</v>
      </c>
      <c r="E3076" s="133" t="s">
        <v>514</v>
      </c>
      <c r="F3076" s="134" t="str">
        <f t="shared" si="162"/>
        <v/>
      </c>
      <c r="G3076" s="135" t="e">
        <f>IF(A3076&lt;&gt;"",IF(AND(#REF!="Padrão",$H$4=#REF!),BDI!$B$17,IF(AND(#REF!="Padrão",$H$4=#REF!),BDI!#REF!,IF(AND(#REF!="Diferenciado",$H$4=#REF!),BDI!$E$17,IF(AND(#REF!="Diferenciado",$H$4=#REF!),BDI!#REF!,IF(#REF!="ZERO",0))))),"")</f>
        <v>#REF!</v>
      </c>
      <c r="H3076" s="136" t="str">
        <f t="shared" si="163"/>
        <v/>
      </c>
      <c r="I3076" s="134" t="str">
        <f t="shared" si="164"/>
        <v/>
      </c>
      <c r="J3076" s="226"/>
    </row>
    <row r="3077" spans="1:10" hidden="1" x14ac:dyDescent="0.25">
      <c r="A3077" s="112" t="s">
        <v>7427</v>
      </c>
      <c r="B3077" s="113" t="s">
        <v>7428</v>
      </c>
      <c r="C3077" s="114" t="s">
        <v>20</v>
      </c>
      <c r="D3077" s="114">
        <v>0</v>
      </c>
      <c r="E3077" s="133" t="s">
        <v>514</v>
      </c>
      <c r="F3077" s="134" t="str">
        <f t="shared" si="162"/>
        <v/>
      </c>
      <c r="G3077" s="135" t="e">
        <f>IF(A3077&lt;&gt;"",IF(AND(#REF!="Padrão",$H$4=#REF!),BDI!$B$17,IF(AND(#REF!="Padrão",$H$4=#REF!),BDI!#REF!,IF(AND(#REF!="Diferenciado",$H$4=#REF!),BDI!$E$17,IF(AND(#REF!="Diferenciado",$H$4=#REF!),BDI!#REF!,IF(#REF!="ZERO",0))))),"")</f>
        <v>#REF!</v>
      </c>
      <c r="H3077" s="136" t="str">
        <f t="shared" si="163"/>
        <v/>
      </c>
      <c r="I3077" s="134" t="str">
        <f t="shared" si="164"/>
        <v/>
      </c>
      <c r="J3077" s="226"/>
    </row>
    <row r="3078" spans="1:10" hidden="1" x14ac:dyDescent="0.25">
      <c r="A3078" s="112" t="s">
        <v>7429</v>
      </c>
      <c r="B3078" s="113" t="s">
        <v>7430</v>
      </c>
      <c r="C3078" s="114" t="s">
        <v>20</v>
      </c>
      <c r="D3078" s="114">
        <v>0</v>
      </c>
      <c r="E3078" s="133" t="s">
        <v>514</v>
      </c>
      <c r="F3078" s="134" t="str">
        <f t="shared" si="162"/>
        <v/>
      </c>
      <c r="G3078" s="135" t="e">
        <f>IF(A3078&lt;&gt;"",IF(AND(#REF!="Padrão",$H$4=#REF!),BDI!$B$17,IF(AND(#REF!="Padrão",$H$4=#REF!),BDI!#REF!,IF(AND(#REF!="Diferenciado",$H$4=#REF!),BDI!$E$17,IF(AND(#REF!="Diferenciado",$H$4=#REF!),BDI!#REF!,IF(#REF!="ZERO",0))))),"")</f>
        <v>#REF!</v>
      </c>
      <c r="H3078" s="136" t="str">
        <f t="shared" si="163"/>
        <v/>
      </c>
      <c r="I3078" s="134" t="str">
        <f t="shared" si="164"/>
        <v/>
      </c>
      <c r="J3078" s="226"/>
    </row>
    <row r="3079" spans="1:10" hidden="1" x14ac:dyDescent="0.25">
      <c r="A3079" s="112" t="s">
        <v>7431</v>
      </c>
      <c r="B3079" s="113" t="s">
        <v>7432</v>
      </c>
      <c r="C3079" s="114" t="s">
        <v>20</v>
      </c>
      <c r="D3079" s="114">
        <v>0</v>
      </c>
      <c r="E3079" s="133" t="s">
        <v>514</v>
      </c>
      <c r="F3079" s="134" t="str">
        <f t="shared" si="162"/>
        <v/>
      </c>
      <c r="G3079" s="135" t="e">
        <f>IF(A3079&lt;&gt;"",IF(AND(#REF!="Padrão",$H$4=#REF!),BDI!$B$17,IF(AND(#REF!="Padrão",$H$4=#REF!),BDI!#REF!,IF(AND(#REF!="Diferenciado",$H$4=#REF!),BDI!$E$17,IF(AND(#REF!="Diferenciado",$H$4=#REF!),BDI!#REF!,IF(#REF!="ZERO",0))))),"")</f>
        <v>#REF!</v>
      </c>
      <c r="H3079" s="136" t="str">
        <f t="shared" si="163"/>
        <v/>
      </c>
      <c r="I3079" s="134" t="str">
        <f t="shared" si="164"/>
        <v/>
      </c>
      <c r="J3079" s="226"/>
    </row>
    <row r="3080" spans="1:10" hidden="1" x14ac:dyDescent="0.25">
      <c r="A3080" s="112" t="s">
        <v>7433</v>
      </c>
      <c r="B3080" s="113" t="s">
        <v>7434</v>
      </c>
      <c r="C3080" s="114" t="s">
        <v>1905</v>
      </c>
      <c r="D3080" s="114">
        <v>0</v>
      </c>
      <c r="E3080" s="133" t="s">
        <v>514</v>
      </c>
      <c r="F3080" s="134" t="str">
        <f t="shared" si="162"/>
        <v/>
      </c>
      <c r="G3080" s="135" t="e">
        <f>IF(A3080&lt;&gt;"",IF(AND(#REF!="Padrão",$H$4=#REF!),BDI!$B$17,IF(AND(#REF!="Padrão",$H$4=#REF!),BDI!#REF!,IF(AND(#REF!="Diferenciado",$H$4=#REF!),BDI!$E$17,IF(AND(#REF!="Diferenciado",$H$4=#REF!),BDI!#REF!,IF(#REF!="ZERO",0))))),"")</f>
        <v>#REF!</v>
      </c>
      <c r="H3080" s="136" t="str">
        <f t="shared" si="163"/>
        <v/>
      </c>
      <c r="I3080" s="134" t="str">
        <f t="shared" si="164"/>
        <v/>
      </c>
      <c r="J3080" s="226"/>
    </row>
    <row r="3081" spans="1:10" hidden="1" x14ac:dyDescent="0.25">
      <c r="A3081" s="112" t="s">
        <v>7435</v>
      </c>
      <c r="B3081" s="113" t="s">
        <v>7436</v>
      </c>
      <c r="C3081" s="114" t="s">
        <v>20</v>
      </c>
      <c r="D3081" s="114">
        <v>0</v>
      </c>
      <c r="E3081" s="133" t="s">
        <v>514</v>
      </c>
      <c r="F3081" s="134" t="str">
        <f t="shared" si="162"/>
        <v/>
      </c>
      <c r="G3081" s="135" t="e">
        <f>IF(A3081&lt;&gt;"",IF(AND(#REF!="Padrão",$H$4=#REF!),BDI!$B$17,IF(AND(#REF!="Padrão",$H$4=#REF!),BDI!#REF!,IF(AND(#REF!="Diferenciado",$H$4=#REF!),BDI!$E$17,IF(AND(#REF!="Diferenciado",$H$4=#REF!),BDI!#REF!,IF(#REF!="ZERO",0))))),"")</f>
        <v>#REF!</v>
      </c>
      <c r="H3081" s="136" t="str">
        <f t="shared" si="163"/>
        <v/>
      </c>
      <c r="I3081" s="134" t="str">
        <f t="shared" si="164"/>
        <v/>
      </c>
      <c r="J3081" s="226"/>
    </row>
    <row r="3082" spans="1:10" hidden="1" x14ac:dyDescent="0.25">
      <c r="A3082" s="112" t="s">
        <v>7437</v>
      </c>
      <c r="B3082" s="113" t="s">
        <v>7438</v>
      </c>
      <c r="C3082" s="114" t="s">
        <v>2651</v>
      </c>
      <c r="D3082" s="114">
        <v>0</v>
      </c>
      <c r="E3082" s="133" t="s">
        <v>514</v>
      </c>
      <c r="F3082" s="134" t="str">
        <f t="shared" si="162"/>
        <v/>
      </c>
      <c r="G3082" s="135" t="e">
        <f>IF(A3082&lt;&gt;"",IF(AND(#REF!="Padrão",$H$4=#REF!),BDI!$B$17,IF(AND(#REF!="Padrão",$H$4=#REF!),BDI!#REF!,IF(AND(#REF!="Diferenciado",$H$4=#REF!),BDI!$E$17,IF(AND(#REF!="Diferenciado",$H$4=#REF!),BDI!#REF!,IF(#REF!="ZERO",0))))),"")</f>
        <v>#REF!</v>
      </c>
      <c r="H3082" s="136" t="str">
        <f t="shared" si="163"/>
        <v/>
      </c>
      <c r="I3082" s="134" t="str">
        <f t="shared" si="164"/>
        <v/>
      </c>
      <c r="J3082" s="226"/>
    </row>
    <row r="3083" spans="1:10" hidden="1" x14ac:dyDescent="0.25">
      <c r="A3083" s="112" t="s">
        <v>7439</v>
      </c>
      <c r="B3083" s="113" t="s">
        <v>7440</v>
      </c>
      <c r="C3083" s="114" t="s">
        <v>2651</v>
      </c>
      <c r="D3083" s="114">
        <v>0</v>
      </c>
      <c r="E3083" s="133" t="s">
        <v>514</v>
      </c>
      <c r="F3083" s="134" t="str">
        <f t="shared" si="162"/>
        <v/>
      </c>
      <c r="G3083" s="135" t="e">
        <f>IF(A3083&lt;&gt;"",IF(AND(#REF!="Padrão",$H$4=#REF!),BDI!$B$17,IF(AND(#REF!="Padrão",$H$4=#REF!),BDI!#REF!,IF(AND(#REF!="Diferenciado",$H$4=#REF!),BDI!$E$17,IF(AND(#REF!="Diferenciado",$H$4=#REF!),BDI!#REF!,IF(#REF!="ZERO",0))))),"")</f>
        <v>#REF!</v>
      </c>
      <c r="H3083" s="136" t="str">
        <f t="shared" si="163"/>
        <v/>
      </c>
      <c r="I3083" s="134" t="str">
        <f t="shared" si="164"/>
        <v/>
      </c>
      <c r="J3083" s="226"/>
    </row>
    <row r="3084" spans="1:10" hidden="1" x14ac:dyDescent="0.25">
      <c r="A3084" s="112" t="s">
        <v>7441</v>
      </c>
      <c r="B3084" s="113" t="s">
        <v>7442</v>
      </c>
      <c r="C3084" s="114" t="s">
        <v>20</v>
      </c>
      <c r="D3084" s="114">
        <v>0</v>
      </c>
      <c r="E3084" s="133" t="s">
        <v>514</v>
      </c>
      <c r="F3084" s="134" t="str">
        <f t="shared" si="162"/>
        <v/>
      </c>
      <c r="G3084" s="135" t="e">
        <f>IF(A3084&lt;&gt;"",IF(AND(#REF!="Padrão",$H$4=#REF!),BDI!$B$17,IF(AND(#REF!="Padrão",$H$4=#REF!),BDI!#REF!,IF(AND(#REF!="Diferenciado",$H$4=#REF!),BDI!$E$17,IF(AND(#REF!="Diferenciado",$H$4=#REF!),BDI!#REF!,IF(#REF!="ZERO",0))))),"")</f>
        <v>#REF!</v>
      </c>
      <c r="H3084" s="136" t="str">
        <f t="shared" si="163"/>
        <v/>
      </c>
      <c r="I3084" s="134" t="str">
        <f t="shared" si="164"/>
        <v/>
      </c>
      <c r="J3084" s="226"/>
    </row>
    <row r="3085" spans="1:10" hidden="1" x14ac:dyDescent="0.25">
      <c r="A3085" s="112" t="s">
        <v>7443</v>
      </c>
      <c r="B3085" s="113" t="s">
        <v>7444</v>
      </c>
      <c r="C3085" s="114" t="s">
        <v>2651</v>
      </c>
      <c r="D3085" s="114">
        <v>0</v>
      </c>
      <c r="E3085" s="133" t="s">
        <v>514</v>
      </c>
      <c r="F3085" s="134" t="str">
        <f t="shared" si="162"/>
        <v/>
      </c>
      <c r="G3085" s="135" t="e">
        <f>IF(A3085&lt;&gt;"",IF(AND(#REF!="Padrão",$H$4=#REF!),BDI!$B$17,IF(AND(#REF!="Padrão",$H$4=#REF!),BDI!#REF!,IF(AND(#REF!="Diferenciado",$H$4=#REF!),BDI!$E$17,IF(AND(#REF!="Diferenciado",$H$4=#REF!),BDI!#REF!,IF(#REF!="ZERO",0))))),"")</f>
        <v>#REF!</v>
      </c>
      <c r="H3085" s="136" t="str">
        <f t="shared" si="163"/>
        <v/>
      </c>
      <c r="I3085" s="134" t="str">
        <f t="shared" si="164"/>
        <v/>
      </c>
      <c r="J3085" s="226"/>
    </row>
    <row r="3086" spans="1:10" hidden="1" x14ac:dyDescent="0.25">
      <c r="A3086" s="112" t="s">
        <v>7445</v>
      </c>
      <c r="B3086" s="113" t="s">
        <v>7446</v>
      </c>
      <c r="C3086" s="114" t="s">
        <v>92</v>
      </c>
      <c r="D3086" s="114">
        <v>0</v>
      </c>
      <c r="E3086" s="133" t="s">
        <v>514</v>
      </c>
      <c r="F3086" s="134" t="str">
        <f t="shared" si="162"/>
        <v/>
      </c>
      <c r="G3086" s="135" t="e">
        <f>IF(A3086&lt;&gt;"",IF(AND(#REF!="Padrão",$H$4=#REF!),BDI!$B$17,IF(AND(#REF!="Padrão",$H$4=#REF!),BDI!#REF!,IF(AND(#REF!="Diferenciado",$H$4=#REF!),BDI!$E$17,IF(AND(#REF!="Diferenciado",$H$4=#REF!),BDI!#REF!,IF(#REF!="ZERO",0))))),"")</f>
        <v>#REF!</v>
      </c>
      <c r="H3086" s="136" t="str">
        <f t="shared" si="163"/>
        <v/>
      </c>
      <c r="I3086" s="134" t="str">
        <f t="shared" si="164"/>
        <v/>
      </c>
      <c r="J3086" s="226"/>
    </row>
    <row r="3087" spans="1:10" hidden="1" x14ac:dyDescent="0.25">
      <c r="A3087" s="112" t="s">
        <v>7447</v>
      </c>
      <c r="B3087" s="113" t="s">
        <v>7448</v>
      </c>
      <c r="C3087" s="114" t="s">
        <v>20</v>
      </c>
      <c r="D3087" s="114">
        <v>0</v>
      </c>
      <c r="E3087" s="133" t="s">
        <v>514</v>
      </c>
      <c r="F3087" s="134" t="str">
        <f t="shared" si="162"/>
        <v/>
      </c>
      <c r="G3087" s="135" t="e">
        <f>IF(A3087&lt;&gt;"",IF(AND(#REF!="Padrão",$H$4=#REF!),BDI!$B$17,IF(AND(#REF!="Padrão",$H$4=#REF!),BDI!#REF!,IF(AND(#REF!="Diferenciado",$H$4=#REF!),BDI!$E$17,IF(AND(#REF!="Diferenciado",$H$4=#REF!),BDI!#REF!,IF(#REF!="ZERO",0))))),"")</f>
        <v>#REF!</v>
      </c>
      <c r="H3087" s="136" t="str">
        <f t="shared" si="163"/>
        <v/>
      </c>
      <c r="I3087" s="134" t="str">
        <f t="shared" si="164"/>
        <v/>
      </c>
      <c r="J3087" s="226"/>
    </row>
    <row r="3088" spans="1:10" hidden="1" x14ac:dyDescent="0.25">
      <c r="A3088" s="112" t="s">
        <v>7449</v>
      </c>
      <c r="B3088" s="113" t="s">
        <v>7450</v>
      </c>
      <c r="C3088" s="114" t="s">
        <v>20</v>
      </c>
      <c r="D3088" s="114">
        <v>0</v>
      </c>
      <c r="E3088" s="133" t="s">
        <v>514</v>
      </c>
      <c r="F3088" s="134" t="str">
        <f t="shared" si="162"/>
        <v/>
      </c>
      <c r="G3088" s="135" t="e">
        <f>IF(A3088&lt;&gt;"",IF(AND(#REF!="Padrão",$H$4=#REF!),BDI!$B$17,IF(AND(#REF!="Padrão",$H$4=#REF!),BDI!#REF!,IF(AND(#REF!="Diferenciado",$H$4=#REF!),BDI!$E$17,IF(AND(#REF!="Diferenciado",$H$4=#REF!),BDI!#REF!,IF(#REF!="ZERO",0))))),"")</f>
        <v>#REF!</v>
      </c>
      <c r="H3088" s="136" t="str">
        <f t="shared" si="163"/>
        <v/>
      </c>
      <c r="I3088" s="134" t="str">
        <f t="shared" si="164"/>
        <v/>
      </c>
      <c r="J3088" s="226"/>
    </row>
    <row r="3089" spans="1:10" hidden="1" x14ac:dyDescent="0.25">
      <c r="A3089" s="112" t="s">
        <v>7451</v>
      </c>
      <c r="B3089" s="113" t="s">
        <v>7452</v>
      </c>
      <c r="C3089" s="114" t="s">
        <v>2444</v>
      </c>
      <c r="D3089" s="114">
        <v>0</v>
      </c>
      <c r="E3089" s="133">
        <f ca="1">OFFSET(INDEX(Composições!A:J,MATCH(Orçamentária!A3089,Composições!A:A,0),8),2,0)</f>
        <v>11425.6770256</v>
      </c>
      <c r="F3089" s="134">
        <f t="shared" ca="1" si="162"/>
        <v>0</v>
      </c>
      <c r="G3089" s="135" t="e">
        <f>IF(A3089&lt;&gt;"",IF(AND(#REF!="Padrão",$H$4=#REF!),BDI!$B$17,IF(AND(#REF!="Padrão",$H$4=#REF!),BDI!#REF!,IF(AND(#REF!="Diferenciado",$H$4=#REF!),BDI!$E$17,IF(AND(#REF!="Diferenciado",$H$4=#REF!),BDI!#REF!,IF(#REF!="ZERO",0))))),"")</f>
        <v>#REF!</v>
      </c>
      <c r="H3089" s="136" t="e">
        <f t="shared" ca="1" si="163"/>
        <v>#REF!</v>
      </c>
      <c r="I3089" s="134" t="e">
        <f t="shared" ca="1" si="164"/>
        <v>#REF!</v>
      </c>
      <c r="J3089" s="226"/>
    </row>
    <row r="3090" spans="1:10" hidden="1" x14ac:dyDescent="0.25">
      <c r="A3090" s="112" t="s">
        <v>7453</v>
      </c>
      <c r="B3090" s="113" t="s">
        <v>7454</v>
      </c>
      <c r="C3090" s="114" t="s">
        <v>2444</v>
      </c>
      <c r="D3090" s="114">
        <v>0</v>
      </c>
      <c r="E3090" s="133">
        <f ca="1">OFFSET(INDEX(Composições!A:J,MATCH(Orçamentária!A3090,Composições!A:A,0),8),2,0)</f>
        <v>11425.6770256</v>
      </c>
      <c r="F3090" s="134">
        <f t="shared" ca="1" si="162"/>
        <v>0</v>
      </c>
      <c r="G3090" s="135" t="e">
        <f>IF(A3090&lt;&gt;"",IF(AND(#REF!="Padrão",$H$4=#REF!),BDI!$B$17,IF(AND(#REF!="Padrão",$H$4=#REF!),BDI!#REF!,IF(AND(#REF!="Diferenciado",$H$4=#REF!),BDI!$E$17,IF(AND(#REF!="Diferenciado",$H$4=#REF!),BDI!#REF!,IF(#REF!="ZERO",0))))),"")</f>
        <v>#REF!</v>
      </c>
      <c r="H3090" s="136" t="e">
        <f t="shared" ca="1" si="163"/>
        <v>#REF!</v>
      </c>
      <c r="I3090" s="134" t="e">
        <f t="shared" ca="1" si="164"/>
        <v>#REF!</v>
      </c>
      <c r="J3090" s="226"/>
    </row>
    <row r="3091" spans="1:10" hidden="1" x14ac:dyDescent="0.25">
      <c r="A3091" s="112" t="s">
        <v>7455</v>
      </c>
      <c r="B3091" s="113" t="s">
        <v>7456</v>
      </c>
      <c r="C3091" s="114" t="s">
        <v>2444</v>
      </c>
      <c r="D3091" s="114">
        <v>0</v>
      </c>
      <c r="E3091" s="133">
        <f ca="1">OFFSET(INDEX(Composições!A:J,MATCH(Orçamentária!A3091,Composições!A:A,0),8),2,0)</f>
        <v>2122.4229433</v>
      </c>
      <c r="F3091" s="134">
        <f t="shared" ca="1" si="162"/>
        <v>0</v>
      </c>
      <c r="G3091" s="135" t="e">
        <f>IF(A3091&lt;&gt;"",IF(AND(#REF!="Padrão",$H$4=#REF!),BDI!$B$17,IF(AND(#REF!="Padrão",$H$4=#REF!),BDI!#REF!,IF(AND(#REF!="Diferenciado",$H$4=#REF!),BDI!$E$17,IF(AND(#REF!="Diferenciado",$H$4=#REF!),BDI!#REF!,IF(#REF!="ZERO",0))))),"")</f>
        <v>#REF!</v>
      </c>
      <c r="H3091" s="136" t="e">
        <f t="shared" ca="1" si="163"/>
        <v>#REF!</v>
      </c>
      <c r="I3091" s="134" t="e">
        <f t="shared" ca="1" si="164"/>
        <v>#REF!</v>
      </c>
      <c r="J3091" s="226"/>
    </row>
    <row r="3092" spans="1:10" hidden="1" x14ac:dyDescent="0.25">
      <c r="A3092" s="112" t="s">
        <v>7457</v>
      </c>
      <c r="B3092" s="113" t="s">
        <v>7458</v>
      </c>
      <c r="C3092" s="114" t="s">
        <v>2444</v>
      </c>
      <c r="D3092" s="114">
        <v>0</v>
      </c>
      <c r="E3092" s="133">
        <f ca="1">OFFSET(INDEX(Composições!A:J,MATCH(Orçamentária!A3092,Composições!A:A,0),8),2,0)</f>
        <v>2544.1227220999999</v>
      </c>
      <c r="F3092" s="134">
        <f t="shared" ca="1" si="162"/>
        <v>0</v>
      </c>
      <c r="G3092" s="135" t="e">
        <f>IF(A3092&lt;&gt;"",IF(AND(#REF!="Padrão",$H$4=#REF!),BDI!$B$17,IF(AND(#REF!="Padrão",$H$4=#REF!),BDI!#REF!,IF(AND(#REF!="Diferenciado",$H$4=#REF!),BDI!$E$17,IF(AND(#REF!="Diferenciado",$H$4=#REF!),BDI!#REF!,IF(#REF!="ZERO",0))))),"")</f>
        <v>#REF!</v>
      </c>
      <c r="H3092" s="136" t="e">
        <f t="shared" ca="1" si="163"/>
        <v>#REF!</v>
      </c>
      <c r="I3092" s="134" t="e">
        <f t="shared" ca="1" si="164"/>
        <v>#REF!</v>
      </c>
      <c r="J3092" s="226"/>
    </row>
    <row r="3093" spans="1:10" hidden="1" x14ac:dyDescent="0.25">
      <c r="A3093" s="112" t="s">
        <v>7459</v>
      </c>
      <c r="B3093" s="113" t="s">
        <v>7460</v>
      </c>
      <c r="C3093" s="114" t="s">
        <v>2444</v>
      </c>
      <c r="D3093" s="114">
        <v>0</v>
      </c>
      <c r="E3093" s="133">
        <f ca="1">OFFSET(INDEX(Composições!A:J,MATCH(Orçamentária!A3093,Composições!A:A,0),8),2,0)</f>
        <v>1254.1590119499997</v>
      </c>
      <c r="F3093" s="134">
        <f t="shared" ca="1" si="162"/>
        <v>0</v>
      </c>
      <c r="G3093" s="135" t="e">
        <f>IF(A3093&lt;&gt;"",IF(AND(#REF!="Padrão",$H$4=#REF!),BDI!$B$17,IF(AND(#REF!="Padrão",$H$4=#REF!),BDI!#REF!,IF(AND(#REF!="Diferenciado",$H$4=#REF!),BDI!$E$17,IF(AND(#REF!="Diferenciado",$H$4=#REF!),BDI!#REF!,IF(#REF!="ZERO",0))))),"")</f>
        <v>#REF!</v>
      </c>
      <c r="H3093" s="136" t="e">
        <f t="shared" ca="1" si="163"/>
        <v>#REF!</v>
      </c>
      <c r="I3093" s="134" t="e">
        <f t="shared" ca="1" si="164"/>
        <v>#REF!</v>
      </c>
      <c r="J3093" s="226"/>
    </row>
    <row r="3094" spans="1:10" hidden="1" x14ac:dyDescent="0.25">
      <c r="A3094" s="112" t="s">
        <v>7461</v>
      </c>
      <c r="B3094" s="113" t="s">
        <v>7462</v>
      </c>
      <c r="C3094" s="114" t="s">
        <v>2444</v>
      </c>
      <c r="D3094" s="114">
        <v>0</v>
      </c>
      <c r="E3094" s="133">
        <f ca="1">OFFSET(INDEX(Composições!A:J,MATCH(Orçamentária!A3094,Composições!A:A,0),8),2,0)</f>
        <v>2544.1227220999999</v>
      </c>
      <c r="F3094" s="134">
        <f t="shared" ca="1" si="162"/>
        <v>0</v>
      </c>
      <c r="G3094" s="135" t="e">
        <f>IF(A3094&lt;&gt;"",IF(AND(#REF!="Padrão",$H$4=#REF!),BDI!$B$17,IF(AND(#REF!="Padrão",$H$4=#REF!),BDI!#REF!,IF(AND(#REF!="Diferenciado",$H$4=#REF!),BDI!$E$17,IF(AND(#REF!="Diferenciado",$H$4=#REF!),BDI!#REF!,IF(#REF!="ZERO",0))))),"")</f>
        <v>#REF!</v>
      </c>
      <c r="H3094" s="136" t="e">
        <f t="shared" ca="1" si="163"/>
        <v>#REF!</v>
      </c>
      <c r="I3094" s="134" t="e">
        <f t="shared" ca="1" si="164"/>
        <v>#REF!</v>
      </c>
      <c r="J3094" s="226"/>
    </row>
    <row r="3095" spans="1:10" hidden="1" x14ac:dyDescent="0.25">
      <c r="A3095" s="112" t="s">
        <v>7463</v>
      </c>
      <c r="B3095" s="113" t="s">
        <v>7464</v>
      </c>
      <c r="C3095" s="114" t="s">
        <v>2444</v>
      </c>
      <c r="D3095" s="114">
        <v>0</v>
      </c>
      <c r="E3095" s="133">
        <f ca="1">OFFSET(INDEX(Composições!A:J,MATCH(Orçamentária!A3095,Composições!A:A,0),8),2,0)</f>
        <v>2544.1227220999999</v>
      </c>
      <c r="F3095" s="134">
        <f t="shared" ref="F3095:F3119" ca="1" si="165">IF(ISNUMBER(E3095),D3095*E3095,"")</f>
        <v>0</v>
      </c>
      <c r="G3095" s="135" t="e">
        <f>IF(A3095&lt;&gt;"",IF(AND(#REF!="Padrão",$H$4=#REF!),BDI!$B$17,IF(AND(#REF!="Padrão",$H$4=#REF!),BDI!#REF!,IF(AND(#REF!="Diferenciado",$H$4=#REF!),BDI!$E$17,IF(AND(#REF!="Diferenciado",$H$4=#REF!),BDI!#REF!,IF(#REF!="ZERO",0))))),"")</f>
        <v>#REF!</v>
      </c>
      <c r="H3095" s="136" t="e">
        <f t="shared" ref="H3095:H3119" ca="1" si="166">IF(ISNUMBER(E3095),ROUND(E3095*(1+G3095),2),"")</f>
        <v>#REF!</v>
      </c>
      <c r="I3095" s="134" t="e">
        <f t="shared" ref="I3095:I3119" ca="1" si="167">IF(ISNUMBER(E3095),ROUND(H3095*D3095,2),"")</f>
        <v>#REF!</v>
      </c>
      <c r="J3095" s="226"/>
    </row>
    <row r="3096" spans="1:10" hidden="1" x14ac:dyDescent="0.25">
      <c r="A3096" s="112" t="s">
        <v>7465</v>
      </c>
      <c r="B3096" s="113" t="s">
        <v>7466</v>
      </c>
      <c r="C3096" s="114" t="s">
        <v>2444</v>
      </c>
      <c r="D3096" s="114">
        <v>0</v>
      </c>
      <c r="E3096" s="133">
        <f ca="1">OFFSET(INDEX(Composições!A:J,MATCH(Orçamentária!A3096,Composições!A:A,0),8),2,0)</f>
        <v>1999.0956494999998</v>
      </c>
      <c r="F3096" s="134">
        <f t="shared" ca="1" si="165"/>
        <v>0</v>
      </c>
      <c r="G3096" s="135" t="e">
        <f>IF(A3096&lt;&gt;"",IF(AND(#REF!="Padrão",$H$4=#REF!),BDI!$B$17,IF(AND(#REF!="Padrão",$H$4=#REF!),BDI!#REF!,IF(AND(#REF!="Diferenciado",$H$4=#REF!),BDI!$E$17,IF(AND(#REF!="Diferenciado",$H$4=#REF!),BDI!#REF!,IF(#REF!="ZERO",0))))),"")</f>
        <v>#REF!</v>
      </c>
      <c r="H3096" s="136" t="e">
        <f t="shared" ca="1" si="166"/>
        <v>#REF!</v>
      </c>
      <c r="I3096" s="134" t="e">
        <f t="shared" ca="1" si="167"/>
        <v>#REF!</v>
      </c>
      <c r="J3096" s="226"/>
    </row>
    <row r="3097" spans="1:10" hidden="1" x14ac:dyDescent="0.25">
      <c r="A3097" s="112" t="s">
        <v>7467</v>
      </c>
      <c r="B3097" s="113" t="s">
        <v>7468</v>
      </c>
      <c r="C3097" s="114" t="s">
        <v>2444</v>
      </c>
      <c r="D3097" s="114">
        <v>0</v>
      </c>
      <c r="E3097" s="133">
        <f ca="1">OFFSET(INDEX(Composições!A:J,MATCH(Orçamentária!A3097,Composições!A:A,0),8),2,0)</f>
        <v>1999.0956494999998</v>
      </c>
      <c r="F3097" s="134">
        <f t="shared" ca="1" si="165"/>
        <v>0</v>
      </c>
      <c r="G3097" s="135" t="e">
        <f>IF(A3097&lt;&gt;"",IF(AND(#REF!="Padrão",$H$4=#REF!),BDI!$B$17,IF(AND(#REF!="Padrão",$H$4=#REF!),BDI!#REF!,IF(AND(#REF!="Diferenciado",$H$4=#REF!),BDI!$E$17,IF(AND(#REF!="Diferenciado",$H$4=#REF!),BDI!#REF!,IF(#REF!="ZERO",0))))),"")</f>
        <v>#REF!</v>
      </c>
      <c r="H3097" s="136" t="e">
        <f t="shared" ca="1" si="166"/>
        <v>#REF!</v>
      </c>
      <c r="I3097" s="134" t="e">
        <f t="shared" ca="1" si="167"/>
        <v>#REF!</v>
      </c>
      <c r="J3097" s="226"/>
    </row>
    <row r="3098" spans="1:10" hidden="1" x14ac:dyDescent="0.25">
      <c r="A3098" s="112" t="s">
        <v>7469</v>
      </c>
      <c r="B3098" s="113" t="s">
        <v>7470</v>
      </c>
      <c r="C3098" s="114" t="s">
        <v>2444</v>
      </c>
      <c r="D3098" s="114">
        <v>0</v>
      </c>
      <c r="E3098" s="133">
        <f ca="1">OFFSET(INDEX(Composições!A:J,MATCH(Orçamentária!A3098,Composições!A:A,0),8),2,0)</f>
        <v>1999.0956494999998</v>
      </c>
      <c r="F3098" s="134">
        <f t="shared" ca="1" si="165"/>
        <v>0</v>
      </c>
      <c r="G3098" s="135" t="e">
        <f>IF(A3098&lt;&gt;"",IF(AND(#REF!="Padrão",$H$4=#REF!),BDI!$B$17,IF(AND(#REF!="Padrão",$H$4=#REF!),BDI!#REF!,IF(AND(#REF!="Diferenciado",$H$4=#REF!),BDI!$E$17,IF(AND(#REF!="Diferenciado",$H$4=#REF!),BDI!#REF!,IF(#REF!="ZERO",0))))),"")</f>
        <v>#REF!</v>
      </c>
      <c r="H3098" s="136" t="e">
        <f t="shared" ca="1" si="166"/>
        <v>#REF!</v>
      </c>
      <c r="I3098" s="134" t="e">
        <f t="shared" ca="1" si="167"/>
        <v>#REF!</v>
      </c>
      <c r="J3098" s="226"/>
    </row>
    <row r="3099" spans="1:10" hidden="1" x14ac:dyDescent="0.25">
      <c r="A3099" s="112" t="s">
        <v>7471</v>
      </c>
      <c r="B3099" s="113" t="s">
        <v>7472</v>
      </c>
      <c r="C3099" s="114" t="s">
        <v>20</v>
      </c>
      <c r="D3099" s="114">
        <v>0</v>
      </c>
      <c r="E3099" s="133" t="s">
        <v>514</v>
      </c>
      <c r="F3099" s="134" t="str">
        <f t="shared" si="165"/>
        <v/>
      </c>
      <c r="G3099" s="135" t="e">
        <f>IF(A3099&lt;&gt;"",IF(AND(#REF!="Padrão",$H$4=#REF!),BDI!$B$17,IF(AND(#REF!="Padrão",$H$4=#REF!),BDI!#REF!,IF(AND(#REF!="Diferenciado",$H$4=#REF!),BDI!$E$17,IF(AND(#REF!="Diferenciado",$H$4=#REF!),BDI!#REF!,IF(#REF!="ZERO",0))))),"")</f>
        <v>#REF!</v>
      </c>
      <c r="H3099" s="136" t="str">
        <f t="shared" si="166"/>
        <v/>
      </c>
      <c r="I3099" s="134" t="str">
        <f t="shared" si="167"/>
        <v/>
      </c>
      <c r="J3099" s="226"/>
    </row>
    <row r="3100" spans="1:10" hidden="1" x14ac:dyDescent="0.25">
      <c r="A3100" s="112" t="s">
        <v>7473</v>
      </c>
      <c r="B3100" s="113" t="s">
        <v>7474</v>
      </c>
      <c r="C3100" s="114" t="s">
        <v>20</v>
      </c>
      <c r="D3100" s="114">
        <v>0</v>
      </c>
      <c r="E3100" s="133">
        <f ca="1">OFFSET(INDEX(Composições!A:J,MATCH(Orçamentária!A3100,Composições!A:A,0),8),2,0)</f>
        <v>631.76900000000001</v>
      </c>
      <c r="F3100" s="134">
        <f t="shared" ca="1" si="165"/>
        <v>0</v>
      </c>
      <c r="G3100" s="135" t="e">
        <f>IF(A3100&lt;&gt;"",IF(AND(#REF!="Padrão",$H$4=#REF!),BDI!$B$17,IF(AND(#REF!="Padrão",$H$4=#REF!),BDI!#REF!,IF(AND(#REF!="Diferenciado",$H$4=#REF!),BDI!$E$17,IF(AND(#REF!="Diferenciado",$H$4=#REF!),BDI!#REF!,IF(#REF!="ZERO",0))))),"")</f>
        <v>#REF!</v>
      </c>
      <c r="H3100" s="136" t="e">
        <f t="shared" ca="1" si="166"/>
        <v>#REF!</v>
      </c>
      <c r="I3100" s="134" t="e">
        <f t="shared" ca="1" si="167"/>
        <v>#REF!</v>
      </c>
      <c r="J3100" s="226"/>
    </row>
    <row r="3101" spans="1:10" hidden="1" x14ac:dyDescent="0.25">
      <c r="A3101" s="112" t="s">
        <v>7475</v>
      </c>
      <c r="B3101" s="113" t="s">
        <v>7476</v>
      </c>
      <c r="C3101" s="114" t="s">
        <v>20</v>
      </c>
      <c r="D3101" s="114">
        <v>0</v>
      </c>
      <c r="E3101" s="133">
        <f ca="1">OFFSET(INDEX(Composições!A:J,MATCH(Orçamentária!A3101,Composições!A:A,0),8),2,0)</f>
        <v>161.44299999999998</v>
      </c>
      <c r="F3101" s="134">
        <f t="shared" ca="1" si="165"/>
        <v>0</v>
      </c>
      <c r="G3101" s="135" t="e">
        <f>IF(A3101&lt;&gt;"",IF(AND(#REF!="Padrão",$H$4=#REF!),BDI!$B$17,IF(AND(#REF!="Padrão",$H$4=#REF!),BDI!#REF!,IF(AND(#REF!="Diferenciado",$H$4=#REF!),BDI!$E$17,IF(AND(#REF!="Diferenciado",$H$4=#REF!),BDI!#REF!,IF(#REF!="ZERO",0))))),"")</f>
        <v>#REF!</v>
      </c>
      <c r="H3101" s="136" t="e">
        <f t="shared" ca="1" si="166"/>
        <v>#REF!</v>
      </c>
      <c r="I3101" s="134" t="e">
        <f t="shared" ca="1" si="167"/>
        <v>#REF!</v>
      </c>
      <c r="J3101" s="226"/>
    </row>
    <row r="3102" spans="1:10" hidden="1" x14ac:dyDescent="0.25">
      <c r="A3102" s="112" t="s">
        <v>7477</v>
      </c>
      <c r="B3102" s="113" t="s">
        <v>7478</v>
      </c>
      <c r="C3102" s="114" t="s">
        <v>20</v>
      </c>
      <c r="D3102" s="114">
        <v>0</v>
      </c>
      <c r="E3102" s="133" t="s">
        <v>514</v>
      </c>
      <c r="F3102" s="134" t="str">
        <f t="shared" si="165"/>
        <v/>
      </c>
      <c r="G3102" s="135" t="e">
        <f>IF(A3102&lt;&gt;"",IF(AND(#REF!="Padrão",$H$4=#REF!),BDI!$B$17,IF(AND(#REF!="Padrão",$H$4=#REF!),BDI!#REF!,IF(AND(#REF!="Diferenciado",$H$4=#REF!),BDI!$E$17,IF(AND(#REF!="Diferenciado",$H$4=#REF!),BDI!#REF!,IF(#REF!="ZERO",0))))),"")</f>
        <v>#REF!</v>
      </c>
      <c r="H3102" s="136" t="str">
        <f t="shared" si="166"/>
        <v/>
      </c>
      <c r="I3102" s="134" t="str">
        <f t="shared" si="167"/>
        <v/>
      </c>
      <c r="J3102" s="226"/>
    </row>
    <row r="3103" spans="1:10" hidden="1" x14ac:dyDescent="0.25">
      <c r="A3103" s="112" t="s">
        <v>7479</v>
      </c>
      <c r="B3103" s="113" t="s">
        <v>7480</v>
      </c>
      <c r="C3103" s="114" t="s">
        <v>20</v>
      </c>
      <c r="D3103" s="114">
        <v>0</v>
      </c>
      <c r="E3103" s="133" t="s">
        <v>514</v>
      </c>
      <c r="F3103" s="134" t="str">
        <f t="shared" si="165"/>
        <v/>
      </c>
      <c r="G3103" s="135" t="e">
        <f>IF(A3103&lt;&gt;"",IF(AND(#REF!="Padrão",$H$4=#REF!),BDI!$B$17,IF(AND(#REF!="Padrão",$H$4=#REF!),BDI!#REF!,IF(AND(#REF!="Diferenciado",$H$4=#REF!),BDI!$E$17,IF(AND(#REF!="Diferenciado",$H$4=#REF!),BDI!#REF!,IF(#REF!="ZERO",0))))),"")</f>
        <v>#REF!</v>
      </c>
      <c r="H3103" s="136" t="str">
        <f t="shared" si="166"/>
        <v/>
      </c>
      <c r="I3103" s="134" t="str">
        <f t="shared" si="167"/>
        <v/>
      </c>
      <c r="J3103" s="226"/>
    </row>
    <row r="3104" spans="1:10" hidden="1" x14ac:dyDescent="0.25">
      <c r="A3104" s="112" t="s">
        <v>7481</v>
      </c>
      <c r="B3104" s="113" t="s">
        <v>7482</v>
      </c>
      <c r="C3104" s="114" t="s">
        <v>20</v>
      </c>
      <c r="D3104" s="114">
        <v>0</v>
      </c>
      <c r="E3104" s="133" t="s">
        <v>514</v>
      </c>
      <c r="F3104" s="134" t="str">
        <f t="shared" si="165"/>
        <v/>
      </c>
      <c r="G3104" s="135" t="e">
        <f>IF(A3104&lt;&gt;"",IF(AND(#REF!="Padrão",$H$4=#REF!),BDI!$B$17,IF(AND(#REF!="Padrão",$H$4=#REF!),BDI!#REF!,IF(AND(#REF!="Diferenciado",$H$4=#REF!),BDI!$E$17,IF(AND(#REF!="Diferenciado",$H$4=#REF!),BDI!#REF!,IF(#REF!="ZERO",0))))),"")</f>
        <v>#REF!</v>
      </c>
      <c r="H3104" s="136" t="str">
        <f t="shared" si="166"/>
        <v/>
      </c>
      <c r="I3104" s="134" t="str">
        <f t="shared" si="167"/>
        <v/>
      </c>
      <c r="J3104" s="226"/>
    </row>
    <row r="3105" spans="1:10" hidden="1" x14ac:dyDescent="0.25">
      <c r="A3105" s="112" t="s">
        <v>7483</v>
      </c>
      <c r="B3105" s="113" t="s">
        <v>7484</v>
      </c>
      <c r="C3105" s="114" t="s">
        <v>20</v>
      </c>
      <c r="D3105" s="114">
        <v>0</v>
      </c>
      <c r="E3105" s="133" t="s">
        <v>514</v>
      </c>
      <c r="F3105" s="134" t="str">
        <f t="shared" si="165"/>
        <v/>
      </c>
      <c r="G3105" s="135" t="e">
        <f>IF(A3105&lt;&gt;"",IF(AND(#REF!="Padrão",$H$4=#REF!),BDI!$B$17,IF(AND(#REF!="Padrão",$H$4=#REF!),BDI!#REF!,IF(AND(#REF!="Diferenciado",$H$4=#REF!),BDI!$E$17,IF(AND(#REF!="Diferenciado",$H$4=#REF!),BDI!#REF!,IF(#REF!="ZERO",0))))),"")</f>
        <v>#REF!</v>
      </c>
      <c r="H3105" s="136" t="str">
        <f t="shared" si="166"/>
        <v/>
      </c>
      <c r="I3105" s="134" t="str">
        <f t="shared" si="167"/>
        <v/>
      </c>
      <c r="J3105" s="226"/>
    </row>
    <row r="3106" spans="1:10" hidden="1" x14ac:dyDescent="0.25">
      <c r="A3106" s="112" t="s">
        <v>7485</v>
      </c>
      <c r="B3106" s="113" t="s">
        <v>7486</v>
      </c>
      <c r="C3106" s="114" t="s">
        <v>20</v>
      </c>
      <c r="D3106" s="114">
        <v>0</v>
      </c>
      <c r="E3106" s="133" t="s">
        <v>514</v>
      </c>
      <c r="F3106" s="134" t="str">
        <f t="shared" si="165"/>
        <v/>
      </c>
      <c r="G3106" s="135" t="e">
        <f>IF(A3106&lt;&gt;"",IF(AND(#REF!="Padrão",$H$4=#REF!),BDI!$B$17,IF(AND(#REF!="Padrão",$H$4=#REF!),BDI!#REF!,IF(AND(#REF!="Diferenciado",$H$4=#REF!),BDI!$E$17,IF(AND(#REF!="Diferenciado",$H$4=#REF!),BDI!#REF!,IF(#REF!="ZERO",0))))),"")</f>
        <v>#REF!</v>
      </c>
      <c r="H3106" s="136" t="str">
        <f t="shared" si="166"/>
        <v/>
      </c>
      <c r="I3106" s="134" t="str">
        <f t="shared" si="167"/>
        <v/>
      </c>
      <c r="J3106" s="226"/>
    </row>
    <row r="3107" spans="1:10" hidden="1" x14ac:dyDescent="0.25">
      <c r="A3107" s="112" t="s">
        <v>7487</v>
      </c>
      <c r="B3107" s="113" t="s">
        <v>7488</v>
      </c>
      <c r="C3107" s="114" t="s">
        <v>20</v>
      </c>
      <c r="D3107" s="114">
        <v>0</v>
      </c>
      <c r="E3107" s="133" t="s">
        <v>514</v>
      </c>
      <c r="F3107" s="134" t="str">
        <f t="shared" si="165"/>
        <v/>
      </c>
      <c r="G3107" s="135" t="e">
        <f>IF(A3107&lt;&gt;"",IF(AND(#REF!="Padrão",$H$4=#REF!),BDI!$B$17,IF(AND(#REF!="Padrão",$H$4=#REF!),BDI!#REF!,IF(AND(#REF!="Diferenciado",$H$4=#REF!),BDI!$E$17,IF(AND(#REF!="Diferenciado",$H$4=#REF!),BDI!#REF!,IF(#REF!="ZERO",0))))),"")</f>
        <v>#REF!</v>
      </c>
      <c r="H3107" s="136" t="str">
        <f t="shared" si="166"/>
        <v/>
      </c>
      <c r="I3107" s="134" t="str">
        <f t="shared" si="167"/>
        <v/>
      </c>
      <c r="J3107" s="226"/>
    </row>
    <row r="3108" spans="1:10" hidden="1" x14ac:dyDescent="0.25">
      <c r="A3108" s="112" t="s">
        <v>7489</v>
      </c>
      <c r="B3108" s="113" t="s">
        <v>7490</v>
      </c>
      <c r="C3108" s="114" t="s">
        <v>20</v>
      </c>
      <c r="D3108" s="114">
        <v>0</v>
      </c>
      <c r="E3108" s="133" t="s">
        <v>514</v>
      </c>
      <c r="F3108" s="134" t="str">
        <f t="shared" si="165"/>
        <v/>
      </c>
      <c r="G3108" s="135" t="e">
        <f>IF(A3108&lt;&gt;"",IF(AND(#REF!="Padrão",$H$4=#REF!),BDI!$B$17,IF(AND(#REF!="Padrão",$H$4=#REF!),BDI!#REF!,IF(AND(#REF!="Diferenciado",$H$4=#REF!),BDI!$E$17,IF(AND(#REF!="Diferenciado",$H$4=#REF!),BDI!#REF!,IF(#REF!="ZERO",0))))),"")</f>
        <v>#REF!</v>
      </c>
      <c r="H3108" s="136" t="str">
        <f t="shared" si="166"/>
        <v/>
      </c>
      <c r="I3108" s="134" t="str">
        <f t="shared" si="167"/>
        <v/>
      </c>
      <c r="J3108" s="226"/>
    </row>
    <row r="3109" spans="1:10" hidden="1" x14ac:dyDescent="0.25">
      <c r="A3109" s="112" t="s">
        <v>7491</v>
      </c>
      <c r="B3109" s="113" t="s">
        <v>7492</v>
      </c>
      <c r="C3109" s="114" t="s">
        <v>20</v>
      </c>
      <c r="D3109" s="114">
        <v>0</v>
      </c>
      <c r="E3109" s="133" t="s">
        <v>514</v>
      </c>
      <c r="F3109" s="134" t="str">
        <f t="shared" si="165"/>
        <v/>
      </c>
      <c r="G3109" s="135" t="e">
        <f>IF(A3109&lt;&gt;"",IF(AND(#REF!="Padrão",$H$4=#REF!),BDI!$B$17,IF(AND(#REF!="Padrão",$H$4=#REF!),BDI!#REF!,IF(AND(#REF!="Diferenciado",$H$4=#REF!),BDI!$E$17,IF(AND(#REF!="Diferenciado",$H$4=#REF!),BDI!#REF!,IF(#REF!="ZERO",0))))),"")</f>
        <v>#REF!</v>
      </c>
      <c r="H3109" s="136" t="str">
        <f t="shared" si="166"/>
        <v/>
      </c>
      <c r="I3109" s="134" t="str">
        <f t="shared" si="167"/>
        <v/>
      </c>
      <c r="J3109" s="226"/>
    </row>
    <row r="3110" spans="1:10" hidden="1" x14ac:dyDescent="0.25">
      <c r="A3110" s="112" t="s">
        <v>7493</v>
      </c>
      <c r="B3110" s="113" t="s">
        <v>7494</v>
      </c>
      <c r="C3110" s="114" t="s">
        <v>20</v>
      </c>
      <c r="D3110" s="114">
        <v>0</v>
      </c>
      <c r="E3110" s="133" t="s">
        <v>514</v>
      </c>
      <c r="F3110" s="134" t="str">
        <f t="shared" si="165"/>
        <v/>
      </c>
      <c r="G3110" s="135" t="e">
        <f>IF(A3110&lt;&gt;"",IF(AND(#REF!="Padrão",$H$4=#REF!),BDI!$B$17,IF(AND(#REF!="Padrão",$H$4=#REF!),BDI!#REF!,IF(AND(#REF!="Diferenciado",$H$4=#REF!),BDI!$E$17,IF(AND(#REF!="Diferenciado",$H$4=#REF!),BDI!#REF!,IF(#REF!="ZERO",0))))),"")</f>
        <v>#REF!</v>
      </c>
      <c r="H3110" s="136" t="str">
        <f t="shared" si="166"/>
        <v/>
      </c>
      <c r="I3110" s="134" t="str">
        <f t="shared" si="167"/>
        <v/>
      </c>
      <c r="J3110" s="226"/>
    </row>
    <row r="3111" spans="1:10" hidden="1" x14ac:dyDescent="0.25">
      <c r="A3111" s="112" t="s">
        <v>7495</v>
      </c>
      <c r="B3111" s="113" t="s">
        <v>7496</v>
      </c>
      <c r="C3111" s="114" t="s">
        <v>20</v>
      </c>
      <c r="D3111" s="114">
        <v>0</v>
      </c>
      <c r="E3111" s="133" t="s">
        <v>514</v>
      </c>
      <c r="F3111" s="134" t="str">
        <f t="shared" si="165"/>
        <v/>
      </c>
      <c r="G3111" s="135" t="e">
        <f>IF(A3111&lt;&gt;"",IF(AND(#REF!="Padrão",$H$4=#REF!),BDI!$B$17,IF(AND(#REF!="Padrão",$H$4=#REF!),BDI!#REF!,IF(AND(#REF!="Diferenciado",$H$4=#REF!),BDI!$E$17,IF(AND(#REF!="Diferenciado",$H$4=#REF!),BDI!#REF!,IF(#REF!="ZERO",0))))),"")</f>
        <v>#REF!</v>
      </c>
      <c r="H3111" s="136" t="str">
        <f t="shared" si="166"/>
        <v/>
      </c>
      <c r="I3111" s="134" t="str">
        <f t="shared" si="167"/>
        <v/>
      </c>
      <c r="J3111" s="226"/>
    </row>
    <row r="3112" spans="1:10" hidden="1" x14ac:dyDescent="0.25">
      <c r="A3112" s="112" t="s">
        <v>7497</v>
      </c>
      <c r="B3112" s="113" t="s">
        <v>7498</v>
      </c>
      <c r="C3112" s="114" t="s">
        <v>20</v>
      </c>
      <c r="D3112" s="114">
        <v>0</v>
      </c>
      <c r="E3112" s="133" t="s">
        <v>514</v>
      </c>
      <c r="F3112" s="134" t="str">
        <f t="shared" si="165"/>
        <v/>
      </c>
      <c r="G3112" s="135" t="e">
        <f>IF(A3112&lt;&gt;"",IF(AND(#REF!="Padrão",$H$4=#REF!),BDI!$B$17,IF(AND(#REF!="Padrão",$H$4=#REF!),BDI!#REF!,IF(AND(#REF!="Diferenciado",$H$4=#REF!),BDI!$E$17,IF(AND(#REF!="Diferenciado",$H$4=#REF!),BDI!#REF!,IF(#REF!="ZERO",0))))),"")</f>
        <v>#REF!</v>
      </c>
      <c r="H3112" s="136" t="str">
        <f t="shared" si="166"/>
        <v/>
      </c>
      <c r="I3112" s="134" t="str">
        <f t="shared" si="167"/>
        <v/>
      </c>
      <c r="J3112" s="226"/>
    </row>
    <row r="3113" spans="1:10" hidden="1" x14ac:dyDescent="0.25">
      <c r="A3113" s="112" t="s">
        <v>7499</v>
      </c>
      <c r="B3113" s="113" t="s">
        <v>7500</v>
      </c>
      <c r="C3113" s="114" t="s">
        <v>20</v>
      </c>
      <c r="D3113" s="114">
        <v>0</v>
      </c>
      <c r="E3113" s="133" t="s">
        <v>514</v>
      </c>
      <c r="F3113" s="134" t="str">
        <f t="shared" si="165"/>
        <v/>
      </c>
      <c r="G3113" s="135" t="e">
        <f>IF(A3113&lt;&gt;"",IF(AND(#REF!="Padrão",$H$4=#REF!),BDI!$B$17,IF(AND(#REF!="Padrão",$H$4=#REF!),BDI!#REF!,IF(AND(#REF!="Diferenciado",$H$4=#REF!),BDI!$E$17,IF(AND(#REF!="Diferenciado",$H$4=#REF!),BDI!#REF!,IF(#REF!="ZERO",0))))),"")</f>
        <v>#REF!</v>
      </c>
      <c r="H3113" s="136" t="str">
        <f t="shared" si="166"/>
        <v/>
      </c>
      <c r="I3113" s="134" t="str">
        <f t="shared" si="167"/>
        <v/>
      </c>
      <c r="J3113" s="226"/>
    </row>
    <row r="3114" spans="1:10" hidden="1" x14ac:dyDescent="0.25">
      <c r="A3114" s="112" t="s">
        <v>7501</v>
      </c>
      <c r="B3114" s="113" t="s">
        <v>7502</v>
      </c>
      <c r="C3114" s="114" t="s">
        <v>20</v>
      </c>
      <c r="D3114" s="114">
        <v>0</v>
      </c>
      <c r="E3114" s="133" t="s">
        <v>514</v>
      </c>
      <c r="F3114" s="134" t="str">
        <f t="shared" si="165"/>
        <v/>
      </c>
      <c r="G3114" s="135" t="e">
        <f>IF(A3114&lt;&gt;"",IF(AND(#REF!="Padrão",$H$4=#REF!),BDI!$B$17,IF(AND(#REF!="Padrão",$H$4=#REF!),BDI!#REF!,IF(AND(#REF!="Diferenciado",$H$4=#REF!),BDI!$E$17,IF(AND(#REF!="Diferenciado",$H$4=#REF!),BDI!#REF!,IF(#REF!="ZERO",0))))),"")</f>
        <v>#REF!</v>
      </c>
      <c r="H3114" s="136" t="str">
        <f t="shared" si="166"/>
        <v/>
      </c>
      <c r="I3114" s="134" t="str">
        <f t="shared" si="167"/>
        <v/>
      </c>
      <c r="J3114" s="226"/>
    </row>
    <row r="3115" spans="1:10" hidden="1" x14ac:dyDescent="0.25">
      <c r="A3115" s="112" t="s">
        <v>7503</v>
      </c>
      <c r="B3115" s="113" t="s">
        <v>7504</v>
      </c>
      <c r="C3115" s="114" t="s">
        <v>20</v>
      </c>
      <c r="D3115" s="114">
        <v>0</v>
      </c>
      <c r="E3115" s="133" t="s">
        <v>514</v>
      </c>
      <c r="F3115" s="134" t="str">
        <f t="shared" si="165"/>
        <v/>
      </c>
      <c r="G3115" s="135" t="e">
        <f>IF(A3115&lt;&gt;"",IF(AND(#REF!="Padrão",$H$4=#REF!),BDI!$B$17,IF(AND(#REF!="Padrão",$H$4=#REF!),BDI!#REF!,IF(AND(#REF!="Diferenciado",$H$4=#REF!),BDI!$E$17,IF(AND(#REF!="Diferenciado",$H$4=#REF!),BDI!#REF!,IF(#REF!="ZERO",0))))),"")</f>
        <v>#REF!</v>
      </c>
      <c r="H3115" s="136" t="str">
        <f t="shared" si="166"/>
        <v/>
      </c>
      <c r="I3115" s="134" t="str">
        <f t="shared" si="167"/>
        <v/>
      </c>
      <c r="J3115" s="226"/>
    </row>
    <row r="3116" spans="1:10" hidden="1" x14ac:dyDescent="0.25">
      <c r="A3116" s="112" t="s">
        <v>7505</v>
      </c>
      <c r="B3116" s="113" t="s">
        <v>7506</v>
      </c>
      <c r="C3116" s="114" t="s">
        <v>20</v>
      </c>
      <c r="D3116" s="114">
        <v>0</v>
      </c>
      <c r="E3116" s="133">
        <f ca="1">OFFSET(INDEX(Composições!A:J,MATCH(Orçamentária!A3116,Composições!A:A,0),8),2,0)</f>
        <v>64.115499999999997</v>
      </c>
      <c r="F3116" s="134">
        <f t="shared" ca="1" si="165"/>
        <v>0</v>
      </c>
      <c r="G3116" s="135" t="e">
        <f>IF(A3116&lt;&gt;"",IF(AND(#REF!="Padrão",$H$4=#REF!),BDI!$B$17,IF(AND(#REF!="Padrão",$H$4=#REF!),BDI!#REF!,IF(AND(#REF!="Diferenciado",$H$4=#REF!),BDI!$E$17,IF(AND(#REF!="Diferenciado",$H$4=#REF!),BDI!#REF!,IF(#REF!="ZERO",0))))),"")</f>
        <v>#REF!</v>
      </c>
      <c r="H3116" s="136" t="e">
        <f t="shared" ca="1" si="166"/>
        <v>#REF!</v>
      </c>
      <c r="I3116" s="134" t="e">
        <f t="shared" ca="1" si="167"/>
        <v>#REF!</v>
      </c>
      <c r="J3116" s="226"/>
    </row>
    <row r="3117" spans="1:10" hidden="1" x14ac:dyDescent="0.25">
      <c r="A3117" s="112" t="s">
        <v>7507</v>
      </c>
      <c r="B3117" s="113" t="s">
        <v>7508</v>
      </c>
      <c r="C3117" s="114" t="s">
        <v>92</v>
      </c>
      <c r="D3117" s="114">
        <v>0</v>
      </c>
      <c r="E3117" s="133">
        <f ca="1">OFFSET(INDEX(Composições!A:J,MATCH(Orçamentária!A3117,Composições!A:A,0),8),2,0)</f>
        <v>59.945</v>
      </c>
      <c r="F3117" s="134">
        <f t="shared" ca="1" si="165"/>
        <v>0</v>
      </c>
      <c r="G3117" s="135" t="e">
        <f>IF(A3117&lt;&gt;"",IF(AND(#REF!="Padrão",$H$4=#REF!),BDI!$B$17,IF(AND(#REF!="Padrão",$H$4=#REF!),BDI!#REF!,IF(AND(#REF!="Diferenciado",$H$4=#REF!),BDI!$E$17,IF(AND(#REF!="Diferenciado",$H$4=#REF!),BDI!#REF!,IF(#REF!="ZERO",0))))),"")</f>
        <v>#REF!</v>
      </c>
      <c r="H3117" s="136" t="e">
        <f t="shared" ca="1" si="166"/>
        <v>#REF!</v>
      </c>
      <c r="I3117" s="134" t="e">
        <f t="shared" ca="1" si="167"/>
        <v>#REF!</v>
      </c>
      <c r="J3117" s="226"/>
    </row>
    <row r="3118" spans="1:10" hidden="1" x14ac:dyDescent="0.25">
      <c r="A3118" s="112" t="s">
        <v>7509</v>
      </c>
      <c r="B3118" s="113" t="s">
        <v>7510</v>
      </c>
      <c r="C3118" s="114" t="s">
        <v>20</v>
      </c>
      <c r="D3118" s="114">
        <v>0</v>
      </c>
      <c r="E3118" s="133" t="s">
        <v>514</v>
      </c>
      <c r="F3118" s="134" t="str">
        <f t="shared" si="165"/>
        <v/>
      </c>
      <c r="G3118" s="135" t="e">
        <f>IF(A3118&lt;&gt;"",IF(AND(#REF!="Padrão",$H$4=#REF!),BDI!$B$17,IF(AND(#REF!="Padrão",$H$4=#REF!),BDI!#REF!,IF(AND(#REF!="Diferenciado",$H$4=#REF!),BDI!$E$17,IF(AND(#REF!="Diferenciado",$H$4=#REF!),BDI!#REF!,IF(#REF!="ZERO",0))))),"")</f>
        <v>#REF!</v>
      </c>
      <c r="H3118" s="136" t="str">
        <f t="shared" si="166"/>
        <v/>
      </c>
      <c r="I3118" s="134" t="str">
        <f t="shared" si="167"/>
        <v/>
      </c>
      <c r="J3118" s="226"/>
    </row>
    <row r="3119" spans="1:10" hidden="1" x14ac:dyDescent="0.25">
      <c r="A3119" s="112" t="s">
        <v>7511</v>
      </c>
      <c r="B3119" s="113" t="s">
        <v>7512</v>
      </c>
      <c r="C3119" s="114" t="s">
        <v>20</v>
      </c>
      <c r="D3119" s="114">
        <v>0</v>
      </c>
      <c r="E3119" s="133" t="s">
        <v>514</v>
      </c>
      <c r="F3119" s="134" t="str">
        <f t="shared" si="165"/>
        <v/>
      </c>
      <c r="G3119" s="135" t="e">
        <f>IF(A3119&lt;&gt;"",IF(AND(#REF!="Padrão",$H$4=#REF!),BDI!$B$17,IF(AND(#REF!="Padrão",$H$4=#REF!),BDI!#REF!,IF(AND(#REF!="Diferenciado",$H$4=#REF!),BDI!$E$17,IF(AND(#REF!="Diferenciado",$H$4=#REF!),BDI!#REF!,IF(#REF!="ZERO",0))))),"")</f>
        <v>#REF!</v>
      </c>
      <c r="H3119" s="136" t="str">
        <f t="shared" si="166"/>
        <v/>
      </c>
      <c r="I3119" s="134" t="str">
        <f t="shared" si="167"/>
        <v/>
      </c>
      <c r="J3119" s="226"/>
    </row>
    <row r="3120" spans="1:10" hidden="1" x14ac:dyDescent="0.25">
      <c r="A3120" s="112" t="s">
        <v>7513</v>
      </c>
      <c r="B3120" s="113" t="s">
        <v>7789</v>
      </c>
      <c r="C3120" s="114" t="s">
        <v>1905</v>
      </c>
      <c r="D3120" s="114">
        <v>0</v>
      </c>
      <c r="E3120" s="133" t="s">
        <v>514</v>
      </c>
      <c r="F3120" s="134" t="str">
        <f t="shared" ref="F3120:F3128" si="168">IF(ISNUMBER(E3120),D3120*E3120,"")</f>
        <v/>
      </c>
      <c r="G3120" s="135" t="e">
        <f>IF(A3120&lt;&gt;"",IF(AND(#REF!="Padrão",$H$4=#REF!),BDI!$B$17,IF(AND(#REF!="Padrão",$H$4=#REF!),BDI!#REF!,IF(AND(#REF!="Diferenciado",$H$4=#REF!),BDI!$E$17,IF(AND(#REF!="Diferenciado",$H$4=#REF!),BDI!#REF!,IF(#REF!="ZERO",0))))),"")</f>
        <v>#REF!</v>
      </c>
      <c r="H3120" s="136" t="str">
        <f t="shared" ref="H3120:H3128" si="169">IF(ISNUMBER(E3120),ROUND(E3120*(1+G3120),2),"")</f>
        <v/>
      </c>
      <c r="I3120" s="134" t="str">
        <f t="shared" ref="I3120:I3128" si="170">IF(ISNUMBER(E3120),ROUND(H3120*D3120,2),"")</f>
        <v/>
      </c>
      <c r="J3120" s="226"/>
    </row>
    <row r="3121" spans="1:10" hidden="1" x14ac:dyDescent="0.25">
      <c r="A3121" s="112" t="s">
        <v>7514</v>
      </c>
      <c r="B3121" s="113" t="s">
        <v>7790</v>
      </c>
      <c r="C3121" s="114" t="s">
        <v>20</v>
      </c>
      <c r="D3121" s="114">
        <v>0</v>
      </c>
      <c r="E3121" s="133" t="s">
        <v>514</v>
      </c>
      <c r="F3121" s="134" t="str">
        <f t="shared" si="168"/>
        <v/>
      </c>
      <c r="G3121" s="135" t="e">
        <f>IF(A3121&lt;&gt;"",IF(AND(#REF!="Padrão",$H$4=#REF!),BDI!$B$17,IF(AND(#REF!="Padrão",$H$4=#REF!),BDI!#REF!,IF(AND(#REF!="Diferenciado",$H$4=#REF!),BDI!$E$17,IF(AND(#REF!="Diferenciado",$H$4=#REF!),BDI!#REF!,IF(#REF!="ZERO",0))))),"")</f>
        <v>#REF!</v>
      </c>
      <c r="H3121" s="136" t="str">
        <f t="shared" si="169"/>
        <v/>
      </c>
      <c r="I3121" s="134" t="str">
        <f t="shared" si="170"/>
        <v/>
      </c>
      <c r="J3121" s="226"/>
    </row>
    <row r="3122" spans="1:10" hidden="1" x14ac:dyDescent="0.25">
      <c r="A3122" s="112" t="s">
        <v>7515</v>
      </c>
      <c r="B3122" s="113" t="s">
        <v>7791</v>
      </c>
      <c r="C3122" s="114" t="s">
        <v>20</v>
      </c>
      <c r="D3122" s="114">
        <v>0</v>
      </c>
      <c r="E3122" s="133" t="s">
        <v>514</v>
      </c>
      <c r="F3122" s="134" t="str">
        <f t="shared" si="168"/>
        <v/>
      </c>
      <c r="G3122" s="135" t="e">
        <f>IF(A3122&lt;&gt;"",IF(AND(#REF!="Padrão",$H$4=#REF!),BDI!$B$17,IF(AND(#REF!="Padrão",$H$4=#REF!),BDI!#REF!,IF(AND(#REF!="Diferenciado",$H$4=#REF!),BDI!$E$17,IF(AND(#REF!="Diferenciado",$H$4=#REF!),BDI!#REF!,IF(#REF!="ZERO",0))))),"")</f>
        <v>#REF!</v>
      </c>
      <c r="H3122" s="136" t="str">
        <f t="shared" si="169"/>
        <v/>
      </c>
      <c r="I3122" s="134" t="str">
        <f t="shared" si="170"/>
        <v/>
      </c>
      <c r="J3122" s="226"/>
    </row>
    <row r="3123" spans="1:10" hidden="1" x14ac:dyDescent="0.25">
      <c r="A3123" s="112" t="s">
        <v>7516</v>
      </c>
      <c r="B3123" s="113" t="s">
        <v>7792</v>
      </c>
      <c r="C3123" s="114" t="s">
        <v>20</v>
      </c>
      <c r="D3123" s="114">
        <v>0</v>
      </c>
      <c r="E3123" s="133" t="s">
        <v>514</v>
      </c>
      <c r="F3123" s="134" t="str">
        <f t="shared" si="168"/>
        <v/>
      </c>
      <c r="G3123" s="135" t="e">
        <f>IF(A3123&lt;&gt;"",IF(AND(#REF!="Padrão",$H$4=#REF!),BDI!$B$17,IF(AND(#REF!="Padrão",$H$4=#REF!),BDI!#REF!,IF(AND(#REF!="Diferenciado",$H$4=#REF!),BDI!$E$17,IF(AND(#REF!="Diferenciado",$H$4=#REF!),BDI!#REF!,IF(#REF!="ZERO",0))))),"")</f>
        <v>#REF!</v>
      </c>
      <c r="H3123" s="136" t="str">
        <f t="shared" si="169"/>
        <v/>
      </c>
      <c r="I3123" s="134" t="str">
        <f t="shared" si="170"/>
        <v/>
      </c>
      <c r="J3123" s="226"/>
    </row>
    <row r="3124" spans="1:10" hidden="1" x14ac:dyDescent="0.25">
      <c r="A3124" s="112" t="s">
        <v>7517</v>
      </c>
      <c r="B3124" s="113" t="s">
        <v>7793</v>
      </c>
      <c r="C3124" s="114" t="s">
        <v>20</v>
      </c>
      <c r="D3124" s="114">
        <v>0</v>
      </c>
      <c r="E3124" s="133" t="s">
        <v>514</v>
      </c>
      <c r="F3124" s="134" t="str">
        <f t="shared" si="168"/>
        <v/>
      </c>
      <c r="G3124" s="135" t="e">
        <f>IF(A3124&lt;&gt;"",IF(AND(#REF!="Padrão",$H$4=#REF!),BDI!$B$17,IF(AND(#REF!="Padrão",$H$4=#REF!),BDI!#REF!,IF(AND(#REF!="Diferenciado",$H$4=#REF!),BDI!$E$17,IF(AND(#REF!="Diferenciado",$H$4=#REF!),BDI!#REF!,IF(#REF!="ZERO",0))))),"")</f>
        <v>#REF!</v>
      </c>
      <c r="H3124" s="136" t="str">
        <f t="shared" si="169"/>
        <v/>
      </c>
      <c r="I3124" s="134" t="str">
        <f t="shared" si="170"/>
        <v/>
      </c>
      <c r="J3124" s="226"/>
    </row>
    <row r="3125" spans="1:10" hidden="1" x14ac:dyDescent="0.25">
      <c r="A3125" s="112" t="s">
        <v>7518</v>
      </c>
      <c r="B3125" s="113" t="s">
        <v>7794</v>
      </c>
      <c r="C3125" s="114" t="s">
        <v>20</v>
      </c>
      <c r="D3125" s="114">
        <v>0</v>
      </c>
      <c r="E3125" s="133" t="s">
        <v>514</v>
      </c>
      <c r="F3125" s="134" t="str">
        <f t="shared" si="168"/>
        <v/>
      </c>
      <c r="G3125" s="135" t="e">
        <f>IF(A3125&lt;&gt;"",IF(AND(#REF!="Padrão",$H$4=#REF!),BDI!$B$17,IF(AND(#REF!="Padrão",$H$4=#REF!),BDI!#REF!,IF(AND(#REF!="Diferenciado",$H$4=#REF!),BDI!$E$17,IF(AND(#REF!="Diferenciado",$H$4=#REF!),BDI!#REF!,IF(#REF!="ZERO",0))))),"")</f>
        <v>#REF!</v>
      </c>
      <c r="H3125" s="136" t="str">
        <f t="shared" si="169"/>
        <v/>
      </c>
      <c r="I3125" s="134" t="str">
        <f t="shared" si="170"/>
        <v/>
      </c>
      <c r="J3125" s="226"/>
    </row>
    <row r="3126" spans="1:10" hidden="1" x14ac:dyDescent="0.25">
      <c r="A3126" s="112" t="s">
        <v>7519</v>
      </c>
      <c r="B3126" s="113" t="s">
        <v>7795</v>
      </c>
      <c r="C3126" s="114" t="s">
        <v>20</v>
      </c>
      <c r="D3126" s="114">
        <v>0</v>
      </c>
      <c r="E3126" s="133" t="s">
        <v>514</v>
      </c>
      <c r="F3126" s="134" t="str">
        <f t="shared" si="168"/>
        <v/>
      </c>
      <c r="G3126" s="135" t="e">
        <f>IF(A3126&lt;&gt;"",IF(AND(#REF!="Padrão",$H$4=#REF!),BDI!$B$17,IF(AND(#REF!="Padrão",$H$4=#REF!),BDI!#REF!,IF(AND(#REF!="Diferenciado",$H$4=#REF!),BDI!$E$17,IF(AND(#REF!="Diferenciado",$H$4=#REF!),BDI!#REF!,IF(#REF!="ZERO",0))))),"")</f>
        <v>#REF!</v>
      </c>
      <c r="H3126" s="136" t="str">
        <f t="shared" si="169"/>
        <v/>
      </c>
      <c r="I3126" s="134" t="str">
        <f t="shared" si="170"/>
        <v/>
      </c>
      <c r="J3126" s="226"/>
    </row>
    <row r="3127" spans="1:10" hidden="1" x14ac:dyDescent="0.25">
      <c r="A3127" s="112" t="s">
        <v>7520</v>
      </c>
      <c r="B3127" s="113" t="s">
        <v>7796</v>
      </c>
      <c r="C3127" s="114" t="s">
        <v>1905</v>
      </c>
      <c r="D3127" s="114">
        <v>0</v>
      </c>
      <c r="E3127" s="133" t="s">
        <v>514</v>
      </c>
      <c r="F3127" s="134" t="str">
        <f t="shared" si="168"/>
        <v/>
      </c>
      <c r="G3127" s="135" t="e">
        <f>IF(A3127&lt;&gt;"",IF(AND(#REF!="Padrão",$H$4=#REF!),BDI!$B$17,IF(AND(#REF!="Padrão",$H$4=#REF!),BDI!#REF!,IF(AND(#REF!="Diferenciado",$H$4=#REF!),BDI!$E$17,IF(AND(#REF!="Diferenciado",$H$4=#REF!),BDI!#REF!,IF(#REF!="ZERO",0))))),"")</f>
        <v>#REF!</v>
      </c>
      <c r="H3127" s="136" t="str">
        <f t="shared" si="169"/>
        <v/>
      </c>
      <c r="I3127" s="134" t="str">
        <f t="shared" si="170"/>
        <v/>
      </c>
      <c r="J3127" s="226"/>
    </row>
    <row r="3128" spans="1:10" hidden="1" x14ac:dyDescent="0.25">
      <c r="A3128" s="112" t="s">
        <v>7521</v>
      </c>
      <c r="B3128" s="113" t="s">
        <v>7797</v>
      </c>
      <c r="C3128" s="114" t="s">
        <v>20</v>
      </c>
      <c r="D3128" s="114">
        <v>0</v>
      </c>
      <c r="E3128" s="133" t="s">
        <v>514</v>
      </c>
      <c r="F3128" s="134" t="str">
        <f t="shared" si="168"/>
        <v/>
      </c>
      <c r="G3128" s="135" t="e">
        <f>IF(A3128&lt;&gt;"",IF(AND(#REF!="Padrão",$H$4=#REF!),BDI!$B$17,IF(AND(#REF!="Padrão",$H$4=#REF!),BDI!#REF!,IF(AND(#REF!="Diferenciado",$H$4=#REF!),BDI!$E$17,IF(AND(#REF!="Diferenciado",$H$4=#REF!),BDI!#REF!,IF(#REF!="ZERO",0))))),"")</f>
        <v>#REF!</v>
      </c>
      <c r="H3128" s="136" t="str">
        <f t="shared" si="169"/>
        <v/>
      </c>
      <c r="I3128" s="134" t="str">
        <f t="shared" si="170"/>
        <v/>
      </c>
      <c r="J3128" s="226"/>
    </row>
    <row r="3129" spans="1:10" hidden="1" x14ac:dyDescent="0.25">
      <c r="A3129" s="112" t="s">
        <v>7522</v>
      </c>
      <c r="B3129" s="113" t="s">
        <v>7806</v>
      </c>
      <c r="C3129" s="114" t="s">
        <v>20</v>
      </c>
      <c r="D3129" s="114">
        <v>0</v>
      </c>
      <c r="E3129" s="133" t="s">
        <v>514</v>
      </c>
      <c r="F3129" s="134" t="str">
        <f t="shared" ref="F3129:F3136" si="171">IF(ISNUMBER(E3129),D3129*E3129,"")</f>
        <v/>
      </c>
      <c r="G3129" s="135" t="e">
        <f>IF(A3129&lt;&gt;"",IF(AND(#REF!="Padrão",$H$4=#REF!),BDI!$B$17,IF(AND(#REF!="Padrão",$H$4=#REF!),BDI!#REF!,IF(AND(#REF!="Diferenciado",$H$4=#REF!),BDI!$E$17,IF(AND(#REF!="Diferenciado",$H$4=#REF!),BDI!#REF!,IF(#REF!="ZERO",0))))),"")</f>
        <v>#REF!</v>
      </c>
      <c r="H3129" s="136" t="str">
        <f t="shared" ref="H3129:H3136" si="172">IF(ISNUMBER(E3129),ROUND(E3129*(1+G3129),2),"")</f>
        <v/>
      </c>
      <c r="I3129" s="134" t="str">
        <f t="shared" ref="I3129:I3136" si="173">IF(ISNUMBER(E3129),ROUND(H3129*D3129,2),"")</f>
        <v/>
      </c>
      <c r="J3129" s="226"/>
    </row>
    <row r="3130" spans="1:10" hidden="1" x14ac:dyDescent="0.25">
      <c r="A3130" s="112" t="s">
        <v>7523</v>
      </c>
      <c r="B3130" s="113" t="s">
        <v>7805</v>
      </c>
      <c r="C3130" s="114" t="s">
        <v>20</v>
      </c>
      <c r="D3130" s="114">
        <v>0</v>
      </c>
      <c r="E3130" s="133" t="s">
        <v>514</v>
      </c>
      <c r="F3130" s="134" t="str">
        <f t="shared" si="171"/>
        <v/>
      </c>
      <c r="G3130" s="135" t="e">
        <f>IF(A3130&lt;&gt;"",IF(AND(#REF!="Padrão",$H$4=#REF!),BDI!$B$17,IF(AND(#REF!="Padrão",$H$4=#REF!),BDI!#REF!,IF(AND(#REF!="Diferenciado",$H$4=#REF!),BDI!$E$17,IF(AND(#REF!="Diferenciado",$H$4=#REF!),BDI!#REF!,IF(#REF!="ZERO",0))))),"")</f>
        <v>#REF!</v>
      </c>
      <c r="H3130" s="136" t="str">
        <f t="shared" si="172"/>
        <v/>
      </c>
      <c r="I3130" s="134" t="str">
        <f t="shared" si="173"/>
        <v/>
      </c>
      <c r="J3130" s="226"/>
    </row>
    <row r="3131" spans="1:10" hidden="1" x14ac:dyDescent="0.25">
      <c r="A3131" s="112" t="s">
        <v>7524</v>
      </c>
      <c r="B3131" s="113" t="s">
        <v>7804</v>
      </c>
      <c r="C3131" s="114" t="s">
        <v>20</v>
      </c>
      <c r="D3131" s="114">
        <v>0</v>
      </c>
      <c r="E3131" s="133">
        <v>2830.05</v>
      </c>
      <c r="F3131" s="134">
        <f t="shared" si="171"/>
        <v>0</v>
      </c>
      <c r="G3131" s="135" t="e">
        <f>IF(A3131&lt;&gt;"",IF(AND(#REF!="Padrão",$H$4=#REF!),BDI!$B$17,IF(AND(#REF!="Padrão",$H$4=#REF!),BDI!#REF!,IF(AND(#REF!="Diferenciado",$H$4=#REF!),BDI!$E$17,IF(AND(#REF!="Diferenciado",$H$4=#REF!),BDI!#REF!,IF(#REF!="ZERO",0))))),"")</f>
        <v>#REF!</v>
      </c>
      <c r="H3131" s="136" t="e">
        <f t="shared" si="172"/>
        <v>#REF!</v>
      </c>
      <c r="I3131" s="134" t="e">
        <f t="shared" si="173"/>
        <v>#REF!</v>
      </c>
      <c r="J3131" s="226"/>
    </row>
    <row r="3132" spans="1:10" hidden="1" x14ac:dyDescent="0.25">
      <c r="A3132" s="112" t="s">
        <v>7525</v>
      </c>
      <c r="B3132" s="113" t="s">
        <v>7803</v>
      </c>
      <c r="C3132" s="114" t="s">
        <v>20</v>
      </c>
      <c r="D3132" s="114">
        <v>0</v>
      </c>
      <c r="E3132" s="133">
        <f ca="1">OFFSET(INDEX(Composições!A:J,MATCH(Orçamentária!A3132,Composições!A:A,0),8),2,0)</f>
        <v>166.61574999999999</v>
      </c>
      <c r="F3132" s="134">
        <f t="shared" ca="1" si="171"/>
        <v>0</v>
      </c>
      <c r="G3132" s="135" t="e">
        <f>IF(A3132&lt;&gt;"",IF(AND(#REF!="Padrão",$H$4=#REF!),BDI!$B$17,IF(AND(#REF!="Padrão",$H$4=#REF!),BDI!#REF!,IF(AND(#REF!="Diferenciado",$H$4=#REF!),BDI!$E$17,IF(AND(#REF!="Diferenciado",$H$4=#REF!),BDI!#REF!,IF(#REF!="ZERO",0))))),"")</f>
        <v>#REF!</v>
      </c>
      <c r="H3132" s="136" t="e">
        <f t="shared" ca="1" si="172"/>
        <v>#REF!</v>
      </c>
      <c r="I3132" s="134" t="e">
        <f t="shared" ca="1" si="173"/>
        <v>#REF!</v>
      </c>
      <c r="J3132" s="226"/>
    </row>
    <row r="3133" spans="1:10" hidden="1" x14ac:dyDescent="0.25">
      <c r="A3133" s="112" t="s">
        <v>7526</v>
      </c>
      <c r="B3133" s="113" t="s">
        <v>7802</v>
      </c>
      <c r="C3133" s="114" t="s">
        <v>20</v>
      </c>
      <c r="D3133" s="114">
        <v>0</v>
      </c>
      <c r="E3133" s="133" t="s">
        <v>514</v>
      </c>
      <c r="F3133" s="134" t="str">
        <f t="shared" si="171"/>
        <v/>
      </c>
      <c r="G3133" s="135" t="e">
        <f>IF(A3133&lt;&gt;"",IF(AND(#REF!="Padrão",$H$4=#REF!),BDI!$B$17,IF(AND(#REF!="Padrão",$H$4=#REF!),BDI!#REF!,IF(AND(#REF!="Diferenciado",$H$4=#REF!),BDI!$E$17,IF(AND(#REF!="Diferenciado",$H$4=#REF!),BDI!#REF!,IF(#REF!="ZERO",0))))),"")</f>
        <v>#REF!</v>
      </c>
      <c r="H3133" s="136" t="str">
        <f t="shared" si="172"/>
        <v/>
      </c>
      <c r="I3133" s="134" t="str">
        <f t="shared" si="173"/>
        <v/>
      </c>
      <c r="J3133" s="226"/>
    </row>
    <row r="3134" spans="1:10" hidden="1" x14ac:dyDescent="0.25">
      <c r="A3134" s="112" t="s">
        <v>7527</v>
      </c>
      <c r="B3134" s="113" t="s">
        <v>7801</v>
      </c>
      <c r="C3134" s="114" t="s">
        <v>20</v>
      </c>
      <c r="D3134" s="114">
        <v>0</v>
      </c>
      <c r="E3134" s="133" t="s">
        <v>514</v>
      </c>
      <c r="F3134" s="134" t="str">
        <f t="shared" si="171"/>
        <v/>
      </c>
      <c r="G3134" s="135" t="e">
        <f>IF(A3134&lt;&gt;"",IF(AND(#REF!="Padrão",$H$4=#REF!),BDI!$B$17,IF(AND(#REF!="Padrão",$H$4=#REF!),BDI!#REF!,IF(AND(#REF!="Diferenciado",$H$4=#REF!),BDI!$E$17,IF(AND(#REF!="Diferenciado",$H$4=#REF!),BDI!#REF!,IF(#REF!="ZERO",0))))),"")</f>
        <v>#REF!</v>
      </c>
      <c r="H3134" s="136" t="str">
        <f t="shared" si="172"/>
        <v/>
      </c>
      <c r="I3134" s="134" t="str">
        <f t="shared" si="173"/>
        <v/>
      </c>
      <c r="J3134" s="226"/>
    </row>
    <row r="3135" spans="1:10" hidden="1" x14ac:dyDescent="0.25">
      <c r="A3135" s="112" t="s">
        <v>7528</v>
      </c>
      <c r="B3135" s="113" t="s">
        <v>7800</v>
      </c>
      <c r="C3135" s="114" t="s">
        <v>20</v>
      </c>
      <c r="D3135" s="114">
        <v>0</v>
      </c>
      <c r="E3135" s="133" t="s">
        <v>514</v>
      </c>
      <c r="F3135" s="134" t="str">
        <f t="shared" si="171"/>
        <v/>
      </c>
      <c r="G3135" s="135" t="e">
        <f>IF(A3135&lt;&gt;"",IF(AND(#REF!="Padrão",$H$4=#REF!),BDI!$B$17,IF(AND(#REF!="Padrão",$H$4=#REF!),BDI!#REF!,IF(AND(#REF!="Diferenciado",$H$4=#REF!),BDI!$E$17,IF(AND(#REF!="Diferenciado",$H$4=#REF!),BDI!#REF!,IF(#REF!="ZERO",0))))),"")</f>
        <v>#REF!</v>
      </c>
      <c r="H3135" s="136" t="str">
        <f t="shared" si="172"/>
        <v/>
      </c>
      <c r="I3135" s="134" t="str">
        <f t="shared" si="173"/>
        <v/>
      </c>
      <c r="J3135" s="226"/>
    </row>
    <row r="3136" spans="1:10" hidden="1" x14ac:dyDescent="0.25">
      <c r="A3136" s="112" t="s">
        <v>7529</v>
      </c>
      <c r="B3136" s="113" t="s">
        <v>7807</v>
      </c>
      <c r="C3136" s="114" t="s">
        <v>20</v>
      </c>
      <c r="D3136" s="114">
        <v>0</v>
      </c>
      <c r="E3136" s="133">
        <f ca="1">OFFSET(INDEX(Composições!A:J,MATCH(Orçamentária!A3136,Composições!A:A,0),8),2,0)</f>
        <v>43.386627805126395</v>
      </c>
      <c r="F3136" s="134">
        <f t="shared" ca="1" si="171"/>
        <v>0</v>
      </c>
      <c r="G3136" s="135" t="e">
        <f>IF(A3136&lt;&gt;"",IF(AND(#REF!="Padrão",$H$4=#REF!),BDI!$B$17,IF(AND(#REF!="Padrão",$H$4=#REF!),BDI!#REF!,IF(AND(#REF!="Diferenciado",$H$4=#REF!),BDI!$E$17,IF(AND(#REF!="Diferenciado",$H$4=#REF!),BDI!#REF!,IF(#REF!="ZERO",0))))),"")</f>
        <v>#REF!</v>
      </c>
      <c r="H3136" s="136" t="e">
        <f t="shared" ca="1" si="172"/>
        <v>#REF!</v>
      </c>
      <c r="I3136" s="134" t="e">
        <f t="shared" ca="1" si="173"/>
        <v>#REF!</v>
      </c>
      <c r="J3136" s="226"/>
    </row>
    <row r="3137" spans="1:10" hidden="1" x14ac:dyDescent="0.25">
      <c r="A3137" s="112" t="s">
        <v>7530</v>
      </c>
      <c r="B3137" s="113" t="s">
        <v>7810</v>
      </c>
      <c r="C3137" s="114" t="s">
        <v>20</v>
      </c>
      <c r="D3137" s="114">
        <v>0</v>
      </c>
      <c r="E3137" s="133">
        <f ca="1">OFFSET(INDEX(Composições!A:J,MATCH(Orçamentária!A3137,Composições!A:A,0),8),2,0)</f>
        <v>142.85861550000001</v>
      </c>
      <c r="F3137" s="134">
        <f t="shared" ref="F3137:F3139" ca="1" si="174">IF(ISNUMBER(E3137),D3137*E3137,"")</f>
        <v>0</v>
      </c>
      <c r="G3137" s="135" t="e">
        <f>IF(A3137&lt;&gt;"",IF(AND(#REF!="Padrão",$H$4=#REF!),BDI!$B$17,IF(AND(#REF!="Padrão",$H$4=#REF!),BDI!#REF!,IF(AND(#REF!="Diferenciado",$H$4=#REF!),BDI!$E$17,IF(AND(#REF!="Diferenciado",$H$4=#REF!),BDI!#REF!,IF(#REF!="ZERO",0))))),"")</f>
        <v>#REF!</v>
      </c>
      <c r="H3137" s="136" t="e">
        <f t="shared" ref="H3137:H3139" ca="1" si="175">IF(ISNUMBER(E3137),ROUND(E3137*(1+G3137),2),"")</f>
        <v>#REF!</v>
      </c>
      <c r="I3137" s="134" t="e">
        <f t="shared" ref="I3137:I3139" ca="1" si="176">IF(ISNUMBER(E3137),ROUND(H3137*D3137,2),"")</f>
        <v>#REF!</v>
      </c>
      <c r="J3137" s="226"/>
    </row>
    <row r="3138" spans="1:10" hidden="1" x14ac:dyDescent="0.25">
      <c r="A3138" s="112" t="s">
        <v>7531</v>
      </c>
      <c r="B3138" s="113" t="s">
        <v>7799</v>
      </c>
      <c r="C3138" s="114" t="s">
        <v>4994</v>
      </c>
      <c r="D3138" s="114">
        <v>0</v>
      </c>
      <c r="E3138" s="133" t="s">
        <v>514</v>
      </c>
      <c r="F3138" s="134" t="str">
        <f t="shared" si="174"/>
        <v/>
      </c>
      <c r="G3138" s="135" t="e">
        <f>IF(A3138&lt;&gt;"",IF(AND(#REF!="Padrão",$H$4=#REF!),BDI!$B$17,IF(AND(#REF!="Padrão",$H$4=#REF!),BDI!#REF!,IF(AND(#REF!="Diferenciado",$H$4=#REF!),BDI!$E$17,IF(AND(#REF!="Diferenciado",$H$4=#REF!),BDI!#REF!,IF(#REF!="ZERO",0))))),"")</f>
        <v>#REF!</v>
      </c>
      <c r="H3138" s="136" t="str">
        <f t="shared" si="175"/>
        <v/>
      </c>
      <c r="I3138" s="134" t="str">
        <f t="shared" si="176"/>
        <v/>
      </c>
      <c r="J3138" s="226"/>
    </row>
    <row r="3139" spans="1:10" hidden="1" x14ac:dyDescent="0.25">
      <c r="A3139" s="112" t="s">
        <v>7532</v>
      </c>
      <c r="B3139" s="113" t="s">
        <v>7798</v>
      </c>
      <c r="C3139" s="114" t="s">
        <v>94</v>
      </c>
      <c r="D3139" s="114">
        <v>0</v>
      </c>
      <c r="E3139" s="133" t="s">
        <v>514</v>
      </c>
      <c r="F3139" s="134" t="str">
        <f t="shared" si="174"/>
        <v/>
      </c>
      <c r="G3139" s="135" t="e">
        <f>IF(A3139&lt;&gt;"",IF(AND(#REF!="Padrão",$H$4=#REF!),BDI!$B$17,IF(AND(#REF!="Padrão",$H$4=#REF!),BDI!#REF!,IF(AND(#REF!="Diferenciado",$H$4=#REF!),BDI!$E$17,IF(AND(#REF!="Diferenciado",$H$4=#REF!),BDI!#REF!,IF(#REF!="ZERO",0))))),"")</f>
        <v>#REF!</v>
      </c>
      <c r="H3139" s="136" t="str">
        <f t="shared" si="175"/>
        <v/>
      </c>
      <c r="I3139" s="134" t="str">
        <f t="shared" si="176"/>
        <v/>
      </c>
      <c r="J3139" s="226"/>
    </row>
    <row r="3140" spans="1:10" hidden="1" x14ac:dyDescent="0.25">
      <c r="A3140" s="112" t="s">
        <v>7533</v>
      </c>
      <c r="B3140" s="113" t="s">
        <v>7811</v>
      </c>
      <c r="C3140" s="114" t="s">
        <v>20</v>
      </c>
      <c r="D3140" s="114">
        <v>0</v>
      </c>
      <c r="E3140" s="133" t="s">
        <v>514</v>
      </c>
      <c r="F3140" s="134" t="str">
        <f t="shared" ref="F3140:F3203" si="177">IF(ISNUMBER(E3140),D3140*E3140,"")</f>
        <v/>
      </c>
      <c r="G3140" s="135" t="e">
        <f>IF(A3140&lt;&gt;"",IF(AND(#REF!="Padrão",$H$4=#REF!),BDI!$B$17,IF(AND(#REF!="Padrão",$H$4=#REF!),BDI!#REF!,IF(AND(#REF!="Diferenciado",$H$4=#REF!),BDI!$E$17,IF(AND(#REF!="Diferenciado",$H$4=#REF!),BDI!#REF!,IF(#REF!="ZERO",0))))),"")</f>
        <v>#REF!</v>
      </c>
      <c r="H3140" s="136" t="str">
        <f t="shared" ref="H3140:H3203" si="178">IF(ISNUMBER(E3140),ROUND(E3140*(1+G3140),2),"")</f>
        <v/>
      </c>
      <c r="I3140" s="134" t="str">
        <f t="shared" ref="I3140:I3203" si="179">IF(ISNUMBER(E3140),ROUND(H3140*D3140,2),"")</f>
        <v/>
      </c>
      <c r="J3140" s="226"/>
    </row>
    <row r="3141" spans="1:10" hidden="1" x14ac:dyDescent="0.25">
      <c r="A3141" s="112" t="s">
        <v>7534</v>
      </c>
      <c r="B3141" s="113" t="s">
        <v>7812</v>
      </c>
      <c r="C3141" s="114" t="s">
        <v>20</v>
      </c>
      <c r="D3141" s="114">
        <v>0</v>
      </c>
      <c r="E3141" s="133" t="s">
        <v>514</v>
      </c>
      <c r="F3141" s="134" t="str">
        <f t="shared" si="177"/>
        <v/>
      </c>
      <c r="G3141" s="135" t="e">
        <f>IF(A3141&lt;&gt;"",IF(AND(#REF!="Padrão",$H$4=#REF!),BDI!$B$17,IF(AND(#REF!="Padrão",$H$4=#REF!),BDI!#REF!,IF(AND(#REF!="Diferenciado",$H$4=#REF!),BDI!$E$17,IF(AND(#REF!="Diferenciado",$H$4=#REF!),BDI!#REF!,IF(#REF!="ZERO",0))))),"")</f>
        <v>#REF!</v>
      </c>
      <c r="H3141" s="136" t="str">
        <f t="shared" si="178"/>
        <v/>
      </c>
      <c r="I3141" s="134" t="str">
        <f t="shared" si="179"/>
        <v/>
      </c>
      <c r="J3141" s="226"/>
    </row>
    <row r="3142" spans="1:10" hidden="1" x14ac:dyDescent="0.25">
      <c r="A3142" s="112" t="s">
        <v>7535</v>
      </c>
      <c r="B3142" s="113" t="s">
        <v>7813</v>
      </c>
      <c r="C3142" s="114" t="s">
        <v>20</v>
      </c>
      <c r="D3142" s="114">
        <v>0</v>
      </c>
      <c r="E3142" s="133" t="s">
        <v>514</v>
      </c>
      <c r="F3142" s="134" t="str">
        <f t="shared" si="177"/>
        <v/>
      </c>
      <c r="G3142" s="135" t="e">
        <f>IF(A3142&lt;&gt;"",IF(AND(#REF!="Padrão",$H$4=#REF!),BDI!$B$17,IF(AND(#REF!="Padrão",$H$4=#REF!),BDI!#REF!,IF(AND(#REF!="Diferenciado",$H$4=#REF!),BDI!$E$17,IF(AND(#REF!="Diferenciado",$H$4=#REF!),BDI!#REF!,IF(#REF!="ZERO",0))))),"")</f>
        <v>#REF!</v>
      </c>
      <c r="H3142" s="136" t="str">
        <f t="shared" si="178"/>
        <v/>
      </c>
      <c r="I3142" s="134" t="str">
        <f t="shared" si="179"/>
        <v/>
      </c>
      <c r="J3142" s="226"/>
    </row>
    <row r="3143" spans="1:10" hidden="1" x14ac:dyDescent="0.25">
      <c r="A3143" s="112" t="s">
        <v>7536</v>
      </c>
      <c r="B3143" s="113" t="s">
        <v>7814</v>
      </c>
      <c r="C3143" s="114" t="s">
        <v>20</v>
      </c>
      <c r="D3143" s="114">
        <v>0</v>
      </c>
      <c r="E3143" s="133" t="s">
        <v>514</v>
      </c>
      <c r="F3143" s="134" t="str">
        <f t="shared" si="177"/>
        <v/>
      </c>
      <c r="G3143" s="135" t="e">
        <f>IF(A3143&lt;&gt;"",IF(AND(#REF!="Padrão",$H$4=#REF!),BDI!$B$17,IF(AND(#REF!="Padrão",$H$4=#REF!),BDI!#REF!,IF(AND(#REF!="Diferenciado",$H$4=#REF!),BDI!$E$17,IF(AND(#REF!="Diferenciado",$H$4=#REF!),BDI!#REF!,IF(#REF!="ZERO",0))))),"")</f>
        <v>#REF!</v>
      </c>
      <c r="H3143" s="136" t="str">
        <f t="shared" si="178"/>
        <v/>
      </c>
      <c r="I3143" s="134" t="str">
        <f t="shared" si="179"/>
        <v/>
      </c>
      <c r="J3143" s="226"/>
    </row>
    <row r="3144" spans="1:10" hidden="1" x14ac:dyDescent="0.25">
      <c r="A3144" s="112" t="s">
        <v>7537</v>
      </c>
      <c r="B3144" s="113" t="s">
        <v>7815</v>
      </c>
      <c r="C3144" s="114" t="s">
        <v>20</v>
      </c>
      <c r="D3144" s="114">
        <v>0</v>
      </c>
      <c r="E3144" s="133" t="s">
        <v>514</v>
      </c>
      <c r="F3144" s="134" t="str">
        <f t="shared" si="177"/>
        <v/>
      </c>
      <c r="G3144" s="135" t="e">
        <f>IF(A3144&lt;&gt;"",IF(AND(#REF!="Padrão",$H$4=#REF!),BDI!$B$17,IF(AND(#REF!="Padrão",$H$4=#REF!),BDI!#REF!,IF(AND(#REF!="Diferenciado",$H$4=#REF!),BDI!$E$17,IF(AND(#REF!="Diferenciado",$H$4=#REF!),BDI!#REF!,IF(#REF!="ZERO",0))))),"")</f>
        <v>#REF!</v>
      </c>
      <c r="H3144" s="136" t="str">
        <f t="shared" si="178"/>
        <v/>
      </c>
      <c r="I3144" s="134" t="str">
        <f t="shared" si="179"/>
        <v/>
      </c>
      <c r="J3144" s="226"/>
    </row>
    <row r="3145" spans="1:10" ht="25.5" hidden="1" x14ac:dyDescent="0.25">
      <c r="A3145" s="112" t="s">
        <v>7538</v>
      </c>
      <c r="B3145" s="113" t="s">
        <v>7816</v>
      </c>
      <c r="C3145" s="114" t="s">
        <v>20</v>
      </c>
      <c r="D3145" s="114">
        <v>0</v>
      </c>
      <c r="E3145" s="133" t="s">
        <v>514</v>
      </c>
      <c r="F3145" s="134" t="str">
        <f t="shared" si="177"/>
        <v/>
      </c>
      <c r="G3145" s="135" t="e">
        <f>IF(A3145&lt;&gt;"",IF(AND(#REF!="Padrão",$H$4=#REF!),BDI!$B$17,IF(AND(#REF!="Padrão",$H$4=#REF!),BDI!#REF!,IF(AND(#REF!="Diferenciado",$H$4=#REF!),BDI!$E$17,IF(AND(#REF!="Diferenciado",$H$4=#REF!),BDI!#REF!,IF(#REF!="ZERO",0))))),"")</f>
        <v>#REF!</v>
      </c>
      <c r="H3145" s="136" t="str">
        <f t="shared" si="178"/>
        <v/>
      </c>
      <c r="I3145" s="134" t="str">
        <f t="shared" si="179"/>
        <v/>
      </c>
      <c r="J3145" s="226"/>
    </row>
    <row r="3146" spans="1:10" hidden="1" x14ac:dyDescent="0.25">
      <c r="A3146" s="112" t="s">
        <v>7539</v>
      </c>
      <c r="B3146" s="113" t="s">
        <v>7817</v>
      </c>
      <c r="C3146" s="114" t="s">
        <v>20</v>
      </c>
      <c r="D3146" s="114">
        <v>0</v>
      </c>
      <c r="E3146" s="133" t="s">
        <v>514</v>
      </c>
      <c r="F3146" s="134" t="str">
        <f t="shared" si="177"/>
        <v/>
      </c>
      <c r="G3146" s="135" t="e">
        <f>IF(A3146&lt;&gt;"",IF(AND(#REF!="Padrão",$H$4=#REF!),BDI!$B$17,IF(AND(#REF!="Padrão",$H$4=#REF!),BDI!#REF!,IF(AND(#REF!="Diferenciado",$H$4=#REF!),BDI!$E$17,IF(AND(#REF!="Diferenciado",$H$4=#REF!),BDI!#REF!,IF(#REF!="ZERO",0))))),"")</f>
        <v>#REF!</v>
      </c>
      <c r="H3146" s="136" t="str">
        <f t="shared" si="178"/>
        <v/>
      </c>
      <c r="I3146" s="134" t="str">
        <f t="shared" si="179"/>
        <v/>
      </c>
      <c r="J3146" s="226"/>
    </row>
    <row r="3147" spans="1:10" hidden="1" x14ac:dyDescent="0.25">
      <c r="A3147" s="112" t="s">
        <v>7540</v>
      </c>
      <c r="B3147" s="113" t="s">
        <v>7818</v>
      </c>
      <c r="C3147" s="114" t="s">
        <v>20</v>
      </c>
      <c r="D3147" s="114">
        <v>0</v>
      </c>
      <c r="E3147" s="133" t="s">
        <v>514</v>
      </c>
      <c r="F3147" s="134" t="str">
        <f t="shared" si="177"/>
        <v/>
      </c>
      <c r="G3147" s="135" t="e">
        <f>IF(A3147&lt;&gt;"",IF(AND(#REF!="Padrão",$H$4=#REF!),BDI!$B$17,IF(AND(#REF!="Padrão",$H$4=#REF!),BDI!#REF!,IF(AND(#REF!="Diferenciado",$H$4=#REF!),BDI!$E$17,IF(AND(#REF!="Diferenciado",$H$4=#REF!),BDI!#REF!,IF(#REF!="ZERO",0))))),"")</f>
        <v>#REF!</v>
      </c>
      <c r="H3147" s="136" t="str">
        <f t="shared" si="178"/>
        <v/>
      </c>
      <c r="I3147" s="134" t="str">
        <f t="shared" si="179"/>
        <v/>
      </c>
      <c r="J3147" s="226"/>
    </row>
    <row r="3148" spans="1:10" hidden="1" x14ac:dyDescent="0.25">
      <c r="A3148" s="112" t="s">
        <v>7541</v>
      </c>
      <c r="B3148" s="113" t="s">
        <v>7819</v>
      </c>
      <c r="C3148" s="114" t="s">
        <v>20</v>
      </c>
      <c r="D3148" s="114">
        <v>0</v>
      </c>
      <c r="E3148" s="133" t="s">
        <v>514</v>
      </c>
      <c r="F3148" s="134" t="str">
        <f t="shared" si="177"/>
        <v/>
      </c>
      <c r="G3148" s="135" t="e">
        <f>IF(A3148&lt;&gt;"",IF(AND(#REF!="Padrão",$H$4=#REF!),BDI!$B$17,IF(AND(#REF!="Padrão",$H$4=#REF!),BDI!#REF!,IF(AND(#REF!="Diferenciado",$H$4=#REF!),BDI!$E$17,IF(AND(#REF!="Diferenciado",$H$4=#REF!),BDI!#REF!,IF(#REF!="ZERO",0))))),"")</f>
        <v>#REF!</v>
      </c>
      <c r="H3148" s="136" t="str">
        <f t="shared" si="178"/>
        <v/>
      </c>
      <c r="I3148" s="134" t="str">
        <f t="shared" si="179"/>
        <v/>
      </c>
      <c r="J3148" s="226"/>
    </row>
    <row r="3149" spans="1:10" hidden="1" x14ac:dyDescent="0.25">
      <c r="A3149" s="112" t="s">
        <v>7542</v>
      </c>
      <c r="B3149" s="113" t="s">
        <v>7820</v>
      </c>
      <c r="C3149" s="114" t="s">
        <v>20</v>
      </c>
      <c r="D3149" s="114">
        <v>0</v>
      </c>
      <c r="E3149" s="133" t="s">
        <v>514</v>
      </c>
      <c r="F3149" s="134" t="str">
        <f t="shared" si="177"/>
        <v/>
      </c>
      <c r="G3149" s="135" t="e">
        <f>IF(A3149&lt;&gt;"",IF(AND(#REF!="Padrão",$H$4=#REF!),BDI!$B$17,IF(AND(#REF!="Padrão",$H$4=#REF!),BDI!#REF!,IF(AND(#REF!="Diferenciado",$H$4=#REF!),BDI!$E$17,IF(AND(#REF!="Diferenciado",$H$4=#REF!),BDI!#REF!,IF(#REF!="ZERO",0))))),"")</f>
        <v>#REF!</v>
      </c>
      <c r="H3149" s="136" t="str">
        <f t="shared" si="178"/>
        <v/>
      </c>
      <c r="I3149" s="134" t="str">
        <f t="shared" si="179"/>
        <v/>
      </c>
      <c r="J3149" s="226"/>
    </row>
    <row r="3150" spans="1:10" hidden="1" x14ac:dyDescent="0.25">
      <c r="A3150" s="112" t="s">
        <v>7543</v>
      </c>
      <c r="B3150" s="113" t="s">
        <v>7821</v>
      </c>
      <c r="C3150" s="114" t="s">
        <v>20</v>
      </c>
      <c r="D3150" s="114">
        <v>0</v>
      </c>
      <c r="E3150" s="133" t="s">
        <v>514</v>
      </c>
      <c r="F3150" s="134" t="str">
        <f t="shared" si="177"/>
        <v/>
      </c>
      <c r="G3150" s="135" t="e">
        <f>IF(A3150&lt;&gt;"",IF(AND(#REF!="Padrão",$H$4=#REF!),BDI!$B$17,IF(AND(#REF!="Padrão",$H$4=#REF!),BDI!#REF!,IF(AND(#REF!="Diferenciado",$H$4=#REF!),BDI!$E$17,IF(AND(#REF!="Diferenciado",$H$4=#REF!),BDI!#REF!,IF(#REF!="ZERO",0))))),"")</f>
        <v>#REF!</v>
      </c>
      <c r="H3150" s="136" t="str">
        <f t="shared" si="178"/>
        <v/>
      </c>
      <c r="I3150" s="134" t="str">
        <f t="shared" si="179"/>
        <v/>
      </c>
      <c r="J3150" s="226"/>
    </row>
    <row r="3151" spans="1:10" hidden="1" x14ac:dyDescent="0.25">
      <c r="A3151" s="112" t="s">
        <v>7544</v>
      </c>
      <c r="B3151" s="113" t="s">
        <v>7822</v>
      </c>
      <c r="C3151" s="114" t="s">
        <v>20</v>
      </c>
      <c r="D3151" s="114">
        <v>0</v>
      </c>
      <c r="E3151" s="133" t="s">
        <v>514</v>
      </c>
      <c r="F3151" s="134" t="str">
        <f t="shared" si="177"/>
        <v/>
      </c>
      <c r="G3151" s="135" t="e">
        <f>IF(A3151&lt;&gt;"",IF(AND(#REF!="Padrão",$H$4=#REF!),BDI!$B$17,IF(AND(#REF!="Padrão",$H$4=#REF!),BDI!#REF!,IF(AND(#REF!="Diferenciado",$H$4=#REF!),BDI!$E$17,IF(AND(#REF!="Diferenciado",$H$4=#REF!),BDI!#REF!,IF(#REF!="ZERO",0))))),"")</f>
        <v>#REF!</v>
      </c>
      <c r="H3151" s="136" t="str">
        <f t="shared" si="178"/>
        <v/>
      </c>
      <c r="I3151" s="134" t="str">
        <f t="shared" si="179"/>
        <v/>
      </c>
      <c r="J3151" s="226"/>
    </row>
    <row r="3152" spans="1:10" hidden="1" x14ac:dyDescent="0.25">
      <c r="A3152" s="112" t="s">
        <v>7545</v>
      </c>
      <c r="B3152" s="113" t="s">
        <v>7823</v>
      </c>
      <c r="C3152" s="114" t="s">
        <v>20</v>
      </c>
      <c r="D3152" s="114">
        <v>0</v>
      </c>
      <c r="E3152" s="133" t="s">
        <v>514</v>
      </c>
      <c r="F3152" s="134" t="str">
        <f t="shared" si="177"/>
        <v/>
      </c>
      <c r="G3152" s="135" t="e">
        <f>IF(A3152&lt;&gt;"",IF(AND(#REF!="Padrão",$H$4=#REF!),BDI!$B$17,IF(AND(#REF!="Padrão",$H$4=#REF!),BDI!#REF!,IF(AND(#REF!="Diferenciado",$H$4=#REF!),BDI!$E$17,IF(AND(#REF!="Diferenciado",$H$4=#REF!),BDI!#REF!,IF(#REF!="ZERO",0))))),"")</f>
        <v>#REF!</v>
      </c>
      <c r="H3152" s="136" t="str">
        <f t="shared" si="178"/>
        <v/>
      </c>
      <c r="I3152" s="134" t="str">
        <f t="shared" si="179"/>
        <v/>
      </c>
      <c r="J3152" s="226"/>
    </row>
    <row r="3153" spans="1:10" hidden="1" x14ac:dyDescent="0.25">
      <c r="A3153" s="112" t="s">
        <v>7546</v>
      </c>
      <c r="B3153" s="113" t="s">
        <v>7824</v>
      </c>
      <c r="C3153" s="114" t="s">
        <v>20</v>
      </c>
      <c r="D3153" s="114">
        <v>0</v>
      </c>
      <c r="E3153" s="133" t="s">
        <v>514</v>
      </c>
      <c r="F3153" s="134" t="str">
        <f t="shared" si="177"/>
        <v/>
      </c>
      <c r="G3153" s="135" t="e">
        <f>IF(A3153&lt;&gt;"",IF(AND(#REF!="Padrão",$H$4=#REF!),BDI!$B$17,IF(AND(#REF!="Padrão",$H$4=#REF!),BDI!#REF!,IF(AND(#REF!="Diferenciado",$H$4=#REF!),BDI!$E$17,IF(AND(#REF!="Diferenciado",$H$4=#REF!),BDI!#REF!,IF(#REF!="ZERO",0))))),"")</f>
        <v>#REF!</v>
      </c>
      <c r="H3153" s="136" t="str">
        <f t="shared" si="178"/>
        <v/>
      </c>
      <c r="I3153" s="134" t="str">
        <f t="shared" si="179"/>
        <v/>
      </c>
      <c r="J3153" s="226"/>
    </row>
    <row r="3154" spans="1:10" hidden="1" x14ac:dyDescent="0.25">
      <c r="A3154" s="112" t="s">
        <v>7547</v>
      </c>
      <c r="B3154" s="113" t="s">
        <v>7825</v>
      </c>
      <c r="C3154" s="114" t="s">
        <v>20</v>
      </c>
      <c r="D3154" s="114">
        <v>0</v>
      </c>
      <c r="E3154" s="133" t="s">
        <v>514</v>
      </c>
      <c r="F3154" s="134" t="str">
        <f t="shared" si="177"/>
        <v/>
      </c>
      <c r="G3154" s="135" t="e">
        <f>IF(A3154&lt;&gt;"",IF(AND(#REF!="Padrão",$H$4=#REF!),BDI!$B$17,IF(AND(#REF!="Padrão",$H$4=#REF!),BDI!#REF!,IF(AND(#REF!="Diferenciado",$H$4=#REF!),BDI!$E$17,IF(AND(#REF!="Diferenciado",$H$4=#REF!),BDI!#REF!,IF(#REF!="ZERO",0))))),"")</f>
        <v>#REF!</v>
      </c>
      <c r="H3154" s="136" t="str">
        <f t="shared" si="178"/>
        <v/>
      </c>
      <c r="I3154" s="134" t="str">
        <f t="shared" si="179"/>
        <v/>
      </c>
      <c r="J3154" s="226"/>
    </row>
    <row r="3155" spans="1:10" hidden="1" x14ac:dyDescent="0.25">
      <c r="A3155" s="112" t="s">
        <v>7548</v>
      </c>
      <c r="B3155" s="113" t="s">
        <v>7826</v>
      </c>
      <c r="C3155" s="114" t="s">
        <v>20</v>
      </c>
      <c r="D3155" s="114">
        <v>0</v>
      </c>
      <c r="E3155" s="133" t="s">
        <v>514</v>
      </c>
      <c r="F3155" s="134" t="str">
        <f t="shared" si="177"/>
        <v/>
      </c>
      <c r="G3155" s="135" t="e">
        <f>IF(A3155&lt;&gt;"",IF(AND(#REF!="Padrão",$H$4=#REF!),BDI!$B$17,IF(AND(#REF!="Padrão",$H$4=#REF!),BDI!#REF!,IF(AND(#REF!="Diferenciado",$H$4=#REF!),BDI!$E$17,IF(AND(#REF!="Diferenciado",$H$4=#REF!),BDI!#REF!,IF(#REF!="ZERO",0))))),"")</f>
        <v>#REF!</v>
      </c>
      <c r="H3155" s="136" t="str">
        <f t="shared" si="178"/>
        <v/>
      </c>
      <c r="I3155" s="134" t="str">
        <f t="shared" si="179"/>
        <v/>
      </c>
      <c r="J3155" s="226"/>
    </row>
    <row r="3156" spans="1:10" hidden="1" x14ac:dyDescent="0.25">
      <c r="A3156" s="112" t="s">
        <v>7549</v>
      </c>
      <c r="B3156" s="113" t="s">
        <v>7827</v>
      </c>
      <c r="C3156" s="114" t="s">
        <v>20</v>
      </c>
      <c r="D3156" s="114">
        <v>0</v>
      </c>
      <c r="E3156" s="133" t="s">
        <v>514</v>
      </c>
      <c r="F3156" s="134" t="str">
        <f t="shared" si="177"/>
        <v/>
      </c>
      <c r="G3156" s="135" t="e">
        <f>IF(A3156&lt;&gt;"",IF(AND(#REF!="Padrão",$H$4=#REF!),BDI!$B$17,IF(AND(#REF!="Padrão",$H$4=#REF!),BDI!#REF!,IF(AND(#REF!="Diferenciado",$H$4=#REF!),BDI!$E$17,IF(AND(#REF!="Diferenciado",$H$4=#REF!),BDI!#REF!,IF(#REF!="ZERO",0))))),"")</f>
        <v>#REF!</v>
      </c>
      <c r="H3156" s="136" t="str">
        <f t="shared" si="178"/>
        <v/>
      </c>
      <c r="I3156" s="134" t="str">
        <f t="shared" si="179"/>
        <v/>
      </c>
      <c r="J3156" s="226"/>
    </row>
    <row r="3157" spans="1:10" hidden="1" x14ac:dyDescent="0.25">
      <c r="A3157" s="112" t="s">
        <v>7550</v>
      </c>
      <c r="B3157" s="113" t="s">
        <v>7828</v>
      </c>
      <c r="C3157" s="114" t="s">
        <v>20</v>
      </c>
      <c r="D3157" s="114">
        <v>0</v>
      </c>
      <c r="E3157" s="133" t="s">
        <v>514</v>
      </c>
      <c r="F3157" s="134" t="str">
        <f t="shared" si="177"/>
        <v/>
      </c>
      <c r="G3157" s="135" t="e">
        <f>IF(A3157&lt;&gt;"",IF(AND(#REF!="Padrão",$H$4=#REF!),BDI!$B$17,IF(AND(#REF!="Padrão",$H$4=#REF!),BDI!#REF!,IF(AND(#REF!="Diferenciado",$H$4=#REF!),BDI!$E$17,IF(AND(#REF!="Diferenciado",$H$4=#REF!),BDI!#REF!,IF(#REF!="ZERO",0))))),"")</f>
        <v>#REF!</v>
      </c>
      <c r="H3157" s="136" t="str">
        <f t="shared" si="178"/>
        <v/>
      </c>
      <c r="I3157" s="134" t="str">
        <f t="shared" si="179"/>
        <v/>
      </c>
      <c r="J3157" s="226"/>
    </row>
    <row r="3158" spans="1:10" hidden="1" x14ac:dyDescent="0.25">
      <c r="A3158" s="112" t="s">
        <v>7551</v>
      </c>
      <c r="B3158" s="113" t="s">
        <v>7829</v>
      </c>
      <c r="C3158" s="114" t="s">
        <v>20</v>
      </c>
      <c r="D3158" s="114">
        <v>0</v>
      </c>
      <c r="E3158" s="133" t="s">
        <v>514</v>
      </c>
      <c r="F3158" s="134" t="str">
        <f t="shared" si="177"/>
        <v/>
      </c>
      <c r="G3158" s="135" t="e">
        <f>IF(A3158&lt;&gt;"",IF(AND(#REF!="Padrão",$H$4=#REF!),BDI!$B$17,IF(AND(#REF!="Padrão",$H$4=#REF!),BDI!#REF!,IF(AND(#REF!="Diferenciado",$H$4=#REF!),BDI!$E$17,IF(AND(#REF!="Diferenciado",$H$4=#REF!),BDI!#REF!,IF(#REF!="ZERO",0))))),"")</f>
        <v>#REF!</v>
      </c>
      <c r="H3158" s="136" t="str">
        <f t="shared" si="178"/>
        <v/>
      </c>
      <c r="I3158" s="134" t="str">
        <f t="shared" si="179"/>
        <v/>
      </c>
      <c r="J3158" s="226"/>
    </row>
    <row r="3159" spans="1:10" hidden="1" x14ac:dyDescent="0.25">
      <c r="A3159" s="112" t="s">
        <v>7552</v>
      </c>
      <c r="B3159" s="113" t="s">
        <v>7830</v>
      </c>
      <c r="C3159" s="114" t="s">
        <v>20</v>
      </c>
      <c r="D3159" s="114">
        <v>0</v>
      </c>
      <c r="E3159" s="133" t="s">
        <v>514</v>
      </c>
      <c r="F3159" s="134" t="str">
        <f t="shared" si="177"/>
        <v/>
      </c>
      <c r="G3159" s="135" t="e">
        <f>IF(A3159&lt;&gt;"",IF(AND(#REF!="Padrão",$H$4=#REF!),BDI!$B$17,IF(AND(#REF!="Padrão",$H$4=#REF!),BDI!#REF!,IF(AND(#REF!="Diferenciado",$H$4=#REF!),BDI!$E$17,IF(AND(#REF!="Diferenciado",$H$4=#REF!),BDI!#REF!,IF(#REF!="ZERO",0))))),"")</f>
        <v>#REF!</v>
      </c>
      <c r="H3159" s="136" t="str">
        <f t="shared" si="178"/>
        <v/>
      </c>
      <c r="I3159" s="134" t="str">
        <f t="shared" si="179"/>
        <v/>
      </c>
      <c r="J3159" s="226"/>
    </row>
    <row r="3160" spans="1:10" hidden="1" x14ac:dyDescent="0.25">
      <c r="A3160" s="112" t="s">
        <v>7553</v>
      </c>
      <c r="B3160" s="113" t="s">
        <v>7831</v>
      </c>
      <c r="C3160" s="114" t="s">
        <v>20</v>
      </c>
      <c r="D3160" s="114">
        <v>0</v>
      </c>
      <c r="E3160" s="133" t="s">
        <v>514</v>
      </c>
      <c r="F3160" s="134" t="str">
        <f t="shared" si="177"/>
        <v/>
      </c>
      <c r="G3160" s="135" t="e">
        <f>IF(A3160&lt;&gt;"",IF(AND(#REF!="Padrão",$H$4=#REF!),BDI!$B$17,IF(AND(#REF!="Padrão",$H$4=#REF!),BDI!#REF!,IF(AND(#REF!="Diferenciado",$H$4=#REF!),BDI!$E$17,IF(AND(#REF!="Diferenciado",$H$4=#REF!),BDI!#REF!,IF(#REF!="ZERO",0))))),"")</f>
        <v>#REF!</v>
      </c>
      <c r="H3160" s="136" t="str">
        <f t="shared" si="178"/>
        <v/>
      </c>
      <c r="I3160" s="134" t="str">
        <f t="shared" si="179"/>
        <v/>
      </c>
      <c r="J3160" s="226"/>
    </row>
    <row r="3161" spans="1:10" hidden="1" x14ac:dyDescent="0.25">
      <c r="A3161" s="112" t="s">
        <v>7554</v>
      </c>
      <c r="B3161" s="113" t="s">
        <v>7832</v>
      </c>
      <c r="C3161" s="114" t="s">
        <v>20</v>
      </c>
      <c r="D3161" s="114">
        <v>0</v>
      </c>
      <c r="E3161" s="133" t="s">
        <v>514</v>
      </c>
      <c r="F3161" s="134" t="str">
        <f t="shared" si="177"/>
        <v/>
      </c>
      <c r="G3161" s="135" t="e">
        <f>IF(A3161&lt;&gt;"",IF(AND(#REF!="Padrão",$H$4=#REF!),BDI!$B$17,IF(AND(#REF!="Padrão",$H$4=#REF!),BDI!#REF!,IF(AND(#REF!="Diferenciado",$H$4=#REF!),BDI!$E$17,IF(AND(#REF!="Diferenciado",$H$4=#REF!),BDI!#REF!,IF(#REF!="ZERO",0))))),"")</f>
        <v>#REF!</v>
      </c>
      <c r="H3161" s="136" t="str">
        <f t="shared" si="178"/>
        <v/>
      </c>
      <c r="I3161" s="134" t="str">
        <f t="shared" si="179"/>
        <v/>
      </c>
      <c r="J3161" s="226"/>
    </row>
    <row r="3162" spans="1:10" hidden="1" x14ac:dyDescent="0.25">
      <c r="A3162" s="112" t="s">
        <v>7555</v>
      </c>
      <c r="B3162" s="113" t="s">
        <v>7833</v>
      </c>
      <c r="C3162" s="114" t="s">
        <v>20</v>
      </c>
      <c r="D3162" s="114">
        <v>0</v>
      </c>
      <c r="E3162" s="133" t="s">
        <v>514</v>
      </c>
      <c r="F3162" s="134" t="str">
        <f t="shared" si="177"/>
        <v/>
      </c>
      <c r="G3162" s="135" t="e">
        <f>IF(A3162&lt;&gt;"",IF(AND(#REF!="Padrão",$H$4=#REF!),BDI!$B$17,IF(AND(#REF!="Padrão",$H$4=#REF!),BDI!#REF!,IF(AND(#REF!="Diferenciado",$H$4=#REF!),BDI!$E$17,IF(AND(#REF!="Diferenciado",$H$4=#REF!),BDI!#REF!,IF(#REF!="ZERO",0))))),"")</f>
        <v>#REF!</v>
      </c>
      <c r="H3162" s="136" t="str">
        <f t="shared" si="178"/>
        <v/>
      </c>
      <c r="I3162" s="134" t="str">
        <f t="shared" si="179"/>
        <v/>
      </c>
      <c r="J3162" s="226"/>
    </row>
    <row r="3163" spans="1:10" hidden="1" x14ac:dyDescent="0.25">
      <c r="A3163" s="112" t="s">
        <v>7556</v>
      </c>
      <c r="B3163" s="113" t="s">
        <v>7834</v>
      </c>
      <c r="C3163" s="114" t="s">
        <v>20</v>
      </c>
      <c r="D3163" s="114">
        <v>0</v>
      </c>
      <c r="E3163" s="133" t="s">
        <v>514</v>
      </c>
      <c r="F3163" s="134" t="str">
        <f t="shared" si="177"/>
        <v/>
      </c>
      <c r="G3163" s="135" t="e">
        <f>IF(A3163&lt;&gt;"",IF(AND(#REF!="Padrão",$H$4=#REF!),BDI!$B$17,IF(AND(#REF!="Padrão",$H$4=#REF!),BDI!#REF!,IF(AND(#REF!="Diferenciado",$H$4=#REF!),BDI!$E$17,IF(AND(#REF!="Diferenciado",$H$4=#REF!),BDI!#REF!,IF(#REF!="ZERO",0))))),"")</f>
        <v>#REF!</v>
      </c>
      <c r="H3163" s="136" t="str">
        <f t="shared" si="178"/>
        <v/>
      </c>
      <c r="I3163" s="134" t="str">
        <f t="shared" si="179"/>
        <v/>
      </c>
      <c r="J3163" s="226"/>
    </row>
    <row r="3164" spans="1:10" hidden="1" x14ac:dyDescent="0.25">
      <c r="A3164" s="112" t="s">
        <v>7557</v>
      </c>
      <c r="B3164" s="113" t="s">
        <v>7990</v>
      </c>
      <c r="C3164" s="114" t="s">
        <v>7836</v>
      </c>
      <c r="D3164" s="114">
        <v>0</v>
      </c>
      <c r="E3164" s="133">
        <f ca="1">OFFSET(INDEX(Composições!A:J,MATCH(Orçamentária!A3164,Composições!A:A,0),8),2,0)</f>
        <v>0</v>
      </c>
      <c r="F3164" s="134">
        <f t="shared" ca="1" si="177"/>
        <v>0</v>
      </c>
      <c r="G3164" s="135" t="e">
        <f>IF(A3164&lt;&gt;"",IF(AND(#REF!="Padrão",$H$4=#REF!),BDI!$B$17,IF(AND(#REF!="Padrão",$H$4=#REF!),BDI!#REF!,IF(AND(#REF!="Diferenciado",$H$4=#REF!),BDI!$E$17,IF(AND(#REF!="Diferenciado",$H$4=#REF!),BDI!#REF!,IF(#REF!="ZERO",0))))),"")</f>
        <v>#REF!</v>
      </c>
      <c r="H3164" s="136" t="e">
        <f t="shared" ca="1" si="178"/>
        <v>#REF!</v>
      </c>
      <c r="I3164" s="134" t="e">
        <f t="shared" ca="1" si="179"/>
        <v>#REF!</v>
      </c>
      <c r="J3164" s="226"/>
    </row>
    <row r="3165" spans="1:10" hidden="1" x14ac:dyDescent="0.25">
      <c r="A3165" s="112" t="s">
        <v>7558</v>
      </c>
      <c r="B3165" s="113" t="s">
        <v>7837</v>
      </c>
      <c r="C3165" s="114" t="s">
        <v>20</v>
      </c>
      <c r="D3165" s="114">
        <v>0</v>
      </c>
      <c r="E3165" s="133" t="s">
        <v>514</v>
      </c>
      <c r="F3165" s="134" t="str">
        <f t="shared" si="177"/>
        <v/>
      </c>
      <c r="G3165" s="135" t="e">
        <f>IF(A3165&lt;&gt;"",IF(AND(#REF!="Padrão",$H$4=#REF!),BDI!$B$17,IF(AND(#REF!="Padrão",$H$4=#REF!),BDI!#REF!,IF(AND(#REF!="Diferenciado",$H$4=#REF!),BDI!$E$17,IF(AND(#REF!="Diferenciado",$H$4=#REF!),BDI!#REF!,IF(#REF!="ZERO",0))))),"")</f>
        <v>#REF!</v>
      </c>
      <c r="H3165" s="136" t="str">
        <f t="shared" si="178"/>
        <v/>
      </c>
      <c r="I3165" s="134" t="str">
        <f t="shared" si="179"/>
        <v/>
      </c>
      <c r="J3165" s="226"/>
    </row>
    <row r="3166" spans="1:10" hidden="1" x14ac:dyDescent="0.25">
      <c r="A3166" s="112" t="s">
        <v>7559</v>
      </c>
      <c r="B3166" s="113" t="s">
        <v>7838</v>
      </c>
      <c r="C3166" s="114" t="s">
        <v>20</v>
      </c>
      <c r="D3166" s="114">
        <v>0</v>
      </c>
      <c r="E3166" s="133" t="s">
        <v>514</v>
      </c>
      <c r="F3166" s="134" t="str">
        <f t="shared" si="177"/>
        <v/>
      </c>
      <c r="G3166" s="135" t="e">
        <f>IF(A3166&lt;&gt;"",IF(AND(#REF!="Padrão",$H$4=#REF!),BDI!$B$17,IF(AND(#REF!="Padrão",$H$4=#REF!),BDI!#REF!,IF(AND(#REF!="Diferenciado",$H$4=#REF!),BDI!$E$17,IF(AND(#REF!="Diferenciado",$H$4=#REF!),BDI!#REF!,IF(#REF!="ZERO",0))))),"")</f>
        <v>#REF!</v>
      </c>
      <c r="H3166" s="136" t="str">
        <f t="shared" si="178"/>
        <v/>
      </c>
      <c r="I3166" s="134" t="str">
        <f t="shared" si="179"/>
        <v/>
      </c>
      <c r="J3166" s="226"/>
    </row>
    <row r="3167" spans="1:10" hidden="1" x14ac:dyDescent="0.25">
      <c r="A3167" s="112" t="s">
        <v>7560</v>
      </c>
      <c r="B3167" s="113" t="s">
        <v>7839</v>
      </c>
      <c r="C3167" s="114" t="s">
        <v>20</v>
      </c>
      <c r="D3167" s="114">
        <v>0</v>
      </c>
      <c r="E3167" s="133" t="s">
        <v>514</v>
      </c>
      <c r="F3167" s="134" t="str">
        <f t="shared" si="177"/>
        <v/>
      </c>
      <c r="G3167" s="135" t="e">
        <f>IF(A3167&lt;&gt;"",IF(AND(#REF!="Padrão",$H$4=#REF!),BDI!$B$17,IF(AND(#REF!="Padrão",$H$4=#REF!),BDI!#REF!,IF(AND(#REF!="Diferenciado",$H$4=#REF!),BDI!$E$17,IF(AND(#REF!="Diferenciado",$H$4=#REF!),BDI!#REF!,IF(#REF!="ZERO",0))))),"")</f>
        <v>#REF!</v>
      </c>
      <c r="H3167" s="136" t="str">
        <f t="shared" si="178"/>
        <v/>
      </c>
      <c r="I3167" s="134" t="str">
        <f t="shared" si="179"/>
        <v/>
      </c>
      <c r="J3167" s="226"/>
    </row>
    <row r="3168" spans="1:10" hidden="1" x14ac:dyDescent="0.25">
      <c r="A3168" s="112" t="s">
        <v>7561</v>
      </c>
      <c r="B3168" s="113" t="s">
        <v>7840</v>
      </c>
      <c r="C3168" s="114" t="s">
        <v>20</v>
      </c>
      <c r="D3168" s="114">
        <v>0</v>
      </c>
      <c r="E3168" s="133" t="s">
        <v>514</v>
      </c>
      <c r="F3168" s="134" t="str">
        <f t="shared" si="177"/>
        <v/>
      </c>
      <c r="G3168" s="135" t="e">
        <f>IF(A3168&lt;&gt;"",IF(AND(#REF!="Padrão",$H$4=#REF!),BDI!$B$17,IF(AND(#REF!="Padrão",$H$4=#REF!),BDI!#REF!,IF(AND(#REF!="Diferenciado",$H$4=#REF!),BDI!$E$17,IF(AND(#REF!="Diferenciado",$H$4=#REF!),BDI!#REF!,IF(#REF!="ZERO",0))))),"")</f>
        <v>#REF!</v>
      </c>
      <c r="H3168" s="136" t="str">
        <f t="shared" si="178"/>
        <v/>
      </c>
      <c r="I3168" s="134" t="str">
        <f t="shared" si="179"/>
        <v/>
      </c>
      <c r="J3168" s="226"/>
    </row>
    <row r="3169" spans="1:10" hidden="1" x14ac:dyDescent="0.25">
      <c r="A3169" s="112" t="s">
        <v>7562</v>
      </c>
      <c r="B3169" s="113" t="s">
        <v>7841</v>
      </c>
      <c r="C3169" s="114" t="s">
        <v>20</v>
      </c>
      <c r="D3169" s="114">
        <v>0</v>
      </c>
      <c r="E3169" s="133" t="s">
        <v>514</v>
      </c>
      <c r="F3169" s="134" t="str">
        <f t="shared" si="177"/>
        <v/>
      </c>
      <c r="G3169" s="135" t="e">
        <f>IF(A3169&lt;&gt;"",IF(AND(#REF!="Padrão",$H$4=#REF!),BDI!$B$17,IF(AND(#REF!="Padrão",$H$4=#REF!),BDI!#REF!,IF(AND(#REF!="Diferenciado",$H$4=#REF!),BDI!$E$17,IF(AND(#REF!="Diferenciado",$H$4=#REF!),BDI!#REF!,IF(#REF!="ZERO",0))))),"")</f>
        <v>#REF!</v>
      </c>
      <c r="H3169" s="136" t="str">
        <f t="shared" si="178"/>
        <v/>
      </c>
      <c r="I3169" s="134" t="str">
        <f t="shared" si="179"/>
        <v/>
      </c>
      <c r="J3169" s="226"/>
    </row>
    <row r="3170" spans="1:10" hidden="1" x14ac:dyDescent="0.25">
      <c r="A3170" s="112" t="s">
        <v>7563</v>
      </c>
      <c r="B3170" s="113" t="s">
        <v>7842</v>
      </c>
      <c r="C3170" s="114" t="s">
        <v>20</v>
      </c>
      <c r="D3170" s="114">
        <v>0</v>
      </c>
      <c r="E3170" s="133" t="s">
        <v>514</v>
      </c>
      <c r="F3170" s="134" t="str">
        <f t="shared" si="177"/>
        <v/>
      </c>
      <c r="G3170" s="135" t="e">
        <f>IF(A3170&lt;&gt;"",IF(AND(#REF!="Padrão",$H$4=#REF!),BDI!$B$17,IF(AND(#REF!="Padrão",$H$4=#REF!),BDI!#REF!,IF(AND(#REF!="Diferenciado",$H$4=#REF!),BDI!$E$17,IF(AND(#REF!="Diferenciado",$H$4=#REF!),BDI!#REF!,IF(#REF!="ZERO",0))))),"")</f>
        <v>#REF!</v>
      </c>
      <c r="H3170" s="136" t="str">
        <f t="shared" si="178"/>
        <v/>
      </c>
      <c r="I3170" s="134" t="str">
        <f t="shared" si="179"/>
        <v/>
      </c>
      <c r="J3170" s="226"/>
    </row>
    <row r="3171" spans="1:10" hidden="1" x14ac:dyDescent="0.25">
      <c r="A3171" s="112" t="s">
        <v>7564</v>
      </c>
      <c r="B3171" s="113" t="s">
        <v>7843</v>
      </c>
      <c r="C3171" s="114" t="s">
        <v>20</v>
      </c>
      <c r="D3171" s="114">
        <v>0</v>
      </c>
      <c r="E3171" s="133" t="s">
        <v>514</v>
      </c>
      <c r="F3171" s="134" t="str">
        <f t="shared" si="177"/>
        <v/>
      </c>
      <c r="G3171" s="135" t="e">
        <f>IF(A3171&lt;&gt;"",IF(AND(#REF!="Padrão",$H$4=#REF!),BDI!$B$17,IF(AND(#REF!="Padrão",$H$4=#REF!),BDI!#REF!,IF(AND(#REF!="Diferenciado",$H$4=#REF!),BDI!$E$17,IF(AND(#REF!="Diferenciado",$H$4=#REF!),BDI!#REF!,IF(#REF!="ZERO",0))))),"")</f>
        <v>#REF!</v>
      </c>
      <c r="H3171" s="136" t="str">
        <f t="shared" si="178"/>
        <v/>
      </c>
      <c r="I3171" s="134" t="str">
        <f t="shared" si="179"/>
        <v/>
      </c>
      <c r="J3171" s="226"/>
    </row>
    <row r="3172" spans="1:10" hidden="1" x14ac:dyDescent="0.25">
      <c r="A3172" s="112" t="s">
        <v>7565</v>
      </c>
      <c r="B3172" s="113" t="s">
        <v>7991</v>
      </c>
      <c r="C3172" s="114" t="s">
        <v>7836</v>
      </c>
      <c r="D3172" s="114">
        <v>0</v>
      </c>
      <c r="E3172" s="133">
        <f ca="1">OFFSET(INDEX(Composições!A:J,MATCH(Orçamentária!A3172,Composições!A:A,0),8),2,0)</f>
        <v>0</v>
      </c>
      <c r="F3172" s="134">
        <f t="shared" ca="1" si="177"/>
        <v>0</v>
      </c>
      <c r="G3172" s="135" t="e">
        <f>IF(A3172&lt;&gt;"",IF(AND(#REF!="Padrão",$H$4=#REF!),BDI!$B$17,IF(AND(#REF!="Padrão",$H$4=#REF!),BDI!#REF!,IF(AND(#REF!="Diferenciado",$H$4=#REF!),BDI!$E$17,IF(AND(#REF!="Diferenciado",$H$4=#REF!),BDI!#REF!,IF(#REF!="ZERO",0))))),"")</f>
        <v>#REF!</v>
      </c>
      <c r="H3172" s="136" t="e">
        <f t="shared" ca="1" si="178"/>
        <v>#REF!</v>
      </c>
      <c r="I3172" s="134" t="e">
        <f t="shared" ca="1" si="179"/>
        <v>#REF!</v>
      </c>
      <c r="J3172" s="226"/>
    </row>
    <row r="3173" spans="1:10" hidden="1" x14ac:dyDescent="0.25">
      <c r="A3173" s="112" t="s">
        <v>7566</v>
      </c>
      <c r="B3173" s="113" t="s">
        <v>7845</v>
      </c>
      <c r="C3173" s="114" t="s">
        <v>20</v>
      </c>
      <c r="D3173" s="114">
        <v>0</v>
      </c>
      <c r="E3173" s="133" t="s">
        <v>514</v>
      </c>
      <c r="F3173" s="134" t="str">
        <f t="shared" si="177"/>
        <v/>
      </c>
      <c r="G3173" s="135" t="e">
        <f>IF(A3173&lt;&gt;"",IF(AND(#REF!="Padrão",$H$4=#REF!),BDI!$B$17,IF(AND(#REF!="Padrão",$H$4=#REF!),BDI!#REF!,IF(AND(#REF!="Diferenciado",$H$4=#REF!),BDI!$E$17,IF(AND(#REF!="Diferenciado",$H$4=#REF!),BDI!#REF!,IF(#REF!="ZERO",0))))),"")</f>
        <v>#REF!</v>
      </c>
      <c r="H3173" s="136" t="str">
        <f t="shared" si="178"/>
        <v/>
      </c>
      <c r="I3173" s="134" t="str">
        <f t="shared" si="179"/>
        <v/>
      </c>
      <c r="J3173" s="226"/>
    </row>
    <row r="3174" spans="1:10" hidden="1" x14ac:dyDescent="0.25">
      <c r="A3174" s="112" t="s">
        <v>7567</v>
      </c>
      <c r="B3174" s="113" t="s">
        <v>7846</v>
      </c>
      <c r="C3174" s="114" t="s">
        <v>20</v>
      </c>
      <c r="D3174" s="114">
        <v>0</v>
      </c>
      <c r="E3174" s="133" t="s">
        <v>514</v>
      </c>
      <c r="F3174" s="134" t="str">
        <f t="shared" si="177"/>
        <v/>
      </c>
      <c r="G3174" s="135" t="e">
        <f>IF(A3174&lt;&gt;"",IF(AND(#REF!="Padrão",$H$4=#REF!),BDI!$B$17,IF(AND(#REF!="Padrão",$H$4=#REF!),BDI!#REF!,IF(AND(#REF!="Diferenciado",$H$4=#REF!),BDI!$E$17,IF(AND(#REF!="Diferenciado",$H$4=#REF!),BDI!#REF!,IF(#REF!="ZERO",0))))),"")</f>
        <v>#REF!</v>
      </c>
      <c r="H3174" s="136" t="str">
        <f t="shared" si="178"/>
        <v/>
      </c>
      <c r="I3174" s="134" t="str">
        <f t="shared" si="179"/>
        <v/>
      </c>
      <c r="J3174" s="226"/>
    </row>
    <row r="3175" spans="1:10" hidden="1" x14ac:dyDescent="0.25">
      <c r="A3175" s="112" t="s">
        <v>7568</v>
      </c>
      <c r="B3175" s="113" t="s">
        <v>7847</v>
      </c>
      <c r="C3175" s="114" t="s">
        <v>20</v>
      </c>
      <c r="D3175" s="114">
        <v>0</v>
      </c>
      <c r="E3175" s="133" t="s">
        <v>514</v>
      </c>
      <c r="F3175" s="134" t="str">
        <f t="shared" si="177"/>
        <v/>
      </c>
      <c r="G3175" s="135" t="e">
        <f>IF(A3175&lt;&gt;"",IF(AND(#REF!="Padrão",$H$4=#REF!),BDI!$B$17,IF(AND(#REF!="Padrão",$H$4=#REF!),BDI!#REF!,IF(AND(#REF!="Diferenciado",$H$4=#REF!),BDI!$E$17,IF(AND(#REF!="Diferenciado",$H$4=#REF!),BDI!#REF!,IF(#REF!="ZERO",0))))),"")</f>
        <v>#REF!</v>
      </c>
      <c r="H3175" s="136" t="str">
        <f t="shared" si="178"/>
        <v/>
      </c>
      <c r="I3175" s="134" t="str">
        <f t="shared" si="179"/>
        <v/>
      </c>
      <c r="J3175" s="226"/>
    </row>
    <row r="3176" spans="1:10" hidden="1" x14ac:dyDescent="0.25">
      <c r="A3176" s="112" t="s">
        <v>7569</v>
      </c>
      <c r="B3176" s="113" t="s">
        <v>7848</v>
      </c>
      <c r="C3176" s="114" t="s">
        <v>20</v>
      </c>
      <c r="D3176" s="114">
        <v>0</v>
      </c>
      <c r="E3176" s="133" t="s">
        <v>514</v>
      </c>
      <c r="F3176" s="134" t="str">
        <f t="shared" si="177"/>
        <v/>
      </c>
      <c r="G3176" s="135" t="e">
        <f>IF(A3176&lt;&gt;"",IF(AND(#REF!="Padrão",$H$4=#REF!),BDI!$B$17,IF(AND(#REF!="Padrão",$H$4=#REF!),BDI!#REF!,IF(AND(#REF!="Diferenciado",$H$4=#REF!),BDI!$E$17,IF(AND(#REF!="Diferenciado",$H$4=#REF!),BDI!#REF!,IF(#REF!="ZERO",0))))),"")</f>
        <v>#REF!</v>
      </c>
      <c r="H3176" s="136" t="str">
        <f t="shared" si="178"/>
        <v/>
      </c>
      <c r="I3176" s="134" t="str">
        <f t="shared" si="179"/>
        <v/>
      </c>
      <c r="J3176" s="226"/>
    </row>
    <row r="3177" spans="1:10" hidden="1" x14ac:dyDescent="0.25">
      <c r="A3177" s="112" t="s">
        <v>7570</v>
      </c>
      <c r="B3177" s="113" t="s">
        <v>7849</v>
      </c>
      <c r="C3177" s="114" t="s">
        <v>20</v>
      </c>
      <c r="D3177" s="114">
        <v>0</v>
      </c>
      <c r="E3177" s="133" t="s">
        <v>514</v>
      </c>
      <c r="F3177" s="134" t="str">
        <f t="shared" si="177"/>
        <v/>
      </c>
      <c r="G3177" s="135" t="e">
        <f>IF(A3177&lt;&gt;"",IF(AND(#REF!="Padrão",$H$4=#REF!),BDI!$B$17,IF(AND(#REF!="Padrão",$H$4=#REF!),BDI!#REF!,IF(AND(#REF!="Diferenciado",$H$4=#REF!),BDI!$E$17,IF(AND(#REF!="Diferenciado",$H$4=#REF!),BDI!#REF!,IF(#REF!="ZERO",0))))),"")</f>
        <v>#REF!</v>
      </c>
      <c r="H3177" s="136" t="str">
        <f t="shared" si="178"/>
        <v/>
      </c>
      <c r="I3177" s="134" t="str">
        <f t="shared" si="179"/>
        <v/>
      </c>
      <c r="J3177" s="226"/>
    </row>
    <row r="3178" spans="1:10" hidden="1" x14ac:dyDescent="0.25">
      <c r="A3178" s="112" t="s">
        <v>7571</v>
      </c>
      <c r="B3178" s="113" t="s">
        <v>7850</v>
      </c>
      <c r="C3178" s="114" t="s">
        <v>20</v>
      </c>
      <c r="D3178" s="114">
        <v>0</v>
      </c>
      <c r="E3178" s="133" t="s">
        <v>514</v>
      </c>
      <c r="F3178" s="134" t="str">
        <f t="shared" si="177"/>
        <v/>
      </c>
      <c r="G3178" s="135" t="e">
        <f>IF(A3178&lt;&gt;"",IF(AND(#REF!="Padrão",$H$4=#REF!),BDI!$B$17,IF(AND(#REF!="Padrão",$H$4=#REF!),BDI!#REF!,IF(AND(#REF!="Diferenciado",$H$4=#REF!),BDI!$E$17,IF(AND(#REF!="Diferenciado",$H$4=#REF!),BDI!#REF!,IF(#REF!="ZERO",0))))),"")</f>
        <v>#REF!</v>
      </c>
      <c r="H3178" s="136" t="str">
        <f t="shared" si="178"/>
        <v/>
      </c>
      <c r="I3178" s="134" t="str">
        <f t="shared" si="179"/>
        <v/>
      </c>
      <c r="J3178" s="226"/>
    </row>
    <row r="3179" spans="1:10" hidden="1" x14ac:dyDescent="0.25">
      <c r="A3179" s="112" t="s">
        <v>7572</v>
      </c>
      <c r="B3179" s="113" t="s">
        <v>7851</v>
      </c>
      <c r="C3179" s="114" t="s">
        <v>20</v>
      </c>
      <c r="D3179" s="114">
        <v>0</v>
      </c>
      <c r="E3179" s="133" t="s">
        <v>514</v>
      </c>
      <c r="F3179" s="134" t="str">
        <f t="shared" si="177"/>
        <v/>
      </c>
      <c r="G3179" s="135" t="e">
        <f>IF(A3179&lt;&gt;"",IF(AND(#REF!="Padrão",$H$4=#REF!),BDI!$B$17,IF(AND(#REF!="Padrão",$H$4=#REF!),BDI!#REF!,IF(AND(#REF!="Diferenciado",$H$4=#REF!),BDI!$E$17,IF(AND(#REF!="Diferenciado",$H$4=#REF!),BDI!#REF!,IF(#REF!="ZERO",0))))),"")</f>
        <v>#REF!</v>
      </c>
      <c r="H3179" s="136" t="str">
        <f t="shared" si="178"/>
        <v/>
      </c>
      <c r="I3179" s="134" t="str">
        <f t="shared" si="179"/>
        <v/>
      </c>
      <c r="J3179" s="226"/>
    </row>
    <row r="3180" spans="1:10" hidden="1" x14ac:dyDescent="0.25">
      <c r="A3180" s="112" t="s">
        <v>7573</v>
      </c>
      <c r="B3180" s="113" t="s">
        <v>7852</v>
      </c>
      <c r="C3180" s="114" t="s">
        <v>20</v>
      </c>
      <c r="D3180" s="114">
        <v>0</v>
      </c>
      <c r="E3180" s="133" t="s">
        <v>514</v>
      </c>
      <c r="F3180" s="134" t="str">
        <f t="shared" si="177"/>
        <v/>
      </c>
      <c r="G3180" s="135" t="e">
        <f>IF(A3180&lt;&gt;"",IF(AND(#REF!="Padrão",$H$4=#REF!),BDI!$B$17,IF(AND(#REF!="Padrão",$H$4=#REF!),BDI!#REF!,IF(AND(#REF!="Diferenciado",$H$4=#REF!),BDI!$E$17,IF(AND(#REF!="Diferenciado",$H$4=#REF!),BDI!#REF!,IF(#REF!="ZERO",0))))),"")</f>
        <v>#REF!</v>
      </c>
      <c r="H3180" s="136" t="str">
        <f t="shared" si="178"/>
        <v/>
      </c>
      <c r="I3180" s="134" t="str">
        <f t="shared" si="179"/>
        <v/>
      </c>
      <c r="J3180" s="226"/>
    </row>
    <row r="3181" spans="1:10" hidden="1" x14ac:dyDescent="0.25">
      <c r="A3181" s="112" t="s">
        <v>7574</v>
      </c>
      <c r="B3181" s="113" t="s">
        <v>7853</v>
      </c>
      <c r="C3181" s="114" t="s">
        <v>20</v>
      </c>
      <c r="D3181" s="114">
        <v>0</v>
      </c>
      <c r="E3181" s="133" t="s">
        <v>514</v>
      </c>
      <c r="F3181" s="134" t="str">
        <f t="shared" si="177"/>
        <v/>
      </c>
      <c r="G3181" s="135" t="e">
        <f>IF(A3181&lt;&gt;"",IF(AND(#REF!="Padrão",$H$4=#REF!),BDI!$B$17,IF(AND(#REF!="Padrão",$H$4=#REF!),BDI!#REF!,IF(AND(#REF!="Diferenciado",$H$4=#REF!),BDI!$E$17,IF(AND(#REF!="Diferenciado",$H$4=#REF!),BDI!#REF!,IF(#REF!="ZERO",0))))),"")</f>
        <v>#REF!</v>
      </c>
      <c r="H3181" s="136" t="str">
        <f t="shared" si="178"/>
        <v/>
      </c>
      <c r="I3181" s="134" t="str">
        <f t="shared" si="179"/>
        <v/>
      </c>
      <c r="J3181" s="226"/>
    </row>
    <row r="3182" spans="1:10" hidden="1" x14ac:dyDescent="0.25">
      <c r="A3182" s="112" t="s">
        <v>7575</v>
      </c>
      <c r="B3182" s="113" t="s">
        <v>7854</v>
      </c>
      <c r="C3182" s="114" t="s">
        <v>20</v>
      </c>
      <c r="D3182" s="114">
        <v>0</v>
      </c>
      <c r="E3182" s="133" t="s">
        <v>514</v>
      </c>
      <c r="F3182" s="134" t="str">
        <f t="shared" si="177"/>
        <v/>
      </c>
      <c r="G3182" s="135" t="e">
        <f>IF(A3182&lt;&gt;"",IF(AND(#REF!="Padrão",$H$4=#REF!),BDI!$B$17,IF(AND(#REF!="Padrão",$H$4=#REF!),BDI!#REF!,IF(AND(#REF!="Diferenciado",$H$4=#REF!),BDI!$E$17,IF(AND(#REF!="Diferenciado",$H$4=#REF!),BDI!#REF!,IF(#REF!="ZERO",0))))),"")</f>
        <v>#REF!</v>
      </c>
      <c r="H3182" s="136" t="str">
        <f t="shared" si="178"/>
        <v/>
      </c>
      <c r="I3182" s="134" t="str">
        <f t="shared" si="179"/>
        <v/>
      </c>
      <c r="J3182" s="226"/>
    </row>
    <row r="3183" spans="1:10" hidden="1" x14ac:dyDescent="0.25">
      <c r="A3183" s="112" t="s">
        <v>7576</v>
      </c>
      <c r="B3183" s="113" t="s">
        <v>7855</v>
      </c>
      <c r="C3183" s="114" t="s">
        <v>20</v>
      </c>
      <c r="D3183" s="114">
        <v>0</v>
      </c>
      <c r="E3183" s="133" t="s">
        <v>514</v>
      </c>
      <c r="F3183" s="134" t="str">
        <f t="shared" si="177"/>
        <v/>
      </c>
      <c r="G3183" s="135" t="e">
        <f>IF(A3183&lt;&gt;"",IF(AND(#REF!="Padrão",$H$4=#REF!),BDI!$B$17,IF(AND(#REF!="Padrão",$H$4=#REF!),BDI!#REF!,IF(AND(#REF!="Diferenciado",$H$4=#REF!),BDI!$E$17,IF(AND(#REF!="Diferenciado",$H$4=#REF!),BDI!#REF!,IF(#REF!="ZERO",0))))),"")</f>
        <v>#REF!</v>
      </c>
      <c r="H3183" s="136" t="str">
        <f t="shared" si="178"/>
        <v/>
      </c>
      <c r="I3183" s="134" t="str">
        <f t="shared" si="179"/>
        <v/>
      </c>
      <c r="J3183" s="226"/>
    </row>
    <row r="3184" spans="1:10" hidden="1" x14ac:dyDescent="0.25">
      <c r="A3184" s="112" t="s">
        <v>7577</v>
      </c>
      <c r="B3184" s="113" t="s">
        <v>7856</v>
      </c>
      <c r="C3184" s="114" t="s">
        <v>20</v>
      </c>
      <c r="D3184" s="114">
        <v>0</v>
      </c>
      <c r="E3184" s="133" t="s">
        <v>514</v>
      </c>
      <c r="F3184" s="134" t="str">
        <f t="shared" si="177"/>
        <v/>
      </c>
      <c r="G3184" s="135" t="e">
        <f>IF(A3184&lt;&gt;"",IF(AND(#REF!="Padrão",$H$4=#REF!),BDI!$B$17,IF(AND(#REF!="Padrão",$H$4=#REF!),BDI!#REF!,IF(AND(#REF!="Diferenciado",$H$4=#REF!),BDI!$E$17,IF(AND(#REF!="Diferenciado",$H$4=#REF!),BDI!#REF!,IF(#REF!="ZERO",0))))),"")</f>
        <v>#REF!</v>
      </c>
      <c r="H3184" s="136" t="str">
        <f t="shared" si="178"/>
        <v/>
      </c>
      <c r="I3184" s="134" t="str">
        <f t="shared" si="179"/>
        <v/>
      </c>
      <c r="J3184" s="226"/>
    </row>
    <row r="3185" spans="1:10" hidden="1" x14ac:dyDescent="0.25">
      <c r="A3185" s="112" t="s">
        <v>7578</v>
      </c>
      <c r="B3185" s="113" t="s">
        <v>7992</v>
      </c>
      <c r="C3185" s="114" t="s">
        <v>7836</v>
      </c>
      <c r="D3185" s="114">
        <v>0</v>
      </c>
      <c r="E3185" s="133">
        <f ca="1">OFFSET(INDEX(Composições!A:J,MATCH(Orçamentária!A3185,Composições!A:A,0),8),2,0)</f>
        <v>0</v>
      </c>
      <c r="F3185" s="134">
        <f t="shared" ca="1" si="177"/>
        <v>0</v>
      </c>
      <c r="G3185" s="135" t="e">
        <f>IF(A3185&lt;&gt;"",IF(AND(#REF!="Padrão",$H$4=#REF!),BDI!$B$17,IF(AND(#REF!="Padrão",$H$4=#REF!),BDI!#REF!,IF(AND(#REF!="Diferenciado",$H$4=#REF!),BDI!$E$17,IF(AND(#REF!="Diferenciado",$H$4=#REF!),BDI!#REF!,IF(#REF!="ZERO",0))))),"")</f>
        <v>#REF!</v>
      </c>
      <c r="H3185" s="136" t="e">
        <f t="shared" ca="1" si="178"/>
        <v>#REF!</v>
      </c>
      <c r="I3185" s="134" t="e">
        <f t="shared" ca="1" si="179"/>
        <v>#REF!</v>
      </c>
      <c r="J3185" s="226"/>
    </row>
    <row r="3186" spans="1:10" hidden="1" x14ac:dyDescent="0.25">
      <c r="A3186" s="112" t="s">
        <v>7579</v>
      </c>
      <c r="B3186" s="113" t="s">
        <v>7858</v>
      </c>
      <c r="C3186" s="114" t="s">
        <v>20</v>
      </c>
      <c r="D3186" s="114">
        <v>0</v>
      </c>
      <c r="E3186" s="133" t="s">
        <v>514</v>
      </c>
      <c r="F3186" s="134" t="str">
        <f t="shared" si="177"/>
        <v/>
      </c>
      <c r="G3186" s="135" t="e">
        <f>IF(A3186&lt;&gt;"",IF(AND(#REF!="Padrão",$H$4=#REF!),BDI!$B$17,IF(AND(#REF!="Padrão",$H$4=#REF!),BDI!#REF!,IF(AND(#REF!="Diferenciado",$H$4=#REF!),BDI!$E$17,IF(AND(#REF!="Diferenciado",$H$4=#REF!),BDI!#REF!,IF(#REF!="ZERO",0))))),"")</f>
        <v>#REF!</v>
      </c>
      <c r="H3186" s="136" t="str">
        <f t="shared" si="178"/>
        <v/>
      </c>
      <c r="I3186" s="134" t="str">
        <f t="shared" si="179"/>
        <v/>
      </c>
      <c r="J3186" s="226"/>
    </row>
    <row r="3187" spans="1:10" hidden="1" x14ac:dyDescent="0.25">
      <c r="A3187" s="112" t="s">
        <v>7580</v>
      </c>
      <c r="B3187" s="113" t="s">
        <v>7859</v>
      </c>
      <c r="C3187" s="114" t="s">
        <v>20</v>
      </c>
      <c r="D3187" s="114">
        <v>0</v>
      </c>
      <c r="E3187" s="133" t="s">
        <v>514</v>
      </c>
      <c r="F3187" s="134" t="str">
        <f t="shared" si="177"/>
        <v/>
      </c>
      <c r="G3187" s="135" t="e">
        <f>IF(A3187&lt;&gt;"",IF(AND(#REF!="Padrão",$H$4=#REF!),BDI!$B$17,IF(AND(#REF!="Padrão",$H$4=#REF!),BDI!#REF!,IF(AND(#REF!="Diferenciado",$H$4=#REF!),BDI!$E$17,IF(AND(#REF!="Diferenciado",$H$4=#REF!),BDI!#REF!,IF(#REF!="ZERO",0))))),"")</f>
        <v>#REF!</v>
      </c>
      <c r="H3187" s="136" t="str">
        <f t="shared" si="178"/>
        <v/>
      </c>
      <c r="I3187" s="134" t="str">
        <f t="shared" si="179"/>
        <v/>
      </c>
      <c r="J3187" s="226"/>
    </row>
    <row r="3188" spans="1:10" hidden="1" x14ac:dyDescent="0.25">
      <c r="A3188" s="112" t="s">
        <v>7581</v>
      </c>
      <c r="B3188" s="113" t="s">
        <v>7860</v>
      </c>
      <c r="C3188" s="114" t="s">
        <v>20</v>
      </c>
      <c r="D3188" s="114">
        <v>0</v>
      </c>
      <c r="E3188" s="133" t="s">
        <v>514</v>
      </c>
      <c r="F3188" s="134" t="str">
        <f t="shared" si="177"/>
        <v/>
      </c>
      <c r="G3188" s="135" t="e">
        <f>IF(A3188&lt;&gt;"",IF(AND(#REF!="Padrão",$H$4=#REF!),BDI!$B$17,IF(AND(#REF!="Padrão",$H$4=#REF!),BDI!#REF!,IF(AND(#REF!="Diferenciado",$H$4=#REF!),BDI!$E$17,IF(AND(#REF!="Diferenciado",$H$4=#REF!),BDI!#REF!,IF(#REF!="ZERO",0))))),"")</f>
        <v>#REF!</v>
      </c>
      <c r="H3188" s="136" t="str">
        <f t="shared" si="178"/>
        <v/>
      </c>
      <c r="I3188" s="134" t="str">
        <f t="shared" si="179"/>
        <v/>
      </c>
      <c r="J3188" s="226"/>
    </row>
    <row r="3189" spans="1:10" hidden="1" x14ac:dyDescent="0.25">
      <c r="A3189" s="112" t="s">
        <v>7582</v>
      </c>
      <c r="B3189" s="113" t="s">
        <v>7861</v>
      </c>
      <c r="C3189" s="114" t="s">
        <v>20</v>
      </c>
      <c r="D3189" s="114">
        <v>0</v>
      </c>
      <c r="E3189" s="133" t="s">
        <v>514</v>
      </c>
      <c r="F3189" s="134" t="str">
        <f t="shared" si="177"/>
        <v/>
      </c>
      <c r="G3189" s="135" t="e">
        <f>IF(A3189&lt;&gt;"",IF(AND(#REF!="Padrão",$H$4=#REF!),BDI!$B$17,IF(AND(#REF!="Padrão",$H$4=#REF!),BDI!#REF!,IF(AND(#REF!="Diferenciado",$H$4=#REF!),BDI!$E$17,IF(AND(#REF!="Diferenciado",$H$4=#REF!),BDI!#REF!,IF(#REF!="ZERO",0))))),"")</f>
        <v>#REF!</v>
      </c>
      <c r="H3189" s="136" t="str">
        <f t="shared" si="178"/>
        <v/>
      </c>
      <c r="I3189" s="134" t="str">
        <f t="shared" si="179"/>
        <v/>
      </c>
      <c r="J3189" s="226"/>
    </row>
    <row r="3190" spans="1:10" hidden="1" x14ac:dyDescent="0.25">
      <c r="A3190" s="112" t="s">
        <v>7583</v>
      </c>
      <c r="B3190" s="113" t="s">
        <v>7862</v>
      </c>
      <c r="C3190" s="114" t="s">
        <v>20</v>
      </c>
      <c r="D3190" s="114">
        <v>0</v>
      </c>
      <c r="E3190" s="133" t="s">
        <v>514</v>
      </c>
      <c r="F3190" s="134" t="str">
        <f t="shared" si="177"/>
        <v/>
      </c>
      <c r="G3190" s="135" t="e">
        <f>IF(A3190&lt;&gt;"",IF(AND(#REF!="Padrão",$H$4=#REF!),BDI!$B$17,IF(AND(#REF!="Padrão",$H$4=#REF!),BDI!#REF!,IF(AND(#REF!="Diferenciado",$H$4=#REF!),BDI!$E$17,IF(AND(#REF!="Diferenciado",$H$4=#REF!),BDI!#REF!,IF(#REF!="ZERO",0))))),"")</f>
        <v>#REF!</v>
      </c>
      <c r="H3190" s="136" t="str">
        <f t="shared" si="178"/>
        <v/>
      </c>
      <c r="I3190" s="134" t="str">
        <f t="shared" si="179"/>
        <v/>
      </c>
      <c r="J3190" s="226"/>
    </row>
    <row r="3191" spans="1:10" hidden="1" x14ac:dyDescent="0.25">
      <c r="A3191" s="112" t="s">
        <v>7584</v>
      </c>
      <c r="B3191" s="113" t="s">
        <v>7863</v>
      </c>
      <c r="C3191" s="114" t="s">
        <v>42</v>
      </c>
      <c r="D3191" s="114">
        <v>0</v>
      </c>
      <c r="E3191" s="133" t="s">
        <v>514</v>
      </c>
      <c r="F3191" s="134" t="str">
        <f t="shared" si="177"/>
        <v/>
      </c>
      <c r="G3191" s="135" t="e">
        <f>IF(A3191&lt;&gt;"",IF(AND(#REF!="Padrão",$H$4=#REF!),BDI!$B$17,IF(AND(#REF!="Padrão",$H$4=#REF!),BDI!#REF!,IF(AND(#REF!="Diferenciado",$H$4=#REF!),BDI!$E$17,IF(AND(#REF!="Diferenciado",$H$4=#REF!),BDI!#REF!,IF(#REF!="ZERO",0))))),"")</f>
        <v>#REF!</v>
      </c>
      <c r="H3191" s="136" t="str">
        <f t="shared" si="178"/>
        <v/>
      </c>
      <c r="I3191" s="134" t="str">
        <f t="shared" si="179"/>
        <v/>
      </c>
      <c r="J3191" s="226"/>
    </row>
    <row r="3192" spans="1:10" hidden="1" x14ac:dyDescent="0.25">
      <c r="A3192" s="112" t="s">
        <v>7585</v>
      </c>
      <c r="B3192" s="113" t="s">
        <v>7864</v>
      </c>
      <c r="C3192" s="114" t="s">
        <v>20</v>
      </c>
      <c r="D3192" s="114">
        <v>0</v>
      </c>
      <c r="E3192" s="133" t="s">
        <v>514</v>
      </c>
      <c r="F3192" s="134" t="str">
        <f t="shared" si="177"/>
        <v/>
      </c>
      <c r="G3192" s="135" t="e">
        <f>IF(A3192&lt;&gt;"",IF(AND(#REF!="Padrão",$H$4=#REF!),BDI!$B$17,IF(AND(#REF!="Padrão",$H$4=#REF!),BDI!#REF!,IF(AND(#REF!="Diferenciado",$H$4=#REF!),BDI!$E$17,IF(AND(#REF!="Diferenciado",$H$4=#REF!),BDI!#REF!,IF(#REF!="ZERO",0))))),"")</f>
        <v>#REF!</v>
      </c>
      <c r="H3192" s="136" t="str">
        <f t="shared" si="178"/>
        <v/>
      </c>
      <c r="I3192" s="134" t="str">
        <f t="shared" si="179"/>
        <v/>
      </c>
      <c r="J3192" s="226"/>
    </row>
    <row r="3193" spans="1:10" hidden="1" x14ac:dyDescent="0.25">
      <c r="A3193" s="112" t="s">
        <v>7586</v>
      </c>
      <c r="B3193" s="113" t="s">
        <v>7865</v>
      </c>
      <c r="C3193" s="114" t="s">
        <v>7836</v>
      </c>
      <c r="D3193" s="114">
        <v>0</v>
      </c>
      <c r="E3193" s="133" t="s">
        <v>514</v>
      </c>
      <c r="F3193" s="134" t="str">
        <f t="shared" si="177"/>
        <v/>
      </c>
      <c r="G3193" s="135" t="e">
        <f>IF(A3193&lt;&gt;"",IF(AND(#REF!="Padrão",$H$4=#REF!),BDI!$B$17,IF(AND(#REF!="Padrão",$H$4=#REF!),BDI!#REF!,IF(AND(#REF!="Diferenciado",$H$4=#REF!),BDI!$E$17,IF(AND(#REF!="Diferenciado",$H$4=#REF!),BDI!#REF!,IF(#REF!="ZERO",0))))),"")</f>
        <v>#REF!</v>
      </c>
      <c r="H3193" s="136" t="str">
        <f t="shared" si="178"/>
        <v/>
      </c>
      <c r="I3193" s="134" t="str">
        <f t="shared" si="179"/>
        <v/>
      </c>
      <c r="J3193" s="226"/>
    </row>
    <row r="3194" spans="1:10" hidden="1" x14ac:dyDescent="0.25">
      <c r="A3194" s="112" t="s">
        <v>7587</v>
      </c>
      <c r="B3194" s="113" t="s">
        <v>7866</v>
      </c>
      <c r="C3194" s="114" t="s">
        <v>20</v>
      </c>
      <c r="D3194" s="114">
        <v>0</v>
      </c>
      <c r="E3194" s="133" t="s">
        <v>514</v>
      </c>
      <c r="F3194" s="134" t="str">
        <f t="shared" si="177"/>
        <v/>
      </c>
      <c r="G3194" s="135" t="e">
        <f>IF(A3194&lt;&gt;"",IF(AND(#REF!="Padrão",$H$4=#REF!),BDI!$B$17,IF(AND(#REF!="Padrão",$H$4=#REF!),BDI!#REF!,IF(AND(#REF!="Diferenciado",$H$4=#REF!),BDI!$E$17,IF(AND(#REF!="Diferenciado",$H$4=#REF!),BDI!#REF!,IF(#REF!="ZERO",0))))),"")</f>
        <v>#REF!</v>
      </c>
      <c r="H3194" s="136" t="str">
        <f t="shared" si="178"/>
        <v/>
      </c>
      <c r="I3194" s="134" t="str">
        <f t="shared" si="179"/>
        <v/>
      </c>
      <c r="J3194" s="226"/>
    </row>
    <row r="3195" spans="1:10" hidden="1" x14ac:dyDescent="0.25">
      <c r="A3195" s="112" t="s">
        <v>7588</v>
      </c>
      <c r="B3195" s="113" t="s">
        <v>7867</v>
      </c>
      <c r="C3195" s="114" t="s">
        <v>7836</v>
      </c>
      <c r="D3195" s="114">
        <v>0</v>
      </c>
      <c r="E3195" s="133" t="s">
        <v>514</v>
      </c>
      <c r="F3195" s="134" t="str">
        <f t="shared" si="177"/>
        <v/>
      </c>
      <c r="G3195" s="135" t="e">
        <f>IF(A3195&lt;&gt;"",IF(AND(#REF!="Padrão",$H$4=#REF!),BDI!$B$17,IF(AND(#REF!="Padrão",$H$4=#REF!),BDI!#REF!,IF(AND(#REF!="Diferenciado",$H$4=#REF!),BDI!$E$17,IF(AND(#REF!="Diferenciado",$H$4=#REF!),BDI!#REF!,IF(#REF!="ZERO",0))))),"")</f>
        <v>#REF!</v>
      </c>
      <c r="H3195" s="136" t="str">
        <f t="shared" si="178"/>
        <v/>
      </c>
      <c r="I3195" s="134" t="str">
        <f t="shared" si="179"/>
        <v/>
      </c>
      <c r="J3195" s="226"/>
    </row>
    <row r="3196" spans="1:10" hidden="1" x14ac:dyDescent="0.25">
      <c r="A3196" s="112" t="s">
        <v>7589</v>
      </c>
      <c r="B3196" s="113" t="s">
        <v>7868</v>
      </c>
      <c r="C3196" s="114" t="s">
        <v>20</v>
      </c>
      <c r="D3196" s="114">
        <v>0</v>
      </c>
      <c r="E3196" s="133" t="s">
        <v>514</v>
      </c>
      <c r="F3196" s="134" t="str">
        <f t="shared" si="177"/>
        <v/>
      </c>
      <c r="G3196" s="135" t="e">
        <f>IF(A3196&lt;&gt;"",IF(AND(#REF!="Padrão",$H$4=#REF!),BDI!$B$17,IF(AND(#REF!="Padrão",$H$4=#REF!),BDI!#REF!,IF(AND(#REF!="Diferenciado",$H$4=#REF!),BDI!$E$17,IF(AND(#REF!="Diferenciado",$H$4=#REF!),BDI!#REF!,IF(#REF!="ZERO",0))))),"")</f>
        <v>#REF!</v>
      </c>
      <c r="H3196" s="136" t="str">
        <f t="shared" si="178"/>
        <v/>
      </c>
      <c r="I3196" s="134" t="str">
        <f t="shared" si="179"/>
        <v/>
      </c>
      <c r="J3196" s="226"/>
    </row>
    <row r="3197" spans="1:10" hidden="1" x14ac:dyDescent="0.25">
      <c r="A3197" s="112" t="s">
        <v>7590</v>
      </c>
      <c r="B3197" s="113" t="s">
        <v>7869</v>
      </c>
      <c r="C3197" s="114" t="s">
        <v>20</v>
      </c>
      <c r="D3197" s="114">
        <v>0</v>
      </c>
      <c r="E3197" s="133" t="s">
        <v>514</v>
      </c>
      <c r="F3197" s="134" t="str">
        <f t="shared" si="177"/>
        <v/>
      </c>
      <c r="G3197" s="135" t="e">
        <f>IF(A3197&lt;&gt;"",IF(AND(#REF!="Padrão",$H$4=#REF!),BDI!$B$17,IF(AND(#REF!="Padrão",$H$4=#REF!),BDI!#REF!,IF(AND(#REF!="Diferenciado",$H$4=#REF!),BDI!$E$17,IF(AND(#REF!="Diferenciado",$H$4=#REF!),BDI!#REF!,IF(#REF!="ZERO",0))))),"")</f>
        <v>#REF!</v>
      </c>
      <c r="H3197" s="136" t="str">
        <f t="shared" si="178"/>
        <v/>
      </c>
      <c r="I3197" s="134" t="str">
        <f t="shared" si="179"/>
        <v/>
      </c>
      <c r="J3197" s="226"/>
    </row>
    <row r="3198" spans="1:10" hidden="1" x14ac:dyDescent="0.25">
      <c r="A3198" s="112" t="s">
        <v>7591</v>
      </c>
      <c r="B3198" s="113" t="s">
        <v>7870</v>
      </c>
      <c r="C3198" s="114" t="s">
        <v>20</v>
      </c>
      <c r="D3198" s="114">
        <v>0</v>
      </c>
      <c r="E3198" s="133" t="s">
        <v>514</v>
      </c>
      <c r="F3198" s="134" t="str">
        <f t="shared" si="177"/>
        <v/>
      </c>
      <c r="G3198" s="135" t="e">
        <f>IF(A3198&lt;&gt;"",IF(AND(#REF!="Padrão",$H$4=#REF!),BDI!$B$17,IF(AND(#REF!="Padrão",$H$4=#REF!),BDI!#REF!,IF(AND(#REF!="Diferenciado",$H$4=#REF!),BDI!$E$17,IF(AND(#REF!="Diferenciado",$H$4=#REF!),BDI!#REF!,IF(#REF!="ZERO",0))))),"")</f>
        <v>#REF!</v>
      </c>
      <c r="H3198" s="136" t="str">
        <f t="shared" si="178"/>
        <v/>
      </c>
      <c r="I3198" s="134" t="str">
        <f t="shared" si="179"/>
        <v/>
      </c>
      <c r="J3198" s="226"/>
    </row>
    <row r="3199" spans="1:10" hidden="1" x14ac:dyDescent="0.25">
      <c r="A3199" s="112" t="s">
        <v>7592</v>
      </c>
      <c r="B3199" s="113" t="s">
        <v>7871</v>
      </c>
      <c r="C3199" s="114" t="s">
        <v>20</v>
      </c>
      <c r="D3199" s="114">
        <v>0</v>
      </c>
      <c r="E3199" s="133" t="s">
        <v>514</v>
      </c>
      <c r="F3199" s="134" t="str">
        <f t="shared" si="177"/>
        <v/>
      </c>
      <c r="G3199" s="135" t="e">
        <f>IF(A3199&lt;&gt;"",IF(AND(#REF!="Padrão",$H$4=#REF!),BDI!$B$17,IF(AND(#REF!="Padrão",$H$4=#REF!),BDI!#REF!,IF(AND(#REF!="Diferenciado",$H$4=#REF!),BDI!$E$17,IF(AND(#REF!="Diferenciado",$H$4=#REF!),BDI!#REF!,IF(#REF!="ZERO",0))))),"")</f>
        <v>#REF!</v>
      </c>
      <c r="H3199" s="136" t="str">
        <f t="shared" si="178"/>
        <v/>
      </c>
      <c r="I3199" s="134" t="str">
        <f t="shared" si="179"/>
        <v/>
      </c>
      <c r="J3199" s="226"/>
    </row>
    <row r="3200" spans="1:10" hidden="1" x14ac:dyDescent="0.25">
      <c r="A3200" s="112" t="s">
        <v>7593</v>
      </c>
      <c r="B3200" s="113" t="s">
        <v>7872</v>
      </c>
      <c r="C3200" s="114" t="s">
        <v>20</v>
      </c>
      <c r="D3200" s="114">
        <v>0</v>
      </c>
      <c r="E3200" s="133" t="s">
        <v>514</v>
      </c>
      <c r="F3200" s="134" t="str">
        <f t="shared" si="177"/>
        <v/>
      </c>
      <c r="G3200" s="135" t="e">
        <f>IF(A3200&lt;&gt;"",IF(AND(#REF!="Padrão",$H$4=#REF!),BDI!$B$17,IF(AND(#REF!="Padrão",$H$4=#REF!),BDI!#REF!,IF(AND(#REF!="Diferenciado",$H$4=#REF!),BDI!$E$17,IF(AND(#REF!="Diferenciado",$H$4=#REF!),BDI!#REF!,IF(#REF!="ZERO",0))))),"")</f>
        <v>#REF!</v>
      </c>
      <c r="H3200" s="136" t="str">
        <f t="shared" si="178"/>
        <v/>
      </c>
      <c r="I3200" s="134" t="str">
        <f t="shared" si="179"/>
        <v/>
      </c>
      <c r="J3200" s="226"/>
    </row>
    <row r="3201" spans="1:10" hidden="1" x14ac:dyDescent="0.25">
      <c r="A3201" s="112" t="s">
        <v>7594</v>
      </c>
      <c r="B3201" s="113" t="s">
        <v>7873</v>
      </c>
      <c r="C3201" s="114" t="s">
        <v>20</v>
      </c>
      <c r="D3201" s="114">
        <v>0</v>
      </c>
      <c r="E3201" s="133" t="s">
        <v>514</v>
      </c>
      <c r="F3201" s="134" t="str">
        <f t="shared" si="177"/>
        <v/>
      </c>
      <c r="G3201" s="135" t="e">
        <f>IF(A3201&lt;&gt;"",IF(AND(#REF!="Padrão",$H$4=#REF!),BDI!$B$17,IF(AND(#REF!="Padrão",$H$4=#REF!),BDI!#REF!,IF(AND(#REF!="Diferenciado",$H$4=#REF!),BDI!$E$17,IF(AND(#REF!="Diferenciado",$H$4=#REF!),BDI!#REF!,IF(#REF!="ZERO",0))))),"")</f>
        <v>#REF!</v>
      </c>
      <c r="H3201" s="136" t="str">
        <f t="shared" si="178"/>
        <v/>
      </c>
      <c r="I3201" s="134" t="str">
        <f t="shared" si="179"/>
        <v/>
      </c>
      <c r="J3201" s="226"/>
    </row>
    <row r="3202" spans="1:10" hidden="1" x14ac:dyDescent="0.25">
      <c r="A3202" s="112" t="s">
        <v>7595</v>
      </c>
      <c r="B3202" s="113" t="s">
        <v>7874</v>
      </c>
      <c r="C3202" s="114" t="s">
        <v>20</v>
      </c>
      <c r="D3202" s="114">
        <v>0</v>
      </c>
      <c r="E3202" s="133" t="s">
        <v>514</v>
      </c>
      <c r="F3202" s="134" t="str">
        <f t="shared" si="177"/>
        <v/>
      </c>
      <c r="G3202" s="135" t="e">
        <f>IF(A3202&lt;&gt;"",IF(AND(#REF!="Padrão",$H$4=#REF!),BDI!$B$17,IF(AND(#REF!="Padrão",$H$4=#REF!),BDI!#REF!,IF(AND(#REF!="Diferenciado",$H$4=#REF!),BDI!$E$17,IF(AND(#REF!="Diferenciado",$H$4=#REF!),BDI!#REF!,IF(#REF!="ZERO",0))))),"")</f>
        <v>#REF!</v>
      </c>
      <c r="H3202" s="136" t="str">
        <f t="shared" si="178"/>
        <v/>
      </c>
      <c r="I3202" s="134" t="str">
        <f t="shared" si="179"/>
        <v/>
      </c>
      <c r="J3202" s="226"/>
    </row>
    <row r="3203" spans="1:10" hidden="1" x14ac:dyDescent="0.25">
      <c r="A3203" s="112" t="s">
        <v>7596</v>
      </c>
      <c r="B3203" s="113" t="s">
        <v>7875</v>
      </c>
      <c r="C3203" s="114" t="s">
        <v>20</v>
      </c>
      <c r="D3203" s="114">
        <v>0</v>
      </c>
      <c r="E3203" s="133" t="s">
        <v>514</v>
      </c>
      <c r="F3203" s="134" t="str">
        <f t="shared" si="177"/>
        <v/>
      </c>
      <c r="G3203" s="135" t="e">
        <f>IF(A3203&lt;&gt;"",IF(AND(#REF!="Padrão",$H$4=#REF!),BDI!$B$17,IF(AND(#REF!="Padrão",$H$4=#REF!),BDI!#REF!,IF(AND(#REF!="Diferenciado",$H$4=#REF!),BDI!$E$17,IF(AND(#REF!="Diferenciado",$H$4=#REF!),BDI!#REF!,IF(#REF!="ZERO",0))))),"")</f>
        <v>#REF!</v>
      </c>
      <c r="H3203" s="136" t="str">
        <f t="shared" si="178"/>
        <v/>
      </c>
      <c r="I3203" s="134" t="str">
        <f t="shared" si="179"/>
        <v/>
      </c>
      <c r="J3203" s="226"/>
    </row>
    <row r="3204" spans="1:10" hidden="1" x14ac:dyDescent="0.25">
      <c r="A3204" s="112" t="s">
        <v>7597</v>
      </c>
      <c r="B3204" s="113" t="s">
        <v>7876</v>
      </c>
      <c r="C3204" s="114" t="s">
        <v>92</v>
      </c>
      <c r="D3204" s="114">
        <v>0</v>
      </c>
      <c r="E3204" s="133" t="s">
        <v>514</v>
      </c>
      <c r="F3204" s="134" t="str">
        <f t="shared" ref="F3204:F3229" si="180">IF(ISNUMBER(E3204),D3204*E3204,"")</f>
        <v/>
      </c>
      <c r="G3204" s="135" t="e">
        <f>IF(A3204&lt;&gt;"",IF(AND(#REF!="Padrão",$H$4=#REF!),BDI!$B$17,IF(AND(#REF!="Padrão",$H$4=#REF!),BDI!#REF!,IF(AND(#REF!="Diferenciado",$H$4=#REF!),BDI!$E$17,IF(AND(#REF!="Diferenciado",$H$4=#REF!),BDI!#REF!,IF(#REF!="ZERO",0))))),"")</f>
        <v>#REF!</v>
      </c>
      <c r="H3204" s="136" t="str">
        <f t="shared" ref="H3204:H3229" si="181">IF(ISNUMBER(E3204),ROUND(E3204*(1+G3204),2),"")</f>
        <v/>
      </c>
      <c r="I3204" s="134" t="str">
        <f t="shared" ref="I3204:I3229" si="182">IF(ISNUMBER(E3204),ROUND(H3204*D3204,2),"")</f>
        <v/>
      </c>
      <c r="J3204" s="226"/>
    </row>
    <row r="3205" spans="1:10" hidden="1" x14ac:dyDescent="0.25">
      <c r="A3205" s="112" t="s">
        <v>7598</v>
      </c>
      <c r="B3205" s="113" t="s">
        <v>7877</v>
      </c>
      <c r="C3205" s="114" t="s">
        <v>92</v>
      </c>
      <c r="D3205" s="114">
        <v>0</v>
      </c>
      <c r="E3205" s="133" t="s">
        <v>514</v>
      </c>
      <c r="F3205" s="134" t="str">
        <f t="shared" si="180"/>
        <v/>
      </c>
      <c r="G3205" s="135" t="e">
        <f>IF(A3205&lt;&gt;"",IF(AND(#REF!="Padrão",$H$4=#REF!),BDI!$B$17,IF(AND(#REF!="Padrão",$H$4=#REF!),BDI!#REF!,IF(AND(#REF!="Diferenciado",$H$4=#REF!),BDI!$E$17,IF(AND(#REF!="Diferenciado",$H$4=#REF!),BDI!#REF!,IF(#REF!="ZERO",0))))),"")</f>
        <v>#REF!</v>
      </c>
      <c r="H3205" s="136" t="str">
        <f t="shared" si="181"/>
        <v/>
      </c>
      <c r="I3205" s="134" t="str">
        <f t="shared" si="182"/>
        <v/>
      </c>
      <c r="J3205" s="226"/>
    </row>
    <row r="3206" spans="1:10" hidden="1" x14ac:dyDescent="0.25">
      <c r="A3206" s="112" t="s">
        <v>7878</v>
      </c>
      <c r="B3206" s="113" t="s">
        <v>7879</v>
      </c>
      <c r="C3206" s="114" t="s">
        <v>92</v>
      </c>
      <c r="D3206" s="114">
        <v>0</v>
      </c>
      <c r="E3206" s="133" t="s">
        <v>514</v>
      </c>
      <c r="F3206" s="134" t="str">
        <f t="shared" si="180"/>
        <v/>
      </c>
      <c r="G3206" s="135" t="e">
        <f>IF(A3206&lt;&gt;"",IF(AND(#REF!="Padrão",$H$4=#REF!),BDI!$B$17,IF(AND(#REF!="Padrão",$H$4=#REF!),BDI!#REF!,IF(AND(#REF!="Diferenciado",$H$4=#REF!),BDI!$E$17,IF(AND(#REF!="Diferenciado",$H$4=#REF!),BDI!#REF!,IF(#REF!="ZERO",0))))),"")</f>
        <v>#REF!</v>
      </c>
      <c r="H3206" s="136" t="str">
        <f t="shared" si="181"/>
        <v/>
      </c>
      <c r="I3206" s="134" t="str">
        <f t="shared" si="182"/>
        <v/>
      </c>
      <c r="J3206" s="226"/>
    </row>
    <row r="3207" spans="1:10" hidden="1" x14ac:dyDescent="0.25">
      <c r="A3207" s="112" t="s">
        <v>7880</v>
      </c>
      <c r="B3207" s="113" t="s">
        <v>7881</v>
      </c>
      <c r="C3207" s="114" t="s">
        <v>92</v>
      </c>
      <c r="D3207" s="114">
        <v>0</v>
      </c>
      <c r="E3207" s="133" t="s">
        <v>514</v>
      </c>
      <c r="F3207" s="134" t="str">
        <f t="shared" si="180"/>
        <v/>
      </c>
      <c r="G3207" s="135" t="e">
        <f>IF(A3207&lt;&gt;"",IF(AND(#REF!="Padrão",$H$4=#REF!),BDI!$B$17,IF(AND(#REF!="Padrão",$H$4=#REF!),BDI!#REF!,IF(AND(#REF!="Diferenciado",$H$4=#REF!),BDI!$E$17,IF(AND(#REF!="Diferenciado",$H$4=#REF!),BDI!#REF!,IF(#REF!="ZERO",0))))),"")</f>
        <v>#REF!</v>
      </c>
      <c r="H3207" s="136" t="str">
        <f t="shared" si="181"/>
        <v/>
      </c>
      <c r="I3207" s="134" t="str">
        <f t="shared" si="182"/>
        <v/>
      </c>
      <c r="J3207" s="226"/>
    </row>
    <row r="3208" spans="1:10" hidden="1" x14ac:dyDescent="0.25">
      <c r="A3208" s="112" t="s">
        <v>7882</v>
      </c>
      <c r="B3208" s="113" t="s">
        <v>7883</v>
      </c>
      <c r="C3208" s="114" t="s">
        <v>20</v>
      </c>
      <c r="D3208" s="114">
        <v>0</v>
      </c>
      <c r="E3208" s="133">
        <f ca="1">OFFSET(INDEX(Composições!A:J,MATCH(Orçamentária!A3208,Composições!A:A,0),8),2,0)</f>
        <v>40.403500000000001</v>
      </c>
      <c r="F3208" s="134">
        <f t="shared" ca="1" si="180"/>
        <v>0</v>
      </c>
      <c r="G3208" s="135" t="e">
        <f>IF(A3208&lt;&gt;"",IF(AND(#REF!="Padrão",$H$4=#REF!),BDI!$B$17,IF(AND(#REF!="Padrão",$H$4=#REF!),BDI!#REF!,IF(AND(#REF!="Diferenciado",$H$4=#REF!),BDI!$E$17,IF(AND(#REF!="Diferenciado",$H$4=#REF!),BDI!#REF!,IF(#REF!="ZERO",0))))),"")</f>
        <v>#REF!</v>
      </c>
      <c r="H3208" s="136" t="e">
        <f t="shared" ca="1" si="181"/>
        <v>#REF!</v>
      </c>
      <c r="I3208" s="134" t="e">
        <f t="shared" ca="1" si="182"/>
        <v>#REF!</v>
      </c>
      <c r="J3208" s="226"/>
    </row>
    <row r="3209" spans="1:10" hidden="1" x14ac:dyDescent="0.25">
      <c r="A3209" s="112" t="s">
        <v>7884</v>
      </c>
      <c r="B3209" s="113" t="s">
        <v>7885</v>
      </c>
      <c r="C3209" s="114" t="s">
        <v>20</v>
      </c>
      <c r="D3209" s="114">
        <v>0</v>
      </c>
      <c r="E3209" s="133" t="s">
        <v>514</v>
      </c>
      <c r="F3209" s="134" t="str">
        <f t="shared" si="180"/>
        <v/>
      </c>
      <c r="G3209" s="135" t="e">
        <f>IF(A3209&lt;&gt;"",IF(AND(#REF!="Padrão",$H$4=#REF!),BDI!$B$17,IF(AND(#REF!="Padrão",$H$4=#REF!),BDI!#REF!,IF(AND(#REF!="Diferenciado",$H$4=#REF!),BDI!$E$17,IF(AND(#REF!="Diferenciado",$H$4=#REF!),BDI!#REF!,IF(#REF!="ZERO",0))))),"")</f>
        <v>#REF!</v>
      </c>
      <c r="H3209" s="136" t="str">
        <f t="shared" si="181"/>
        <v/>
      </c>
      <c r="I3209" s="134" t="str">
        <f t="shared" si="182"/>
        <v/>
      </c>
      <c r="J3209" s="226"/>
    </row>
    <row r="3210" spans="1:10" hidden="1" x14ac:dyDescent="0.25">
      <c r="A3210" s="112" t="s">
        <v>7886</v>
      </c>
      <c r="B3210" s="113" t="s">
        <v>7887</v>
      </c>
      <c r="C3210" s="114" t="s">
        <v>20</v>
      </c>
      <c r="D3210" s="114">
        <v>0</v>
      </c>
      <c r="E3210" s="133" t="s">
        <v>514</v>
      </c>
      <c r="F3210" s="134" t="str">
        <f t="shared" si="180"/>
        <v/>
      </c>
      <c r="G3210" s="135" t="e">
        <f>IF(A3210&lt;&gt;"",IF(AND(#REF!="Padrão",$H$4=#REF!),BDI!$B$17,IF(AND(#REF!="Padrão",$H$4=#REF!),BDI!#REF!,IF(AND(#REF!="Diferenciado",$H$4=#REF!),BDI!$E$17,IF(AND(#REF!="Diferenciado",$H$4=#REF!),BDI!#REF!,IF(#REF!="ZERO",0))))),"")</f>
        <v>#REF!</v>
      </c>
      <c r="H3210" s="136" t="str">
        <f t="shared" si="181"/>
        <v/>
      </c>
      <c r="I3210" s="134" t="str">
        <f t="shared" si="182"/>
        <v/>
      </c>
      <c r="J3210" s="226"/>
    </row>
    <row r="3211" spans="1:10" hidden="1" x14ac:dyDescent="0.25">
      <c r="A3211" s="112" t="s">
        <v>7888</v>
      </c>
      <c r="B3211" s="113" t="s">
        <v>7889</v>
      </c>
      <c r="C3211" s="114" t="s">
        <v>20</v>
      </c>
      <c r="D3211" s="114">
        <v>0</v>
      </c>
      <c r="E3211" s="133">
        <f ca="1">OFFSET(INDEX(Composições!A:J,MATCH(Orçamentária!A3211,Composições!A:A,0),8),2,0)</f>
        <v>68.989000000000004</v>
      </c>
      <c r="F3211" s="134">
        <f t="shared" ca="1" si="180"/>
        <v>0</v>
      </c>
      <c r="G3211" s="135" t="e">
        <f>IF(A3211&lt;&gt;"",IF(AND(#REF!="Padrão",$H$4=#REF!),BDI!$B$17,IF(AND(#REF!="Padrão",$H$4=#REF!),BDI!#REF!,IF(AND(#REF!="Diferenciado",$H$4=#REF!),BDI!$E$17,IF(AND(#REF!="Diferenciado",$H$4=#REF!),BDI!#REF!,IF(#REF!="ZERO",0))))),"")</f>
        <v>#REF!</v>
      </c>
      <c r="H3211" s="136" t="e">
        <f t="shared" ca="1" si="181"/>
        <v>#REF!</v>
      </c>
      <c r="I3211" s="134" t="e">
        <f t="shared" ca="1" si="182"/>
        <v>#REF!</v>
      </c>
      <c r="J3211" s="226"/>
    </row>
    <row r="3212" spans="1:10" hidden="1" x14ac:dyDescent="0.25">
      <c r="A3212" s="112" t="s">
        <v>7890</v>
      </c>
      <c r="B3212" s="113" t="s">
        <v>7891</v>
      </c>
      <c r="C3212" s="114" t="s">
        <v>92</v>
      </c>
      <c r="D3212" s="114">
        <v>0</v>
      </c>
      <c r="E3212" s="133">
        <f ca="1">OFFSET(INDEX(Composições!A:J,MATCH(Orçamentária!A3212,Composições!A:A,0),8),2,0)</f>
        <v>59.945</v>
      </c>
      <c r="F3212" s="134">
        <f t="shared" ca="1" si="180"/>
        <v>0</v>
      </c>
      <c r="G3212" s="135" t="e">
        <f>IF(A3212&lt;&gt;"",IF(AND(#REF!="Padrão",$H$4=#REF!),BDI!$B$17,IF(AND(#REF!="Padrão",$H$4=#REF!),BDI!#REF!,IF(AND(#REF!="Diferenciado",$H$4=#REF!),BDI!$E$17,IF(AND(#REF!="Diferenciado",$H$4=#REF!),BDI!#REF!,IF(#REF!="ZERO",0))))),"")</f>
        <v>#REF!</v>
      </c>
      <c r="H3212" s="136" t="e">
        <f t="shared" ca="1" si="181"/>
        <v>#REF!</v>
      </c>
      <c r="I3212" s="134" t="e">
        <f t="shared" ca="1" si="182"/>
        <v>#REF!</v>
      </c>
      <c r="J3212" s="226"/>
    </row>
    <row r="3213" spans="1:10" hidden="1" x14ac:dyDescent="0.25">
      <c r="A3213" s="112" t="s">
        <v>7892</v>
      </c>
      <c r="B3213" s="113" t="s">
        <v>6809</v>
      </c>
      <c r="C3213" s="114" t="s">
        <v>20</v>
      </c>
      <c r="D3213" s="114">
        <v>0</v>
      </c>
      <c r="E3213" s="133" t="s">
        <v>514</v>
      </c>
      <c r="F3213" s="134" t="str">
        <f t="shared" si="180"/>
        <v/>
      </c>
      <c r="G3213" s="135" t="e">
        <f>IF(A3213&lt;&gt;"",IF(AND(#REF!="Padrão",$H$4=#REF!),BDI!$B$17,IF(AND(#REF!="Padrão",$H$4=#REF!),BDI!#REF!,IF(AND(#REF!="Diferenciado",$H$4=#REF!),BDI!$E$17,IF(AND(#REF!="Diferenciado",$H$4=#REF!),BDI!#REF!,IF(#REF!="ZERO",0))))),"")</f>
        <v>#REF!</v>
      </c>
      <c r="H3213" s="136" t="str">
        <f t="shared" si="181"/>
        <v/>
      </c>
      <c r="I3213" s="134" t="str">
        <f t="shared" si="182"/>
        <v/>
      </c>
      <c r="J3213" s="226"/>
    </row>
    <row r="3214" spans="1:10" hidden="1" x14ac:dyDescent="0.25">
      <c r="A3214" s="112" t="s">
        <v>7893</v>
      </c>
      <c r="B3214" s="113" t="s">
        <v>7894</v>
      </c>
      <c r="C3214" s="114" t="s">
        <v>20</v>
      </c>
      <c r="D3214" s="114">
        <v>0</v>
      </c>
      <c r="E3214" s="133" t="s">
        <v>514</v>
      </c>
      <c r="F3214" s="134" t="str">
        <f t="shared" si="180"/>
        <v/>
      </c>
      <c r="G3214" s="135" t="e">
        <f>IF(A3214&lt;&gt;"",IF(AND(#REF!="Padrão",$H$4=#REF!),BDI!$B$17,IF(AND(#REF!="Padrão",$H$4=#REF!),BDI!#REF!,IF(AND(#REF!="Diferenciado",$H$4=#REF!),BDI!$E$17,IF(AND(#REF!="Diferenciado",$H$4=#REF!),BDI!#REF!,IF(#REF!="ZERO",0))))),"")</f>
        <v>#REF!</v>
      </c>
      <c r="H3214" s="136" t="str">
        <f t="shared" si="181"/>
        <v/>
      </c>
      <c r="I3214" s="134" t="str">
        <f t="shared" si="182"/>
        <v/>
      </c>
      <c r="J3214" s="226"/>
    </row>
    <row r="3215" spans="1:10" hidden="1" x14ac:dyDescent="0.25">
      <c r="A3215" s="112" t="s">
        <v>7895</v>
      </c>
      <c r="B3215" s="113" t="s">
        <v>7896</v>
      </c>
      <c r="C3215" s="114" t="s">
        <v>20</v>
      </c>
      <c r="D3215" s="114">
        <v>0</v>
      </c>
      <c r="E3215" s="133" t="s">
        <v>514</v>
      </c>
      <c r="F3215" s="134" t="str">
        <f t="shared" si="180"/>
        <v/>
      </c>
      <c r="G3215" s="135" t="e">
        <f>IF(A3215&lt;&gt;"",IF(AND(#REF!="Padrão",$H$4=#REF!),BDI!$B$17,IF(AND(#REF!="Padrão",$H$4=#REF!),BDI!#REF!,IF(AND(#REF!="Diferenciado",$H$4=#REF!),BDI!$E$17,IF(AND(#REF!="Diferenciado",$H$4=#REF!),BDI!#REF!,IF(#REF!="ZERO",0))))),"")</f>
        <v>#REF!</v>
      </c>
      <c r="H3215" s="136" t="str">
        <f t="shared" si="181"/>
        <v/>
      </c>
      <c r="I3215" s="134" t="str">
        <f t="shared" si="182"/>
        <v/>
      </c>
      <c r="J3215" s="226"/>
    </row>
    <row r="3216" spans="1:10" hidden="1" x14ac:dyDescent="0.25">
      <c r="A3216" s="112" t="s">
        <v>7897</v>
      </c>
      <c r="B3216" s="113" t="s">
        <v>7898</v>
      </c>
      <c r="C3216" s="114" t="s">
        <v>20</v>
      </c>
      <c r="D3216" s="114">
        <v>0</v>
      </c>
      <c r="E3216" s="133" t="s">
        <v>514</v>
      </c>
      <c r="F3216" s="134" t="str">
        <f t="shared" si="180"/>
        <v/>
      </c>
      <c r="G3216" s="135" t="e">
        <f>IF(A3216&lt;&gt;"",IF(AND(#REF!="Padrão",$H$4=#REF!),BDI!$B$17,IF(AND(#REF!="Padrão",$H$4=#REF!),BDI!#REF!,IF(AND(#REF!="Diferenciado",$H$4=#REF!),BDI!$E$17,IF(AND(#REF!="Diferenciado",$H$4=#REF!),BDI!#REF!,IF(#REF!="ZERO",0))))),"")</f>
        <v>#REF!</v>
      </c>
      <c r="H3216" s="136" t="str">
        <f t="shared" si="181"/>
        <v/>
      </c>
      <c r="I3216" s="134" t="str">
        <f t="shared" si="182"/>
        <v/>
      </c>
      <c r="J3216" s="226"/>
    </row>
    <row r="3217" spans="1:10" hidden="1" x14ac:dyDescent="0.25">
      <c r="A3217" s="112" t="s">
        <v>7899</v>
      </c>
      <c r="B3217" s="113" t="s">
        <v>7900</v>
      </c>
      <c r="C3217" s="114" t="s">
        <v>20</v>
      </c>
      <c r="D3217" s="114">
        <v>0</v>
      </c>
      <c r="E3217" s="133" t="s">
        <v>514</v>
      </c>
      <c r="F3217" s="134" t="str">
        <f t="shared" si="180"/>
        <v/>
      </c>
      <c r="G3217" s="135" t="e">
        <f>IF(A3217&lt;&gt;"",IF(AND(#REF!="Padrão",$H$4=#REF!),BDI!$B$17,IF(AND(#REF!="Padrão",$H$4=#REF!),BDI!#REF!,IF(AND(#REF!="Diferenciado",$H$4=#REF!),BDI!$E$17,IF(AND(#REF!="Diferenciado",$H$4=#REF!),BDI!#REF!,IF(#REF!="ZERO",0))))),"")</f>
        <v>#REF!</v>
      </c>
      <c r="H3217" s="136" t="str">
        <f t="shared" si="181"/>
        <v/>
      </c>
      <c r="I3217" s="134" t="str">
        <f t="shared" si="182"/>
        <v/>
      </c>
      <c r="J3217" s="226"/>
    </row>
    <row r="3218" spans="1:10" hidden="1" x14ac:dyDescent="0.25">
      <c r="A3218" s="112" t="s">
        <v>7901</v>
      </c>
      <c r="B3218" s="113" t="s">
        <v>4641</v>
      </c>
      <c r="C3218" s="114" t="s">
        <v>20</v>
      </c>
      <c r="D3218" s="114">
        <v>0</v>
      </c>
      <c r="E3218" s="133" t="s">
        <v>514</v>
      </c>
      <c r="F3218" s="134" t="str">
        <f t="shared" si="180"/>
        <v/>
      </c>
      <c r="G3218" s="135" t="e">
        <f>IF(A3218&lt;&gt;"",IF(AND(#REF!="Padrão",$H$4=#REF!),BDI!$B$17,IF(AND(#REF!="Padrão",$H$4=#REF!),BDI!#REF!,IF(AND(#REF!="Diferenciado",$H$4=#REF!),BDI!$E$17,IF(AND(#REF!="Diferenciado",$H$4=#REF!),BDI!#REF!,IF(#REF!="ZERO",0))))),"")</f>
        <v>#REF!</v>
      </c>
      <c r="H3218" s="136" t="str">
        <f t="shared" si="181"/>
        <v/>
      </c>
      <c r="I3218" s="134" t="str">
        <f t="shared" si="182"/>
        <v/>
      </c>
      <c r="J3218" s="226"/>
    </row>
    <row r="3219" spans="1:10" hidden="1" x14ac:dyDescent="0.25">
      <c r="A3219" s="112" t="s">
        <v>7902</v>
      </c>
      <c r="B3219" s="113" t="s">
        <v>7903</v>
      </c>
      <c r="C3219" s="114" t="s">
        <v>20</v>
      </c>
      <c r="D3219" s="114">
        <v>0</v>
      </c>
      <c r="E3219" s="133">
        <f ca="1">OFFSET(INDEX(Composições!A:J,MATCH(Orçamentária!A3219,Composições!A:A,0),8),2,0)</f>
        <v>5.3389999999999995</v>
      </c>
      <c r="F3219" s="134">
        <f t="shared" ca="1" si="180"/>
        <v>0</v>
      </c>
      <c r="G3219" s="135" t="e">
        <f>IF(A3219&lt;&gt;"",IF(AND(#REF!="Padrão",$H$4=#REF!),BDI!$B$17,IF(AND(#REF!="Padrão",$H$4=#REF!),BDI!#REF!,IF(AND(#REF!="Diferenciado",$H$4=#REF!),BDI!$E$17,IF(AND(#REF!="Diferenciado",$H$4=#REF!),BDI!#REF!,IF(#REF!="ZERO",0))))),"")</f>
        <v>#REF!</v>
      </c>
      <c r="H3219" s="136" t="e">
        <f t="shared" ca="1" si="181"/>
        <v>#REF!</v>
      </c>
      <c r="I3219" s="134" t="e">
        <f t="shared" ca="1" si="182"/>
        <v>#REF!</v>
      </c>
      <c r="J3219" s="226"/>
    </row>
    <row r="3220" spans="1:10" hidden="1" x14ac:dyDescent="0.25">
      <c r="A3220" s="112" t="s">
        <v>7904</v>
      </c>
      <c r="B3220" s="113" t="s">
        <v>7905</v>
      </c>
      <c r="C3220" s="114" t="s">
        <v>20</v>
      </c>
      <c r="D3220" s="114">
        <v>0</v>
      </c>
      <c r="E3220" s="133">
        <f ca="1">OFFSET(INDEX(Composições!A:J,MATCH(Orçamentária!A3220,Composições!A:A,0),8),2,0)</f>
        <v>0</v>
      </c>
      <c r="F3220" s="134">
        <f t="shared" ca="1" si="180"/>
        <v>0</v>
      </c>
      <c r="G3220" s="135" t="e">
        <f>IF(A3220&lt;&gt;"",IF(AND(#REF!="Padrão",$H$4=#REF!),BDI!$B$17,IF(AND(#REF!="Padrão",$H$4=#REF!),BDI!#REF!,IF(AND(#REF!="Diferenciado",$H$4=#REF!),BDI!$E$17,IF(AND(#REF!="Diferenciado",$H$4=#REF!),BDI!#REF!,IF(#REF!="ZERO",0))))),"")</f>
        <v>#REF!</v>
      </c>
      <c r="H3220" s="136" t="e">
        <f t="shared" ca="1" si="181"/>
        <v>#REF!</v>
      </c>
      <c r="I3220" s="134" t="e">
        <f t="shared" ca="1" si="182"/>
        <v>#REF!</v>
      </c>
      <c r="J3220" s="226"/>
    </row>
    <row r="3221" spans="1:10" hidden="1" x14ac:dyDescent="0.25">
      <c r="A3221" s="112" t="s">
        <v>7906</v>
      </c>
      <c r="B3221" s="113" t="s">
        <v>7907</v>
      </c>
      <c r="C3221" s="114" t="s">
        <v>20</v>
      </c>
      <c r="D3221" s="114">
        <v>0</v>
      </c>
      <c r="E3221" s="133" t="s">
        <v>514</v>
      </c>
      <c r="F3221" s="134" t="str">
        <f t="shared" si="180"/>
        <v/>
      </c>
      <c r="G3221" s="135" t="e">
        <f>IF(A3221&lt;&gt;"",IF(AND(#REF!="Padrão",$H$4=#REF!),BDI!$B$17,IF(AND(#REF!="Padrão",$H$4=#REF!),BDI!#REF!,IF(AND(#REF!="Diferenciado",$H$4=#REF!),BDI!$E$17,IF(AND(#REF!="Diferenciado",$H$4=#REF!),BDI!#REF!,IF(#REF!="ZERO",0))))),"")</f>
        <v>#REF!</v>
      </c>
      <c r="H3221" s="136" t="str">
        <f t="shared" si="181"/>
        <v/>
      </c>
      <c r="I3221" s="134" t="str">
        <f t="shared" si="182"/>
        <v/>
      </c>
      <c r="J3221" s="226"/>
    </row>
    <row r="3222" spans="1:10" hidden="1" x14ac:dyDescent="0.25">
      <c r="A3222" s="112" t="s">
        <v>7908</v>
      </c>
      <c r="B3222" s="113" t="s">
        <v>7909</v>
      </c>
      <c r="C3222" s="114" t="s">
        <v>20</v>
      </c>
      <c r="D3222" s="114">
        <v>0</v>
      </c>
      <c r="E3222" s="133">
        <f ca="1">OFFSET(INDEX(Composições!A:J,MATCH(Orçamentária!A3222,Composições!A:A,0),8),2,0)</f>
        <v>1.6054999999999999</v>
      </c>
      <c r="F3222" s="134">
        <f t="shared" ca="1" si="180"/>
        <v>0</v>
      </c>
      <c r="G3222" s="135" t="e">
        <f>IF(A3222&lt;&gt;"",IF(AND(#REF!="Padrão",$H$4=#REF!),BDI!$B$17,IF(AND(#REF!="Padrão",$H$4=#REF!),BDI!#REF!,IF(AND(#REF!="Diferenciado",$H$4=#REF!),BDI!$E$17,IF(AND(#REF!="Diferenciado",$H$4=#REF!),BDI!#REF!,IF(#REF!="ZERO",0))))),"")</f>
        <v>#REF!</v>
      </c>
      <c r="H3222" s="136" t="e">
        <f t="shared" ca="1" si="181"/>
        <v>#REF!</v>
      </c>
      <c r="I3222" s="134" t="e">
        <f t="shared" ca="1" si="182"/>
        <v>#REF!</v>
      </c>
      <c r="J3222" s="226"/>
    </row>
    <row r="3223" spans="1:10" hidden="1" x14ac:dyDescent="0.25">
      <c r="A3223" s="112" t="s">
        <v>7910</v>
      </c>
      <c r="B3223" s="113" t="s">
        <v>7911</v>
      </c>
      <c r="C3223" s="114" t="s">
        <v>20</v>
      </c>
      <c r="D3223" s="114">
        <v>0</v>
      </c>
      <c r="E3223" s="133" t="s">
        <v>514</v>
      </c>
      <c r="F3223" s="134" t="str">
        <f t="shared" si="180"/>
        <v/>
      </c>
      <c r="G3223" s="135" t="e">
        <f>IF(A3223&lt;&gt;"",IF(AND(#REF!="Padrão",$H$4=#REF!),BDI!$B$17,IF(AND(#REF!="Padrão",$H$4=#REF!),BDI!#REF!,IF(AND(#REF!="Diferenciado",$H$4=#REF!),BDI!$E$17,IF(AND(#REF!="Diferenciado",$H$4=#REF!),BDI!#REF!,IF(#REF!="ZERO",0))))),"")</f>
        <v>#REF!</v>
      </c>
      <c r="H3223" s="136" t="str">
        <f t="shared" si="181"/>
        <v/>
      </c>
      <c r="I3223" s="134" t="str">
        <f t="shared" si="182"/>
        <v/>
      </c>
      <c r="J3223" s="226"/>
    </row>
    <row r="3224" spans="1:10" hidden="1" x14ac:dyDescent="0.25">
      <c r="A3224" s="112" t="s">
        <v>7912</v>
      </c>
      <c r="B3224" s="113" t="s">
        <v>7913</v>
      </c>
      <c r="C3224" s="114" t="s">
        <v>20</v>
      </c>
      <c r="D3224" s="114">
        <v>0</v>
      </c>
      <c r="E3224" s="133" t="s">
        <v>514</v>
      </c>
      <c r="F3224" s="134" t="str">
        <f t="shared" si="180"/>
        <v/>
      </c>
      <c r="G3224" s="135" t="e">
        <f>IF(A3224&lt;&gt;"",IF(AND(#REF!="Padrão",$H$4=#REF!),BDI!$B$17,IF(AND(#REF!="Padrão",$H$4=#REF!),BDI!#REF!,IF(AND(#REF!="Diferenciado",$H$4=#REF!),BDI!$E$17,IF(AND(#REF!="Diferenciado",$H$4=#REF!),BDI!#REF!,IF(#REF!="ZERO",0))))),"")</f>
        <v>#REF!</v>
      </c>
      <c r="H3224" s="136" t="str">
        <f t="shared" si="181"/>
        <v/>
      </c>
      <c r="I3224" s="134" t="str">
        <f t="shared" si="182"/>
        <v/>
      </c>
      <c r="J3224" s="226"/>
    </row>
    <row r="3225" spans="1:10" hidden="1" x14ac:dyDescent="0.25">
      <c r="A3225" s="112" t="s">
        <v>7914</v>
      </c>
      <c r="B3225" s="113" t="s">
        <v>7915</v>
      </c>
      <c r="C3225" s="114" t="s">
        <v>7922</v>
      </c>
      <c r="D3225" s="114">
        <v>0</v>
      </c>
      <c r="E3225" s="133">
        <f ca="1">OFFSET(INDEX(Composições!A:J,MATCH(Orçamentária!A3225,Composições!A:A,0),8),2,0)</f>
        <v>45.362499999999997</v>
      </c>
      <c r="F3225" s="134">
        <f t="shared" ca="1" si="180"/>
        <v>0</v>
      </c>
      <c r="G3225" s="135" t="e">
        <f>IF(A3225&lt;&gt;"",IF(AND(#REF!="Padrão",$H$4=#REF!),BDI!$B$17,IF(AND(#REF!="Padrão",$H$4=#REF!),BDI!#REF!,IF(AND(#REF!="Diferenciado",$H$4=#REF!),BDI!$E$17,IF(AND(#REF!="Diferenciado",$H$4=#REF!),BDI!#REF!,IF(#REF!="ZERO",0))))),"")</f>
        <v>#REF!</v>
      </c>
      <c r="H3225" s="136" t="e">
        <f t="shared" ca="1" si="181"/>
        <v>#REF!</v>
      </c>
      <c r="I3225" s="134" t="e">
        <f t="shared" ca="1" si="182"/>
        <v>#REF!</v>
      </c>
      <c r="J3225" s="226"/>
    </row>
    <row r="3226" spans="1:10" hidden="1" x14ac:dyDescent="0.25">
      <c r="A3226" s="112" t="s">
        <v>7916</v>
      </c>
      <c r="B3226" s="113" t="s">
        <v>7917</v>
      </c>
      <c r="C3226" s="114" t="s">
        <v>94</v>
      </c>
      <c r="D3226" s="114">
        <v>0</v>
      </c>
      <c r="E3226" s="133">
        <f ca="1">OFFSET(INDEX(Composições!A:J,MATCH(Orçamentária!A3226,Composições!A:A,0),8),2,0)</f>
        <v>21.66</v>
      </c>
      <c r="F3226" s="134">
        <f t="shared" ca="1" si="180"/>
        <v>0</v>
      </c>
      <c r="G3226" s="135" t="e">
        <f>IF(A3226&lt;&gt;"",IF(AND(#REF!="Padrão",$H$4=#REF!),BDI!$B$17,IF(AND(#REF!="Padrão",$H$4=#REF!),BDI!#REF!,IF(AND(#REF!="Diferenciado",$H$4=#REF!),BDI!$E$17,IF(AND(#REF!="Diferenciado",$H$4=#REF!),BDI!#REF!,IF(#REF!="ZERO",0))))),"")</f>
        <v>#REF!</v>
      </c>
      <c r="H3226" s="136" t="e">
        <f t="shared" ca="1" si="181"/>
        <v>#REF!</v>
      </c>
      <c r="I3226" s="134" t="e">
        <f t="shared" ca="1" si="182"/>
        <v>#REF!</v>
      </c>
      <c r="J3226" s="226"/>
    </row>
    <row r="3227" spans="1:10" hidden="1" x14ac:dyDescent="0.25">
      <c r="A3227" s="112" t="s">
        <v>7918</v>
      </c>
      <c r="B3227" s="113" t="s">
        <v>7919</v>
      </c>
      <c r="C3227" s="114" t="s">
        <v>92</v>
      </c>
      <c r="D3227" s="114">
        <v>0</v>
      </c>
      <c r="E3227" s="133">
        <f ca="1">OFFSET(INDEX(Composições!A:J,MATCH(Orçamentária!A3227,Composições!A:A,0),8),2,0)</f>
        <v>1.0489614999999999</v>
      </c>
      <c r="F3227" s="134">
        <f t="shared" ca="1" si="180"/>
        <v>0</v>
      </c>
      <c r="G3227" s="135" t="e">
        <f>IF(A3227&lt;&gt;"",IF(AND(#REF!="Padrão",$H$4=#REF!),BDI!$B$17,IF(AND(#REF!="Padrão",$H$4=#REF!),BDI!#REF!,IF(AND(#REF!="Diferenciado",$H$4=#REF!),BDI!$E$17,IF(AND(#REF!="Diferenciado",$H$4=#REF!),BDI!#REF!,IF(#REF!="ZERO",0))))),"")</f>
        <v>#REF!</v>
      </c>
      <c r="H3227" s="136" t="e">
        <f t="shared" ca="1" si="181"/>
        <v>#REF!</v>
      </c>
      <c r="I3227" s="134" t="e">
        <f t="shared" ca="1" si="182"/>
        <v>#REF!</v>
      </c>
      <c r="J3227" s="226"/>
    </row>
    <row r="3228" spans="1:10" hidden="1" x14ac:dyDescent="0.25">
      <c r="A3228" s="112" t="s">
        <v>7920</v>
      </c>
      <c r="B3228" s="113" t="s">
        <v>7921</v>
      </c>
      <c r="C3228" s="114" t="s">
        <v>7923</v>
      </c>
      <c r="D3228" s="114">
        <v>0</v>
      </c>
      <c r="E3228" s="133">
        <f ca="1">OFFSET(INDEX(Composições!A:J,MATCH(Orçamentária!A3228,Composições!A:A,0),8),2,0)</f>
        <v>0</v>
      </c>
      <c r="F3228" s="134">
        <f t="shared" ca="1" si="180"/>
        <v>0</v>
      </c>
      <c r="G3228" s="135" t="e">
        <f>IF(A3228&lt;&gt;"",IF(AND(#REF!="Padrão",$H$4=#REF!),BDI!$B$17,IF(AND(#REF!="Padrão",$H$4=#REF!),BDI!#REF!,IF(AND(#REF!="Diferenciado",$H$4=#REF!),BDI!$E$17,IF(AND(#REF!="Diferenciado",$H$4=#REF!),BDI!#REF!,IF(#REF!="ZERO",0))))),"")</f>
        <v>#REF!</v>
      </c>
      <c r="H3228" s="136" t="e">
        <f t="shared" ca="1" si="181"/>
        <v>#REF!</v>
      </c>
      <c r="I3228" s="134" t="e">
        <f t="shared" ca="1" si="182"/>
        <v>#REF!</v>
      </c>
      <c r="J3228" s="226"/>
    </row>
    <row r="3229" spans="1:10" hidden="1" x14ac:dyDescent="0.25">
      <c r="A3229" s="112" t="s">
        <v>7928</v>
      </c>
      <c r="B3229" s="113" t="s">
        <v>7939</v>
      </c>
      <c r="C3229" s="114" t="s">
        <v>20</v>
      </c>
      <c r="D3229" s="114">
        <v>0</v>
      </c>
      <c r="E3229" s="133" t="s">
        <v>514</v>
      </c>
      <c r="F3229" s="134" t="str">
        <f t="shared" si="180"/>
        <v/>
      </c>
      <c r="G3229" s="135" t="e">
        <f>IF(A3229&lt;&gt;"",IF(AND(#REF!="Padrão",$H$4=#REF!),BDI!$B$17,IF(AND(#REF!="Padrão",$H$4=#REF!),BDI!#REF!,IF(AND(#REF!="Diferenciado",$H$4=#REF!),BDI!$E$17,IF(AND(#REF!="Diferenciado",$H$4=#REF!),BDI!#REF!,IF(#REF!="ZERO",0))))),"")</f>
        <v>#REF!</v>
      </c>
      <c r="H3229" s="136" t="str">
        <f t="shared" si="181"/>
        <v/>
      </c>
      <c r="I3229" s="134" t="str">
        <f t="shared" si="182"/>
        <v/>
      </c>
      <c r="J3229" s="226"/>
    </row>
    <row r="3230" spans="1:10" hidden="1" x14ac:dyDescent="0.25">
      <c r="A3230" s="112" t="s">
        <v>7929</v>
      </c>
      <c r="B3230" s="113" t="s">
        <v>7940</v>
      </c>
      <c r="C3230" s="114" t="s">
        <v>20</v>
      </c>
      <c r="D3230" s="114">
        <v>0</v>
      </c>
      <c r="E3230" s="133">
        <f ca="1">OFFSET(INDEX(Composições!A:J,MATCH(Orçamentária!A3230,Composições!A:A,0),8),2,0)</f>
        <v>0</v>
      </c>
      <c r="F3230" s="134">
        <f t="shared" ref="F3230:F3237" ca="1" si="183">IF(ISNUMBER(E3230),D3230*E3230,"")</f>
        <v>0</v>
      </c>
      <c r="G3230" s="135" t="e">
        <f>IF(A3230&lt;&gt;"",IF(AND(#REF!="Padrão",$H$4=#REF!),BDI!$B$17,IF(AND(#REF!="Padrão",$H$4=#REF!),BDI!#REF!,IF(AND(#REF!="Diferenciado",$H$4=#REF!),BDI!$E$17,IF(AND(#REF!="Diferenciado",$H$4=#REF!),BDI!#REF!,IF(#REF!="ZERO",0))))),"")</f>
        <v>#REF!</v>
      </c>
      <c r="H3230" s="136" t="e">
        <f t="shared" ref="H3230:H3237" ca="1" si="184">IF(ISNUMBER(E3230),ROUND(E3230*(1+G3230),2),"")</f>
        <v>#REF!</v>
      </c>
      <c r="I3230" s="134" t="e">
        <f t="shared" ref="I3230:I3237" ca="1" si="185">IF(ISNUMBER(E3230),ROUND(H3230*D3230,2),"")</f>
        <v>#REF!</v>
      </c>
      <c r="J3230" s="226"/>
    </row>
    <row r="3231" spans="1:10" hidden="1" x14ac:dyDescent="0.25">
      <c r="A3231" s="112" t="s">
        <v>7930</v>
      </c>
      <c r="B3231" s="113" t="s">
        <v>7941</v>
      </c>
      <c r="C3231" s="114" t="s">
        <v>20</v>
      </c>
      <c r="D3231" s="114">
        <v>0</v>
      </c>
      <c r="E3231" s="133" t="s">
        <v>514</v>
      </c>
      <c r="F3231" s="134" t="str">
        <f t="shared" si="183"/>
        <v/>
      </c>
      <c r="G3231" s="135" t="e">
        <f>IF(A3231&lt;&gt;"",IF(AND(#REF!="Padrão",$H$4=#REF!),BDI!$B$17,IF(AND(#REF!="Padrão",$H$4=#REF!),BDI!#REF!,IF(AND(#REF!="Diferenciado",$H$4=#REF!),BDI!$E$17,IF(AND(#REF!="Diferenciado",$H$4=#REF!),BDI!#REF!,IF(#REF!="ZERO",0))))),"")</f>
        <v>#REF!</v>
      </c>
      <c r="H3231" s="136" t="str">
        <f t="shared" si="184"/>
        <v/>
      </c>
      <c r="I3231" s="134" t="str">
        <f t="shared" si="185"/>
        <v/>
      </c>
      <c r="J3231" s="226"/>
    </row>
    <row r="3232" spans="1:10" hidden="1" x14ac:dyDescent="0.25">
      <c r="A3232" s="112" t="s">
        <v>7931</v>
      </c>
      <c r="B3232" s="113" t="s">
        <v>7943</v>
      </c>
      <c r="C3232" s="114" t="s">
        <v>20</v>
      </c>
      <c r="D3232" s="114">
        <v>0</v>
      </c>
      <c r="E3232" s="133" t="s">
        <v>514</v>
      </c>
      <c r="F3232" s="134" t="str">
        <f t="shared" si="183"/>
        <v/>
      </c>
      <c r="G3232" s="135" t="e">
        <f>IF(A3232&lt;&gt;"",IF(AND(#REF!="Padrão",$H$4=#REF!),BDI!$B$17,IF(AND(#REF!="Padrão",$H$4=#REF!),BDI!#REF!,IF(AND(#REF!="Diferenciado",$H$4=#REF!),BDI!$E$17,IF(AND(#REF!="Diferenciado",$H$4=#REF!),BDI!#REF!,IF(#REF!="ZERO",0))))),"")</f>
        <v>#REF!</v>
      </c>
      <c r="H3232" s="136" t="str">
        <f t="shared" si="184"/>
        <v/>
      </c>
      <c r="I3232" s="134" t="str">
        <f t="shared" si="185"/>
        <v/>
      </c>
      <c r="J3232" s="226"/>
    </row>
    <row r="3233" spans="1:10" hidden="1" x14ac:dyDescent="0.25">
      <c r="A3233" s="112" t="s">
        <v>7932</v>
      </c>
      <c r="B3233" s="113" t="s">
        <v>7989</v>
      </c>
      <c r="C3233" s="114" t="s">
        <v>94</v>
      </c>
      <c r="D3233" s="114">
        <v>0</v>
      </c>
      <c r="E3233" s="133" t="s">
        <v>514</v>
      </c>
      <c r="F3233" s="134" t="str">
        <f t="shared" si="183"/>
        <v/>
      </c>
      <c r="G3233" s="135" t="e">
        <f>IF(A3233&lt;&gt;"",IF(AND(#REF!="Padrão",$H$4=#REF!),BDI!$B$17,IF(AND(#REF!="Padrão",$H$4=#REF!),BDI!#REF!,IF(AND(#REF!="Diferenciado",$H$4=#REF!),BDI!$E$17,IF(AND(#REF!="Diferenciado",$H$4=#REF!),BDI!#REF!,IF(#REF!="ZERO",0))))),"")</f>
        <v>#REF!</v>
      </c>
      <c r="H3233" s="136" t="str">
        <f t="shared" si="184"/>
        <v/>
      </c>
      <c r="I3233" s="134" t="str">
        <f t="shared" si="185"/>
        <v/>
      </c>
      <c r="J3233" s="226"/>
    </row>
    <row r="3234" spans="1:10" hidden="1" x14ac:dyDescent="0.25">
      <c r="A3234" s="112" t="s">
        <v>7933</v>
      </c>
      <c r="B3234" s="113" t="s">
        <v>7936</v>
      </c>
      <c r="C3234" s="114" t="s">
        <v>20</v>
      </c>
      <c r="D3234" s="114">
        <v>0</v>
      </c>
      <c r="E3234" s="133">
        <f ca="1">OFFSET(INDEX(Composições!A:J,MATCH(Orçamentária!A3234,Composições!A:A,0),8),2,0)</f>
        <v>0</v>
      </c>
      <c r="F3234" s="134">
        <f t="shared" ca="1" si="183"/>
        <v>0</v>
      </c>
      <c r="G3234" s="135" t="e">
        <f>IF(A3234&lt;&gt;"",IF(AND(#REF!="Padrão",$H$4=#REF!),BDI!$B$17,IF(AND(#REF!="Padrão",$H$4=#REF!),BDI!#REF!,IF(AND(#REF!="Diferenciado",$H$4=#REF!),BDI!$E$17,IF(AND(#REF!="Diferenciado",$H$4=#REF!),BDI!#REF!,IF(#REF!="ZERO",0))))),"")</f>
        <v>#REF!</v>
      </c>
      <c r="H3234" s="136" t="e">
        <f t="shared" ca="1" si="184"/>
        <v>#REF!</v>
      </c>
      <c r="I3234" s="134" t="e">
        <f t="shared" ca="1" si="185"/>
        <v>#REF!</v>
      </c>
      <c r="J3234" s="226"/>
    </row>
    <row r="3235" spans="1:10" hidden="1" x14ac:dyDescent="0.25">
      <c r="A3235" s="112" t="s">
        <v>7934</v>
      </c>
      <c r="B3235" s="113" t="s">
        <v>7942</v>
      </c>
      <c r="C3235" s="114" t="s">
        <v>20</v>
      </c>
      <c r="D3235" s="114">
        <v>0</v>
      </c>
      <c r="E3235" s="133">
        <f ca="1">OFFSET(INDEX(Composições!A:J,MATCH(Orçamentária!A3235,Composições!A:A,0),8),2,0)</f>
        <v>0</v>
      </c>
      <c r="F3235" s="134">
        <f t="shared" ca="1" si="183"/>
        <v>0</v>
      </c>
      <c r="G3235" s="135" t="e">
        <f>IF(A3235&lt;&gt;"",IF(AND(#REF!="Padrão",$H$4=#REF!),BDI!$B$17,IF(AND(#REF!="Padrão",$H$4=#REF!),BDI!#REF!,IF(AND(#REF!="Diferenciado",$H$4=#REF!),BDI!$E$17,IF(AND(#REF!="Diferenciado",$H$4=#REF!),BDI!#REF!,IF(#REF!="ZERO",0))))),"")</f>
        <v>#REF!</v>
      </c>
      <c r="H3235" s="136" t="e">
        <f t="shared" ca="1" si="184"/>
        <v>#REF!</v>
      </c>
      <c r="I3235" s="134" t="e">
        <f t="shared" ca="1" si="185"/>
        <v>#REF!</v>
      </c>
      <c r="J3235" s="226"/>
    </row>
    <row r="3236" spans="1:10" hidden="1" x14ac:dyDescent="0.25">
      <c r="A3236" s="112" t="s">
        <v>7935</v>
      </c>
      <c r="B3236" s="113" t="s">
        <v>7937</v>
      </c>
      <c r="C3236" s="114" t="s">
        <v>92</v>
      </c>
      <c r="D3236" s="114">
        <v>0</v>
      </c>
      <c r="E3236" s="133">
        <f ca="1">OFFSET(INDEX(Composições!A:J,MATCH(Orçamentária!A3236,Composições!A:A,0),8),2,0)</f>
        <v>18.971499999999999</v>
      </c>
      <c r="F3236" s="134">
        <f t="shared" ca="1" si="183"/>
        <v>0</v>
      </c>
      <c r="G3236" s="135" t="e">
        <f>IF(A3236&lt;&gt;"",IF(AND(#REF!="Padrão",$H$4=#REF!),BDI!$B$17,IF(AND(#REF!="Padrão",$H$4=#REF!),BDI!#REF!,IF(AND(#REF!="Diferenciado",$H$4=#REF!),BDI!$E$17,IF(AND(#REF!="Diferenciado",$H$4=#REF!),BDI!#REF!,IF(#REF!="ZERO",0))))),"")</f>
        <v>#REF!</v>
      </c>
      <c r="H3236" s="136" t="e">
        <f t="shared" ca="1" si="184"/>
        <v>#REF!</v>
      </c>
      <c r="I3236" s="134" t="e">
        <f t="shared" ca="1" si="185"/>
        <v>#REF!</v>
      </c>
      <c r="J3236" s="226"/>
    </row>
    <row r="3237" spans="1:10" hidden="1" x14ac:dyDescent="0.25">
      <c r="A3237" s="112" t="s">
        <v>7944</v>
      </c>
      <c r="B3237" s="113" t="s">
        <v>7938</v>
      </c>
      <c r="C3237" s="114" t="s">
        <v>92</v>
      </c>
      <c r="D3237" s="114">
        <v>0</v>
      </c>
      <c r="E3237" s="133">
        <f ca="1">OFFSET(INDEX(Composições!A:J,MATCH(Orçamentária!A3237,Composições!A:A,0),8),2,0)</f>
        <v>26.267499999999998</v>
      </c>
      <c r="F3237" s="134">
        <f t="shared" ca="1" si="183"/>
        <v>0</v>
      </c>
      <c r="G3237" s="135" t="e">
        <f>IF(A3237&lt;&gt;"",IF(AND(#REF!="Padrão",$H$4=#REF!),BDI!$B$17,IF(AND(#REF!="Padrão",$H$4=#REF!),BDI!#REF!,IF(AND(#REF!="Diferenciado",$H$4=#REF!),BDI!$E$17,IF(AND(#REF!="Diferenciado",$H$4=#REF!),BDI!#REF!,IF(#REF!="ZERO",0))))),"")</f>
        <v>#REF!</v>
      </c>
      <c r="H3237" s="136" t="e">
        <f t="shared" ca="1" si="184"/>
        <v>#REF!</v>
      </c>
      <c r="I3237" s="134" t="e">
        <f t="shared" ca="1" si="185"/>
        <v>#REF!</v>
      </c>
      <c r="J3237" s="226"/>
    </row>
    <row r="3238" spans="1:10" hidden="1" x14ac:dyDescent="0.25">
      <c r="A3238" s="112" t="s">
        <v>7945</v>
      </c>
      <c r="B3238" s="113" t="s">
        <v>7994</v>
      </c>
      <c r="C3238" s="114" t="s">
        <v>92</v>
      </c>
      <c r="D3238" s="114">
        <v>0</v>
      </c>
      <c r="E3238" s="133" t="s">
        <v>514</v>
      </c>
      <c r="F3238" s="134" t="str">
        <f t="shared" ref="F3238" si="186">IF(ISNUMBER(E3238),D3238*E3238,"")</f>
        <v/>
      </c>
      <c r="G3238" s="135" t="e">
        <f>IF(A3238&lt;&gt;"",IF(AND(#REF!="Padrão",$H$4=#REF!),BDI!$B$17,IF(AND(#REF!="Padrão",$H$4=#REF!),BDI!#REF!,IF(AND(#REF!="Diferenciado",$H$4=#REF!),BDI!$E$17,IF(AND(#REF!="Diferenciado",$H$4=#REF!),BDI!#REF!,IF(#REF!="ZERO",0))))),"")</f>
        <v>#REF!</v>
      </c>
      <c r="H3238" s="136" t="str">
        <f t="shared" ref="H3238" si="187">IF(ISNUMBER(E3238),ROUND(E3238*(1+G3238),2),"")</f>
        <v/>
      </c>
      <c r="I3238" s="134" t="str">
        <f t="shared" ref="I3238" si="188">IF(ISNUMBER(E3238),ROUND(H3238*D3238,2),"")</f>
        <v/>
      </c>
      <c r="J3238" s="226"/>
    </row>
    <row r="3239" spans="1:10" hidden="1" x14ac:dyDescent="0.25">
      <c r="A3239" s="112" t="s">
        <v>7946</v>
      </c>
      <c r="B3239" s="113" t="s">
        <v>8010</v>
      </c>
      <c r="C3239" s="114" t="s">
        <v>94</v>
      </c>
      <c r="D3239" s="114">
        <v>0</v>
      </c>
      <c r="E3239" s="133" t="s">
        <v>514</v>
      </c>
      <c r="F3239" s="134" t="str">
        <f t="shared" ref="F3239:F3246" si="189">IF(ISNUMBER(E3239),D3239*E3239,"")</f>
        <v/>
      </c>
      <c r="G3239" s="135" t="e">
        <f>IF(A3239&lt;&gt;"",IF(AND(#REF!="Padrão",$H$4=#REF!),BDI!$B$17,IF(AND(#REF!="Padrão",$H$4=#REF!),BDI!#REF!,IF(AND(#REF!="Diferenciado",$H$4=#REF!),BDI!$E$17,IF(AND(#REF!="Diferenciado",$H$4=#REF!),BDI!#REF!,IF(#REF!="ZERO",0))))),"")</f>
        <v>#REF!</v>
      </c>
      <c r="H3239" s="136" t="str">
        <f t="shared" ref="H3239:H3246" si="190">IF(ISNUMBER(E3239),ROUND(E3239*(1+G3239),2),"")</f>
        <v/>
      </c>
      <c r="I3239" s="134" t="str">
        <f t="shared" ref="I3239:I3246" si="191">IF(ISNUMBER(E3239),ROUND(H3239*D3239,2),"")</f>
        <v/>
      </c>
      <c r="J3239" s="226"/>
    </row>
    <row r="3240" spans="1:10" hidden="1" x14ac:dyDescent="0.25">
      <c r="A3240" s="112" t="s">
        <v>7947</v>
      </c>
      <c r="B3240" s="113" t="s">
        <v>8011</v>
      </c>
      <c r="C3240" s="114" t="s">
        <v>94</v>
      </c>
      <c r="D3240" s="114">
        <v>0</v>
      </c>
      <c r="E3240" s="133">
        <f ca="1">OFFSET(INDEX(Composições!A:J,MATCH(Orçamentária!A3240,Composições!A:A,0),8),2,0)</f>
        <v>270.16261499999996</v>
      </c>
      <c r="F3240" s="134">
        <f t="shared" ca="1" si="189"/>
        <v>0</v>
      </c>
      <c r="G3240" s="135" t="e">
        <f>IF(A3240&lt;&gt;"",IF(AND(#REF!="Padrão",$H$4=#REF!),BDI!$B$17,IF(AND(#REF!="Padrão",$H$4=#REF!),BDI!#REF!,IF(AND(#REF!="Diferenciado",$H$4=#REF!),BDI!$E$17,IF(AND(#REF!="Diferenciado",$H$4=#REF!),BDI!#REF!,IF(#REF!="ZERO",0))))),"")</f>
        <v>#REF!</v>
      </c>
      <c r="H3240" s="136" t="e">
        <f t="shared" ca="1" si="190"/>
        <v>#REF!</v>
      </c>
      <c r="I3240" s="134" t="e">
        <f t="shared" ca="1" si="191"/>
        <v>#REF!</v>
      </c>
      <c r="J3240" s="226"/>
    </row>
    <row r="3241" spans="1:10" hidden="1" x14ac:dyDescent="0.25">
      <c r="A3241" s="112" t="s">
        <v>7948</v>
      </c>
      <c r="B3241" s="113" t="s">
        <v>8012</v>
      </c>
      <c r="C3241" s="114" t="s">
        <v>20</v>
      </c>
      <c r="D3241" s="114">
        <v>0</v>
      </c>
      <c r="E3241" s="133" t="s">
        <v>514</v>
      </c>
      <c r="F3241" s="134" t="str">
        <f t="shared" si="189"/>
        <v/>
      </c>
      <c r="G3241" s="135" t="e">
        <f>IF(A3241&lt;&gt;"",IF(AND(#REF!="Padrão",$H$4=#REF!),BDI!$B$17,IF(AND(#REF!="Padrão",$H$4=#REF!),BDI!#REF!,IF(AND(#REF!="Diferenciado",$H$4=#REF!),BDI!$E$17,IF(AND(#REF!="Diferenciado",$H$4=#REF!),BDI!#REF!,IF(#REF!="ZERO",0))))),"")</f>
        <v>#REF!</v>
      </c>
      <c r="H3241" s="136" t="str">
        <f t="shared" si="190"/>
        <v/>
      </c>
      <c r="I3241" s="134" t="str">
        <f t="shared" si="191"/>
        <v/>
      </c>
      <c r="J3241" s="226"/>
    </row>
    <row r="3242" spans="1:10" hidden="1" x14ac:dyDescent="0.25">
      <c r="A3242" s="112" t="s">
        <v>7949</v>
      </c>
      <c r="B3242" s="113" t="s">
        <v>8013</v>
      </c>
      <c r="C3242" s="114" t="s">
        <v>20</v>
      </c>
      <c r="D3242" s="114">
        <v>0</v>
      </c>
      <c r="E3242" s="133" t="s">
        <v>514</v>
      </c>
      <c r="F3242" s="134" t="str">
        <f t="shared" si="189"/>
        <v/>
      </c>
      <c r="G3242" s="135" t="e">
        <f>IF(A3242&lt;&gt;"",IF(AND(#REF!="Padrão",$H$4=#REF!),BDI!$B$17,IF(AND(#REF!="Padrão",$H$4=#REF!),BDI!#REF!,IF(AND(#REF!="Diferenciado",$H$4=#REF!),BDI!$E$17,IF(AND(#REF!="Diferenciado",$H$4=#REF!),BDI!#REF!,IF(#REF!="ZERO",0))))),"")</f>
        <v>#REF!</v>
      </c>
      <c r="H3242" s="136" t="str">
        <f t="shared" si="190"/>
        <v/>
      </c>
      <c r="I3242" s="134" t="str">
        <f t="shared" si="191"/>
        <v/>
      </c>
      <c r="J3242" s="226"/>
    </row>
    <row r="3243" spans="1:10" hidden="1" x14ac:dyDescent="0.25">
      <c r="A3243" s="112" t="s">
        <v>7950</v>
      </c>
      <c r="B3243" s="113" t="s">
        <v>8014</v>
      </c>
      <c r="C3243" s="114" t="s">
        <v>92</v>
      </c>
      <c r="D3243" s="114">
        <v>0</v>
      </c>
      <c r="E3243" s="133">
        <f ca="1">OFFSET(INDEX(Composições!A:J,MATCH(Orçamentária!A3243,Composições!A:A,0),8),2,0)</f>
        <v>22.026215499999999</v>
      </c>
      <c r="F3243" s="134">
        <f t="shared" ca="1" si="189"/>
        <v>0</v>
      </c>
      <c r="G3243" s="135" t="e">
        <f>IF(A3243&lt;&gt;"",IF(AND(#REF!="Padrão",$H$4=#REF!),BDI!$B$17,IF(AND(#REF!="Padrão",$H$4=#REF!),BDI!#REF!,IF(AND(#REF!="Diferenciado",$H$4=#REF!),BDI!$E$17,IF(AND(#REF!="Diferenciado",$H$4=#REF!),BDI!#REF!,IF(#REF!="ZERO",0))))),"")</f>
        <v>#REF!</v>
      </c>
      <c r="H3243" s="136" t="e">
        <f t="shared" ca="1" si="190"/>
        <v>#REF!</v>
      </c>
      <c r="I3243" s="134" t="e">
        <f t="shared" ca="1" si="191"/>
        <v>#REF!</v>
      </c>
      <c r="J3243" s="226"/>
    </row>
    <row r="3244" spans="1:10" ht="25.5" hidden="1" x14ac:dyDescent="0.25">
      <c r="A3244" s="112" t="s">
        <v>7951</v>
      </c>
      <c r="B3244" s="113" t="s">
        <v>8015</v>
      </c>
      <c r="C3244" s="114" t="s">
        <v>4994</v>
      </c>
      <c r="D3244" s="114">
        <v>0</v>
      </c>
      <c r="E3244" s="133" t="s">
        <v>514</v>
      </c>
      <c r="F3244" s="134" t="str">
        <f t="shared" si="189"/>
        <v/>
      </c>
      <c r="G3244" s="135" t="e">
        <f>IF(A3244&lt;&gt;"",IF(AND(#REF!="Padrão",$H$4=#REF!),BDI!$B$17,IF(AND(#REF!="Padrão",$H$4=#REF!),BDI!#REF!,IF(AND(#REF!="Diferenciado",$H$4=#REF!),BDI!$E$17,IF(AND(#REF!="Diferenciado",$H$4=#REF!),BDI!#REF!,IF(#REF!="ZERO",0))))),"")</f>
        <v>#REF!</v>
      </c>
      <c r="H3244" s="136" t="str">
        <f t="shared" si="190"/>
        <v/>
      </c>
      <c r="I3244" s="134" t="str">
        <f t="shared" si="191"/>
        <v/>
      </c>
      <c r="J3244" s="226"/>
    </row>
    <row r="3245" spans="1:10" hidden="1" x14ac:dyDescent="0.25">
      <c r="A3245" s="112" t="s">
        <v>7952</v>
      </c>
      <c r="B3245" s="113" t="s">
        <v>8016</v>
      </c>
      <c r="C3245" s="114" t="s">
        <v>20</v>
      </c>
      <c r="D3245" s="114">
        <v>0</v>
      </c>
      <c r="E3245" s="133" t="s">
        <v>514</v>
      </c>
      <c r="F3245" s="134" t="str">
        <f t="shared" si="189"/>
        <v/>
      </c>
      <c r="G3245" s="135" t="e">
        <f>IF(A3245&lt;&gt;"",IF(AND(#REF!="Padrão",$H$4=#REF!),BDI!$B$17,IF(AND(#REF!="Padrão",$H$4=#REF!),BDI!#REF!,IF(AND(#REF!="Diferenciado",$H$4=#REF!),BDI!$E$17,IF(AND(#REF!="Diferenciado",$H$4=#REF!),BDI!#REF!,IF(#REF!="ZERO",0))))),"")</f>
        <v>#REF!</v>
      </c>
      <c r="H3245" s="136" t="str">
        <f t="shared" si="190"/>
        <v/>
      </c>
      <c r="I3245" s="134" t="str">
        <f t="shared" si="191"/>
        <v/>
      </c>
      <c r="J3245" s="226"/>
    </row>
    <row r="3246" spans="1:10" hidden="1" x14ac:dyDescent="0.25">
      <c r="A3246" s="112" t="s">
        <v>7953</v>
      </c>
      <c r="B3246" s="113" t="s">
        <v>8017</v>
      </c>
      <c r="C3246" s="114" t="s">
        <v>20</v>
      </c>
      <c r="D3246" s="114">
        <v>0</v>
      </c>
      <c r="E3246" s="133" t="s">
        <v>514</v>
      </c>
      <c r="F3246" s="134" t="str">
        <f t="shared" si="189"/>
        <v/>
      </c>
      <c r="G3246" s="135" t="e">
        <f>IF(A3246&lt;&gt;"",IF(AND(#REF!="Padrão",$H$4=#REF!),BDI!$B$17,IF(AND(#REF!="Padrão",$H$4=#REF!),BDI!#REF!,IF(AND(#REF!="Diferenciado",$H$4=#REF!),BDI!$E$17,IF(AND(#REF!="Diferenciado",$H$4=#REF!),BDI!#REF!,IF(#REF!="ZERO",0))))),"")</f>
        <v>#REF!</v>
      </c>
      <c r="H3246" s="136" t="str">
        <f t="shared" si="190"/>
        <v/>
      </c>
      <c r="I3246" s="134" t="str">
        <f t="shared" si="191"/>
        <v/>
      </c>
      <c r="J3246" s="226"/>
    </row>
    <row r="3247" spans="1:10" hidden="1" x14ac:dyDescent="0.25">
      <c r="A3247" s="112" t="s">
        <v>7954</v>
      </c>
      <c r="B3247" s="113" t="s">
        <v>8026</v>
      </c>
      <c r="C3247" s="114" t="s">
        <v>20</v>
      </c>
      <c r="D3247" s="114">
        <v>0</v>
      </c>
      <c r="E3247" s="133">
        <f ca="1">OFFSET(INDEX(Composições!A:J,MATCH(Orçamentária!A3247,Composições!A:A,0),8),2,0)</f>
        <v>1950.2817614999999</v>
      </c>
      <c r="F3247" s="134">
        <f t="shared" ref="F3247:F3260" ca="1" si="192">IF(ISNUMBER(E3247),D3247*E3247,"")</f>
        <v>0</v>
      </c>
      <c r="G3247" s="135" t="e">
        <f>IF(A3247&lt;&gt;"",IF(AND(#REF!="Padrão",$H$4=#REF!),BDI!$B$17,IF(AND(#REF!="Padrão",$H$4=#REF!),BDI!#REF!,IF(AND(#REF!="Diferenciado",$H$4=#REF!),BDI!$E$17,IF(AND(#REF!="Diferenciado",$H$4=#REF!),BDI!#REF!,IF(#REF!="ZERO",0))))),"")</f>
        <v>#REF!</v>
      </c>
      <c r="H3247" s="136" t="e">
        <f t="shared" ref="H3247:H3260" ca="1" si="193">IF(ISNUMBER(E3247),ROUND(E3247*(1+G3247),2),"")</f>
        <v>#REF!</v>
      </c>
      <c r="I3247" s="134" t="e">
        <f t="shared" ref="I3247:I3260" ca="1" si="194">IF(ISNUMBER(E3247),ROUND(H3247*D3247,2),"")</f>
        <v>#REF!</v>
      </c>
      <c r="J3247" s="226"/>
    </row>
    <row r="3248" spans="1:10" hidden="1" x14ac:dyDescent="0.25">
      <c r="A3248" s="112" t="s">
        <v>7955</v>
      </c>
      <c r="B3248" s="113" t="s">
        <v>8025</v>
      </c>
      <c r="C3248" s="114" t="s">
        <v>20</v>
      </c>
      <c r="D3248" s="114">
        <v>0</v>
      </c>
      <c r="E3248" s="133">
        <f ca="1">OFFSET(INDEX(Composições!A:J,MATCH(Orçamentária!A3248,Composições!A:A,0),8),2,0)</f>
        <v>1941.2627084999999</v>
      </c>
      <c r="F3248" s="134">
        <f t="shared" ca="1" si="192"/>
        <v>0</v>
      </c>
      <c r="G3248" s="135" t="e">
        <f>IF(A3248&lt;&gt;"",IF(AND(#REF!="Padrão",$H$4=#REF!),BDI!$B$17,IF(AND(#REF!="Padrão",$H$4=#REF!),BDI!#REF!,IF(AND(#REF!="Diferenciado",$H$4=#REF!),BDI!$E$17,IF(AND(#REF!="Diferenciado",$H$4=#REF!),BDI!#REF!,IF(#REF!="ZERO",0))))),"")</f>
        <v>#REF!</v>
      </c>
      <c r="H3248" s="136" t="e">
        <f t="shared" ca="1" si="193"/>
        <v>#REF!</v>
      </c>
      <c r="I3248" s="134" t="e">
        <f t="shared" ca="1" si="194"/>
        <v>#REF!</v>
      </c>
      <c r="J3248" s="226"/>
    </row>
    <row r="3249" spans="1:10" hidden="1" x14ac:dyDescent="0.25">
      <c r="A3249" s="112" t="s">
        <v>7956</v>
      </c>
      <c r="B3249" s="113" t="s">
        <v>8019</v>
      </c>
      <c r="C3249" s="114" t="s">
        <v>20</v>
      </c>
      <c r="D3249" s="114">
        <v>0</v>
      </c>
      <c r="E3249" s="133">
        <f ca="1">OFFSET(INDEX(Composições!A:J,MATCH(Orçamentária!A3249,Composições!A:A,0),8),2,0)</f>
        <v>11.138749999999998</v>
      </c>
      <c r="F3249" s="134">
        <f t="shared" ca="1" si="192"/>
        <v>0</v>
      </c>
      <c r="G3249" s="135" t="e">
        <f>IF(A3249&lt;&gt;"",IF(AND(#REF!="Padrão",$H$4=#REF!),BDI!$B$17,IF(AND(#REF!="Padrão",$H$4=#REF!),BDI!#REF!,IF(AND(#REF!="Diferenciado",$H$4=#REF!),BDI!$E$17,IF(AND(#REF!="Diferenciado",$H$4=#REF!),BDI!#REF!,IF(#REF!="ZERO",0))))),"")</f>
        <v>#REF!</v>
      </c>
      <c r="H3249" s="136" t="e">
        <f t="shared" ca="1" si="193"/>
        <v>#REF!</v>
      </c>
      <c r="I3249" s="134" t="e">
        <f t="shared" ca="1" si="194"/>
        <v>#REF!</v>
      </c>
      <c r="J3249" s="226"/>
    </row>
    <row r="3250" spans="1:10" hidden="1" x14ac:dyDescent="0.25">
      <c r="A3250" s="112" t="s">
        <v>7957</v>
      </c>
      <c r="B3250" s="113" t="s">
        <v>8020</v>
      </c>
      <c r="C3250" s="114" t="s">
        <v>20</v>
      </c>
      <c r="D3250" s="114">
        <v>0</v>
      </c>
      <c r="E3250" s="133">
        <f ca="1">OFFSET(INDEX(Composições!A:J,MATCH(Orçamentária!A3250,Composições!A:A,0),8),2,0)</f>
        <v>222.77499999999998</v>
      </c>
      <c r="F3250" s="134">
        <f t="shared" ca="1" si="192"/>
        <v>0</v>
      </c>
      <c r="G3250" s="135" t="e">
        <f>IF(A3250&lt;&gt;"",IF(AND(#REF!="Padrão",$H$4=#REF!),BDI!$B$17,IF(AND(#REF!="Padrão",$H$4=#REF!),BDI!#REF!,IF(AND(#REF!="Diferenciado",$H$4=#REF!),BDI!$E$17,IF(AND(#REF!="Diferenciado",$H$4=#REF!),BDI!#REF!,IF(#REF!="ZERO",0))))),"")</f>
        <v>#REF!</v>
      </c>
      <c r="H3250" s="136" t="e">
        <f t="shared" ca="1" si="193"/>
        <v>#REF!</v>
      </c>
      <c r="I3250" s="134" t="e">
        <f t="shared" ca="1" si="194"/>
        <v>#REF!</v>
      </c>
      <c r="J3250" s="226"/>
    </row>
    <row r="3251" spans="1:10" hidden="1" x14ac:dyDescent="0.25">
      <c r="A3251" s="112" t="s">
        <v>7958</v>
      </c>
      <c r="B3251" s="113" t="s">
        <v>8021</v>
      </c>
      <c r="C3251" s="114" t="s">
        <v>20</v>
      </c>
      <c r="D3251" s="114">
        <v>0</v>
      </c>
      <c r="E3251" s="133">
        <f ca="1">OFFSET(INDEX(Composições!A:J,MATCH(Orçamentária!A3251,Composições!A:A,0),8),2,0)</f>
        <v>35.643999999999998</v>
      </c>
      <c r="F3251" s="134">
        <f t="shared" ca="1" si="192"/>
        <v>0</v>
      </c>
      <c r="G3251" s="135" t="e">
        <f>IF(A3251&lt;&gt;"",IF(AND(#REF!="Padrão",$H$4=#REF!),BDI!$B$17,IF(AND(#REF!="Padrão",$H$4=#REF!),BDI!#REF!,IF(AND(#REF!="Diferenciado",$H$4=#REF!),BDI!$E$17,IF(AND(#REF!="Diferenciado",$H$4=#REF!),BDI!#REF!,IF(#REF!="ZERO",0))))),"")</f>
        <v>#REF!</v>
      </c>
      <c r="H3251" s="136" t="e">
        <f t="shared" ca="1" si="193"/>
        <v>#REF!</v>
      </c>
      <c r="I3251" s="134" t="e">
        <f t="shared" ca="1" si="194"/>
        <v>#REF!</v>
      </c>
      <c r="J3251" s="226"/>
    </row>
    <row r="3252" spans="1:10" hidden="1" x14ac:dyDescent="0.25">
      <c r="A3252" s="112" t="s">
        <v>7959</v>
      </c>
      <c r="B3252" s="113" t="s">
        <v>8022</v>
      </c>
      <c r="C3252" s="114" t="s">
        <v>92</v>
      </c>
      <c r="D3252" s="114">
        <v>0</v>
      </c>
      <c r="E3252" s="133">
        <f ca="1">OFFSET(INDEX(Composições!A:J,MATCH(Orçamentária!A3252,Composições!A:A,0),8),2,0)</f>
        <v>2.7474189999999998</v>
      </c>
      <c r="F3252" s="134">
        <f t="shared" ca="1" si="192"/>
        <v>0</v>
      </c>
      <c r="G3252" s="135" t="e">
        <f>IF(A3252&lt;&gt;"",IF(AND(#REF!="Padrão",$H$4=#REF!),BDI!$B$17,IF(AND(#REF!="Padrão",$H$4=#REF!),BDI!#REF!,IF(AND(#REF!="Diferenciado",$H$4=#REF!),BDI!$E$17,IF(AND(#REF!="Diferenciado",$H$4=#REF!),BDI!#REF!,IF(#REF!="ZERO",0))))),"")</f>
        <v>#REF!</v>
      </c>
      <c r="H3252" s="136" t="e">
        <f t="shared" ca="1" si="193"/>
        <v>#REF!</v>
      </c>
      <c r="I3252" s="134" t="e">
        <f t="shared" ca="1" si="194"/>
        <v>#REF!</v>
      </c>
      <c r="J3252" s="226"/>
    </row>
    <row r="3253" spans="1:10" hidden="1" x14ac:dyDescent="0.25">
      <c r="A3253" s="112" t="s">
        <v>7960</v>
      </c>
      <c r="B3253" s="113" t="s">
        <v>8027</v>
      </c>
      <c r="C3253" s="114" t="s">
        <v>20</v>
      </c>
      <c r="D3253" s="114">
        <v>0</v>
      </c>
      <c r="E3253" s="133">
        <f ca="1">OFFSET(INDEX(Composições!A:J,MATCH(Orçamentária!A3253,Composições!A:A,0),8),2,0)</f>
        <v>43.386627805126395</v>
      </c>
      <c r="F3253" s="134">
        <f t="shared" ca="1" si="192"/>
        <v>0</v>
      </c>
      <c r="G3253" s="135" t="e">
        <f>IF(A3253&lt;&gt;"",IF(AND(#REF!="Padrão",$H$4=#REF!),BDI!$B$17,IF(AND(#REF!="Padrão",$H$4=#REF!),BDI!#REF!,IF(AND(#REF!="Diferenciado",$H$4=#REF!),BDI!$E$17,IF(AND(#REF!="Diferenciado",$H$4=#REF!),BDI!#REF!,IF(#REF!="ZERO",0))))),"")</f>
        <v>#REF!</v>
      </c>
      <c r="H3253" s="136" t="e">
        <f t="shared" ca="1" si="193"/>
        <v>#REF!</v>
      </c>
      <c r="I3253" s="134" t="e">
        <f t="shared" ca="1" si="194"/>
        <v>#REF!</v>
      </c>
      <c r="J3253" s="226"/>
    </row>
    <row r="3254" spans="1:10" hidden="1" x14ac:dyDescent="0.25">
      <c r="A3254" s="112" t="s">
        <v>7961</v>
      </c>
      <c r="B3254" s="113" t="s">
        <v>8023</v>
      </c>
      <c r="C3254" s="114" t="s">
        <v>20</v>
      </c>
      <c r="D3254" s="114">
        <v>0</v>
      </c>
      <c r="E3254" s="133">
        <f ca="1">OFFSET(INDEX(Composições!A:J,MATCH(Orçamentária!A3254,Composições!A:A,0),8),2,0)</f>
        <v>925.05229510000004</v>
      </c>
      <c r="F3254" s="134">
        <f t="shared" ca="1" si="192"/>
        <v>0</v>
      </c>
      <c r="G3254" s="135" t="e">
        <f>IF(A3254&lt;&gt;"",IF(AND(#REF!="Padrão",$H$4=#REF!),BDI!$B$17,IF(AND(#REF!="Padrão",$H$4=#REF!),BDI!#REF!,IF(AND(#REF!="Diferenciado",$H$4=#REF!),BDI!$E$17,IF(AND(#REF!="Diferenciado",$H$4=#REF!),BDI!#REF!,IF(#REF!="ZERO",0))))),"")</f>
        <v>#REF!</v>
      </c>
      <c r="H3254" s="136" t="e">
        <f t="shared" ca="1" si="193"/>
        <v>#REF!</v>
      </c>
      <c r="I3254" s="134" t="e">
        <f t="shared" ca="1" si="194"/>
        <v>#REF!</v>
      </c>
      <c r="J3254" s="226"/>
    </row>
    <row r="3255" spans="1:10" hidden="1" x14ac:dyDescent="0.25">
      <c r="A3255" s="112" t="s">
        <v>7962</v>
      </c>
      <c r="B3255" s="113" t="s">
        <v>8028</v>
      </c>
      <c r="C3255" s="114" t="s">
        <v>92</v>
      </c>
      <c r="D3255" s="114">
        <v>0</v>
      </c>
      <c r="E3255" s="133">
        <f ca="1">OFFSET(INDEX(Composições!A:J,MATCH(Orçamentária!A3255,Composições!A:A,0),8),2,0)</f>
        <v>8.1145960000000006</v>
      </c>
      <c r="F3255" s="134">
        <f t="shared" ca="1" si="192"/>
        <v>0</v>
      </c>
      <c r="G3255" s="135" t="e">
        <f>IF(A3255&lt;&gt;"",IF(AND(#REF!="Padrão",$H$4=#REF!),BDI!$B$17,IF(AND(#REF!="Padrão",$H$4=#REF!),BDI!#REF!,IF(AND(#REF!="Diferenciado",$H$4=#REF!),BDI!$E$17,IF(AND(#REF!="Diferenciado",$H$4=#REF!),BDI!#REF!,IF(#REF!="ZERO",0))))),"")</f>
        <v>#REF!</v>
      </c>
      <c r="H3255" s="136" t="e">
        <f t="shared" ca="1" si="193"/>
        <v>#REF!</v>
      </c>
      <c r="I3255" s="134" t="e">
        <f t="shared" ca="1" si="194"/>
        <v>#REF!</v>
      </c>
      <c r="J3255" s="226"/>
    </row>
    <row r="3256" spans="1:10" hidden="1" x14ac:dyDescent="0.25">
      <c r="A3256" s="112" t="s">
        <v>7963</v>
      </c>
      <c r="B3256" s="113" t="s">
        <v>4020</v>
      </c>
      <c r="C3256" s="114" t="s">
        <v>92</v>
      </c>
      <c r="D3256" s="114">
        <v>0</v>
      </c>
      <c r="E3256" s="133">
        <f ca="1">OFFSET(INDEX(Composições!A:J,MATCH(Orçamentária!A3256,Composições!A:A,0),8),2,0)</f>
        <v>0.62196499999999988</v>
      </c>
      <c r="F3256" s="134">
        <f t="shared" ca="1" si="192"/>
        <v>0</v>
      </c>
      <c r="G3256" s="135" t="e">
        <f>IF(A3256&lt;&gt;"",IF(AND(#REF!="Padrão",$H$4=#REF!),BDI!$B$17,IF(AND(#REF!="Padrão",$H$4=#REF!),BDI!#REF!,IF(AND(#REF!="Diferenciado",$H$4=#REF!),BDI!$E$17,IF(AND(#REF!="Diferenciado",$H$4=#REF!),BDI!#REF!,IF(#REF!="ZERO",0))))),"")</f>
        <v>#REF!</v>
      </c>
      <c r="H3256" s="136" t="e">
        <f t="shared" ca="1" si="193"/>
        <v>#REF!</v>
      </c>
      <c r="I3256" s="134" t="e">
        <f t="shared" ca="1" si="194"/>
        <v>#REF!</v>
      </c>
      <c r="J3256" s="226"/>
    </row>
    <row r="3257" spans="1:10" hidden="1" x14ac:dyDescent="0.25">
      <c r="A3257" s="112" t="s">
        <v>7964</v>
      </c>
      <c r="B3257" s="113" t="s">
        <v>4221</v>
      </c>
      <c r="C3257" s="114" t="s">
        <v>92</v>
      </c>
      <c r="D3257" s="114">
        <v>0</v>
      </c>
      <c r="E3257" s="133">
        <f ca="1">OFFSET(INDEX(Composições!A:J,MATCH(Orçamentária!A3257,Composições!A:A,0),8),2,0)</f>
        <v>22.277499999999996</v>
      </c>
      <c r="F3257" s="134">
        <f t="shared" ca="1" si="192"/>
        <v>0</v>
      </c>
      <c r="G3257" s="135" t="e">
        <f>IF(A3257&lt;&gt;"",IF(AND(#REF!="Padrão",$H$4=#REF!),BDI!$B$17,IF(AND(#REF!="Padrão",$H$4=#REF!),BDI!#REF!,IF(AND(#REF!="Diferenciado",$H$4=#REF!),BDI!$E$17,IF(AND(#REF!="Diferenciado",$H$4=#REF!),BDI!#REF!,IF(#REF!="ZERO",0))))),"")</f>
        <v>#REF!</v>
      </c>
      <c r="H3257" s="136" t="e">
        <f t="shared" ca="1" si="193"/>
        <v>#REF!</v>
      </c>
      <c r="I3257" s="134" t="e">
        <f t="shared" ca="1" si="194"/>
        <v>#REF!</v>
      </c>
      <c r="J3257" s="226"/>
    </row>
    <row r="3258" spans="1:10" hidden="1" x14ac:dyDescent="0.25">
      <c r="A3258" s="112" t="s">
        <v>7965</v>
      </c>
      <c r="B3258" s="113" t="s">
        <v>4223</v>
      </c>
      <c r="C3258" s="114" t="s">
        <v>92</v>
      </c>
      <c r="D3258" s="114">
        <v>0</v>
      </c>
      <c r="E3258" s="133">
        <f ca="1">OFFSET(INDEX(Composições!A:J,MATCH(Orçamentária!A3258,Composições!A:A,0),8),2,0)</f>
        <v>33.416249999999991</v>
      </c>
      <c r="F3258" s="134">
        <f ca="1">IF(ISNUMBER(E3258),D3258*E3258,"")</f>
        <v>0</v>
      </c>
      <c r="G3258" s="135" t="e">
        <f>IF(A3258&lt;&gt;"",IF(AND(#REF!="Padrão",$H$4=#REF!),BDI!$B$17,IF(AND(#REF!="Padrão",$H$4=#REF!),BDI!#REF!,IF(AND(#REF!="Diferenciado",$H$4=#REF!),BDI!$E$17,IF(AND(#REF!="Diferenciado",$H$4=#REF!),BDI!#REF!,IF(#REF!="ZERO",0))))),"")</f>
        <v>#REF!</v>
      </c>
      <c r="H3258" s="136" t="e">
        <f t="shared" ca="1" si="193"/>
        <v>#REF!</v>
      </c>
      <c r="I3258" s="134" t="e">
        <f t="shared" ca="1" si="194"/>
        <v>#REF!</v>
      </c>
      <c r="J3258" s="226"/>
    </row>
    <row r="3259" spans="1:10" hidden="1" x14ac:dyDescent="0.25">
      <c r="A3259" s="112" t="s">
        <v>7966</v>
      </c>
      <c r="B3259" s="113" t="s">
        <v>4224</v>
      </c>
      <c r="C3259" s="114" t="s">
        <v>92</v>
      </c>
      <c r="D3259" s="114">
        <v>0</v>
      </c>
      <c r="E3259" s="133">
        <f ca="1">OFFSET(INDEX(Composições!A:J,MATCH(Orçamentária!A3259,Composições!A:A,0),8),2,0)</f>
        <v>33.416249999999991</v>
      </c>
      <c r="F3259" s="134">
        <f t="shared" ca="1" si="192"/>
        <v>0</v>
      </c>
      <c r="G3259" s="135" t="e">
        <f>IF(A3259&lt;&gt;"",IF(AND(#REF!="Padrão",$H$4=#REF!),BDI!$B$17,IF(AND(#REF!="Padrão",$H$4=#REF!),BDI!#REF!,IF(AND(#REF!="Diferenciado",$H$4=#REF!),BDI!$E$17,IF(AND(#REF!="Diferenciado",$H$4=#REF!),BDI!#REF!,IF(#REF!="ZERO",0))))),"")</f>
        <v>#REF!</v>
      </c>
      <c r="H3259" s="136" t="e">
        <f t="shared" ca="1" si="193"/>
        <v>#REF!</v>
      </c>
      <c r="I3259" s="134" t="e">
        <f t="shared" ca="1" si="194"/>
        <v>#REF!</v>
      </c>
      <c r="J3259" s="226"/>
    </row>
    <row r="3260" spans="1:10" hidden="1" x14ac:dyDescent="0.25">
      <c r="A3260" s="112" t="s">
        <v>7967</v>
      </c>
      <c r="B3260" s="113" t="s">
        <v>4226</v>
      </c>
      <c r="C3260" s="114" t="s">
        <v>92</v>
      </c>
      <c r="D3260" s="114">
        <v>0</v>
      </c>
      <c r="E3260" s="133">
        <f ca="1">OFFSET(INDEX(Composições!A:J,MATCH(Orçamentária!A3260,Composições!A:A,0),8),2,0)</f>
        <v>44.554999999999993</v>
      </c>
      <c r="F3260" s="134">
        <f t="shared" ca="1" si="192"/>
        <v>0</v>
      </c>
      <c r="G3260" s="135" t="e">
        <f>IF(A3260&lt;&gt;"",IF(AND(#REF!="Padrão",$H$4=#REF!),BDI!$B$17,IF(AND(#REF!="Padrão",$H$4=#REF!),BDI!#REF!,IF(AND(#REF!="Diferenciado",$H$4=#REF!),BDI!$E$17,IF(AND(#REF!="Diferenciado",$H$4=#REF!),BDI!#REF!,IF(#REF!="ZERO",0))))),"")</f>
        <v>#REF!</v>
      </c>
      <c r="H3260" s="136" t="e">
        <f t="shared" ca="1" si="193"/>
        <v>#REF!</v>
      </c>
      <c r="I3260" s="134" t="e">
        <f t="shared" ca="1" si="194"/>
        <v>#REF!</v>
      </c>
      <c r="J3260" s="226"/>
    </row>
    <row r="3261" spans="1:10" hidden="1" x14ac:dyDescent="0.25">
      <c r="A3261" s="112" t="s">
        <v>7968</v>
      </c>
      <c r="B3261" s="113" t="s">
        <v>8024</v>
      </c>
      <c r="C3261" s="114" t="s">
        <v>20</v>
      </c>
      <c r="D3261" s="114">
        <v>0</v>
      </c>
      <c r="E3261" s="133">
        <f ca="1">OFFSET(INDEX(Composições!A:J,MATCH(Orçamentária!A3261,Composições!A:A,0),8),2,0)</f>
        <v>5156.2199999999993</v>
      </c>
      <c r="F3261" s="134">
        <f t="shared" ref="F3261" ca="1" si="195">IF(ISNUMBER(E3261),D3261*E3261,"")</f>
        <v>0</v>
      </c>
      <c r="G3261" s="135" t="e">
        <f>IF(A3261&lt;&gt;"",IF(AND(#REF!="Padrão",$H$4=#REF!),BDI!$B$17,IF(AND(#REF!="Padrão",$H$4=#REF!),BDI!#REF!,IF(AND(#REF!="Diferenciado",$H$4=#REF!),BDI!$E$17,IF(AND(#REF!="Diferenciado",$H$4=#REF!),BDI!#REF!,IF(#REF!="ZERO",0))))),"")</f>
        <v>#REF!</v>
      </c>
      <c r="H3261" s="136" t="e">
        <f t="shared" ref="H3261" ca="1" si="196">IF(ISNUMBER(E3261),ROUND(E3261*(1+G3261),2),"")</f>
        <v>#REF!</v>
      </c>
      <c r="I3261" s="134" t="e">
        <f t="shared" ref="I3261" ca="1" si="197">IF(ISNUMBER(E3261),ROUND(H3261*D3261,2),"")</f>
        <v>#REF!</v>
      </c>
      <c r="J3261" s="226"/>
    </row>
    <row r="3262" spans="1:10" hidden="1" x14ac:dyDescent="0.25">
      <c r="A3262" s="112" t="s">
        <v>7969</v>
      </c>
      <c r="B3262" s="113" t="s">
        <v>4341</v>
      </c>
      <c r="C3262" s="114" t="s">
        <v>20</v>
      </c>
      <c r="D3262" s="114">
        <v>0</v>
      </c>
      <c r="E3262" s="133">
        <f ca="1">OFFSET(INDEX(Composições!A:J,MATCH(Orçamentária!A3262,Composições!A:A,0),8),2,0)</f>
        <v>806.72029510000004</v>
      </c>
      <c r="F3262" s="134">
        <f t="shared" ref="F3262:F3264" ca="1" si="198">IF(ISNUMBER(E3262),D3262*E3262,"")</f>
        <v>0</v>
      </c>
      <c r="G3262" s="135" t="e">
        <f>IF(A3262&lt;&gt;"",IF(AND(#REF!="Padrão",$H$4=#REF!),BDI!$B$17,IF(AND(#REF!="Padrão",$H$4=#REF!),BDI!#REF!,IF(AND(#REF!="Diferenciado",$H$4=#REF!),BDI!$E$17,IF(AND(#REF!="Diferenciado",$H$4=#REF!),BDI!#REF!,IF(#REF!="ZERO",0))))),"")</f>
        <v>#REF!</v>
      </c>
      <c r="H3262" s="136" t="e">
        <f t="shared" ref="H3262:H3264" ca="1" si="199">IF(ISNUMBER(E3262),ROUND(E3262*(1+G3262),2),"")</f>
        <v>#REF!</v>
      </c>
      <c r="I3262" s="134" t="e">
        <f t="shared" ref="I3262:I3264" ca="1" si="200">IF(ISNUMBER(E3262),ROUND(H3262*D3262,2),"")</f>
        <v>#REF!</v>
      </c>
      <c r="J3262" s="226"/>
    </row>
    <row r="3263" spans="1:10" hidden="1" x14ac:dyDescent="0.25">
      <c r="A3263" s="112" t="s">
        <v>7970</v>
      </c>
      <c r="B3263" s="113" t="s">
        <v>8042</v>
      </c>
      <c r="C3263" s="114" t="s">
        <v>20</v>
      </c>
      <c r="D3263" s="114">
        <v>0</v>
      </c>
      <c r="E3263" s="133">
        <f ca="1">OFFSET(INDEX(Composições!A:J,MATCH(Orçamentária!A3263,Composições!A:A,0),8),2,0)</f>
        <v>11.138749999999998</v>
      </c>
      <c r="F3263" s="134">
        <f t="shared" ca="1" si="198"/>
        <v>0</v>
      </c>
      <c r="G3263" s="135" t="e">
        <f>IF(A3263&lt;&gt;"",IF(AND(#REF!="Padrão",$H$4=#REF!),BDI!$B$17,IF(AND(#REF!="Padrão",$H$4=#REF!),BDI!#REF!,IF(AND(#REF!="Diferenciado",$H$4=#REF!),BDI!$E$17,IF(AND(#REF!="Diferenciado",$H$4=#REF!),BDI!#REF!,IF(#REF!="ZERO",0))))),"")</f>
        <v>#REF!</v>
      </c>
      <c r="H3263" s="136" t="e">
        <f t="shared" ca="1" si="199"/>
        <v>#REF!</v>
      </c>
      <c r="I3263" s="134" t="e">
        <f t="shared" ca="1" si="200"/>
        <v>#REF!</v>
      </c>
      <c r="J3263" s="226"/>
    </row>
    <row r="3264" spans="1:10" hidden="1" x14ac:dyDescent="0.25">
      <c r="A3264" s="112" t="s">
        <v>7971</v>
      </c>
      <c r="B3264" s="113" t="s">
        <v>4354</v>
      </c>
      <c r="C3264" s="114" t="s">
        <v>20</v>
      </c>
      <c r="D3264" s="114">
        <v>0</v>
      </c>
      <c r="E3264" s="133">
        <f ca="1">OFFSET(INDEX(Composições!A:J,MATCH(Orçamentária!A3264,Composições!A:A,0),8),2,0)</f>
        <v>117.45141459999999</v>
      </c>
      <c r="F3264" s="134">
        <f t="shared" ca="1" si="198"/>
        <v>0</v>
      </c>
      <c r="G3264" s="135" t="e">
        <f>IF(A3264&lt;&gt;"",IF(AND(#REF!="Padrão",$H$4=#REF!),BDI!$B$17,IF(AND(#REF!="Padrão",$H$4=#REF!),BDI!#REF!,IF(AND(#REF!="Diferenciado",$H$4=#REF!),BDI!$E$17,IF(AND(#REF!="Diferenciado",$H$4=#REF!),BDI!#REF!,IF(#REF!="ZERO",0))))),"")</f>
        <v>#REF!</v>
      </c>
      <c r="H3264" s="136" t="e">
        <f t="shared" ca="1" si="199"/>
        <v>#REF!</v>
      </c>
      <c r="I3264" s="134" t="e">
        <f t="shared" ca="1" si="200"/>
        <v>#REF!</v>
      </c>
      <c r="J3264" s="226"/>
    </row>
    <row r="3265" spans="1:11" s="161" customFormat="1" hidden="1" x14ac:dyDescent="0.25">
      <c r="A3265" s="162" t="s">
        <v>7972</v>
      </c>
      <c r="B3265" s="163" t="s">
        <v>8049</v>
      </c>
      <c r="C3265" s="164" t="s">
        <v>20</v>
      </c>
      <c r="D3265" s="164">
        <v>15</v>
      </c>
      <c r="E3265" s="133">
        <f ca="1">OFFSET(INDEX(Composições!A:J,MATCH(Orçamentária!A3265,Composições!A:A,0),8),2,0)</f>
        <v>7158.6766278051264</v>
      </c>
      <c r="F3265" s="134">
        <f t="shared" ref="F3265:F3278" ca="1" si="201">IF(ISNUMBER(E3265),D3265*E3265,"")</f>
        <v>107380.1494170769</v>
      </c>
      <c r="G3265" s="135">
        <f>BDI!$E$17</f>
        <v>0.11260000000000001</v>
      </c>
      <c r="H3265" s="136">
        <f t="shared" ref="H3265:H3278" ca="1" si="202">IF(ISNUMBER(E3265),ROUND(E3265*(1+G3265),2),"")</f>
        <v>7964.74</v>
      </c>
      <c r="I3265" s="182">
        <f t="shared" ref="I3265:I3278" ca="1" si="203">IF(ISNUMBER(E3265),ROUND(H3265*D3265,2),"")</f>
        <v>119471.1</v>
      </c>
      <c r="J3265" s="226"/>
      <c r="K3265" s="224" t="s">
        <v>8074</v>
      </c>
    </row>
    <row r="3266" spans="1:11" s="161" customFormat="1" hidden="1" x14ac:dyDescent="0.25">
      <c r="A3266" s="162" t="s">
        <v>7973</v>
      </c>
      <c r="B3266" s="163" t="s">
        <v>8050</v>
      </c>
      <c r="C3266" s="164" t="s">
        <v>20</v>
      </c>
      <c r="D3266" s="164">
        <v>600</v>
      </c>
      <c r="E3266" s="133">
        <f ca="1">OFFSET(INDEX(Composições!A:J,MATCH(Orçamentária!A3266,Composições!A:A,0),8),2,0)</f>
        <v>39.733968500000003</v>
      </c>
      <c r="F3266" s="134">
        <f t="shared" ca="1" si="201"/>
        <v>23840.381100000002</v>
      </c>
      <c r="G3266" s="135">
        <f>BDI!$B$17</f>
        <v>0.191</v>
      </c>
      <c r="H3266" s="136">
        <f t="shared" ca="1" si="202"/>
        <v>47.32</v>
      </c>
      <c r="I3266" s="182">
        <f t="shared" ca="1" si="203"/>
        <v>28392</v>
      </c>
      <c r="J3266" s="226"/>
      <c r="K3266" s="224" t="s">
        <v>8074</v>
      </c>
    </row>
    <row r="3267" spans="1:11" hidden="1" x14ac:dyDescent="0.25">
      <c r="A3267" s="112" t="s">
        <v>7974</v>
      </c>
      <c r="B3267" s="113" t="s">
        <v>8051</v>
      </c>
      <c r="C3267" s="114" t="s">
        <v>20</v>
      </c>
      <c r="D3267" s="114">
        <v>0</v>
      </c>
      <c r="E3267" s="133">
        <f ca="1">OFFSET(INDEX(Composições!A:J,MATCH(Orçamentária!A3267,Composições!A:A,0),8),2,0)</f>
        <v>78.562615499999993</v>
      </c>
      <c r="F3267" s="134">
        <f t="shared" ca="1" si="201"/>
        <v>0</v>
      </c>
      <c r="G3267" s="135" t="e">
        <f>IF(A3267&lt;&gt;"",IF(AND(#REF!="Padrão",$H$4=#REF!),BDI!$B$17,IF(AND(#REF!="Padrão",$H$4=#REF!),BDI!#REF!,IF(AND(#REF!="Diferenciado",$H$4=#REF!),BDI!$E$17,IF(AND(#REF!="Diferenciado",$H$4=#REF!),BDI!#REF!,IF(#REF!="ZERO",0))))),"")</f>
        <v>#REF!</v>
      </c>
      <c r="H3267" s="136" t="e">
        <f t="shared" ca="1" si="202"/>
        <v>#REF!</v>
      </c>
      <c r="I3267" s="134" t="e">
        <f t="shared" ca="1" si="203"/>
        <v>#REF!</v>
      </c>
      <c r="J3267" s="226"/>
    </row>
    <row r="3268" spans="1:11" s="161" customFormat="1" hidden="1" x14ac:dyDescent="0.25">
      <c r="A3268" s="162" t="s">
        <v>7975</v>
      </c>
      <c r="B3268" s="163" t="s">
        <v>8052</v>
      </c>
      <c r="C3268" s="164" t="s">
        <v>20</v>
      </c>
      <c r="D3268" s="164">
        <v>15</v>
      </c>
      <c r="E3268" s="180">
        <v>5049</v>
      </c>
      <c r="F3268" s="134">
        <f t="shared" si="201"/>
        <v>75735</v>
      </c>
      <c r="G3268" s="135">
        <f>BDI!$E$17</f>
        <v>0.11260000000000001</v>
      </c>
      <c r="H3268" s="136">
        <f t="shared" si="202"/>
        <v>5617.52</v>
      </c>
      <c r="I3268" s="182">
        <f t="shared" si="203"/>
        <v>84262.8</v>
      </c>
      <c r="J3268" s="226"/>
      <c r="K3268" s="224" t="s">
        <v>8074</v>
      </c>
    </row>
    <row r="3269" spans="1:11" s="161" customFormat="1" hidden="1" x14ac:dyDescent="0.25">
      <c r="A3269" s="162" t="s">
        <v>7976</v>
      </c>
      <c r="B3269" s="163" t="s">
        <v>8053</v>
      </c>
      <c r="C3269" s="164" t="s">
        <v>94</v>
      </c>
      <c r="D3269" s="164">
        <v>300</v>
      </c>
      <c r="E3269" s="133">
        <f ca="1">OFFSET(INDEX(Composições!A:J,MATCH(Orçamentária!A3269,Composições!A:A,0),8),2,0)</f>
        <v>95.93071999999998</v>
      </c>
      <c r="F3269" s="134">
        <f t="shared" ca="1" si="201"/>
        <v>28779.215999999993</v>
      </c>
      <c r="G3269" s="135">
        <f>BDI!$B$17</f>
        <v>0.191</v>
      </c>
      <c r="H3269" s="136">
        <f t="shared" ca="1" si="202"/>
        <v>114.25</v>
      </c>
      <c r="I3269" s="182">
        <f t="shared" ca="1" si="203"/>
        <v>34275</v>
      </c>
      <c r="J3269" s="226"/>
      <c r="K3269" s="224" t="s">
        <v>8074</v>
      </c>
    </row>
    <row r="3270" spans="1:11" s="161" customFormat="1" hidden="1" x14ac:dyDescent="0.25">
      <c r="A3270" s="162" t="s">
        <v>7977</v>
      </c>
      <c r="B3270" s="163" t="s">
        <v>8054</v>
      </c>
      <c r="C3270" s="164" t="s">
        <v>94</v>
      </c>
      <c r="D3270" s="164">
        <v>350</v>
      </c>
      <c r="E3270" s="133">
        <f ca="1">OFFSET(INDEX(Composições!A:J,MATCH(Orçamentária!A3270,Composições!A:A,0),8),2,0)</f>
        <v>83.51072000000002</v>
      </c>
      <c r="F3270" s="134">
        <f t="shared" ca="1" si="201"/>
        <v>29228.752000000008</v>
      </c>
      <c r="G3270" s="135">
        <f>BDI!$B$17</f>
        <v>0.191</v>
      </c>
      <c r="H3270" s="136">
        <f t="shared" ca="1" si="202"/>
        <v>99.46</v>
      </c>
      <c r="I3270" s="182">
        <f t="shared" ca="1" si="203"/>
        <v>34811</v>
      </c>
      <c r="J3270" s="226"/>
      <c r="K3270" s="224" t="s">
        <v>8074</v>
      </c>
    </row>
    <row r="3271" spans="1:11" s="161" customFormat="1" hidden="1" x14ac:dyDescent="0.25">
      <c r="A3271" s="162" t="s">
        <v>7978</v>
      </c>
      <c r="B3271" s="163" t="s">
        <v>8055</v>
      </c>
      <c r="C3271" s="164" t="s">
        <v>94</v>
      </c>
      <c r="D3271" s="164">
        <v>300</v>
      </c>
      <c r="E3271" s="133">
        <f ca="1">OFFSET(INDEX(Composições!A:J,MATCH(Orçamentária!A3271,Composições!A:A,0),8),2,0)</f>
        <v>175.14872</v>
      </c>
      <c r="F3271" s="134">
        <f t="shared" ca="1" si="201"/>
        <v>52544.616000000002</v>
      </c>
      <c r="G3271" s="135">
        <f>BDI!$B$17</f>
        <v>0.191</v>
      </c>
      <c r="H3271" s="136">
        <f t="shared" ca="1" si="202"/>
        <v>208.6</v>
      </c>
      <c r="I3271" s="182">
        <f t="shared" ca="1" si="203"/>
        <v>62580</v>
      </c>
      <c r="J3271" s="226"/>
      <c r="K3271" s="224" t="s">
        <v>8074</v>
      </c>
    </row>
    <row r="3272" spans="1:11" s="161" customFormat="1" x14ac:dyDescent="0.25">
      <c r="A3272" s="162" t="s">
        <v>7979</v>
      </c>
      <c r="B3272" s="163" t="s">
        <v>8056</v>
      </c>
      <c r="C3272" s="164" t="s">
        <v>92</v>
      </c>
      <c r="D3272" s="164">
        <v>500</v>
      </c>
      <c r="E3272" s="180">
        <v>114.68</v>
      </c>
      <c r="F3272" s="134">
        <f t="shared" si="201"/>
        <v>57340</v>
      </c>
      <c r="G3272" s="135">
        <v>0</v>
      </c>
      <c r="H3272" s="136">
        <f t="shared" si="202"/>
        <v>114.68</v>
      </c>
      <c r="I3272" s="182">
        <f t="shared" si="203"/>
        <v>57340</v>
      </c>
      <c r="J3272" s="226"/>
      <c r="K3272" s="224" t="s">
        <v>8076</v>
      </c>
    </row>
    <row r="3273" spans="1:11" s="161" customFormat="1" x14ac:dyDescent="0.25">
      <c r="A3273" s="162" t="s">
        <v>7980</v>
      </c>
      <c r="B3273" s="163" t="s">
        <v>8057</v>
      </c>
      <c r="C3273" s="164" t="s">
        <v>92</v>
      </c>
      <c r="D3273" s="164">
        <v>200</v>
      </c>
      <c r="E3273" s="180">
        <v>84.32</v>
      </c>
      <c r="F3273" s="134">
        <f t="shared" si="201"/>
        <v>16864</v>
      </c>
      <c r="G3273" s="135">
        <v>0</v>
      </c>
      <c r="H3273" s="136">
        <f t="shared" si="202"/>
        <v>84.32</v>
      </c>
      <c r="I3273" s="182">
        <f t="shared" si="203"/>
        <v>16864</v>
      </c>
      <c r="J3273" s="226"/>
      <c r="K3273" s="224" t="s">
        <v>8076</v>
      </c>
    </row>
    <row r="3274" spans="1:11" s="161" customFormat="1" x14ac:dyDescent="0.25">
      <c r="A3274" s="162" t="s">
        <v>7981</v>
      </c>
      <c r="B3274" s="163" t="s">
        <v>8058</v>
      </c>
      <c r="C3274" s="164" t="s">
        <v>92</v>
      </c>
      <c r="D3274" s="164">
        <v>100</v>
      </c>
      <c r="E3274" s="180">
        <v>66.650000000000006</v>
      </c>
      <c r="F3274" s="134">
        <f t="shared" si="201"/>
        <v>6665.0000000000009</v>
      </c>
      <c r="G3274" s="135">
        <v>0</v>
      </c>
      <c r="H3274" s="136">
        <f t="shared" si="202"/>
        <v>66.650000000000006</v>
      </c>
      <c r="I3274" s="182">
        <f t="shared" si="203"/>
        <v>6665</v>
      </c>
      <c r="J3274" s="226"/>
      <c r="K3274" s="224" t="s">
        <v>8076</v>
      </c>
    </row>
    <row r="3275" spans="1:11" s="161" customFormat="1" x14ac:dyDescent="0.25">
      <c r="A3275" s="162" t="s">
        <v>7982</v>
      </c>
      <c r="B3275" s="163" t="s">
        <v>8059</v>
      </c>
      <c r="C3275" s="164" t="s">
        <v>92</v>
      </c>
      <c r="D3275" s="164">
        <v>300</v>
      </c>
      <c r="E3275" s="180">
        <v>70.28</v>
      </c>
      <c r="F3275" s="134">
        <f t="shared" si="201"/>
        <v>21084</v>
      </c>
      <c r="G3275" s="135">
        <v>0</v>
      </c>
      <c r="H3275" s="136">
        <f t="shared" si="202"/>
        <v>70.28</v>
      </c>
      <c r="I3275" s="182">
        <f t="shared" si="203"/>
        <v>21084</v>
      </c>
      <c r="J3275" s="226"/>
      <c r="K3275" s="224" t="s">
        <v>8076</v>
      </c>
    </row>
    <row r="3276" spans="1:11" s="161" customFormat="1" x14ac:dyDescent="0.25">
      <c r="A3276" s="162" t="s">
        <v>7983</v>
      </c>
      <c r="B3276" s="163" t="s">
        <v>8060</v>
      </c>
      <c r="C3276" s="164" t="s">
        <v>92</v>
      </c>
      <c r="D3276" s="164">
        <v>50</v>
      </c>
      <c r="E3276" s="180">
        <v>56.43</v>
      </c>
      <c r="F3276" s="134">
        <f t="shared" si="201"/>
        <v>2821.5</v>
      </c>
      <c r="G3276" s="135">
        <v>0</v>
      </c>
      <c r="H3276" s="136">
        <f t="shared" si="202"/>
        <v>56.43</v>
      </c>
      <c r="I3276" s="182">
        <f t="shared" si="203"/>
        <v>2821.5</v>
      </c>
      <c r="J3276" s="226"/>
      <c r="K3276" s="224" t="s">
        <v>8076</v>
      </c>
    </row>
    <row r="3277" spans="1:11" s="161" customFormat="1" x14ac:dyDescent="0.25">
      <c r="A3277" s="162" t="s">
        <v>7984</v>
      </c>
      <c r="B3277" s="163" t="s">
        <v>8061</v>
      </c>
      <c r="C3277" s="164" t="s">
        <v>92</v>
      </c>
      <c r="D3277" s="164">
        <v>150</v>
      </c>
      <c r="E3277" s="180">
        <v>150</v>
      </c>
      <c r="F3277" s="134">
        <f t="shared" si="201"/>
        <v>22500</v>
      </c>
      <c r="G3277" s="135">
        <v>0</v>
      </c>
      <c r="H3277" s="136">
        <f t="shared" si="202"/>
        <v>150</v>
      </c>
      <c r="I3277" s="182">
        <f t="shared" si="203"/>
        <v>22500</v>
      </c>
      <c r="J3277" s="226"/>
      <c r="K3277" s="224" t="s">
        <v>8076</v>
      </c>
    </row>
    <row r="3278" spans="1:11" s="161" customFormat="1" x14ac:dyDescent="0.25">
      <c r="A3278" s="162" t="s">
        <v>7985</v>
      </c>
      <c r="B3278" s="163" t="s">
        <v>8062</v>
      </c>
      <c r="C3278" s="164" t="s">
        <v>92</v>
      </c>
      <c r="D3278" s="164">
        <v>300</v>
      </c>
      <c r="E3278" s="180">
        <v>203.62</v>
      </c>
      <c r="F3278" s="134">
        <f t="shared" si="201"/>
        <v>61086</v>
      </c>
      <c r="G3278" s="135">
        <v>0</v>
      </c>
      <c r="H3278" s="136">
        <f t="shared" si="202"/>
        <v>203.62</v>
      </c>
      <c r="I3278" s="182">
        <f t="shared" si="203"/>
        <v>61086</v>
      </c>
      <c r="J3278" s="226"/>
      <c r="K3278" s="224" t="s">
        <v>8076</v>
      </c>
    </row>
    <row r="3279" spans="1:11" s="161" customFormat="1" ht="6" customHeight="1" thickBot="1" x14ac:dyDescent="0.3">
      <c r="A3279" s="165"/>
      <c r="B3279" s="166"/>
      <c r="C3279" s="167"/>
      <c r="D3279" s="167"/>
      <c r="E3279" s="168"/>
      <c r="F3279" s="168"/>
      <c r="G3279" s="169"/>
      <c r="H3279" s="170"/>
      <c r="I3279" s="183"/>
      <c r="K3279" s="224"/>
    </row>
    <row r="3280" spans="1:11" s="161" customFormat="1" ht="15.75" thickBot="1" x14ac:dyDescent="0.3">
      <c r="A3280" s="171"/>
      <c r="B3280" s="172"/>
      <c r="C3280" s="138"/>
      <c r="D3280" s="173"/>
      <c r="E3280" s="173"/>
      <c r="F3280" s="174"/>
      <c r="G3280" s="173"/>
      <c r="H3280" s="173" t="s">
        <v>1439</v>
      </c>
      <c r="I3280" s="137">
        <f>SUBTOTAL(109,F6:F3279)</f>
        <v>288300.5</v>
      </c>
      <c r="K3280" s="224"/>
    </row>
    <row r="3281" spans="1:11" s="161" customFormat="1" ht="15.75" thickBot="1" x14ac:dyDescent="0.3">
      <c r="A3281" s="175"/>
      <c r="B3281" s="176"/>
      <c r="C3281" s="138"/>
      <c r="D3281" s="177"/>
      <c r="E3281" s="177"/>
      <c r="F3281" s="178"/>
      <c r="G3281" s="179"/>
      <c r="H3281" s="179" t="s">
        <v>7</v>
      </c>
      <c r="I3281" s="184">
        <f>SUBTOTAL(109,I6:I3279)</f>
        <v>288300.5</v>
      </c>
      <c r="K3281" s="224"/>
    </row>
    <row r="3282" spans="1:11" x14ac:dyDescent="0.25">
      <c r="A3282" s="3"/>
      <c r="B3282" s="116"/>
      <c r="C3282" s="3"/>
      <c r="D3282" s="117"/>
      <c r="E3282" s="118"/>
      <c r="F3282" s="119"/>
      <c r="G3282" s="118"/>
      <c r="H3282" s="118"/>
      <c r="I3282" s="119"/>
      <c r="J3282" s="119"/>
    </row>
    <row r="3283" spans="1:11" x14ac:dyDescent="0.25">
      <c r="A3283" s="3"/>
      <c r="B3283" s="116"/>
      <c r="C3283" s="3"/>
      <c r="D3283" s="120"/>
      <c r="E3283" s="121"/>
      <c r="F3283" s="121"/>
      <c r="G3283" s="121"/>
      <c r="H3283" s="121"/>
      <c r="I3283" s="121"/>
      <c r="J3283" s="121"/>
    </row>
  </sheetData>
  <sheetProtection algorithmName="SHA-512" hashValue="LwfZx2zYz58kg5Bf/N0OGbsJTpJPmnrJHNyLDS9KerS+hpQeixUSEIjy0kWmWUhiaD08Aff2m6Qk0evXYrpNeQ==" saltValue="L6JG2eddq41iPpl3OgRqOg==" spinCount="100000" sheet="1" objects="1" scenarios="1"/>
  <autoFilter ref="A5:K3278" xr:uid="{00000000-0001-0000-0600-000000000000}">
    <filterColumn colId="3">
      <filters>
        <filter val="1,00"/>
        <filter val="1.000,00"/>
        <filter val="1.100,00"/>
        <filter val="1.200,00"/>
        <filter val="1.300,00"/>
        <filter val="1.500,00"/>
        <filter val="1.720,00"/>
        <filter val="1.875,00"/>
        <filter val="10,00"/>
        <filter val="10.000,00"/>
        <filter val="100,00"/>
        <filter val="110,00"/>
        <filter val="115,00"/>
        <filter val="120,00"/>
        <filter val="125,00"/>
        <filter val="135,00"/>
        <filter val="145,00"/>
        <filter val="15,00"/>
        <filter val="15.000,00"/>
        <filter val="150,00"/>
        <filter val="160,00"/>
        <filter val="175,00"/>
        <filter val="180,00"/>
        <filter val="2,00"/>
        <filter val="2.000,00"/>
        <filter val="2.250,00"/>
        <filter val="2.400,00"/>
        <filter val="2.500,00"/>
        <filter val="2.700,00"/>
        <filter val="20,00"/>
        <filter val="200,00"/>
        <filter val="210,00"/>
        <filter val="22.800,00"/>
        <filter val="220,00"/>
        <filter val="225,00"/>
        <filter val="25,00"/>
        <filter val="250,00"/>
        <filter val="265,00"/>
        <filter val="270,00"/>
        <filter val="285,00"/>
        <filter val="3,00"/>
        <filter val="3.000,00"/>
        <filter val="30,00"/>
        <filter val="300,00"/>
        <filter val="320,00"/>
        <filter val="325,00"/>
        <filter val="35,00"/>
        <filter val="350,00"/>
        <filter val="360,00"/>
        <filter val="375,00"/>
        <filter val="380,00"/>
        <filter val="4,00"/>
        <filter val="4.000,00"/>
        <filter val="4.500,00"/>
        <filter val="4.860,00"/>
        <filter val="40,00"/>
        <filter val="400,00"/>
        <filter val="425,00"/>
        <filter val="45,00"/>
        <filter val="450,00"/>
        <filter val="475,00"/>
        <filter val="485,00"/>
        <filter val="5,00"/>
        <filter val="5.400,00"/>
        <filter val="50,00"/>
        <filter val="500,00"/>
        <filter val="540,00"/>
        <filter val="55,00"/>
        <filter val="560,00"/>
        <filter val="565,00"/>
        <filter val="6,00"/>
        <filter val="60,00"/>
        <filter val="600,00"/>
        <filter val="610,00"/>
        <filter val="620,00"/>
        <filter val="65,00"/>
        <filter val="650,00"/>
        <filter val="660,00"/>
        <filter val="680,00"/>
        <filter val="7.125,00"/>
        <filter val="7.680,00"/>
        <filter val="70,00"/>
        <filter val="700,00"/>
        <filter val="720,00"/>
        <filter val="75,00"/>
        <filter val="750,00"/>
        <filter val="8.550,00"/>
        <filter val="80,00"/>
        <filter val="800,00"/>
        <filter val="835,00"/>
        <filter val="85,00"/>
        <filter val="850,00"/>
        <filter val="875,00"/>
        <filter val="9.000,00"/>
        <filter val="90,00"/>
        <filter val="900,00"/>
        <filter val="95,00"/>
        <filter val="950,00"/>
      </filters>
    </filterColumn>
    <filterColumn colId="10">
      <filters>
        <filter val="Grupo 04"/>
      </filters>
    </filterColumn>
  </autoFilter>
  <conditionalFormatting sqref="C6">
    <cfRule type="containsBlanks" dxfId="38" priority="56">
      <formula>LEN(TRIM(C6))=0</formula>
    </cfRule>
    <cfRule type="containsBlanks" priority="57">
      <formula>LEN(TRIM(C6))=0</formula>
    </cfRule>
  </conditionalFormatting>
  <conditionalFormatting sqref="C341:C354">
    <cfRule type="containsBlanks" dxfId="37" priority="54">
      <formula>LEN(TRIM(C341))=0</formula>
    </cfRule>
    <cfRule type="containsBlanks" priority="55">
      <formula>LEN(TRIM(C341))=0</formula>
    </cfRule>
  </conditionalFormatting>
  <conditionalFormatting sqref="C355:C356">
    <cfRule type="containsBlanks" dxfId="36" priority="52">
      <formula>LEN(TRIM(C355))=0</formula>
    </cfRule>
    <cfRule type="containsBlanks" priority="53">
      <formula>LEN(TRIM(C355))=0</formula>
    </cfRule>
  </conditionalFormatting>
  <conditionalFormatting sqref="C340">
    <cfRule type="containsBlanks" dxfId="35" priority="50">
      <formula>LEN(TRIM(C340))=0</formula>
    </cfRule>
    <cfRule type="containsBlanks" priority="51">
      <formula>LEN(TRIM(C340))=0</formula>
    </cfRule>
  </conditionalFormatting>
  <conditionalFormatting sqref="C942:C943">
    <cfRule type="containsBlanks" dxfId="34" priority="48">
      <formula>LEN(TRIM(C942))=0</formula>
    </cfRule>
    <cfRule type="containsBlanks" priority="49">
      <formula>LEN(TRIM(C942))=0</formula>
    </cfRule>
  </conditionalFormatting>
  <conditionalFormatting sqref="C59">
    <cfRule type="containsBlanks" dxfId="33" priority="46">
      <formula>LEN(TRIM(C59))=0</formula>
    </cfRule>
    <cfRule type="containsBlanks" priority="47">
      <formula>LEN(TRIM(C59))=0</formula>
    </cfRule>
  </conditionalFormatting>
  <conditionalFormatting sqref="C61">
    <cfRule type="containsBlanks" dxfId="32" priority="44">
      <formula>LEN(TRIM(C61))=0</formula>
    </cfRule>
    <cfRule type="containsBlanks" priority="45">
      <formula>LEN(TRIM(C61))=0</formula>
    </cfRule>
  </conditionalFormatting>
  <conditionalFormatting sqref="C1091">
    <cfRule type="containsBlanks" dxfId="31" priority="42">
      <formula>LEN(TRIM(C1091))=0</formula>
    </cfRule>
    <cfRule type="containsBlanks" priority="43">
      <formula>LEN(TRIM(C1091))=0</formula>
    </cfRule>
  </conditionalFormatting>
  <conditionalFormatting sqref="C1092">
    <cfRule type="containsBlanks" dxfId="30" priority="40">
      <formula>LEN(TRIM(C1092))=0</formula>
    </cfRule>
    <cfRule type="containsBlanks" priority="41">
      <formula>LEN(TRIM(C1092))=0</formula>
    </cfRule>
  </conditionalFormatting>
  <conditionalFormatting sqref="C1093:C1101">
    <cfRule type="containsBlanks" dxfId="29" priority="38">
      <formula>LEN(TRIM(C1093))=0</formula>
    </cfRule>
    <cfRule type="containsBlanks" priority="39">
      <formula>LEN(TRIM(C1093))=0</formula>
    </cfRule>
  </conditionalFormatting>
  <conditionalFormatting sqref="C1104:C1105">
    <cfRule type="containsBlanks" dxfId="28" priority="36">
      <formula>LEN(TRIM(C1104))=0</formula>
    </cfRule>
    <cfRule type="containsBlanks" priority="37">
      <formula>LEN(TRIM(C1104))=0</formula>
    </cfRule>
  </conditionalFormatting>
  <conditionalFormatting sqref="B3279 B371:B1299 B365 B6:B363">
    <cfRule type="duplicateValues" dxfId="27" priority="31"/>
  </conditionalFormatting>
  <conditionalFormatting sqref="B366:B370">
    <cfRule type="duplicateValues" dxfId="26" priority="30"/>
  </conditionalFormatting>
  <conditionalFormatting sqref="B364">
    <cfRule type="duplicateValues" dxfId="25" priority="29"/>
  </conditionalFormatting>
  <conditionalFormatting sqref="B1300:B1344">
    <cfRule type="duplicateValues" dxfId="24" priority="1986"/>
  </conditionalFormatting>
  <conditionalFormatting sqref="B1345:B1348">
    <cfRule type="duplicateValues" dxfId="23" priority="27"/>
  </conditionalFormatting>
  <conditionalFormatting sqref="B1349">
    <cfRule type="duplicateValues" dxfId="22" priority="26"/>
  </conditionalFormatting>
  <conditionalFormatting sqref="B1350">
    <cfRule type="duplicateValues" dxfId="21" priority="25"/>
  </conditionalFormatting>
  <conditionalFormatting sqref="B1351:B1383">
    <cfRule type="duplicateValues" dxfId="20" priority="24"/>
  </conditionalFormatting>
  <conditionalFormatting sqref="B1385">
    <cfRule type="duplicateValues" dxfId="19" priority="23"/>
  </conditionalFormatting>
  <conditionalFormatting sqref="B1384">
    <cfRule type="duplicateValues" dxfId="18" priority="22"/>
  </conditionalFormatting>
  <conditionalFormatting sqref="B1386:B1388">
    <cfRule type="duplicateValues" dxfId="17" priority="21"/>
  </conditionalFormatting>
  <conditionalFormatting sqref="B3279:B3655 B6:B2623">
    <cfRule type="duplicateValues" dxfId="16" priority="2637"/>
  </conditionalFormatting>
  <conditionalFormatting sqref="B2624:B2681">
    <cfRule type="duplicateValues" dxfId="15" priority="19"/>
  </conditionalFormatting>
  <conditionalFormatting sqref="B2682:B2707">
    <cfRule type="duplicateValues" dxfId="14" priority="4506"/>
  </conditionalFormatting>
  <conditionalFormatting sqref="B2708:B2710">
    <cfRule type="duplicateValues" dxfId="13" priority="17"/>
  </conditionalFormatting>
  <conditionalFormatting sqref="B2711:B3119">
    <cfRule type="duplicateValues" dxfId="12" priority="4607"/>
  </conditionalFormatting>
  <conditionalFormatting sqref="B3120:B3128">
    <cfRule type="duplicateValues" dxfId="11" priority="5927"/>
  </conditionalFormatting>
  <conditionalFormatting sqref="B3129:B3136">
    <cfRule type="duplicateValues" dxfId="10" priority="14"/>
  </conditionalFormatting>
  <conditionalFormatting sqref="B3137:B3139">
    <cfRule type="duplicateValues" dxfId="9" priority="13"/>
  </conditionalFormatting>
  <conditionalFormatting sqref="B3140:B3228">
    <cfRule type="duplicateValues" dxfId="8" priority="5981"/>
  </conditionalFormatting>
  <conditionalFormatting sqref="B3229:B3237">
    <cfRule type="duplicateValues" dxfId="7" priority="9"/>
  </conditionalFormatting>
  <conditionalFormatting sqref="B3229">
    <cfRule type="duplicateValues" dxfId="6" priority="8"/>
  </conditionalFormatting>
  <conditionalFormatting sqref="B3238">
    <cfRule type="duplicateValues" dxfId="5" priority="7"/>
  </conditionalFormatting>
  <conditionalFormatting sqref="B3239:B3246">
    <cfRule type="duplicateValues" dxfId="4" priority="6215"/>
  </conditionalFormatting>
  <conditionalFormatting sqref="B3247:B3260">
    <cfRule type="duplicateValues" dxfId="3" priority="5"/>
  </conditionalFormatting>
  <conditionalFormatting sqref="B3261">
    <cfRule type="duplicateValues" dxfId="2" priority="4"/>
  </conditionalFormatting>
  <conditionalFormatting sqref="B3262:B3264">
    <cfRule type="duplicateValues" dxfId="1" priority="6504"/>
  </conditionalFormatting>
  <conditionalFormatting sqref="B3265:B3278">
    <cfRule type="duplicateValues" dxfId="0" priority="1"/>
  </conditionalFormatting>
  <printOptions horizontalCentered="1"/>
  <pageMargins left="0.19685039370078741" right="0.19685039370078741" top="1.1811023622047245" bottom="0.59055118110236227" header="0.19685039370078741" footer="0.19685039370078741"/>
  <pageSetup paperSize="9" scale="49"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filterMode="1">
    <pageSetUpPr fitToPage="1"/>
  </sheetPr>
  <dimension ref="A1:K7498"/>
  <sheetViews>
    <sheetView zoomScale="80" zoomScaleNormal="80" workbookViewId="0">
      <pane ySplit="5" topLeftCell="A6" activePane="bottomLeft" state="frozen"/>
      <selection pane="bottomLeft" activeCell="K10" sqref="K10"/>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 min="11" max="11" width="14" customWidth="1"/>
  </cols>
  <sheetData>
    <row r="1" spans="1:11" ht="24.95" customHeight="1" x14ac:dyDescent="0.25">
      <c r="A1" s="5" t="str">
        <f>Orçamentária!A1</f>
        <v>ARP para fornecimento de serviços comuns de engenharia - 2023</v>
      </c>
      <c r="B1" s="5"/>
      <c r="C1" s="5"/>
      <c r="D1" s="5"/>
      <c r="E1" s="6"/>
      <c r="F1" s="5"/>
      <c r="G1" s="5"/>
      <c r="H1" s="5"/>
      <c r="I1" s="7"/>
      <c r="J1" s="8"/>
    </row>
    <row r="2" spans="1:11" ht="24.95" customHeight="1" x14ac:dyDescent="0.25">
      <c r="A2" s="9" t="s">
        <v>0</v>
      </c>
      <c r="B2" s="10"/>
      <c r="C2" s="130"/>
      <c r="D2" s="10"/>
      <c r="E2" s="11"/>
      <c r="F2" s="10"/>
      <c r="G2" s="10"/>
      <c r="H2" s="10"/>
      <c r="I2" s="12"/>
      <c r="J2" s="8"/>
    </row>
    <row r="3" spans="1:11" ht="18" x14ac:dyDescent="0.25">
      <c r="A3" s="13" t="str">
        <f>Orçamentária!A3</f>
        <v>Data: Outubro de 2022</v>
      </c>
      <c r="B3" s="13"/>
      <c r="C3" s="131"/>
      <c r="D3" s="13"/>
      <c r="E3" s="14"/>
      <c r="F3" s="13"/>
      <c r="G3" s="13"/>
      <c r="H3" s="13"/>
      <c r="J3" s="8"/>
    </row>
    <row r="4" spans="1:11" ht="15.75" thickBot="1" x14ac:dyDescent="0.3">
      <c r="A4" s="15"/>
      <c r="B4" s="15"/>
      <c r="C4" s="152"/>
      <c r="D4" s="15"/>
      <c r="E4" s="16"/>
      <c r="F4" s="15"/>
      <c r="G4" s="17"/>
      <c r="H4" s="15"/>
      <c r="I4" s="15"/>
      <c r="J4" s="18"/>
    </row>
    <row r="5" spans="1:11" ht="30.75" thickBot="1" x14ac:dyDescent="0.3">
      <c r="A5" s="19" t="s">
        <v>1</v>
      </c>
      <c r="B5" s="20" t="s">
        <v>2</v>
      </c>
      <c r="C5" s="153" t="s">
        <v>3</v>
      </c>
      <c r="D5" s="20" t="s">
        <v>4</v>
      </c>
      <c r="E5" s="21" t="s">
        <v>5</v>
      </c>
      <c r="F5" s="20" t="s">
        <v>6</v>
      </c>
      <c r="G5" s="20" t="s">
        <v>7</v>
      </c>
      <c r="H5" s="22" t="s">
        <v>8</v>
      </c>
      <c r="I5" s="23"/>
      <c r="J5" s="24" t="s">
        <v>9</v>
      </c>
      <c r="K5" s="24" t="s">
        <v>8073</v>
      </c>
    </row>
    <row r="6" spans="1:11" ht="15.75" hidden="1" thickBot="1" x14ac:dyDescent="0.3">
      <c r="A6" s="202" t="s">
        <v>10</v>
      </c>
      <c r="B6" s="204" t="str">
        <f>INDEX(Orçamentária!A:B,MATCH(Composições!A6,Orçamentária!A:A,0),2)</f>
        <v>Engenheiro(a) /Arquiteto(a) júnior</v>
      </c>
      <c r="C6" s="40"/>
      <c r="D6" s="25" t="str">
        <f>TRIM(INDEX(Orçamentária!C:C,MATCH(Composições!A6,Orçamentária!A:A,0),1))</f>
        <v>hh</v>
      </c>
      <c r="E6" s="26"/>
      <c r="F6" s="27" t="s">
        <v>514</v>
      </c>
      <c r="G6" s="27" t="str">
        <f t="shared" ref="G6:G69" si="0">IF(ISNUMBER(F6),E6*F6,"")</f>
        <v/>
      </c>
      <c r="H6" s="28"/>
      <c r="I6" s="29"/>
      <c r="J6" s="148">
        <v>4500</v>
      </c>
      <c r="K6" s="222" t="s">
        <v>8074</v>
      </c>
    </row>
    <row r="7" spans="1:11" ht="15.75" hidden="1" thickBot="1" x14ac:dyDescent="0.3">
      <c r="A7" s="203"/>
      <c r="B7" s="205"/>
      <c r="C7" s="31"/>
      <c r="D7" s="31"/>
      <c r="E7" s="32"/>
      <c r="F7" s="30" t="s">
        <v>514</v>
      </c>
      <c r="G7" s="33" t="str">
        <f t="shared" si="0"/>
        <v/>
      </c>
      <c r="H7" s="34"/>
      <c r="I7" s="30"/>
      <c r="J7" s="148">
        <v>4500</v>
      </c>
      <c r="K7" s="222" t="s">
        <v>8074</v>
      </c>
    </row>
    <row r="8" spans="1:11" ht="15.75" hidden="1" thickBot="1" x14ac:dyDescent="0.3">
      <c r="A8" s="203"/>
      <c r="B8" s="205"/>
      <c r="C8" s="35" t="s">
        <v>11</v>
      </c>
      <c r="D8" s="35" t="s">
        <v>12</v>
      </c>
      <c r="E8" s="36">
        <v>1</v>
      </c>
      <c r="F8" s="30">
        <v>96.063999999999993</v>
      </c>
      <c r="G8" s="33">
        <f t="shared" si="0"/>
        <v>96.063999999999993</v>
      </c>
      <c r="H8" s="38">
        <f>SUM(G8:G8)</f>
        <v>96.063999999999993</v>
      </c>
      <c r="I8" s="39"/>
      <c r="J8" s="148">
        <v>4500</v>
      </c>
      <c r="K8" s="222" t="s">
        <v>8074</v>
      </c>
    </row>
    <row r="9" spans="1:11" ht="15.75" hidden="1" thickBot="1" x14ac:dyDescent="0.3">
      <c r="A9" s="209"/>
      <c r="B9" s="206"/>
      <c r="C9" s="35"/>
      <c r="D9" s="35"/>
      <c r="E9" s="36"/>
      <c r="F9" s="30" t="s">
        <v>514</v>
      </c>
      <c r="G9" s="33" t="str">
        <f t="shared" si="0"/>
        <v/>
      </c>
      <c r="H9" s="34"/>
      <c r="I9" s="30"/>
      <c r="J9" s="148">
        <v>4500</v>
      </c>
      <c r="K9" s="222" t="s">
        <v>8074</v>
      </c>
    </row>
    <row r="10" spans="1:11" ht="15.75" hidden="1" thickBot="1" x14ac:dyDescent="0.3">
      <c r="A10" s="213" t="s">
        <v>13</v>
      </c>
      <c r="B10" s="204" t="str">
        <f>INDEX(Orçamentária!A:B,MATCH(Composições!A10,Orçamentária!A:A,0),2)</f>
        <v>Mestre de obras</v>
      </c>
      <c r="C10" s="40"/>
      <c r="D10" s="25" t="str">
        <f>TRIM(INDEX(Orçamentária!C:C,MATCH(Composições!A10,Orçamentária!A:A,0),1))</f>
        <v>hh</v>
      </c>
      <c r="E10" s="26"/>
      <c r="F10" s="41" t="s">
        <v>514</v>
      </c>
      <c r="G10" s="27" t="str">
        <f t="shared" si="0"/>
        <v/>
      </c>
      <c r="H10" s="28"/>
      <c r="I10" s="29"/>
      <c r="J10" s="148">
        <v>9000</v>
      </c>
      <c r="K10" s="222" t="s">
        <v>8074</v>
      </c>
    </row>
    <row r="11" spans="1:11" ht="15.75" hidden="1" thickBot="1" x14ac:dyDescent="0.3">
      <c r="A11" s="214"/>
      <c r="B11" s="205"/>
      <c r="C11" s="31"/>
      <c r="D11" s="31"/>
      <c r="E11" s="32"/>
      <c r="F11" s="42" t="s">
        <v>514</v>
      </c>
      <c r="G11" s="30" t="str">
        <f t="shared" si="0"/>
        <v/>
      </c>
      <c r="H11" s="34"/>
      <c r="I11" s="30"/>
      <c r="J11" s="148">
        <v>9000</v>
      </c>
      <c r="K11" s="222" t="s">
        <v>8074</v>
      </c>
    </row>
    <row r="12" spans="1:11" ht="15.75" hidden="1" thickBot="1" x14ac:dyDescent="0.3">
      <c r="A12" s="214"/>
      <c r="B12" s="205"/>
      <c r="C12" s="35" t="s">
        <v>14</v>
      </c>
      <c r="D12" s="35" t="s">
        <v>12</v>
      </c>
      <c r="E12" s="36">
        <v>1</v>
      </c>
      <c r="F12" s="30">
        <v>41.495999999999995</v>
      </c>
      <c r="G12" s="33">
        <f t="shared" si="0"/>
        <v>41.495999999999995</v>
      </c>
      <c r="H12" s="38">
        <f>SUM(G12:G12)</f>
        <v>41.495999999999995</v>
      </c>
      <c r="I12" s="39"/>
      <c r="J12" s="148">
        <v>9000</v>
      </c>
      <c r="K12" s="222" t="s">
        <v>8074</v>
      </c>
    </row>
    <row r="13" spans="1:11" ht="15.75" hidden="1" thickBot="1" x14ac:dyDescent="0.3">
      <c r="A13" s="214"/>
      <c r="B13" s="205"/>
      <c r="C13" s="35"/>
      <c r="D13" s="35"/>
      <c r="E13" s="36"/>
      <c r="F13" s="30" t="s">
        <v>514</v>
      </c>
      <c r="G13" s="30" t="str">
        <f t="shared" si="0"/>
        <v/>
      </c>
      <c r="H13" s="34"/>
      <c r="I13" s="30"/>
      <c r="J13" s="148">
        <v>9000</v>
      </c>
      <c r="K13" s="222" t="s">
        <v>8074</v>
      </c>
    </row>
    <row r="14" spans="1:11" ht="15.75" hidden="1" thickBot="1" x14ac:dyDescent="0.3">
      <c r="A14" s="202" t="s">
        <v>15</v>
      </c>
      <c r="B14" s="204" t="str">
        <f>INDEX(Orçamentária!A:B,MATCH(Composições!A14,Orçamentária!A:A,0),2)</f>
        <v>Planejamento físico-financeiro</v>
      </c>
      <c r="C14" s="40"/>
      <c r="D14" s="25" t="str">
        <f>TRIM(INDEX(Orçamentária!C:C,MATCH(Composições!A14,Orçamentária!A:A,0),1))</f>
        <v>un</v>
      </c>
      <c r="E14" s="26"/>
      <c r="F14" s="41" t="s">
        <v>514</v>
      </c>
      <c r="G14" s="27" t="str">
        <f t="shared" si="0"/>
        <v/>
      </c>
      <c r="H14" s="28"/>
      <c r="I14" s="29"/>
      <c r="J14" s="148">
        <v>0</v>
      </c>
      <c r="K14" s="222">
        <v>0</v>
      </c>
    </row>
    <row r="15" spans="1:11" ht="15.75" hidden="1" thickBot="1" x14ac:dyDescent="0.3">
      <c r="A15" s="203"/>
      <c r="B15" s="205"/>
      <c r="C15" s="31"/>
      <c r="D15" s="31"/>
      <c r="E15" s="32"/>
      <c r="F15" s="42" t="s">
        <v>514</v>
      </c>
      <c r="G15" s="30" t="str">
        <f t="shared" si="0"/>
        <v/>
      </c>
      <c r="H15" s="34"/>
      <c r="I15" s="30"/>
      <c r="J15" s="148">
        <v>0</v>
      </c>
      <c r="K15" s="222">
        <v>0</v>
      </c>
    </row>
    <row r="16" spans="1:11" ht="15.75" hidden="1" thickBot="1" x14ac:dyDescent="0.3">
      <c r="A16" s="203"/>
      <c r="B16" s="205"/>
      <c r="C16" s="35" t="s">
        <v>16</v>
      </c>
      <c r="D16" s="35" t="s">
        <v>12</v>
      </c>
      <c r="E16" s="36">
        <v>16</v>
      </c>
      <c r="F16" s="30">
        <v>109.136</v>
      </c>
      <c r="G16" s="30">
        <f t="shared" si="0"/>
        <v>1746.1759999999999</v>
      </c>
      <c r="H16" s="38">
        <f>SUM(G16:G16)</f>
        <v>1746.1759999999999</v>
      </c>
      <c r="I16" s="39"/>
      <c r="J16" s="148">
        <v>0</v>
      </c>
      <c r="K16" s="222">
        <v>0</v>
      </c>
    </row>
    <row r="17" spans="1:11" ht="15.75" hidden="1" thickBot="1" x14ac:dyDescent="0.3">
      <c r="A17" s="209"/>
      <c r="B17" s="206"/>
      <c r="C17" s="35"/>
      <c r="D17" s="35"/>
      <c r="E17" s="36"/>
      <c r="F17" s="30" t="s">
        <v>514</v>
      </c>
      <c r="G17" s="30" t="str">
        <f t="shared" si="0"/>
        <v/>
      </c>
      <c r="H17" s="34"/>
      <c r="I17" s="30"/>
      <c r="J17" s="148">
        <v>0</v>
      </c>
      <c r="K17" s="222">
        <v>0</v>
      </c>
    </row>
    <row r="18" spans="1:11" ht="15.75" hidden="1" thickBot="1" x14ac:dyDescent="0.3">
      <c r="A18" s="202" t="s">
        <v>17</v>
      </c>
      <c r="B18" s="204" t="str">
        <f>INDEX(Orçamentária!A:B,MATCH(Composições!A18,Orçamentária!A:A,0),2)</f>
        <v>Projetos de segurança do trabalho</v>
      </c>
      <c r="C18" s="40"/>
      <c r="D18" s="25" t="str">
        <f>TRIM(INDEX(Orçamentária!C:C,MATCH(Composições!A18,Orçamentária!A:A,0),1))</f>
        <v>un</v>
      </c>
      <c r="E18" s="26"/>
      <c r="F18" s="41" t="s">
        <v>514</v>
      </c>
      <c r="G18" s="27" t="str">
        <f t="shared" si="0"/>
        <v/>
      </c>
      <c r="H18" s="28"/>
      <c r="I18" s="29"/>
      <c r="J18" s="148">
        <v>10</v>
      </c>
      <c r="K18" s="222" t="s">
        <v>8074</v>
      </c>
    </row>
    <row r="19" spans="1:11" ht="15.75" hidden="1" thickBot="1" x14ac:dyDescent="0.3">
      <c r="A19" s="203"/>
      <c r="B19" s="205"/>
      <c r="C19" s="31"/>
      <c r="D19" s="31"/>
      <c r="E19" s="32"/>
      <c r="F19" s="42" t="s">
        <v>514</v>
      </c>
      <c r="G19" s="30" t="str">
        <f t="shared" si="0"/>
        <v/>
      </c>
      <c r="H19" s="34"/>
      <c r="I19" s="30"/>
      <c r="J19" s="148">
        <v>10</v>
      </c>
      <c r="K19" s="222" t="s">
        <v>8074</v>
      </c>
    </row>
    <row r="20" spans="1:11" ht="15.75" hidden="1" thickBot="1" x14ac:dyDescent="0.3">
      <c r="A20" s="203"/>
      <c r="B20" s="205"/>
      <c r="C20" s="35" t="s">
        <v>1205</v>
      </c>
      <c r="D20" s="35" t="s">
        <v>695</v>
      </c>
      <c r="E20" s="36">
        <v>20</v>
      </c>
      <c r="F20" s="30">
        <v>109.45899999999999</v>
      </c>
      <c r="G20" s="30">
        <f t="shared" si="0"/>
        <v>2189.1799999999998</v>
      </c>
      <c r="H20" s="38">
        <f>SUM(G20:G21)</f>
        <v>2423.12</v>
      </c>
      <c r="I20" s="39"/>
      <c r="J20" s="148">
        <v>10</v>
      </c>
      <c r="K20" s="222" t="s">
        <v>8074</v>
      </c>
    </row>
    <row r="21" spans="1:11" ht="15.75" hidden="1" thickBot="1" x14ac:dyDescent="0.3">
      <c r="A21" s="203"/>
      <c r="B21" s="205"/>
      <c r="C21" s="35" t="s">
        <v>19</v>
      </c>
      <c r="D21" s="35" t="s">
        <v>20</v>
      </c>
      <c r="E21" s="36">
        <v>1</v>
      </c>
      <c r="F21" s="33">
        <v>233.94</v>
      </c>
      <c r="G21" s="30">
        <f t="shared" si="0"/>
        <v>233.94</v>
      </c>
      <c r="H21" s="34"/>
      <c r="I21" s="30"/>
      <c r="J21" s="148">
        <v>10</v>
      </c>
      <c r="K21" s="222" t="s">
        <v>8074</v>
      </c>
    </row>
    <row r="22" spans="1:11" ht="15.75" hidden="1" thickBot="1" x14ac:dyDescent="0.3">
      <c r="A22" s="209"/>
      <c r="B22" s="206"/>
      <c r="C22" s="35"/>
      <c r="D22" s="35"/>
      <c r="E22" s="36"/>
      <c r="F22" s="30" t="s">
        <v>514</v>
      </c>
      <c r="G22" s="30" t="str">
        <f t="shared" si="0"/>
        <v/>
      </c>
      <c r="H22" s="34"/>
      <c r="I22" s="30"/>
      <c r="J22" s="148">
        <v>10</v>
      </c>
      <c r="K22" s="222" t="s">
        <v>8074</v>
      </c>
    </row>
    <row r="23" spans="1:11" ht="15.75" hidden="1" thickBot="1" x14ac:dyDescent="0.3">
      <c r="A23" s="202" t="s">
        <v>21</v>
      </c>
      <c r="B23" s="204" t="str">
        <f>INDEX(Orçamentária!A:B,MATCH(Composições!A23,Orçamentária!A:A,0),2)</f>
        <v>Demolição de alvenarias</v>
      </c>
      <c r="C23" s="40"/>
      <c r="D23" s="25" t="str">
        <f>TRIM(INDEX(Orçamentária!C:C,MATCH(Composições!A23,Orçamentária!A:A,0),1))</f>
        <v>m3</v>
      </c>
      <c r="E23" s="26"/>
      <c r="F23" s="41" t="s">
        <v>514</v>
      </c>
      <c r="G23" s="27" t="str">
        <f t="shared" si="0"/>
        <v/>
      </c>
      <c r="H23" s="28"/>
      <c r="I23" s="29"/>
      <c r="J23" s="148">
        <v>95</v>
      </c>
      <c r="K23" s="222" t="s">
        <v>8074</v>
      </c>
    </row>
    <row r="24" spans="1:11" ht="15.75" hidden="1" thickBot="1" x14ac:dyDescent="0.3">
      <c r="A24" s="203"/>
      <c r="B24" s="205"/>
      <c r="C24" s="31"/>
      <c r="D24" s="31"/>
      <c r="E24" s="32"/>
      <c r="F24" s="42" t="s">
        <v>514</v>
      </c>
      <c r="G24" s="30" t="str">
        <f t="shared" si="0"/>
        <v/>
      </c>
      <c r="H24" s="34"/>
      <c r="I24" s="30"/>
      <c r="J24" s="148">
        <v>95</v>
      </c>
      <c r="K24" s="222" t="s">
        <v>8074</v>
      </c>
    </row>
    <row r="25" spans="1:11" ht="15.75" hidden="1" thickBot="1" x14ac:dyDescent="0.3">
      <c r="A25" s="203"/>
      <c r="B25" s="205"/>
      <c r="C25" s="35" t="s">
        <v>22</v>
      </c>
      <c r="D25" s="35" t="s">
        <v>12</v>
      </c>
      <c r="E25" s="36">
        <v>0.22500000000000001</v>
      </c>
      <c r="F25" s="30">
        <v>24.889999999999997</v>
      </c>
      <c r="G25" s="33">
        <f t="shared" si="0"/>
        <v>5.6002499999999991</v>
      </c>
      <c r="H25" s="38">
        <f>SUM(G25:G26)</f>
        <v>48.424228400000004</v>
      </c>
      <c r="I25" s="39"/>
      <c r="J25" s="148">
        <v>95</v>
      </c>
      <c r="K25" s="222" t="s">
        <v>8074</v>
      </c>
    </row>
    <row r="26" spans="1:11" ht="15.75" hidden="1" thickBot="1" x14ac:dyDescent="0.3">
      <c r="A26" s="203"/>
      <c r="B26" s="205"/>
      <c r="C26" s="35" t="s">
        <v>23</v>
      </c>
      <c r="D26" s="35" t="s">
        <v>12</v>
      </c>
      <c r="E26" s="36">
        <v>2.3248000000000002</v>
      </c>
      <c r="F26" s="30">
        <v>18.420500000000001</v>
      </c>
      <c r="G26" s="33">
        <f t="shared" si="0"/>
        <v>42.823978400000001</v>
      </c>
      <c r="H26" s="43"/>
      <c r="I26" s="39"/>
      <c r="J26" s="148">
        <v>95</v>
      </c>
      <c r="K26" s="222" t="s">
        <v>8074</v>
      </c>
    </row>
    <row r="27" spans="1:11" ht="15.75" hidden="1" thickBot="1" x14ac:dyDescent="0.3">
      <c r="A27" s="209"/>
      <c r="B27" s="206"/>
      <c r="C27" s="35"/>
      <c r="D27" s="35"/>
      <c r="E27" s="36"/>
      <c r="F27" s="30" t="s">
        <v>514</v>
      </c>
      <c r="G27" s="30" t="str">
        <f t="shared" si="0"/>
        <v/>
      </c>
      <c r="H27" s="34"/>
      <c r="I27" s="30"/>
      <c r="J27" s="148">
        <v>95</v>
      </c>
      <c r="K27" s="222" t="s">
        <v>8074</v>
      </c>
    </row>
    <row r="28" spans="1:11" ht="15.75" hidden="1" thickBot="1" x14ac:dyDescent="0.3">
      <c r="A28" s="202" t="s">
        <v>24</v>
      </c>
      <c r="B28" s="204" t="str">
        <f>INDEX(Orçamentária!A:B,MATCH(Composições!A28,Orçamentária!A:A,0),2)</f>
        <v>Demolição de concreto simples</v>
      </c>
      <c r="C28" s="40"/>
      <c r="D28" s="25" t="str">
        <f>TRIM(INDEX(Orçamentária!C:C,MATCH(Composições!A28,Orçamentária!A:A,0),1))</f>
        <v>m3</v>
      </c>
      <c r="E28" s="26"/>
      <c r="F28" s="41" t="s">
        <v>514</v>
      </c>
      <c r="G28" s="27" t="str">
        <f t="shared" si="0"/>
        <v/>
      </c>
      <c r="H28" s="28"/>
      <c r="I28" s="29"/>
      <c r="J28" s="148">
        <v>20</v>
      </c>
      <c r="K28" s="222" t="s">
        <v>8074</v>
      </c>
    </row>
    <row r="29" spans="1:11" ht="15.75" hidden="1" thickBot="1" x14ac:dyDescent="0.3">
      <c r="A29" s="203"/>
      <c r="B29" s="205"/>
      <c r="C29" s="31"/>
      <c r="D29" s="31"/>
      <c r="E29" s="32"/>
      <c r="F29" s="42" t="s">
        <v>514</v>
      </c>
      <c r="G29" s="30" t="str">
        <f t="shared" si="0"/>
        <v/>
      </c>
      <c r="H29" s="34"/>
      <c r="I29" s="30"/>
      <c r="J29" s="148">
        <v>20</v>
      </c>
      <c r="K29" s="222" t="s">
        <v>8074</v>
      </c>
    </row>
    <row r="30" spans="1:11" ht="15.75" hidden="1" thickBot="1" x14ac:dyDescent="0.3">
      <c r="A30" s="203"/>
      <c r="B30" s="205"/>
      <c r="C30" s="35" t="s">
        <v>22</v>
      </c>
      <c r="D30" s="35" t="s">
        <v>12</v>
      </c>
      <c r="E30" s="36">
        <v>1.3</v>
      </c>
      <c r="F30" s="30">
        <v>24.889999999999997</v>
      </c>
      <c r="G30" s="33">
        <f t="shared" si="0"/>
        <v>32.356999999999999</v>
      </c>
      <c r="H30" s="38">
        <f>SUM(G30:G31)</f>
        <v>271.82349999999997</v>
      </c>
      <c r="I30" s="39"/>
      <c r="J30" s="148">
        <v>20</v>
      </c>
      <c r="K30" s="222" t="s">
        <v>8074</v>
      </c>
    </row>
    <row r="31" spans="1:11" ht="15.75" hidden="1" thickBot="1" x14ac:dyDescent="0.3">
      <c r="A31" s="203"/>
      <c r="B31" s="205"/>
      <c r="C31" s="35" t="s">
        <v>23</v>
      </c>
      <c r="D31" s="35" t="s">
        <v>12</v>
      </c>
      <c r="E31" s="36">
        <v>13</v>
      </c>
      <c r="F31" s="30">
        <v>18.420500000000001</v>
      </c>
      <c r="G31" s="33">
        <f t="shared" si="0"/>
        <v>239.4665</v>
      </c>
      <c r="H31" s="34"/>
      <c r="I31" s="30"/>
      <c r="J31" s="148">
        <v>20</v>
      </c>
      <c r="K31" s="222" t="s">
        <v>8074</v>
      </c>
    </row>
    <row r="32" spans="1:11" ht="15.75" hidden="1" thickBot="1" x14ac:dyDescent="0.3">
      <c r="A32" s="209"/>
      <c r="B32" s="206"/>
      <c r="C32" s="35"/>
      <c r="D32" s="35"/>
      <c r="E32" s="36"/>
      <c r="F32" s="30" t="s">
        <v>514</v>
      </c>
      <c r="G32" s="30" t="str">
        <f t="shared" si="0"/>
        <v/>
      </c>
      <c r="H32" s="34"/>
      <c r="I32" s="30"/>
      <c r="J32" s="148">
        <v>20</v>
      </c>
      <c r="K32" s="222" t="s">
        <v>8074</v>
      </c>
    </row>
    <row r="33" spans="1:11" ht="15.75" hidden="1" thickBot="1" x14ac:dyDescent="0.3">
      <c r="A33" s="202" t="s">
        <v>25</v>
      </c>
      <c r="B33" s="204" t="str">
        <f>INDEX(Orçamentária!A:B,MATCH(Composições!A33,Orçamentária!A:A,0),2)</f>
        <v>Demolição de contrapiso</v>
      </c>
      <c r="C33" s="40"/>
      <c r="D33" s="25" t="str">
        <f>TRIM(INDEX(Orçamentária!C:C,MATCH(Composições!A33,Orçamentária!A:A,0),1))</f>
        <v>m2</v>
      </c>
      <c r="E33" s="26"/>
      <c r="F33" s="41" t="s">
        <v>514</v>
      </c>
      <c r="G33" s="27" t="str">
        <f t="shared" si="0"/>
        <v/>
      </c>
      <c r="H33" s="28"/>
      <c r="I33" s="29"/>
      <c r="J33" s="148">
        <v>320</v>
      </c>
      <c r="K33" s="222" t="s">
        <v>8074</v>
      </c>
    </row>
    <row r="34" spans="1:11" ht="15.75" hidden="1" thickBot="1" x14ac:dyDescent="0.3">
      <c r="A34" s="203"/>
      <c r="B34" s="205"/>
      <c r="C34" s="31"/>
      <c r="D34" s="31"/>
      <c r="E34" s="32"/>
      <c r="F34" s="42" t="s">
        <v>514</v>
      </c>
      <c r="G34" s="30" t="str">
        <f t="shared" si="0"/>
        <v/>
      </c>
      <c r="H34" s="34"/>
      <c r="I34" s="30"/>
      <c r="J34" s="148">
        <v>320</v>
      </c>
      <c r="K34" s="222" t="s">
        <v>8074</v>
      </c>
    </row>
    <row r="35" spans="1:11" ht="15.75" hidden="1" thickBot="1" x14ac:dyDescent="0.3">
      <c r="A35" s="203"/>
      <c r="B35" s="205"/>
      <c r="C35" s="35" t="s">
        <v>22</v>
      </c>
      <c r="D35" s="35" t="s">
        <v>12</v>
      </c>
      <c r="E35" s="36">
        <v>0.08</v>
      </c>
      <c r="F35" s="30">
        <v>24.889999999999997</v>
      </c>
      <c r="G35" s="33">
        <f t="shared" si="0"/>
        <v>1.9911999999999999</v>
      </c>
      <c r="H35" s="38">
        <f>SUM(G35:G36)</f>
        <v>16.727600000000002</v>
      </c>
      <c r="I35" s="39"/>
      <c r="J35" s="148">
        <v>320</v>
      </c>
      <c r="K35" s="222" t="s">
        <v>8074</v>
      </c>
    </row>
    <row r="36" spans="1:11" ht="15.75" hidden="1" thickBot="1" x14ac:dyDescent="0.3">
      <c r="A36" s="203"/>
      <c r="B36" s="205"/>
      <c r="C36" s="35" t="s">
        <v>23</v>
      </c>
      <c r="D36" s="35" t="s">
        <v>12</v>
      </c>
      <c r="E36" s="36">
        <v>0.8</v>
      </c>
      <c r="F36" s="30">
        <v>18.420500000000001</v>
      </c>
      <c r="G36" s="33">
        <f t="shared" si="0"/>
        <v>14.736400000000001</v>
      </c>
      <c r="H36" s="34"/>
      <c r="I36" s="30"/>
      <c r="J36" s="148">
        <v>320</v>
      </c>
      <c r="K36" s="222" t="s">
        <v>8074</v>
      </c>
    </row>
    <row r="37" spans="1:11" ht="15.75" hidden="1" thickBot="1" x14ac:dyDescent="0.3">
      <c r="A37" s="209"/>
      <c r="B37" s="206"/>
      <c r="C37" s="35"/>
      <c r="D37" s="35"/>
      <c r="E37" s="36"/>
      <c r="F37" s="30" t="s">
        <v>514</v>
      </c>
      <c r="G37" s="30" t="str">
        <f t="shared" si="0"/>
        <v/>
      </c>
      <c r="H37" s="34"/>
      <c r="I37" s="30"/>
      <c r="J37" s="148">
        <v>320</v>
      </c>
      <c r="K37" s="222" t="s">
        <v>8074</v>
      </c>
    </row>
    <row r="38" spans="1:11" ht="15.75" hidden="1" thickBot="1" x14ac:dyDescent="0.3">
      <c r="A38" s="202" t="s">
        <v>26</v>
      </c>
      <c r="B38" s="204" t="str">
        <f>INDEX(Orçamentária!A:B,MATCH(Composições!A38,Orçamentária!A:A,0),2)</f>
        <v>Demolição de fechamento ou parede em gesso acartonado</v>
      </c>
      <c r="C38" s="40"/>
      <c r="D38" s="25" t="str">
        <f>TRIM(INDEX(Orçamentária!C:C,MATCH(Composições!A38,Orçamentária!A:A,0),1))</f>
        <v>m2</v>
      </c>
      <c r="E38" s="26"/>
      <c r="F38" s="41" t="s">
        <v>514</v>
      </c>
      <c r="G38" s="27" t="str">
        <f t="shared" si="0"/>
        <v/>
      </c>
      <c r="H38" s="28"/>
      <c r="I38" s="29"/>
      <c r="J38" s="148">
        <v>160</v>
      </c>
      <c r="K38" s="222" t="s">
        <v>8074</v>
      </c>
    </row>
    <row r="39" spans="1:11" ht="15.75" hidden="1" thickBot="1" x14ac:dyDescent="0.3">
      <c r="A39" s="203"/>
      <c r="B39" s="205"/>
      <c r="C39" s="31"/>
      <c r="D39" s="31"/>
      <c r="E39" s="32"/>
      <c r="F39" s="42" t="s">
        <v>514</v>
      </c>
      <c r="G39" s="30" t="str">
        <f t="shared" si="0"/>
        <v/>
      </c>
      <c r="H39" s="34"/>
      <c r="I39" s="30"/>
      <c r="J39" s="148">
        <v>160</v>
      </c>
      <c r="K39" s="222" t="s">
        <v>8074</v>
      </c>
    </row>
    <row r="40" spans="1:11" ht="15.75" hidden="1" thickBot="1" x14ac:dyDescent="0.3">
      <c r="A40" s="203"/>
      <c r="B40" s="205"/>
      <c r="C40" s="35" t="s">
        <v>27</v>
      </c>
      <c r="D40" s="35" t="s">
        <v>12</v>
      </c>
      <c r="E40" s="36">
        <v>0.1186</v>
      </c>
      <c r="F40" s="30">
        <v>18.933499999999999</v>
      </c>
      <c r="G40" s="33">
        <f t="shared" si="0"/>
        <v>2.2455130999999997</v>
      </c>
      <c r="H40" s="38">
        <f>SUM(G40:G41)</f>
        <v>6.5356475500000002</v>
      </c>
      <c r="I40" s="39"/>
      <c r="J40" s="148">
        <v>160</v>
      </c>
      <c r="K40" s="222" t="s">
        <v>8074</v>
      </c>
    </row>
    <row r="41" spans="1:11" ht="15.75" hidden="1" thickBot="1" x14ac:dyDescent="0.3">
      <c r="A41" s="203"/>
      <c r="B41" s="205"/>
      <c r="C41" s="35" t="s">
        <v>23</v>
      </c>
      <c r="D41" s="35" t="s">
        <v>12</v>
      </c>
      <c r="E41" s="36">
        <v>0.2329</v>
      </c>
      <c r="F41" s="30">
        <v>18.420500000000001</v>
      </c>
      <c r="G41" s="33">
        <f t="shared" si="0"/>
        <v>4.29013445</v>
      </c>
      <c r="H41" s="44"/>
      <c r="I41" s="45"/>
      <c r="J41" s="148">
        <v>160</v>
      </c>
      <c r="K41" s="222" t="s">
        <v>8074</v>
      </c>
    </row>
    <row r="42" spans="1:11" ht="15.75" hidden="1" thickBot="1" x14ac:dyDescent="0.3">
      <c r="A42" s="209"/>
      <c r="B42" s="206"/>
      <c r="C42" s="35"/>
      <c r="D42" s="35"/>
      <c r="E42" s="36"/>
      <c r="F42" s="30" t="s">
        <v>514</v>
      </c>
      <c r="G42" s="30" t="str">
        <f t="shared" si="0"/>
        <v/>
      </c>
      <c r="H42" s="34"/>
      <c r="I42" s="30"/>
      <c r="J42" s="148">
        <v>160</v>
      </c>
      <c r="K42" s="222" t="s">
        <v>8074</v>
      </c>
    </row>
    <row r="43" spans="1:11" ht="15.75" hidden="1" thickBot="1" x14ac:dyDescent="0.3">
      <c r="A43" s="202" t="s">
        <v>28</v>
      </c>
      <c r="B43" s="204" t="str">
        <f>INDEX(Orçamentária!A:B,MATCH(Composições!A43,Orçamentária!A:A,0),2)</f>
        <v>Demolição de forro</v>
      </c>
      <c r="C43" s="40"/>
      <c r="D43" s="25" t="str">
        <f>TRIM(INDEX(Orçamentária!C:C,MATCH(Composições!A43,Orçamentária!A:A,0),1))</f>
        <v>m2</v>
      </c>
      <c r="E43" s="26"/>
      <c r="F43" s="41" t="s">
        <v>514</v>
      </c>
      <c r="G43" s="27" t="str">
        <f t="shared" si="0"/>
        <v/>
      </c>
      <c r="H43" s="28"/>
      <c r="I43" s="29"/>
      <c r="J43" s="148">
        <v>2400</v>
      </c>
      <c r="K43" s="222" t="s">
        <v>8074</v>
      </c>
    </row>
    <row r="44" spans="1:11" ht="15.75" hidden="1" thickBot="1" x14ac:dyDescent="0.3">
      <c r="A44" s="203"/>
      <c r="B44" s="205"/>
      <c r="C44" s="31"/>
      <c r="D44" s="31"/>
      <c r="E44" s="32"/>
      <c r="F44" s="42" t="s">
        <v>514</v>
      </c>
      <c r="G44" s="30" t="str">
        <f t="shared" si="0"/>
        <v/>
      </c>
      <c r="H44" s="34"/>
      <c r="I44" s="30"/>
      <c r="J44" s="148">
        <v>2400</v>
      </c>
      <c r="K44" s="222" t="s">
        <v>8074</v>
      </c>
    </row>
    <row r="45" spans="1:11" ht="15.75" hidden="1" thickBot="1" x14ac:dyDescent="0.3">
      <c r="A45" s="203"/>
      <c r="B45" s="205"/>
      <c r="C45" s="35" t="s">
        <v>27</v>
      </c>
      <c r="D45" s="35" t="s">
        <v>12</v>
      </c>
      <c r="E45" s="36">
        <v>2.58E-2</v>
      </c>
      <c r="F45" s="30">
        <v>18.933499999999999</v>
      </c>
      <c r="G45" s="33">
        <f t="shared" si="0"/>
        <v>0.48848429999999998</v>
      </c>
      <c r="H45" s="38">
        <f>SUM(G45:G46)</f>
        <v>1.4224036500000001</v>
      </c>
      <c r="I45" s="39"/>
      <c r="J45" s="148">
        <v>2400</v>
      </c>
      <c r="K45" s="222" t="s">
        <v>8074</v>
      </c>
    </row>
    <row r="46" spans="1:11" ht="15.75" hidden="1" thickBot="1" x14ac:dyDescent="0.3">
      <c r="A46" s="203"/>
      <c r="B46" s="205"/>
      <c r="C46" s="35" t="s">
        <v>23</v>
      </c>
      <c r="D46" s="35" t="s">
        <v>12</v>
      </c>
      <c r="E46" s="36">
        <v>5.0700000000000002E-2</v>
      </c>
      <c r="F46" s="30">
        <v>18.420500000000001</v>
      </c>
      <c r="G46" s="33">
        <f t="shared" si="0"/>
        <v>0.93391935000000004</v>
      </c>
      <c r="H46" s="34"/>
      <c r="I46" s="30"/>
      <c r="J46" s="148">
        <v>2400</v>
      </c>
      <c r="K46" s="222" t="s">
        <v>8074</v>
      </c>
    </row>
    <row r="47" spans="1:11" ht="15.75" hidden="1" thickBot="1" x14ac:dyDescent="0.3">
      <c r="A47" s="209"/>
      <c r="B47" s="206"/>
      <c r="C47" s="35"/>
      <c r="D47" s="35"/>
      <c r="E47" s="36"/>
      <c r="F47" s="30" t="s">
        <v>514</v>
      </c>
      <c r="G47" s="30" t="str">
        <f t="shared" si="0"/>
        <v/>
      </c>
      <c r="H47" s="34"/>
      <c r="I47" s="30"/>
      <c r="J47" s="148">
        <v>2400</v>
      </c>
      <c r="K47" s="222" t="s">
        <v>8074</v>
      </c>
    </row>
    <row r="48" spans="1:11" ht="15.75" hidden="1" thickBot="1" x14ac:dyDescent="0.3">
      <c r="A48" s="202" t="s">
        <v>29</v>
      </c>
      <c r="B48" s="204" t="str">
        <f>INDEX(Orçamentária!A:B,MATCH(Composições!A48,Orçamentária!A:A,0),2)</f>
        <v>Demolição de infraestrutura elétrica (eletrodutos, eletrocalhas, cabos)</v>
      </c>
      <c r="C48" s="40"/>
      <c r="D48" s="25" t="str">
        <f>TRIM(INDEX(Orçamentária!C:C,MATCH(Composições!A48,Orçamentária!A:A,0),1))</f>
        <v>m</v>
      </c>
      <c r="E48" s="26"/>
      <c r="F48" s="41" t="s">
        <v>514</v>
      </c>
      <c r="G48" s="27" t="str">
        <f t="shared" si="0"/>
        <v/>
      </c>
      <c r="H48" s="28"/>
      <c r="I48" s="29"/>
      <c r="J48" s="148">
        <v>3000</v>
      </c>
      <c r="K48" s="222" t="s">
        <v>8074</v>
      </c>
    </row>
    <row r="49" spans="1:11" ht="15.75" hidden="1" thickBot="1" x14ac:dyDescent="0.3">
      <c r="A49" s="203"/>
      <c r="B49" s="205"/>
      <c r="C49" s="31"/>
      <c r="D49" s="31"/>
      <c r="E49" s="32"/>
      <c r="F49" s="42" t="s">
        <v>514</v>
      </c>
      <c r="G49" s="30" t="str">
        <f t="shared" si="0"/>
        <v/>
      </c>
      <c r="H49" s="34"/>
      <c r="I49" s="30"/>
      <c r="J49" s="148">
        <v>3000</v>
      </c>
      <c r="K49" s="222" t="s">
        <v>8074</v>
      </c>
    </row>
    <row r="50" spans="1:11" ht="15.75" hidden="1" thickBot="1" x14ac:dyDescent="0.3">
      <c r="A50" s="203"/>
      <c r="B50" s="205"/>
      <c r="C50" s="35" t="s">
        <v>30</v>
      </c>
      <c r="D50" s="35" t="s">
        <v>12</v>
      </c>
      <c r="E50" s="36">
        <f>ROUND(0.0096*5,4)</f>
        <v>4.8000000000000001E-2</v>
      </c>
      <c r="F50" s="30">
        <v>25.146499999999996</v>
      </c>
      <c r="G50" s="33">
        <f t="shared" si="0"/>
        <v>1.2070319999999999</v>
      </c>
      <c r="H50" s="38">
        <f>SUM(G50:G51)</f>
        <v>2.9385589999999997</v>
      </c>
      <c r="I50" s="39"/>
      <c r="J50" s="148">
        <v>3000</v>
      </c>
      <c r="K50" s="222" t="s">
        <v>8074</v>
      </c>
    </row>
    <row r="51" spans="1:11" ht="15.75" hidden="1" thickBot="1" x14ac:dyDescent="0.3">
      <c r="A51" s="203"/>
      <c r="B51" s="205"/>
      <c r="C51" s="35" t="s">
        <v>23</v>
      </c>
      <c r="D51" s="35" t="s">
        <v>12</v>
      </c>
      <c r="E51" s="36">
        <f>ROUND(0.0188*5,4)</f>
        <v>9.4E-2</v>
      </c>
      <c r="F51" s="30">
        <v>18.420500000000001</v>
      </c>
      <c r="G51" s="33">
        <f t="shared" si="0"/>
        <v>1.731527</v>
      </c>
      <c r="H51" s="34"/>
      <c r="I51" s="30"/>
      <c r="J51" s="148">
        <v>3000</v>
      </c>
      <c r="K51" s="222" t="s">
        <v>8074</v>
      </c>
    </row>
    <row r="52" spans="1:11" ht="15.75" hidden="1" thickBot="1" x14ac:dyDescent="0.3">
      <c r="A52" s="209"/>
      <c r="B52" s="206"/>
      <c r="C52" s="35"/>
      <c r="D52" s="35"/>
      <c r="E52" s="36"/>
      <c r="F52" s="30" t="s">
        <v>514</v>
      </c>
      <c r="G52" s="30" t="str">
        <f t="shared" si="0"/>
        <v/>
      </c>
      <c r="H52" s="34"/>
      <c r="I52" s="30"/>
      <c r="J52" s="148">
        <v>3000</v>
      </c>
      <c r="K52" s="222" t="s">
        <v>8074</v>
      </c>
    </row>
    <row r="53" spans="1:11" ht="15.75" hidden="1" thickBot="1" x14ac:dyDescent="0.3">
      <c r="A53" s="202" t="s">
        <v>31</v>
      </c>
      <c r="B53" s="204" t="str">
        <f>INDEX(Orçamentária!A:B,MATCH(Composições!A53,Orçamentária!A:A,0),2)</f>
        <v>Demolição de revestimento cerâmico, granito, mármore ou granitina</v>
      </c>
      <c r="C53" s="40"/>
      <c r="D53" s="25" t="str">
        <f>TRIM(INDEX(Orçamentária!C:C,MATCH(Composições!A53,Orçamentária!A:A,0),1))</f>
        <v>m2</v>
      </c>
      <c r="E53" s="26"/>
      <c r="F53" s="41" t="s">
        <v>514</v>
      </c>
      <c r="G53" s="27" t="str">
        <f t="shared" si="0"/>
        <v/>
      </c>
      <c r="H53" s="28"/>
      <c r="I53" s="29"/>
      <c r="J53" s="148">
        <v>680</v>
      </c>
      <c r="K53" s="222" t="s">
        <v>8074</v>
      </c>
    </row>
    <row r="54" spans="1:11" ht="15.75" hidden="1" thickBot="1" x14ac:dyDescent="0.3">
      <c r="A54" s="203"/>
      <c r="B54" s="205"/>
      <c r="C54" s="31"/>
      <c r="D54" s="31"/>
      <c r="E54" s="32"/>
      <c r="F54" s="42" t="s">
        <v>514</v>
      </c>
      <c r="G54" s="30" t="str">
        <f t="shared" si="0"/>
        <v/>
      </c>
      <c r="H54" s="34"/>
      <c r="I54" s="30"/>
      <c r="J54" s="148">
        <v>680</v>
      </c>
      <c r="K54" s="222" t="s">
        <v>8074</v>
      </c>
    </row>
    <row r="55" spans="1:11" ht="26.25" hidden="1" thickBot="1" x14ac:dyDescent="0.3">
      <c r="A55" s="203"/>
      <c r="B55" s="205"/>
      <c r="C55" s="35" t="s">
        <v>32</v>
      </c>
      <c r="D55" s="35" t="s">
        <v>33</v>
      </c>
      <c r="E55" s="36">
        <v>6.9900000000000004E-2</v>
      </c>
      <c r="F55" s="33">
        <v>22.001999999999999</v>
      </c>
      <c r="G55" s="33">
        <f t="shared" si="0"/>
        <v>1.5379398</v>
      </c>
      <c r="H55" s="38">
        <f>SUM(G55:G58)</f>
        <v>10.630728000000001</v>
      </c>
      <c r="I55" s="39"/>
      <c r="J55" s="148">
        <v>680</v>
      </c>
      <c r="K55" s="222" t="s">
        <v>8074</v>
      </c>
    </row>
    <row r="56" spans="1:11" ht="26.25" hidden="1" thickBot="1" x14ac:dyDescent="0.3">
      <c r="A56" s="203"/>
      <c r="B56" s="205"/>
      <c r="C56" s="35" t="s">
        <v>34</v>
      </c>
      <c r="D56" s="35" t="s">
        <v>35</v>
      </c>
      <c r="E56" s="36">
        <v>4.82E-2</v>
      </c>
      <c r="F56" s="33">
        <v>20.795500000000001</v>
      </c>
      <c r="G56" s="33">
        <f t="shared" si="0"/>
        <v>1.0023431</v>
      </c>
      <c r="H56" s="34"/>
      <c r="I56" s="30"/>
      <c r="J56" s="148">
        <v>680</v>
      </c>
      <c r="K56" s="222" t="s">
        <v>8074</v>
      </c>
    </row>
    <row r="57" spans="1:11" ht="15.75" hidden="1" thickBot="1" x14ac:dyDescent="0.3">
      <c r="A57" s="203"/>
      <c r="B57" s="205"/>
      <c r="C57" s="35" t="s">
        <v>36</v>
      </c>
      <c r="D57" s="35" t="s">
        <v>12</v>
      </c>
      <c r="E57" s="36">
        <v>0.1055</v>
      </c>
      <c r="F57" s="30">
        <v>24.795000000000002</v>
      </c>
      <c r="G57" s="33">
        <f t="shared" si="0"/>
        <v>2.6158725</v>
      </c>
      <c r="H57" s="34"/>
      <c r="I57" s="30"/>
      <c r="J57" s="148">
        <v>680</v>
      </c>
      <c r="K57" s="222" t="s">
        <v>8074</v>
      </c>
    </row>
    <row r="58" spans="1:11" ht="15.75" hidden="1" thickBot="1" x14ac:dyDescent="0.3">
      <c r="A58" s="203"/>
      <c r="B58" s="205"/>
      <c r="C58" s="35" t="s">
        <v>23</v>
      </c>
      <c r="D58" s="35" t="s">
        <v>12</v>
      </c>
      <c r="E58" s="36">
        <v>0.29720000000000002</v>
      </c>
      <c r="F58" s="30">
        <v>18.420500000000001</v>
      </c>
      <c r="G58" s="33">
        <f t="shared" si="0"/>
        <v>5.4745726000000001</v>
      </c>
      <c r="H58" s="34"/>
      <c r="I58" s="30"/>
      <c r="J58" s="148">
        <v>680</v>
      </c>
      <c r="K58" s="222" t="s">
        <v>8074</v>
      </c>
    </row>
    <row r="59" spans="1:11" ht="15.75" hidden="1" thickBot="1" x14ac:dyDescent="0.3">
      <c r="A59" s="209"/>
      <c r="B59" s="206"/>
      <c r="C59" s="35"/>
      <c r="D59" s="35"/>
      <c r="E59" s="36"/>
      <c r="F59" s="30" t="s">
        <v>514</v>
      </c>
      <c r="G59" s="30" t="str">
        <f t="shared" si="0"/>
        <v/>
      </c>
      <c r="H59" s="34"/>
      <c r="I59" s="30"/>
      <c r="J59" s="148">
        <v>680</v>
      </c>
      <c r="K59" s="222" t="s">
        <v>8074</v>
      </c>
    </row>
    <row r="60" spans="1:11" ht="15.75" hidden="1" thickBot="1" x14ac:dyDescent="0.3">
      <c r="A60" s="202" t="s">
        <v>37</v>
      </c>
      <c r="B60" s="204" t="str">
        <f>INDEX(Orçamentária!A:B,MATCH(Composições!A60,Orçamentária!A:A,0),2)</f>
        <v>Demolição de revestimento em argamassa</v>
      </c>
      <c r="C60" s="40"/>
      <c r="D60" s="25" t="str">
        <f>TRIM(INDEX(Orçamentária!C:C,MATCH(Composições!A60,Orçamentária!A:A,0),1))</f>
        <v>m2</v>
      </c>
      <c r="E60" s="26"/>
      <c r="F60" s="41" t="s">
        <v>514</v>
      </c>
      <c r="G60" s="27" t="str">
        <f t="shared" si="0"/>
        <v/>
      </c>
      <c r="H60" s="28"/>
      <c r="I60" s="29"/>
      <c r="J60" s="148">
        <v>750</v>
      </c>
      <c r="K60" s="222" t="s">
        <v>8074</v>
      </c>
    </row>
    <row r="61" spans="1:11" ht="15.75" hidden="1" thickBot="1" x14ac:dyDescent="0.3">
      <c r="A61" s="203"/>
      <c r="B61" s="205"/>
      <c r="C61" s="31"/>
      <c r="D61" s="31"/>
      <c r="E61" s="32"/>
      <c r="F61" s="42" t="s">
        <v>514</v>
      </c>
      <c r="G61" s="30" t="str">
        <f t="shared" si="0"/>
        <v/>
      </c>
      <c r="H61" s="34"/>
      <c r="I61" s="30"/>
      <c r="J61" s="148">
        <v>750</v>
      </c>
      <c r="K61" s="222" t="s">
        <v>8074</v>
      </c>
    </row>
    <row r="62" spans="1:11" ht="15.75" hidden="1" thickBot="1" x14ac:dyDescent="0.3">
      <c r="A62" s="203"/>
      <c r="B62" s="205"/>
      <c r="C62" s="35" t="s">
        <v>22</v>
      </c>
      <c r="D62" s="35" t="s">
        <v>12</v>
      </c>
      <c r="E62" s="36">
        <v>3.7400000000000003E-2</v>
      </c>
      <c r="F62" s="30">
        <v>24.889999999999997</v>
      </c>
      <c r="G62" s="33">
        <f t="shared" si="0"/>
        <v>0.93088599999999999</v>
      </c>
      <c r="H62" s="38">
        <f>SUM(G62:G63)</f>
        <v>2.8705646499999999</v>
      </c>
      <c r="I62" s="39"/>
      <c r="J62" s="148">
        <v>750</v>
      </c>
      <c r="K62" s="222" t="s">
        <v>8074</v>
      </c>
    </row>
    <row r="63" spans="1:11" ht="15.75" hidden="1" thickBot="1" x14ac:dyDescent="0.3">
      <c r="A63" s="203"/>
      <c r="B63" s="205"/>
      <c r="C63" s="35" t="s">
        <v>23</v>
      </c>
      <c r="D63" s="35" t="s">
        <v>12</v>
      </c>
      <c r="E63" s="36">
        <v>0.1053</v>
      </c>
      <c r="F63" s="30">
        <v>18.420500000000001</v>
      </c>
      <c r="G63" s="33">
        <f t="shared" si="0"/>
        <v>1.9396786500000001</v>
      </c>
      <c r="H63" s="34"/>
      <c r="I63" s="30"/>
      <c r="J63" s="148">
        <v>750</v>
      </c>
      <c r="K63" s="222" t="s">
        <v>8074</v>
      </c>
    </row>
    <row r="64" spans="1:11" ht="15.75" hidden="1" thickBot="1" x14ac:dyDescent="0.3">
      <c r="A64" s="209"/>
      <c r="B64" s="206"/>
      <c r="C64" s="35"/>
      <c r="D64" s="35"/>
      <c r="E64" s="36"/>
      <c r="F64" s="30" t="s">
        <v>514</v>
      </c>
      <c r="G64" s="30" t="str">
        <f t="shared" si="0"/>
        <v/>
      </c>
      <c r="H64" s="34"/>
      <c r="I64" s="30"/>
      <c r="J64" s="148">
        <v>750</v>
      </c>
      <c r="K64" s="222" t="s">
        <v>8074</v>
      </c>
    </row>
    <row r="65" spans="1:11" ht="15.75" hidden="1" thickBot="1" x14ac:dyDescent="0.3">
      <c r="A65" s="202" t="s">
        <v>38</v>
      </c>
      <c r="B65" s="204" t="str">
        <f>INDEX(Orçamentária!A:B,MATCH(Composições!A65,Orçamentária!A:A,0),2)</f>
        <v>Demolição de tubulação hidrossanitária embutida com conexões e acessórios</v>
      </c>
      <c r="C65" s="40"/>
      <c r="D65" s="25" t="str">
        <f>TRIM(INDEX(Orçamentária!C:C,MATCH(Composições!A65,Orçamentária!A:A,0),1))</f>
        <v>m</v>
      </c>
      <c r="E65" s="26"/>
      <c r="F65" s="41" t="s">
        <v>514</v>
      </c>
      <c r="G65" s="27" t="str">
        <f t="shared" si="0"/>
        <v/>
      </c>
      <c r="H65" s="28"/>
      <c r="I65" s="29"/>
      <c r="J65" s="148">
        <v>100</v>
      </c>
      <c r="K65" s="222" t="s">
        <v>8074</v>
      </c>
    </row>
    <row r="66" spans="1:11" ht="15.75" hidden="1" thickBot="1" x14ac:dyDescent="0.3">
      <c r="A66" s="203"/>
      <c r="B66" s="205"/>
      <c r="C66" s="31"/>
      <c r="D66" s="31"/>
      <c r="E66" s="32"/>
      <c r="F66" s="42" t="s">
        <v>514</v>
      </c>
      <c r="G66" s="30" t="str">
        <f t="shared" si="0"/>
        <v/>
      </c>
      <c r="H66" s="34"/>
      <c r="I66" s="30"/>
      <c r="J66" s="148">
        <v>100</v>
      </c>
      <c r="K66" s="222" t="s">
        <v>8074</v>
      </c>
    </row>
    <row r="67" spans="1:11" ht="15.75" hidden="1" thickBot="1" x14ac:dyDescent="0.3">
      <c r="A67" s="203"/>
      <c r="B67" s="205"/>
      <c r="C67" s="35" t="s">
        <v>39</v>
      </c>
      <c r="D67" s="46" t="s">
        <v>12</v>
      </c>
      <c r="E67" s="36">
        <v>7.1000000000000004E-3</v>
      </c>
      <c r="F67" s="30">
        <v>24.300999999999998</v>
      </c>
      <c r="G67" s="33">
        <f t="shared" si="0"/>
        <v>0.1725371</v>
      </c>
      <c r="H67" s="38">
        <f>SUM(G67:G68)</f>
        <v>0.43042410000000003</v>
      </c>
      <c r="I67" s="39"/>
      <c r="J67" s="148">
        <v>100</v>
      </c>
      <c r="K67" s="222" t="s">
        <v>8074</v>
      </c>
    </row>
    <row r="68" spans="1:11" ht="15.75" hidden="1" thickBot="1" x14ac:dyDescent="0.3">
      <c r="A68" s="203"/>
      <c r="B68" s="205"/>
      <c r="C68" s="35" t="s">
        <v>23</v>
      </c>
      <c r="D68" s="46" t="s">
        <v>12</v>
      </c>
      <c r="E68" s="36">
        <v>1.4E-2</v>
      </c>
      <c r="F68" s="30">
        <v>18.420500000000001</v>
      </c>
      <c r="G68" s="33">
        <f t="shared" si="0"/>
        <v>0.25788700000000003</v>
      </c>
      <c r="H68" s="34"/>
      <c r="I68" s="30"/>
      <c r="J68" s="148">
        <v>100</v>
      </c>
      <c r="K68" s="222" t="s">
        <v>8074</v>
      </c>
    </row>
    <row r="69" spans="1:11" ht="15.75" hidden="1" thickBot="1" x14ac:dyDescent="0.3">
      <c r="A69" s="209"/>
      <c r="B69" s="206"/>
      <c r="C69" s="35"/>
      <c r="D69" s="35"/>
      <c r="E69" s="36"/>
      <c r="F69" s="30" t="s">
        <v>514</v>
      </c>
      <c r="G69" s="30" t="str">
        <f t="shared" si="0"/>
        <v/>
      </c>
      <c r="H69" s="34"/>
      <c r="I69" s="30"/>
      <c r="J69" s="148">
        <v>100</v>
      </c>
      <c r="K69" s="222" t="s">
        <v>8074</v>
      </c>
    </row>
    <row r="70" spans="1:11" ht="15.75" hidden="1" thickBot="1" x14ac:dyDescent="0.3">
      <c r="A70" s="202" t="s">
        <v>40</v>
      </c>
      <c r="B70" s="204" t="str">
        <f>INDEX(Orçamentária!A:B,MATCH(Composições!A70,Orçamentária!A:A,0),2)</f>
        <v>Demolição em concreto armado</v>
      </c>
      <c r="C70" s="40"/>
      <c r="D70" s="25" t="str">
        <f>TRIM(INDEX(Orçamentária!C:C,MATCH(Composições!A70,Orçamentária!A:A,0),1))</f>
        <v>m3</v>
      </c>
      <c r="E70" s="26"/>
      <c r="F70" s="41" t="s">
        <v>514</v>
      </c>
      <c r="G70" s="27" t="str">
        <f t="shared" ref="G70:G133" si="1">IF(ISNUMBER(F70),E70*F70,"")</f>
        <v/>
      </c>
      <c r="H70" s="28"/>
      <c r="I70" s="29"/>
      <c r="J70" s="148">
        <v>10</v>
      </c>
      <c r="K70" s="222" t="s">
        <v>8074</v>
      </c>
    </row>
    <row r="71" spans="1:11" ht="15.75" hidden="1" thickBot="1" x14ac:dyDescent="0.3">
      <c r="A71" s="203"/>
      <c r="B71" s="205"/>
      <c r="C71" s="31"/>
      <c r="D71" s="31"/>
      <c r="E71" s="32"/>
      <c r="F71" s="42" t="s">
        <v>514</v>
      </c>
      <c r="G71" s="30" t="str">
        <f t="shared" si="1"/>
        <v/>
      </c>
      <c r="H71" s="34"/>
      <c r="I71" s="30"/>
      <c r="J71" s="148">
        <v>10</v>
      </c>
      <c r="K71" s="222" t="s">
        <v>8074</v>
      </c>
    </row>
    <row r="72" spans="1:11" ht="26.25" hidden="1" thickBot="1" x14ac:dyDescent="0.3">
      <c r="A72" s="203"/>
      <c r="B72" s="205"/>
      <c r="C72" s="35" t="s">
        <v>32</v>
      </c>
      <c r="D72" s="35" t="s">
        <v>33</v>
      </c>
      <c r="E72" s="36">
        <v>3.2467999999999999</v>
      </c>
      <c r="F72" s="33">
        <v>22.001999999999999</v>
      </c>
      <c r="G72" s="33">
        <f t="shared" si="1"/>
        <v>71.436093599999992</v>
      </c>
      <c r="H72" s="38">
        <f>SUM(G72:G76)</f>
        <v>247.65297870000001</v>
      </c>
      <c r="I72" s="39"/>
      <c r="J72" s="148">
        <v>10</v>
      </c>
      <c r="K72" s="222" t="s">
        <v>8074</v>
      </c>
    </row>
    <row r="73" spans="1:11" ht="26.25" hidden="1" thickBot="1" x14ac:dyDescent="0.3">
      <c r="A73" s="203"/>
      <c r="B73" s="205"/>
      <c r="C73" s="35" t="s">
        <v>34</v>
      </c>
      <c r="D73" s="35" t="s">
        <v>35</v>
      </c>
      <c r="E73" s="36">
        <v>0.92020000000000002</v>
      </c>
      <c r="F73" s="33">
        <v>20.795500000000001</v>
      </c>
      <c r="G73" s="33">
        <f t="shared" si="1"/>
        <v>19.136019100000002</v>
      </c>
      <c r="H73" s="34"/>
      <c r="I73" s="30"/>
      <c r="J73" s="148">
        <v>10</v>
      </c>
      <c r="K73" s="222" t="s">
        <v>8074</v>
      </c>
    </row>
    <row r="74" spans="1:11" ht="26.25" hidden="1" thickBot="1" x14ac:dyDescent="0.3">
      <c r="A74" s="203"/>
      <c r="B74" s="205"/>
      <c r="C74" s="35" t="s">
        <v>41</v>
      </c>
      <c r="D74" s="35" t="s">
        <v>42</v>
      </c>
      <c r="E74" s="36">
        <v>0.28349999999999997</v>
      </c>
      <c r="F74" s="33">
        <v>70.746499999999997</v>
      </c>
      <c r="G74" s="30">
        <f t="shared" si="1"/>
        <v>20.056632749999999</v>
      </c>
      <c r="H74" s="34"/>
      <c r="I74" s="30"/>
      <c r="J74" s="148">
        <v>10</v>
      </c>
      <c r="K74" s="222" t="s">
        <v>8074</v>
      </c>
    </row>
    <row r="75" spans="1:11" ht="15.75" hidden="1" thickBot="1" x14ac:dyDescent="0.3">
      <c r="A75" s="203"/>
      <c r="B75" s="205"/>
      <c r="C75" s="35" t="s">
        <v>22</v>
      </c>
      <c r="D75" s="35" t="s">
        <v>12</v>
      </c>
      <c r="E75" s="36">
        <v>0.63660000000000005</v>
      </c>
      <c r="F75" s="30">
        <v>24.889999999999997</v>
      </c>
      <c r="G75" s="33">
        <f t="shared" si="1"/>
        <v>15.844973999999999</v>
      </c>
      <c r="H75" s="34"/>
      <c r="I75" s="30"/>
      <c r="J75" s="148">
        <v>10</v>
      </c>
      <c r="K75" s="222" t="s">
        <v>8074</v>
      </c>
    </row>
    <row r="76" spans="1:11" ht="15.75" hidden="1" thickBot="1" x14ac:dyDescent="0.3">
      <c r="A76" s="203"/>
      <c r="B76" s="205"/>
      <c r="C76" s="35" t="s">
        <v>23</v>
      </c>
      <c r="D76" s="35" t="s">
        <v>12</v>
      </c>
      <c r="E76" s="36">
        <v>6.5785</v>
      </c>
      <c r="F76" s="30">
        <v>18.420500000000001</v>
      </c>
      <c r="G76" s="33">
        <f t="shared" si="1"/>
        <v>121.17925925</v>
      </c>
      <c r="H76" s="34"/>
      <c r="I76" s="30"/>
      <c r="J76" s="148">
        <v>10</v>
      </c>
      <c r="K76" s="222" t="s">
        <v>8074</v>
      </c>
    </row>
    <row r="77" spans="1:11" ht="15.75" hidden="1" thickBot="1" x14ac:dyDescent="0.3">
      <c r="A77" s="209"/>
      <c r="B77" s="206"/>
      <c r="C77" s="35"/>
      <c r="D77" s="35"/>
      <c r="E77" s="36"/>
      <c r="F77" s="30" t="s">
        <v>514</v>
      </c>
      <c r="G77" s="30" t="str">
        <f t="shared" si="1"/>
        <v/>
      </c>
      <c r="H77" s="34"/>
      <c r="I77" s="30"/>
      <c r="J77" s="148">
        <v>10</v>
      </c>
      <c r="K77" s="222" t="s">
        <v>8074</v>
      </c>
    </row>
    <row r="78" spans="1:11" ht="15.75" hidden="1" thickBot="1" x14ac:dyDescent="0.3">
      <c r="A78" s="213" t="s">
        <v>43</v>
      </c>
      <c r="B78" s="204" t="str">
        <f>INDEX(Orçamentária!A:B,MATCH(Composições!A78,Orçamentária!A:A,0),2)</f>
        <v>Remoção de armários</v>
      </c>
      <c r="C78" s="40"/>
      <c r="D78" s="25" t="str">
        <f>TRIM(INDEX(Orçamentária!C:C,MATCH(Composições!A78,Orçamentária!A:A,0),1))</f>
        <v>m2</v>
      </c>
      <c r="E78" s="26"/>
      <c r="F78" s="41" t="s">
        <v>514</v>
      </c>
      <c r="G78" s="27" t="str">
        <f t="shared" si="1"/>
        <v/>
      </c>
      <c r="H78" s="28"/>
      <c r="I78" s="29"/>
      <c r="J78" s="148">
        <v>220</v>
      </c>
      <c r="K78" s="222" t="s">
        <v>8074</v>
      </c>
    </row>
    <row r="79" spans="1:11" ht="15.75" hidden="1" thickBot="1" x14ac:dyDescent="0.3">
      <c r="A79" s="214"/>
      <c r="B79" s="205"/>
      <c r="C79" s="31"/>
      <c r="D79" s="31"/>
      <c r="E79" s="32"/>
      <c r="F79" s="42" t="s">
        <v>514</v>
      </c>
      <c r="G79" s="30" t="str">
        <f t="shared" si="1"/>
        <v/>
      </c>
      <c r="H79" s="34"/>
      <c r="I79" s="30"/>
      <c r="J79" s="148">
        <v>220</v>
      </c>
      <c r="K79" s="222" t="s">
        <v>8074</v>
      </c>
    </row>
    <row r="80" spans="1:11" ht="15.75" hidden="1" thickBot="1" x14ac:dyDescent="0.3">
      <c r="A80" s="214"/>
      <c r="B80" s="205"/>
      <c r="C80" s="35" t="s">
        <v>44</v>
      </c>
      <c r="D80" s="35" t="s">
        <v>12</v>
      </c>
      <c r="E80" s="36">
        <v>0.35</v>
      </c>
      <c r="F80" s="30">
        <v>23.616999999999997</v>
      </c>
      <c r="G80" s="33">
        <f t="shared" si="1"/>
        <v>8.2659499999999984</v>
      </c>
      <c r="H80" s="38">
        <f>SUM(G80:G81)</f>
        <v>14.713124999999998</v>
      </c>
      <c r="I80" s="39"/>
      <c r="J80" s="148">
        <v>220</v>
      </c>
      <c r="K80" s="222" t="s">
        <v>8074</v>
      </c>
    </row>
    <row r="81" spans="1:11" ht="15.75" hidden="1" thickBot="1" x14ac:dyDescent="0.3">
      <c r="A81" s="214"/>
      <c r="B81" s="205"/>
      <c r="C81" s="35" t="s">
        <v>23</v>
      </c>
      <c r="D81" s="35" t="s">
        <v>12</v>
      </c>
      <c r="E81" s="36">
        <v>0.35</v>
      </c>
      <c r="F81" s="30">
        <v>18.420500000000001</v>
      </c>
      <c r="G81" s="33">
        <f t="shared" si="1"/>
        <v>6.4471749999999997</v>
      </c>
      <c r="H81" s="44"/>
      <c r="I81" s="45"/>
      <c r="J81" s="148">
        <v>220</v>
      </c>
      <c r="K81" s="222" t="s">
        <v>8074</v>
      </c>
    </row>
    <row r="82" spans="1:11" ht="15.75" hidden="1" thickBot="1" x14ac:dyDescent="0.3">
      <c r="A82" s="214"/>
      <c r="B82" s="205"/>
      <c r="C82" s="35"/>
      <c r="D82" s="35"/>
      <c r="E82" s="36"/>
      <c r="F82" s="30" t="s">
        <v>514</v>
      </c>
      <c r="G82" s="30" t="str">
        <f t="shared" si="1"/>
        <v/>
      </c>
      <c r="H82" s="34"/>
      <c r="I82" s="30"/>
      <c r="J82" s="148">
        <v>220</v>
      </c>
      <c r="K82" s="222" t="s">
        <v>8074</v>
      </c>
    </row>
    <row r="83" spans="1:11" ht="15.75" hidden="1" thickBot="1" x14ac:dyDescent="0.3">
      <c r="A83" s="202" t="s">
        <v>45</v>
      </c>
      <c r="B83" s="204" t="str">
        <f>INDEX(Orçamentária!A:B,MATCH(Composições!A83,Orçamentária!A:A,0),2)</f>
        <v>Remoção de bancadas</v>
      </c>
      <c r="C83" s="40"/>
      <c r="D83" s="25" t="str">
        <f>TRIM(INDEX(Orçamentária!C:C,MATCH(Composições!A83,Orçamentária!A:A,0),1))</f>
        <v>m2</v>
      </c>
      <c r="E83" s="26"/>
      <c r="F83" s="41" t="s">
        <v>514</v>
      </c>
      <c r="G83" s="27" t="str">
        <f t="shared" si="1"/>
        <v/>
      </c>
      <c r="H83" s="28"/>
      <c r="I83" s="29"/>
      <c r="J83" s="148">
        <v>40</v>
      </c>
      <c r="K83" s="222" t="s">
        <v>8074</v>
      </c>
    </row>
    <row r="84" spans="1:11" ht="15.75" hidden="1" thickBot="1" x14ac:dyDescent="0.3">
      <c r="A84" s="203"/>
      <c r="B84" s="205"/>
      <c r="C84" s="31"/>
      <c r="D84" s="31"/>
      <c r="E84" s="32"/>
      <c r="F84" s="42" t="s">
        <v>514</v>
      </c>
      <c r="G84" s="30" t="str">
        <f t="shared" si="1"/>
        <v/>
      </c>
      <c r="H84" s="34"/>
      <c r="I84" s="30"/>
      <c r="J84" s="148">
        <v>40</v>
      </c>
      <c r="K84" s="222" t="s">
        <v>8074</v>
      </c>
    </row>
    <row r="85" spans="1:11" ht="15.75" hidden="1" thickBot="1" x14ac:dyDescent="0.3">
      <c r="A85" s="203"/>
      <c r="B85" s="205"/>
      <c r="C85" s="35" t="s">
        <v>22</v>
      </c>
      <c r="D85" s="35" t="s">
        <v>12</v>
      </c>
      <c r="E85" s="36">
        <v>0.15</v>
      </c>
      <c r="F85" s="30">
        <v>24.889999999999997</v>
      </c>
      <c r="G85" s="33">
        <f t="shared" si="1"/>
        <v>3.7334999999999994</v>
      </c>
      <c r="H85" s="38">
        <f>SUM(G85:G86)</f>
        <v>22.154</v>
      </c>
      <c r="I85" s="39"/>
      <c r="J85" s="148">
        <v>40</v>
      </c>
      <c r="K85" s="222" t="s">
        <v>8074</v>
      </c>
    </row>
    <row r="86" spans="1:11" ht="15.75" hidden="1" thickBot="1" x14ac:dyDescent="0.3">
      <c r="A86" s="203"/>
      <c r="B86" s="205"/>
      <c r="C86" s="35" t="s">
        <v>23</v>
      </c>
      <c r="D86" s="35" t="s">
        <v>12</v>
      </c>
      <c r="E86" s="36">
        <v>1</v>
      </c>
      <c r="F86" s="30">
        <v>18.420500000000001</v>
      </c>
      <c r="G86" s="33">
        <f t="shared" si="1"/>
        <v>18.420500000000001</v>
      </c>
      <c r="H86" s="34"/>
      <c r="I86" s="30"/>
      <c r="J86" s="148">
        <v>40</v>
      </c>
      <c r="K86" s="222" t="s">
        <v>8074</v>
      </c>
    </row>
    <row r="87" spans="1:11" ht="15.75" hidden="1" thickBot="1" x14ac:dyDescent="0.3">
      <c r="A87" s="209"/>
      <c r="B87" s="206"/>
      <c r="C87" s="35"/>
      <c r="D87" s="35"/>
      <c r="E87" s="36"/>
      <c r="F87" s="30" t="s">
        <v>514</v>
      </c>
      <c r="G87" s="30" t="str">
        <f t="shared" si="1"/>
        <v/>
      </c>
      <c r="H87" s="34"/>
      <c r="I87" s="30"/>
      <c r="J87" s="148">
        <v>40</v>
      </c>
      <c r="K87" s="222" t="s">
        <v>8074</v>
      </c>
    </row>
    <row r="88" spans="1:11" ht="15.75" hidden="1" thickBot="1" x14ac:dyDescent="0.3">
      <c r="A88" s="202" t="s">
        <v>46</v>
      </c>
      <c r="B88" s="204" t="str">
        <f>INDEX(Orçamentária!A:B,MATCH(Composições!A88,Orçamentária!A:A,0),2)</f>
        <v>Remoção de batentes de madeira</v>
      </c>
      <c r="C88" s="40"/>
      <c r="D88" s="25" t="str">
        <f>TRIM(INDEX(Orçamentária!C:C,MATCH(Composições!A88,Orçamentária!A:A,0),1))</f>
        <v>un</v>
      </c>
      <c r="E88" s="26"/>
      <c r="F88" s="41" t="s">
        <v>514</v>
      </c>
      <c r="G88" s="27" t="str">
        <f t="shared" si="1"/>
        <v/>
      </c>
      <c r="H88" s="28"/>
      <c r="I88" s="29"/>
      <c r="J88" s="148">
        <v>45</v>
      </c>
      <c r="K88" s="222" t="s">
        <v>8074</v>
      </c>
    </row>
    <row r="89" spans="1:11" ht="15.75" hidden="1" thickBot="1" x14ac:dyDescent="0.3">
      <c r="A89" s="203"/>
      <c r="B89" s="205"/>
      <c r="C89" s="31"/>
      <c r="D89" s="31"/>
      <c r="E89" s="32"/>
      <c r="F89" s="42" t="s">
        <v>514</v>
      </c>
      <c r="G89" s="30" t="str">
        <f t="shared" si="1"/>
        <v/>
      </c>
      <c r="H89" s="34"/>
      <c r="I89" s="30"/>
      <c r="J89" s="148">
        <v>45</v>
      </c>
      <c r="K89" s="222" t="s">
        <v>8074</v>
      </c>
    </row>
    <row r="90" spans="1:11" ht="15.75" hidden="1" thickBot="1" x14ac:dyDescent="0.3">
      <c r="A90" s="203"/>
      <c r="B90" s="205"/>
      <c r="C90" s="35" t="s">
        <v>22</v>
      </c>
      <c r="D90" s="35" t="s">
        <v>12</v>
      </c>
      <c r="E90" s="36">
        <f>0.08/2</f>
        <v>0.04</v>
      </c>
      <c r="F90" s="30">
        <v>24.889999999999997</v>
      </c>
      <c r="G90" s="33">
        <f t="shared" si="1"/>
        <v>0.99559999999999993</v>
      </c>
      <c r="H90" s="38">
        <f>SUM(G90:G91)</f>
        <v>8.3638000000000012</v>
      </c>
      <c r="I90" s="39"/>
      <c r="J90" s="148">
        <v>45</v>
      </c>
      <c r="K90" s="222" t="s">
        <v>8074</v>
      </c>
    </row>
    <row r="91" spans="1:11" ht="15.75" hidden="1" thickBot="1" x14ac:dyDescent="0.3">
      <c r="A91" s="203"/>
      <c r="B91" s="205"/>
      <c r="C91" s="35" t="s">
        <v>23</v>
      </c>
      <c r="D91" s="35" t="s">
        <v>12</v>
      </c>
      <c r="E91" s="36">
        <f>0.8/2</f>
        <v>0.4</v>
      </c>
      <c r="F91" s="30">
        <v>18.420500000000001</v>
      </c>
      <c r="G91" s="33">
        <f t="shared" si="1"/>
        <v>7.3682000000000007</v>
      </c>
      <c r="H91" s="34"/>
      <c r="I91" s="30"/>
      <c r="J91" s="148">
        <v>45</v>
      </c>
      <c r="K91" s="222" t="s">
        <v>8074</v>
      </c>
    </row>
    <row r="92" spans="1:11" ht="15.75" hidden="1" thickBot="1" x14ac:dyDescent="0.3">
      <c r="A92" s="203"/>
      <c r="B92" s="205"/>
      <c r="C92" s="35"/>
      <c r="D92" s="35"/>
      <c r="E92" s="36"/>
      <c r="F92" s="33" t="s">
        <v>514</v>
      </c>
      <c r="G92" s="33" t="str">
        <f t="shared" si="1"/>
        <v/>
      </c>
      <c r="H92" s="34"/>
      <c r="I92" s="30"/>
      <c r="J92" s="148">
        <v>45</v>
      </c>
      <c r="K92" s="222" t="s">
        <v>8074</v>
      </c>
    </row>
    <row r="93" spans="1:11" ht="15.75" hidden="1" thickBot="1" x14ac:dyDescent="0.3">
      <c r="A93" s="202" t="s">
        <v>47</v>
      </c>
      <c r="B93" s="204" t="str">
        <f>INDEX(Orçamentária!A:B,MATCH(Composições!A93,Orçamentária!A:A,0),2)</f>
        <v>Remoção de canaleta em alumínio</v>
      </c>
      <c r="C93" s="40"/>
      <c r="D93" s="25" t="str">
        <f>TRIM(INDEX(Orçamentária!C:C,MATCH(Composições!A93,Orçamentária!A:A,0),1))</f>
        <v>m</v>
      </c>
      <c r="E93" s="26"/>
      <c r="F93" s="41" t="s">
        <v>514</v>
      </c>
      <c r="G93" s="27" t="str">
        <f t="shared" si="1"/>
        <v/>
      </c>
      <c r="H93" s="28"/>
      <c r="I93" s="29"/>
      <c r="J93" s="148">
        <v>150</v>
      </c>
      <c r="K93" s="222" t="s">
        <v>8074</v>
      </c>
    </row>
    <row r="94" spans="1:11" ht="15.75" hidden="1" thickBot="1" x14ac:dyDescent="0.3">
      <c r="A94" s="203"/>
      <c r="B94" s="205"/>
      <c r="C94" s="31"/>
      <c r="D94" s="31"/>
      <c r="E94" s="32"/>
      <c r="F94" s="42" t="s">
        <v>514</v>
      </c>
      <c r="G94" s="30" t="str">
        <f t="shared" si="1"/>
        <v/>
      </c>
      <c r="H94" s="34"/>
      <c r="I94" s="30"/>
      <c r="J94" s="148">
        <v>150</v>
      </c>
      <c r="K94" s="222" t="s">
        <v>8074</v>
      </c>
    </row>
    <row r="95" spans="1:11" ht="15.75" hidden="1" thickBot="1" x14ac:dyDescent="0.3">
      <c r="A95" s="203"/>
      <c r="B95" s="205"/>
      <c r="C95" s="35" t="s">
        <v>30</v>
      </c>
      <c r="D95" s="46" t="s">
        <v>12</v>
      </c>
      <c r="E95" s="36">
        <f>0.75*0.1</f>
        <v>7.5000000000000011E-2</v>
      </c>
      <c r="F95" s="30">
        <v>25.146499999999996</v>
      </c>
      <c r="G95" s="33">
        <f t="shared" si="1"/>
        <v>1.8859874999999999</v>
      </c>
      <c r="H95" s="38">
        <f>SUM(G95:G96)</f>
        <v>4.6490625000000003</v>
      </c>
      <c r="I95" s="39"/>
      <c r="J95" s="148">
        <v>150</v>
      </c>
      <c r="K95" s="222" t="s">
        <v>8074</v>
      </c>
    </row>
    <row r="96" spans="1:11" ht="15.75" hidden="1" thickBot="1" x14ac:dyDescent="0.3">
      <c r="A96" s="203"/>
      <c r="B96" s="205"/>
      <c r="C96" s="35" t="s">
        <v>23</v>
      </c>
      <c r="D96" s="46" t="s">
        <v>12</v>
      </c>
      <c r="E96" s="36">
        <f>0.75*0.2</f>
        <v>0.15000000000000002</v>
      </c>
      <c r="F96" s="30">
        <v>18.420500000000001</v>
      </c>
      <c r="G96" s="33">
        <f t="shared" si="1"/>
        <v>2.7630750000000006</v>
      </c>
      <c r="H96" s="34"/>
      <c r="I96" s="30"/>
      <c r="J96" s="148">
        <v>150</v>
      </c>
      <c r="K96" s="222" t="s">
        <v>8074</v>
      </c>
    </row>
    <row r="97" spans="1:11" ht="15.75" hidden="1" thickBot="1" x14ac:dyDescent="0.3">
      <c r="A97" s="209"/>
      <c r="B97" s="206"/>
      <c r="C97" s="35"/>
      <c r="D97" s="35"/>
      <c r="E97" s="36"/>
      <c r="F97" s="30" t="s">
        <v>514</v>
      </c>
      <c r="G97" s="30" t="str">
        <f t="shared" si="1"/>
        <v/>
      </c>
      <c r="H97" s="34"/>
      <c r="I97" s="30"/>
      <c r="J97" s="148">
        <v>150</v>
      </c>
      <c r="K97" s="222" t="s">
        <v>8074</v>
      </c>
    </row>
    <row r="98" spans="1:11" ht="15.75" hidden="1" thickBot="1" x14ac:dyDescent="0.3">
      <c r="A98" s="202" t="s">
        <v>48</v>
      </c>
      <c r="B98" s="204" t="str">
        <f>INDEX(Orçamentária!A:B,MATCH(Composições!A98,Orçamentária!A:A,0),2)</f>
        <v>Remoção de carpete</v>
      </c>
      <c r="C98" s="40"/>
      <c r="D98" s="25" t="str">
        <f>TRIM(INDEX(Orçamentária!C:C,MATCH(Composições!A98,Orçamentária!A:A,0),1))</f>
        <v>m2</v>
      </c>
      <c r="E98" s="26"/>
      <c r="F98" s="41" t="s">
        <v>514</v>
      </c>
      <c r="G98" s="27" t="str">
        <f t="shared" si="1"/>
        <v/>
      </c>
      <c r="H98" s="28"/>
      <c r="I98" s="29"/>
      <c r="J98" s="148">
        <v>225</v>
      </c>
      <c r="K98" s="222" t="s">
        <v>8074</v>
      </c>
    </row>
    <row r="99" spans="1:11" ht="15.75" hidden="1" thickBot="1" x14ac:dyDescent="0.3">
      <c r="A99" s="203"/>
      <c r="B99" s="205"/>
      <c r="C99" s="31"/>
      <c r="D99" s="31"/>
      <c r="E99" s="32"/>
      <c r="F99" s="42" t="s">
        <v>514</v>
      </c>
      <c r="G99" s="30" t="str">
        <f t="shared" si="1"/>
        <v/>
      </c>
      <c r="H99" s="34"/>
      <c r="I99" s="30"/>
      <c r="J99" s="148">
        <v>225</v>
      </c>
      <c r="K99" s="222" t="s">
        <v>8074</v>
      </c>
    </row>
    <row r="100" spans="1:11" ht="15.75" hidden="1" thickBot="1" x14ac:dyDescent="0.3">
      <c r="A100" s="203"/>
      <c r="B100" s="205"/>
      <c r="C100" s="35" t="s">
        <v>22</v>
      </c>
      <c r="D100" s="35" t="s">
        <v>12</v>
      </c>
      <c r="E100" s="36">
        <v>0.01</v>
      </c>
      <c r="F100" s="30">
        <v>24.889999999999997</v>
      </c>
      <c r="G100" s="33">
        <f t="shared" si="1"/>
        <v>0.24889999999999998</v>
      </c>
      <c r="H100" s="38">
        <f>SUM(G100:G101)</f>
        <v>2.0909500000000003</v>
      </c>
      <c r="I100" s="39"/>
      <c r="J100" s="148">
        <v>225</v>
      </c>
      <c r="K100" s="222" t="s">
        <v>8074</v>
      </c>
    </row>
    <row r="101" spans="1:11" ht="15.75" hidden="1" thickBot="1" x14ac:dyDescent="0.3">
      <c r="A101" s="203"/>
      <c r="B101" s="205"/>
      <c r="C101" s="35" t="s">
        <v>23</v>
      </c>
      <c r="D101" s="35" t="s">
        <v>12</v>
      </c>
      <c r="E101" s="36">
        <v>0.1</v>
      </c>
      <c r="F101" s="30">
        <v>18.420500000000001</v>
      </c>
      <c r="G101" s="33">
        <f t="shared" si="1"/>
        <v>1.8420500000000002</v>
      </c>
      <c r="H101" s="34"/>
      <c r="I101" s="30"/>
      <c r="J101" s="148">
        <v>225</v>
      </c>
      <c r="K101" s="222" t="s">
        <v>8074</v>
      </c>
    </row>
    <row r="102" spans="1:11" ht="15.75" hidden="1" thickBot="1" x14ac:dyDescent="0.3">
      <c r="A102" s="209"/>
      <c r="B102" s="206"/>
      <c r="C102" s="35"/>
      <c r="D102" s="35"/>
      <c r="E102" s="36"/>
      <c r="F102" s="30" t="s">
        <v>514</v>
      </c>
      <c r="G102" s="30" t="str">
        <f t="shared" si="1"/>
        <v/>
      </c>
      <c r="H102" s="34"/>
      <c r="I102" s="30"/>
      <c r="J102" s="148">
        <v>225</v>
      </c>
      <c r="K102" s="222" t="s">
        <v>8074</v>
      </c>
    </row>
    <row r="103" spans="1:11" ht="15.75" hidden="1" thickBot="1" x14ac:dyDescent="0.3">
      <c r="A103" s="202" t="s">
        <v>49</v>
      </c>
      <c r="B103" s="204" t="str">
        <f>INDEX(Orçamentária!A:B,MATCH(Composições!A103,Orçamentária!A:A,0),2)</f>
        <v>Remoção de cortinas</v>
      </c>
      <c r="C103" s="40"/>
      <c r="D103" s="25" t="str">
        <f>TRIM(INDEX(Orçamentária!C:C,MATCH(Composições!A103,Orçamentária!A:A,0),1))</f>
        <v>m</v>
      </c>
      <c r="E103" s="26"/>
      <c r="F103" s="41" t="s">
        <v>514</v>
      </c>
      <c r="G103" s="27" t="str">
        <f t="shared" si="1"/>
        <v/>
      </c>
      <c r="H103" s="28"/>
      <c r="I103" s="29"/>
      <c r="J103" s="148">
        <v>40</v>
      </c>
      <c r="K103" s="222" t="s">
        <v>8074</v>
      </c>
    </row>
    <row r="104" spans="1:11" ht="15.75" hidden="1" thickBot="1" x14ac:dyDescent="0.3">
      <c r="A104" s="203"/>
      <c r="B104" s="205"/>
      <c r="C104" s="31"/>
      <c r="D104" s="31"/>
      <c r="E104" s="32"/>
      <c r="F104" s="42" t="s">
        <v>514</v>
      </c>
      <c r="G104" s="30" t="str">
        <f t="shared" si="1"/>
        <v/>
      </c>
      <c r="H104" s="34"/>
      <c r="I104" s="30"/>
      <c r="J104" s="148">
        <v>40</v>
      </c>
      <c r="K104" s="222" t="s">
        <v>8074</v>
      </c>
    </row>
    <row r="105" spans="1:11" ht="15.75" hidden="1" thickBot="1" x14ac:dyDescent="0.3">
      <c r="A105" s="203"/>
      <c r="B105" s="205"/>
      <c r="C105" s="35" t="s">
        <v>50</v>
      </c>
      <c r="D105" s="35" t="s">
        <v>12</v>
      </c>
      <c r="E105" s="36">
        <f>ROUND(1/6,4)</f>
        <v>0.16669999999999999</v>
      </c>
      <c r="F105" s="30">
        <v>19.474999999999998</v>
      </c>
      <c r="G105" s="33">
        <f t="shared" si="1"/>
        <v>3.2464824999999995</v>
      </c>
      <c r="H105" s="38">
        <f>SUM(G105:G105)</f>
        <v>3.2464824999999995</v>
      </c>
      <c r="I105" s="39"/>
      <c r="J105" s="148">
        <v>40</v>
      </c>
      <c r="K105" s="222" t="s">
        <v>8074</v>
      </c>
    </row>
    <row r="106" spans="1:11" ht="15.75" hidden="1" thickBot="1" x14ac:dyDescent="0.3">
      <c r="A106" s="209"/>
      <c r="B106" s="206"/>
      <c r="C106" s="35"/>
      <c r="D106" s="35"/>
      <c r="E106" s="36"/>
      <c r="F106" s="30" t="s">
        <v>514</v>
      </c>
      <c r="G106" s="30" t="str">
        <f t="shared" si="1"/>
        <v/>
      </c>
      <c r="H106" s="34"/>
      <c r="I106" s="30"/>
      <c r="J106" s="148">
        <v>40</v>
      </c>
      <c r="K106" s="222" t="s">
        <v>8074</v>
      </c>
    </row>
    <row r="107" spans="1:11" ht="15.75" hidden="1" thickBot="1" x14ac:dyDescent="0.3">
      <c r="A107" s="202" t="s">
        <v>51</v>
      </c>
      <c r="B107" s="204" t="str">
        <f>INDEX(Orçamentária!A:B,MATCH(Composições!A107,Orçamentária!A:A,0),2)</f>
        <v>Remoção de difusores, grelhas e acessórios de climatização</v>
      </c>
      <c r="C107" s="40"/>
      <c r="D107" s="25" t="str">
        <f>TRIM(INDEX(Orçamentária!C:C,MATCH(Composições!A107,Orçamentária!A:A,0),1))</f>
        <v>un</v>
      </c>
      <c r="E107" s="26"/>
      <c r="F107" s="41" t="s">
        <v>514</v>
      </c>
      <c r="G107" s="27" t="str">
        <f t="shared" si="1"/>
        <v/>
      </c>
      <c r="H107" s="28"/>
      <c r="I107" s="29"/>
      <c r="J107" s="148">
        <v>100</v>
      </c>
      <c r="K107" s="222" t="s">
        <v>8074</v>
      </c>
    </row>
    <row r="108" spans="1:11" ht="15.75" hidden="1" thickBot="1" x14ac:dyDescent="0.3">
      <c r="A108" s="203"/>
      <c r="B108" s="205"/>
      <c r="C108" s="31"/>
      <c r="D108" s="31"/>
      <c r="E108" s="32"/>
      <c r="F108" s="42" t="s">
        <v>514</v>
      </c>
      <c r="G108" s="30" t="str">
        <f t="shared" si="1"/>
        <v/>
      </c>
      <c r="H108" s="34"/>
      <c r="I108" s="30"/>
      <c r="J108" s="148">
        <v>100</v>
      </c>
      <c r="K108" s="222" t="s">
        <v>8074</v>
      </c>
    </row>
    <row r="109" spans="1:11" ht="15.75" hidden="1" thickBot="1" x14ac:dyDescent="0.3">
      <c r="A109" s="203"/>
      <c r="B109" s="205"/>
      <c r="C109" s="35" t="s">
        <v>52</v>
      </c>
      <c r="D109" s="46" t="s">
        <v>12</v>
      </c>
      <c r="E109" s="36">
        <v>0.6</v>
      </c>
      <c r="F109" s="30">
        <v>21.184999999999999</v>
      </c>
      <c r="G109" s="30">
        <f t="shared" si="1"/>
        <v>12.710999999999999</v>
      </c>
      <c r="H109" s="38">
        <f>SUM(G109:G110)</f>
        <v>23.763300000000001</v>
      </c>
      <c r="I109" s="39"/>
      <c r="J109" s="148">
        <v>100</v>
      </c>
      <c r="K109" s="222" t="s">
        <v>8074</v>
      </c>
    </row>
    <row r="110" spans="1:11" ht="15.75" hidden="1" thickBot="1" x14ac:dyDescent="0.3">
      <c r="A110" s="203"/>
      <c r="B110" s="205"/>
      <c r="C110" s="35" t="s">
        <v>23</v>
      </c>
      <c r="D110" s="46" t="s">
        <v>12</v>
      </c>
      <c r="E110" s="36">
        <v>0.6</v>
      </c>
      <c r="F110" s="30">
        <v>18.420500000000001</v>
      </c>
      <c r="G110" s="30">
        <f t="shared" si="1"/>
        <v>11.052300000000001</v>
      </c>
      <c r="H110" s="34"/>
      <c r="I110" s="30"/>
      <c r="J110" s="148">
        <v>100</v>
      </c>
      <c r="K110" s="222" t="s">
        <v>8074</v>
      </c>
    </row>
    <row r="111" spans="1:11" ht="15.75" hidden="1" thickBot="1" x14ac:dyDescent="0.3">
      <c r="A111" s="209"/>
      <c r="B111" s="206"/>
      <c r="C111" s="35"/>
      <c r="D111" s="35"/>
      <c r="E111" s="36"/>
      <c r="F111" s="30" t="s">
        <v>514</v>
      </c>
      <c r="G111" s="30" t="str">
        <f t="shared" si="1"/>
        <v/>
      </c>
      <c r="H111" s="34"/>
      <c r="I111" s="30"/>
      <c r="J111" s="148">
        <v>100</v>
      </c>
      <c r="K111" s="222" t="s">
        <v>8074</v>
      </c>
    </row>
    <row r="112" spans="1:11" ht="15.75" hidden="1" thickBot="1" x14ac:dyDescent="0.3">
      <c r="A112" s="202" t="s">
        <v>53</v>
      </c>
      <c r="B112" s="204" t="str">
        <f>INDEX(Orçamentária!A:B,MATCH(Composições!A112,Orçamentária!A:A,0),2)</f>
        <v>Remoção de divisória de mármore ou granito</v>
      </c>
      <c r="C112" s="40"/>
      <c r="D112" s="25" t="str">
        <f>TRIM(INDEX(Orçamentária!C:C,MATCH(Composições!A112,Orçamentária!A:A,0),1))</f>
        <v>m2</v>
      </c>
      <c r="E112" s="26"/>
      <c r="F112" s="41" t="s">
        <v>514</v>
      </c>
      <c r="G112" s="27" t="str">
        <f t="shared" si="1"/>
        <v/>
      </c>
      <c r="H112" s="28"/>
      <c r="I112" s="29"/>
      <c r="J112" s="148">
        <v>40</v>
      </c>
      <c r="K112" s="222" t="s">
        <v>8074</v>
      </c>
    </row>
    <row r="113" spans="1:11" ht="15.75" hidden="1" thickBot="1" x14ac:dyDescent="0.3">
      <c r="A113" s="203"/>
      <c r="B113" s="205"/>
      <c r="C113" s="31"/>
      <c r="D113" s="31"/>
      <c r="E113" s="32"/>
      <c r="F113" s="42" t="s">
        <v>514</v>
      </c>
      <c r="G113" s="30" t="str">
        <f t="shared" si="1"/>
        <v/>
      </c>
      <c r="H113" s="34"/>
      <c r="I113" s="30"/>
      <c r="J113" s="148">
        <v>40</v>
      </c>
      <c r="K113" s="222" t="s">
        <v>8074</v>
      </c>
    </row>
    <row r="114" spans="1:11" ht="15.75" hidden="1" thickBot="1" x14ac:dyDescent="0.3">
      <c r="A114" s="203"/>
      <c r="B114" s="205"/>
      <c r="C114" s="35" t="s">
        <v>54</v>
      </c>
      <c r="D114" s="35" t="s">
        <v>12</v>
      </c>
      <c r="E114" s="36">
        <v>0.6</v>
      </c>
      <c r="F114" s="30">
        <v>24.795000000000002</v>
      </c>
      <c r="G114" s="33">
        <f t="shared" si="1"/>
        <v>14.877000000000001</v>
      </c>
      <c r="H114" s="38">
        <f>SUM(G114:G115)</f>
        <v>36.9816</v>
      </c>
      <c r="I114" s="39"/>
      <c r="J114" s="148">
        <v>40</v>
      </c>
      <c r="K114" s="222" t="s">
        <v>8074</v>
      </c>
    </row>
    <row r="115" spans="1:11" ht="15.75" hidden="1" thickBot="1" x14ac:dyDescent="0.3">
      <c r="A115" s="203"/>
      <c r="B115" s="205"/>
      <c r="C115" s="35" t="s">
        <v>23</v>
      </c>
      <c r="D115" s="35" t="s">
        <v>12</v>
      </c>
      <c r="E115" s="36">
        <v>1.2</v>
      </c>
      <c r="F115" s="30">
        <v>18.420500000000001</v>
      </c>
      <c r="G115" s="33">
        <f t="shared" si="1"/>
        <v>22.104600000000001</v>
      </c>
      <c r="H115" s="34"/>
      <c r="I115" s="30"/>
      <c r="J115" s="148">
        <v>40</v>
      </c>
      <c r="K115" s="222" t="s">
        <v>8074</v>
      </c>
    </row>
    <row r="116" spans="1:11" ht="15.75" hidden="1" thickBot="1" x14ac:dyDescent="0.3">
      <c r="A116" s="209"/>
      <c r="B116" s="206"/>
      <c r="C116" s="35"/>
      <c r="D116" s="35"/>
      <c r="E116" s="36"/>
      <c r="F116" s="30" t="s">
        <v>514</v>
      </c>
      <c r="G116" s="30" t="str">
        <f t="shared" si="1"/>
        <v/>
      </c>
      <c r="H116" s="34"/>
      <c r="I116" s="30"/>
      <c r="J116" s="148">
        <v>40</v>
      </c>
      <c r="K116" s="222" t="s">
        <v>8074</v>
      </c>
    </row>
    <row r="117" spans="1:11" ht="15.75" hidden="1" thickBot="1" x14ac:dyDescent="0.3">
      <c r="A117" s="202" t="s">
        <v>55</v>
      </c>
      <c r="B117" s="204" t="str">
        <f>INDEX(Orçamentária!A:B,MATCH(Composições!A117,Orçamentária!A:A,0),2)</f>
        <v>Remoção de divisórias de MDF e gesso acartonado</v>
      </c>
      <c r="C117" s="40"/>
      <c r="D117" s="25" t="str">
        <f>TRIM(INDEX(Orçamentária!C:C,MATCH(Composições!A117,Orçamentária!A:A,0),1))</f>
        <v>m2</v>
      </c>
      <c r="E117" s="26"/>
      <c r="F117" s="41" t="s">
        <v>514</v>
      </c>
      <c r="G117" s="27" t="str">
        <f t="shared" si="1"/>
        <v/>
      </c>
      <c r="H117" s="28"/>
      <c r="I117" s="29"/>
      <c r="J117" s="148">
        <v>1100</v>
      </c>
      <c r="K117" s="222" t="s">
        <v>8074</v>
      </c>
    </row>
    <row r="118" spans="1:11" ht="15.75" hidden="1" thickBot="1" x14ac:dyDescent="0.3">
      <c r="A118" s="203"/>
      <c r="B118" s="205"/>
      <c r="C118" s="31"/>
      <c r="D118" s="31"/>
      <c r="E118" s="32"/>
      <c r="F118" s="42" t="s">
        <v>514</v>
      </c>
      <c r="G118" s="30" t="str">
        <f t="shared" si="1"/>
        <v/>
      </c>
      <c r="H118" s="34"/>
      <c r="I118" s="30"/>
      <c r="J118" s="148">
        <v>1100</v>
      </c>
      <c r="K118" s="222" t="s">
        <v>8074</v>
      </c>
    </row>
    <row r="119" spans="1:11" ht="15.75" hidden="1" thickBot="1" x14ac:dyDescent="0.3">
      <c r="A119" s="203"/>
      <c r="B119" s="205"/>
      <c r="C119" s="35" t="s">
        <v>27</v>
      </c>
      <c r="D119" s="46" t="s">
        <v>12</v>
      </c>
      <c r="E119" s="36">
        <v>0.1186</v>
      </c>
      <c r="F119" s="30">
        <v>18.933499999999999</v>
      </c>
      <c r="G119" s="30">
        <f t="shared" si="1"/>
        <v>2.2455130999999997</v>
      </c>
      <c r="H119" s="38">
        <f>SUM(G119:G120)</f>
        <v>6.5356475500000002</v>
      </c>
      <c r="I119" s="39"/>
      <c r="J119" s="148">
        <v>1100</v>
      </c>
      <c r="K119" s="222" t="s">
        <v>8074</v>
      </c>
    </row>
    <row r="120" spans="1:11" ht="15.75" hidden="1" thickBot="1" x14ac:dyDescent="0.3">
      <c r="A120" s="203"/>
      <c r="B120" s="205"/>
      <c r="C120" s="35" t="s">
        <v>23</v>
      </c>
      <c r="D120" s="46" t="s">
        <v>12</v>
      </c>
      <c r="E120" s="36">
        <v>0.2329</v>
      </c>
      <c r="F120" s="30">
        <v>18.420500000000001</v>
      </c>
      <c r="G120" s="30">
        <f t="shared" si="1"/>
        <v>4.29013445</v>
      </c>
      <c r="H120" s="34"/>
      <c r="I120" s="30"/>
      <c r="J120" s="148">
        <v>1100</v>
      </c>
      <c r="K120" s="222" t="s">
        <v>8074</v>
      </c>
    </row>
    <row r="121" spans="1:11" ht="15.75" hidden="1" thickBot="1" x14ac:dyDescent="0.3">
      <c r="A121" s="209"/>
      <c r="B121" s="206"/>
      <c r="C121" s="35"/>
      <c r="D121" s="35"/>
      <c r="E121" s="36"/>
      <c r="F121" s="30" t="s">
        <v>514</v>
      </c>
      <c r="G121" s="30" t="str">
        <f t="shared" si="1"/>
        <v/>
      </c>
      <c r="H121" s="34"/>
      <c r="I121" s="30"/>
      <c r="J121" s="148">
        <v>1100</v>
      </c>
      <c r="K121" s="222" t="s">
        <v>8074</v>
      </c>
    </row>
    <row r="122" spans="1:11" ht="15.75" hidden="1" thickBot="1" x14ac:dyDescent="0.3">
      <c r="A122" s="202" t="s">
        <v>56</v>
      </c>
      <c r="B122" s="204" t="str">
        <f>INDEX(Orçamentária!A:B,MATCH(Composições!A122,Orçamentária!A:A,0),2)</f>
        <v>Remoção de dutos/tubulações</v>
      </c>
      <c r="C122" s="40"/>
      <c r="D122" s="25" t="str">
        <f>TRIM(INDEX(Orçamentária!C:C,MATCH(Composições!A122,Orçamentária!A:A,0),1))</f>
        <v>m</v>
      </c>
      <c r="E122" s="26"/>
      <c r="F122" s="41" t="s">
        <v>514</v>
      </c>
      <c r="G122" s="27" t="str">
        <f t="shared" si="1"/>
        <v/>
      </c>
      <c r="H122" s="28"/>
      <c r="I122" s="29"/>
      <c r="J122" s="148">
        <v>1000</v>
      </c>
      <c r="K122" s="222" t="s">
        <v>8074</v>
      </c>
    </row>
    <row r="123" spans="1:11" ht="15.75" hidden="1" thickBot="1" x14ac:dyDescent="0.3">
      <c r="A123" s="203"/>
      <c r="B123" s="205"/>
      <c r="C123" s="31"/>
      <c r="D123" s="31"/>
      <c r="E123" s="32"/>
      <c r="F123" s="42" t="s">
        <v>514</v>
      </c>
      <c r="G123" s="30" t="str">
        <f t="shared" si="1"/>
        <v/>
      </c>
      <c r="H123" s="34"/>
      <c r="I123" s="30"/>
      <c r="J123" s="148">
        <v>1000</v>
      </c>
      <c r="K123" s="222" t="s">
        <v>8074</v>
      </c>
    </row>
    <row r="124" spans="1:11" ht="15.75" hidden="1" thickBot="1" x14ac:dyDescent="0.3">
      <c r="A124" s="203"/>
      <c r="B124" s="205"/>
      <c r="C124" s="35" t="s">
        <v>39</v>
      </c>
      <c r="D124" s="46" t="s">
        <v>12</v>
      </c>
      <c r="E124" s="36">
        <v>0.17499999999999999</v>
      </c>
      <c r="F124" s="30">
        <v>24.300999999999998</v>
      </c>
      <c r="G124" s="33">
        <f t="shared" si="1"/>
        <v>4.2526749999999991</v>
      </c>
      <c r="H124" s="38">
        <f>SUM(G124:G125)</f>
        <v>9.7788249999999994</v>
      </c>
      <c r="I124" s="39"/>
      <c r="J124" s="148">
        <v>1000</v>
      </c>
      <c r="K124" s="222" t="s">
        <v>8074</v>
      </c>
    </row>
    <row r="125" spans="1:11" ht="15.75" hidden="1" thickBot="1" x14ac:dyDescent="0.3">
      <c r="A125" s="203"/>
      <c r="B125" s="205"/>
      <c r="C125" s="35" t="s">
        <v>23</v>
      </c>
      <c r="D125" s="46" t="s">
        <v>12</v>
      </c>
      <c r="E125" s="36">
        <v>0.3</v>
      </c>
      <c r="F125" s="30">
        <v>18.420500000000001</v>
      </c>
      <c r="G125" s="33">
        <f t="shared" si="1"/>
        <v>5.5261500000000003</v>
      </c>
      <c r="H125" s="34"/>
      <c r="I125" s="30"/>
      <c r="J125" s="148">
        <v>1000</v>
      </c>
      <c r="K125" s="222" t="s">
        <v>8074</v>
      </c>
    </row>
    <row r="126" spans="1:11" ht="15.75" hidden="1" thickBot="1" x14ac:dyDescent="0.3">
      <c r="A126" s="209"/>
      <c r="B126" s="206"/>
      <c r="C126" s="35"/>
      <c r="D126" s="35"/>
      <c r="E126" s="36"/>
      <c r="F126" s="30" t="s">
        <v>514</v>
      </c>
      <c r="G126" s="30" t="str">
        <f t="shared" si="1"/>
        <v/>
      </c>
      <c r="H126" s="34"/>
      <c r="I126" s="30"/>
      <c r="J126" s="148">
        <v>1000</v>
      </c>
      <c r="K126" s="222" t="s">
        <v>8074</v>
      </c>
    </row>
    <row r="127" spans="1:11" ht="15.75" hidden="1" thickBot="1" x14ac:dyDescent="0.3">
      <c r="A127" s="202" t="s">
        <v>57</v>
      </c>
      <c r="B127" s="204" t="str">
        <f>INDEX(Orçamentária!A:B,MATCH(Composições!A127,Orçamentária!A:A,0),2)</f>
        <v>Remoção de esquadrias metálicas</v>
      </c>
      <c r="C127" s="40"/>
      <c r="D127" s="25" t="str">
        <f>TRIM(INDEX(Orçamentária!C:C,MATCH(Composições!A127,Orçamentária!A:A,0),1))</f>
        <v>m2</v>
      </c>
      <c r="E127" s="26"/>
      <c r="F127" s="41" t="s">
        <v>514</v>
      </c>
      <c r="G127" s="27" t="str">
        <f t="shared" si="1"/>
        <v/>
      </c>
      <c r="H127" s="28"/>
      <c r="I127" s="29"/>
      <c r="J127" s="148">
        <v>65</v>
      </c>
      <c r="K127" s="222" t="s">
        <v>8074</v>
      </c>
    </row>
    <row r="128" spans="1:11" ht="15.75" hidden="1" thickBot="1" x14ac:dyDescent="0.3">
      <c r="A128" s="203"/>
      <c r="B128" s="205"/>
      <c r="C128" s="31"/>
      <c r="D128" s="31"/>
      <c r="E128" s="32"/>
      <c r="F128" s="42" t="s">
        <v>514</v>
      </c>
      <c r="G128" s="30" t="str">
        <f t="shared" si="1"/>
        <v/>
      </c>
      <c r="H128" s="34"/>
      <c r="I128" s="30"/>
      <c r="J128" s="148">
        <v>65</v>
      </c>
      <c r="K128" s="222" t="s">
        <v>8074</v>
      </c>
    </row>
    <row r="129" spans="1:11" ht="15.75" hidden="1" thickBot="1" x14ac:dyDescent="0.3">
      <c r="A129" s="203"/>
      <c r="B129" s="205"/>
      <c r="C129" s="35" t="s">
        <v>22</v>
      </c>
      <c r="D129" s="35" t="s">
        <v>12</v>
      </c>
      <c r="E129" s="36">
        <v>0.05</v>
      </c>
      <c r="F129" s="30">
        <v>24.889999999999997</v>
      </c>
      <c r="G129" s="33">
        <f t="shared" si="1"/>
        <v>1.2444999999999999</v>
      </c>
      <c r="H129" s="38">
        <f>SUM(G129:G130)</f>
        <v>10.454750000000001</v>
      </c>
      <c r="I129" s="39"/>
      <c r="J129" s="148">
        <v>65</v>
      </c>
      <c r="K129" s="222" t="s">
        <v>8074</v>
      </c>
    </row>
    <row r="130" spans="1:11" ht="15.75" hidden="1" thickBot="1" x14ac:dyDescent="0.3">
      <c r="A130" s="203"/>
      <c r="B130" s="205"/>
      <c r="C130" s="35" t="s">
        <v>23</v>
      </c>
      <c r="D130" s="35" t="s">
        <v>12</v>
      </c>
      <c r="E130" s="36">
        <v>0.5</v>
      </c>
      <c r="F130" s="30">
        <v>18.420500000000001</v>
      </c>
      <c r="G130" s="33">
        <f t="shared" si="1"/>
        <v>9.2102500000000003</v>
      </c>
      <c r="H130" s="44"/>
      <c r="I130" s="45"/>
      <c r="J130" s="148">
        <v>65</v>
      </c>
      <c r="K130" s="222" t="s">
        <v>8074</v>
      </c>
    </row>
    <row r="131" spans="1:11" ht="15.75" hidden="1" thickBot="1" x14ac:dyDescent="0.3">
      <c r="A131" s="209"/>
      <c r="B131" s="206"/>
      <c r="C131" s="35"/>
      <c r="D131" s="35"/>
      <c r="E131" s="36"/>
      <c r="F131" s="30" t="s">
        <v>514</v>
      </c>
      <c r="G131" s="30" t="str">
        <f t="shared" si="1"/>
        <v/>
      </c>
      <c r="H131" s="34"/>
      <c r="I131" s="30"/>
      <c r="J131" s="148">
        <v>65</v>
      </c>
      <c r="K131" s="222" t="s">
        <v>8074</v>
      </c>
    </row>
    <row r="132" spans="1:11" ht="15.75" hidden="1" thickBot="1" x14ac:dyDescent="0.3">
      <c r="A132" s="202" t="s">
        <v>58</v>
      </c>
      <c r="B132" s="204" t="str">
        <f>INDEX(Orçamentária!A:B,MATCH(Composições!A132,Orçamentária!A:A,0),2)</f>
        <v>Remoção de exaustor</v>
      </c>
      <c r="C132" s="40"/>
      <c r="D132" s="25" t="str">
        <f>TRIM(INDEX(Orçamentária!C:C,MATCH(Composições!A132,Orçamentária!A:A,0),1))</f>
        <v>un</v>
      </c>
      <c r="E132" s="26"/>
      <c r="F132" s="41" t="s">
        <v>514</v>
      </c>
      <c r="G132" s="27" t="str">
        <f t="shared" si="1"/>
        <v/>
      </c>
      <c r="H132" s="28"/>
      <c r="I132" s="29"/>
      <c r="J132" s="148">
        <v>15</v>
      </c>
      <c r="K132" s="222" t="s">
        <v>8074</v>
      </c>
    </row>
    <row r="133" spans="1:11" ht="15.75" hidden="1" thickBot="1" x14ac:dyDescent="0.3">
      <c r="A133" s="203"/>
      <c r="B133" s="205"/>
      <c r="C133" s="31"/>
      <c r="D133" s="31"/>
      <c r="E133" s="32"/>
      <c r="F133" s="42" t="s">
        <v>514</v>
      </c>
      <c r="G133" s="30" t="str">
        <f t="shared" si="1"/>
        <v/>
      </c>
      <c r="H133" s="34"/>
      <c r="I133" s="30"/>
      <c r="J133" s="148">
        <v>15</v>
      </c>
      <c r="K133" s="222" t="s">
        <v>8074</v>
      </c>
    </row>
    <row r="134" spans="1:11" ht="15.75" hidden="1" thickBot="1" x14ac:dyDescent="0.3">
      <c r="A134" s="203"/>
      <c r="B134" s="205"/>
      <c r="C134" s="35" t="s">
        <v>30</v>
      </c>
      <c r="D134" s="35" t="s">
        <v>12</v>
      </c>
      <c r="E134" s="36">
        <v>0.3</v>
      </c>
      <c r="F134" s="30">
        <v>25.146499999999996</v>
      </c>
      <c r="G134" s="30">
        <f t="shared" ref="G134:G197" si="2">IF(ISNUMBER(F134),E134*F134,"")</f>
        <v>7.5439499999999988</v>
      </c>
      <c r="H134" s="38">
        <f>SUM(G134:G134)</f>
        <v>7.5439499999999988</v>
      </c>
      <c r="I134" s="39"/>
      <c r="J134" s="148">
        <v>15</v>
      </c>
      <c r="K134" s="222" t="s">
        <v>8074</v>
      </c>
    </row>
    <row r="135" spans="1:11" ht="15.75" hidden="1" thickBot="1" x14ac:dyDescent="0.3">
      <c r="A135" s="209"/>
      <c r="B135" s="206"/>
      <c r="C135" s="35"/>
      <c r="D135" s="35"/>
      <c r="E135" s="36"/>
      <c r="F135" s="30" t="s">
        <v>514</v>
      </c>
      <c r="G135" s="30" t="str">
        <f t="shared" si="2"/>
        <v/>
      </c>
      <c r="H135" s="34"/>
      <c r="I135" s="30"/>
      <c r="J135" s="148">
        <v>15</v>
      </c>
      <c r="K135" s="222" t="s">
        <v>8074</v>
      </c>
    </row>
    <row r="136" spans="1:11" ht="15.75" hidden="1" thickBot="1" x14ac:dyDescent="0.3">
      <c r="A136" s="202" t="s">
        <v>59</v>
      </c>
      <c r="B136" s="204" t="str">
        <f>INDEX(Orçamentária!A:B,MATCH(Composições!A136,Orçamentária!A:A,0),2)</f>
        <v>Remoção de fechadura/puxador de porta</v>
      </c>
      <c r="C136" s="40"/>
      <c r="D136" s="25" t="str">
        <f>TRIM(INDEX(Orçamentária!C:C,MATCH(Composições!A136,Orçamentária!A:A,0),1))</f>
        <v>un</v>
      </c>
      <c r="E136" s="26"/>
      <c r="F136" s="41" t="s">
        <v>514</v>
      </c>
      <c r="G136" s="27" t="str">
        <f t="shared" si="2"/>
        <v/>
      </c>
      <c r="H136" s="28"/>
      <c r="I136" s="29"/>
      <c r="J136" s="148">
        <v>85</v>
      </c>
      <c r="K136" s="222" t="s">
        <v>8074</v>
      </c>
    </row>
    <row r="137" spans="1:11" ht="15.75" hidden="1" thickBot="1" x14ac:dyDescent="0.3">
      <c r="A137" s="203"/>
      <c r="B137" s="205"/>
      <c r="C137" s="31"/>
      <c r="D137" s="31"/>
      <c r="E137" s="32"/>
      <c r="F137" s="42" t="s">
        <v>514</v>
      </c>
      <c r="G137" s="30" t="str">
        <f t="shared" si="2"/>
        <v/>
      </c>
      <c r="H137" s="34"/>
      <c r="I137" s="30"/>
      <c r="J137" s="148">
        <v>85</v>
      </c>
      <c r="K137" s="222" t="s">
        <v>8074</v>
      </c>
    </row>
    <row r="138" spans="1:11" ht="15.75" hidden="1" thickBot="1" x14ac:dyDescent="0.3">
      <c r="A138" s="203"/>
      <c r="B138" s="205"/>
      <c r="C138" s="35" t="s">
        <v>44</v>
      </c>
      <c r="D138" s="35" t="s">
        <v>12</v>
      </c>
      <c r="E138" s="36">
        <f>0.25</f>
        <v>0.25</v>
      </c>
      <c r="F138" s="30">
        <v>23.616999999999997</v>
      </c>
      <c r="G138" s="33">
        <f t="shared" si="2"/>
        <v>5.9042499999999993</v>
      </c>
      <c r="H138" s="38">
        <f>SUM(G138:G138)</f>
        <v>5.9042499999999993</v>
      </c>
      <c r="I138" s="39"/>
      <c r="J138" s="148">
        <v>85</v>
      </c>
      <c r="K138" s="222" t="s">
        <v>8074</v>
      </c>
    </row>
    <row r="139" spans="1:11" ht="15.75" hidden="1" thickBot="1" x14ac:dyDescent="0.3">
      <c r="A139" s="203"/>
      <c r="B139" s="205"/>
      <c r="C139" s="35"/>
      <c r="D139" s="35"/>
      <c r="E139" s="36"/>
      <c r="F139" s="30" t="s">
        <v>514</v>
      </c>
      <c r="G139" s="30" t="str">
        <f t="shared" si="2"/>
        <v/>
      </c>
      <c r="H139" s="34"/>
      <c r="I139" s="30"/>
      <c r="J139" s="148">
        <v>85</v>
      </c>
      <c r="K139" s="222" t="s">
        <v>8074</v>
      </c>
    </row>
    <row r="140" spans="1:11" ht="15.75" hidden="1" thickBot="1" x14ac:dyDescent="0.3">
      <c r="A140" s="202" t="s">
        <v>60</v>
      </c>
      <c r="B140" s="204" t="str">
        <f>INDEX(Orçamentária!A:B,MATCH(Composições!A140,Orçamentária!A:A,0),2)</f>
        <v>Remoção de folha de porta e dobradiças / pivôs</v>
      </c>
      <c r="C140" s="40"/>
      <c r="D140" s="25" t="str">
        <f>TRIM(INDEX(Orçamentária!C:C,MATCH(Composições!A140,Orçamentária!A:A,0),1))</f>
        <v>un</v>
      </c>
      <c r="E140" s="26"/>
      <c r="F140" s="41" t="s">
        <v>514</v>
      </c>
      <c r="G140" s="27" t="str">
        <f t="shared" si="2"/>
        <v/>
      </c>
      <c r="H140" s="28"/>
      <c r="I140" s="29"/>
      <c r="J140" s="148">
        <v>75</v>
      </c>
      <c r="K140" s="222" t="s">
        <v>8074</v>
      </c>
    </row>
    <row r="141" spans="1:11" ht="15.75" hidden="1" thickBot="1" x14ac:dyDescent="0.3">
      <c r="A141" s="203"/>
      <c r="B141" s="205"/>
      <c r="C141" s="31"/>
      <c r="D141" s="31"/>
      <c r="E141" s="32"/>
      <c r="F141" s="42" t="s">
        <v>514</v>
      </c>
      <c r="G141" s="30" t="str">
        <f t="shared" si="2"/>
        <v/>
      </c>
      <c r="H141" s="34"/>
      <c r="I141" s="30"/>
      <c r="J141" s="148">
        <v>75</v>
      </c>
      <c r="K141" s="222" t="s">
        <v>8074</v>
      </c>
    </row>
    <row r="142" spans="1:11" ht="15.75" hidden="1" thickBot="1" x14ac:dyDescent="0.3">
      <c r="A142" s="203"/>
      <c r="B142" s="205"/>
      <c r="C142" s="35" t="s">
        <v>22</v>
      </c>
      <c r="D142" s="35" t="s">
        <v>12</v>
      </c>
      <c r="E142" s="36">
        <v>0.13150000000000001</v>
      </c>
      <c r="F142" s="30">
        <v>24.889999999999997</v>
      </c>
      <c r="G142" s="33">
        <f t="shared" si="2"/>
        <v>3.2730349999999997</v>
      </c>
      <c r="H142" s="38">
        <f>SUM(G142:G143)</f>
        <v>8.0292081</v>
      </c>
      <c r="I142" s="39"/>
      <c r="J142" s="148">
        <v>75</v>
      </c>
      <c r="K142" s="222" t="s">
        <v>8074</v>
      </c>
    </row>
    <row r="143" spans="1:11" ht="15.75" hidden="1" thickBot="1" x14ac:dyDescent="0.3">
      <c r="A143" s="203"/>
      <c r="B143" s="205"/>
      <c r="C143" s="35" t="s">
        <v>23</v>
      </c>
      <c r="D143" s="46" t="s">
        <v>12</v>
      </c>
      <c r="E143" s="36">
        <v>0.25819999999999999</v>
      </c>
      <c r="F143" s="30">
        <v>18.420500000000001</v>
      </c>
      <c r="G143" s="33">
        <f t="shared" si="2"/>
        <v>4.7561730999999998</v>
      </c>
      <c r="H143" s="44"/>
      <c r="I143" s="45"/>
      <c r="J143" s="148">
        <v>75</v>
      </c>
      <c r="K143" s="222" t="s">
        <v>8074</v>
      </c>
    </row>
    <row r="144" spans="1:11" ht="15.75" hidden="1" thickBot="1" x14ac:dyDescent="0.3">
      <c r="A144" s="209"/>
      <c r="B144" s="206"/>
      <c r="C144" s="35"/>
      <c r="D144" s="35"/>
      <c r="E144" s="36"/>
      <c r="F144" s="30" t="s">
        <v>514</v>
      </c>
      <c r="G144" s="30" t="str">
        <f t="shared" si="2"/>
        <v/>
      </c>
      <c r="H144" s="34"/>
      <c r="I144" s="30"/>
      <c r="J144" s="148">
        <v>75</v>
      </c>
      <c r="K144" s="222" t="s">
        <v>8074</v>
      </c>
    </row>
    <row r="145" spans="1:11" ht="15.75" hidden="1" thickBot="1" x14ac:dyDescent="0.3">
      <c r="A145" s="202" t="s">
        <v>61</v>
      </c>
      <c r="B145" s="204" t="str">
        <f>INDEX(Orçamentária!A:B,MATCH(Composições!A145,Orçamentária!A:A,0),2)</f>
        <v>Remoção de laminado melamínico (LDAP), em PVC ou vinílico</v>
      </c>
      <c r="C145" s="40"/>
      <c r="D145" s="25" t="str">
        <f>TRIM(INDEX(Orçamentária!C:C,MATCH(Composições!A145,Orçamentária!A:A,0),1))</f>
        <v>m2</v>
      </c>
      <c r="E145" s="26"/>
      <c r="F145" s="41" t="s">
        <v>514</v>
      </c>
      <c r="G145" s="27" t="str">
        <f t="shared" si="2"/>
        <v/>
      </c>
      <c r="H145" s="28"/>
      <c r="I145" s="29"/>
      <c r="J145" s="148">
        <v>850</v>
      </c>
      <c r="K145" s="222" t="s">
        <v>8074</v>
      </c>
    </row>
    <row r="146" spans="1:11" ht="15.75" hidden="1" thickBot="1" x14ac:dyDescent="0.3">
      <c r="A146" s="203"/>
      <c r="B146" s="205"/>
      <c r="C146" s="31"/>
      <c r="D146" s="31"/>
      <c r="E146" s="32"/>
      <c r="F146" s="42" t="s">
        <v>514</v>
      </c>
      <c r="G146" s="30" t="str">
        <f t="shared" si="2"/>
        <v/>
      </c>
      <c r="H146" s="34"/>
      <c r="I146" s="30"/>
      <c r="J146" s="148">
        <v>850</v>
      </c>
      <c r="K146" s="222" t="s">
        <v>8074</v>
      </c>
    </row>
    <row r="147" spans="1:11" ht="15.75" hidden="1" thickBot="1" x14ac:dyDescent="0.3">
      <c r="A147" s="203"/>
      <c r="B147" s="205"/>
      <c r="C147" s="35" t="s">
        <v>22</v>
      </c>
      <c r="D147" s="35" t="s">
        <v>12</v>
      </c>
      <c r="E147" s="36">
        <v>0.09</v>
      </c>
      <c r="F147" s="30">
        <v>24.889999999999997</v>
      </c>
      <c r="G147" s="33">
        <f t="shared" si="2"/>
        <v>2.2400999999999995</v>
      </c>
      <c r="H147" s="38">
        <f>SUM(G147:G148)</f>
        <v>18.818549999999998</v>
      </c>
      <c r="I147" s="39"/>
      <c r="J147" s="148">
        <v>850</v>
      </c>
      <c r="K147" s="222" t="s">
        <v>8074</v>
      </c>
    </row>
    <row r="148" spans="1:11" ht="15.75" hidden="1" thickBot="1" x14ac:dyDescent="0.3">
      <c r="A148" s="203"/>
      <c r="B148" s="205"/>
      <c r="C148" s="35" t="s">
        <v>23</v>
      </c>
      <c r="D148" s="35" t="s">
        <v>12</v>
      </c>
      <c r="E148" s="36">
        <v>0.9</v>
      </c>
      <c r="F148" s="30">
        <v>18.420500000000001</v>
      </c>
      <c r="G148" s="33">
        <f t="shared" si="2"/>
        <v>16.57845</v>
      </c>
      <c r="H148" s="34"/>
      <c r="I148" s="30"/>
      <c r="J148" s="148">
        <v>850</v>
      </c>
      <c r="K148" s="222" t="s">
        <v>8074</v>
      </c>
    </row>
    <row r="149" spans="1:11" ht="15.75" hidden="1" thickBot="1" x14ac:dyDescent="0.3">
      <c r="A149" s="209"/>
      <c r="B149" s="206"/>
      <c r="C149" s="35"/>
      <c r="D149" s="35"/>
      <c r="E149" s="36"/>
      <c r="F149" s="30" t="s">
        <v>514</v>
      </c>
      <c r="G149" s="30" t="str">
        <f t="shared" si="2"/>
        <v/>
      </c>
      <c r="H149" s="34"/>
      <c r="I149" s="30"/>
      <c r="J149" s="148">
        <v>850</v>
      </c>
      <c r="K149" s="222" t="s">
        <v>8074</v>
      </c>
    </row>
    <row r="150" spans="1:11" ht="15.75" hidden="1" thickBot="1" x14ac:dyDescent="0.3">
      <c r="A150" s="202" t="s">
        <v>62</v>
      </c>
      <c r="B150" s="204" t="str">
        <f>INDEX(Orçamentária!A:B,MATCH(Composições!A150,Orçamentária!A:A,0),2)</f>
        <v>Remoção de louças</v>
      </c>
      <c r="C150" s="40"/>
      <c r="D150" s="25" t="str">
        <f>TRIM(INDEX(Orçamentária!C:C,MATCH(Composições!A150,Orçamentária!A:A,0),1))</f>
        <v>un</v>
      </c>
      <c r="E150" s="26"/>
      <c r="F150" s="41" t="s">
        <v>514</v>
      </c>
      <c r="G150" s="27" t="str">
        <f t="shared" si="2"/>
        <v/>
      </c>
      <c r="H150" s="28"/>
      <c r="I150" s="29"/>
      <c r="J150" s="148">
        <v>75</v>
      </c>
      <c r="K150" s="222" t="s">
        <v>8074</v>
      </c>
    </row>
    <row r="151" spans="1:11" ht="15.75" hidden="1" thickBot="1" x14ac:dyDescent="0.3">
      <c r="A151" s="203"/>
      <c r="B151" s="205"/>
      <c r="C151" s="31"/>
      <c r="D151" s="31"/>
      <c r="E151" s="32"/>
      <c r="F151" s="42" t="s">
        <v>514</v>
      </c>
      <c r="G151" s="30" t="str">
        <f t="shared" si="2"/>
        <v/>
      </c>
      <c r="H151" s="34"/>
      <c r="I151" s="30"/>
      <c r="J151" s="148">
        <v>75</v>
      </c>
      <c r="K151" s="222" t="s">
        <v>8074</v>
      </c>
    </row>
    <row r="152" spans="1:11" ht="15.75" hidden="1" thickBot="1" x14ac:dyDescent="0.3">
      <c r="A152" s="203"/>
      <c r="B152" s="205"/>
      <c r="C152" s="35" t="s">
        <v>39</v>
      </c>
      <c r="D152" s="46" t="s">
        <v>12</v>
      </c>
      <c r="E152" s="36">
        <v>0.17549999999999999</v>
      </c>
      <c r="F152" s="30">
        <v>24.300999999999998</v>
      </c>
      <c r="G152" s="33">
        <f t="shared" si="2"/>
        <v>4.2648254999999997</v>
      </c>
      <c r="H152" s="38">
        <f>SUM(G152:G153)</f>
        <v>10.6162139</v>
      </c>
      <c r="I152" s="39"/>
      <c r="J152" s="148">
        <v>75</v>
      </c>
      <c r="K152" s="222" t="s">
        <v>8074</v>
      </c>
    </row>
    <row r="153" spans="1:11" ht="15.75" hidden="1" thickBot="1" x14ac:dyDescent="0.3">
      <c r="A153" s="203"/>
      <c r="B153" s="205"/>
      <c r="C153" s="35" t="s">
        <v>23</v>
      </c>
      <c r="D153" s="35" t="s">
        <v>12</v>
      </c>
      <c r="E153" s="36">
        <v>0.3448</v>
      </c>
      <c r="F153" s="30">
        <v>18.420500000000001</v>
      </c>
      <c r="G153" s="33">
        <f t="shared" si="2"/>
        <v>6.3513884000000003</v>
      </c>
      <c r="H153" s="43"/>
      <c r="I153" s="39"/>
      <c r="J153" s="148">
        <v>75</v>
      </c>
      <c r="K153" s="222" t="s">
        <v>8074</v>
      </c>
    </row>
    <row r="154" spans="1:11" ht="15.75" hidden="1" thickBot="1" x14ac:dyDescent="0.3">
      <c r="A154" s="209"/>
      <c r="B154" s="206"/>
      <c r="C154" s="35"/>
      <c r="D154" s="35"/>
      <c r="E154" s="36"/>
      <c r="F154" s="30" t="s">
        <v>514</v>
      </c>
      <c r="G154" s="30" t="str">
        <f t="shared" si="2"/>
        <v/>
      </c>
      <c r="H154" s="34"/>
      <c r="I154" s="30"/>
      <c r="J154" s="148">
        <v>75</v>
      </c>
      <c r="K154" s="222" t="s">
        <v>8074</v>
      </c>
    </row>
    <row r="155" spans="1:11" ht="15.75" hidden="1" thickBot="1" x14ac:dyDescent="0.3">
      <c r="A155" s="202" t="s">
        <v>63</v>
      </c>
      <c r="B155" s="204" t="str">
        <f>INDEX(Orçamentária!A:B,MATCH(Composições!A155,Orçamentária!A:A,0),2)</f>
        <v>Remoção de luminária</v>
      </c>
      <c r="C155" s="40"/>
      <c r="D155" s="25" t="str">
        <f>TRIM(INDEX(Orçamentária!C:C,MATCH(Composições!A155,Orçamentária!A:A,0),1))</f>
        <v>un</v>
      </c>
      <c r="E155" s="26"/>
      <c r="F155" s="41" t="s">
        <v>514</v>
      </c>
      <c r="G155" s="27" t="str">
        <f t="shared" si="2"/>
        <v/>
      </c>
      <c r="H155" s="28"/>
      <c r="I155" s="29"/>
      <c r="J155" s="148">
        <v>450</v>
      </c>
      <c r="K155" s="222" t="s">
        <v>8074</v>
      </c>
    </row>
    <row r="156" spans="1:11" ht="15.75" hidden="1" thickBot="1" x14ac:dyDescent="0.3">
      <c r="A156" s="207"/>
      <c r="B156" s="205"/>
      <c r="C156" s="31"/>
      <c r="D156" s="31"/>
      <c r="E156" s="32"/>
      <c r="F156" s="42" t="s">
        <v>514</v>
      </c>
      <c r="G156" s="30" t="str">
        <f t="shared" si="2"/>
        <v/>
      </c>
      <c r="H156" s="34"/>
      <c r="I156" s="30"/>
      <c r="J156" s="148">
        <v>450</v>
      </c>
      <c r="K156" s="222" t="s">
        <v>8074</v>
      </c>
    </row>
    <row r="157" spans="1:11" ht="15.75" hidden="1" thickBot="1" x14ac:dyDescent="0.3">
      <c r="A157" s="207"/>
      <c r="B157" s="205"/>
      <c r="C157" s="35" t="s">
        <v>30</v>
      </c>
      <c r="D157" s="46" t="s">
        <v>12</v>
      </c>
      <c r="E157" s="36">
        <f>0.0183*5</f>
        <v>9.1499999999999998E-2</v>
      </c>
      <c r="F157" s="30">
        <v>25.146499999999996</v>
      </c>
      <c r="G157" s="33">
        <f t="shared" si="2"/>
        <v>2.3009047499999995</v>
      </c>
      <c r="H157" s="38">
        <f>SUM(G157:G158)</f>
        <v>5.6073844999999993</v>
      </c>
      <c r="I157" s="39"/>
      <c r="J157" s="148">
        <v>450</v>
      </c>
      <c r="K157" s="222" t="s">
        <v>8074</v>
      </c>
    </row>
    <row r="158" spans="1:11" ht="15.75" hidden="1" thickBot="1" x14ac:dyDescent="0.3">
      <c r="A158" s="207"/>
      <c r="B158" s="205"/>
      <c r="C158" s="35" t="s">
        <v>23</v>
      </c>
      <c r="D158" s="46" t="s">
        <v>12</v>
      </c>
      <c r="E158" s="36">
        <f>0.0359*5</f>
        <v>0.17949999999999999</v>
      </c>
      <c r="F158" s="30">
        <v>18.420500000000001</v>
      </c>
      <c r="G158" s="33">
        <f t="shared" si="2"/>
        <v>3.3064797499999998</v>
      </c>
      <c r="H158" s="44"/>
      <c r="I158" s="45"/>
      <c r="J158" s="148">
        <v>450</v>
      </c>
      <c r="K158" s="222" t="s">
        <v>8074</v>
      </c>
    </row>
    <row r="159" spans="1:11" ht="15.75" hidden="1" thickBot="1" x14ac:dyDescent="0.3">
      <c r="A159" s="207"/>
      <c r="B159" s="205"/>
      <c r="C159" s="35"/>
      <c r="D159" s="35"/>
      <c r="E159" s="36"/>
      <c r="F159" s="30" t="s">
        <v>514</v>
      </c>
      <c r="G159" s="30" t="str">
        <f t="shared" si="2"/>
        <v/>
      </c>
      <c r="H159" s="34"/>
      <c r="I159" s="30"/>
      <c r="J159" s="148">
        <v>450</v>
      </c>
      <c r="K159" s="222" t="s">
        <v>8074</v>
      </c>
    </row>
    <row r="160" spans="1:11" ht="15.75" hidden="1" thickBot="1" x14ac:dyDescent="0.3">
      <c r="A160" s="207"/>
      <c r="B160" s="205"/>
      <c r="C160" s="47" t="s">
        <v>64</v>
      </c>
      <c r="D160" s="35"/>
      <c r="E160" s="36"/>
      <c r="F160" s="30" t="s">
        <v>514</v>
      </c>
      <c r="G160" s="30" t="str">
        <f t="shared" si="2"/>
        <v/>
      </c>
      <c r="H160" s="34"/>
      <c r="I160" s="30"/>
      <c r="J160" s="148">
        <v>450</v>
      </c>
      <c r="K160" s="222" t="s">
        <v>8074</v>
      </c>
    </row>
    <row r="161" spans="1:11" ht="15.75" hidden="1" thickBot="1" x14ac:dyDescent="0.3">
      <c r="A161" s="208"/>
      <c r="B161" s="206"/>
      <c r="C161" s="35"/>
      <c r="D161" s="35"/>
      <c r="E161" s="36"/>
      <c r="F161" s="30" t="s">
        <v>514</v>
      </c>
      <c r="G161" s="30" t="str">
        <f t="shared" si="2"/>
        <v/>
      </c>
      <c r="H161" s="34"/>
      <c r="I161" s="30"/>
      <c r="J161" s="148">
        <v>450</v>
      </c>
      <c r="K161" s="222" t="s">
        <v>8074</v>
      </c>
    </row>
    <row r="162" spans="1:11" ht="15.75" hidden="1" thickBot="1" x14ac:dyDescent="0.3">
      <c r="A162" s="202" t="s">
        <v>65</v>
      </c>
      <c r="B162" s="204" t="str">
        <f>INDEX(Orçamentária!A:B,MATCH(Composições!A162,Orçamentária!A:A,0),2)</f>
        <v>Remoção de metais e acessórios</v>
      </c>
      <c r="C162" s="40"/>
      <c r="D162" s="25" t="str">
        <f>TRIM(INDEX(Orçamentária!C:C,MATCH(Composições!A162,Orçamentária!A:A,0),1))</f>
        <v>un</v>
      </c>
      <c r="E162" s="26"/>
      <c r="F162" s="41" t="s">
        <v>514</v>
      </c>
      <c r="G162" s="27" t="str">
        <f t="shared" si="2"/>
        <v/>
      </c>
      <c r="H162" s="28"/>
      <c r="I162" s="29"/>
      <c r="J162" s="148">
        <v>285</v>
      </c>
      <c r="K162" s="222" t="s">
        <v>8074</v>
      </c>
    </row>
    <row r="163" spans="1:11" ht="15.75" hidden="1" thickBot="1" x14ac:dyDescent="0.3">
      <c r="A163" s="203"/>
      <c r="B163" s="205"/>
      <c r="C163" s="31"/>
      <c r="D163" s="31"/>
      <c r="E163" s="32"/>
      <c r="F163" s="42" t="s">
        <v>514</v>
      </c>
      <c r="G163" s="30" t="str">
        <f t="shared" si="2"/>
        <v/>
      </c>
      <c r="H163" s="34"/>
      <c r="I163" s="30"/>
      <c r="J163" s="148">
        <v>285</v>
      </c>
      <c r="K163" s="222" t="s">
        <v>8074</v>
      </c>
    </row>
    <row r="164" spans="1:11" ht="15.75" hidden="1" thickBot="1" x14ac:dyDescent="0.3">
      <c r="A164" s="203"/>
      <c r="B164" s="205"/>
      <c r="C164" s="35" t="s">
        <v>39</v>
      </c>
      <c r="D164" s="46" t="s">
        <v>12</v>
      </c>
      <c r="E164" s="36">
        <v>0.128</v>
      </c>
      <c r="F164" s="30">
        <v>24.300999999999998</v>
      </c>
      <c r="G164" s="33">
        <f t="shared" si="2"/>
        <v>3.110528</v>
      </c>
      <c r="H164" s="38">
        <f>SUM(G164:G165)</f>
        <v>7.7414417000000011</v>
      </c>
      <c r="I164" s="39"/>
      <c r="J164" s="148">
        <v>285</v>
      </c>
      <c r="K164" s="222" t="s">
        <v>8074</v>
      </c>
    </row>
    <row r="165" spans="1:11" ht="15.75" hidden="1" thickBot="1" x14ac:dyDescent="0.3">
      <c r="A165" s="203"/>
      <c r="B165" s="205"/>
      <c r="C165" s="35" t="s">
        <v>23</v>
      </c>
      <c r="D165" s="35" t="s">
        <v>12</v>
      </c>
      <c r="E165" s="36">
        <v>0.25140000000000001</v>
      </c>
      <c r="F165" s="30">
        <v>18.420500000000001</v>
      </c>
      <c r="G165" s="33">
        <f t="shared" si="2"/>
        <v>4.6309137000000007</v>
      </c>
      <c r="H165" s="43"/>
      <c r="I165" s="39"/>
      <c r="J165" s="148">
        <v>285</v>
      </c>
      <c r="K165" s="222" t="s">
        <v>8074</v>
      </c>
    </row>
    <row r="166" spans="1:11" ht="15.75" hidden="1" thickBot="1" x14ac:dyDescent="0.3">
      <c r="A166" s="209"/>
      <c r="B166" s="206"/>
      <c r="C166" s="35"/>
      <c r="D166" s="35"/>
      <c r="E166" s="36"/>
      <c r="F166" s="30" t="s">
        <v>514</v>
      </c>
      <c r="G166" s="30" t="str">
        <f t="shared" si="2"/>
        <v/>
      </c>
      <c r="H166" s="34"/>
      <c r="I166" s="30"/>
      <c r="J166" s="148">
        <v>285</v>
      </c>
      <c r="K166" s="222" t="s">
        <v>8074</v>
      </c>
    </row>
    <row r="167" spans="1:11" ht="15.75" hidden="1" thickBot="1" x14ac:dyDescent="0.3">
      <c r="A167" s="202" t="s">
        <v>66</v>
      </c>
      <c r="B167" s="204" t="str">
        <f>INDEX(Orçamentária!A:B,MATCH(Composições!A167,Orçamentária!A:A,0),2)</f>
        <v>Remoção de painéis de vidro temperado</v>
      </c>
      <c r="C167" s="40"/>
      <c r="D167" s="25" t="str">
        <f>TRIM(INDEX(Orçamentária!C:C,MATCH(Composições!A167,Orçamentária!A:A,0),1))</f>
        <v>m2</v>
      </c>
      <c r="E167" s="26"/>
      <c r="F167" s="41" t="s">
        <v>514</v>
      </c>
      <c r="G167" s="27" t="str">
        <f t="shared" si="2"/>
        <v/>
      </c>
      <c r="H167" s="28"/>
      <c r="I167" s="29"/>
      <c r="J167" s="148">
        <v>350</v>
      </c>
      <c r="K167" s="222" t="s">
        <v>8074</v>
      </c>
    </row>
    <row r="168" spans="1:11" ht="15.75" hidden="1" thickBot="1" x14ac:dyDescent="0.3">
      <c r="A168" s="203"/>
      <c r="B168" s="205"/>
      <c r="C168" s="31"/>
      <c r="D168" s="31"/>
      <c r="E168" s="32"/>
      <c r="F168" s="42" t="s">
        <v>514</v>
      </c>
      <c r="G168" s="30" t="str">
        <f t="shared" si="2"/>
        <v/>
      </c>
      <c r="H168" s="34"/>
      <c r="I168" s="30"/>
      <c r="J168" s="148">
        <v>350</v>
      </c>
      <c r="K168" s="222" t="s">
        <v>8074</v>
      </c>
    </row>
    <row r="169" spans="1:11" ht="15.75" hidden="1" thickBot="1" x14ac:dyDescent="0.3">
      <c r="A169" s="203"/>
      <c r="B169" s="205"/>
      <c r="C169" s="35" t="s">
        <v>23</v>
      </c>
      <c r="D169" s="35" t="s">
        <v>12</v>
      </c>
      <c r="E169" s="36">
        <v>0.33800000000000002</v>
      </c>
      <c r="F169" s="30">
        <v>18.420500000000001</v>
      </c>
      <c r="G169" s="33">
        <f t="shared" si="2"/>
        <v>6.2261290000000002</v>
      </c>
      <c r="H169" s="38">
        <f>SUM(G169:G170)</f>
        <v>14.216730999999999</v>
      </c>
      <c r="I169" s="39"/>
      <c r="J169" s="148">
        <v>350</v>
      </c>
      <c r="K169" s="222" t="s">
        <v>8074</v>
      </c>
    </row>
    <row r="170" spans="1:11" ht="15.75" hidden="1" thickBot="1" x14ac:dyDescent="0.3">
      <c r="A170" s="203"/>
      <c r="B170" s="205"/>
      <c r="C170" s="35" t="s">
        <v>68</v>
      </c>
      <c r="D170" s="35" t="s">
        <v>12</v>
      </c>
      <c r="E170" s="36">
        <v>0.34799999999999998</v>
      </c>
      <c r="F170" s="30">
        <v>22.961500000000001</v>
      </c>
      <c r="G170" s="33">
        <f t="shared" si="2"/>
        <v>7.990602</v>
      </c>
      <c r="H170" s="34"/>
      <c r="I170" s="30"/>
      <c r="J170" s="148">
        <v>350</v>
      </c>
      <c r="K170" s="222" t="s">
        <v>8074</v>
      </c>
    </row>
    <row r="171" spans="1:11" ht="15.75" hidden="1" thickBot="1" x14ac:dyDescent="0.3">
      <c r="A171" s="209"/>
      <c r="B171" s="206"/>
      <c r="C171" s="35"/>
      <c r="D171" s="35"/>
      <c r="E171" s="36"/>
      <c r="F171" s="30" t="s">
        <v>514</v>
      </c>
      <c r="G171" s="30" t="str">
        <f t="shared" si="2"/>
        <v/>
      </c>
      <c r="H171" s="34"/>
      <c r="I171" s="30"/>
      <c r="J171" s="148">
        <v>350</v>
      </c>
      <c r="K171" s="222" t="s">
        <v>8074</v>
      </c>
    </row>
    <row r="172" spans="1:11" ht="15.75" hidden="1" thickBot="1" x14ac:dyDescent="0.3">
      <c r="A172" s="202" t="s">
        <v>67</v>
      </c>
      <c r="B172" s="204" t="str">
        <f>INDEX(Orçamentária!A:B,MATCH(Composições!A172,Orçamentária!A:A,0),2)</f>
        <v>Remoção de película</v>
      </c>
      <c r="C172" s="40"/>
      <c r="D172" s="25" t="str">
        <f>TRIM(INDEX(Orçamentária!C:C,MATCH(Composições!A172,Orçamentária!A:A,0),1))</f>
        <v>m2</v>
      </c>
      <c r="E172" s="26"/>
      <c r="F172" s="41" t="s">
        <v>514</v>
      </c>
      <c r="G172" s="27" t="str">
        <f t="shared" si="2"/>
        <v/>
      </c>
      <c r="H172" s="28"/>
      <c r="I172" s="29"/>
      <c r="J172" s="148">
        <v>160</v>
      </c>
      <c r="K172" s="222" t="s">
        <v>8074</v>
      </c>
    </row>
    <row r="173" spans="1:11" ht="15.75" hidden="1" thickBot="1" x14ac:dyDescent="0.3">
      <c r="A173" s="203"/>
      <c r="B173" s="205"/>
      <c r="C173" s="31"/>
      <c r="D173" s="31"/>
      <c r="E173" s="32"/>
      <c r="F173" s="42" t="s">
        <v>514</v>
      </c>
      <c r="G173" s="30" t="str">
        <f t="shared" si="2"/>
        <v/>
      </c>
      <c r="H173" s="34"/>
      <c r="I173" s="30"/>
      <c r="J173" s="148">
        <v>160</v>
      </c>
      <c r="K173" s="222" t="s">
        <v>8074</v>
      </c>
    </row>
    <row r="174" spans="1:11" ht="15.75" hidden="1" thickBot="1" x14ac:dyDescent="0.3">
      <c r="A174" s="203"/>
      <c r="B174" s="205"/>
      <c r="C174" s="35" t="s">
        <v>68</v>
      </c>
      <c r="D174" s="35" t="s">
        <v>12</v>
      </c>
      <c r="E174" s="36">
        <v>0.4</v>
      </c>
      <c r="F174" s="30">
        <v>22.961500000000001</v>
      </c>
      <c r="G174" s="33">
        <f t="shared" si="2"/>
        <v>9.1846000000000014</v>
      </c>
      <c r="H174" s="38">
        <f>SUM(G174:G174)</f>
        <v>9.1846000000000014</v>
      </c>
      <c r="I174" s="39"/>
      <c r="J174" s="148">
        <v>160</v>
      </c>
      <c r="K174" s="222" t="s">
        <v>8074</v>
      </c>
    </row>
    <row r="175" spans="1:11" ht="15.75" hidden="1" thickBot="1" x14ac:dyDescent="0.3">
      <c r="A175" s="209"/>
      <c r="B175" s="206"/>
      <c r="C175" s="35"/>
      <c r="D175" s="35"/>
      <c r="E175" s="36"/>
      <c r="F175" s="30" t="s">
        <v>514</v>
      </c>
      <c r="G175" s="30" t="str">
        <f t="shared" si="2"/>
        <v/>
      </c>
      <c r="H175" s="34"/>
      <c r="I175" s="30"/>
      <c r="J175" s="148">
        <v>160</v>
      </c>
      <c r="K175" s="222" t="s">
        <v>8074</v>
      </c>
    </row>
    <row r="176" spans="1:11" ht="15.75" hidden="1" thickBot="1" x14ac:dyDescent="0.3">
      <c r="A176" s="202" t="s">
        <v>69</v>
      </c>
      <c r="B176" s="204" t="str">
        <f>INDEX(Orçamentária!A:B,MATCH(Composições!A176,Orçamentária!A:A,0),2)</f>
        <v>Remoção de persianas</v>
      </c>
      <c r="C176" s="40"/>
      <c r="D176" s="25" t="str">
        <f>TRIM(INDEX(Orçamentária!C:C,MATCH(Composições!A176,Orçamentária!A:A,0),1))</f>
        <v>m</v>
      </c>
      <c r="E176" s="26"/>
      <c r="F176" s="41" t="s">
        <v>514</v>
      </c>
      <c r="G176" s="27" t="str">
        <f t="shared" si="2"/>
        <v/>
      </c>
      <c r="H176" s="28"/>
      <c r="I176" s="29"/>
      <c r="J176" s="148">
        <v>300</v>
      </c>
      <c r="K176" s="222" t="s">
        <v>8074</v>
      </c>
    </row>
    <row r="177" spans="1:11" ht="15.75" hidden="1" thickBot="1" x14ac:dyDescent="0.3">
      <c r="A177" s="203"/>
      <c r="B177" s="205"/>
      <c r="C177" s="31"/>
      <c r="D177" s="31"/>
      <c r="E177" s="32"/>
      <c r="F177" s="42" t="s">
        <v>514</v>
      </c>
      <c r="G177" s="30" t="str">
        <f t="shared" si="2"/>
        <v/>
      </c>
      <c r="H177" s="34"/>
      <c r="I177" s="30"/>
      <c r="J177" s="148">
        <v>300</v>
      </c>
      <c r="K177" s="222" t="s">
        <v>8074</v>
      </c>
    </row>
    <row r="178" spans="1:11" ht="15.75" hidden="1" thickBot="1" x14ac:dyDescent="0.3">
      <c r="A178" s="203"/>
      <c r="B178" s="205"/>
      <c r="C178" s="35" t="s">
        <v>50</v>
      </c>
      <c r="D178" s="35" t="s">
        <v>12</v>
      </c>
      <c r="E178" s="36">
        <f>ROUND(1/6,4)</f>
        <v>0.16669999999999999</v>
      </c>
      <c r="F178" s="30">
        <v>19.474999999999998</v>
      </c>
      <c r="G178" s="33">
        <f t="shared" si="2"/>
        <v>3.2464824999999995</v>
      </c>
      <c r="H178" s="38">
        <f>SUM(G178:G178)</f>
        <v>3.2464824999999995</v>
      </c>
      <c r="I178" s="39"/>
      <c r="J178" s="148">
        <v>300</v>
      </c>
      <c r="K178" s="222" t="s">
        <v>8074</v>
      </c>
    </row>
    <row r="179" spans="1:11" ht="15.75" hidden="1" thickBot="1" x14ac:dyDescent="0.3">
      <c r="A179" s="209"/>
      <c r="B179" s="206"/>
      <c r="C179" s="35"/>
      <c r="D179" s="35"/>
      <c r="E179" s="36"/>
      <c r="F179" s="30" t="s">
        <v>514</v>
      </c>
      <c r="G179" s="30" t="str">
        <f t="shared" si="2"/>
        <v/>
      </c>
      <c r="H179" s="34"/>
      <c r="I179" s="30"/>
      <c r="J179" s="148">
        <v>300</v>
      </c>
      <c r="K179" s="222" t="s">
        <v>8074</v>
      </c>
    </row>
    <row r="180" spans="1:11" ht="15.75" hidden="1" thickBot="1" x14ac:dyDescent="0.3">
      <c r="A180" s="202" t="s">
        <v>70</v>
      </c>
      <c r="B180" s="204" t="str">
        <f>INDEX(Orçamentária!A:B,MATCH(Composições!A180,Orçamentária!A:A,0),2)</f>
        <v>Remoção de pintura ou textura</v>
      </c>
      <c r="C180" s="40"/>
      <c r="D180" s="25" t="str">
        <f>TRIM(INDEX(Orçamentária!C:C,MATCH(Composições!A180,Orçamentária!A:A,0),1))</f>
        <v>m2</v>
      </c>
      <c r="E180" s="26"/>
      <c r="F180" s="41" t="s">
        <v>514</v>
      </c>
      <c r="G180" s="27" t="str">
        <f t="shared" si="2"/>
        <v/>
      </c>
      <c r="H180" s="28"/>
      <c r="I180" s="29"/>
      <c r="J180" s="148">
        <v>2500</v>
      </c>
      <c r="K180" s="222" t="s">
        <v>8074</v>
      </c>
    </row>
    <row r="181" spans="1:11" ht="15.75" hidden="1" thickBot="1" x14ac:dyDescent="0.3">
      <c r="A181" s="203"/>
      <c r="B181" s="205"/>
      <c r="C181" s="31"/>
      <c r="D181" s="31"/>
      <c r="E181" s="32"/>
      <c r="F181" s="42" t="s">
        <v>514</v>
      </c>
      <c r="G181" s="30" t="str">
        <f t="shared" si="2"/>
        <v/>
      </c>
      <c r="H181" s="34"/>
      <c r="I181" s="30"/>
      <c r="J181" s="148">
        <v>2500</v>
      </c>
      <c r="K181" s="222" t="s">
        <v>8074</v>
      </c>
    </row>
    <row r="182" spans="1:11" ht="15.75" hidden="1" thickBot="1" x14ac:dyDescent="0.3">
      <c r="A182" s="203"/>
      <c r="B182" s="205"/>
      <c r="C182" s="35" t="s">
        <v>23</v>
      </c>
      <c r="D182" s="35" t="s">
        <v>12</v>
      </c>
      <c r="E182" s="36">
        <v>0.4</v>
      </c>
      <c r="F182" s="30">
        <v>18.420500000000001</v>
      </c>
      <c r="G182" s="33">
        <f t="shared" si="2"/>
        <v>7.3682000000000007</v>
      </c>
      <c r="H182" s="38">
        <f>SUM(G182:G182)</f>
        <v>7.3682000000000007</v>
      </c>
      <c r="I182" s="39"/>
      <c r="J182" s="148">
        <v>2500</v>
      </c>
      <c r="K182" s="222" t="s">
        <v>8074</v>
      </c>
    </row>
    <row r="183" spans="1:11" ht="15.75" hidden="1" thickBot="1" x14ac:dyDescent="0.3">
      <c r="A183" s="209"/>
      <c r="B183" s="206"/>
      <c r="C183" s="35"/>
      <c r="D183" s="35"/>
      <c r="E183" s="36"/>
      <c r="F183" s="30" t="s">
        <v>514</v>
      </c>
      <c r="G183" s="30" t="str">
        <f t="shared" si="2"/>
        <v/>
      </c>
      <c r="H183" s="34"/>
      <c r="I183" s="30"/>
      <c r="J183" s="148">
        <v>2500</v>
      </c>
      <c r="K183" s="222" t="s">
        <v>8074</v>
      </c>
    </row>
    <row r="184" spans="1:11" ht="15.75" hidden="1" thickBot="1" x14ac:dyDescent="0.3">
      <c r="A184" s="202" t="s">
        <v>71</v>
      </c>
      <c r="B184" s="204" t="str">
        <f>INDEX(Orçamentária!A:B,MATCH(Composições!A184,Orçamentária!A:A,0),2)</f>
        <v>Remoção de placas de forro</v>
      </c>
      <c r="C184" s="40"/>
      <c r="D184" s="25" t="str">
        <f>TRIM(INDEX(Orçamentária!C:C,MATCH(Composições!A184,Orçamentária!A:A,0),1))</f>
        <v>m2</v>
      </c>
      <c r="E184" s="26"/>
      <c r="F184" s="41" t="s">
        <v>514</v>
      </c>
      <c r="G184" s="27" t="str">
        <f t="shared" si="2"/>
        <v/>
      </c>
      <c r="H184" s="28"/>
      <c r="I184" s="29"/>
      <c r="J184" s="148">
        <v>400</v>
      </c>
      <c r="K184" s="222" t="s">
        <v>8074</v>
      </c>
    </row>
    <row r="185" spans="1:11" ht="15.75" hidden="1" thickBot="1" x14ac:dyDescent="0.3">
      <c r="A185" s="203"/>
      <c r="B185" s="205"/>
      <c r="C185" s="31"/>
      <c r="D185" s="31"/>
      <c r="E185" s="32"/>
      <c r="F185" s="42" t="s">
        <v>514</v>
      </c>
      <c r="G185" s="30" t="str">
        <f t="shared" si="2"/>
        <v/>
      </c>
      <c r="H185" s="34"/>
      <c r="I185" s="30"/>
      <c r="J185" s="148">
        <v>400</v>
      </c>
      <c r="K185" s="222" t="s">
        <v>8074</v>
      </c>
    </row>
    <row r="186" spans="1:11" ht="15.75" hidden="1" thickBot="1" x14ac:dyDescent="0.3">
      <c r="A186" s="203"/>
      <c r="B186" s="205"/>
      <c r="C186" s="35" t="s">
        <v>27</v>
      </c>
      <c r="D186" s="35" t="s">
        <v>12</v>
      </c>
      <c r="E186" s="36">
        <f>0.0258*3</f>
        <v>7.7399999999999997E-2</v>
      </c>
      <c r="F186" s="30">
        <v>18.933499999999999</v>
      </c>
      <c r="G186" s="33">
        <f t="shared" si="2"/>
        <v>1.4654528999999998</v>
      </c>
      <c r="H186" s="38">
        <f>SUM(G186:G187)</f>
        <v>4.2672109499999999</v>
      </c>
      <c r="I186" s="39"/>
      <c r="J186" s="148">
        <v>400</v>
      </c>
      <c r="K186" s="222" t="s">
        <v>8074</v>
      </c>
    </row>
    <row r="187" spans="1:11" ht="15.75" hidden="1" thickBot="1" x14ac:dyDescent="0.3">
      <c r="A187" s="203"/>
      <c r="B187" s="205"/>
      <c r="C187" s="35" t="s">
        <v>23</v>
      </c>
      <c r="D187" s="35" t="s">
        <v>12</v>
      </c>
      <c r="E187" s="36">
        <f>0.0507*3</f>
        <v>0.15210000000000001</v>
      </c>
      <c r="F187" s="30">
        <v>18.420500000000001</v>
      </c>
      <c r="G187" s="33">
        <f t="shared" si="2"/>
        <v>2.8017580500000001</v>
      </c>
      <c r="H187" s="34"/>
      <c r="I187" s="30"/>
      <c r="J187" s="148">
        <v>400</v>
      </c>
      <c r="K187" s="222" t="s">
        <v>8074</v>
      </c>
    </row>
    <row r="188" spans="1:11" ht="15.75" hidden="1" thickBot="1" x14ac:dyDescent="0.3">
      <c r="A188" s="203"/>
      <c r="B188" s="205"/>
      <c r="C188" s="35"/>
      <c r="D188" s="35"/>
      <c r="E188" s="36"/>
      <c r="F188" s="30" t="s">
        <v>514</v>
      </c>
      <c r="G188" s="33" t="str">
        <f t="shared" si="2"/>
        <v/>
      </c>
      <c r="H188" s="34"/>
      <c r="I188" s="30"/>
      <c r="J188" s="148">
        <v>400</v>
      </c>
      <c r="K188" s="222" t="s">
        <v>8074</v>
      </c>
    </row>
    <row r="189" spans="1:11" ht="15.75" hidden="1" thickBot="1" x14ac:dyDescent="0.3">
      <c r="A189" s="203"/>
      <c r="B189" s="205"/>
      <c r="C189" s="47" t="s">
        <v>72</v>
      </c>
      <c r="D189" s="35"/>
      <c r="E189" s="36"/>
      <c r="F189" s="30" t="s">
        <v>514</v>
      </c>
      <c r="G189" s="33" t="str">
        <f t="shared" si="2"/>
        <v/>
      </c>
      <c r="H189" s="34"/>
      <c r="I189" s="30"/>
      <c r="J189" s="148">
        <v>400</v>
      </c>
      <c r="K189" s="222" t="s">
        <v>8074</v>
      </c>
    </row>
    <row r="190" spans="1:11" ht="15.75" hidden="1" thickBot="1" x14ac:dyDescent="0.3">
      <c r="A190" s="209"/>
      <c r="B190" s="206"/>
      <c r="C190" s="35"/>
      <c r="D190" s="35"/>
      <c r="E190" s="36"/>
      <c r="F190" s="30" t="s">
        <v>514</v>
      </c>
      <c r="G190" s="30" t="str">
        <f t="shared" si="2"/>
        <v/>
      </c>
      <c r="H190" s="34"/>
      <c r="I190" s="30"/>
      <c r="J190" s="148">
        <v>400</v>
      </c>
      <c r="K190" s="222" t="s">
        <v>8074</v>
      </c>
    </row>
    <row r="191" spans="1:11" ht="15.75" hidden="1" thickBot="1" x14ac:dyDescent="0.3">
      <c r="A191" s="202" t="s">
        <v>73</v>
      </c>
      <c r="B191" s="204" t="str">
        <f>INDEX(Orçamentária!A:B,MATCH(Composições!A191,Orçamentária!A:A,0),2)</f>
        <v>Remoção de quadros de elétricos ou de telecomunicações</v>
      </c>
      <c r="C191" s="40"/>
      <c r="D191" s="25" t="str">
        <f>TRIM(INDEX(Orçamentária!C:C,MATCH(Composições!A191,Orçamentária!A:A,0),1))</f>
        <v>un</v>
      </c>
      <c r="E191" s="26"/>
      <c r="F191" s="41" t="s">
        <v>514</v>
      </c>
      <c r="G191" s="27" t="str">
        <f t="shared" si="2"/>
        <v/>
      </c>
      <c r="H191" s="28"/>
      <c r="I191" s="29"/>
      <c r="J191" s="148">
        <v>25</v>
      </c>
      <c r="K191" s="222" t="s">
        <v>8074</v>
      </c>
    </row>
    <row r="192" spans="1:11" ht="15.75" hidden="1" thickBot="1" x14ac:dyDescent="0.3">
      <c r="A192" s="203"/>
      <c r="B192" s="205"/>
      <c r="C192" s="31"/>
      <c r="D192" s="31"/>
      <c r="E192" s="32"/>
      <c r="F192" s="42" t="s">
        <v>514</v>
      </c>
      <c r="G192" s="30" t="str">
        <f t="shared" si="2"/>
        <v/>
      </c>
      <c r="H192" s="34"/>
      <c r="I192" s="30"/>
      <c r="J192" s="148">
        <v>25</v>
      </c>
      <c r="K192" s="222" t="s">
        <v>8074</v>
      </c>
    </row>
    <row r="193" spans="1:11" ht="15.75" hidden="1" thickBot="1" x14ac:dyDescent="0.3">
      <c r="A193" s="203"/>
      <c r="B193" s="205"/>
      <c r="C193" s="35" t="s">
        <v>74</v>
      </c>
      <c r="D193" s="35" t="s">
        <v>12</v>
      </c>
      <c r="E193" s="36">
        <v>0.5</v>
      </c>
      <c r="F193" s="30">
        <v>19.4085</v>
      </c>
      <c r="G193" s="33">
        <f t="shared" si="2"/>
        <v>9.70425</v>
      </c>
      <c r="H193" s="38">
        <f>SUM(G193:G196)</f>
        <v>65.587999999999994</v>
      </c>
      <c r="I193" s="39"/>
      <c r="J193" s="148">
        <v>25</v>
      </c>
      <c r="K193" s="222" t="s">
        <v>8074</v>
      </c>
    </row>
    <row r="194" spans="1:11" ht="15.75" hidden="1" thickBot="1" x14ac:dyDescent="0.3">
      <c r="A194" s="203"/>
      <c r="B194" s="205"/>
      <c r="C194" s="35" t="s">
        <v>30</v>
      </c>
      <c r="D194" s="35" t="s">
        <v>12</v>
      </c>
      <c r="E194" s="36">
        <v>0.5</v>
      </c>
      <c r="F194" s="30">
        <v>25.146499999999996</v>
      </c>
      <c r="G194" s="33">
        <f t="shared" si="2"/>
        <v>12.573249999999998</v>
      </c>
      <c r="H194" s="34"/>
      <c r="I194" s="30"/>
      <c r="J194" s="148">
        <v>25</v>
      </c>
      <c r="K194" s="222" t="s">
        <v>8074</v>
      </c>
    </row>
    <row r="195" spans="1:11" ht="15.75" hidden="1" thickBot="1" x14ac:dyDescent="0.3">
      <c r="A195" s="203"/>
      <c r="B195" s="205"/>
      <c r="C195" s="35" t="s">
        <v>22</v>
      </c>
      <c r="D195" s="35" t="s">
        <v>12</v>
      </c>
      <c r="E195" s="36">
        <v>1</v>
      </c>
      <c r="F195" s="30">
        <v>24.889999999999997</v>
      </c>
      <c r="G195" s="33">
        <f t="shared" si="2"/>
        <v>24.889999999999997</v>
      </c>
      <c r="H195" s="34"/>
      <c r="I195" s="30"/>
      <c r="J195" s="148">
        <v>25</v>
      </c>
      <c r="K195" s="222" t="s">
        <v>8074</v>
      </c>
    </row>
    <row r="196" spans="1:11" ht="15.75" hidden="1" thickBot="1" x14ac:dyDescent="0.3">
      <c r="A196" s="203"/>
      <c r="B196" s="205"/>
      <c r="C196" s="35" t="s">
        <v>23</v>
      </c>
      <c r="D196" s="35" t="s">
        <v>12</v>
      </c>
      <c r="E196" s="36">
        <v>1</v>
      </c>
      <c r="F196" s="30">
        <v>18.420500000000001</v>
      </c>
      <c r="G196" s="33">
        <f t="shared" si="2"/>
        <v>18.420500000000001</v>
      </c>
      <c r="H196" s="34"/>
      <c r="I196" s="30"/>
      <c r="J196" s="148">
        <v>25</v>
      </c>
      <c r="K196" s="222" t="s">
        <v>8074</v>
      </c>
    </row>
    <row r="197" spans="1:11" ht="15.75" hidden="1" thickBot="1" x14ac:dyDescent="0.3">
      <c r="A197" s="209"/>
      <c r="B197" s="206"/>
      <c r="C197" s="35"/>
      <c r="D197" s="35"/>
      <c r="E197" s="36"/>
      <c r="F197" s="30" t="s">
        <v>514</v>
      </c>
      <c r="G197" s="30" t="str">
        <f t="shared" si="2"/>
        <v/>
      </c>
      <c r="H197" s="34"/>
      <c r="I197" s="30"/>
      <c r="J197" s="148">
        <v>25</v>
      </c>
      <c r="K197" s="222" t="s">
        <v>8074</v>
      </c>
    </row>
    <row r="198" spans="1:11" ht="15.75" hidden="1" thickBot="1" x14ac:dyDescent="0.3">
      <c r="A198" s="202" t="s">
        <v>75</v>
      </c>
      <c r="B198" s="204" t="str">
        <f>INDEX(Orçamentária!A:B,MATCH(Composições!A198,Orçamentária!A:A,0),2)</f>
        <v>Remoção de revestimento acústico</v>
      </c>
      <c r="C198" s="40"/>
      <c r="D198" s="25" t="str">
        <f>TRIM(INDEX(Orçamentária!C:C,MATCH(Composições!A198,Orçamentária!A:A,0),1))</f>
        <v>m2</v>
      </c>
      <c r="E198" s="26"/>
      <c r="F198" s="41" t="s">
        <v>514</v>
      </c>
      <c r="G198" s="27" t="str">
        <f t="shared" ref="G198:G261" si="3">IF(ISNUMBER(F198),E198*F198,"")</f>
        <v/>
      </c>
      <c r="H198" s="28"/>
      <c r="I198" s="29"/>
      <c r="J198" s="148">
        <v>270</v>
      </c>
      <c r="K198" s="222" t="s">
        <v>8074</v>
      </c>
    </row>
    <row r="199" spans="1:11" ht="15.75" hidden="1" thickBot="1" x14ac:dyDescent="0.3">
      <c r="A199" s="203"/>
      <c r="B199" s="205"/>
      <c r="C199" s="31"/>
      <c r="D199" s="31"/>
      <c r="E199" s="32"/>
      <c r="F199" s="42" t="s">
        <v>514</v>
      </c>
      <c r="G199" s="30" t="str">
        <f t="shared" si="3"/>
        <v/>
      </c>
      <c r="H199" s="34"/>
      <c r="I199" s="30"/>
      <c r="J199" s="148">
        <v>270</v>
      </c>
      <c r="K199" s="222" t="s">
        <v>8074</v>
      </c>
    </row>
    <row r="200" spans="1:11" ht="15.75" hidden="1" thickBot="1" x14ac:dyDescent="0.3">
      <c r="A200" s="203"/>
      <c r="B200" s="205"/>
      <c r="C200" s="35" t="s">
        <v>23</v>
      </c>
      <c r="D200" s="35" t="s">
        <v>12</v>
      </c>
      <c r="E200" s="36">
        <v>0.2</v>
      </c>
      <c r="F200" s="30">
        <v>18.420500000000001</v>
      </c>
      <c r="G200" s="33">
        <f t="shared" si="3"/>
        <v>3.6841000000000004</v>
      </c>
      <c r="H200" s="38">
        <f>SUM(G200:G200)</f>
        <v>3.6841000000000004</v>
      </c>
      <c r="I200" s="39"/>
      <c r="J200" s="148">
        <v>270</v>
      </c>
      <c r="K200" s="222" t="s">
        <v>8074</v>
      </c>
    </row>
    <row r="201" spans="1:11" ht="15.75" hidden="1" thickBot="1" x14ac:dyDescent="0.3">
      <c r="A201" s="209"/>
      <c r="B201" s="206"/>
      <c r="C201" s="35"/>
      <c r="D201" s="35"/>
      <c r="E201" s="36"/>
      <c r="F201" s="30" t="s">
        <v>514</v>
      </c>
      <c r="G201" s="30" t="str">
        <f t="shared" si="3"/>
        <v/>
      </c>
      <c r="H201" s="34"/>
      <c r="I201" s="30"/>
      <c r="J201" s="148">
        <v>270</v>
      </c>
      <c r="K201" s="222" t="s">
        <v>8074</v>
      </c>
    </row>
    <row r="202" spans="1:11" ht="15.75" hidden="1" thickBot="1" x14ac:dyDescent="0.3">
      <c r="A202" s="202" t="s">
        <v>76</v>
      </c>
      <c r="B202" s="204" t="str">
        <f>INDEX(Orçamentária!A:B,MATCH(Composições!A202,Orçamentária!A:A,0),2)</f>
        <v>Remoção de rodapé/rodabanca de mármore ou granito</v>
      </c>
      <c r="C202" s="40"/>
      <c r="D202" s="25" t="str">
        <f>TRIM(INDEX(Orçamentária!C:C,MATCH(Composições!A202,Orçamentária!A:A,0),1))</f>
        <v>m</v>
      </c>
      <c r="E202" s="26"/>
      <c r="F202" s="41" t="s">
        <v>514</v>
      </c>
      <c r="G202" s="27" t="str">
        <f t="shared" si="3"/>
        <v/>
      </c>
      <c r="H202" s="28"/>
      <c r="I202" s="29"/>
      <c r="J202" s="148">
        <v>350</v>
      </c>
      <c r="K202" s="222" t="s">
        <v>8074</v>
      </c>
    </row>
    <row r="203" spans="1:11" ht="15.75" hidden="1" thickBot="1" x14ac:dyDescent="0.3">
      <c r="A203" s="203"/>
      <c r="B203" s="205"/>
      <c r="C203" s="31"/>
      <c r="D203" s="31"/>
      <c r="E203" s="32"/>
      <c r="F203" s="42" t="s">
        <v>514</v>
      </c>
      <c r="G203" s="30" t="str">
        <f t="shared" si="3"/>
        <v/>
      </c>
      <c r="H203" s="34"/>
      <c r="I203" s="30"/>
      <c r="J203" s="148">
        <v>350</v>
      </c>
      <c r="K203" s="222" t="s">
        <v>8074</v>
      </c>
    </row>
    <row r="204" spans="1:11" ht="15.75" hidden="1" thickBot="1" x14ac:dyDescent="0.3">
      <c r="A204" s="203"/>
      <c r="B204" s="205"/>
      <c r="C204" s="35" t="s">
        <v>23</v>
      </c>
      <c r="D204" s="35" t="s">
        <v>12</v>
      </c>
      <c r="E204" s="36">
        <f>0.437*0.2</f>
        <v>8.7400000000000005E-2</v>
      </c>
      <c r="F204" s="30">
        <v>18.420500000000001</v>
      </c>
      <c r="G204" s="33">
        <f t="shared" si="3"/>
        <v>1.6099517000000001</v>
      </c>
      <c r="H204" s="38">
        <f>SUM(G204:G204)</f>
        <v>1.6099517000000001</v>
      </c>
      <c r="I204" s="39"/>
      <c r="J204" s="148">
        <v>350</v>
      </c>
      <c r="K204" s="222" t="s">
        <v>8074</v>
      </c>
    </row>
    <row r="205" spans="1:11" ht="15.75" hidden="1" thickBot="1" x14ac:dyDescent="0.3">
      <c r="A205" s="203"/>
      <c r="B205" s="205"/>
      <c r="C205" s="35"/>
      <c r="D205" s="35"/>
      <c r="E205" s="36"/>
      <c r="F205" s="30" t="s">
        <v>514</v>
      </c>
      <c r="G205" s="33" t="str">
        <f t="shared" si="3"/>
        <v/>
      </c>
      <c r="H205" s="34"/>
      <c r="I205" s="30"/>
      <c r="J205" s="148">
        <v>350</v>
      </c>
      <c r="K205" s="222" t="s">
        <v>8074</v>
      </c>
    </row>
    <row r="206" spans="1:11" ht="15.75" hidden="1" thickBot="1" x14ac:dyDescent="0.3">
      <c r="A206" s="202" t="s">
        <v>77</v>
      </c>
      <c r="B206" s="204" t="str">
        <f>INDEX(Orçamentária!A:B,MATCH(Composições!A206,Orçamentária!A:A,0),2)</f>
        <v>Remoção de rodapés de madeira</v>
      </c>
      <c r="C206" s="40"/>
      <c r="D206" s="25" t="str">
        <f>TRIM(INDEX(Orçamentária!C:C,MATCH(Composições!A206,Orçamentária!A:A,0),1))</f>
        <v>m2</v>
      </c>
      <c r="E206" s="26"/>
      <c r="F206" s="41" t="s">
        <v>514</v>
      </c>
      <c r="G206" s="27" t="str">
        <f t="shared" si="3"/>
        <v/>
      </c>
      <c r="H206" s="28"/>
      <c r="I206" s="29"/>
      <c r="J206" s="148">
        <v>10</v>
      </c>
      <c r="K206" s="222" t="s">
        <v>8074</v>
      </c>
    </row>
    <row r="207" spans="1:11" ht="15.75" hidden="1" thickBot="1" x14ac:dyDescent="0.3">
      <c r="A207" s="203"/>
      <c r="B207" s="205"/>
      <c r="C207" s="31"/>
      <c r="D207" s="31"/>
      <c r="E207" s="32"/>
      <c r="F207" s="42" t="s">
        <v>514</v>
      </c>
      <c r="G207" s="30" t="str">
        <f t="shared" si="3"/>
        <v/>
      </c>
      <c r="H207" s="34"/>
      <c r="I207" s="30"/>
      <c r="J207" s="148">
        <v>10</v>
      </c>
      <c r="K207" s="222" t="s">
        <v>8074</v>
      </c>
    </row>
    <row r="208" spans="1:11" ht="15.75" hidden="1" thickBot="1" x14ac:dyDescent="0.3">
      <c r="A208" s="203"/>
      <c r="B208" s="205"/>
      <c r="C208" s="35" t="s">
        <v>78</v>
      </c>
      <c r="D208" s="35" t="s">
        <v>12</v>
      </c>
      <c r="E208" s="36">
        <v>0.25</v>
      </c>
      <c r="F208" s="30">
        <v>24.633499999999998</v>
      </c>
      <c r="G208" s="30">
        <f t="shared" si="3"/>
        <v>6.1583749999999995</v>
      </c>
      <c r="H208" s="38">
        <f>SUM(G208:G209)</f>
        <v>6.6188874999999996</v>
      </c>
      <c r="I208" s="39"/>
      <c r="J208" s="148">
        <v>10</v>
      </c>
      <c r="K208" s="222" t="s">
        <v>8074</v>
      </c>
    </row>
    <row r="209" spans="1:11" ht="15.75" hidden="1" thickBot="1" x14ac:dyDescent="0.3">
      <c r="A209" s="203"/>
      <c r="B209" s="205"/>
      <c r="C209" s="35" t="s">
        <v>23</v>
      </c>
      <c r="D209" s="46" t="s">
        <v>12</v>
      </c>
      <c r="E209" s="36">
        <v>2.5000000000000001E-2</v>
      </c>
      <c r="F209" s="30">
        <v>18.420500000000001</v>
      </c>
      <c r="G209" s="33">
        <f t="shared" si="3"/>
        <v>0.46051250000000005</v>
      </c>
      <c r="H209" s="34"/>
      <c r="I209" s="30"/>
      <c r="J209" s="148">
        <v>10</v>
      </c>
      <c r="K209" s="222" t="s">
        <v>8074</v>
      </c>
    </row>
    <row r="210" spans="1:11" ht="15.75" hidden="1" thickBot="1" x14ac:dyDescent="0.3">
      <c r="A210" s="209"/>
      <c r="B210" s="206"/>
      <c r="C210" s="35"/>
      <c r="D210" s="35"/>
      <c r="E210" s="36"/>
      <c r="F210" s="30" t="s">
        <v>514</v>
      </c>
      <c r="G210" s="30" t="str">
        <f t="shared" si="3"/>
        <v/>
      </c>
      <c r="H210" s="34"/>
      <c r="I210" s="30"/>
      <c r="J210" s="148">
        <v>10</v>
      </c>
      <c r="K210" s="222" t="s">
        <v>8074</v>
      </c>
    </row>
    <row r="211" spans="1:11" ht="15.75" hidden="1" thickBot="1" x14ac:dyDescent="0.3">
      <c r="A211" s="202" t="s">
        <v>79</v>
      </c>
      <c r="B211" s="204" t="str">
        <f>INDEX(Orçamentária!A:B,MATCH(Composições!A211,Orçamentária!A:A,0),2)</f>
        <v>Remoção de soleira de mármore ou granito</v>
      </c>
      <c r="C211" s="40"/>
      <c r="D211" s="25" t="str">
        <f>TRIM(INDEX(Orçamentária!C:C,MATCH(Composições!A211,Orçamentária!A:A,0),1))</f>
        <v>m</v>
      </c>
      <c r="E211" s="26"/>
      <c r="F211" s="41" t="s">
        <v>514</v>
      </c>
      <c r="G211" s="27" t="str">
        <f t="shared" si="3"/>
        <v/>
      </c>
      <c r="H211" s="28"/>
      <c r="I211" s="29"/>
      <c r="J211" s="148">
        <v>20</v>
      </c>
      <c r="K211" s="222" t="s">
        <v>8074</v>
      </c>
    </row>
    <row r="212" spans="1:11" ht="15.75" hidden="1" thickBot="1" x14ac:dyDescent="0.3">
      <c r="A212" s="203"/>
      <c r="B212" s="205"/>
      <c r="C212" s="31"/>
      <c r="D212" s="31"/>
      <c r="E212" s="32"/>
      <c r="F212" s="42" t="s">
        <v>514</v>
      </c>
      <c r="G212" s="30" t="str">
        <f t="shared" si="3"/>
        <v/>
      </c>
      <c r="H212" s="34"/>
      <c r="I212" s="30"/>
      <c r="J212" s="148">
        <v>20</v>
      </c>
      <c r="K212" s="222" t="s">
        <v>8074</v>
      </c>
    </row>
    <row r="213" spans="1:11" ht="15.75" hidden="1" thickBot="1" x14ac:dyDescent="0.3">
      <c r="A213" s="203"/>
      <c r="B213" s="205"/>
      <c r="C213" s="35" t="s">
        <v>23</v>
      </c>
      <c r="D213" s="35" t="s">
        <v>12</v>
      </c>
      <c r="E213" s="36">
        <v>0.55000000000000004</v>
      </c>
      <c r="F213" s="30">
        <v>18.420500000000001</v>
      </c>
      <c r="G213" s="33">
        <f t="shared" si="3"/>
        <v>10.131275</v>
      </c>
      <c r="H213" s="38">
        <f>SUM(G213:G213)</f>
        <v>10.131275</v>
      </c>
      <c r="I213" s="39"/>
      <c r="J213" s="148">
        <v>20</v>
      </c>
      <c r="K213" s="222" t="s">
        <v>8074</v>
      </c>
    </row>
    <row r="214" spans="1:11" ht="15.75" hidden="1" thickBot="1" x14ac:dyDescent="0.3">
      <c r="A214" s="209"/>
      <c r="B214" s="206"/>
      <c r="C214" s="35"/>
      <c r="D214" s="35"/>
      <c r="E214" s="36"/>
      <c r="F214" s="30" t="s">
        <v>514</v>
      </c>
      <c r="G214" s="30" t="str">
        <f t="shared" si="3"/>
        <v/>
      </c>
      <c r="H214" s="34"/>
      <c r="I214" s="30"/>
      <c r="J214" s="148">
        <v>20</v>
      </c>
      <c r="K214" s="222" t="s">
        <v>8074</v>
      </c>
    </row>
    <row r="215" spans="1:11" ht="15.75" hidden="1" thickBot="1" x14ac:dyDescent="0.3">
      <c r="A215" s="202" t="s">
        <v>80</v>
      </c>
      <c r="B215" s="204" t="str">
        <f>INDEX(Orçamentária!A:B,MATCH(Composições!A215,Orçamentária!A:A,0),2)</f>
        <v>Remoção de split/fancolete/ACJ (equipamento unitário)</v>
      </c>
      <c r="C215" s="40"/>
      <c r="D215" s="25" t="str">
        <f>TRIM(INDEX(Orçamentária!C:C,MATCH(Composições!A215,Orçamentária!A:A,0),1))</f>
        <v>un</v>
      </c>
      <c r="E215" s="26"/>
      <c r="F215" s="41" t="s">
        <v>514</v>
      </c>
      <c r="G215" s="27" t="str">
        <f t="shared" si="3"/>
        <v/>
      </c>
      <c r="H215" s="28"/>
      <c r="I215" s="29"/>
      <c r="J215" s="148">
        <v>120</v>
      </c>
      <c r="K215" s="222" t="s">
        <v>8074</v>
      </c>
    </row>
    <row r="216" spans="1:11" ht="15.75" hidden="1" thickBot="1" x14ac:dyDescent="0.3">
      <c r="A216" s="203"/>
      <c r="B216" s="205"/>
      <c r="C216" s="31"/>
      <c r="D216" s="31"/>
      <c r="E216" s="32"/>
      <c r="F216" s="42" t="s">
        <v>514</v>
      </c>
      <c r="G216" s="30" t="str">
        <f t="shared" si="3"/>
        <v/>
      </c>
      <c r="H216" s="34"/>
      <c r="I216" s="30"/>
      <c r="J216" s="148">
        <v>120</v>
      </c>
      <c r="K216" s="222" t="s">
        <v>8074</v>
      </c>
    </row>
    <row r="217" spans="1:11" ht="15.75" hidden="1" thickBot="1" x14ac:dyDescent="0.3">
      <c r="A217" s="203"/>
      <c r="B217" s="205"/>
      <c r="C217" s="35" t="s">
        <v>81</v>
      </c>
      <c r="D217" s="46" t="s">
        <v>12</v>
      </c>
      <c r="E217" s="36">
        <v>1</v>
      </c>
      <c r="F217" s="30">
        <v>26.419499999999999</v>
      </c>
      <c r="G217" s="30">
        <f t="shared" si="3"/>
        <v>26.419499999999999</v>
      </c>
      <c r="H217" s="38">
        <f>SUM(G217:G218)</f>
        <v>47.604500000000002</v>
      </c>
      <c r="I217" s="39"/>
      <c r="J217" s="148">
        <v>120</v>
      </c>
      <c r="K217" s="222" t="s">
        <v>8074</v>
      </c>
    </row>
    <row r="218" spans="1:11" ht="15.75" hidden="1" thickBot="1" x14ac:dyDescent="0.3">
      <c r="A218" s="203"/>
      <c r="B218" s="205"/>
      <c r="C218" s="35" t="s">
        <v>52</v>
      </c>
      <c r="D218" s="46" t="s">
        <v>12</v>
      </c>
      <c r="E218" s="36">
        <v>1</v>
      </c>
      <c r="F218" s="30">
        <v>21.184999999999999</v>
      </c>
      <c r="G218" s="33">
        <f t="shared" si="3"/>
        <v>21.184999999999999</v>
      </c>
      <c r="H218" s="34"/>
      <c r="I218" s="30"/>
      <c r="J218" s="148">
        <v>120</v>
      </c>
      <c r="K218" s="222" t="s">
        <v>8074</v>
      </c>
    </row>
    <row r="219" spans="1:11" ht="15.75" hidden="1" thickBot="1" x14ac:dyDescent="0.3">
      <c r="A219" s="209"/>
      <c r="B219" s="206"/>
      <c r="C219" s="35"/>
      <c r="D219" s="35"/>
      <c r="E219" s="36"/>
      <c r="F219" s="30" t="s">
        <v>514</v>
      </c>
      <c r="G219" s="30" t="str">
        <f t="shared" si="3"/>
        <v/>
      </c>
      <c r="H219" s="34"/>
      <c r="I219" s="30"/>
      <c r="J219" s="148">
        <v>120</v>
      </c>
      <c r="K219" s="222" t="s">
        <v>8074</v>
      </c>
    </row>
    <row r="220" spans="1:11" ht="15.75" hidden="1" thickBot="1" x14ac:dyDescent="0.3">
      <c r="A220" s="202" t="s">
        <v>82</v>
      </c>
      <c r="B220" s="204" t="str">
        <f>INDEX(Orçamentária!A:B,MATCH(Composições!A220,Orçamentária!A:A,0),2)</f>
        <v>Remoção de vidro comum / espelho</v>
      </c>
      <c r="C220" s="40"/>
      <c r="D220" s="25" t="str">
        <f>TRIM(INDEX(Orçamentária!C:C,MATCH(Composições!A220,Orçamentária!A:A,0),1))</f>
        <v>m2</v>
      </c>
      <c r="E220" s="26"/>
      <c r="F220" s="41" t="s">
        <v>514</v>
      </c>
      <c r="G220" s="27" t="str">
        <f t="shared" si="3"/>
        <v/>
      </c>
      <c r="H220" s="28"/>
      <c r="I220" s="29"/>
      <c r="J220" s="148">
        <v>60</v>
      </c>
      <c r="K220" s="222" t="s">
        <v>8074</v>
      </c>
    </row>
    <row r="221" spans="1:11" ht="15.75" hidden="1" thickBot="1" x14ac:dyDescent="0.3">
      <c r="A221" s="203"/>
      <c r="B221" s="205"/>
      <c r="C221" s="31"/>
      <c r="D221" s="31"/>
      <c r="E221" s="32"/>
      <c r="F221" s="42" t="s">
        <v>514</v>
      </c>
      <c r="G221" s="30" t="str">
        <f t="shared" si="3"/>
        <v/>
      </c>
      <c r="H221" s="34"/>
      <c r="I221" s="30"/>
      <c r="J221" s="148">
        <v>60</v>
      </c>
      <c r="K221" s="222" t="s">
        <v>8074</v>
      </c>
    </row>
    <row r="222" spans="1:11" ht="15.75" hidden="1" thickBot="1" x14ac:dyDescent="0.3">
      <c r="A222" s="203"/>
      <c r="B222" s="205"/>
      <c r="C222" s="35" t="s">
        <v>23</v>
      </c>
      <c r="D222" s="35" t="s">
        <v>12</v>
      </c>
      <c r="E222" s="36">
        <v>0.39</v>
      </c>
      <c r="F222" s="30">
        <v>18.420500000000001</v>
      </c>
      <c r="G222" s="33">
        <f t="shared" si="3"/>
        <v>7.1839950000000004</v>
      </c>
      <c r="H222" s="38">
        <f>SUM(G222:G223)</f>
        <v>16.3915565</v>
      </c>
      <c r="I222" s="39"/>
      <c r="J222" s="148">
        <v>60</v>
      </c>
      <c r="K222" s="222" t="s">
        <v>8074</v>
      </c>
    </row>
    <row r="223" spans="1:11" ht="15.75" hidden="1" thickBot="1" x14ac:dyDescent="0.3">
      <c r="A223" s="203"/>
      <c r="B223" s="205"/>
      <c r="C223" s="35" t="s">
        <v>68</v>
      </c>
      <c r="D223" s="35" t="s">
        <v>12</v>
      </c>
      <c r="E223" s="36">
        <v>0.40100000000000002</v>
      </c>
      <c r="F223" s="30">
        <v>22.961500000000001</v>
      </c>
      <c r="G223" s="33">
        <f t="shared" si="3"/>
        <v>9.2075615000000006</v>
      </c>
      <c r="H223" s="34"/>
      <c r="I223" s="30"/>
      <c r="J223" s="148">
        <v>60</v>
      </c>
      <c r="K223" s="222" t="s">
        <v>8074</v>
      </c>
    </row>
    <row r="224" spans="1:11" ht="15.75" hidden="1" thickBot="1" x14ac:dyDescent="0.3">
      <c r="A224" s="209"/>
      <c r="B224" s="206"/>
      <c r="C224" s="35"/>
      <c r="D224" s="35"/>
      <c r="E224" s="36"/>
      <c r="F224" s="30" t="s">
        <v>514</v>
      </c>
      <c r="G224" s="30" t="str">
        <f t="shared" si="3"/>
        <v/>
      </c>
      <c r="H224" s="34"/>
      <c r="I224" s="30"/>
      <c r="J224" s="148">
        <v>60</v>
      </c>
      <c r="K224" s="222" t="s">
        <v>8074</v>
      </c>
    </row>
    <row r="225" spans="1:11" ht="15.75" hidden="1" thickBot="1" x14ac:dyDescent="0.3">
      <c r="A225" s="213" t="s">
        <v>83</v>
      </c>
      <c r="B225" s="204" t="str">
        <f>INDEX(Orçamentária!A:B,MATCH(Composições!A225,Orçamentária!A:A,0),2)</f>
        <v>Retirada de entulhos</v>
      </c>
      <c r="C225" s="40"/>
      <c r="D225" s="25" t="str">
        <f>TRIM(INDEX(Orçamentária!C:C,MATCH(Composições!A225,Orçamentária!A:A,0),1))</f>
        <v>m3</v>
      </c>
      <c r="E225" s="26"/>
      <c r="F225" s="41" t="s">
        <v>514</v>
      </c>
      <c r="G225" s="27" t="str">
        <f t="shared" si="3"/>
        <v/>
      </c>
      <c r="H225" s="28"/>
      <c r="I225" s="29"/>
      <c r="J225" s="148">
        <v>425</v>
      </c>
      <c r="K225" s="222" t="s">
        <v>8074</v>
      </c>
    </row>
    <row r="226" spans="1:11" ht="15.75" hidden="1" thickBot="1" x14ac:dyDescent="0.3">
      <c r="A226" s="214"/>
      <c r="B226" s="205"/>
      <c r="C226" s="31"/>
      <c r="D226" s="31"/>
      <c r="E226" s="32"/>
      <c r="F226" s="42" t="s">
        <v>514</v>
      </c>
      <c r="G226" s="30" t="str">
        <f t="shared" si="3"/>
        <v/>
      </c>
      <c r="H226" s="34"/>
      <c r="I226" s="30"/>
      <c r="J226" s="148">
        <v>425</v>
      </c>
      <c r="K226" s="222" t="s">
        <v>8074</v>
      </c>
    </row>
    <row r="227" spans="1:11" ht="15.75" hidden="1" thickBot="1" x14ac:dyDescent="0.3">
      <c r="A227" s="214"/>
      <c r="B227" s="205"/>
      <c r="C227" s="35" t="s">
        <v>23</v>
      </c>
      <c r="D227" s="35" t="s">
        <v>12</v>
      </c>
      <c r="E227" s="36">
        <v>1</v>
      </c>
      <c r="F227" s="30">
        <v>18.420500000000001</v>
      </c>
      <c r="G227" s="33">
        <f t="shared" si="3"/>
        <v>18.420500000000001</v>
      </c>
      <c r="H227" s="38">
        <f>SUM(G227:G227)</f>
        <v>18.420500000000001</v>
      </c>
      <c r="I227" s="39"/>
      <c r="J227" s="148">
        <v>425</v>
      </c>
      <c r="K227" s="222" t="s">
        <v>8074</v>
      </c>
    </row>
    <row r="228" spans="1:11" ht="15.75" hidden="1" thickBot="1" x14ac:dyDescent="0.3">
      <c r="A228" s="214"/>
      <c r="B228" s="205"/>
      <c r="C228" s="35"/>
      <c r="D228" s="35"/>
      <c r="E228" s="36"/>
      <c r="F228" s="30" t="s">
        <v>514</v>
      </c>
      <c r="G228" s="30" t="str">
        <f t="shared" si="3"/>
        <v/>
      </c>
      <c r="H228" s="34"/>
      <c r="I228" s="30"/>
      <c r="J228" s="148">
        <v>425</v>
      </c>
      <c r="K228" s="222" t="s">
        <v>8074</v>
      </c>
    </row>
    <row r="229" spans="1:11" ht="15.75" hidden="1" thickBot="1" x14ac:dyDescent="0.3">
      <c r="A229" s="213" t="s">
        <v>84</v>
      </c>
      <c r="B229" s="204" t="str">
        <f>INDEX(Orçamentária!A:B,MATCH(Composições!A229,Orçamentária!A:A,0),2)</f>
        <v>Andaime fachadeiro</v>
      </c>
      <c r="C229" s="40"/>
      <c r="D229" s="25" t="str">
        <f>TRIM(INDEX(Orçamentária!C:C,MATCH(Composições!A229,Orçamentária!A:A,0),1))</f>
        <v>m2 x mês</v>
      </c>
      <c r="E229" s="26"/>
      <c r="F229" s="41" t="s">
        <v>514</v>
      </c>
      <c r="G229" s="27" t="str">
        <f t="shared" si="3"/>
        <v/>
      </c>
      <c r="H229" s="28"/>
      <c r="I229" s="29"/>
      <c r="J229" s="148">
        <v>300</v>
      </c>
      <c r="K229" s="222" t="s">
        <v>8074</v>
      </c>
    </row>
    <row r="230" spans="1:11" ht="15.75" hidden="1" thickBot="1" x14ac:dyDescent="0.3">
      <c r="A230" s="214"/>
      <c r="B230" s="205"/>
      <c r="C230" s="31"/>
      <c r="D230" s="31"/>
      <c r="E230" s="32"/>
      <c r="F230" s="42" t="s">
        <v>514</v>
      </c>
      <c r="G230" s="30" t="str">
        <f t="shared" si="3"/>
        <v/>
      </c>
      <c r="H230" s="34"/>
      <c r="I230" s="30"/>
      <c r="J230" s="148">
        <v>300</v>
      </c>
      <c r="K230" s="222" t="s">
        <v>8074</v>
      </c>
    </row>
    <row r="231" spans="1:11" ht="51.75" hidden="1" thickBot="1" x14ac:dyDescent="0.3">
      <c r="A231" s="214"/>
      <c r="B231" s="205"/>
      <c r="C231" s="35" t="s">
        <v>8064</v>
      </c>
      <c r="D231" s="35" t="s">
        <v>85</v>
      </c>
      <c r="E231" s="36">
        <v>1</v>
      </c>
      <c r="F231" s="30">
        <v>6.327</v>
      </c>
      <c r="G231" s="33">
        <f t="shared" si="3"/>
        <v>6.327</v>
      </c>
      <c r="H231" s="38">
        <f>SUM(G231:G231)</f>
        <v>6.327</v>
      </c>
      <c r="I231" s="39"/>
      <c r="J231" s="148">
        <v>300</v>
      </c>
      <c r="K231" s="222" t="s">
        <v>8074</v>
      </c>
    </row>
    <row r="232" spans="1:11" ht="15.75" hidden="1" thickBot="1" x14ac:dyDescent="0.3">
      <c r="A232" s="214"/>
      <c r="B232" s="205"/>
      <c r="C232" s="35"/>
      <c r="D232" s="35"/>
      <c r="E232" s="36"/>
      <c r="F232" s="30" t="s">
        <v>514</v>
      </c>
      <c r="G232" s="30" t="str">
        <f t="shared" si="3"/>
        <v/>
      </c>
      <c r="H232" s="34"/>
      <c r="I232" s="30"/>
      <c r="J232" s="148">
        <v>300</v>
      </c>
      <c r="K232" s="222" t="s">
        <v>8074</v>
      </c>
    </row>
    <row r="233" spans="1:11" ht="15.75" hidden="1" thickBot="1" x14ac:dyDescent="0.3">
      <c r="A233" s="202" t="s">
        <v>86</v>
      </c>
      <c r="B233" s="204" t="str">
        <f>INDEX(Orçamentária!A:B,MATCH(Composições!A233,Orçamentária!A:A,0),2)</f>
        <v>Andaime tubular (aluguel/mês)</v>
      </c>
      <c r="C233" s="40"/>
      <c r="D233" s="25" t="str">
        <f>TRIM(INDEX(Orçamentária!C:C,MATCH(Composições!A233,Orçamentária!A:A,0),1))</f>
        <v>m x mês</v>
      </c>
      <c r="E233" s="26"/>
      <c r="F233" s="41" t="s">
        <v>514</v>
      </c>
      <c r="G233" s="27" t="str">
        <f t="shared" si="3"/>
        <v/>
      </c>
      <c r="H233" s="28"/>
      <c r="I233" s="29"/>
      <c r="J233" s="148">
        <v>55</v>
      </c>
      <c r="K233" s="222" t="s">
        <v>8074</v>
      </c>
    </row>
    <row r="234" spans="1:11" ht="15.75" hidden="1" thickBot="1" x14ac:dyDescent="0.3">
      <c r="A234" s="203"/>
      <c r="B234" s="205"/>
      <c r="C234" s="31"/>
      <c r="D234" s="31"/>
      <c r="E234" s="32"/>
      <c r="F234" s="42" t="s">
        <v>514</v>
      </c>
      <c r="G234" s="30" t="str">
        <f t="shared" si="3"/>
        <v/>
      </c>
      <c r="H234" s="34"/>
      <c r="I234" s="30"/>
      <c r="J234" s="148">
        <v>55</v>
      </c>
      <c r="K234" s="222" t="s">
        <v>8074</v>
      </c>
    </row>
    <row r="235" spans="1:11" ht="64.5" hidden="1" thickBot="1" x14ac:dyDescent="0.3">
      <c r="A235" s="203"/>
      <c r="B235" s="205"/>
      <c r="C235" s="35" t="s">
        <v>8065</v>
      </c>
      <c r="D235" s="46" t="s">
        <v>87</v>
      </c>
      <c r="E235" s="36">
        <v>1</v>
      </c>
      <c r="F235" s="30">
        <v>19</v>
      </c>
      <c r="G235" s="30">
        <f t="shared" si="3"/>
        <v>19</v>
      </c>
      <c r="H235" s="38">
        <f>SUM(G235:G235)</f>
        <v>19</v>
      </c>
      <c r="I235" s="39"/>
      <c r="J235" s="148">
        <v>55</v>
      </c>
      <c r="K235" s="222" t="s">
        <v>8074</v>
      </c>
    </row>
    <row r="236" spans="1:11" ht="15.75" hidden="1" thickBot="1" x14ac:dyDescent="0.3">
      <c r="A236" s="209"/>
      <c r="B236" s="206"/>
      <c r="C236" s="35"/>
      <c r="D236" s="35"/>
      <c r="E236" s="36"/>
      <c r="F236" s="30" t="s">
        <v>514</v>
      </c>
      <c r="G236" s="30" t="str">
        <f t="shared" si="3"/>
        <v/>
      </c>
      <c r="H236" s="34"/>
      <c r="I236" s="30"/>
      <c r="J236" s="148">
        <v>55</v>
      </c>
      <c r="K236" s="222" t="s">
        <v>8074</v>
      </c>
    </row>
    <row r="237" spans="1:11" ht="15.75" hidden="1" thickBot="1" x14ac:dyDescent="0.3">
      <c r="A237" s="213" t="s">
        <v>88</v>
      </c>
      <c r="B237" s="204" t="str">
        <f>INDEX(Orçamentária!A:B,MATCH(Composições!A237,Orçamentária!A:A,0),2)</f>
        <v>Corda de poliamida 12 mm tipo bombeiro, para trabalho em altura</v>
      </c>
      <c r="C237" s="40"/>
      <c r="D237" s="25" t="str">
        <f>TRIM(INDEX(Orçamentária!C:C,MATCH(Composições!A237,Orçamentária!A:A,0),1))</f>
        <v>m</v>
      </c>
      <c r="E237" s="26"/>
      <c r="F237" s="41" t="s">
        <v>514</v>
      </c>
      <c r="G237" s="27" t="str">
        <f t="shared" si="3"/>
        <v/>
      </c>
      <c r="H237" s="28"/>
      <c r="I237" s="29"/>
      <c r="J237" s="148">
        <v>65</v>
      </c>
      <c r="K237" s="222" t="s">
        <v>8074</v>
      </c>
    </row>
    <row r="238" spans="1:11" ht="15.75" hidden="1" thickBot="1" x14ac:dyDescent="0.3">
      <c r="A238" s="214"/>
      <c r="B238" s="205"/>
      <c r="C238" s="31"/>
      <c r="D238" s="31"/>
      <c r="E238" s="32"/>
      <c r="F238" s="42" t="s">
        <v>514</v>
      </c>
      <c r="G238" s="30" t="str">
        <f t="shared" si="3"/>
        <v/>
      </c>
      <c r="H238" s="34"/>
      <c r="I238" s="30"/>
      <c r="J238" s="148">
        <v>65</v>
      </c>
      <c r="K238" s="222" t="s">
        <v>8074</v>
      </c>
    </row>
    <row r="239" spans="1:11" ht="26.25" hidden="1" thickBot="1" x14ac:dyDescent="0.3">
      <c r="A239" s="214"/>
      <c r="B239" s="205"/>
      <c r="C239" s="35" t="s">
        <v>89</v>
      </c>
      <c r="D239" s="35" t="s">
        <v>90</v>
      </c>
      <c r="E239" s="36">
        <v>0.01</v>
      </c>
      <c r="F239" s="30">
        <v>606.60349999999994</v>
      </c>
      <c r="G239" s="33">
        <f t="shared" si="3"/>
        <v>6.0660349999999994</v>
      </c>
      <c r="H239" s="38">
        <f>SUM(G239:G239)</f>
        <v>6.0660349999999994</v>
      </c>
      <c r="I239" s="39"/>
      <c r="J239" s="148">
        <v>65</v>
      </c>
      <c r="K239" s="222" t="s">
        <v>8074</v>
      </c>
    </row>
    <row r="240" spans="1:11" ht="15.75" hidden="1" thickBot="1" x14ac:dyDescent="0.3">
      <c r="A240" s="214"/>
      <c r="B240" s="205"/>
      <c r="C240" s="35"/>
      <c r="D240" s="35"/>
      <c r="E240" s="36"/>
      <c r="F240" s="30" t="s">
        <v>514</v>
      </c>
      <c r="G240" s="30" t="str">
        <f t="shared" si="3"/>
        <v/>
      </c>
      <c r="H240" s="34"/>
      <c r="I240" s="30"/>
      <c r="J240" s="148">
        <v>65</v>
      </c>
      <c r="K240" s="222" t="s">
        <v>8074</v>
      </c>
    </row>
    <row r="241" spans="1:11" ht="15.75" hidden="1" thickBot="1" x14ac:dyDescent="0.3">
      <c r="A241" s="202" t="s">
        <v>91</v>
      </c>
      <c r="B241" s="204" t="str">
        <f>INDEX(Orçamentária!A:B,MATCH(Composições!A241,Orçamentária!A:A,0),2)</f>
        <v>Isolamento de obra com tela plástica com malha de 5mm e estrutura de madeira pontaleteada</v>
      </c>
      <c r="C241" s="40"/>
      <c r="D241" s="25" t="str">
        <f>TRIM(INDEX(Orçamentária!C:C,MATCH(Composições!A241,Orçamentária!A:A,0),1))</f>
        <v>m2</v>
      </c>
      <c r="E241" s="26"/>
      <c r="F241" s="48" t="s">
        <v>514</v>
      </c>
      <c r="G241" s="27" t="str">
        <f t="shared" si="3"/>
        <v/>
      </c>
      <c r="H241" s="28"/>
      <c r="I241" s="29"/>
      <c r="J241" s="148">
        <v>150</v>
      </c>
      <c r="K241" s="222" t="s">
        <v>8074</v>
      </c>
    </row>
    <row r="242" spans="1:11" ht="15.75" hidden="1" thickBot="1" x14ac:dyDescent="0.3">
      <c r="A242" s="203"/>
      <c r="B242" s="205"/>
      <c r="C242" s="31"/>
      <c r="D242" s="31"/>
      <c r="E242" s="32"/>
      <c r="F242" s="30" t="s">
        <v>514</v>
      </c>
      <c r="G242" s="30" t="str">
        <f t="shared" si="3"/>
        <v/>
      </c>
      <c r="H242" s="34"/>
      <c r="I242" s="30"/>
      <c r="J242" s="148">
        <v>150</v>
      </c>
      <c r="K242" s="222" t="s">
        <v>8074</v>
      </c>
    </row>
    <row r="243" spans="1:11" ht="15.75" hidden="1" thickBot="1" x14ac:dyDescent="0.3">
      <c r="A243" s="203"/>
      <c r="B243" s="205"/>
      <c r="C243" s="35" t="s">
        <v>23</v>
      </c>
      <c r="D243" s="35" t="s">
        <v>12</v>
      </c>
      <c r="E243" s="36">
        <v>0.15</v>
      </c>
      <c r="F243" s="30">
        <v>18.420500000000001</v>
      </c>
      <c r="G243" s="30">
        <f t="shared" si="3"/>
        <v>2.7630750000000002</v>
      </c>
      <c r="H243" s="38">
        <f>SUM(G243:G247)</f>
        <v>27.585625</v>
      </c>
      <c r="I243" s="39"/>
      <c r="J243" s="148">
        <v>150</v>
      </c>
      <c r="K243" s="222" t="s">
        <v>8074</v>
      </c>
    </row>
    <row r="244" spans="1:11" ht="15.75" hidden="1" thickBot="1" x14ac:dyDescent="0.3">
      <c r="A244" s="203"/>
      <c r="B244" s="205"/>
      <c r="C244" s="35" t="s">
        <v>78</v>
      </c>
      <c r="D244" s="35" t="s">
        <v>12</v>
      </c>
      <c r="E244" s="36">
        <v>0.3</v>
      </c>
      <c r="F244" s="30">
        <v>24.633499999999998</v>
      </c>
      <c r="G244" s="30">
        <f t="shared" si="3"/>
        <v>7.3900499999999987</v>
      </c>
      <c r="H244" s="34"/>
      <c r="I244" s="30"/>
      <c r="J244" s="148">
        <v>150</v>
      </c>
      <c r="K244" s="222" t="s">
        <v>8074</v>
      </c>
    </row>
    <row r="245" spans="1:11" ht="26.25" hidden="1" thickBot="1" x14ac:dyDescent="0.3">
      <c r="A245" s="203"/>
      <c r="B245" s="205"/>
      <c r="C245" s="35" t="s">
        <v>3684</v>
      </c>
      <c r="D245" s="35" t="s">
        <v>92</v>
      </c>
      <c r="E245" s="36">
        <v>1.5</v>
      </c>
      <c r="F245" s="33">
        <v>8.302999999999999</v>
      </c>
      <c r="G245" s="30">
        <f t="shared" si="3"/>
        <v>12.454499999999999</v>
      </c>
      <c r="H245" s="34"/>
      <c r="I245" s="30"/>
      <c r="J245" s="148">
        <v>150</v>
      </c>
      <c r="K245" s="222" t="s">
        <v>8074</v>
      </c>
    </row>
    <row r="246" spans="1:11" ht="15.75" hidden="1" thickBot="1" x14ac:dyDescent="0.3">
      <c r="A246" s="203"/>
      <c r="B246" s="205"/>
      <c r="C246" s="35" t="s">
        <v>93</v>
      </c>
      <c r="D246" s="35" t="s">
        <v>42</v>
      </c>
      <c r="E246" s="36">
        <v>0.1</v>
      </c>
      <c r="F246" s="33">
        <v>22.249000000000002</v>
      </c>
      <c r="G246" s="30">
        <f t="shared" si="3"/>
        <v>2.2249000000000003</v>
      </c>
      <c r="H246" s="34"/>
      <c r="I246" s="30"/>
      <c r="J246" s="148">
        <v>150</v>
      </c>
      <c r="K246" s="222" t="s">
        <v>8074</v>
      </c>
    </row>
    <row r="247" spans="1:11" ht="26.25" hidden="1" thickBot="1" x14ac:dyDescent="0.3">
      <c r="A247" s="203"/>
      <c r="B247" s="205"/>
      <c r="C247" s="35" t="s">
        <v>3351</v>
      </c>
      <c r="D247" s="35" t="s">
        <v>92</v>
      </c>
      <c r="E247" s="36">
        <v>1.1499999999999999</v>
      </c>
      <c r="F247" s="33">
        <v>2.3939999999999997</v>
      </c>
      <c r="G247" s="30">
        <f t="shared" si="3"/>
        <v>2.7530999999999994</v>
      </c>
      <c r="H247" s="34"/>
      <c r="I247" s="30"/>
      <c r="J247" s="148">
        <v>150</v>
      </c>
      <c r="K247" s="222" t="s">
        <v>8074</v>
      </c>
    </row>
    <row r="248" spans="1:11" ht="15.75" hidden="1" thickBot="1" x14ac:dyDescent="0.3">
      <c r="A248" s="209"/>
      <c r="B248" s="206"/>
      <c r="C248" s="35"/>
      <c r="D248" s="35"/>
      <c r="E248" s="36"/>
      <c r="F248" s="30" t="s">
        <v>514</v>
      </c>
      <c r="G248" s="30" t="str">
        <f t="shared" si="3"/>
        <v/>
      </c>
      <c r="H248" s="34"/>
      <c r="I248" s="30"/>
      <c r="J248" s="148">
        <v>150</v>
      </c>
      <c r="K248" s="222" t="s">
        <v>8074</v>
      </c>
    </row>
    <row r="249" spans="1:11" ht="15.75" hidden="1" thickBot="1" x14ac:dyDescent="0.3">
      <c r="A249" s="202" t="s">
        <v>95</v>
      </c>
      <c r="B249" s="204" t="str">
        <f>INDEX(Orçamentária!A:B,MATCH(Composições!A249,Orçamentária!A:A,0),2)</f>
        <v>Tapume</v>
      </c>
      <c r="C249" s="40"/>
      <c r="D249" s="25" t="str">
        <f>TRIM(INDEX(Orçamentária!C:C,MATCH(Composições!A249,Orçamentária!A:A,0),1))</f>
        <v>m2</v>
      </c>
      <c r="E249" s="26"/>
      <c r="F249" s="41" t="s">
        <v>514</v>
      </c>
      <c r="G249" s="27" t="str">
        <f t="shared" si="3"/>
        <v/>
      </c>
      <c r="H249" s="28"/>
      <c r="I249" s="29"/>
      <c r="J249" s="148">
        <v>225</v>
      </c>
      <c r="K249" s="222" t="s">
        <v>8074</v>
      </c>
    </row>
    <row r="250" spans="1:11" ht="15.75" hidden="1" thickBot="1" x14ac:dyDescent="0.3">
      <c r="A250" s="203"/>
      <c r="B250" s="205"/>
      <c r="C250" s="31"/>
      <c r="D250" s="31"/>
      <c r="E250" s="32"/>
      <c r="F250" s="42" t="s">
        <v>514</v>
      </c>
      <c r="G250" s="30" t="str">
        <f t="shared" si="3"/>
        <v/>
      </c>
      <c r="H250" s="34"/>
      <c r="I250" s="30"/>
      <c r="J250" s="148">
        <v>225</v>
      </c>
      <c r="K250" s="222" t="s">
        <v>8074</v>
      </c>
    </row>
    <row r="251" spans="1:11" ht="15.75" hidden="1" thickBot="1" x14ac:dyDescent="0.3">
      <c r="A251" s="203"/>
      <c r="B251" s="205"/>
      <c r="C251" s="35" t="s">
        <v>78</v>
      </c>
      <c r="D251" s="35" t="s">
        <v>12</v>
      </c>
      <c r="E251" s="36">
        <v>0.4</v>
      </c>
      <c r="F251" s="30">
        <v>24.633499999999998</v>
      </c>
      <c r="G251" s="30">
        <f t="shared" si="3"/>
        <v>9.8534000000000006</v>
      </c>
      <c r="H251" s="38">
        <f>SUM(G251:G262)</f>
        <v>104.47065450000001</v>
      </c>
      <c r="I251" s="39"/>
      <c r="J251" s="148">
        <v>225</v>
      </c>
      <c r="K251" s="222" t="s">
        <v>8074</v>
      </c>
    </row>
    <row r="252" spans="1:11" ht="15.75" hidden="1" thickBot="1" x14ac:dyDescent="0.3">
      <c r="A252" s="203"/>
      <c r="B252" s="205"/>
      <c r="C252" s="35" t="s">
        <v>23</v>
      </c>
      <c r="D252" s="35" t="s">
        <v>12</v>
      </c>
      <c r="E252" s="36">
        <v>0.4</v>
      </c>
      <c r="F252" s="30">
        <v>18.420500000000001</v>
      </c>
      <c r="G252" s="30">
        <f t="shared" si="3"/>
        <v>7.3682000000000007</v>
      </c>
      <c r="H252" s="34"/>
      <c r="I252" s="30"/>
      <c r="J252" s="148">
        <v>225</v>
      </c>
      <c r="K252" s="222" t="s">
        <v>8074</v>
      </c>
    </row>
    <row r="253" spans="1:11" ht="15.75" hidden="1" thickBot="1" x14ac:dyDescent="0.3">
      <c r="A253" s="203"/>
      <c r="B253" s="205"/>
      <c r="C253" s="35" t="s">
        <v>96</v>
      </c>
      <c r="D253" s="35" t="s">
        <v>94</v>
      </c>
      <c r="E253" s="36">
        <v>1.1000000000000001</v>
      </c>
      <c r="F253" s="30">
        <v>23.493500000000001</v>
      </c>
      <c r="G253" s="30">
        <f t="shared" si="3"/>
        <v>25.842850000000002</v>
      </c>
      <c r="H253" s="34"/>
      <c r="I253" s="30"/>
      <c r="J253" s="148">
        <v>225</v>
      </c>
      <c r="K253" s="222" t="s">
        <v>8074</v>
      </c>
    </row>
    <row r="254" spans="1:11" ht="26.25" hidden="1" thickBot="1" x14ac:dyDescent="0.3">
      <c r="A254" s="203"/>
      <c r="B254" s="205"/>
      <c r="C254" s="35" t="s">
        <v>3684</v>
      </c>
      <c r="D254" s="35" t="s">
        <v>92</v>
      </c>
      <c r="E254" s="36">
        <v>1.6</v>
      </c>
      <c r="F254" s="33">
        <v>8.302999999999999</v>
      </c>
      <c r="G254" s="30">
        <f t="shared" si="3"/>
        <v>13.284799999999999</v>
      </c>
      <c r="H254" s="34"/>
      <c r="I254" s="30"/>
      <c r="J254" s="148">
        <v>225</v>
      </c>
      <c r="K254" s="222" t="s">
        <v>8074</v>
      </c>
    </row>
    <row r="255" spans="1:11" ht="26.25" hidden="1" thickBot="1" x14ac:dyDescent="0.3">
      <c r="A255" s="203"/>
      <c r="B255" s="205"/>
      <c r="C255" s="35" t="s">
        <v>6594</v>
      </c>
      <c r="D255" s="35" t="s">
        <v>92</v>
      </c>
      <c r="E255" s="36">
        <v>1.65</v>
      </c>
      <c r="F255" s="33">
        <v>10.592499999999999</v>
      </c>
      <c r="G255" s="30">
        <f t="shared" si="3"/>
        <v>17.477625</v>
      </c>
      <c r="H255" s="34"/>
      <c r="I255" s="30"/>
      <c r="J255" s="148">
        <v>225</v>
      </c>
      <c r="K255" s="222" t="s">
        <v>8074</v>
      </c>
    </row>
    <row r="256" spans="1:11" ht="26.25" hidden="1" thickBot="1" x14ac:dyDescent="0.3">
      <c r="A256" s="203"/>
      <c r="B256" s="205"/>
      <c r="C256" s="35" t="s">
        <v>3732</v>
      </c>
      <c r="D256" s="35" t="s">
        <v>92</v>
      </c>
      <c r="E256" s="36">
        <v>0.5</v>
      </c>
      <c r="F256" s="33">
        <v>30.950999999999997</v>
      </c>
      <c r="G256" s="30">
        <f t="shared" si="3"/>
        <v>15.475499999999998</v>
      </c>
      <c r="H256" s="34"/>
      <c r="I256" s="30"/>
      <c r="J256" s="148">
        <v>225</v>
      </c>
      <c r="K256" s="222" t="s">
        <v>8074</v>
      </c>
    </row>
    <row r="257" spans="1:11" ht="15.75" hidden="1" thickBot="1" x14ac:dyDescent="0.3">
      <c r="A257" s="203"/>
      <c r="B257" s="205"/>
      <c r="C257" s="35" t="s">
        <v>97</v>
      </c>
      <c r="D257" s="35" t="s">
        <v>42</v>
      </c>
      <c r="E257" s="36">
        <v>0.1</v>
      </c>
      <c r="F257" s="33">
        <v>22.628999999999998</v>
      </c>
      <c r="G257" s="30">
        <f t="shared" si="3"/>
        <v>2.2628999999999997</v>
      </c>
      <c r="H257" s="34"/>
      <c r="I257" s="30"/>
      <c r="J257" s="148">
        <v>225</v>
      </c>
      <c r="K257" s="222" t="s">
        <v>8074</v>
      </c>
    </row>
    <row r="258" spans="1:11" ht="15.75" hidden="1" thickBot="1" x14ac:dyDescent="0.3">
      <c r="A258" s="203"/>
      <c r="B258" s="205"/>
      <c r="C258" s="35" t="s">
        <v>98</v>
      </c>
      <c r="D258" s="35" t="s">
        <v>695</v>
      </c>
      <c r="E258" s="36">
        <v>1.5E-3</v>
      </c>
      <c r="F258" s="33">
        <v>20.700499999999998</v>
      </c>
      <c r="G258" s="30">
        <f t="shared" si="3"/>
        <v>3.1050749999999998E-2</v>
      </c>
      <c r="H258" s="34"/>
      <c r="I258" s="30"/>
      <c r="J258" s="148">
        <v>225</v>
      </c>
      <c r="K258" s="222" t="s">
        <v>8074</v>
      </c>
    </row>
    <row r="259" spans="1:11" ht="15.75" hidden="1" thickBot="1" x14ac:dyDescent="0.3">
      <c r="A259" s="203"/>
      <c r="B259" s="205"/>
      <c r="C259" s="35" t="s">
        <v>99</v>
      </c>
      <c r="D259" s="35" t="s">
        <v>12</v>
      </c>
      <c r="E259" s="36">
        <v>0.4</v>
      </c>
      <c r="F259" s="33">
        <v>25.887499999999999</v>
      </c>
      <c r="G259" s="30">
        <f t="shared" si="3"/>
        <v>10.355</v>
      </c>
      <c r="H259" s="34"/>
      <c r="I259" s="30"/>
      <c r="J259" s="148">
        <v>225</v>
      </c>
      <c r="K259" s="222" t="s">
        <v>8074</v>
      </c>
    </row>
    <row r="260" spans="1:11" ht="15.75" hidden="1" thickBot="1" x14ac:dyDescent="0.3">
      <c r="A260" s="203"/>
      <c r="B260" s="205"/>
      <c r="C260" s="35" t="s">
        <v>100</v>
      </c>
      <c r="D260" s="35" t="s">
        <v>101</v>
      </c>
      <c r="E260" s="36">
        <v>2.2499999999999999E-2</v>
      </c>
      <c r="F260" s="33">
        <v>28.6615</v>
      </c>
      <c r="G260" s="30">
        <f t="shared" si="3"/>
        <v>0.64488374999999998</v>
      </c>
      <c r="H260" s="34"/>
      <c r="I260" s="30"/>
      <c r="J260" s="148">
        <v>225</v>
      </c>
      <c r="K260" s="222" t="s">
        <v>8074</v>
      </c>
    </row>
    <row r="261" spans="1:11" ht="15.75" hidden="1" thickBot="1" x14ac:dyDescent="0.3">
      <c r="A261" s="203"/>
      <c r="B261" s="205"/>
      <c r="C261" s="35" t="s">
        <v>102</v>
      </c>
      <c r="D261" s="35" t="s">
        <v>42</v>
      </c>
      <c r="E261" s="36">
        <v>0.6</v>
      </c>
      <c r="F261" s="33">
        <v>1.9</v>
      </c>
      <c r="G261" s="30">
        <f t="shared" si="3"/>
        <v>1.1399999999999999</v>
      </c>
      <c r="H261" s="34"/>
      <c r="I261" s="30"/>
      <c r="J261" s="148">
        <v>225</v>
      </c>
      <c r="K261" s="222" t="s">
        <v>8074</v>
      </c>
    </row>
    <row r="262" spans="1:11" ht="15.75" hidden="1" thickBot="1" x14ac:dyDescent="0.3">
      <c r="A262" s="203"/>
      <c r="B262" s="205"/>
      <c r="C262" s="35" t="s">
        <v>103</v>
      </c>
      <c r="D262" s="35" t="s">
        <v>42</v>
      </c>
      <c r="E262" s="36">
        <v>1.4999999999999999E-2</v>
      </c>
      <c r="F262" s="33">
        <v>48.962999999999994</v>
      </c>
      <c r="G262" s="30">
        <f t="shared" ref="G262:G325" si="4">IF(ISNUMBER(F262),E262*F262,"")</f>
        <v>0.7344449999999999</v>
      </c>
      <c r="H262" s="34"/>
      <c r="I262" s="30"/>
      <c r="J262" s="148">
        <v>225</v>
      </c>
      <c r="K262" s="222" t="s">
        <v>8074</v>
      </c>
    </row>
    <row r="263" spans="1:11" ht="15.75" hidden="1" thickBot="1" x14ac:dyDescent="0.3">
      <c r="A263" s="209"/>
      <c r="B263" s="206"/>
      <c r="C263" s="35"/>
      <c r="D263" s="35"/>
      <c r="E263" s="36"/>
      <c r="F263" s="30" t="s">
        <v>514</v>
      </c>
      <c r="G263" s="30" t="str">
        <f t="shared" si="4"/>
        <v/>
      </c>
      <c r="H263" s="34"/>
      <c r="I263" s="30"/>
      <c r="J263" s="148">
        <v>225</v>
      </c>
      <c r="K263" s="222" t="s">
        <v>8074</v>
      </c>
    </row>
    <row r="264" spans="1:11" ht="15.75" hidden="1" thickBot="1" x14ac:dyDescent="0.3">
      <c r="A264" s="202" t="s">
        <v>104</v>
      </c>
      <c r="B264" s="204" t="str">
        <f>INDEX(Orçamentária!A:B,MATCH(Composições!A264,Orçamentária!A:A,0),2)</f>
        <v>Limpeza final</v>
      </c>
      <c r="C264" s="40"/>
      <c r="D264" s="25" t="str">
        <f>TRIM(INDEX(Orçamentária!C:C,MATCH(Composições!A264,Orçamentária!A:A,0),1))</f>
        <v>m2</v>
      </c>
      <c r="E264" s="26"/>
      <c r="F264" s="41" t="s">
        <v>514</v>
      </c>
      <c r="G264" s="27" t="str">
        <f t="shared" si="4"/>
        <v/>
      </c>
      <c r="H264" s="28"/>
      <c r="I264" s="29"/>
      <c r="J264" s="148">
        <v>10000</v>
      </c>
      <c r="K264" s="222" t="s">
        <v>8074</v>
      </c>
    </row>
    <row r="265" spans="1:11" ht="15.75" hidden="1" thickBot="1" x14ac:dyDescent="0.3">
      <c r="A265" s="203"/>
      <c r="B265" s="205"/>
      <c r="C265" s="31"/>
      <c r="D265" s="31"/>
      <c r="E265" s="32"/>
      <c r="F265" s="42" t="s">
        <v>514</v>
      </c>
      <c r="G265" s="30" t="str">
        <f t="shared" si="4"/>
        <v/>
      </c>
      <c r="H265" s="34"/>
      <c r="I265" s="30"/>
      <c r="J265" s="148">
        <v>10000</v>
      </c>
      <c r="K265" s="222" t="s">
        <v>8074</v>
      </c>
    </row>
    <row r="266" spans="1:11" ht="15.75" hidden="1" thickBot="1" x14ac:dyDescent="0.3">
      <c r="A266" s="203"/>
      <c r="B266" s="205"/>
      <c r="C266" s="35" t="s">
        <v>23</v>
      </c>
      <c r="D266" s="49" t="s">
        <v>12</v>
      </c>
      <c r="E266" s="36">
        <v>2.5000000000000001E-2</v>
      </c>
      <c r="F266" s="30">
        <v>18.420500000000001</v>
      </c>
      <c r="G266" s="30">
        <f t="shared" si="4"/>
        <v>0.46051250000000005</v>
      </c>
      <c r="H266" s="38">
        <f>SUM(G266:G267)</f>
        <v>2.2473010000000002</v>
      </c>
      <c r="I266" s="39"/>
      <c r="J266" s="148">
        <v>10000</v>
      </c>
      <c r="K266" s="222" t="s">
        <v>8074</v>
      </c>
    </row>
    <row r="267" spans="1:11" ht="15.75" hidden="1" thickBot="1" x14ac:dyDescent="0.3">
      <c r="A267" s="203"/>
      <c r="B267" s="205"/>
      <c r="C267" s="35" t="s">
        <v>23</v>
      </c>
      <c r="D267" s="49" t="s">
        <v>12</v>
      </c>
      <c r="E267" s="36">
        <v>9.7000000000000003E-2</v>
      </c>
      <c r="F267" s="30">
        <v>18.420500000000001</v>
      </c>
      <c r="G267" s="30">
        <f t="shared" si="4"/>
        <v>1.7867885000000001</v>
      </c>
      <c r="H267" s="34"/>
      <c r="I267" s="39"/>
      <c r="J267" s="148">
        <v>10000</v>
      </c>
      <c r="K267" s="222" t="s">
        <v>8074</v>
      </c>
    </row>
    <row r="268" spans="1:11" ht="15.75" hidden="1" thickBot="1" x14ac:dyDescent="0.3">
      <c r="A268" s="209"/>
      <c r="B268" s="206"/>
      <c r="C268" s="35"/>
      <c r="D268" s="35"/>
      <c r="E268" s="36"/>
      <c r="F268" s="30" t="s">
        <v>514</v>
      </c>
      <c r="G268" s="30" t="str">
        <f t="shared" si="4"/>
        <v/>
      </c>
      <c r="H268" s="34"/>
      <c r="I268" s="30"/>
      <c r="J268" s="148">
        <v>10000</v>
      </c>
      <c r="K268" s="222" t="s">
        <v>8074</v>
      </c>
    </row>
    <row r="269" spans="1:11" ht="15.75" hidden="1" thickBot="1" x14ac:dyDescent="0.3">
      <c r="A269" s="202" t="s">
        <v>105</v>
      </c>
      <c r="B269" s="204" t="str">
        <f>INDEX(Orçamentária!A:B,MATCH(Composições!A269,Orçamentária!A:A,0),2)</f>
        <v>Abertura/fechamento rasgo em alvenaria</v>
      </c>
      <c r="C269" s="40"/>
      <c r="D269" s="25" t="str">
        <f>TRIM(INDEX(Orçamentária!C:C,MATCH(Composições!A269,Orçamentária!A:A,0),1))</f>
        <v>m</v>
      </c>
      <c r="E269" s="26"/>
      <c r="F269" s="41" t="s">
        <v>514</v>
      </c>
      <c r="G269" s="27" t="str">
        <f t="shared" si="4"/>
        <v/>
      </c>
      <c r="H269" s="28"/>
      <c r="I269" s="29"/>
      <c r="J269" s="148">
        <v>2700</v>
      </c>
      <c r="K269" s="222" t="s">
        <v>8074</v>
      </c>
    </row>
    <row r="270" spans="1:11" ht="15.75" hidden="1" thickBot="1" x14ac:dyDescent="0.3">
      <c r="A270" s="203"/>
      <c r="B270" s="205"/>
      <c r="C270" s="31"/>
      <c r="D270" s="31"/>
      <c r="E270" s="32"/>
      <c r="F270" s="42" t="s">
        <v>514</v>
      </c>
      <c r="G270" s="30" t="str">
        <f t="shared" si="4"/>
        <v/>
      </c>
      <c r="H270" s="34"/>
      <c r="I270" s="30"/>
      <c r="J270" s="148">
        <v>2700</v>
      </c>
      <c r="K270" s="222" t="s">
        <v>8074</v>
      </c>
    </row>
    <row r="271" spans="1:11" ht="15.75" hidden="1" thickBot="1" x14ac:dyDescent="0.3">
      <c r="A271" s="203"/>
      <c r="B271" s="205"/>
      <c r="C271" s="35" t="s">
        <v>74</v>
      </c>
      <c r="D271" s="35" t="s">
        <v>12</v>
      </c>
      <c r="E271" s="36">
        <v>3.4000000000000002E-2</v>
      </c>
      <c r="F271" s="30">
        <v>19.4085</v>
      </c>
      <c r="G271" s="30">
        <f t="shared" si="4"/>
        <v>0.65988900000000006</v>
      </c>
      <c r="H271" s="38">
        <f>SUM(G271:G275)</f>
        <v>18.815285888976998</v>
      </c>
      <c r="I271" s="39"/>
      <c r="J271" s="148">
        <v>2700</v>
      </c>
      <c r="K271" s="222" t="s">
        <v>8074</v>
      </c>
    </row>
    <row r="272" spans="1:11" ht="15.75" hidden="1" thickBot="1" x14ac:dyDescent="0.3">
      <c r="A272" s="203"/>
      <c r="B272" s="205"/>
      <c r="C272" s="35" t="s">
        <v>30</v>
      </c>
      <c r="D272" s="35" t="s">
        <v>12</v>
      </c>
      <c r="E272" s="36">
        <v>0.216</v>
      </c>
      <c r="F272" s="30">
        <v>25.146499999999996</v>
      </c>
      <c r="G272" s="30">
        <f t="shared" si="4"/>
        <v>5.4316439999999995</v>
      </c>
      <c r="H272" s="34"/>
      <c r="I272" s="30"/>
      <c r="J272" s="148">
        <v>2700</v>
      </c>
      <c r="K272" s="222" t="s">
        <v>8074</v>
      </c>
    </row>
    <row r="273" spans="1:11" ht="26.25" hidden="1" thickBot="1" x14ac:dyDescent="0.3">
      <c r="A273" s="203"/>
      <c r="B273" s="205"/>
      <c r="C273" s="35" t="s">
        <v>106</v>
      </c>
      <c r="D273" s="35" t="s">
        <v>12</v>
      </c>
      <c r="E273" s="36">
        <v>5.5E-2</v>
      </c>
      <c r="F273" s="30">
        <v>19.094999999999999</v>
      </c>
      <c r="G273" s="30">
        <f t="shared" si="4"/>
        <v>1.050225</v>
      </c>
      <c r="H273" s="34"/>
      <c r="I273" s="30"/>
      <c r="J273" s="148">
        <v>2700</v>
      </c>
      <c r="K273" s="222" t="s">
        <v>8074</v>
      </c>
    </row>
    <row r="274" spans="1:11" ht="15.75" hidden="1" thickBot="1" x14ac:dyDescent="0.3">
      <c r="A274" s="203"/>
      <c r="B274" s="205"/>
      <c r="C274" s="35" t="s">
        <v>39</v>
      </c>
      <c r="D274" s="46" t="s">
        <v>12</v>
      </c>
      <c r="E274" s="36">
        <v>0.39100000000000001</v>
      </c>
      <c r="F274" s="30">
        <v>24.300999999999998</v>
      </c>
      <c r="G274" s="30">
        <f t="shared" si="4"/>
        <v>9.5016909999999992</v>
      </c>
      <c r="H274" s="34"/>
      <c r="I274" s="30"/>
      <c r="J274" s="148">
        <v>2700</v>
      </c>
      <c r="K274" s="222" t="s">
        <v>8074</v>
      </c>
    </row>
    <row r="275" spans="1:11" ht="26.25" hidden="1" thickBot="1" x14ac:dyDescent="0.3">
      <c r="A275" s="203"/>
      <c r="B275" s="205"/>
      <c r="C275" s="35" t="s">
        <v>107</v>
      </c>
      <c r="D275" s="35" t="s">
        <v>108</v>
      </c>
      <c r="E275" s="36">
        <v>3.0000000000000001E-3</v>
      </c>
      <c r="F275" s="33">
        <v>723.94562965900002</v>
      </c>
      <c r="G275" s="33">
        <f t="shared" si="4"/>
        <v>2.1718368889769999</v>
      </c>
      <c r="H275" s="34"/>
      <c r="I275" s="30"/>
      <c r="J275" s="148">
        <v>2700</v>
      </c>
      <c r="K275" s="222" t="s">
        <v>8074</v>
      </c>
    </row>
    <row r="276" spans="1:11" ht="15.75" hidden="1" thickBot="1" x14ac:dyDescent="0.3">
      <c r="A276" s="209"/>
      <c r="B276" s="206"/>
      <c r="C276" s="35"/>
      <c r="D276" s="35"/>
      <c r="E276" s="36"/>
      <c r="F276" s="30" t="s">
        <v>514</v>
      </c>
      <c r="G276" s="30" t="str">
        <f t="shared" si="4"/>
        <v/>
      </c>
      <c r="H276" s="34"/>
      <c r="I276" s="30"/>
      <c r="J276" s="148">
        <v>2700</v>
      </c>
      <c r="K276" s="222" t="s">
        <v>8074</v>
      </c>
    </row>
    <row r="277" spans="1:11" ht="15.75" hidden="1" thickBot="1" x14ac:dyDescent="0.3">
      <c r="A277" s="202" t="s">
        <v>109</v>
      </c>
      <c r="B277" s="204" t="str">
        <f>INDEX(Orçamentária!A:B,MATCH(Composições!A277,Orçamentária!A:A,0),2)</f>
        <v>Furo em concreto de 40mm até 75mm de diâmetro</v>
      </c>
      <c r="C277" s="40"/>
      <c r="D277" s="25" t="str">
        <f>TRIM(INDEX(Orçamentária!C:C,MATCH(Composições!A277,Orçamentária!A:A,0),1))</f>
        <v>un</v>
      </c>
      <c r="E277" s="26"/>
      <c r="F277" s="41" t="s">
        <v>514</v>
      </c>
      <c r="G277" s="27" t="str">
        <f t="shared" si="4"/>
        <v/>
      </c>
      <c r="H277" s="28"/>
      <c r="I277" s="29"/>
      <c r="J277" s="148">
        <v>30</v>
      </c>
      <c r="K277" s="222" t="s">
        <v>8074</v>
      </c>
    </row>
    <row r="278" spans="1:11" ht="15.75" hidden="1" thickBot="1" x14ac:dyDescent="0.3">
      <c r="A278" s="203"/>
      <c r="B278" s="205"/>
      <c r="C278" s="31"/>
      <c r="D278" s="31"/>
      <c r="E278" s="32"/>
      <c r="F278" s="42" t="s">
        <v>514</v>
      </c>
      <c r="G278" s="30" t="str">
        <f t="shared" si="4"/>
        <v/>
      </c>
      <c r="H278" s="34"/>
      <c r="I278" s="30"/>
      <c r="J278" s="148">
        <v>30</v>
      </c>
      <c r="K278" s="222" t="s">
        <v>8074</v>
      </c>
    </row>
    <row r="279" spans="1:11" ht="26.25" hidden="1" thickBot="1" x14ac:dyDescent="0.3">
      <c r="A279" s="203"/>
      <c r="B279" s="205"/>
      <c r="C279" s="35" t="s">
        <v>32</v>
      </c>
      <c r="D279" s="35" t="s">
        <v>33</v>
      </c>
      <c r="E279" s="36">
        <v>0.58699999999999997</v>
      </c>
      <c r="F279" s="33">
        <v>22.001999999999999</v>
      </c>
      <c r="G279" s="33">
        <f t="shared" si="4"/>
        <v>12.915173999999999</v>
      </c>
      <c r="H279" s="38">
        <f>SUM(G279:G282)</f>
        <v>90.949180999999982</v>
      </c>
      <c r="I279" s="39"/>
      <c r="J279" s="148">
        <v>30</v>
      </c>
      <c r="K279" s="222" t="s">
        <v>8074</v>
      </c>
    </row>
    <row r="280" spans="1:11" ht="26.25" hidden="1" thickBot="1" x14ac:dyDescent="0.3">
      <c r="A280" s="203"/>
      <c r="B280" s="205"/>
      <c r="C280" s="35" t="s">
        <v>34</v>
      </c>
      <c r="D280" s="35" t="s">
        <v>35</v>
      </c>
      <c r="E280" s="36">
        <v>1.29</v>
      </c>
      <c r="F280" s="33">
        <v>20.795500000000001</v>
      </c>
      <c r="G280" s="33">
        <f t="shared" si="4"/>
        <v>26.826195000000002</v>
      </c>
      <c r="H280" s="34"/>
      <c r="I280" s="30"/>
      <c r="J280" s="148">
        <v>30</v>
      </c>
      <c r="K280" s="222" t="s">
        <v>8074</v>
      </c>
    </row>
    <row r="281" spans="1:11" ht="26.25" hidden="1" thickBot="1" x14ac:dyDescent="0.3">
      <c r="A281" s="203"/>
      <c r="B281" s="205"/>
      <c r="C281" s="35" t="s">
        <v>106</v>
      </c>
      <c r="D281" s="35" t="s">
        <v>12</v>
      </c>
      <c r="E281" s="36">
        <v>0.29299999999999998</v>
      </c>
      <c r="F281" s="30">
        <v>19.094999999999999</v>
      </c>
      <c r="G281" s="33">
        <f t="shared" si="4"/>
        <v>5.5948349999999989</v>
      </c>
      <c r="H281" s="34"/>
      <c r="I281" s="30"/>
      <c r="J281" s="148">
        <v>30</v>
      </c>
      <c r="K281" s="222" t="s">
        <v>8074</v>
      </c>
    </row>
    <row r="282" spans="1:11" ht="15.75" hidden="1" thickBot="1" x14ac:dyDescent="0.3">
      <c r="A282" s="203"/>
      <c r="B282" s="205"/>
      <c r="C282" s="35" t="s">
        <v>39</v>
      </c>
      <c r="D282" s="46" t="s">
        <v>12</v>
      </c>
      <c r="E282" s="36">
        <v>1.877</v>
      </c>
      <c r="F282" s="30">
        <v>24.300999999999998</v>
      </c>
      <c r="G282" s="33">
        <f t="shared" si="4"/>
        <v>45.612976999999994</v>
      </c>
      <c r="H282" s="34"/>
      <c r="I282" s="30"/>
      <c r="J282" s="148">
        <v>30</v>
      </c>
      <c r="K282" s="222" t="s">
        <v>8074</v>
      </c>
    </row>
    <row r="283" spans="1:11" ht="15.75" hidden="1" thickBot="1" x14ac:dyDescent="0.3">
      <c r="A283" s="209"/>
      <c r="B283" s="206"/>
      <c r="C283" s="35"/>
      <c r="D283" s="35"/>
      <c r="E283" s="36"/>
      <c r="F283" s="30" t="s">
        <v>514</v>
      </c>
      <c r="G283" s="30" t="str">
        <f t="shared" si="4"/>
        <v/>
      </c>
      <c r="H283" s="34"/>
      <c r="I283" s="30"/>
      <c r="J283" s="148">
        <v>30</v>
      </c>
      <c r="K283" s="222" t="s">
        <v>8074</v>
      </c>
    </row>
    <row r="284" spans="1:11" ht="15.75" hidden="1" thickBot="1" x14ac:dyDescent="0.3">
      <c r="A284" s="202" t="s">
        <v>110</v>
      </c>
      <c r="B284" s="204" t="str">
        <f>INDEX(Orçamentária!A:B,MATCH(Composições!A284,Orçamentária!A:A,0),2)</f>
        <v>Furo em concreto para diâmetros maiores que 75mm</v>
      </c>
      <c r="C284" s="40"/>
      <c r="D284" s="25" t="str">
        <f>TRIM(INDEX(Orçamentária!C:C,MATCH(Composições!A284,Orçamentária!A:A,0),1))</f>
        <v>un</v>
      </c>
      <c r="E284" s="26"/>
      <c r="F284" s="41" t="s">
        <v>514</v>
      </c>
      <c r="G284" s="27" t="str">
        <f t="shared" si="4"/>
        <v/>
      </c>
      <c r="H284" s="28"/>
      <c r="I284" s="29"/>
      <c r="J284" s="148">
        <v>30</v>
      </c>
      <c r="K284" s="222" t="s">
        <v>8074</v>
      </c>
    </row>
    <row r="285" spans="1:11" ht="15.75" hidden="1" thickBot="1" x14ac:dyDescent="0.3">
      <c r="A285" s="203"/>
      <c r="B285" s="205"/>
      <c r="C285" s="31"/>
      <c r="D285" s="31"/>
      <c r="E285" s="32"/>
      <c r="F285" s="42" t="s">
        <v>514</v>
      </c>
      <c r="G285" s="30" t="str">
        <f t="shared" si="4"/>
        <v/>
      </c>
      <c r="H285" s="34"/>
      <c r="I285" s="30"/>
      <c r="J285" s="148">
        <v>30</v>
      </c>
      <c r="K285" s="222" t="s">
        <v>8074</v>
      </c>
    </row>
    <row r="286" spans="1:11" ht="26.25" hidden="1" thickBot="1" x14ac:dyDescent="0.3">
      <c r="A286" s="203"/>
      <c r="B286" s="205"/>
      <c r="C286" s="35" t="s">
        <v>32</v>
      </c>
      <c r="D286" s="35" t="s">
        <v>33</v>
      </c>
      <c r="E286" s="36">
        <v>0.75</v>
      </c>
      <c r="F286" s="33">
        <v>22.001999999999999</v>
      </c>
      <c r="G286" s="33">
        <f t="shared" si="4"/>
        <v>16.5015</v>
      </c>
      <c r="H286" s="38">
        <f>SUM(G286:G289)</f>
        <v>116.16181049999999</v>
      </c>
      <c r="I286" s="39"/>
      <c r="J286" s="148">
        <v>30</v>
      </c>
      <c r="K286" s="222" t="s">
        <v>8074</v>
      </c>
    </row>
    <row r="287" spans="1:11" ht="26.25" hidden="1" thickBot="1" x14ac:dyDescent="0.3">
      <c r="A287" s="203"/>
      <c r="B287" s="205"/>
      <c r="C287" s="35" t="s">
        <v>34</v>
      </c>
      <c r="D287" s="35" t="s">
        <v>35</v>
      </c>
      <c r="E287" s="36">
        <v>1.647</v>
      </c>
      <c r="F287" s="33">
        <v>20.795500000000001</v>
      </c>
      <c r="G287" s="33">
        <f t="shared" si="4"/>
        <v>34.2501885</v>
      </c>
      <c r="H287" s="34"/>
      <c r="I287" s="30"/>
      <c r="J287" s="148">
        <v>30</v>
      </c>
      <c r="K287" s="222" t="s">
        <v>8074</v>
      </c>
    </row>
    <row r="288" spans="1:11" ht="26.25" hidden="1" thickBot="1" x14ac:dyDescent="0.3">
      <c r="A288" s="203"/>
      <c r="B288" s="205"/>
      <c r="C288" s="35" t="s">
        <v>106</v>
      </c>
      <c r="D288" s="35" t="s">
        <v>12</v>
      </c>
      <c r="E288" s="36">
        <v>0.375</v>
      </c>
      <c r="F288" s="30">
        <v>19.094999999999999</v>
      </c>
      <c r="G288" s="33">
        <f t="shared" si="4"/>
        <v>7.1606249999999996</v>
      </c>
      <c r="H288" s="34"/>
      <c r="I288" s="30"/>
      <c r="J288" s="148">
        <v>30</v>
      </c>
      <c r="K288" s="222" t="s">
        <v>8074</v>
      </c>
    </row>
    <row r="289" spans="1:11" ht="15.75" hidden="1" thickBot="1" x14ac:dyDescent="0.3">
      <c r="A289" s="203"/>
      <c r="B289" s="205"/>
      <c r="C289" s="35" t="s">
        <v>39</v>
      </c>
      <c r="D289" s="46" t="s">
        <v>12</v>
      </c>
      <c r="E289" s="36">
        <v>2.3969999999999998</v>
      </c>
      <c r="F289" s="30">
        <v>24.300999999999998</v>
      </c>
      <c r="G289" s="33">
        <f t="shared" si="4"/>
        <v>58.249496999999991</v>
      </c>
      <c r="H289" s="34"/>
      <c r="I289" s="30"/>
      <c r="J289" s="148">
        <v>30</v>
      </c>
      <c r="K289" s="222" t="s">
        <v>8074</v>
      </c>
    </row>
    <row r="290" spans="1:11" ht="15.75" hidden="1" thickBot="1" x14ac:dyDescent="0.3">
      <c r="A290" s="209"/>
      <c r="B290" s="206"/>
      <c r="C290" s="35"/>
      <c r="D290" s="35"/>
      <c r="E290" s="36"/>
      <c r="F290" s="30" t="s">
        <v>514</v>
      </c>
      <c r="G290" s="30" t="str">
        <f t="shared" si="4"/>
        <v/>
      </c>
      <c r="H290" s="34"/>
      <c r="I290" s="30"/>
      <c r="J290" s="148">
        <v>30</v>
      </c>
      <c r="K290" s="222" t="s">
        <v>8074</v>
      </c>
    </row>
    <row r="291" spans="1:11" ht="15.75" hidden="1" thickBot="1" x14ac:dyDescent="0.3">
      <c r="A291" s="202" t="s">
        <v>111</v>
      </c>
      <c r="B291" s="204" t="str">
        <f>INDEX(Orçamentária!A:B,MATCH(Composições!A291,Orçamentária!A:A,0),2)</f>
        <v>Concreto virado em betoneira, fck = 15 MPa</v>
      </c>
      <c r="C291" s="40"/>
      <c r="D291" s="25" t="str">
        <f>TRIM(INDEX(Orçamentária!C:C,MATCH(Composições!A291,Orçamentária!A:A,0),1))</f>
        <v>m3</v>
      </c>
      <c r="E291" s="26"/>
      <c r="F291" s="41" t="s">
        <v>514</v>
      </c>
      <c r="G291" s="27" t="str">
        <f t="shared" si="4"/>
        <v/>
      </c>
      <c r="H291" s="28"/>
      <c r="I291" s="29"/>
      <c r="J291" s="148">
        <v>10</v>
      </c>
      <c r="K291" s="222" t="s">
        <v>8074</v>
      </c>
    </row>
    <row r="292" spans="1:11" ht="15.75" hidden="1" thickBot="1" x14ac:dyDescent="0.3">
      <c r="A292" s="203"/>
      <c r="B292" s="205"/>
      <c r="C292" s="31"/>
      <c r="D292" s="31"/>
      <c r="E292" s="32"/>
      <c r="F292" s="42" t="s">
        <v>514</v>
      </c>
      <c r="G292" s="30" t="str">
        <f t="shared" si="4"/>
        <v/>
      </c>
      <c r="H292" s="34"/>
      <c r="I292" s="30"/>
      <c r="J292" s="148">
        <v>10</v>
      </c>
      <c r="K292" s="222" t="s">
        <v>8074</v>
      </c>
    </row>
    <row r="293" spans="1:11" ht="26.25" hidden="1" thickBot="1" x14ac:dyDescent="0.3">
      <c r="A293" s="203"/>
      <c r="B293" s="205"/>
      <c r="C293" s="35" t="s">
        <v>7764</v>
      </c>
      <c r="D293" s="46" t="s">
        <v>108</v>
      </c>
      <c r="E293" s="36">
        <v>1</v>
      </c>
      <c r="F293" s="30">
        <v>259.64763500000004</v>
      </c>
      <c r="G293" s="33">
        <f t="shared" si="4"/>
        <v>259.64763500000004</v>
      </c>
      <c r="H293" s="38">
        <f>SUM(G293:G302)</f>
        <v>821.06377456362998</v>
      </c>
      <c r="I293" s="39"/>
      <c r="J293" s="148">
        <v>10</v>
      </c>
      <c r="K293" s="222" t="s">
        <v>8074</v>
      </c>
    </row>
    <row r="294" spans="1:11" ht="15.75" hidden="1" thickBot="1" x14ac:dyDescent="0.3">
      <c r="A294" s="203"/>
      <c r="B294" s="205"/>
      <c r="C294" s="35" t="s">
        <v>112</v>
      </c>
      <c r="D294" s="46" t="s">
        <v>108</v>
      </c>
      <c r="E294" s="36">
        <v>0.80459999999999998</v>
      </c>
      <c r="F294" s="33">
        <v>185.66799999999998</v>
      </c>
      <c r="G294" s="33">
        <f t="shared" si="4"/>
        <v>149.38847279999999</v>
      </c>
      <c r="H294" s="34"/>
      <c r="I294" s="30"/>
      <c r="J294" s="148">
        <v>10</v>
      </c>
      <c r="K294" s="222" t="s">
        <v>8074</v>
      </c>
    </row>
    <row r="295" spans="1:11" ht="15.75" hidden="1" thickBot="1" x14ac:dyDescent="0.3">
      <c r="A295" s="203"/>
      <c r="B295" s="205"/>
      <c r="C295" s="35" t="s">
        <v>113</v>
      </c>
      <c r="D295" s="46" t="s">
        <v>42</v>
      </c>
      <c r="E295" s="36">
        <v>273.06299999999999</v>
      </c>
      <c r="F295" s="33">
        <v>0.627</v>
      </c>
      <c r="G295" s="33">
        <f t="shared" si="4"/>
        <v>171.21050099999999</v>
      </c>
      <c r="H295" s="34"/>
      <c r="I295" s="30"/>
      <c r="J295" s="148">
        <v>10</v>
      </c>
      <c r="K295" s="222" t="s">
        <v>8074</v>
      </c>
    </row>
    <row r="296" spans="1:11" ht="15.75" hidden="1" thickBot="1" x14ac:dyDescent="0.3">
      <c r="A296" s="203"/>
      <c r="B296" s="205"/>
      <c r="C296" s="35" t="s">
        <v>114</v>
      </c>
      <c r="D296" s="46" t="s">
        <v>108</v>
      </c>
      <c r="E296" s="36">
        <v>0.57199999999999995</v>
      </c>
      <c r="F296" s="33">
        <v>151.202</v>
      </c>
      <c r="G296" s="33">
        <f t="shared" si="4"/>
        <v>86.487543999999986</v>
      </c>
      <c r="H296" s="34"/>
      <c r="I296" s="30"/>
      <c r="J296" s="148">
        <v>10</v>
      </c>
      <c r="K296" s="222" t="s">
        <v>8074</v>
      </c>
    </row>
    <row r="297" spans="1:11" ht="26.25" hidden="1" thickBot="1" x14ac:dyDescent="0.3">
      <c r="A297" s="203"/>
      <c r="B297" s="205"/>
      <c r="C297" s="35" t="s">
        <v>115</v>
      </c>
      <c r="D297" s="46" t="s">
        <v>12</v>
      </c>
      <c r="E297" s="36">
        <v>1.4695</v>
      </c>
      <c r="F297" s="30">
        <v>18.534500000000001</v>
      </c>
      <c r="G297" s="33">
        <f t="shared" si="4"/>
        <v>27.236447750000004</v>
      </c>
      <c r="H297" s="34"/>
      <c r="I297" s="30"/>
      <c r="J297" s="148">
        <v>10</v>
      </c>
      <c r="K297" s="222" t="s">
        <v>8074</v>
      </c>
    </row>
    <row r="298" spans="1:11" ht="15.75" hidden="1" thickBot="1" x14ac:dyDescent="0.3">
      <c r="A298" s="203"/>
      <c r="B298" s="205"/>
      <c r="C298" s="35" t="s">
        <v>23</v>
      </c>
      <c r="D298" s="35" t="s">
        <v>12</v>
      </c>
      <c r="E298" s="36">
        <v>2.3275000000000001</v>
      </c>
      <c r="F298" s="30">
        <v>18.420500000000001</v>
      </c>
      <c r="G298" s="33">
        <f t="shared" si="4"/>
        <v>42.87371375</v>
      </c>
      <c r="H298" s="34"/>
      <c r="I298" s="30"/>
      <c r="J298" s="148">
        <v>10</v>
      </c>
      <c r="K298" s="222" t="s">
        <v>8074</v>
      </c>
    </row>
    <row r="299" spans="1:11" ht="39" hidden="1" thickBot="1" x14ac:dyDescent="0.3">
      <c r="A299" s="203"/>
      <c r="B299" s="205"/>
      <c r="C299" s="35" t="s">
        <v>116</v>
      </c>
      <c r="D299" s="46" t="s">
        <v>33</v>
      </c>
      <c r="E299" s="36">
        <v>0.75629999999999997</v>
      </c>
      <c r="F299" s="33">
        <v>1.3774999999999999</v>
      </c>
      <c r="G299" s="33">
        <f t="shared" si="4"/>
        <v>1.0418032499999998</v>
      </c>
      <c r="H299" s="34"/>
      <c r="I299" s="30"/>
      <c r="J299" s="148">
        <v>10</v>
      </c>
      <c r="K299" s="222" t="s">
        <v>8074</v>
      </c>
    </row>
    <row r="300" spans="1:11" ht="39" hidden="1" thickBot="1" x14ac:dyDescent="0.3">
      <c r="A300" s="203"/>
      <c r="B300" s="205"/>
      <c r="C300" s="35" t="s">
        <v>117</v>
      </c>
      <c r="D300" s="46" t="s">
        <v>35</v>
      </c>
      <c r="E300" s="36">
        <v>0.71309999999999996</v>
      </c>
      <c r="F300" s="33">
        <v>0.36099999999999999</v>
      </c>
      <c r="G300" s="33">
        <f t="shared" si="4"/>
        <v>0.25742909999999997</v>
      </c>
      <c r="H300" s="34"/>
      <c r="I300" s="30"/>
      <c r="J300" s="148">
        <v>10</v>
      </c>
      <c r="K300" s="222" t="s">
        <v>8074</v>
      </c>
    </row>
    <row r="301" spans="1:11" ht="51.75" hidden="1" thickBot="1" x14ac:dyDescent="0.3">
      <c r="A301" s="203"/>
      <c r="B301" s="205"/>
      <c r="C301" s="35" t="s">
        <v>3507</v>
      </c>
      <c r="D301" s="35" t="s">
        <v>119</v>
      </c>
      <c r="E301" s="36">
        <f>1*(E294+E296)</f>
        <v>1.3765999999999998</v>
      </c>
      <c r="F301" s="33">
        <v>7.7750840499999994</v>
      </c>
      <c r="G301" s="33">
        <f t="shared" si="4"/>
        <v>10.703180703229998</v>
      </c>
      <c r="H301" s="34"/>
      <c r="I301" s="30"/>
      <c r="J301" s="148">
        <v>10</v>
      </c>
      <c r="K301" s="222" t="s">
        <v>8074</v>
      </c>
    </row>
    <row r="302" spans="1:11" ht="39" hidden="1" thickBot="1" x14ac:dyDescent="0.3">
      <c r="A302" s="203"/>
      <c r="B302" s="205"/>
      <c r="C302" s="35" t="s">
        <v>120</v>
      </c>
      <c r="D302" s="46" t="s">
        <v>121</v>
      </c>
      <c r="E302" s="36">
        <f>(E294+E296)*20</f>
        <v>27.531999999999996</v>
      </c>
      <c r="F302" s="33">
        <v>2.6230221999999994</v>
      </c>
      <c r="G302" s="33">
        <f t="shared" si="4"/>
        <v>72.217047210399969</v>
      </c>
      <c r="H302" s="34"/>
      <c r="I302" s="30"/>
      <c r="J302" s="148">
        <v>10</v>
      </c>
      <c r="K302" s="222" t="s">
        <v>8074</v>
      </c>
    </row>
    <row r="303" spans="1:11" ht="15.75" hidden="1" thickBot="1" x14ac:dyDescent="0.3">
      <c r="A303" s="203"/>
      <c r="B303" s="205"/>
      <c r="C303" s="50"/>
      <c r="D303" s="46"/>
      <c r="E303" s="36"/>
      <c r="F303" s="33" t="s">
        <v>514</v>
      </c>
      <c r="G303" s="33" t="str">
        <f t="shared" si="4"/>
        <v/>
      </c>
      <c r="H303" s="34"/>
      <c r="I303" s="30"/>
      <c r="J303" s="148">
        <v>10</v>
      </c>
      <c r="K303" s="222" t="s">
        <v>8074</v>
      </c>
    </row>
    <row r="304" spans="1:11" ht="26.25" hidden="1" thickBot="1" x14ac:dyDescent="0.3">
      <c r="A304" s="203"/>
      <c r="B304" s="205"/>
      <c r="C304" s="47" t="s">
        <v>122</v>
      </c>
      <c r="D304" s="46"/>
      <c r="E304" s="36"/>
      <c r="F304" s="33" t="s">
        <v>514</v>
      </c>
      <c r="G304" s="33" t="str">
        <f t="shared" si="4"/>
        <v/>
      </c>
      <c r="H304" s="34"/>
      <c r="I304" s="30"/>
      <c r="J304" s="148">
        <v>10</v>
      </c>
      <c r="K304" s="222" t="s">
        <v>8074</v>
      </c>
    </row>
    <row r="305" spans="1:11" ht="15.75" hidden="1" thickBot="1" x14ac:dyDescent="0.3">
      <c r="A305" s="209"/>
      <c r="B305" s="206"/>
      <c r="C305" s="35"/>
      <c r="D305" s="35"/>
      <c r="E305" s="36"/>
      <c r="F305" s="30" t="s">
        <v>514</v>
      </c>
      <c r="G305" s="30" t="str">
        <f t="shared" si="4"/>
        <v/>
      </c>
      <c r="H305" s="34"/>
      <c r="I305" s="30"/>
      <c r="J305" s="148">
        <v>10</v>
      </c>
      <c r="K305" s="222" t="s">
        <v>8074</v>
      </c>
    </row>
    <row r="306" spans="1:11" ht="15.75" hidden="1" thickBot="1" x14ac:dyDescent="0.3">
      <c r="A306" s="202" t="s">
        <v>123</v>
      </c>
      <c r="B306" s="204" t="str">
        <f>INDEX(Orçamentária!A:B,MATCH(Composições!A306,Orçamentária!A:A,0),2)</f>
        <v>Concreto virado em betoneira, fck = 25MPa</v>
      </c>
      <c r="C306" s="40"/>
      <c r="D306" s="25" t="str">
        <f>TRIM(INDEX(Orçamentária!C:C,MATCH(Composições!A306,Orçamentária!A:A,0),1))</f>
        <v>m3</v>
      </c>
      <c r="E306" s="26"/>
      <c r="F306" s="41" t="s">
        <v>514</v>
      </c>
      <c r="G306" s="27" t="str">
        <f t="shared" si="4"/>
        <v/>
      </c>
      <c r="H306" s="28"/>
      <c r="I306" s="29"/>
      <c r="J306" s="148">
        <v>20</v>
      </c>
      <c r="K306" s="222" t="s">
        <v>8074</v>
      </c>
    </row>
    <row r="307" spans="1:11" ht="15.75" hidden="1" thickBot="1" x14ac:dyDescent="0.3">
      <c r="A307" s="203"/>
      <c r="B307" s="205"/>
      <c r="C307" s="31"/>
      <c r="D307" s="31"/>
      <c r="E307" s="32"/>
      <c r="F307" s="42" t="s">
        <v>514</v>
      </c>
      <c r="G307" s="30" t="str">
        <f t="shared" si="4"/>
        <v/>
      </c>
      <c r="H307" s="34"/>
      <c r="I307" s="30"/>
      <c r="J307" s="148">
        <v>20</v>
      </c>
      <c r="K307" s="222" t="s">
        <v>8074</v>
      </c>
    </row>
    <row r="308" spans="1:11" ht="26.25" hidden="1" thickBot="1" x14ac:dyDescent="0.3">
      <c r="A308" s="203"/>
      <c r="B308" s="205"/>
      <c r="C308" s="35" t="s">
        <v>7764</v>
      </c>
      <c r="D308" s="46" t="s">
        <v>108</v>
      </c>
      <c r="E308" s="36">
        <v>1</v>
      </c>
      <c r="F308" s="30">
        <v>259.64763500000004</v>
      </c>
      <c r="G308" s="33">
        <f t="shared" si="4"/>
        <v>259.64763500000004</v>
      </c>
      <c r="H308" s="38">
        <f>SUM(G308:G317)</f>
        <v>861.27067217221497</v>
      </c>
      <c r="I308" s="39"/>
      <c r="J308" s="148">
        <v>20</v>
      </c>
      <c r="K308" s="222" t="s">
        <v>8074</v>
      </c>
    </row>
    <row r="309" spans="1:11" ht="15.75" hidden="1" thickBot="1" x14ac:dyDescent="0.3">
      <c r="A309" s="203"/>
      <c r="B309" s="205"/>
      <c r="C309" s="35" t="s">
        <v>112</v>
      </c>
      <c r="D309" s="46" t="s">
        <v>108</v>
      </c>
      <c r="E309" s="36">
        <v>0.72289999999999999</v>
      </c>
      <c r="F309" s="33">
        <v>185.66799999999998</v>
      </c>
      <c r="G309" s="30">
        <f t="shared" si="4"/>
        <v>134.21939719999997</v>
      </c>
      <c r="H309" s="34"/>
      <c r="I309" s="30"/>
      <c r="J309" s="148">
        <v>20</v>
      </c>
      <c r="K309" s="222" t="s">
        <v>8074</v>
      </c>
    </row>
    <row r="310" spans="1:11" ht="15.75" hidden="1" thickBot="1" x14ac:dyDescent="0.3">
      <c r="A310" s="203"/>
      <c r="B310" s="205"/>
      <c r="C310" s="35" t="s">
        <v>113</v>
      </c>
      <c r="D310" s="46" t="s">
        <v>42</v>
      </c>
      <c r="E310" s="36">
        <v>362.65789999999998</v>
      </c>
      <c r="F310" s="33">
        <v>0.627</v>
      </c>
      <c r="G310" s="30">
        <f t="shared" si="4"/>
        <v>227.38650329999999</v>
      </c>
      <c r="H310" s="34"/>
      <c r="I310" s="30"/>
      <c r="J310" s="148">
        <v>20</v>
      </c>
      <c r="K310" s="222" t="s">
        <v>8074</v>
      </c>
    </row>
    <row r="311" spans="1:11" ht="15.75" hidden="1" thickBot="1" x14ac:dyDescent="0.3">
      <c r="A311" s="203"/>
      <c r="B311" s="205"/>
      <c r="C311" s="35" t="s">
        <v>114</v>
      </c>
      <c r="D311" s="46" t="s">
        <v>108</v>
      </c>
      <c r="E311" s="36">
        <v>0.59340000000000004</v>
      </c>
      <c r="F311" s="33">
        <v>151.202</v>
      </c>
      <c r="G311" s="30">
        <f t="shared" si="4"/>
        <v>89.723266800000005</v>
      </c>
      <c r="H311" s="34"/>
      <c r="I311" s="30"/>
      <c r="J311" s="148">
        <v>20</v>
      </c>
      <c r="K311" s="222" t="s">
        <v>8074</v>
      </c>
    </row>
    <row r="312" spans="1:11" ht="15.75" hidden="1" thickBot="1" x14ac:dyDescent="0.3">
      <c r="A312" s="203"/>
      <c r="B312" s="205"/>
      <c r="C312" s="35" t="s">
        <v>23</v>
      </c>
      <c r="D312" s="46" t="s">
        <v>12</v>
      </c>
      <c r="E312" s="36">
        <v>2.3117000000000001</v>
      </c>
      <c r="F312" s="30">
        <v>18.420500000000001</v>
      </c>
      <c r="G312" s="30">
        <f t="shared" si="4"/>
        <v>42.582669850000002</v>
      </c>
      <c r="H312" s="34"/>
      <c r="I312" s="30"/>
      <c r="J312" s="148">
        <v>20</v>
      </c>
      <c r="K312" s="222" t="s">
        <v>8074</v>
      </c>
    </row>
    <row r="313" spans="1:11" ht="26.25" hidden="1" thickBot="1" x14ac:dyDescent="0.3">
      <c r="A313" s="203"/>
      <c r="B313" s="205"/>
      <c r="C313" s="35" t="s">
        <v>115</v>
      </c>
      <c r="D313" s="46" t="s">
        <v>12</v>
      </c>
      <c r="E313" s="36">
        <v>1.4637</v>
      </c>
      <c r="F313" s="30">
        <v>18.534500000000001</v>
      </c>
      <c r="G313" s="30">
        <f t="shared" si="4"/>
        <v>27.128947650000001</v>
      </c>
      <c r="H313" s="34"/>
      <c r="I313" s="30"/>
      <c r="J313" s="148">
        <v>20</v>
      </c>
      <c r="K313" s="222" t="s">
        <v>8074</v>
      </c>
    </row>
    <row r="314" spans="1:11" ht="39" hidden="1" thickBot="1" x14ac:dyDescent="0.3">
      <c r="A314" s="203"/>
      <c r="B314" s="205"/>
      <c r="C314" s="35" t="s">
        <v>116</v>
      </c>
      <c r="D314" s="46" t="s">
        <v>33</v>
      </c>
      <c r="E314" s="36">
        <v>0.75339999999999996</v>
      </c>
      <c r="F314" s="33">
        <v>1.3774999999999999</v>
      </c>
      <c r="G314" s="30">
        <f t="shared" si="4"/>
        <v>1.0378084999999999</v>
      </c>
      <c r="H314" s="34"/>
      <c r="I314" s="30"/>
      <c r="J314" s="148">
        <v>20</v>
      </c>
      <c r="K314" s="222" t="s">
        <v>8074</v>
      </c>
    </row>
    <row r="315" spans="1:11" ht="39" hidden="1" thickBot="1" x14ac:dyDescent="0.3">
      <c r="A315" s="203"/>
      <c r="B315" s="205"/>
      <c r="C315" s="35" t="s">
        <v>117</v>
      </c>
      <c r="D315" s="35" t="s">
        <v>35</v>
      </c>
      <c r="E315" s="36">
        <v>0.71030000000000004</v>
      </c>
      <c r="F315" s="33">
        <v>0.36099999999999999</v>
      </c>
      <c r="G315" s="30">
        <f t="shared" si="4"/>
        <v>0.25641829999999999</v>
      </c>
      <c r="H315" s="34"/>
      <c r="I315" s="30"/>
      <c r="J315" s="148">
        <v>20</v>
      </c>
      <c r="K315" s="222" t="s">
        <v>8074</v>
      </c>
    </row>
    <row r="316" spans="1:11" ht="51.75" hidden="1" thickBot="1" x14ac:dyDescent="0.3">
      <c r="A316" s="203"/>
      <c r="B316" s="205"/>
      <c r="C316" s="35" t="s">
        <v>3507</v>
      </c>
      <c r="D316" s="35" t="s">
        <v>119</v>
      </c>
      <c r="E316" s="36">
        <f>1*(E309+E311)</f>
        <v>1.3163</v>
      </c>
      <c r="F316" s="33">
        <v>7.7750840499999994</v>
      </c>
      <c r="G316" s="33">
        <f t="shared" si="4"/>
        <v>10.234343135014999</v>
      </c>
      <c r="H316" s="34"/>
      <c r="I316" s="30"/>
      <c r="J316" s="148">
        <v>20</v>
      </c>
      <c r="K316" s="222" t="s">
        <v>8074</v>
      </c>
    </row>
    <row r="317" spans="1:11" ht="39" hidden="1" thickBot="1" x14ac:dyDescent="0.3">
      <c r="A317" s="203"/>
      <c r="B317" s="205"/>
      <c r="C317" s="35" t="s">
        <v>120</v>
      </c>
      <c r="D317" s="46" t="s">
        <v>121</v>
      </c>
      <c r="E317" s="36">
        <f>(E309+E311)*20</f>
        <v>26.326000000000001</v>
      </c>
      <c r="F317" s="33">
        <v>2.6230221999999994</v>
      </c>
      <c r="G317" s="33">
        <f t="shared" si="4"/>
        <v>69.053682437199981</v>
      </c>
      <c r="H317" s="34"/>
      <c r="I317" s="30"/>
      <c r="J317" s="148">
        <v>20</v>
      </c>
      <c r="K317" s="222" t="s">
        <v>8074</v>
      </c>
    </row>
    <row r="318" spans="1:11" ht="15.75" hidden="1" thickBot="1" x14ac:dyDescent="0.3">
      <c r="A318" s="203"/>
      <c r="B318" s="205"/>
      <c r="C318" s="50"/>
      <c r="D318" s="46"/>
      <c r="E318" s="36"/>
      <c r="F318" s="33" t="s">
        <v>514</v>
      </c>
      <c r="G318" s="33" t="str">
        <f t="shared" si="4"/>
        <v/>
      </c>
      <c r="H318" s="34"/>
      <c r="I318" s="30"/>
      <c r="J318" s="148">
        <v>20</v>
      </c>
      <c r="K318" s="222" t="s">
        <v>8074</v>
      </c>
    </row>
    <row r="319" spans="1:11" ht="26.25" hidden="1" thickBot="1" x14ac:dyDescent="0.3">
      <c r="A319" s="203"/>
      <c r="B319" s="205"/>
      <c r="C319" s="47" t="s">
        <v>122</v>
      </c>
      <c r="D319" s="46"/>
      <c r="E319" s="36"/>
      <c r="F319" s="33" t="s">
        <v>514</v>
      </c>
      <c r="G319" s="33" t="str">
        <f t="shared" si="4"/>
        <v/>
      </c>
      <c r="H319" s="34"/>
      <c r="I319" s="30"/>
      <c r="J319" s="148">
        <v>20</v>
      </c>
      <c r="K319" s="222" t="s">
        <v>8074</v>
      </c>
    </row>
    <row r="320" spans="1:11" ht="15.75" hidden="1" thickBot="1" x14ac:dyDescent="0.3">
      <c r="A320" s="209"/>
      <c r="B320" s="206"/>
      <c r="C320" s="35"/>
      <c r="D320" s="35"/>
      <c r="E320" s="36"/>
      <c r="F320" s="30" t="s">
        <v>514</v>
      </c>
      <c r="G320" s="30" t="str">
        <f t="shared" si="4"/>
        <v/>
      </c>
      <c r="H320" s="34"/>
      <c r="I320" s="30"/>
      <c r="J320" s="148">
        <v>20</v>
      </c>
      <c r="K320" s="222" t="s">
        <v>8074</v>
      </c>
    </row>
    <row r="321" spans="1:11" ht="15.75" hidden="1" thickBot="1" x14ac:dyDescent="0.3">
      <c r="A321" s="202" t="s">
        <v>124</v>
      </c>
      <c r="B321" s="204" t="str">
        <f>INDEX(Orçamentária!A:B,MATCH(Composições!A321,Orçamentária!A:A,0),2)</f>
        <v>Escoramento metálico</v>
      </c>
      <c r="C321" s="40"/>
      <c r="D321" s="25" t="str">
        <f>TRIM(INDEX(Orçamentária!C:C,MATCH(Composições!A321,Orçamentária!A:A,0),1))</f>
        <v>m2 x mês</v>
      </c>
      <c r="E321" s="26"/>
      <c r="F321" s="41" t="s">
        <v>514</v>
      </c>
      <c r="G321" s="27" t="str">
        <f t="shared" si="4"/>
        <v/>
      </c>
      <c r="H321" s="28"/>
      <c r="I321" s="29"/>
      <c r="J321" s="148">
        <v>75</v>
      </c>
      <c r="K321" s="222" t="s">
        <v>8074</v>
      </c>
    </row>
    <row r="322" spans="1:11" ht="15.75" hidden="1" thickBot="1" x14ac:dyDescent="0.3">
      <c r="A322" s="203"/>
      <c r="B322" s="205"/>
      <c r="C322" s="31"/>
      <c r="D322" s="31"/>
      <c r="E322" s="32"/>
      <c r="F322" s="30" t="s">
        <v>514</v>
      </c>
      <c r="G322" s="30" t="str">
        <f t="shared" si="4"/>
        <v/>
      </c>
      <c r="H322" s="34"/>
      <c r="I322" s="30"/>
      <c r="J322" s="148">
        <v>75</v>
      </c>
      <c r="K322" s="222" t="s">
        <v>8074</v>
      </c>
    </row>
    <row r="323" spans="1:11" ht="39" hidden="1" thickBot="1" x14ac:dyDescent="0.3">
      <c r="A323" s="203"/>
      <c r="B323" s="205"/>
      <c r="C323" s="35" t="s">
        <v>125</v>
      </c>
      <c r="D323" s="46" t="s">
        <v>126</v>
      </c>
      <c r="E323" s="36">
        <v>0.85</v>
      </c>
      <c r="F323" s="30">
        <v>8.702</v>
      </c>
      <c r="G323" s="30">
        <f t="shared" si="4"/>
        <v>7.3967000000000001</v>
      </c>
      <c r="H323" s="38">
        <f>SUM(G323:G325)</f>
        <v>20.428800000000003</v>
      </c>
      <c r="I323" s="39"/>
      <c r="J323" s="148">
        <v>75</v>
      </c>
      <c r="K323" s="222" t="s">
        <v>8074</v>
      </c>
    </row>
    <row r="324" spans="1:11" ht="15.75" hidden="1" thickBot="1" x14ac:dyDescent="0.3">
      <c r="A324" s="203"/>
      <c r="B324" s="205"/>
      <c r="C324" s="35" t="s">
        <v>127</v>
      </c>
      <c r="D324" s="46" t="s">
        <v>12</v>
      </c>
      <c r="E324" s="36">
        <v>0.2</v>
      </c>
      <c r="F324" s="30">
        <v>19.494</v>
      </c>
      <c r="G324" s="30">
        <f t="shared" si="4"/>
        <v>3.8988</v>
      </c>
      <c r="H324" s="34"/>
      <c r="I324" s="30"/>
      <c r="J324" s="148">
        <v>75</v>
      </c>
      <c r="K324" s="222" t="s">
        <v>8074</v>
      </c>
    </row>
    <row r="325" spans="1:11" ht="26.25" hidden="1" thickBot="1" x14ac:dyDescent="0.3">
      <c r="A325" s="203"/>
      <c r="B325" s="205"/>
      <c r="C325" s="35" t="s">
        <v>3684</v>
      </c>
      <c r="D325" s="46" t="s">
        <v>92</v>
      </c>
      <c r="E325" s="36">
        <v>1.1000000000000001</v>
      </c>
      <c r="F325" s="30">
        <v>8.302999999999999</v>
      </c>
      <c r="G325" s="30">
        <f t="shared" si="4"/>
        <v>9.1333000000000002</v>
      </c>
      <c r="H325" s="34"/>
      <c r="I325" s="30"/>
      <c r="J325" s="148">
        <v>75</v>
      </c>
      <c r="K325" s="222" t="s">
        <v>8074</v>
      </c>
    </row>
    <row r="326" spans="1:11" ht="15.75" hidden="1" thickBot="1" x14ac:dyDescent="0.3">
      <c r="A326" s="203"/>
      <c r="B326" s="205"/>
      <c r="C326" s="35"/>
      <c r="D326" s="35"/>
      <c r="E326" s="36"/>
      <c r="F326" s="30" t="s">
        <v>514</v>
      </c>
      <c r="G326" s="30" t="str">
        <f t="shared" ref="G326:G389" si="5">IF(ISNUMBER(F326),E326*F326,"")</f>
        <v/>
      </c>
      <c r="H326" s="34"/>
      <c r="I326" s="30"/>
      <c r="J326" s="148">
        <v>75</v>
      </c>
      <c r="K326" s="222" t="s">
        <v>8074</v>
      </c>
    </row>
    <row r="327" spans="1:11" ht="15.75" hidden="1" thickBot="1" x14ac:dyDescent="0.3">
      <c r="A327" s="202" t="s">
        <v>128</v>
      </c>
      <c r="B327" s="204" t="str">
        <f>INDEX(Orçamentária!A:B,MATCH(Composições!A327,Orçamentária!A:A,0),2)</f>
        <v>Estrutura metálica em aço</v>
      </c>
      <c r="C327" s="40"/>
      <c r="D327" s="25" t="str">
        <f>TRIM(INDEX(Orçamentária!C:C,MATCH(Composições!A327,Orçamentária!A:A,0),1))</f>
        <v>kg</v>
      </c>
      <c r="E327" s="26"/>
      <c r="F327" s="41" t="s">
        <v>514</v>
      </c>
      <c r="G327" s="27" t="str">
        <f t="shared" si="5"/>
        <v/>
      </c>
      <c r="H327" s="28"/>
      <c r="I327" s="29"/>
      <c r="J327" s="148">
        <v>0</v>
      </c>
      <c r="K327" s="222">
        <v>0</v>
      </c>
    </row>
    <row r="328" spans="1:11" ht="15.75" hidden="1" thickBot="1" x14ac:dyDescent="0.3">
      <c r="A328" s="203"/>
      <c r="B328" s="205"/>
      <c r="C328" s="31"/>
      <c r="D328" s="31"/>
      <c r="E328" s="32"/>
      <c r="F328" s="42" t="s">
        <v>514</v>
      </c>
      <c r="G328" s="30" t="str">
        <f t="shared" si="5"/>
        <v/>
      </c>
      <c r="H328" s="34"/>
      <c r="I328" s="30"/>
      <c r="J328" s="148">
        <v>0</v>
      </c>
      <c r="K328" s="222">
        <v>0</v>
      </c>
    </row>
    <row r="329" spans="1:11" ht="39" hidden="1" thickBot="1" x14ac:dyDescent="0.3">
      <c r="A329" s="203"/>
      <c r="B329" s="205"/>
      <c r="C329" s="35" t="s">
        <v>7757</v>
      </c>
      <c r="D329" s="46" t="s">
        <v>42</v>
      </c>
      <c r="E329" s="36">
        <v>0.01</v>
      </c>
      <c r="F329" s="33">
        <v>58.1875</v>
      </c>
      <c r="G329" s="33">
        <f t="shared" si="5"/>
        <v>0.58187500000000003</v>
      </c>
      <c r="H329" s="38">
        <f>SUM(G329:G340)</f>
        <v>14.475625000000001</v>
      </c>
      <c r="I329" s="39"/>
      <c r="J329" s="148">
        <v>0</v>
      </c>
      <c r="K329" s="222">
        <v>0</v>
      </c>
    </row>
    <row r="330" spans="1:11" ht="26.25" hidden="1" thickBot="1" x14ac:dyDescent="0.3">
      <c r="A330" s="203"/>
      <c r="B330" s="205"/>
      <c r="C330" s="35" t="s">
        <v>129</v>
      </c>
      <c r="D330" s="46" t="s">
        <v>42</v>
      </c>
      <c r="E330" s="36">
        <v>0.27</v>
      </c>
      <c r="F330" s="33">
        <v>11.067499999999999</v>
      </c>
      <c r="G330" s="33">
        <f t="shared" si="5"/>
        <v>2.9882249999999999</v>
      </c>
      <c r="H330" s="34"/>
      <c r="I330" s="30"/>
      <c r="J330" s="148">
        <v>0</v>
      </c>
      <c r="K330" s="222">
        <v>0</v>
      </c>
    </row>
    <row r="331" spans="1:11" ht="15.75" hidden="1" thickBot="1" x14ac:dyDescent="0.3">
      <c r="A331" s="203"/>
      <c r="B331" s="205"/>
      <c r="C331" s="35" t="s">
        <v>130</v>
      </c>
      <c r="D331" s="46" t="s">
        <v>42</v>
      </c>
      <c r="E331" s="36">
        <v>0.33</v>
      </c>
      <c r="F331" s="33">
        <v>0</v>
      </c>
      <c r="G331" s="33">
        <f t="shared" si="5"/>
        <v>0</v>
      </c>
      <c r="H331" s="34"/>
      <c r="I331" s="30"/>
      <c r="J331" s="148">
        <v>0</v>
      </c>
      <c r="K331" s="222">
        <v>0</v>
      </c>
    </row>
    <row r="332" spans="1:11" ht="15.75" hidden="1" thickBot="1" x14ac:dyDescent="0.3">
      <c r="A332" s="203"/>
      <c r="B332" s="205"/>
      <c r="C332" s="35" t="s">
        <v>131</v>
      </c>
      <c r="D332" s="46" t="s">
        <v>42</v>
      </c>
      <c r="E332" s="36">
        <v>2.5000000000000001E-2</v>
      </c>
      <c r="F332" s="33">
        <v>34.104999999999997</v>
      </c>
      <c r="G332" s="33">
        <f t="shared" si="5"/>
        <v>0.85262499999999997</v>
      </c>
      <c r="H332" s="34"/>
      <c r="I332" s="30"/>
      <c r="J332" s="148">
        <v>0</v>
      </c>
      <c r="K332" s="222">
        <v>0</v>
      </c>
    </row>
    <row r="333" spans="1:11" ht="26.25" hidden="1" thickBot="1" x14ac:dyDescent="0.3">
      <c r="A333" s="203"/>
      <c r="B333" s="205"/>
      <c r="C333" s="35" t="s">
        <v>132</v>
      </c>
      <c r="D333" s="46" t="s">
        <v>108</v>
      </c>
      <c r="E333" s="36">
        <v>0.05</v>
      </c>
      <c r="F333" s="33">
        <v>12.748999999999999</v>
      </c>
      <c r="G333" s="33">
        <f t="shared" si="5"/>
        <v>0.63744999999999996</v>
      </c>
      <c r="H333" s="34"/>
      <c r="I333" s="30"/>
      <c r="J333" s="148">
        <v>0</v>
      </c>
      <c r="K333" s="222">
        <v>0</v>
      </c>
    </row>
    <row r="334" spans="1:11" ht="15.75" hidden="1" thickBot="1" x14ac:dyDescent="0.3">
      <c r="A334" s="203"/>
      <c r="B334" s="205"/>
      <c r="C334" s="35" t="s">
        <v>133</v>
      </c>
      <c r="D334" s="46" t="s">
        <v>42</v>
      </c>
      <c r="E334" s="36">
        <v>0.4</v>
      </c>
      <c r="F334" s="33">
        <v>0</v>
      </c>
      <c r="G334" s="33">
        <f t="shared" si="5"/>
        <v>0</v>
      </c>
      <c r="H334" s="34"/>
      <c r="I334" s="30"/>
      <c r="J334" s="148">
        <v>0</v>
      </c>
      <c r="K334" s="222">
        <v>0</v>
      </c>
    </row>
    <row r="335" spans="1:11" ht="15.75" hidden="1" thickBot="1" x14ac:dyDescent="0.3">
      <c r="A335" s="203"/>
      <c r="B335" s="205"/>
      <c r="C335" s="35" t="s">
        <v>27</v>
      </c>
      <c r="D335" s="46" t="s">
        <v>12</v>
      </c>
      <c r="E335" s="36">
        <f>0.2+0.2</f>
        <v>0.4</v>
      </c>
      <c r="F335" s="30">
        <v>18.933499999999999</v>
      </c>
      <c r="G335" s="33">
        <f t="shared" si="5"/>
        <v>7.5733999999999995</v>
      </c>
      <c r="H335" s="34"/>
      <c r="I335" s="30"/>
      <c r="J335" s="148">
        <v>0</v>
      </c>
      <c r="K335" s="222">
        <v>0</v>
      </c>
    </row>
    <row r="336" spans="1:11" ht="15.75" hidden="1" thickBot="1" x14ac:dyDescent="0.3">
      <c r="A336" s="203"/>
      <c r="B336" s="205"/>
      <c r="C336" s="35" t="s">
        <v>23</v>
      </c>
      <c r="D336" s="46" t="s">
        <v>12</v>
      </c>
      <c r="E336" s="36">
        <v>0.1</v>
      </c>
      <c r="F336" s="30">
        <v>18.420500000000001</v>
      </c>
      <c r="G336" s="33">
        <f t="shared" si="5"/>
        <v>1.8420500000000002</v>
      </c>
      <c r="H336" s="34"/>
      <c r="I336" s="30"/>
      <c r="J336" s="148">
        <v>0</v>
      </c>
      <c r="K336" s="222">
        <v>0</v>
      </c>
    </row>
    <row r="337" spans="1:11" ht="26.25" hidden="1" thickBot="1" x14ac:dyDescent="0.3">
      <c r="A337" s="203"/>
      <c r="B337" s="205"/>
      <c r="C337" s="35" t="s">
        <v>134</v>
      </c>
      <c r="D337" s="46" t="s">
        <v>42</v>
      </c>
      <c r="E337" s="36">
        <v>0.05</v>
      </c>
      <c r="F337" s="33">
        <v>0</v>
      </c>
      <c r="G337" s="33">
        <f t="shared" si="5"/>
        <v>0</v>
      </c>
      <c r="H337" s="34"/>
      <c r="I337" s="30"/>
      <c r="J337" s="148">
        <v>0</v>
      </c>
      <c r="K337" s="222">
        <v>0</v>
      </c>
    </row>
    <row r="338" spans="1:11" ht="39" hidden="1" thickBot="1" x14ac:dyDescent="0.3">
      <c r="A338" s="203"/>
      <c r="B338" s="205"/>
      <c r="C338" s="35" t="s">
        <v>135</v>
      </c>
      <c r="D338" s="46" t="s">
        <v>94</v>
      </c>
      <c r="E338" s="36">
        <v>0.05</v>
      </c>
      <c r="F338" s="33">
        <v>0</v>
      </c>
      <c r="G338" s="33">
        <f t="shared" si="5"/>
        <v>0</v>
      </c>
      <c r="H338" s="34"/>
      <c r="I338" s="30"/>
      <c r="J338" s="148">
        <v>0</v>
      </c>
      <c r="K338" s="222">
        <v>0</v>
      </c>
    </row>
    <row r="339" spans="1:11" ht="15.75" hidden="1" thickBot="1" x14ac:dyDescent="0.3">
      <c r="A339" s="203"/>
      <c r="B339" s="205"/>
      <c r="C339" s="35" t="s">
        <v>136</v>
      </c>
      <c r="D339" s="46" t="s">
        <v>12</v>
      </c>
      <c r="E339" s="36">
        <v>2.5000000000000001E-2</v>
      </c>
      <c r="F339" s="33">
        <v>0</v>
      </c>
      <c r="G339" s="33">
        <f t="shared" si="5"/>
        <v>0</v>
      </c>
      <c r="H339" s="34"/>
      <c r="I339" s="30"/>
      <c r="J339" s="148">
        <v>0</v>
      </c>
      <c r="K339" s="222">
        <v>0</v>
      </c>
    </row>
    <row r="340" spans="1:11" ht="51.75" hidden="1" thickBot="1" x14ac:dyDescent="0.3">
      <c r="A340" s="203"/>
      <c r="B340" s="205"/>
      <c r="C340" s="35" t="s">
        <v>137</v>
      </c>
      <c r="D340" s="46" t="s">
        <v>12</v>
      </c>
      <c r="E340" s="36">
        <v>0.5</v>
      </c>
      <c r="F340" s="33">
        <v>0</v>
      </c>
      <c r="G340" s="33">
        <f t="shared" si="5"/>
        <v>0</v>
      </c>
      <c r="H340" s="34"/>
      <c r="I340" s="30"/>
      <c r="J340" s="148">
        <v>0</v>
      </c>
      <c r="K340" s="222">
        <v>0</v>
      </c>
    </row>
    <row r="341" spans="1:11" ht="15.75" hidden="1" thickBot="1" x14ac:dyDescent="0.3">
      <c r="A341" s="209"/>
      <c r="B341" s="206"/>
      <c r="C341" s="35"/>
      <c r="D341" s="35"/>
      <c r="E341" s="36"/>
      <c r="F341" s="30" t="s">
        <v>514</v>
      </c>
      <c r="G341" s="30" t="str">
        <f t="shared" si="5"/>
        <v/>
      </c>
      <c r="H341" s="34"/>
      <c r="I341" s="30"/>
      <c r="J341" s="148">
        <v>0</v>
      </c>
      <c r="K341" s="222">
        <v>0</v>
      </c>
    </row>
    <row r="342" spans="1:11" ht="15.75" hidden="1" thickBot="1" x14ac:dyDescent="0.3">
      <c r="A342" s="202" t="s">
        <v>138</v>
      </c>
      <c r="B342" s="204" t="str">
        <f>INDEX(Orçamentária!A:B,MATCH(Composições!A342,Orçamentária!A:A,0),2)</f>
        <v>Forma para estruturas de concreto</v>
      </c>
      <c r="C342" s="40"/>
      <c r="D342" s="25" t="str">
        <f>TRIM(INDEX(Orçamentária!C:C,MATCH(Composições!A342,Orçamentária!A:A,0),1))</f>
        <v>m2</v>
      </c>
      <c r="E342" s="26"/>
      <c r="F342" s="41" t="s">
        <v>514</v>
      </c>
      <c r="G342" s="27" t="str">
        <f t="shared" si="5"/>
        <v/>
      </c>
      <c r="H342" s="28"/>
      <c r="I342" s="29"/>
      <c r="J342" s="148">
        <v>75</v>
      </c>
      <c r="K342" s="222" t="s">
        <v>8074</v>
      </c>
    </row>
    <row r="343" spans="1:11" ht="15.75" hidden="1" thickBot="1" x14ac:dyDescent="0.3">
      <c r="A343" s="203"/>
      <c r="B343" s="205"/>
      <c r="C343" s="31"/>
      <c r="D343" s="31"/>
      <c r="E343" s="32"/>
      <c r="F343" s="42" t="s">
        <v>514</v>
      </c>
      <c r="G343" s="30" t="str">
        <f t="shared" si="5"/>
        <v/>
      </c>
      <c r="H343" s="34"/>
      <c r="I343" s="30"/>
      <c r="J343" s="148">
        <v>75</v>
      </c>
      <c r="K343" s="222" t="s">
        <v>8074</v>
      </c>
    </row>
    <row r="344" spans="1:11" ht="26.25" hidden="1" thickBot="1" x14ac:dyDescent="0.3">
      <c r="A344" s="203"/>
      <c r="B344" s="205"/>
      <c r="C344" s="35" t="s">
        <v>1142</v>
      </c>
      <c r="D344" s="49" t="s">
        <v>101</v>
      </c>
      <c r="E344" s="36">
        <v>0.01</v>
      </c>
      <c r="F344" s="33">
        <v>7.4005000000000001</v>
      </c>
      <c r="G344" s="33">
        <f t="shared" si="5"/>
        <v>7.4005000000000001E-2</v>
      </c>
      <c r="H344" s="38">
        <f>SUM(G344:G350)</f>
        <v>192.65446773199997</v>
      </c>
      <c r="I344" s="39"/>
      <c r="J344" s="148">
        <v>75</v>
      </c>
      <c r="K344" s="222" t="s">
        <v>8074</v>
      </c>
    </row>
    <row r="345" spans="1:11" ht="26.25" hidden="1" thickBot="1" x14ac:dyDescent="0.3">
      <c r="A345" s="203"/>
      <c r="B345" s="205"/>
      <c r="C345" s="35" t="s">
        <v>6595</v>
      </c>
      <c r="D345" s="35" t="s">
        <v>473</v>
      </c>
      <c r="E345" s="36">
        <v>0.47399999999999998</v>
      </c>
      <c r="F345" s="33">
        <v>21.213499999999996</v>
      </c>
      <c r="G345" s="33">
        <f t="shared" si="5"/>
        <v>10.055198999999998</v>
      </c>
      <c r="H345" s="34"/>
      <c r="I345" s="30"/>
      <c r="J345" s="148">
        <v>75</v>
      </c>
      <c r="K345" s="222" t="s">
        <v>8074</v>
      </c>
    </row>
    <row r="346" spans="1:11" ht="15.75" hidden="1" thickBot="1" x14ac:dyDescent="0.3">
      <c r="A346" s="203"/>
      <c r="B346" s="205"/>
      <c r="C346" s="35" t="s">
        <v>3330</v>
      </c>
      <c r="D346" s="35" t="s">
        <v>891</v>
      </c>
      <c r="E346" s="36">
        <v>4.9000000000000002E-2</v>
      </c>
      <c r="F346" s="33">
        <v>27.929999999999996</v>
      </c>
      <c r="G346" s="33">
        <f t="shared" si="5"/>
        <v>1.3685699999999998</v>
      </c>
      <c r="H346" s="34"/>
      <c r="I346" s="30"/>
      <c r="J346" s="148">
        <v>75</v>
      </c>
      <c r="K346" s="222" t="s">
        <v>8074</v>
      </c>
    </row>
    <row r="347" spans="1:11" ht="15.75" hidden="1" thickBot="1" x14ac:dyDescent="0.3">
      <c r="A347" s="203"/>
      <c r="B347" s="205"/>
      <c r="C347" s="35" t="s">
        <v>778</v>
      </c>
      <c r="D347" s="35" t="s">
        <v>695</v>
      </c>
      <c r="E347" s="36">
        <v>0.20499999999999999</v>
      </c>
      <c r="F347" s="30">
        <v>19.494</v>
      </c>
      <c r="G347" s="33">
        <f t="shared" si="5"/>
        <v>3.9962699999999995</v>
      </c>
      <c r="H347" s="34"/>
      <c r="I347" s="30"/>
      <c r="J347" s="148">
        <v>75</v>
      </c>
      <c r="K347" s="222" t="s">
        <v>8074</v>
      </c>
    </row>
    <row r="348" spans="1:11" ht="15.75" hidden="1" thickBot="1" x14ac:dyDescent="0.3">
      <c r="A348" s="203"/>
      <c r="B348" s="205"/>
      <c r="C348" s="35" t="s">
        <v>983</v>
      </c>
      <c r="D348" s="35" t="s">
        <v>695</v>
      </c>
      <c r="E348" s="36">
        <v>1.1200000000000001</v>
      </c>
      <c r="F348" s="30">
        <v>24.633499999999998</v>
      </c>
      <c r="G348" s="33">
        <f t="shared" si="5"/>
        <v>27.58952</v>
      </c>
      <c r="H348" s="34"/>
      <c r="I348" s="30"/>
      <c r="J348" s="148">
        <v>75</v>
      </c>
      <c r="K348" s="222" t="s">
        <v>8074</v>
      </c>
    </row>
    <row r="349" spans="1:11" ht="26.25" hidden="1" thickBot="1" x14ac:dyDescent="0.3">
      <c r="A349" s="203"/>
      <c r="B349" s="205"/>
      <c r="C349" s="35" t="s">
        <v>3667</v>
      </c>
      <c r="D349" s="35" t="s">
        <v>982</v>
      </c>
      <c r="E349" s="36">
        <v>0.621</v>
      </c>
      <c r="F349" s="33">
        <v>127.23038399999996</v>
      </c>
      <c r="G349" s="33">
        <f t="shared" si="5"/>
        <v>79.010068463999971</v>
      </c>
      <c r="H349" s="34"/>
      <c r="I349" s="30"/>
      <c r="J349" s="148">
        <v>75</v>
      </c>
      <c r="K349" s="222" t="s">
        <v>8074</v>
      </c>
    </row>
    <row r="350" spans="1:11" ht="26.25" hidden="1" thickBot="1" x14ac:dyDescent="0.3">
      <c r="A350" s="203"/>
      <c r="B350" s="205"/>
      <c r="C350" s="35" t="s">
        <v>3669</v>
      </c>
      <c r="D350" s="35" t="s">
        <v>473</v>
      </c>
      <c r="E350" s="36">
        <v>1.8160000000000001</v>
      </c>
      <c r="F350" s="33">
        <v>38.855085500000001</v>
      </c>
      <c r="G350" s="33">
        <f t="shared" si="5"/>
        <v>70.560835268000005</v>
      </c>
      <c r="H350" s="34"/>
      <c r="I350" s="30"/>
      <c r="J350" s="148">
        <v>75</v>
      </c>
      <c r="K350" s="222" t="s">
        <v>8074</v>
      </c>
    </row>
    <row r="351" spans="1:11" ht="15.75" hidden="1" thickBot="1" x14ac:dyDescent="0.3">
      <c r="A351" s="209"/>
      <c r="B351" s="206"/>
      <c r="C351" s="35"/>
      <c r="D351" s="35"/>
      <c r="E351" s="36"/>
      <c r="F351" s="30" t="s">
        <v>514</v>
      </c>
      <c r="G351" s="30" t="str">
        <f t="shared" si="5"/>
        <v/>
      </c>
      <c r="H351" s="34"/>
      <c r="I351" s="30"/>
      <c r="J351" s="148">
        <v>75</v>
      </c>
      <c r="K351" s="222" t="s">
        <v>8074</v>
      </c>
    </row>
    <row r="352" spans="1:11" ht="15.75" hidden="1" thickBot="1" x14ac:dyDescent="0.3">
      <c r="A352" s="202" t="s">
        <v>139</v>
      </c>
      <c r="B352" s="204" t="str">
        <f>INDEX(Orçamentária!A:B,MATCH(Composições!A352,Orçamentária!A:A,0),2)</f>
        <v>Verga/contraverga/cinta em bloco de concreto canaleta 11,5 x 19 x 39 cm</v>
      </c>
      <c r="C352" s="40"/>
      <c r="D352" s="25" t="str">
        <f>TRIM(INDEX(Orçamentária!C:C,MATCH(Composições!A352,Orçamentária!A:A,0),1))</f>
        <v>m</v>
      </c>
      <c r="E352" s="26"/>
      <c r="F352" s="41" t="s">
        <v>514</v>
      </c>
      <c r="G352" s="27" t="str">
        <f t="shared" si="5"/>
        <v/>
      </c>
      <c r="H352" s="28"/>
      <c r="I352" s="29"/>
      <c r="J352" s="148">
        <v>50</v>
      </c>
      <c r="K352" s="222" t="s">
        <v>8074</v>
      </c>
    </row>
    <row r="353" spans="1:11" ht="15.75" hidden="1" thickBot="1" x14ac:dyDescent="0.3">
      <c r="A353" s="207"/>
      <c r="B353" s="205"/>
      <c r="C353" s="31"/>
      <c r="D353" s="31"/>
      <c r="E353" s="32"/>
      <c r="F353" s="42" t="s">
        <v>514</v>
      </c>
      <c r="G353" s="30" t="str">
        <f t="shared" si="5"/>
        <v/>
      </c>
      <c r="H353" s="34"/>
      <c r="I353" s="30"/>
      <c r="J353" s="148">
        <v>50</v>
      </c>
      <c r="K353" s="222" t="s">
        <v>8074</v>
      </c>
    </row>
    <row r="354" spans="1:11" ht="15.75" hidden="1" thickBot="1" x14ac:dyDescent="0.3">
      <c r="A354" s="207"/>
      <c r="B354" s="205"/>
      <c r="C354" s="35" t="s">
        <v>23</v>
      </c>
      <c r="D354" s="46" t="s">
        <v>12</v>
      </c>
      <c r="E354" s="36">
        <v>0.4</v>
      </c>
      <c r="F354" s="30">
        <v>18.420500000000001</v>
      </c>
      <c r="G354" s="33">
        <f t="shared" si="5"/>
        <v>7.3682000000000007</v>
      </c>
      <c r="H354" s="38">
        <f>SUM(G354:G362)</f>
        <v>36.066860560999999</v>
      </c>
      <c r="I354" s="39"/>
      <c r="J354" s="148">
        <v>50</v>
      </c>
      <c r="K354" s="222" t="s">
        <v>8074</v>
      </c>
    </row>
    <row r="355" spans="1:11" ht="15.75" hidden="1" thickBot="1" x14ac:dyDescent="0.3">
      <c r="A355" s="207"/>
      <c r="B355" s="205"/>
      <c r="C355" s="35" t="s">
        <v>140</v>
      </c>
      <c r="D355" s="46" t="s">
        <v>12</v>
      </c>
      <c r="E355" s="36">
        <v>0.3</v>
      </c>
      <c r="F355" s="30">
        <v>24.889999999999997</v>
      </c>
      <c r="G355" s="33">
        <f t="shared" si="5"/>
        <v>7.4669999999999987</v>
      </c>
      <c r="H355" s="34"/>
      <c r="I355" s="30"/>
      <c r="J355" s="148">
        <v>50</v>
      </c>
      <c r="K355" s="222" t="s">
        <v>8074</v>
      </c>
    </row>
    <row r="356" spans="1:11" ht="15.75" hidden="1" thickBot="1" x14ac:dyDescent="0.3">
      <c r="A356" s="207"/>
      <c r="B356" s="205"/>
      <c r="C356" s="35" t="s">
        <v>112</v>
      </c>
      <c r="D356" s="35" t="s">
        <v>108</v>
      </c>
      <c r="E356" s="36">
        <v>0.01</v>
      </c>
      <c r="F356" s="33">
        <v>185.66799999999998</v>
      </c>
      <c r="G356" s="33">
        <f t="shared" si="5"/>
        <v>1.8566799999999999</v>
      </c>
      <c r="H356" s="34"/>
      <c r="I356" s="30"/>
      <c r="J356" s="148">
        <v>50</v>
      </c>
      <c r="K356" s="222" t="s">
        <v>8074</v>
      </c>
    </row>
    <row r="357" spans="1:11" ht="15.75" hidden="1" thickBot="1" x14ac:dyDescent="0.3">
      <c r="A357" s="207"/>
      <c r="B357" s="205"/>
      <c r="C357" s="35" t="s">
        <v>141</v>
      </c>
      <c r="D357" s="35" t="s">
        <v>108</v>
      </c>
      <c r="E357" s="36">
        <v>0.01</v>
      </c>
      <c r="F357" s="33">
        <v>152</v>
      </c>
      <c r="G357" s="33">
        <f t="shared" si="5"/>
        <v>1.52</v>
      </c>
      <c r="H357" s="34"/>
      <c r="I357" s="30"/>
      <c r="J357" s="148">
        <v>50</v>
      </c>
      <c r="K357" s="222" t="s">
        <v>8074</v>
      </c>
    </row>
    <row r="358" spans="1:11" ht="15.75" hidden="1" thickBot="1" x14ac:dyDescent="0.3">
      <c r="A358" s="207"/>
      <c r="B358" s="205"/>
      <c r="C358" s="35" t="s">
        <v>113</v>
      </c>
      <c r="D358" s="46" t="s">
        <v>42</v>
      </c>
      <c r="E358" s="36">
        <v>2.0099999999999998</v>
      </c>
      <c r="F358" s="33">
        <v>0.627</v>
      </c>
      <c r="G358" s="33">
        <f t="shared" si="5"/>
        <v>1.2602699999999998</v>
      </c>
      <c r="H358" s="34"/>
      <c r="I358" s="30"/>
      <c r="J358" s="148">
        <v>50</v>
      </c>
      <c r="K358" s="222" t="s">
        <v>8074</v>
      </c>
    </row>
    <row r="359" spans="1:11" ht="15.75" hidden="1" thickBot="1" x14ac:dyDescent="0.3">
      <c r="A359" s="207"/>
      <c r="B359" s="205"/>
      <c r="C359" s="35" t="s">
        <v>142</v>
      </c>
      <c r="D359" s="46" t="s">
        <v>143</v>
      </c>
      <c r="E359" s="36">
        <v>2.5</v>
      </c>
      <c r="F359" s="30">
        <v>4.1229999999999993</v>
      </c>
      <c r="G359" s="33">
        <f t="shared" si="5"/>
        <v>10.307499999999997</v>
      </c>
      <c r="H359" s="34"/>
      <c r="I359" s="30"/>
      <c r="J359" s="148">
        <v>50</v>
      </c>
      <c r="K359" s="222" t="s">
        <v>8074</v>
      </c>
    </row>
    <row r="360" spans="1:11" ht="15.75" hidden="1" thickBot="1" x14ac:dyDescent="0.3">
      <c r="A360" s="207"/>
      <c r="B360" s="205"/>
      <c r="C360" s="35" t="s">
        <v>144</v>
      </c>
      <c r="D360" s="46" t="s">
        <v>42</v>
      </c>
      <c r="E360" s="36">
        <v>0.5</v>
      </c>
      <c r="F360" s="33">
        <v>10.164999999999999</v>
      </c>
      <c r="G360" s="33">
        <f t="shared" si="5"/>
        <v>5.0824999999999996</v>
      </c>
      <c r="H360" s="34"/>
      <c r="I360" s="30"/>
      <c r="J360" s="148">
        <v>50</v>
      </c>
      <c r="K360" s="222" t="s">
        <v>8074</v>
      </c>
    </row>
    <row r="361" spans="1:11" ht="51.75" hidden="1" thickBot="1" x14ac:dyDescent="0.3">
      <c r="A361" s="207"/>
      <c r="B361" s="205"/>
      <c r="C361" s="35" t="s">
        <v>3507</v>
      </c>
      <c r="D361" s="35" t="s">
        <v>119</v>
      </c>
      <c r="E361" s="36">
        <f>1*(E356+E357)</f>
        <v>0.02</v>
      </c>
      <c r="F361" s="33">
        <v>7.7750840499999994</v>
      </c>
      <c r="G361" s="33">
        <f t="shared" si="5"/>
        <v>0.155501681</v>
      </c>
      <c r="H361" s="34"/>
      <c r="I361" s="30"/>
      <c r="J361" s="148">
        <v>50</v>
      </c>
      <c r="K361" s="222" t="s">
        <v>8074</v>
      </c>
    </row>
    <row r="362" spans="1:11" ht="39" hidden="1" thickBot="1" x14ac:dyDescent="0.3">
      <c r="A362" s="207"/>
      <c r="B362" s="205"/>
      <c r="C362" s="35" t="s">
        <v>120</v>
      </c>
      <c r="D362" s="46" t="s">
        <v>121</v>
      </c>
      <c r="E362" s="36">
        <f>(E356+E357)*20</f>
        <v>0.4</v>
      </c>
      <c r="F362" s="33">
        <v>2.6230221999999994</v>
      </c>
      <c r="G362" s="33">
        <f t="shared" si="5"/>
        <v>1.0492088799999999</v>
      </c>
      <c r="H362" s="34"/>
      <c r="I362" s="30"/>
      <c r="J362" s="148">
        <v>50</v>
      </c>
      <c r="K362" s="222" t="s">
        <v>8074</v>
      </c>
    </row>
    <row r="363" spans="1:11" ht="15.75" hidden="1" thickBot="1" x14ac:dyDescent="0.3">
      <c r="A363" s="207"/>
      <c r="B363" s="205"/>
      <c r="C363" s="50"/>
      <c r="D363" s="46"/>
      <c r="E363" s="36"/>
      <c r="F363" s="33" t="s">
        <v>514</v>
      </c>
      <c r="G363" s="33" t="str">
        <f t="shared" si="5"/>
        <v/>
      </c>
      <c r="H363" s="34"/>
      <c r="I363" s="30"/>
      <c r="J363" s="148">
        <v>50</v>
      </c>
      <c r="K363" s="222" t="s">
        <v>8074</v>
      </c>
    </row>
    <row r="364" spans="1:11" ht="26.25" hidden="1" thickBot="1" x14ac:dyDescent="0.3">
      <c r="A364" s="207"/>
      <c r="B364" s="205"/>
      <c r="C364" s="47" t="s">
        <v>122</v>
      </c>
      <c r="D364" s="46"/>
      <c r="E364" s="36"/>
      <c r="F364" s="33" t="s">
        <v>514</v>
      </c>
      <c r="G364" s="33" t="str">
        <f t="shared" si="5"/>
        <v/>
      </c>
      <c r="H364" s="34"/>
      <c r="I364" s="30"/>
      <c r="J364" s="148">
        <v>50</v>
      </c>
      <c r="K364" s="222" t="s">
        <v>8074</v>
      </c>
    </row>
    <row r="365" spans="1:11" ht="15.75" hidden="1" thickBot="1" x14ac:dyDescent="0.3">
      <c r="A365" s="208"/>
      <c r="B365" s="206"/>
      <c r="C365" s="35"/>
      <c r="D365" s="35"/>
      <c r="E365" s="36"/>
      <c r="F365" s="30" t="s">
        <v>514</v>
      </c>
      <c r="G365" s="30" t="str">
        <f t="shared" si="5"/>
        <v/>
      </c>
      <c r="H365" s="34"/>
      <c r="I365" s="30"/>
      <c r="J365" s="148">
        <v>50</v>
      </c>
      <c r="K365" s="222" t="s">
        <v>8074</v>
      </c>
    </row>
    <row r="366" spans="1:11" ht="15.75" hidden="1" thickBot="1" x14ac:dyDescent="0.3">
      <c r="A366" s="202" t="s">
        <v>145</v>
      </c>
      <c r="B366" s="204" t="str">
        <f>INDEX(Orçamentária!A:B,MATCH(Composições!A366,Orçamentária!A:A,0),2)</f>
        <v>Impermeabilização de superfície com revestimento bicomponente semi flexível</v>
      </c>
      <c r="C366" s="40"/>
      <c r="D366" s="25" t="str">
        <f>TRIM(INDEX(Orçamentária!C:C,MATCH(Composições!A366,Orçamentária!A:A,0),1))</f>
        <v>m2</v>
      </c>
      <c r="E366" s="26"/>
      <c r="F366" s="41" t="s">
        <v>514</v>
      </c>
      <c r="G366" s="27" t="str">
        <f t="shared" si="5"/>
        <v/>
      </c>
      <c r="H366" s="28"/>
      <c r="I366" s="29"/>
      <c r="J366" s="148">
        <v>450</v>
      </c>
      <c r="K366" s="222" t="s">
        <v>8074</v>
      </c>
    </row>
    <row r="367" spans="1:11" ht="15.75" hidden="1" thickBot="1" x14ac:dyDescent="0.3">
      <c r="A367" s="203"/>
      <c r="B367" s="205"/>
      <c r="C367" s="31"/>
      <c r="D367" s="31"/>
      <c r="E367" s="32"/>
      <c r="F367" s="42" t="s">
        <v>514</v>
      </c>
      <c r="G367" s="30" t="str">
        <f t="shared" si="5"/>
        <v/>
      </c>
      <c r="H367" s="34"/>
      <c r="I367" s="30"/>
      <c r="J367" s="148">
        <v>450</v>
      </c>
      <c r="K367" s="222" t="s">
        <v>8074</v>
      </c>
    </row>
    <row r="368" spans="1:11" ht="26.25" hidden="1" thickBot="1" x14ac:dyDescent="0.3">
      <c r="A368" s="203"/>
      <c r="B368" s="205"/>
      <c r="C368" s="35" t="s">
        <v>146</v>
      </c>
      <c r="D368" s="35" t="s">
        <v>42</v>
      </c>
      <c r="E368" s="36">
        <v>3.2</v>
      </c>
      <c r="F368" s="33">
        <v>3.5339999999999998</v>
      </c>
      <c r="G368" s="30">
        <f t="shared" si="5"/>
        <v>11.3088</v>
      </c>
      <c r="H368" s="38">
        <f>SUM(G368:G370)</f>
        <v>26.653579999999998</v>
      </c>
      <c r="I368" s="39"/>
      <c r="J368" s="148">
        <v>450</v>
      </c>
      <c r="K368" s="222" t="s">
        <v>8074</v>
      </c>
    </row>
    <row r="369" spans="1:11" ht="15.75" hidden="1" thickBot="1" x14ac:dyDescent="0.3">
      <c r="A369" s="203"/>
      <c r="B369" s="205"/>
      <c r="C369" s="35" t="s">
        <v>50</v>
      </c>
      <c r="D369" s="49" t="s">
        <v>12</v>
      </c>
      <c r="E369" s="36">
        <v>0.108</v>
      </c>
      <c r="F369" s="30">
        <v>19.474999999999998</v>
      </c>
      <c r="G369" s="30">
        <f t="shared" si="5"/>
        <v>2.1032999999999999</v>
      </c>
      <c r="H369" s="34"/>
      <c r="I369" s="30"/>
      <c r="J369" s="148">
        <v>450</v>
      </c>
      <c r="K369" s="222" t="s">
        <v>8074</v>
      </c>
    </row>
    <row r="370" spans="1:11" ht="15.75" hidden="1" thickBot="1" x14ac:dyDescent="0.3">
      <c r="A370" s="203"/>
      <c r="B370" s="205"/>
      <c r="C370" s="35" t="s">
        <v>147</v>
      </c>
      <c r="D370" s="49" t="s">
        <v>12</v>
      </c>
      <c r="E370" s="36">
        <v>0.53200000000000003</v>
      </c>
      <c r="F370" s="30">
        <v>24.889999999999997</v>
      </c>
      <c r="G370" s="30">
        <f t="shared" si="5"/>
        <v>13.241479999999999</v>
      </c>
      <c r="H370" s="34"/>
      <c r="I370" s="30"/>
      <c r="J370" s="148">
        <v>450</v>
      </c>
      <c r="K370" s="222" t="s">
        <v>8074</v>
      </c>
    </row>
    <row r="371" spans="1:11" ht="15.75" hidden="1" thickBot="1" x14ac:dyDescent="0.3">
      <c r="A371" s="209"/>
      <c r="B371" s="206"/>
      <c r="C371" s="35"/>
      <c r="D371" s="35"/>
      <c r="E371" s="36"/>
      <c r="F371" s="30" t="s">
        <v>514</v>
      </c>
      <c r="G371" s="30" t="str">
        <f t="shared" si="5"/>
        <v/>
      </c>
      <c r="H371" s="34"/>
      <c r="I371" s="30"/>
      <c r="J371" s="148">
        <v>450</v>
      </c>
      <c r="K371" s="222" t="s">
        <v>8074</v>
      </c>
    </row>
    <row r="372" spans="1:11" ht="15.75" hidden="1" thickBot="1" x14ac:dyDescent="0.3">
      <c r="A372" s="202" t="s">
        <v>148</v>
      </c>
      <c r="B372" s="204" t="str">
        <f>INDEX(Orçamentária!A:B,MATCH(Composições!A372,Orçamentária!A:A,0),2)</f>
        <v>Alvenaria de vedação</v>
      </c>
      <c r="C372" s="40"/>
      <c r="D372" s="25" t="str">
        <f>TRIM(INDEX(Orçamentária!C:C,MATCH(Composições!A372,Orçamentária!A:A,0),1))</f>
        <v>m2</v>
      </c>
      <c r="E372" s="26"/>
      <c r="F372" s="41" t="s">
        <v>514</v>
      </c>
      <c r="G372" s="27" t="str">
        <f t="shared" si="5"/>
        <v/>
      </c>
      <c r="H372" s="28"/>
      <c r="I372" s="29"/>
      <c r="J372" s="148">
        <v>475</v>
      </c>
      <c r="K372" s="222" t="s">
        <v>8074</v>
      </c>
    </row>
    <row r="373" spans="1:11" ht="15.75" hidden="1" thickBot="1" x14ac:dyDescent="0.3">
      <c r="A373" s="203"/>
      <c r="B373" s="205"/>
      <c r="C373" s="31"/>
      <c r="D373" s="31"/>
      <c r="E373" s="32"/>
      <c r="F373" s="42" t="s">
        <v>514</v>
      </c>
      <c r="G373" s="30" t="str">
        <f t="shared" si="5"/>
        <v/>
      </c>
      <c r="H373" s="34"/>
      <c r="I373" s="30"/>
      <c r="J373" s="148">
        <v>475</v>
      </c>
      <c r="K373" s="222" t="s">
        <v>8074</v>
      </c>
    </row>
    <row r="374" spans="1:11" ht="26.25" hidden="1" thickBot="1" x14ac:dyDescent="0.3">
      <c r="A374" s="203"/>
      <c r="B374" s="205"/>
      <c r="C374" s="35" t="s">
        <v>6766</v>
      </c>
      <c r="D374" s="35" t="s">
        <v>20</v>
      </c>
      <c r="E374" s="36">
        <v>28.31</v>
      </c>
      <c r="F374" s="33">
        <v>0.76</v>
      </c>
      <c r="G374" s="33">
        <f t="shared" si="5"/>
        <v>21.515599999999999</v>
      </c>
      <c r="H374" s="38">
        <f>SUM(G374:G379)</f>
        <v>84.157795237117199</v>
      </c>
      <c r="I374" s="39"/>
      <c r="J374" s="148">
        <v>475</v>
      </c>
      <c r="K374" s="222" t="s">
        <v>8074</v>
      </c>
    </row>
    <row r="375" spans="1:11" ht="26.25" hidden="1" thickBot="1" x14ac:dyDescent="0.3">
      <c r="A375" s="203"/>
      <c r="B375" s="205"/>
      <c r="C375" s="35" t="s">
        <v>149</v>
      </c>
      <c r="D375" s="46" t="s">
        <v>92</v>
      </c>
      <c r="E375" s="36">
        <v>0.42</v>
      </c>
      <c r="F375" s="33">
        <v>2.964</v>
      </c>
      <c r="G375" s="33">
        <f t="shared" si="5"/>
        <v>1.24488</v>
      </c>
      <c r="H375" s="34"/>
      <c r="I375" s="30"/>
      <c r="J375" s="148">
        <v>475</v>
      </c>
      <c r="K375" s="222" t="s">
        <v>8074</v>
      </c>
    </row>
    <row r="376" spans="1:11" ht="15.75" hidden="1" thickBot="1" x14ac:dyDescent="0.3">
      <c r="A376" s="203"/>
      <c r="B376" s="205"/>
      <c r="C376" s="35" t="s">
        <v>150</v>
      </c>
      <c r="D376" s="46" t="s">
        <v>151</v>
      </c>
      <c r="E376" s="36">
        <v>5.0000000000000001E-3</v>
      </c>
      <c r="F376" s="33">
        <v>38.313499999999998</v>
      </c>
      <c r="G376" s="33">
        <f t="shared" si="5"/>
        <v>0.1915675</v>
      </c>
      <c r="H376" s="34"/>
      <c r="I376" s="30"/>
      <c r="J376" s="148">
        <v>475</v>
      </c>
      <c r="K376" s="222" t="s">
        <v>8074</v>
      </c>
    </row>
    <row r="377" spans="1:11" ht="51.75" hidden="1" thickBot="1" x14ac:dyDescent="0.3">
      <c r="A377" s="203"/>
      <c r="B377" s="205"/>
      <c r="C377" s="35" t="s">
        <v>152</v>
      </c>
      <c r="D377" s="46" t="s">
        <v>108</v>
      </c>
      <c r="E377" s="36">
        <v>9.1000000000000004E-3</v>
      </c>
      <c r="F377" s="33">
        <v>692.78519089199995</v>
      </c>
      <c r="G377" s="33">
        <f t="shared" si="5"/>
        <v>6.3043452371172002</v>
      </c>
      <c r="H377" s="34"/>
      <c r="I377" s="30"/>
      <c r="J377" s="148">
        <v>475</v>
      </c>
      <c r="K377" s="222" t="s">
        <v>8074</v>
      </c>
    </row>
    <row r="378" spans="1:11" ht="15.75" hidden="1" thickBot="1" x14ac:dyDescent="0.3">
      <c r="A378" s="203"/>
      <c r="B378" s="205"/>
      <c r="C378" s="35" t="s">
        <v>22</v>
      </c>
      <c r="D378" s="46" t="s">
        <v>12</v>
      </c>
      <c r="E378" s="36">
        <v>1.61</v>
      </c>
      <c r="F378" s="30">
        <v>24.889999999999997</v>
      </c>
      <c r="G378" s="30">
        <f t="shared" si="5"/>
        <v>40.072899999999997</v>
      </c>
      <c r="H378" s="34"/>
      <c r="I378" s="30"/>
      <c r="J378" s="148">
        <v>475</v>
      </c>
      <c r="K378" s="222" t="s">
        <v>8074</v>
      </c>
    </row>
    <row r="379" spans="1:11" ht="15.75" hidden="1" thickBot="1" x14ac:dyDescent="0.3">
      <c r="A379" s="203"/>
      <c r="B379" s="205"/>
      <c r="C379" s="35" t="s">
        <v>23</v>
      </c>
      <c r="D379" s="46" t="s">
        <v>12</v>
      </c>
      <c r="E379" s="36">
        <v>0.80500000000000005</v>
      </c>
      <c r="F379" s="30">
        <v>18.420500000000001</v>
      </c>
      <c r="G379" s="30">
        <f t="shared" si="5"/>
        <v>14.828502500000001</v>
      </c>
      <c r="H379" s="34"/>
      <c r="I379" s="30"/>
      <c r="J379" s="148">
        <v>475</v>
      </c>
      <c r="K379" s="222" t="s">
        <v>8074</v>
      </c>
    </row>
    <row r="380" spans="1:11" ht="15.75" hidden="1" thickBot="1" x14ac:dyDescent="0.3">
      <c r="A380" s="209"/>
      <c r="B380" s="206"/>
      <c r="C380" s="35"/>
      <c r="D380" s="35"/>
      <c r="E380" s="36"/>
      <c r="F380" s="30" t="s">
        <v>514</v>
      </c>
      <c r="G380" s="30" t="str">
        <f t="shared" si="5"/>
        <v/>
      </c>
      <c r="H380" s="34"/>
      <c r="I380" s="30"/>
      <c r="J380" s="148">
        <v>475</v>
      </c>
      <c r="K380" s="222" t="s">
        <v>8074</v>
      </c>
    </row>
    <row r="381" spans="1:11" ht="15.75" hidden="1" thickBot="1" x14ac:dyDescent="0.3">
      <c r="A381" s="202" t="s">
        <v>153</v>
      </c>
      <c r="B381" s="204" t="str">
        <f>INDEX(Orçamentária!A:B,MATCH(Composições!A381,Orçamentária!A:A,0),2)</f>
        <v>Fechamento ou shaft em gesso acartonado tipo drywall</v>
      </c>
      <c r="C381" s="40"/>
      <c r="D381" s="25" t="str">
        <f>TRIM(INDEX(Orçamentária!C:C,MATCH(Composições!A381,Orçamentária!A:A,0),1))</f>
        <v>m2</v>
      </c>
      <c r="E381" s="26"/>
      <c r="F381" s="41" t="s">
        <v>514</v>
      </c>
      <c r="G381" s="27" t="str">
        <f t="shared" si="5"/>
        <v/>
      </c>
      <c r="H381" s="28"/>
      <c r="I381" s="29"/>
      <c r="J381" s="148">
        <v>45</v>
      </c>
      <c r="K381" s="222" t="s">
        <v>8074</v>
      </c>
    </row>
    <row r="382" spans="1:11" ht="15.75" hidden="1" thickBot="1" x14ac:dyDescent="0.3">
      <c r="A382" s="203"/>
      <c r="B382" s="205"/>
      <c r="C382" s="31"/>
      <c r="D382" s="31"/>
      <c r="E382" s="32"/>
      <c r="F382" s="42" t="s">
        <v>514</v>
      </c>
      <c r="G382" s="30" t="str">
        <f t="shared" si="5"/>
        <v/>
      </c>
      <c r="H382" s="34"/>
      <c r="I382" s="30"/>
      <c r="J382" s="148">
        <v>45</v>
      </c>
      <c r="K382" s="222" t="s">
        <v>8074</v>
      </c>
    </row>
    <row r="383" spans="1:11" ht="26.25" hidden="1" thickBot="1" x14ac:dyDescent="0.3">
      <c r="A383" s="203"/>
      <c r="B383" s="205"/>
      <c r="C383" s="35" t="s">
        <v>154</v>
      </c>
      <c r="D383" s="35" t="s">
        <v>151</v>
      </c>
      <c r="E383" s="36">
        <v>2.4299999999999999E-2</v>
      </c>
      <c r="F383" s="33">
        <v>44.564499999999995</v>
      </c>
      <c r="G383" s="33">
        <f t="shared" si="5"/>
        <v>1.0829173499999998</v>
      </c>
      <c r="H383" s="38">
        <f>SUM(G383:G393)</f>
        <v>56.274864049999998</v>
      </c>
      <c r="I383" s="39"/>
      <c r="J383" s="148">
        <v>45</v>
      </c>
      <c r="K383" s="222" t="s">
        <v>8074</v>
      </c>
    </row>
    <row r="384" spans="1:11" ht="26.25" hidden="1" thickBot="1" x14ac:dyDescent="0.3">
      <c r="A384" s="203"/>
      <c r="B384" s="205"/>
      <c r="C384" s="35" t="s">
        <v>3682</v>
      </c>
      <c r="D384" s="35" t="s">
        <v>94</v>
      </c>
      <c r="E384" s="36">
        <v>1.0529999999999999</v>
      </c>
      <c r="F384" s="33">
        <v>17.3565</v>
      </c>
      <c r="G384" s="33">
        <f t="shared" si="5"/>
        <v>18.276394499999999</v>
      </c>
      <c r="H384" s="44"/>
      <c r="I384" s="45"/>
      <c r="J384" s="148">
        <v>45</v>
      </c>
      <c r="K384" s="222" t="s">
        <v>8074</v>
      </c>
    </row>
    <row r="385" spans="1:11" ht="26.25" hidden="1" thickBot="1" x14ac:dyDescent="0.3">
      <c r="A385" s="203"/>
      <c r="B385" s="205"/>
      <c r="C385" s="35" t="s">
        <v>155</v>
      </c>
      <c r="D385" s="35" t="s">
        <v>92</v>
      </c>
      <c r="E385" s="36">
        <v>0.76039999999999996</v>
      </c>
      <c r="F385" s="33">
        <v>7.7995000000000001</v>
      </c>
      <c r="G385" s="33">
        <f t="shared" si="5"/>
        <v>5.9307397999999996</v>
      </c>
      <c r="H385" s="44"/>
      <c r="I385" s="45"/>
      <c r="J385" s="148">
        <v>45</v>
      </c>
      <c r="K385" s="222" t="s">
        <v>8074</v>
      </c>
    </row>
    <row r="386" spans="1:11" ht="26.25" hidden="1" thickBot="1" x14ac:dyDescent="0.3">
      <c r="A386" s="203"/>
      <c r="B386" s="205"/>
      <c r="C386" s="35" t="s">
        <v>156</v>
      </c>
      <c r="D386" s="35" t="s">
        <v>92</v>
      </c>
      <c r="E386" s="36">
        <v>1.9910000000000001</v>
      </c>
      <c r="F386" s="33">
        <v>8.8539999999999992</v>
      </c>
      <c r="G386" s="33">
        <f t="shared" si="5"/>
        <v>17.628314</v>
      </c>
      <c r="H386" s="44"/>
      <c r="I386" s="45"/>
      <c r="J386" s="148">
        <v>45</v>
      </c>
      <c r="K386" s="222" t="s">
        <v>8074</v>
      </c>
    </row>
    <row r="387" spans="1:11" ht="26.25" hidden="1" thickBot="1" x14ac:dyDescent="0.3">
      <c r="A387" s="203"/>
      <c r="B387" s="205"/>
      <c r="C387" s="35" t="s">
        <v>157</v>
      </c>
      <c r="D387" s="35" t="s">
        <v>92</v>
      </c>
      <c r="E387" s="36">
        <v>1.2513000000000001</v>
      </c>
      <c r="F387" s="33">
        <v>0.26600000000000001</v>
      </c>
      <c r="G387" s="33">
        <f t="shared" si="5"/>
        <v>0.33284580000000002</v>
      </c>
      <c r="H387" s="44"/>
      <c r="I387" s="45"/>
      <c r="J387" s="148">
        <v>45</v>
      </c>
      <c r="K387" s="222" t="s">
        <v>8074</v>
      </c>
    </row>
    <row r="388" spans="1:11" ht="26.25" hidden="1" thickBot="1" x14ac:dyDescent="0.3">
      <c r="A388" s="203"/>
      <c r="B388" s="205"/>
      <c r="C388" s="35" t="s">
        <v>158</v>
      </c>
      <c r="D388" s="35" t="s">
        <v>92</v>
      </c>
      <c r="E388" s="36">
        <v>0.74070000000000003</v>
      </c>
      <c r="F388" s="33">
        <v>2.4034999999999997</v>
      </c>
      <c r="G388" s="33">
        <f t="shared" si="5"/>
        <v>1.7802724499999998</v>
      </c>
      <c r="H388" s="44"/>
      <c r="I388" s="45"/>
      <c r="J388" s="148">
        <v>45</v>
      </c>
      <c r="K388" s="222" t="s">
        <v>8074</v>
      </c>
    </row>
    <row r="389" spans="1:11" ht="39" hidden="1" thickBot="1" x14ac:dyDescent="0.3">
      <c r="A389" s="203"/>
      <c r="B389" s="205"/>
      <c r="C389" s="35" t="s">
        <v>3680</v>
      </c>
      <c r="D389" s="35" t="s">
        <v>42</v>
      </c>
      <c r="E389" s="36">
        <v>0.51639999999999997</v>
      </c>
      <c r="F389" s="33">
        <v>3.0019999999999998</v>
      </c>
      <c r="G389" s="33">
        <f t="shared" si="5"/>
        <v>1.5502327999999999</v>
      </c>
      <c r="H389" s="44"/>
      <c r="I389" s="45"/>
      <c r="J389" s="148">
        <v>45</v>
      </c>
      <c r="K389" s="222" t="s">
        <v>8074</v>
      </c>
    </row>
    <row r="390" spans="1:11" ht="26.25" hidden="1" thickBot="1" x14ac:dyDescent="0.3">
      <c r="A390" s="203"/>
      <c r="B390" s="205"/>
      <c r="C390" s="35" t="s">
        <v>159</v>
      </c>
      <c r="D390" s="35" t="s">
        <v>20</v>
      </c>
      <c r="E390" s="36">
        <v>10.0039</v>
      </c>
      <c r="F390" s="33">
        <v>9.5000000000000001E-2</v>
      </c>
      <c r="G390" s="33">
        <f t="shared" ref="G390:G453" si="6">IF(ISNUMBER(F390),E390*F390,"")</f>
        <v>0.95037050000000001</v>
      </c>
      <c r="H390" s="44"/>
      <c r="I390" s="45"/>
      <c r="J390" s="148">
        <v>45</v>
      </c>
      <c r="K390" s="222" t="s">
        <v>8074</v>
      </c>
    </row>
    <row r="391" spans="1:11" ht="26.25" hidden="1" thickBot="1" x14ac:dyDescent="0.3">
      <c r="A391" s="203"/>
      <c r="B391" s="205"/>
      <c r="C391" s="35" t="s">
        <v>160</v>
      </c>
      <c r="D391" s="35" t="s">
        <v>20</v>
      </c>
      <c r="E391" s="36">
        <v>0.80759999999999998</v>
      </c>
      <c r="F391" s="33">
        <v>0.22799999999999998</v>
      </c>
      <c r="G391" s="33">
        <f t="shared" si="6"/>
        <v>0.18413279999999999</v>
      </c>
      <c r="H391" s="44"/>
      <c r="I391" s="45"/>
      <c r="J391" s="148">
        <v>45</v>
      </c>
      <c r="K391" s="222" t="s">
        <v>8074</v>
      </c>
    </row>
    <row r="392" spans="1:11" ht="15.75" hidden="1" thickBot="1" x14ac:dyDescent="0.3">
      <c r="A392" s="203"/>
      <c r="B392" s="205"/>
      <c r="C392" s="35" t="s">
        <v>27</v>
      </c>
      <c r="D392" s="35" t="s">
        <v>12</v>
      </c>
      <c r="E392" s="36">
        <v>0.36359999999999998</v>
      </c>
      <c r="F392" s="30">
        <v>18.933499999999999</v>
      </c>
      <c r="G392" s="33">
        <f t="shared" si="6"/>
        <v>6.884220599999999</v>
      </c>
      <c r="H392" s="44"/>
      <c r="I392" s="45"/>
      <c r="J392" s="148">
        <v>45</v>
      </c>
      <c r="K392" s="222" t="s">
        <v>8074</v>
      </c>
    </row>
    <row r="393" spans="1:11" ht="15.75" hidden="1" thickBot="1" x14ac:dyDescent="0.3">
      <c r="A393" s="203"/>
      <c r="B393" s="205"/>
      <c r="C393" s="35" t="s">
        <v>23</v>
      </c>
      <c r="D393" s="35" t="s">
        <v>12</v>
      </c>
      <c r="E393" s="36">
        <v>9.0899999999999995E-2</v>
      </c>
      <c r="F393" s="30">
        <v>18.420500000000001</v>
      </c>
      <c r="G393" s="33">
        <f t="shared" si="6"/>
        <v>1.6744234499999999</v>
      </c>
      <c r="H393" s="44"/>
      <c r="I393" s="45"/>
      <c r="J393" s="148">
        <v>45</v>
      </c>
      <c r="K393" s="222" t="s">
        <v>8074</v>
      </c>
    </row>
    <row r="394" spans="1:11" ht="15.75" hidden="1" thickBot="1" x14ac:dyDescent="0.3">
      <c r="A394" s="209"/>
      <c r="B394" s="206"/>
      <c r="C394" s="35"/>
      <c r="D394" s="35"/>
      <c r="E394" s="36"/>
      <c r="F394" s="30" t="s">
        <v>514</v>
      </c>
      <c r="G394" s="30" t="str">
        <f t="shared" si="6"/>
        <v/>
      </c>
      <c r="H394" s="34"/>
      <c r="I394" s="30"/>
      <c r="J394" s="148">
        <v>45</v>
      </c>
      <c r="K394" s="222" t="s">
        <v>8074</v>
      </c>
    </row>
    <row r="395" spans="1:11" ht="15.75" hidden="1" thickBot="1" x14ac:dyDescent="0.3">
      <c r="A395" s="202" t="s">
        <v>161</v>
      </c>
      <c r="B395" s="204" t="str">
        <f>INDEX(Orçamentária!A:B,MATCH(Composições!A395,Orçamentária!A:A,0),2)</f>
        <v>Fixação (encunhamento) de Alvenaria de Vedação</v>
      </c>
      <c r="C395" s="40"/>
      <c r="D395" s="25" t="str">
        <f>TRIM(INDEX(Orçamentária!C:C,MATCH(Composições!A395,Orçamentária!A:A,0),1))</f>
        <v>m</v>
      </c>
      <c r="E395" s="26"/>
      <c r="F395" s="41" t="s">
        <v>514</v>
      </c>
      <c r="G395" s="27" t="str">
        <f t="shared" si="6"/>
        <v/>
      </c>
      <c r="H395" s="28"/>
      <c r="I395" s="29"/>
      <c r="J395" s="148">
        <v>270</v>
      </c>
      <c r="K395" s="222" t="s">
        <v>8074</v>
      </c>
    </row>
    <row r="396" spans="1:11" ht="15.75" hidden="1" thickBot="1" x14ac:dyDescent="0.3">
      <c r="A396" s="203"/>
      <c r="B396" s="205"/>
      <c r="C396" s="31"/>
      <c r="D396" s="31"/>
      <c r="E396" s="32"/>
      <c r="F396" s="42" t="s">
        <v>514</v>
      </c>
      <c r="G396" s="30" t="str">
        <f t="shared" si="6"/>
        <v/>
      </c>
      <c r="H396" s="34"/>
      <c r="I396" s="30"/>
      <c r="J396" s="148">
        <v>270</v>
      </c>
      <c r="K396" s="222" t="s">
        <v>8074</v>
      </c>
    </row>
    <row r="397" spans="1:11" ht="15.75" hidden="1" thickBot="1" x14ac:dyDescent="0.3">
      <c r="A397" s="203"/>
      <c r="B397" s="205"/>
      <c r="C397" s="35" t="s">
        <v>3498</v>
      </c>
      <c r="D397" s="46" t="s">
        <v>20</v>
      </c>
      <c r="E397" s="36">
        <v>11.2</v>
      </c>
      <c r="F397" s="33">
        <v>0.64600000000000002</v>
      </c>
      <c r="G397" s="30">
        <f t="shared" si="6"/>
        <v>7.2351999999999999</v>
      </c>
      <c r="H397" s="38">
        <f>SUM(G397:G400)</f>
        <v>25.842796644063199</v>
      </c>
      <c r="I397" s="39"/>
      <c r="J397" s="148">
        <v>270</v>
      </c>
      <c r="K397" s="222" t="s">
        <v>8074</v>
      </c>
    </row>
    <row r="398" spans="1:11" ht="51.75" hidden="1" thickBot="1" x14ac:dyDescent="0.3">
      <c r="A398" s="203"/>
      <c r="B398" s="205"/>
      <c r="C398" s="35" t="s">
        <v>162</v>
      </c>
      <c r="D398" s="46" t="s">
        <v>108</v>
      </c>
      <c r="E398" s="36">
        <v>5.1999999999999998E-3</v>
      </c>
      <c r="F398" s="33">
        <v>670.81031616600001</v>
      </c>
      <c r="G398" s="30">
        <f t="shared" si="6"/>
        <v>3.4882136440631997</v>
      </c>
      <c r="H398" s="44"/>
      <c r="I398" s="45"/>
      <c r="J398" s="148">
        <v>270</v>
      </c>
      <c r="K398" s="222" t="s">
        <v>8074</v>
      </c>
    </row>
    <row r="399" spans="1:11" ht="15.75" hidden="1" thickBot="1" x14ac:dyDescent="0.3">
      <c r="A399" s="203"/>
      <c r="B399" s="205"/>
      <c r="C399" s="35" t="s">
        <v>22</v>
      </c>
      <c r="D399" s="46" t="s">
        <v>12</v>
      </c>
      <c r="E399" s="36">
        <v>0.52900000000000003</v>
      </c>
      <c r="F399" s="30">
        <v>24.889999999999997</v>
      </c>
      <c r="G399" s="30">
        <f t="shared" si="6"/>
        <v>13.16681</v>
      </c>
      <c r="H399" s="44"/>
      <c r="I399" s="45"/>
      <c r="J399" s="148">
        <v>270</v>
      </c>
      <c r="K399" s="222" t="s">
        <v>8074</v>
      </c>
    </row>
    <row r="400" spans="1:11" ht="15.75" hidden="1" thickBot="1" x14ac:dyDescent="0.3">
      <c r="A400" s="203"/>
      <c r="B400" s="205"/>
      <c r="C400" s="35" t="s">
        <v>23</v>
      </c>
      <c r="D400" s="46" t="s">
        <v>12</v>
      </c>
      <c r="E400" s="36">
        <v>0.106</v>
      </c>
      <c r="F400" s="30">
        <v>18.420500000000001</v>
      </c>
      <c r="G400" s="30">
        <f t="shared" si="6"/>
        <v>1.9525729999999999</v>
      </c>
      <c r="H400" s="44"/>
      <c r="I400" s="45"/>
      <c r="J400" s="148">
        <v>270</v>
      </c>
      <c r="K400" s="222" t="s">
        <v>8074</v>
      </c>
    </row>
    <row r="401" spans="1:11" ht="15.75" hidden="1" thickBot="1" x14ac:dyDescent="0.3">
      <c r="A401" s="203"/>
      <c r="B401" s="205"/>
      <c r="C401" s="35"/>
      <c r="D401" s="46"/>
      <c r="E401" s="36"/>
      <c r="F401" s="33" t="s">
        <v>514</v>
      </c>
      <c r="G401" s="33" t="str">
        <f t="shared" si="6"/>
        <v/>
      </c>
      <c r="H401" s="44"/>
      <c r="I401" s="45"/>
      <c r="J401" s="148">
        <v>270</v>
      </c>
      <c r="K401" s="222" t="s">
        <v>8074</v>
      </c>
    </row>
    <row r="402" spans="1:11" ht="15.75" hidden="1" thickBot="1" x14ac:dyDescent="0.3">
      <c r="A402" s="202" t="s">
        <v>163</v>
      </c>
      <c r="B402" s="204" t="str">
        <f>INDEX(Orçamentária!A:B,MATCH(Composições!A402,Orçamentária!A:A,0),2)</f>
        <v>Parede em gesso acartonado (drywall)</v>
      </c>
      <c r="C402" s="40"/>
      <c r="D402" s="25" t="str">
        <f>TRIM(INDEX(Orçamentária!C:C,MATCH(Composições!A402,Orçamentária!A:A,0),1))</f>
        <v>m2</v>
      </c>
      <c r="E402" s="26"/>
      <c r="F402" s="41" t="s">
        <v>514</v>
      </c>
      <c r="G402" s="27" t="str">
        <f t="shared" si="6"/>
        <v/>
      </c>
      <c r="H402" s="28"/>
      <c r="I402" s="29"/>
      <c r="J402" s="148">
        <v>900</v>
      </c>
      <c r="K402" s="222" t="s">
        <v>8074</v>
      </c>
    </row>
    <row r="403" spans="1:11" ht="15.75" hidden="1" thickBot="1" x14ac:dyDescent="0.3">
      <c r="A403" s="203"/>
      <c r="B403" s="205"/>
      <c r="C403" s="31"/>
      <c r="D403" s="31"/>
      <c r="E403" s="32"/>
      <c r="F403" s="42" t="s">
        <v>514</v>
      </c>
      <c r="G403" s="30" t="str">
        <f t="shared" si="6"/>
        <v/>
      </c>
      <c r="H403" s="34"/>
      <c r="I403" s="30"/>
      <c r="J403" s="148">
        <v>900</v>
      </c>
      <c r="K403" s="222" t="s">
        <v>8074</v>
      </c>
    </row>
    <row r="404" spans="1:11" ht="26.25" hidden="1" thickBot="1" x14ac:dyDescent="0.3">
      <c r="A404" s="203"/>
      <c r="B404" s="205"/>
      <c r="C404" s="35" t="s">
        <v>164</v>
      </c>
      <c r="D404" s="46" t="s">
        <v>151</v>
      </c>
      <c r="E404" s="36">
        <v>2.4299999999999999E-2</v>
      </c>
      <c r="F404" s="33">
        <v>44.564499999999995</v>
      </c>
      <c r="G404" s="30">
        <f t="shared" si="6"/>
        <v>1.0829173499999998</v>
      </c>
      <c r="H404" s="38">
        <f>SUM(G404:G414)</f>
        <v>81.651516749999999</v>
      </c>
      <c r="I404" s="39"/>
      <c r="J404" s="148">
        <v>900</v>
      </c>
      <c r="K404" s="222" t="s">
        <v>8074</v>
      </c>
    </row>
    <row r="405" spans="1:11" ht="26.25" hidden="1" thickBot="1" x14ac:dyDescent="0.3">
      <c r="A405" s="203"/>
      <c r="B405" s="205"/>
      <c r="C405" s="35" t="s">
        <v>3682</v>
      </c>
      <c r="D405" s="46" t="s">
        <v>94</v>
      </c>
      <c r="E405" s="36">
        <v>2.1059999999999999</v>
      </c>
      <c r="F405" s="33">
        <v>17.3565</v>
      </c>
      <c r="G405" s="30">
        <f t="shared" si="6"/>
        <v>36.552788999999997</v>
      </c>
      <c r="H405" s="34"/>
      <c r="I405" s="30"/>
      <c r="J405" s="148">
        <v>900</v>
      </c>
      <c r="K405" s="222" t="s">
        <v>8074</v>
      </c>
    </row>
    <row r="406" spans="1:11" ht="26.25" hidden="1" thickBot="1" x14ac:dyDescent="0.3">
      <c r="A406" s="203"/>
      <c r="B406" s="205"/>
      <c r="C406" s="35" t="s">
        <v>165</v>
      </c>
      <c r="D406" s="46" t="s">
        <v>92</v>
      </c>
      <c r="E406" s="36">
        <v>0.76039999999999996</v>
      </c>
      <c r="F406" s="33">
        <v>7.7995000000000001</v>
      </c>
      <c r="G406" s="30">
        <f t="shared" si="6"/>
        <v>5.9307397999999996</v>
      </c>
      <c r="H406" s="34"/>
      <c r="I406" s="30"/>
      <c r="J406" s="148">
        <v>900</v>
      </c>
      <c r="K406" s="222" t="s">
        <v>8074</v>
      </c>
    </row>
    <row r="407" spans="1:11" ht="26.25" hidden="1" thickBot="1" x14ac:dyDescent="0.3">
      <c r="A407" s="203"/>
      <c r="B407" s="205"/>
      <c r="C407" s="35" t="s">
        <v>166</v>
      </c>
      <c r="D407" s="46" t="s">
        <v>92</v>
      </c>
      <c r="E407" s="36">
        <v>1.9910000000000001</v>
      </c>
      <c r="F407" s="33">
        <v>8.8539999999999992</v>
      </c>
      <c r="G407" s="30">
        <f t="shared" si="6"/>
        <v>17.628314</v>
      </c>
      <c r="H407" s="34"/>
      <c r="I407" s="30"/>
      <c r="J407" s="148">
        <v>900</v>
      </c>
      <c r="K407" s="222" t="s">
        <v>8074</v>
      </c>
    </row>
    <row r="408" spans="1:11" ht="26.25" hidden="1" thickBot="1" x14ac:dyDescent="0.3">
      <c r="A408" s="203"/>
      <c r="B408" s="205"/>
      <c r="C408" s="35" t="s">
        <v>167</v>
      </c>
      <c r="D408" s="46" t="s">
        <v>92</v>
      </c>
      <c r="E408" s="36">
        <v>2.5026999999999999</v>
      </c>
      <c r="F408" s="33">
        <v>0.26600000000000001</v>
      </c>
      <c r="G408" s="30">
        <f t="shared" si="6"/>
        <v>0.66571820000000004</v>
      </c>
      <c r="H408" s="34"/>
      <c r="I408" s="30"/>
      <c r="J408" s="148">
        <v>900</v>
      </c>
      <c r="K408" s="222" t="s">
        <v>8074</v>
      </c>
    </row>
    <row r="409" spans="1:11" ht="26.25" hidden="1" thickBot="1" x14ac:dyDescent="0.3">
      <c r="A409" s="203"/>
      <c r="B409" s="205"/>
      <c r="C409" s="35" t="s">
        <v>168</v>
      </c>
      <c r="D409" s="46" t="s">
        <v>92</v>
      </c>
      <c r="E409" s="36">
        <v>0.74070000000000003</v>
      </c>
      <c r="F409" s="33">
        <v>2.4034999999999997</v>
      </c>
      <c r="G409" s="30">
        <f t="shared" si="6"/>
        <v>1.7802724499999998</v>
      </c>
      <c r="H409" s="34"/>
      <c r="I409" s="30"/>
      <c r="J409" s="148">
        <v>900</v>
      </c>
      <c r="K409" s="222" t="s">
        <v>8074</v>
      </c>
    </row>
    <row r="410" spans="1:11" ht="39" hidden="1" thickBot="1" x14ac:dyDescent="0.3">
      <c r="A410" s="203"/>
      <c r="B410" s="205"/>
      <c r="C410" s="35" t="s">
        <v>3680</v>
      </c>
      <c r="D410" s="46" t="s">
        <v>42</v>
      </c>
      <c r="E410" s="36">
        <v>1.0327</v>
      </c>
      <c r="F410" s="33">
        <v>3.0019999999999998</v>
      </c>
      <c r="G410" s="30">
        <f t="shared" si="6"/>
        <v>3.1001653999999994</v>
      </c>
      <c r="H410" s="34"/>
      <c r="I410" s="30"/>
      <c r="J410" s="148">
        <v>900</v>
      </c>
      <c r="K410" s="222" t="s">
        <v>8074</v>
      </c>
    </row>
    <row r="411" spans="1:11" ht="26.25" hidden="1" thickBot="1" x14ac:dyDescent="0.3">
      <c r="A411" s="203"/>
      <c r="B411" s="205"/>
      <c r="C411" s="35" t="s">
        <v>169</v>
      </c>
      <c r="D411" s="46" t="s">
        <v>20</v>
      </c>
      <c r="E411" s="36">
        <v>20.0077</v>
      </c>
      <c r="F411" s="33">
        <v>9.5000000000000001E-2</v>
      </c>
      <c r="G411" s="30">
        <f t="shared" si="6"/>
        <v>1.9007315</v>
      </c>
      <c r="H411" s="34"/>
      <c r="I411" s="30"/>
      <c r="J411" s="148">
        <v>900</v>
      </c>
      <c r="K411" s="222" t="s">
        <v>8074</v>
      </c>
    </row>
    <row r="412" spans="1:11" ht="26.25" hidden="1" thickBot="1" x14ac:dyDescent="0.3">
      <c r="A412" s="203"/>
      <c r="B412" s="205"/>
      <c r="C412" s="35" t="s">
        <v>170</v>
      </c>
      <c r="D412" s="46" t="s">
        <v>20</v>
      </c>
      <c r="E412" s="36">
        <v>0.80759999999999998</v>
      </c>
      <c r="F412" s="33">
        <v>0.22799999999999998</v>
      </c>
      <c r="G412" s="30">
        <f t="shared" si="6"/>
        <v>0.18413279999999999</v>
      </c>
      <c r="H412" s="34"/>
      <c r="I412" s="30"/>
      <c r="J412" s="148">
        <v>900</v>
      </c>
      <c r="K412" s="222" t="s">
        <v>8074</v>
      </c>
    </row>
    <row r="413" spans="1:11" ht="15.75" hidden="1" thickBot="1" x14ac:dyDescent="0.3">
      <c r="A413" s="203"/>
      <c r="B413" s="205"/>
      <c r="C413" s="35" t="s">
        <v>27</v>
      </c>
      <c r="D413" s="46" t="s">
        <v>12</v>
      </c>
      <c r="E413" s="36">
        <v>0.54490000000000005</v>
      </c>
      <c r="F413" s="30">
        <v>18.933499999999999</v>
      </c>
      <c r="G413" s="30">
        <f t="shared" si="6"/>
        <v>10.316864150000001</v>
      </c>
      <c r="H413" s="34"/>
      <c r="I413" s="30"/>
      <c r="J413" s="148">
        <v>900</v>
      </c>
      <c r="K413" s="222" t="s">
        <v>8074</v>
      </c>
    </row>
    <row r="414" spans="1:11" ht="15.75" hidden="1" thickBot="1" x14ac:dyDescent="0.3">
      <c r="A414" s="203"/>
      <c r="B414" s="205"/>
      <c r="C414" s="35" t="s">
        <v>23</v>
      </c>
      <c r="D414" s="46" t="s">
        <v>12</v>
      </c>
      <c r="E414" s="36">
        <v>0.13619999999999999</v>
      </c>
      <c r="F414" s="30">
        <v>18.420500000000001</v>
      </c>
      <c r="G414" s="30">
        <f t="shared" si="6"/>
        <v>2.5088721</v>
      </c>
      <c r="H414" s="34"/>
      <c r="I414" s="30"/>
      <c r="J414" s="148">
        <v>900</v>
      </c>
      <c r="K414" s="222" t="s">
        <v>8074</v>
      </c>
    </row>
    <row r="415" spans="1:11" ht="15.75" hidden="1" thickBot="1" x14ac:dyDescent="0.3">
      <c r="A415" s="209"/>
      <c r="B415" s="206"/>
      <c r="C415" s="35"/>
      <c r="D415" s="35"/>
      <c r="E415" s="36"/>
      <c r="F415" s="30" t="s">
        <v>514</v>
      </c>
      <c r="G415" s="30" t="str">
        <f t="shared" si="6"/>
        <v/>
      </c>
      <c r="H415" s="34"/>
      <c r="I415" s="30"/>
      <c r="J415" s="148">
        <v>900</v>
      </c>
      <c r="K415" s="222" t="s">
        <v>8074</v>
      </c>
    </row>
    <row r="416" spans="1:11" ht="15.75" hidden="1" thickBot="1" x14ac:dyDescent="0.3">
      <c r="A416" s="202" t="s">
        <v>171</v>
      </c>
      <c r="B416" s="204" t="str">
        <f>INDEX(Orçamentária!A:B,MATCH(Composições!A416,Orçamentária!A:A,0),2)</f>
        <v>Reparos superficiais em painéis de gesso acartonado</v>
      </c>
      <c r="C416" s="40"/>
      <c r="D416" s="25" t="str">
        <f>TRIM(INDEX(Orçamentária!C:C,MATCH(Composições!A416,Orçamentária!A:A,0),1))</f>
        <v>m2</v>
      </c>
      <c r="E416" s="26"/>
      <c r="F416" s="41" t="s">
        <v>514</v>
      </c>
      <c r="G416" s="27" t="str">
        <f t="shared" si="6"/>
        <v/>
      </c>
      <c r="H416" s="28"/>
      <c r="I416" s="29"/>
      <c r="J416" s="148">
        <v>15</v>
      </c>
      <c r="K416" s="222" t="s">
        <v>8074</v>
      </c>
    </row>
    <row r="417" spans="1:11" ht="15.75" hidden="1" thickBot="1" x14ac:dyDescent="0.3">
      <c r="A417" s="203"/>
      <c r="B417" s="205"/>
      <c r="C417" s="31"/>
      <c r="D417" s="31"/>
      <c r="E417" s="32"/>
      <c r="F417" s="42" t="s">
        <v>514</v>
      </c>
      <c r="G417" s="30" t="str">
        <f t="shared" si="6"/>
        <v/>
      </c>
      <c r="H417" s="34"/>
      <c r="I417" s="30"/>
      <c r="J417" s="148">
        <v>15</v>
      </c>
      <c r="K417" s="222" t="s">
        <v>8074</v>
      </c>
    </row>
    <row r="418" spans="1:11" ht="26.25" hidden="1" thickBot="1" x14ac:dyDescent="0.3">
      <c r="A418" s="203"/>
      <c r="B418" s="205"/>
      <c r="C418" s="35" t="s">
        <v>167</v>
      </c>
      <c r="D418" s="46" t="s">
        <v>92</v>
      </c>
      <c r="E418" s="36">
        <v>1.2513000000000001</v>
      </c>
      <c r="F418" s="33">
        <v>0.26600000000000001</v>
      </c>
      <c r="G418" s="30">
        <f t="shared" si="6"/>
        <v>0.33284580000000002</v>
      </c>
      <c r="H418" s="38">
        <f>SUM(G418:G421)</f>
        <v>5.3493626000000001</v>
      </c>
      <c r="I418" s="39"/>
      <c r="J418" s="148">
        <v>15</v>
      </c>
      <c r="K418" s="222" t="s">
        <v>8074</v>
      </c>
    </row>
    <row r="419" spans="1:11" ht="39" hidden="1" thickBot="1" x14ac:dyDescent="0.3">
      <c r="A419" s="203"/>
      <c r="B419" s="205"/>
      <c r="C419" s="35" t="s">
        <v>3680</v>
      </c>
      <c r="D419" s="46" t="s">
        <v>42</v>
      </c>
      <c r="E419" s="36">
        <v>0.51639999999999997</v>
      </c>
      <c r="F419" s="33">
        <v>3.0019999999999998</v>
      </c>
      <c r="G419" s="30">
        <f t="shared" si="6"/>
        <v>1.5502327999999999</v>
      </c>
      <c r="H419" s="44"/>
      <c r="I419" s="45"/>
      <c r="J419" s="148">
        <v>15</v>
      </c>
      <c r="K419" s="222" t="s">
        <v>8074</v>
      </c>
    </row>
    <row r="420" spans="1:11" ht="15.75" hidden="1" thickBot="1" x14ac:dyDescent="0.3">
      <c r="A420" s="203"/>
      <c r="B420" s="205"/>
      <c r="C420" s="35" t="s">
        <v>27</v>
      </c>
      <c r="D420" s="46" t="s">
        <v>12</v>
      </c>
      <c r="E420" s="36">
        <f>0.3636/3</f>
        <v>0.12119999999999999</v>
      </c>
      <c r="F420" s="30">
        <v>18.933499999999999</v>
      </c>
      <c r="G420" s="30">
        <f t="shared" si="6"/>
        <v>2.2947401999999997</v>
      </c>
      <c r="H420" s="44"/>
      <c r="I420" s="45"/>
      <c r="J420" s="148">
        <v>15</v>
      </c>
      <c r="K420" s="222" t="s">
        <v>8074</v>
      </c>
    </row>
    <row r="421" spans="1:11" ht="15.75" hidden="1" thickBot="1" x14ac:dyDescent="0.3">
      <c r="A421" s="203"/>
      <c r="B421" s="205"/>
      <c r="C421" s="35" t="s">
        <v>23</v>
      </c>
      <c r="D421" s="46" t="s">
        <v>12</v>
      </c>
      <c r="E421" s="36">
        <f>ROUND(0.0909*0.7,4)</f>
        <v>6.3600000000000004E-2</v>
      </c>
      <c r="F421" s="30">
        <v>18.420500000000001</v>
      </c>
      <c r="G421" s="30">
        <f t="shared" si="6"/>
        <v>1.1715438</v>
      </c>
      <c r="H421" s="44"/>
      <c r="I421" s="45"/>
      <c r="J421" s="148">
        <v>15</v>
      </c>
      <c r="K421" s="222" t="s">
        <v>8074</v>
      </c>
    </row>
    <row r="422" spans="1:11" ht="15.75" hidden="1" thickBot="1" x14ac:dyDescent="0.3">
      <c r="A422" s="203"/>
      <c r="B422" s="205"/>
      <c r="C422" s="35"/>
      <c r="D422" s="46"/>
      <c r="E422" s="36"/>
      <c r="F422" s="33" t="s">
        <v>514</v>
      </c>
      <c r="G422" s="33" t="str">
        <f t="shared" si="6"/>
        <v/>
      </c>
      <c r="H422" s="44"/>
      <c r="I422" s="45"/>
      <c r="J422" s="148">
        <v>15</v>
      </c>
      <c r="K422" s="222" t="s">
        <v>8074</v>
      </c>
    </row>
    <row r="423" spans="1:11" ht="15.75" hidden="1" thickBot="1" x14ac:dyDescent="0.3">
      <c r="A423" s="202" t="s">
        <v>172</v>
      </c>
      <c r="B423" s="204" t="str">
        <f>INDEX(Orçamentária!A:B,MATCH(Composições!A423,Orçamentária!A:A,0),2)</f>
        <v>Sóculo h=10 cm</v>
      </c>
      <c r="C423" s="40"/>
      <c r="D423" s="25" t="str">
        <f>TRIM(INDEX(Orçamentária!C:C,MATCH(Composições!A423,Orçamentária!A:A,0),1))</f>
        <v>m2</v>
      </c>
      <c r="E423" s="26"/>
      <c r="F423" s="41" t="s">
        <v>514</v>
      </c>
      <c r="G423" s="27" t="str">
        <f t="shared" si="6"/>
        <v/>
      </c>
      <c r="H423" s="28"/>
      <c r="I423" s="29"/>
      <c r="J423" s="148">
        <v>40</v>
      </c>
      <c r="K423" s="222" t="s">
        <v>8074</v>
      </c>
    </row>
    <row r="424" spans="1:11" ht="15.75" hidden="1" thickBot="1" x14ac:dyDescent="0.3">
      <c r="A424" s="203"/>
      <c r="B424" s="205"/>
      <c r="C424" s="31"/>
      <c r="D424" s="31"/>
      <c r="E424" s="32"/>
      <c r="F424" s="42" t="s">
        <v>514</v>
      </c>
      <c r="G424" s="30" t="str">
        <f t="shared" si="6"/>
        <v/>
      </c>
      <c r="H424" s="34"/>
      <c r="I424" s="30"/>
      <c r="J424" s="148">
        <v>40</v>
      </c>
      <c r="K424" s="222" t="s">
        <v>8074</v>
      </c>
    </row>
    <row r="425" spans="1:11" ht="26.25" hidden="1" thickBot="1" x14ac:dyDescent="0.3">
      <c r="A425" s="203"/>
      <c r="B425" s="205"/>
      <c r="C425" s="35" t="s">
        <v>3348</v>
      </c>
      <c r="D425" s="46" t="s">
        <v>473</v>
      </c>
      <c r="E425" s="36">
        <v>0.42</v>
      </c>
      <c r="F425" s="33">
        <v>2.964</v>
      </c>
      <c r="G425" s="33">
        <f t="shared" si="6"/>
        <v>1.24488</v>
      </c>
      <c r="H425" s="38">
        <f>SUM(G425:G433)</f>
        <v>84.786909051276382</v>
      </c>
      <c r="I425" s="39"/>
      <c r="J425" s="148">
        <v>40</v>
      </c>
      <c r="K425" s="222" t="s">
        <v>8074</v>
      </c>
    </row>
    <row r="426" spans="1:11" ht="15.75" hidden="1" thickBot="1" x14ac:dyDescent="0.3">
      <c r="A426" s="203"/>
      <c r="B426" s="205"/>
      <c r="C426" s="35" t="s">
        <v>3327</v>
      </c>
      <c r="D426" s="46" t="s">
        <v>1238</v>
      </c>
      <c r="E426" s="36">
        <v>5.0000000000000001E-3</v>
      </c>
      <c r="F426" s="33">
        <v>38.313499999999998</v>
      </c>
      <c r="G426" s="33">
        <f t="shared" si="6"/>
        <v>0.1915675</v>
      </c>
      <c r="H426" s="34"/>
      <c r="I426" s="30"/>
      <c r="J426" s="148">
        <v>40</v>
      </c>
      <c r="K426" s="222" t="s">
        <v>8074</v>
      </c>
    </row>
    <row r="427" spans="1:11" ht="26.25" hidden="1" thickBot="1" x14ac:dyDescent="0.3">
      <c r="A427" s="203"/>
      <c r="B427" s="205"/>
      <c r="C427" s="35" t="s">
        <v>6765</v>
      </c>
      <c r="D427" s="46" t="s">
        <v>278</v>
      </c>
      <c r="E427" s="36">
        <v>13.6</v>
      </c>
      <c r="F427" s="33">
        <v>1.9664999999999997</v>
      </c>
      <c r="G427" s="33">
        <f t="shared" si="6"/>
        <v>26.744399999999995</v>
      </c>
      <c r="H427" s="34"/>
      <c r="I427" s="30"/>
      <c r="J427" s="148">
        <v>40</v>
      </c>
      <c r="K427" s="222" t="s">
        <v>8074</v>
      </c>
    </row>
    <row r="428" spans="1:11" ht="51.75" hidden="1" thickBot="1" x14ac:dyDescent="0.3">
      <c r="A428" s="203"/>
      <c r="B428" s="205"/>
      <c r="C428" s="35" t="s">
        <v>152</v>
      </c>
      <c r="D428" s="46" t="s">
        <v>119</v>
      </c>
      <c r="E428" s="36">
        <v>1.04E-2</v>
      </c>
      <c r="F428" s="33">
        <v>692.78519089199995</v>
      </c>
      <c r="G428" s="33">
        <f t="shared" si="6"/>
        <v>7.2049659852767993</v>
      </c>
      <c r="H428" s="34"/>
      <c r="I428" s="30"/>
      <c r="J428" s="148">
        <v>40</v>
      </c>
      <c r="K428" s="222" t="s">
        <v>8074</v>
      </c>
    </row>
    <row r="429" spans="1:11" ht="15.75" hidden="1" thickBot="1" x14ac:dyDescent="0.3">
      <c r="A429" s="203"/>
      <c r="B429" s="205"/>
      <c r="C429" s="35" t="s">
        <v>703</v>
      </c>
      <c r="D429" s="46" t="s">
        <v>695</v>
      </c>
      <c r="E429" s="36">
        <v>0.59</v>
      </c>
      <c r="F429" s="30">
        <v>24.889999999999997</v>
      </c>
      <c r="G429" s="33">
        <f t="shared" si="6"/>
        <v>14.685099999999997</v>
      </c>
      <c r="H429" s="34"/>
      <c r="I429" s="30"/>
      <c r="J429" s="148">
        <v>40</v>
      </c>
      <c r="K429" s="222" t="s">
        <v>8074</v>
      </c>
    </row>
    <row r="430" spans="1:11" ht="15.75" hidden="1" thickBot="1" x14ac:dyDescent="0.3">
      <c r="A430" s="203"/>
      <c r="B430" s="205"/>
      <c r="C430" s="35" t="s">
        <v>696</v>
      </c>
      <c r="D430" s="46" t="s">
        <v>695</v>
      </c>
      <c r="E430" s="36">
        <v>0.29499999999999998</v>
      </c>
      <c r="F430" s="30">
        <v>18.420500000000001</v>
      </c>
      <c r="G430" s="33">
        <f t="shared" si="6"/>
        <v>5.4340475000000001</v>
      </c>
      <c r="H430" s="34"/>
      <c r="I430" s="30"/>
      <c r="J430" s="148">
        <v>40</v>
      </c>
      <c r="K430" s="222" t="s">
        <v>8074</v>
      </c>
    </row>
    <row r="431" spans="1:11" ht="51.75" hidden="1" thickBot="1" x14ac:dyDescent="0.3">
      <c r="A431" s="203"/>
      <c r="B431" s="205"/>
      <c r="C431" s="35" t="s">
        <v>152</v>
      </c>
      <c r="D431" s="46" t="s">
        <v>108</v>
      </c>
      <c r="E431" s="36">
        <v>2.1299999999999999E-2</v>
      </c>
      <c r="F431" s="33">
        <v>692.78519089199995</v>
      </c>
      <c r="G431" s="33">
        <f t="shared" si="6"/>
        <v>14.756324565999599</v>
      </c>
      <c r="H431" s="34"/>
      <c r="I431" s="30"/>
      <c r="J431" s="148">
        <v>40</v>
      </c>
      <c r="K431" s="222" t="s">
        <v>8074</v>
      </c>
    </row>
    <row r="432" spans="1:11" ht="15.75" hidden="1" thickBot="1" x14ac:dyDescent="0.3">
      <c r="A432" s="203"/>
      <c r="B432" s="205"/>
      <c r="C432" s="35" t="s">
        <v>22</v>
      </c>
      <c r="D432" s="46" t="s">
        <v>12</v>
      </c>
      <c r="E432" s="36">
        <v>0.46</v>
      </c>
      <c r="F432" s="30">
        <v>24.889999999999997</v>
      </c>
      <c r="G432" s="33">
        <f t="shared" si="6"/>
        <v>11.449399999999999</v>
      </c>
      <c r="H432" s="34"/>
      <c r="I432" s="30"/>
      <c r="J432" s="148">
        <v>40</v>
      </c>
      <c r="K432" s="222" t="s">
        <v>8074</v>
      </c>
    </row>
    <row r="433" spans="1:11" ht="15.75" hidden="1" thickBot="1" x14ac:dyDescent="0.3">
      <c r="A433" s="203"/>
      <c r="B433" s="205"/>
      <c r="C433" s="35" t="s">
        <v>23</v>
      </c>
      <c r="D433" s="46" t="s">
        <v>12</v>
      </c>
      <c r="E433" s="36">
        <v>0.16700000000000001</v>
      </c>
      <c r="F433" s="30">
        <v>18.420500000000001</v>
      </c>
      <c r="G433" s="33">
        <f t="shared" si="6"/>
        <v>3.0762235000000002</v>
      </c>
      <c r="H433" s="34"/>
      <c r="I433" s="30"/>
      <c r="J433" s="148">
        <v>40</v>
      </c>
      <c r="K433" s="222" t="s">
        <v>8074</v>
      </c>
    </row>
    <row r="434" spans="1:11" ht="15.75" hidden="1" thickBot="1" x14ac:dyDescent="0.3">
      <c r="A434" s="209"/>
      <c r="B434" s="206"/>
      <c r="C434" s="35"/>
      <c r="D434" s="35"/>
      <c r="E434" s="36"/>
      <c r="F434" s="30" t="s">
        <v>514</v>
      </c>
      <c r="G434" s="30" t="str">
        <f t="shared" si="6"/>
        <v/>
      </c>
      <c r="H434" s="34"/>
      <c r="I434" s="30"/>
      <c r="J434" s="148">
        <v>40</v>
      </c>
      <c r="K434" s="222" t="s">
        <v>8074</v>
      </c>
    </row>
    <row r="435" spans="1:11" ht="15.75" hidden="1" thickBot="1" x14ac:dyDescent="0.3">
      <c r="A435" s="202" t="s">
        <v>173</v>
      </c>
      <c r="B435" s="204" t="str">
        <f>INDEX(Orçamentária!A:B,MATCH(Composições!A435,Orçamentária!A:A,0),2)</f>
        <v>Chapisco colante industrializado em vigas e pilares</v>
      </c>
      <c r="C435" s="40"/>
      <c r="D435" s="25" t="str">
        <f>TRIM(INDEX(Orçamentária!C:C,MATCH(Composições!A435,Orçamentária!A:A,0),1))</f>
        <v>m2</v>
      </c>
      <c r="E435" s="26"/>
      <c r="F435" s="41" t="s">
        <v>514</v>
      </c>
      <c r="G435" s="27" t="str">
        <f t="shared" si="6"/>
        <v/>
      </c>
      <c r="H435" s="28"/>
      <c r="I435" s="29"/>
      <c r="J435" s="148">
        <v>30</v>
      </c>
      <c r="K435" s="222" t="s">
        <v>8074</v>
      </c>
    </row>
    <row r="436" spans="1:11" ht="15.75" hidden="1" thickBot="1" x14ac:dyDescent="0.3">
      <c r="A436" s="203"/>
      <c r="B436" s="205"/>
      <c r="C436" s="31"/>
      <c r="D436" s="31"/>
      <c r="E436" s="32"/>
      <c r="F436" s="42" t="s">
        <v>514</v>
      </c>
      <c r="G436" s="30" t="str">
        <f t="shared" si="6"/>
        <v/>
      </c>
      <c r="H436" s="34"/>
      <c r="I436" s="30"/>
      <c r="J436" s="148">
        <v>30</v>
      </c>
      <c r="K436" s="222" t="s">
        <v>8074</v>
      </c>
    </row>
    <row r="437" spans="1:11" ht="39" hidden="1" thickBot="1" x14ac:dyDescent="0.3">
      <c r="A437" s="203"/>
      <c r="B437" s="205"/>
      <c r="C437" s="35" t="s">
        <v>174</v>
      </c>
      <c r="D437" s="35" t="s">
        <v>108</v>
      </c>
      <c r="E437" s="36">
        <v>3.2000000000000002E-3</v>
      </c>
      <c r="F437" s="33">
        <v>2202.9036999999998</v>
      </c>
      <c r="G437" s="33">
        <f t="shared" si="6"/>
        <v>7.0492918399999995</v>
      </c>
      <c r="H437" s="38">
        <f>SUM(G437:G439)</f>
        <v>10.818510889999999</v>
      </c>
      <c r="I437" s="39"/>
      <c r="J437" s="148">
        <v>30</v>
      </c>
      <c r="K437" s="222" t="s">
        <v>8074</v>
      </c>
    </row>
    <row r="438" spans="1:11" ht="15.75" hidden="1" thickBot="1" x14ac:dyDescent="0.3">
      <c r="A438" s="203"/>
      <c r="B438" s="205"/>
      <c r="C438" s="35" t="s">
        <v>22</v>
      </c>
      <c r="D438" s="35" t="s">
        <v>12</v>
      </c>
      <c r="E438" s="36">
        <v>0.14099999999999999</v>
      </c>
      <c r="F438" s="30">
        <v>24.889999999999997</v>
      </c>
      <c r="G438" s="33">
        <f t="shared" si="6"/>
        <v>3.5094899999999991</v>
      </c>
      <c r="H438" s="34"/>
      <c r="I438" s="30"/>
      <c r="J438" s="148">
        <v>30</v>
      </c>
      <c r="K438" s="222" t="s">
        <v>8074</v>
      </c>
    </row>
    <row r="439" spans="1:11" ht="15.75" hidden="1" thickBot="1" x14ac:dyDescent="0.3">
      <c r="A439" s="203"/>
      <c r="B439" s="205"/>
      <c r="C439" s="35" t="s">
        <v>23</v>
      </c>
      <c r="D439" s="35" t="s">
        <v>12</v>
      </c>
      <c r="E439" s="36">
        <v>1.41E-2</v>
      </c>
      <c r="F439" s="30">
        <v>18.420500000000001</v>
      </c>
      <c r="G439" s="33">
        <f t="shared" si="6"/>
        <v>0.25972905000000002</v>
      </c>
      <c r="H439" s="34"/>
      <c r="I439" s="30"/>
      <c r="J439" s="148">
        <v>30</v>
      </c>
      <c r="K439" s="222" t="s">
        <v>8074</v>
      </c>
    </row>
    <row r="440" spans="1:11" ht="15.75" hidden="1" thickBot="1" x14ac:dyDescent="0.3">
      <c r="A440" s="209"/>
      <c r="B440" s="206"/>
      <c r="C440" s="35"/>
      <c r="D440" s="35"/>
      <c r="E440" s="36"/>
      <c r="F440" s="30" t="s">
        <v>514</v>
      </c>
      <c r="G440" s="30" t="str">
        <f t="shared" si="6"/>
        <v/>
      </c>
      <c r="H440" s="34"/>
      <c r="I440" s="30"/>
      <c r="J440" s="148">
        <v>30</v>
      </c>
      <c r="K440" s="222" t="s">
        <v>8074</v>
      </c>
    </row>
    <row r="441" spans="1:11" ht="15.75" hidden="1" thickBot="1" x14ac:dyDescent="0.3">
      <c r="A441" s="202" t="s">
        <v>175</v>
      </c>
      <c r="B441" s="204" t="str">
        <f>INDEX(Orçamentária!A:B,MATCH(Composições!A441,Orçamentária!A:A,0),2)</f>
        <v>Chapisco com argamassa traço 1:3</v>
      </c>
      <c r="C441" s="40"/>
      <c r="D441" s="25" t="str">
        <f>TRIM(INDEX(Orçamentária!C:C,MATCH(Composições!A441,Orçamentária!A:A,0),1))</f>
        <v>m2</v>
      </c>
      <c r="E441" s="26"/>
      <c r="F441" s="41" t="s">
        <v>514</v>
      </c>
      <c r="G441" s="27" t="str">
        <f t="shared" si="6"/>
        <v/>
      </c>
      <c r="H441" s="28"/>
      <c r="I441" s="29"/>
      <c r="J441" s="148">
        <v>950</v>
      </c>
      <c r="K441" s="222" t="s">
        <v>8074</v>
      </c>
    </row>
    <row r="442" spans="1:11" ht="15.75" hidden="1" thickBot="1" x14ac:dyDescent="0.3">
      <c r="A442" s="203"/>
      <c r="B442" s="205"/>
      <c r="C442" s="31"/>
      <c r="D442" s="31"/>
      <c r="E442" s="32"/>
      <c r="F442" s="42" t="s">
        <v>514</v>
      </c>
      <c r="G442" s="30" t="str">
        <f t="shared" si="6"/>
        <v/>
      </c>
      <c r="H442" s="34"/>
      <c r="I442" s="30"/>
      <c r="J442" s="148">
        <v>950</v>
      </c>
      <c r="K442" s="222" t="s">
        <v>8074</v>
      </c>
    </row>
    <row r="443" spans="1:11" ht="39" hidden="1" thickBot="1" x14ac:dyDescent="0.3">
      <c r="A443" s="203"/>
      <c r="B443" s="205"/>
      <c r="C443" s="35" t="s">
        <v>176</v>
      </c>
      <c r="D443" s="35" t="s">
        <v>108</v>
      </c>
      <c r="E443" s="36">
        <v>4.1999999999999997E-3</v>
      </c>
      <c r="F443" s="33">
        <v>701.5405028780001</v>
      </c>
      <c r="G443" s="33">
        <f t="shared" si="6"/>
        <v>2.9464701120876002</v>
      </c>
      <c r="H443" s="38">
        <f>SUM(G443:G445)</f>
        <v>4.8177136120876005</v>
      </c>
      <c r="I443" s="39"/>
      <c r="J443" s="148">
        <v>950</v>
      </c>
      <c r="K443" s="222" t="s">
        <v>8074</v>
      </c>
    </row>
    <row r="444" spans="1:11" ht="15.75" hidden="1" thickBot="1" x14ac:dyDescent="0.3">
      <c r="A444" s="203"/>
      <c r="B444" s="205"/>
      <c r="C444" s="35" t="s">
        <v>22</v>
      </c>
      <c r="D444" s="35" t="s">
        <v>12</v>
      </c>
      <c r="E444" s="36">
        <v>7.0000000000000007E-2</v>
      </c>
      <c r="F444" s="30">
        <v>24.889999999999997</v>
      </c>
      <c r="G444" s="30">
        <f t="shared" si="6"/>
        <v>1.7423</v>
      </c>
      <c r="H444" s="34"/>
      <c r="I444" s="30"/>
      <c r="J444" s="148">
        <v>950</v>
      </c>
      <c r="K444" s="222" t="s">
        <v>8074</v>
      </c>
    </row>
    <row r="445" spans="1:11" ht="15.75" hidden="1" thickBot="1" x14ac:dyDescent="0.3">
      <c r="A445" s="203"/>
      <c r="B445" s="205"/>
      <c r="C445" s="35" t="s">
        <v>23</v>
      </c>
      <c r="D445" s="35" t="s">
        <v>12</v>
      </c>
      <c r="E445" s="36">
        <v>7.0000000000000001E-3</v>
      </c>
      <c r="F445" s="30">
        <v>18.420500000000001</v>
      </c>
      <c r="G445" s="30">
        <f t="shared" si="6"/>
        <v>0.12894350000000002</v>
      </c>
      <c r="H445" s="34"/>
      <c r="I445" s="30"/>
      <c r="J445" s="148">
        <v>950</v>
      </c>
      <c r="K445" s="222" t="s">
        <v>8074</v>
      </c>
    </row>
    <row r="446" spans="1:11" ht="15.75" hidden="1" thickBot="1" x14ac:dyDescent="0.3">
      <c r="A446" s="209"/>
      <c r="B446" s="206"/>
      <c r="C446" s="35"/>
      <c r="D446" s="35"/>
      <c r="E446" s="36"/>
      <c r="F446" s="30" t="s">
        <v>514</v>
      </c>
      <c r="G446" s="30" t="str">
        <f t="shared" si="6"/>
        <v/>
      </c>
      <c r="H446" s="34"/>
      <c r="I446" s="30"/>
      <c r="J446" s="148">
        <v>950</v>
      </c>
      <c r="K446" s="222" t="s">
        <v>8074</v>
      </c>
    </row>
    <row r="447" spans="1:11" ht="15.75" hidden="1" thickBot="1" x14ac:dyDescent="0.3">
      <c r="A447" s="202" t="s">
        <v>177</v>
      </c>
      <c r="B447" s="204" t="str">
        <f>INDEX(Orçamentária!A:B,MATCH(Composições!A447,Orçamentária!A:A,0),2)</f>
        <v>Gesso cola</v>
      </c>
      <c r="C447" s="40"/>
      <c r="D447" s="25" t="str">
        <f>TRIM(INDEX(Orçamentária!C:C,MATCH(Composições!A447,Orçamentária!A:A,0),1))</f>
        <v>m2</v>
      </c>
      <c r="E447" s="26"/>
      <c r="F447" s="41" t="s">
        <v>514</v>
      </c>
      <c r="G447" s="27" t="str">
        <f t="shared" si="6"/>
        <v/>
      </c>
      <c r="H447" s="28"/>
      <c r="I447" s="29"/>
      <c r="J447" s="148">
        <v>485</v>
      </c>
      <c r="K447" s="222" t="s">
        <v>8074</v>
      </c>
    </row>
    <row r="448" spans="1:11" ht="15.75" hidden="1" thickBot="1" x14ac:dyDescent="0.3">
      <c r="A448" s="207"/>
      <c r="B448" s="205"/>
      <c r="C448" s="31"/>
      <c r="D448" s="31"/>
      <c r="E448" s="32"/>
      <c r="F448" s="42" t="s">
        <v>514</v>
      </c>
      <c r="G448" s="30" t="str">
        <f t="shared" si="6"/>
        <v/>
      </c>
      <c r="H448" s="34"/>
      <c r="I448" s="30"/>
      <c r="J448" s="148">
        <v>485</v>
      </c>
      <c r="K448" s="222" t="s">
        <v>8074</v>
      </c>
    </row>
    <row r="449" spans="1:11" ht="15.75" hidden="1" thickBot="1" x14ac:dyDescent="0.3">
      <c r="A449" s="207"/>
      <c r="B449" s="205"/>
      <c r="C449" s="35" t="s">
        <v>178</v>
      </c>
      <c r="D449" s="35" t="s">
        <v>12</v>
      </c>
      <c r="E449" s="36">
        <v>0.4</v>
      </c>
      <c r="F449" s="30">
        <v>24.747499999999999</v>
      </c>
      <c r="G449" s="30">
        <f t="shared" si="6"/>
        <v>9.8990000000000009</v>
      </c>
      <c r="H449" s="38">
        <f>SUM(G449:G451)</f>
        <v>14.82264</v>
      </c>
      <c r="I449" s="39"/>
      <c r="J449" s="148">
        <v>485</v>
      </c>
      <c r="K449" s="222" t="s">
        <v>8074</v>
      </c>
    </row>
    <row r="450" spans="1:11" ht="15.75" hidden="1" thickBot="1" x14ac:dyDescent="0.3">
      <c r="A450" s="207"/>
      <c r="B450" s="205"/>
      <c r="C450" s="35" t="s">
        <v>23</v>
      </c>
      <c r="D450" s="35" t="s">
        <v>12</v>
      </c>
      <c r="E450" s="36">
        <v>0.08</v>
      </c>
      <c r="F450" s="30">
        <v>18.420500000000001</v>
      </c>
      <c r="G450" s="30">
        <f t="shared" si="6"/>
        <v>1.4736400000000001</v>
      </c>
      <c r="H450" s="34"/>
      <c r="I450" s="30"/>
      <c r="J450" s="148">
        <v>485</v>
      </c>
      <c r="K450" s="222" t="s">
        <v>8074</v>
      </c>
    </row>
    <row r="451" spans="1:11" ht="15.75" hidden="1" thickBot="1" x14ac:dyDescent="0.3">
      <c r="A451" s="207"/>
      <c r="B451" s="205"/>
      <c r="C451" s="35" t="s">
        <v>179</v>
      </c>
      <c r="D451" s="35" t="s">
        <v>42</v>
      </c>
      <c r="E451" s="36">
        <v>0.75</v>
      </c>
      <c r="F451" s="30">
        <v>4.5999999999999996</v>
      </c>
      <c r="G451" s="30">
        <f t="shared" si="6"/>
        <v>3.4499999999999997</v>
      </c>
      <c r="H451" s="34"/>
      <c r="I451" s="30"/>
      <c r="J451" s="148">
        <v>485</v>
      </c>
      <c r="K451" s="222" t="s">
        <v>8074</v>
      </c>
    </row>
    <row r="452" spans="1:11" ht="15.75" hidden="1" thickBot="1" x14ac:dyDescent="0.3">
      <c r="A452" s="207"/>
      <c r="B452" s="205"/>
      <c r="C452" s="35"/>
      <c r="D452" s="35"/>
      <c r="E452" s="36"/>
      <c r="F452" s="30" t="s">
        <v>514</v>
      </c>
      <c r="G452" s="30" t="str">
        <f t="shared" si="6"/>
        <v/>
      </c>
      <c r="H452" s="34"/>
      <c r="I452" s="30"/>
      <c r="J452" s="148">
        <v>485</v>
      </c>
      <c r="K452" s="222" t="s">
        <v>8074</v>
      </c>
    </row>
    <row r="453" spans="1:11" ht="26.25" hidden="1" thickBot="1" x14ac:dyDescent="0.3">
      <c r="A453" s="207"/>
      <c r="B453" s="205"/>
      <c r="C453" s="51" t="s">
        <v>180</v>
      </c>
      <c r="D453" s="51"/>
      <c r="E453" s="52"/>
      <c r="F453" s="33" t="s">
        <v>514</v>
      </c>
      <c r="G453" s="30" t="str">
        <f t="shared" si="6"/>
        <v/>
      </c>
      <c r="H453" s="34"/>
      <c r="I453" s="30"/>
      <c r="J453" s="148">
        <v>485</v>
      </c>
      <c r="K453" s="222" t="s">
        <v>8074</v>
      </c>
    </row>
    <row r="454" spans="1:11" ht="15.75" hidden="1" thickBot="1" x14ac:dyDescent="0.3">
      <c r="A454" s="208"/>
      <c r="B454" s="206"/>
      <c r="C454" s="35"/>
      <c r="D454" s="35"/>
      <c r="E454" s="36"/>
      <c r="F454" s="30" t="s">
        <v>514</v>
      </c>
      <c r="G454" s="30" t="str">
        <f t="shared" ref="G454:G517" si="7">IF(ISNUMBER(F454),E454*F454,"")</f>
        <v/>
      </c>
      <c r="H454" s="34"/>
      <c r="I454" s="30"/>
      <c r="J454" s="148">
        <v>485</v>
      </c>
      <c r="K454" s="222" t="s">
        <v>8074</v>
      </c>
    </row>
    <row r="455" spans="1:11" ht="15.75" hidden="1" thickBot="1" x14ac:dyDescent="0.3">
      <c r="A455" s="202" t="s">
        <v>181</v>
      </c>
      <c r="B455" s="204" t="str">
        <f>INDEX(Orçamentária!A:B,MATCH(Composições!A455,Orçamentária!A:A,0),2)</f>
        <v>Reboco com argamassa industrializada e=2,0 cm</v>
      </c>
      <c r="C455" s="40"/>
      <c r="D455" s="25" t="str">
        <f>TRIM(INDEX(Orçamentária!C:C,MATCH(Composições!A455,Orçamentária!A:A,0),1))</f>
        <v>m2</v>
      </c>
      <c r="E455" s="26"/>
      <c r="F455" s="41" t="s">
        <v>514</v>
      </c>
      <c r="G455" s="27" t="str">
        <f t="shared" si="7"/>
        <v/>
      </c>
      <c r="H455" s="28"/>
      <c r="I455" s="29"/>
      <c r="J455" s="148">
        <v>950</v>
      </c>
      <c r="K455" s="222" t="s">
        <v>8074</v>
      </c>
    </row>
    <row r="456" spans="1:11" ht="15.75" hidden="1" thickBot="1" x14ac:dyDescent="0.3">
      <c r="A456" s="203"/>
      <c r="B456" s="205"/>
      <c r="C456" s="31"/>
      <c r="D456" s="31"/>
      <c r="E456" s="32"/>
      <c r="F456" s="42" t="s">
        <v>514</v>
      </c>
      <c r="G456" s="30" t="str">
        <f t="shared" si="7"/>
        <v/>
      </c>
      <c r="H456" s="34"/>
      <c r="I456" s="30"/>
      <c r="J456" s="148">
        <v>950</v>
      </c>
      <c r="K456" s="222" t="s">
        <v>8074</v>
      </c>
    </row>
    <row r="457" spans="1:11" ht="26.25" hidden="1" thickBot="1" x14ac:dyDescent="0.3">
      <c r="A457" s="203"/>
      <c r="B457" s="205"/>
      <c r="C457" s="35" t="s">
        <v>182</v>
      </c>
      <c r="D457" s="35" t="s">
        <v>42</v>
      </c>
      <c r="E457" s="36">
        <f>1890*0.02</f>
        <v>37.800000000000004</v>
      </c>
      <c r="F457" s="33">
        <v>0.56999999999999995</v>
      </c>
      <c r="G457" s="30">
        <f t="shared" si="7"/>
        <v>21.545999999999999</v>
      </c>
      <c r="H457" s="38">
        <f>SUM(G457:G460)</f>
        <v>39.797420900000006</v>
      </c>
      <c r="I457" s="39"/>
      <c r="J457" s="148">
        <v>950</v>
      </c>
      <c r="K457" s="222" t="s">
        <v>8074</v>
      </c>
    </row>
    <row r="458" spans="1:11" ht="15.75" hidden="1" thickBot="1" x14ac:dyDescent="0.3">
      <c r="A458" s="203"/>
      <c r="B458" s="205"/>
      <c r="C458" s="35" t="s">
        <v>23</v>
      </c>
      <c r="D458" s="35" t="s">
        <v>12</v>
      </c>
      <c r="E458" s="36">
        <f>12.59*0.02</f>
        <v>0.25180000000000002</v>
      </c>
      <c r="F458" s="30">
        <v>18.420500000000001</v>
      </c>
      <c r="G458" s="30">
        <f t="shared" si="7"/>
        <v>4.6382819000000008</v>
      </c>
      <c r="H458" s="44"/>
      <c r="I458" s="45"/>
      <c r="J458" s="148">
        <v>950</v>
      </c>
      <c r="K458" s="222" t="s">
        <v>8074</v>
      </c>
    </row>
    <row r="459" spans="1:11" ht="15.75" hidden="1" thickBot="1" x14ac:dyDescent="0.3">
      <c r="A459" s="203"/>
      <c r="B459" s="205"/>
      <c r="C459" s="35" t="s">
        <v>22</v>
      </c>
      <c r="D459" s="35" t="s">
        <v>12</v>
      </c>
      <c r="E459" s="36">
        <v>0.43</v>
      </c>
      <c r="F459" s="30">
        <v>24.889999999999997</v>
      </c>
      <c r="G459" s="30">
        <f t="shared" si="7"/>
        <v>10.702699999999998</v>
      </c>
      <c r="H459" s="34"/>
      <c r="I459" s="30"/>
      <c r="J459" s="148">
        <v>950</v>
      </c>
      <c r="K459" s="222" t="s">
        <v>8074</v>
      </c>
    </row>
    <row r="460" spans="1:11" ht="15.75" hidden="1" thickBot="1" x14ac:dyDescent="0.3">
      <c r="A460" s="203"/>
      <c r="B460" s="205"/>
      <c r="C460" s="35" t="s">
        <v>23</v>
      </c>
      <c r="D460" s="35" t="s">
        <v>12</v>
      </c>
      <c r="E460" s="36">
        <f>0.158</f>
        <v>0.158</v>
      </c>
      <c r="F460" s="30">
        <v>18.420500000000001</v>
      </c>
      <c r="G460" s="30">
        <f t="shared" si="7"/>
        <v>2.9104390000000002</v>
      </c>
      <c r="H460" s="34"/>
      <c r="I460" s="30"/>
      <c r="J460" s="148">
        <v>950</v>
      </c>
      <c r="K460" s="222" t="s">
        <v>8074</v>
      </c>
    </row>
    <row r="461" spans="1:11" ht="15.75" hidden="1" thickBot="1" x14ac:dyDescent="0.3">
      <c r="A461" s="203"/>
      <c r="B461" s="205"/>
      <c r="C461" s="35"/>
      <c r="D461" s="35"/>
      <c r="E461" s="36"/>
      <c r="F461" s="30" t="s">
        <v>514</v>
      </c>
      <c r="G461" s="30" t="str">
        <f t="shared" si="7"/>
        <v/>
      </c>
      <c r="H461" s="34"/>
      <c r="I461" s="30"/>
      <c r="J461" s="148">
        <v>950</v>
      </c>
      <c r="K461" s="222" t="s">
        <v>8074</v>
      </c>
    </row>
    <row r="462" spans="1:11" ht="51.75" hidden="1" thickBot="1" x14ac:dyDescent="0.3">
      <c r="A462" s="203"/>
      <c r="B462" s="205"/>
      <c r="C462" s="51" t="s">
        <v>183</v>
      </c>
      <c r="D462" s="35"/>
      <c r="E462" s="36"/>
      <c r="F462" s="30" t="s">
        <v>514</v>
      </c>
      <c r="G462" s="30" t="str">
        <f t="shared" si="7"/>
        <v/>
      </c>
      <c r="H462" s="34"/>
      <c r="I462" s="30"/>
      <c r="J462" s="148">
        <v>950</v>
      </c>
      <c r="K462" s="222" t="s">
        <v>8074</v>
      </c>
    </row>
    <row r="463" spans="1:11" ht="30.75" hidden="1" thickBot="1" x14ac:dyDescent="0.3">
      <c r="A463" s="203"/>
      <c r="B463" s="205"/>
      <c r="C463" s="139" t="s">
        <v>184</v>
      </c>
      <c r="D463" s="35"/>
      <c r="E463" s="36"/>
      <c r="F463" s="30" t="s">
        <v>514</v>
      </c>
      <c r="G463" s="30" t="str">
        <f t="shared" si="7"/>
        <v/>
      </c>
      <c r="H463" s="34"/>
      <c r="I463" s="30"/>
      <c r="J463" s="148">
        <v>950</v>
      </c>
      <c r="K463" s="222" t="s">
        <v>8074</v>
      </c>
    </row>
    <row r="464" spans="1:11" ht="15.75" hidden="1" thickBot="1" x14ac:dyDescent="0.3">
      <c r="A464" s="209"/>
      <c r="B464" s="206"/>
      <c r="C464" s="35"/>
      <c r="D464" s="35"/>
      <c r="E464" s="36"/>
      <c r="F464" s="30" t="s">
        <v>514</v>
      </c>
      <c r="G464" s="30" t="str">
        <f t="shared" si="7"/>
        <v/>
      </c>
      <c r="H464" s="34"/>
      <c r="I464" s="30"/>
      <c r="J464" s="148">
        <v>950</v>
      </c>
      <c r="K464" s="222" t="s">
        <v>8074</v>
      </c>
    </row>
    <row r="465" spans="1:11" ht="15.75" hidden="1" thickBot="1" x14ac:dyDescent="0.3">
      <c r="A465" s="202" t="s">
        <v>185</v>
      </c>
      <c r="B465" s="204" t="str">
        <f>INDEX(Orçamentária!A:B,MATCH(Composições!A465,Orçamentária!A:A,0),2)</f>
        <v>Regularização com argamassa industrializada e=0,5 cm</v>
      </c>
      <c r="C465" s="40"/>
      <c r="D465" s="25" t="str">
        <f>TRIM(INDEX(Orçamentária!C:C,MATCH(Composições!A465,Orçamentária!A:A,0),1))</f>
        <v>m2</v>
      </c>
      <c r="E465" s="26"/>
      <c r="F465" s="41" t="s">
        <v>514</v>
      </c>
      <c r="G465" s="27" t="str">
        <f t="shared" si="7"/>
        <v/>
      </c>
      <c r="H465" s="28"/>
      <c r="I465" s="29"/>
      <c r="J465" s="148">
        <v>360</v>
      </c>
      <c r="K465" s="222" t="s">
        <v>8074</v>
      </c>
    </row>
    <row r="466" spans="1:11" ht="15.75" hidden="1" thickBot="1" x14ac:dyDescent="0.3">
      <c r="A466" s="203"/>
      <c r="B466" s="205"/>
      <c r="C466" s="31"/>
      <c r="D466" s="31"/>
      <c r="E466" s="32"/>
      <c r="F466" s="42" t="s">
        <v>514</v>
      </c>
      <c r="G466" s="30" t="str">
        <f t="shared" si="7"/>
        <v/>
      </c>
      <c r="H466" s="34"/>
      <c r="I466" s="30"/>
      <c r="J466" s="148">
        <v>360</v>
      </c>
      <c r="K466" s="222" t="s">
        <v>8074</v>
      </c>
    </row>
    <row r="467" spans="1:11" ht="26.25" hidden="1" thickBot="1" x14ac:dyDescent="0.3">
      <c r="A467" s="203"/>
      <c r="B467" s="205"/>
      <c r="C467" s="35" t="s">
        <v>182</v>
      </c>
      <c r="D467" s="35" t="s">
        <v>42</v>
      </c>
      <c r="E467" s="36">
        <f>1890*0.005</f>
        <v>9.4500000000000011</v>
      </c>
      <c r="F467" s="33">
        <v>0.56999999999999995</v>
      </c>
      <c r="G467" s="30">
        <f t="shared" si="7"/>
        <v>5.3864999999999998</v>
      </c>
      <c r="H467" s="38">
        <f>SUM(G467:G470)</f>
        <v>13.417156374999999</v>
      </c>
      <c r="I467" s="39"/>
      <c r="J467" s="148">
        <v>360</v>
      </c>
      <c r="K467" s="222" t="s">
        <v>8074</v>
      </c>
    </row>
    <row r="468" spans="1:11" ht="15.75" hidden="1" thickBot="1" x14ac:dyDescent="0.3">
      <c r="A468" s="203"/>
      <c r="B468" s="205"/>
      <c r="C468" s="35" t="s">
        <v>23</v>
      </c>
      <c r="D468" s="35" t="s">
        <v>12</v>
      </c>
      <c r="E468" s="36">
        <f>12.59*0.005</f>
        <v>6.2950000000000006E-2</v>
      </c>
      <c r="F468" s="30">
        <v>18.420500000000001</v>
      </c>
      <c r="G468" s="30">
        <f t="shared" si="7"/>
        <v>1.1595704750000002</v>
      </c>
      <c r="H468" s="34"/>
      <c r="I468" s="30"/>
      <c r="J468" s="148">
        <v>360</v>
      </c>
      <c r="K468" s="222" t="s">
        <v>8074</v>
      </c>
    </row>
    <row r="469" spans="1:11" ht="15.75" hidden="1" thickBot="1" x14ac:dyDescent="0.3">
      <c r="A469" s="203"/>
      <c r="B469" s="205"/>
      <c r="C469" s="35" t="s">
        <v>22</v>
      </c>
      <c r="D469" s="35" t="s">
        <v>12</v>
      </c>
      <c r="E469" s="36">
        <f>0.31*0.7</f>
        <v>0.217</v>
      </c>
      <c r="F469" s="30">
        <v>24.889999999999997</v>
      </c>
      <c r="G469" s="30">
        <f t="shared" si="7"/>
        <v>5.4011299999999993</v>
      </c>
      <c r="H469" s="34"/>
      <c r="I469" s="30"/>
      <c r="J469" s="148">
        <v>360</v>
      </c>
      <c r="K469" s="222" t="s">
        <v>8074</v>
      </c>
    </row>
    <row r="470" spans="1:11" ht="15.75" hidden="1" thickBot="1" x14ac:dyDescent="0.3">
      <c r="A470" s="203"/>
      <c r="B470" s="205"/>
      <c r="C470" s="35" t="s">
        <v>23</v>
      </c>
      <c r="D470" s="35" t="s">
        <v>12</v>
      </c>
      <c r="E470" s="36">
        <f>0.114*0.7</f>
        <v>7.9799999999999996E-2</v>
      </c>
      <c r="F470" s="30">
        <v>18.420500000000001</v>
      </c>
      <c r="G470" s="30">
        <f t="shared" si="7"/>
        <v>1.4699559</v>
      </c>
      <c r="H470" s="34"/>
      <c r="I470" s="30"/>
      <c r="J470" s="148">
        <v>360</v>
      </c>
      <c r="K470" s="222" t="s">
        <v>8074</v>
      </c>
    </row>
    <row r="471" spans="1:11" ht="15.75" hidden="1" thickBot="1" x14ac:dyDescent="0.3">
      <c r="A471" s="209"/>
      <c r="B471" s="206"/>
      <c r="C471" s="35"/>
      <c r="D471" s="35"/>
      <c r="E471" s="36"/>
      <c r="F471" s="30" t="s">
        <v>514</v>
      </c>
      <c r="G471" s="30" t="str">
        <f t="shared" si="7"/>
        <v/>
      </c>
      <c r="H471" s="34"/>
      <c r="I471" s="30"/>
      <c r="J471" s="148">
        <v>360</v>
      </c>
      <c r="K471" s="222" t="s">
        <v>8074</v>
      </c>
    </row>
    <row r="472" spans="1:11" ht="15.75" hidden="1" thickBot="1" x14ac:dyDescent="0.3">
      <c r="A472" s="202" t="s">
        <v>186</v>
      </c>
      <c r="B472" s="204" t="str">
        <f>INDEX(Orçamentária!A:B,MATCH(Composições!A472,Orçamentária!A:A,0),2)</f>
        <v>Tratamento de trincas superficiais</v>
      </c>
      <c r="C472" s="40"/>
      <c r="D472" s="25" t="str">
        <f>TRIM(INDEX(Orçamentária!C:C,MATCH(Composições!A472,Orçamentária!A:A,0),1))</f>
        <v>m</v>
      </c>
      <c r="E472" s="26"/>
      <c r="F472" s="41" t="s">
        <v>514</v>
      </c>
      <c r="G472" s="27" t="str">
        <f t="shared" si="7"/>
        <v/>
      </c>
      <c r="H472" s="28"/>
      <c r="I472" s="29"/>
      <c r="J472" s="148">
        <v>70</v>
      </c>
      <c r="K472" s="222" t="s">
        <v>8074</v>
      </c>
    </row>
    <row r="473" spans="1:11" ht="15.75" hidden="1" thickBot="1" x14ac:dyDescent="0.3">
      <c r="A473" s="203"/>
      <c r="B473" s="205"/>
      <c r="C473" s="31"/>
      <c r="D473" s="31"/>
      <c r="E473" s="32"/>
      <c r="F473" s="42" t="s">
        <v>514</v>
      </c>
      <c r="G473" s="30" t="str">
        <f t="shared" si="7"/>
        <v/>
      </c>
      <c r="H473" s="34"/>
      <c r="I473" s="30"/>
      <c r="J473" s="148">
        <v>70</v>
      </c>
      <c r="K473" s="222" t="s">
        <v>8074</v>
      </c>
    </row>
    <row r="474" spans="1:11" ht="15.75" hidden="1" thickBot="1" x14ac:dyDescent="0.3">
      <c r="A474" s="203"/>
      <c r="B474" s="205"/>
      <c r="C474" s="35" t="s">
        <v>23</v>
      </c>
      <c r="D474" s="46" t="s">
        <v>12</v>
      </c>
      <c r="E474" s="36">
        <v>0.6</v>
      </c>
      <c r="F474" s="30">
        <v>18.420500000000001</v>
      </c>
      <c r="G474" s="33">
        <f t="shared" si="7"/>
        <v>11.052300000000001</v>
      </c>
      <c r="H474" s="38">
        <f>SUM(G474:G478)</f>
        <v>29.615900199999999</v>
      </c>
      <c r="I474" s="39"/>
      <c r="J474" s="148">
        <v>70</v>
      </c>
      <c r="K474" s="222" t="s">
        <v>8074</v>
      </c>
    </row>
    <row r="475" spans="1:11" ht="15.75" hidden="1" thickBot="1" x14ac:dyDescent="0.3">
      <c r="A475" s="203"/>
      <c r="B475" s="205"/>
      <c r="C475" s="35" t="s">
        <v>22</v>
      </c>
      <c r="D475" s="46" t="s">
        <v>12</v>
      </c>
      <c r="E475" s="36">
        <v>0.155</v>
      </c>
      <c r="F475" s="30">
        <v>24.889999999999997</v>
      </c>
      <c r="G475" s="33">
        <f t="shared" si="7"/>
        <v>3.8579499999999993</v>
      </c>
      <c r="H475" s="34"/>
      <c r="I475" s="30"/>
      <c r="J475" s="148">
        <v>70</v>
      </c>
      <c r="K475" s="222" t="s">
        <v>8074</v>
      </c>
    </row>
    <row r="476" spans="1:11" ht="15.75" hidden="1" thickBot="1" x14ac:dyDescent="0.3">
      <c r="A476" s="203"/>
      <c r="B476" s="205"/>
      <c r="C476" s="35" t="s">
        <v>187</v>
      </c>
      <c r="D476" s="46" t="s">
        <v>92</v>
      </c>
      <c r="E476" s="36">
        <v>1.05</v>
      </c>
      <c r="F476" s="33">
        <v>4.1894999999999998</v>
      </c>
      <c r="G476" s="33">
        <f t="shared" si="7"/>
        <v>4.3989750000000001</v>
      </c>
      <c r="H476" s="34"/>
      <c r="I476" s="30"/>
      <c r="J476" s="148">
        <v>70</v>
      </c>
      <c r="K476" s="222" t="s">
        <v>8074</v>
      </c>
    </row>
    <row r="477" spans="1:11" ht="15.75" hidden="1" thickBot="1" x14ac:dyDescent="0.3">
      <c r="A477" s="203"/>
      <c r="B477" s="205"/>
      <c r="C477" s="35" t="s">
        <v>6772</v>
      </c>
      <c r="D477" s="49" t="s">
        <v>101</v>
      </c>
      <c r="E477" s="36">
        <f>ROUND(1*0.15/(165/18),4)</f>
        <v>1.6400000000000001E-2</v>
      </c>
      <c r="F477" s="33">
        <v>27.968</v>
      </c>
      <c r="G477" s="33">
        <f t="shared" si="7"/>
        <v>0.45867520000000006</v>
      </c>
      <c r="H477" s="34"/>
      <c r="I477" s="30"/>
      <c r="J477" s="148">
        <v>70</v>
      </c>
      <c r="K477" s="222" t="s">
        <v>8074</v>
      </c>
    </row>
    <row r="478" spans="1:11" ht="15.75" hidden="1" thickBot="1" x14ac:dyDescent="0.3">
      <c r="A478" s="203"/>
      <c r="B478" s="205"/>
      <c r="C478" s="35" t="s">
        <v>188</v>
      </c>
      <c r="D478" s="46" t="s">
        <v>6688</v>
      </c>
      <c r="E478" s="36">
        <v>0.4</v>
      </c>
      <c r="F478" s="33">
        <v>24.62</v>
      </c>
      <c r="G478" s="33">
        <f t="shared" si="7"/>
        <v>9.8480000000000008</v>
      </c>
      <c r="H478" s="34"/>
      <c r="I478" s="30"/>
      <c r="J478" s="148">
        <v>70</v>
      </c>
      <c r="K478" s="222" t="s">
        <v>8074</v>
      </c>
    </row>
    <row r="479" spans="1:11" ht="15.75" hidden="1" thickBot="1" x14ac:dyDescent="0.3">
      <c r="A479" s="203"/>
      <c r="B479" s="205"/>
      <c r="C479" s="35"/>
      <c r="D479" s="46"/>
      <c r="E479" s="36"/>
      <c r="F479" s="33" t="s">
        <v>514</v>
      </c>
      <c r="G479" s="33" t="str">
        <f t="shared" si="7"/>
        <v/>
      </c>
      <c r="H479" s="34"/>
      <c r="I479" s="30"/>
      <c r="J479" s="148">
        <v>70</v>
      </c>
      <c r="K479" s="222" t="s">
        <v>8074</v>
      </c>
    </row>
    <row r="480" spans="1:11" ht="51.75" hidden="1" thickBot="1" x14ac:dyDescent="0.3">
      <c r="A480" s="203"/>
      <c r="B480" s="205"/>
      <c r="C480" s="51" t="s">
        <v>6689</v>
      </c>
      <c r="D480" s="46"/>
      <c r="E480" s="36"/>
      <c r="F480" s="33" t="s">
        <v>514</v>
      </c>
      <c r="G480" s="33" t="str">
        <f t="shared" si="7"/>
        <v/>
      </c>
      <c r="H480" s="34"/>
      <c r="I480" s="30"/>
      <c r="J480" s="148">
        <v>70</v>
      </c>
      <c r="K480" s="222" t="s">
        <v>8074</v>
      </c>
    </row>
    <row r="481" spans="1:11" ht="30.75" hidden="1" thickBot="1" x14ac:dyDescent="0.3">
      <c r="A481" s="203"/>
      <c r="B481" s="205"/>
      <c r="C481" s="140" t="s">
        <v>6690</v>
      </c>
      <c r="D481" s="46"/>
      <c r="E481" s="36"/>
      <c r="F481" s="33" t="s">
        <v>514</v>
      </c>
      <c r="G481" s="33" t="str">
        <f t="shared" si="7"/>
        <v/>
      </c>
      <c r="H481" s="34"/>
      <c r="I481" s="30"/>
      <c r="J481" s="148">
        <v>70</v>
      </c>
      <c r="K481" s="222" t="s">
        <v>8074</v>
      </c>
    </row>
    <row r="482" spans="1:11" ht="30.75" hidden="1" thickBot="1" x14ac:dyDescent="0.3">
      <c r="A482" s="203"/>
      <c r="B482" s="205"/>
      <c r="C482" s="140" t="s">
        <v>189</v>
      </c>
      <c r="D482" s="46"/>
      <c r="E482" s="36"/>
      <c r="F482" s="33" t="s">
        <v>514</v>
      </c>
      <c r="G482" s="33" t="str">
        <f t="shared" si="7"/>
        <v/>
      </c>
      <c r="H482" s="34"/>
      <c r="I482" s="30"/>
      <c r="J482" s="148">
        <v>70</v>
      </c>
      <c r="K482" s="222" t="s">
        <v>8074</v>
      </c>
    </row>
    <row r="483" spans="1:11" ht="15.75" hidden="1" thickBot="1" x14ac:dyDescent="0.3">
      <c r="A483" s="209"/>
      <c r="B483" s="206"/>
      <c r="C483" s="35"/>
      <c r="D483" s="35"/>
      <c r="E483" s="36"/>
      <c r="F483" s="30" t="s">
        <v>514</v>
      </c>
      <c r="G483" s="30" t="str">
        <f t="shared" si="7"/>
        <v/>
      </c>
      <c r="H483" s="34"/>
      <c r="I483" s="30"/>
      <c r="J483" s="148">
        <v>70</v>
      </c>
      <c r="K483" s="222" t="s">
        <v>8074</v>
      </c>
    </row>
    <row r="484" spans="1:11" ht="15.75" hidden="1" thickBot="1" x14ac:dyDescent="0.3">
      <c r="A484" s="202" t="s">
        <v>190</v>
      </c>
      <c r="B484" s="204" t="str">
        <f>INDEX(Orçamentária!A:B,MATCH(Composições!A484,Orçamentária!A:A,0),2)</f>
        <v>Aplicação de fundo selador base água</v>
      </c>
      <c r="C484" s="40"/>
      <c r="D484" s="25" t="str">
        <f>TRIM(INDEX(Orçamentária!C:C,MATCH(Composições!A484,Orçamentária!A:A,0),1))</f>
        <v>m2</v>
      </c>
      <c r="E484" s="26"/>
      <c r="F484" s="41" t="s">
        <v>514</v>
      </c>
      <c r="G484" s="27" t="str">
        <f t="shared" si="7"/>
        <v/>
      </c>
      <c r="H484" s="28"/>
      <c r="I484" s="29"/>
      <c r="J484" s="148">
        <v>4860</v>
      </c>
      <c r="K484" s="222" t="s">
        <v>8074</v>
      </c>
    </row>
    <row r="485" spans="1:11" ht="15.75" hidden="1" thickBot="1" x14ac:dyDescent="0.3">
      <c r="A485" s="203"/>
      <c r="B485" s="205"/>
      <c r="C485" s="31"/>
      <c r="D485" s="31"/>
      <c r="E485" s="32"/>
      <c r="F485" s="42" t="s">
        <v>514</v>
      </c>
      <c r="G485" s="30" t="str">
        <f t="shared" si="7"/>
        <v/>
      </c>
      <c r="H485" s="34"/>
      <c r="I485" s="30"/>
      <c r="J485" s="148">
        <v>4860</v>
      </c>
      <c r="K485" s="222" t="s">
        <v>8074</v>
      </c>
    </row>
    <row r="486" spans="1:11" ht="15.75" hidden="1" thickBot="1" x14ac:dyDescent="0.3">
      <c r="A486" s="203"/>
      <c r="B486" s="205"/>
      <c r="C486" s="35" t="s">
        <v>99</v>
      </c>
      <c r="D486" s="46" t="s">
        <v>12</v>
      </c>
      <c r="E486" s="36">
        <v>0.106</v>
      </c>
      <c r="F486" s="30">
        <v>25.887499999999999</v>
      </c>
      <c r="G486" s="33">
        <f t="shared" si="7"/>
        <v>2.744075</v>
      </c>
      <c r="H486" s="38">
        <f>SUM(G486:G488)</f>
        <v>4.8526284999999998</v>
      </c>
      <c r="I486" s="39"/>
      <c r="J486" s="148">
        <v>4860</v>
      </c>
      <c r="K486" s="222" t="s">
        <v>8074</v>
      </c>
    </row>
    <row r="487" spans="1:11" ht="15.75" hidden="1" thickBot="1" x14ac:dyDescent="0.3">
      <c r="A487" s="203"/>
      <c r="B487" s="205"/>
      <c r="C487" s="35" t="s">
        <v>23</v>
      </c>
      <c r="D487" s="46" t="s">
        <v>12</v>
      </c>
      <c r="E487" s="36">
        <v>2.7E-2</v>
      </c>
      <c r="F487" s="30">
        <v>18.420500000000001</v>
      </c>
      <c r="G487" s="33">
        <f t="shared" si="7"/>
        <v>0.4973535</v>
      </c>
      <c r="H487" s="34"/>
      <c r="I487" s="30"/>
      <c r="J487" s="148">
        <v>4860</v>
      </c>
      <c r="K487" s="222" t="s">
        <v>8074</v>
      </c>
    </row>
    <row r="488" spans="1:11" ht="15.75" hidden="1" thickBot="1" x14ac:dyDescent="0.3">
      <c r="A488" s="203"/>
      <c r="B488" s="205"/>
      <c r="C488" s="35" t="s">
        <v>191</v>
      </c>
      <c r="D488" s="49" t="s">
        <v>101</v>
      </c>
      <c r="E488" s="36">
        <v>0.16</v>
      </c>
      <c r="F488" s="33">
        <v>10.07</v>
      </c>
      <c r="G488" s="33">
        <f t="shared" si="7"/>
        <v>1.6112000000000002</v>
      </c>
      <c r="H488" s="34"/>
      <c r="I488" s="30"/>
      <c r="J488" s="148">
        <v>4860</v>
      </c>
      <c r="K488" s="222" t="s">
        <v>8074</v>
      </c>
    </row>
    <row r="489" spans="1:11" ht="15.75" hidden="1" thickBot="1" x14ac:dyDescent="0.3">
      <c r="A489" s="209"/>
      <c r="B489" s="206"/>
      <c r="C489" s="35"/>
      <c r="D489" s="35"/>
      <c r="E489" s="36"/>
      <c r="F489" s="30" t="s">
        <v>514</v>
      </c>
      <c r="G489" s="30" t="str">
        <f t="shared" si="7"/>
        <v/>
      </c>
      <c r="H489" s="34"/>
      <c r="I489" s="30"/>
      <c r="J489" s="148">
        <v>4860</v>
      </c>
      <c r="K489" s="222" t="s">
        <v>8074</v>
      </c>
    </row>
    <row r="490" spans="1:11" ht="15.75" hidden="1" thickBot="1" x14ac:dyDescent="0.3">
      <c r="A490" s="202" t="s">
        <v>192</v>
      </c>
      <c r="B490" s="204" t="str">
        <f>INDEX(Orçamentária!A:B,MATCH(Composições!A490,Orçamentária!A:A,0),2)</f>
        <v>Fundo anticorrosivo e de aderência</v>
      </c>
      <c r="C490" s="40"/>
      <c r="D490" s="25" t="str">
        <f>TRIM(INDEX(Orçamentária!C:C,MATCH(Composições!A490,Orçamentária!A:A,0),1))</f>
        <v>m2</v>
      </c>
      <c r="E490" s="26"/>
      <c r="F490" s="41" t="s">
        <v>514</v>
      </c>
      <c r="G490" s="27" t="str">
        <f t="shared" si="7"/>
        <v/>
      </c>
      <c r="H490" s="28"/>
      <c r="I490" s="29"/>
      <c r="J490" s="148">
        <v>300</v>
      </c>
      <c r="K490" s="222" t="s">
        <v>8074</v>
      </c>
    </row>
    <row r="491" spans="1:11" ht="15.75" hidden="1" thickBot="1" x14ac:dyDescent="0.3">
      <c r="A491" s="203"/>
      <c r="B491" s="205"/>
      <c r="C491" s="31"/>
      <c r="D491" s="31"/>
      <c r="E491" s="32"/>
      <c r="F491" s="42" t="s">
        <v>514</v>
      </c>
      <c r="G491" s="30" t="str">
        <f t="shared" si="7"/>
        <v/>
      </c>
      <c r="H491" s="34"/>
      <c r="I491" s="30"/>
      <c r="J491" s="148">
        <v>300</v>
      </c>
      <c r="K491" s="222" t="s">
        <v>8074</v>
      </c>
    </row>
    <row r="492" spans="1:11" ht="15.75" hidden="1" thickBot="1" x14ac:dyDescent="0.3">
      <c r="A492" s="203"/>
      <c r="B492" s="205"/>
      <c r="C492" s="35" t="s">
        <v>99</v>
      </c>
      <c r="D492" s="46" t="s">
        <v>12</v>
      </c>
      <c r="E492" s="36">
        <f>2*0.2149</f>
        <v>0.42980000000000002</v>
      </c>
      <c r="F492" s="30">
        <v>25.887499999999999</v>
      </c>
      <c r="G492" s="33">
        <f t="shared" si="7"/>
        <v>11.126447499999999</v>
      </c>
      <c r="H492" s="38">
        <f>SUM(G492:G493)</f>
        <v>17.033647500000001</v>
      </c>
      <c r="I492" s="39"/>
      <c r="J492" s="148">
        <v>300</v>
      </c>
      <c r="K492" s="222" t="s">
        <v>8074</v>
      </c>
    </row>
    <row r="493" spans="1:11" ht="15.75" hidden="1" thickBot="1" x14ac:dyDescent="0.3">
      <c r="A493" s="203"/>
      <c r="B493" s="205"/>
      <c r="C493" s="35" t="s">
        <v>193</v>
      </c>
      <c r="D493" s="49" t="s">
        <v>101</v>
      </c>
      <c r="E493" s="36">
        <f>2*(3.6/45)</f>
        <v>0.16</v>
      </c>
      <c r="F493" s="33">
        <v>36.92</v>
      </c>
      <c r="G493" s="33">
        <f t="shared" si="7"/>
        <v>5.9072000000000005</v>
      </c>
      <c r="H493" s="34"/>
      <c r="I493" s="30"/>
      <c r="J493" s="148">
        <v>300</v>
      </c>
      <c r="K493" s="222" t="s">
        <v>8074</v>
      </c>
    </row>
    <row r="494" spans="1:11" ht="15.75" hidden="1" thickBot="1" x14ac:dyDescent="0.3">
      <c r="A494" s="203"/>
      <c r="B494" s="205"/>
      <c r="C494" s="35"/>
      <c r="D494" s="46"/>
      <c r="E494" s="36"/>
      <c r="F494" s="33" t="s">
        <v>514</v>
      </c>
      <c r="G494" s="33" t="str">
        <f t="shared" si="7"/>
        <v/>
      </c>
      <c r="H494" s="34"/>
      <c r="I494" s="30"/>
      <c r="J494" s="148">
        <v>300</v>
      </c>
      <c r="K494" s="222" t="s">
        <v>8074</v>
      </c>
    </row>
    <row r="495" spans="1:11" ht="26.25" hidden="1" thickBot="1" x14ac:dyDescent="0.3">
      <c r="A495" s="203"/>
      <c r="B495" s="205"/>
      <c r="C495" s="51" t="s">
        <v>194</v>
      </c>
      <c r="D495" s="46"/>
      <c r="E495" s="36"/>
      <c r="F495" s="33" t="s">
        <v>514</v>
      </c>
      <c r="G495" s="33" t="str">
        <f t="shared" si="7"/>
        <v/>
      </c>
      <c r="H495" s="34"/>
      <c r="I495" s="30"/>
      <c r="J495" s="148">
        <v>300</v>
      </c>
      <c r="K495" s="222" t="s">
        <v>8074</v>
      </c>
    </row>
    <row r="496" spans="1:11" ht="30.75" hidden="1" thickBot="1" x14ac:dyDescent="0.3">
      <c r="A496" s="203"/>
      <c r="B496" s="205"/>
      <c r="C496" s="140" t="s">
        <v>195</v>
      </c>
      <c r="D496" s="46"/>
      <c r="E496" s="36"/>
      <c r="F496" s="33" t="s">
        <v>514</v>
      </c>
      <c r="G496" s="33" t="str">
        <f t="shared" si="7"/>
        <v/>
      </c>
      <c r="H496" s="34"/>
      <c r="I496" s="30"/>
      <c r="J496" s="148">
        <v>300</v>
      </c>
      <c r="K496" s="222" t="s">
        <v>8074</v>
      </c>
    </row>
    <row r="497" spans="1:11" ht="30.75" hidden="1" thickBot="1" x14ac:dyDescent="0.3">
      <c r="A497" s="209"/>
      <c r="B497" s="206"/>
      <c r="C497" s="140" t="s">
        <v>196</v>
      </c>
      <c r="D497" s="35"/>
      <c r="E497" s="36"/>
      <c r="F497" s="30" t="s">
        <v>514</v>
      </c>
      <c r="G497" s="30" t="str">
        <f t="shared" si="7"/>
        <v/>
      </c>
      <c r="H497" s="34"/>
      <c r="I497" s="30"/>
      <c r="J497" s="148">
        <v>300</v>
      </c>
      <c r="K497" s="222" t="s">
        <v>8074</v>
      </c>
    </row>
    <row r="498" spans="1:11" ht="15.75" hidden="1" thickBot="1" x14ac:dyDescent="0.3">
      <c r="A498" s="202" t="s">
        <v>197</v>
      </c>
      <c r="B498" s="204" t="str">
        <f>INDEX(Orçamentária!A:B,MATCH(Composições!A498,Orçamentária!A:A,0),2)</f>
        <v>Massa acrílica</v>
      </c>
      <c r="C498" s="40"/>
      <c r="D498" s="25" t="str">
        <f>TRIM(INDEX(Orçamentária!C:C,MATCH(Composições!A498,Orçamentária!A:A,0),1))</f>
        <v>m2</v>
      </c>
      <c r="E498" s="26"/>
      <c r="F498" s="41" t="s">
        <v>514</v>
      </c>
      <c r="G498" s="27" t="str">
        <f t="shared" si="7"/>
        <v/>
      </c>
      <c r="H498" s="28"/>
      <c r="I498" s="29"/>
      <c r="J498" s="148">
        <v>900</v>
      </c>
      <c r="K498" s="222" t="s">
        <v>8074</v>
      </c>
    </row>
    <row r="499" spans="1:11" ht="15.75" hidden="1" thickBot="1" x14ac:dyDescent="0.3">
      <c r="A499" s="203"/>
      <c r="B499" s="205"/>
      <c r="C499" s="31"/>
      <c r="D499" s="31"/>
      <c r="E499" s="32"/>
      <c r="F499" s="42" t="s">
        <v>514</v>
      </c>
      <c r="G499" s="30" t="str">
        <f t="shared" si="7"/>
        <v/>
      </c>
      <c r="H499" s="34"/>
      <c r="I499" s="30"/>
      <c r="J499" s="148">
        <v>900</v>
      </c>
      <c r="K499" s="222" t="s">
        <v>8074</v>
      </c>
    </row>
    <row r="500" spans="1:11" ht="26.25" hidden="1" thickBot="1" x14ac:dyDescent="0.3">
      <c r="A500" s="203"/>
      <c r="B500" s="205"/>
      <c r="C500" s="35" t="s">
        <v>6776</v>
      </c>
      <c r="D500" s="46" t="s">
        <v>20</v>
      </c>
      <c r="E500" s="36">
        <v>0.1</v>
      </c>
      <c r="F500" s="33">
        <v>1.2729999999999999</v>
      </c>
      <c r="G500" s="33">
        <f t="shared" si="7"/>
        <v>0.1273</v>
      </c>
      <c r="H500" s="38">
        <f>SUM(G500:G503)</f>
        <v>20.858242180000001</v>
      </c>
      <c r="I500" s="39"/>
      <c r="J500" s="148">
        <v>900</v>
      </c>
      <c r="K500" s="222" t="s">
        <v>8074</v>
      </c>
    </row>
    <row r="501" spans="1:11" ht="15.75" hidden="1" thickBot="1" x14ac:dyDescent="0.3">
      <c r="A501" s="203"/>
      <c r="B501" s="205"/>
      <c r="C501" s="35" t="s">
        <v>6777</v>
      </c>
      <c r="D501" s="46" t="s">
        <v>42</v>
      </c>
      <c r="E501" s="36">
        <v>1.5518400000000001</v>
      </c>
      <c r="F501" s="33">
        <v>6.8019999999999996</v>
      </c>
      <c r="G501" s="33">
        <f t="shared" si="7"/>
        <v>10.555615680000001</v>
      </c>
      <c r="H501" s="34"/>
      <c r="I501" s="30"/>
      <c r="J501" s="148">
        <v>900</v>
      </c>
      <c r="K501" s="222" t="s">
        <v>8074</v>
      </c>
    </row>
    <row r="502" spans="1:11" ht="15.75" hidden="1" thickBot="1" x14ac:dyDescent="0.3">
      <c r="A502" s="203"/>
      <c r="B502" s="205"/>
      <c r="C502" s="35" t="s">
        <v>99</v>
      </c>
      <c r="D502" s="46" t="s">
        <v>12</v>
      </c>
      <c r="E502" s="36">
        <v>0.33400000000000002</v>
      </c>
      <c r="F502" s="30">
        <v>25.887499999999999</v>
      </c>
      <c r="G502" s="33">
        <f t="shared" si="7"/>
        <v>8.6464250000000007</v>
      </c>
      <c r="H502" s="34"/>
      <c r="I502" s="30"/>
      <c r="J502" s="148">
        <v>900</v>
      </c>
      <c r="K502" s="222" t="s">
        <v>8074</v>
      </c>
    </row>
    <row r="503" spans="1:11" ht="15.75" hidden="1" thickBot="1" x14ac:dyDescent="0.3">
      <c r="A503" s="203"/>
      <c r="B503" s="205"/>
      <c r="C503" s="35" t="s">
        <v>23</v>
      </c>
      <c r="D503" s="46" t="s">
        <v>12</v>
      </c>
      <c r="E503" s="36">
        <v>8.3000000000000004E-2</v>
      </c>
      <c r="F503" s="30">
        <v>18.420500000000001</v>
      </c>
      <c r="G503" s="33">
        <f t="shared" si="7"/>
        <v>1.5289015000000001</v>
      </c>
      <c r="H503" s="34"/>
      <c r="I503" s="30"/>
      <c r="J503" s="148">
        <v>900</v>
      </c>
      <c r="K503" s="222" t="s">
        <v>8074</v>
      </c>
    </row>
    <row r="504" spans="1:11" ht="15.75" hidden="1" thickBot="1" x14ac:dyDescent="0.3">
      <c r="A504" s="209"/>
      <c r="B504" s="206"/>
      <c r="C504" s="35"/>
      <c r="D504" s="35"/>
      <c r="E504" s="36"/>
      <c r="F504" s="30" t="s">
        <v>514</v>
      </c>
      <c r="G504" s="30" t="str">
        <f t="shared" si="7"/>
        <v/>
      </c>
      <c r="H504" s="34"/>
      <c r="I504" s="30"/>
      <c r="J504" s="148">
        <v>900</v>
      </c>
      <c r="K504" s="222" t="s">
        <v>8074</v>
      </c>
    </row>
    <row r="505" spans="1:11" ht="15.75" hidden="1" thickBot="1" x14ac:dyDescent="0.3">
      <c r="A505" s="202" t="s">
        <v>198</v>
      </c>
      <c r="B505" s="204" t="str">
        <f>INDEX(Orçamentária!A:B,MATCH(Composições!A505,Orçamentária!A:A,0),2)</f>
        <v>Massa corrida</v>
      </c>
      <c r="C505" s="40"/>
      <c r="D505" s="25" t="str">
        <f>TRIM(INDEX(Orçamentária!C:C,MATCH(Composições!A505,Orçamentária!A:A,0),1))</f>
        <v>m2</v>
      </c>
      <c r="E505" s="26"/>
      <c r="F505" s="41" t="s">
        <v>514</v>
      </c>
      <c r="G505" s="27" t="str">
        <f t="shared" si="7"/>
        <v/>
      </c>
      <c r="H505" s="28"/>
      <c r="I505" s="29"/>
      <c r="J505" s="148">
        <v>3000</v>
      </c>
      <c r="K505" s="222" t="s">
        <v>8074</v>
      </c>
    </row>
    <row r="506" spans="1:11" ht="15.75" hidden="1" thickBot="1" x14ac:dyDescent="0.3">
      <c r="A506" s="203"/>
      <c r="B506" s="205"/>
      <c r="C506" s="31"/>
      <c r="D506" s="31"/>
      <c r="E506" s="32"/>
      <c r="F506" s="42" t="s">
        <v>514</v>
      </c>
      <c r="G506" s="30" t="str">
        <f t="shared" si="7"/>
        <v/>
      </c>
      <c r="H506" s="34"/>
      <c r="I506" s="30"/>
      <c r="J506" s="148">
        <v>3000</v>
      </c>
      <c r="K506" s="222" t="s">
        <v>8074</v>
      </c>
    </row>
    <row r="507" spans="1:11" ht="26.25" hidden="1" thickBot="1" x14ac:dyDescent="0.3">
      <c r="A507" s="203"/>
      <c r="B507" s="205"/>
      <c r="C507" s="35" t="s">
        <v>6776</v>
      </c>
      <c r="D507" s="46" t="s">
        <v>20</v>
      </c>
      <c r="E507" s="36">
        <v>0.1</v>
      </c>
      <c r="F507" s="33">
        <v>1.2729999999999999</v>
      </c>
      <c r="G507" s="33">
        <f t="shared" si="7"/>
        <v>0.1273</v>
      </c>
      <c r="H507" s="38">
        <f>SUM(G507:G510)</f>
        <v>16.183667620000001</v>
      </c>
      <c r="I507" s="39"/>
      <c r="J507" s="148">
        <v>3000</v>
      </c>
      <c r="K507" s="222" t="s">
        <v>8074</v>
      </c>
    </row>
    <row r="508" spans="1:11" ht="15.75" hidden="1" thickBot="1" x14ac:dyDescent="0.3">
      <c r="A508" s="203"/>
      <c r="B508" s="205"/>
      <c r="C508" s="35" t="s">
        <v>6778</v>
      </c>
      <c r="D508" s="46" t="s">
        <v>891</v>
      </c>
      <c r="E508" s="36">
        <v>1.5550200000000001</v>
      </c>
      <c r="F508" s="33">
        <v>3.7809999999999997</v>
      </c>
      <c r="G508" s="33">
        <f t="shared" si="7"/>
        <v>5.8795306199999997</v>
      </c>
      <c r="H508" s="34"/>
      <c r="I508" s="30"/>
      <c r="J508" s="148">
        <v>3000</v>
      </c>
      <c r="K508" s="222" t="s">
        <v>8074</v>
      </c>
    </row>
    <row r="509" spans="1:11" ht="15.75" hidden="1" thickBot="1" x14ac:dyDescent="0.3">
      <c r="A509" s="203"/>
      <c r="B509" s="205"/>
      <c r="C509" s="35" t="s">
        <v>99</v>
      </c>
      <c r="D509" s="46" t="s">
        <v>12</v>
      </c>
      <c r="E509" s="36">
        <v>0.312</v>
      </c>
      <c r="F509" s="30">
        <v>25.887499999999999</v>
      </c>
      <c r="G509" s="33">
        <f t="shared" si="7"/>
        <v>8.0769000000000002</v>
      </c>
      <c r="H509" s="34"/>
      <c r="I509" s="30"/>
      <c r="J509" s="148">
        <v>3000</v>
      </c>
      <c r="K509" s="222" t="s">
        <v>8074</v>
      </c>
    </row>
    <row r="510" spans="1:11" ht="15.75" hidden="1" thickBot="1" x14ac:dyDescent="0.3">
      <c r="A510" s="203"/>
      <c r="B510" s="205"/>
      <c r="C510" s="35" t="s">
        <v>23</v>
      </c>
      <c r="D510" s="46" t="s">
        <v>12</v>
      </c>
      <c r="E510" s="36">
        <v>0.114</v>
      </c>
      <c r="F510" s="30">
        <v>18.420500000000001</v>
      </c>
      <c r="G510" s="33">
        <f t="shared" si="7"/>
        <v>2.0999370000000002</v>
      </c>
      <c r="H510" s="34"/>
      <c r="I510" s="30"/>
      <c r="J510" s="148">
        <v>3000</v>
      </c>
      <c r="K510" s="222" t="s">
        <v>8074</v>
      </c>
    </row>
    <row r="511" spans="1:11" ht="15.75" hidden="1" thickBot="1" x14ac:dyDescent="0.3">
      <c r="A511" s="209"/>
      <c r="B511" s="206"/>
      <c r="C511" s="35"/>
      <c r="D511" s="35"/>
      <c r="E511" s="36"/>
      <c r="F511" s="30" t="s">
        <v>514</v>
      </c>
      <c r="G511" s="30" t="str">
        <f t="shared" si="7"/>
        <v/>
      </c>
      <c r="H511" s="34"/>
      <c r="I511" s="30"/>
      <c r="J511" s="148">
        <v>3000</v>
      </c>
      <c r="K511" s="222" t="s">
        <v>8074</v>
      </c>
    </row>
    <row r="512" spans="1:11" ht="15.75" hidden="1" thickBot="1" x14ac:dyDescent="0.3">
      <c r="A512" s="202" t="s">
        <v>199</v>
      </c>
      <c r="B512" s="204" t="str">
        <f>INDEX(Orçamentária!A:B,MATCH(Composições!A512,Orçamentária!A:A,0),2)</f>
        <v>Pintura com tinta látex acrílica Premium (paredes)</v>
      </c>
      <c r="C512" s="40"/>
      <c r="D512" s="25" t="str">
        <f>TRIM(INDEX(Orçamentária!C:C,MATCH(Composições!A512,Orçamentária!A:A,0),1))</f>
        <v>m2</v>
      </c>
      <c r="E512" s="26"/>
      <c r="F512" s="41" t="s">
        <v>514</v>
      </c>
      <c r="G512" s="27" t="str">
        <f t="shared" si="7"/>
        <v/>
      </c>
      <c r="H512" s="28"/>
      <c r="I512" s="29"/>
      <c r="J512" s="148">
        <v>8550</v>
      </c>
      <c r="K512" s="222" t="s">
        <v>8074</v>
      </c>
    </row>
    <row r="513" spans="1:11" ht="15.75" hidden="1" thickBot="1" x14ac:dyDescent="0.3">
      <c r="A513" s="203"/>
      <c r="B513" s="205"/>
      <c r="C513" s="31"/>
      <c r="D513" s="31"/>
      <c r="E513" s="32"/>
      <c r="F513" s="42" t="s">
        <v>514</v>
      </c>
      <c r="G513" s="30" t="str">
        <f t="shared" si="7"/>
        <v/>
      </c>
      <c r="H513" s="34"/>
      <c r="I513" s="30"/>
      <c r="J513" s="148">
        <v>8550</v>
      </c>
      <c r="K513" s="222" t="s">
        <v>8074</v>
      </c>
    </row>
    <row r="514" spans="1:11" ht="15.75" hidden="1" thickBot="1" x14ac:dyDescent="0.3">
      <c r="A514" s="203"/>
      <c r="B514" s="205"/>
      <c r="C514" s="35" t="s">
        <v>99</v>
      </c>
      <c r="D514" s="46" t="s">
        <v>12</v>
      </c>
      <c r="E514" s="36">
        <v>0.187</v>
      </c>
      <c r="F514" s="30">
        <v>25.887499999999999</v>
      </c>
      <c r="G514" s="33">
        <f t="shared" si="7"/>
        <v>4.8409624999999998</v>
      </c>
      <c r="H514" s="38">
        <f>SUM(G514:G516)</f>
        <v>14.441671999999999</v>
      </c>
      <c r="I514" s="39"/>
      <c r="J514" s="148">
        <v>8550</v>
      </c>
      <c r="K514" s="222" t="s">
        <v>8074</v>
      </c>
    </row>
    <row r="515" spans="1:11" ht="15.75" hidden="1" thickBot="1" x14ac:dyDescent="0.3">
      <c r="A515" s="203"/>
      <c r="B515" s="205"/>
      <c r="C515" s="35" t="s">
        <v>23</v>
      </c>
      <c r="D515" s="46" t="s">
        <v>12</v>
      </c>
      <c r="E515" s="36">
        <v>6.9000000000000006E-2</v>
      </c>
      <c r="F515" s="30">
        <v>18.420500000000001</v>
      </c>
      <c r="G515" s="33">
        <f t="shared" si="7"/>
        <v>1.2710145000000002</v>
      </c>
      <c r="H515" s="34"/>
      <c r="I515" s="30"/>
      <c r="J515" s="148">
        <v>8550</v>
      </c>
      <c r="K515" s="222" t="s">
        <v>8074</v>
      </c>
    </row>
    <row r="516" spans="1:11" ht="15.75" hidden="1" thickBot="1" x14ac:dyDescent="0.3">
      <c r="A516" s="203"/>
      <c r="B516" s="205"/>
      <c r="C516" s="35" t="s">
        <v>6773</v>
      </c>
      <c r="D516" s="49" t="s">
        <v>101</v>
      </c>
      <c r="E516" s="36">
        <v>0.33</v>
      </c>
      <c r="F516" s="33">
        <v>25.241499999999998</v>
      </c>
      <c r="G516" s="33">
        <f t="shared" si="7"/>
        <v>8.3296949999999992</v>
      </c>
      <c r="H516" s="34"/>
      <c r="I516" s="30"/>
      <c r="J516" s="148">
        <v>8550</v>
      </c>
      <c r="K516" s="222" t="s">
        <v>8074</v>
      </c>
    </row>
    <row r="517" spans="1:11" ht="15.75" hidden="1" thickBot="1" x14ac:dyDescent="0.3">
      <c r="A517" s="209"/>
      <c r="B517" s="206"/>
      <c r="C517" s="35"/>
      <c r="D517" s="35"/>
      <c r="E517" s="36"/>
      <c r="F517" s="30" t="s">
        <v>514</v>
      </c>
      <c r="G517" s="30" t="str">
        <f t="shared" si="7"/>
        <v/>
      </c>
      <c r="H517" s="34"/>
      <c r="I517" s="30"/>
      <c r="J517" s="148">
        <v>8550</v>
      </c>
      <c r="K517" s="222" t="s">
        <v>8074</v>
      </c>
    </row>
    <row r="518" spans="1:11" ht="15.75" hidden="1" thickBot="1" x14ac:dyDescent="0.3">
      <c r="A518" s="202" t="s">
        <v>200</v>
      </c>
      <c r="B518" s="204" t="str">
        <f>INDEX(Orçamentária!A:B,MATCH(Composições!A518,Orçamentária!A:A,0),2)</f>
        <v>Pintura em verniz sintético</v>
      </c>
      <c r="C518" s="40"/>
      <c r="D518" s="25" t="str">
        <f>TRIM(INDEX(Orçamentária!C:C,MATCH(Composições!A518,Orçamentária!A:A,0),1))</f>
        <v>m2</v>
      </c>
      <c r="E518" s="26"/>
      <c r="F518" s="41" t="s">
        <v>514</v>
      </c>
      <c r="G518" s="27" t="str">
        <f t="shared" ref="G518:G581" si="8">IF(ISNUMBER(F518),E518*F518,"")</f>
        <v/>
      </c>
      <c r="H518" s="28"/>
      <c r="I518" s="29"/>
      <c r="J518" s="148">
        <v>270</v>
      </c>
      <c r="K518" s="222" t="s">
        <v>8074</v>
      </c>
    </row>
    <row r="519" spans="1:11" ht="15.75" hidden="1" thickBot="1" x14ac:dyDescent="0.3">
      <c r="A519" s="203"/>
      <c r="B519" s="205"/>
      <c r="C519" s="31"/>
      <c r="D519" s="31"/>
      <c r="E519" s="32"/>
      <c r="F519" s="42" t="s">
        <v>514</v>
      </c>
      <c r="G519" s="30" t="str">
        <f t="shared" si="8"/>
        <v/>
      </c>
      <c r="H519" s="34"/>
      <c r="I519" s="30"/>
      <c r="J519" s="148">
        <v>270</v>
      </c>
      <c r="K519" s="222" t="s">
        <v>8074</v>
      </c>
    </row>
    <row r="520" spans="1:11" ht="15.75" hidden="1" thickBot="1" x14ac:dyDescent="0.3">
      <c r="A520" s="203"/>
      <c r="B520" s="205"/>
      <c r="C520" s="35" t="s">
        <v>201</v>
      </c>
      <c r="D520" s="49" t="s">
        <v>101</v>
      </c>
      <c r="E520" s="36">
        <f>ROUND(3*3.6/100,4)</f>
        <v>0.108</v>
      </c>
      <c r="F520" s="33">
        <v>44.33</v>
      </c>
      <c r="G520" s="30">
        <f t="shared" si="8"/>
        <v>4.7876399999999997</v>
      </c>
      <c r="H520" s="38">
        <f>SUM(G520:G521)</f>
        <v>23.105634999999999</v>
      </c>
      <c r="I520" s="39"/>
      <c r="J520" s="148">
        <v>270</v>
      </c>
      <c r="K520" s="222" t="s">
        <v>8074</v>
      </c>
    </row>
    <row r="521" spans="1:11" ht="15.75" hidden="1" thickBot="1" x14ac:dyDescent="0.3">
      <c r="A521" s="203"/>
      <c r="B521" s="205"/>
      <c r="C521" s="35" t="s">
        <v>99</v>
      </c>
      <c r="D521" s="35" t="s">
        <v>12</v>
      </c>
      <c r="E521" s="36">
        <v>0.70760000000000001</v>
      </c>
      <c r="F521" s="30">
        <v>25.887499999999999</v>
      </c>
      <c r="G521" s="30">
        <f t="shared" si="8"/>
        <v>18.317995</v>
      </c>
      <c r="H521" s="34"/>
      <c r="I521" s="30"/>
      <c r="J521" s="148">
        <v>270</v>
      </c>
      <c r="K521" s="222" t="s">
        <v>8074</v>
      </c>
    </row>
    <row r="522" spans="1:11" ht="15.75" hidden="1" thickBot="1" x14ac:dyDescent="0.3">
      <c r="A522" s="203"/>
      <c r="B522" s="205"/>
      <c r="C522" s="35"/>
      <c r="D522" s="35"/>
      <c r="E522" s="36"/>
      <c r="F522" s="30" t="s">
        <v>514</v>
      </c>
      <c r="G522" s="30"/>
      <c r="H522" s="34"/>
      <c r="I522" s="30"/>
      <c r="J522" s="148">
        <v>270</v>
      </c>
      <c r="K522" s="222" t="s">
        <v>8074</v>
      </c>
    </row>
    <row r="523" spans="1:11" ht="39" hidden="1" thickBot="1" x14ac:dyDescent="0.3">
      <c r="A523" s="203"/>
      <c r="B523" s="205"/>
      <c r="C523" s="51" t="s">
        <v>3372</v>
      </c>
      <c r="D523" s="35"/>
      <c r="E523" s="36"/>
      <c r="F523" s="30" t="s">
        <v>514</v>
      </c>
      <c r="G523" s="30"/>
      <c r="H523" s="34"/>
      <c r="I523" s="30"/>
      <c r="J523" s="148">
        <v>270</v>
      </c>
      <c r="K523" s="222" t="s">
        <v>8074</v>
      </c>
    </row>
    <row r="524" spans="1:11" ht="15.75" hidden="1" thickBot="1" x14ac:dyDescent="0.3">
      <c r="A524" s="209"/>
      <c r="B524" s="206"/>
      <c r="C524" s="35"/>
      <c r="D524" s="35"/>
      <c r="E524" s="36"/>
      <c r="F524" s="30" t="s">
        <v>514</v>
      </c>
      <c r="G524" s="30" t="str">
        <f>IF(ISNUMBER(F524),E524*F524,"")</f>
        <v/>
      </c>
      <c r="H524" s="34"/>
      <c r="I524" s="30"/>
      <c r="J524" s="148">
        <v>270</v>
      </c>
      <c r="K524" s="222" t="s">
        <v>8074</v>
      </c>
    </row>
    <row r="525" spans="1:11" ht="15.75" hidden="1" thickBot="1" x14ac:dyDescent="0.3">
      <c r="A525" s="202" t="s">
        <v>202</v>
      </c>
      <c r="B525" s="204" t="str">
        <f>INDEX(Orçamentária!A:B,MATCH(Composições!A525,Orçamentária!A:A,0),2)</f>
        <v>Pintura esmalte acetinado (metais e madeiras)</v>
      </c>
      <c r="C525" s="40"/>
      <c r="D525" s="25" t="str">
        <f>TRIM(INDEX(Orçamentária!C:C,MATCH(Composições!A525,Orçamentária!A:A,0),1))</f>
        <v>m2</v>
      </c>
      <c r="E525" s="26"/>
      <c r="F525" s="41" t="s">
        <v>514</v>
      </c>
      <c r="G525" s="27" t="str">
        <f>IF(ISNUMBER(F525),E525*F525,"")</f>
        <v/>
      </c>
      <c r="H525" s="28"/>
      <c r="I525" s="29"/>
      <c r="J525" s="148">
        <v>375</v>
      </c>
      <c r="K525" s="222" t="s">
        <v>8074</v>
      </c>
    </row>
    <row r="526" spans="1:11" ht="15.75" hidden="1" thickBot="1" x14ac:dyDescent="0.3">
      <c r="A526" s="203"/>
      <c r="B526" s="205"/>
      <c r="C526" s="31"/>
      <c r="D526" s="31"/>
      <c r="E526" s="32"/>
      <c r="F526" s="42" t="s">
        <v>514</v>
      </c>
      <c r="G526" s="30" t="str">
        <f>IF(ISNUMBER(F526),E526*F526,"")</f>
        <v/>
      </c>
      <c r="H526" s="34"/>
      <c r="I526" s="30"/>
      <c r="J526" s="148">
        <v>375</v>
      </c>
      <c r="K526" s="222" t="s">
        <v>8074</v>
      </c>
    </row>
    <row r="527" spans="1:11" ht="15.75" hidden="1" thickBot="1" x14ac:dyDescent="0.3">
      <c r="A527" s="203"/>
      <c r="B527" s="205"/>
      <c r="C527" s="35" t="s">
        <v>99</v>
      </c>
      <c r="D527" s="35" t="s">
        <v>695</v>
      </c>
      <c r="E527" s="36">
        <v>0.57079999999999997</v>
      </c>
      <c r="F527" s="30">
        <v>25.887499999999999</v>
      </c>
      <c r="G527" s="33">
        <f>IF(ISNUMBER(F527),E527*F527,"")</f>
        <v>14.776584999999999</v>
      </c>
      <c r="H527" s="38">
        <f>SUM(G527:G528)</f>
        <v>19.318344999999997</v>
      </c>
      <c r="I527" s="39"/>
      <c r="J527" s="148">
        <v>375</v>
      </c>
      <c r="K527" s="222" t="s">
        <v>8074</v>
      </c>
    </row>
    <row r="528" spans="1:11" ht="15.75" hidden="1" thickBot="1" x14ac:dyDescent="0.3">
      <c r="A528" s="203"/>
      <c r="B528" s="205"/>
      <c r="C528" s="35" t="s">
        <v>203</v>
      </c>
      <c r="D528" s="49" t="s">
        <v>101</v>
      </c>
      <c r="E528" s="36">
        <f>ROUND(3*3.6/75,4)</f>
        <v>0.14399999999999999</v>
      </c>
      <c r="F528" s="33">
        <v>31.54</v>
      </c>
      <c r="G528" s="33">
        <f>IF(ISNUMBER(F528),E528*F528,"")</f>
        <v>4.5417599999999991</v>
      </c>
      <c r="H528" s="34"/>
      <c r="I528" s="30"/>
      <c r="J528" s="148">
        <v>375</v>
      </c>
      <c r="K528" s="222" t="s">
        <v>8074</v>
      </c>
    </row>
    <row r="529" spans="1:11" ht="15.75" hidden="1" thickBot="1" x14ac:dyDescent="0.3">
      <c r="A529" s="203"/>
      <c r="B529" s="205"/>
      <c r="C529" s="35"/>
      <c r="D529" s="49"/>
      <c r="E529" s="36"/>
      <c r="F529" s="33" t="s">
        <v>514</v>
      </c>
      <c r="G529" s="33"/>
      <c r="H529" s="34"/>
      <c r="I529" s="30"/>
      <c r="J529" s="148">
        <v>375</v>
      </c>
      <c r="K529" s="222" t="s">
        <v>8074</v>
      </c>
    </row>
    <row r="530" spans="1:11" ht="39" hidden="1" thickBot="1" x14ac:dyDescent="0.3">
      <c r="A530" s="203"/>
      <c r="B530" s="205"/>
      <c r="C530" s="51" t="s">
        <v>3371</v>
      </c>
      <c r="D530" s="49"/>
      <c r="E530" s="36"/>
      <c r="F530" s="33" t="s">
        <v>514</v>
      </c>
      <c r="G530" s="33"/>
      <c r="H530" s="34"/>
      <c r="I530" s="30"/>
      <c r="J530" s="148">
        <v>375</v>
      </c>
      <c r="K530" s="222" t="s">
        <v>8074</v>
      </c>
    </row>
    <row r="531" spans="1:11" ht="15.75" hidden="1" thickBot="1" x14ac:dyDescent="0.3">
      <c r="A531" s="209"/>
      <c r="B531" s="206"/>
      <c r="C531" s="35"/>
      <c r="D531" s="35"/>
      <c r="E531" s="36"/>
      <c r="F531" s="30" t="s">
        <v>514</v>
      </c>
      <c r="G531" s="30" t="str">
        <f t="shared" ref="G531:G594" si="9">IF(ISNUMBER(F531),E531*F531,"")</f>
        <v/>
      </c>
      <c r="H531" s="34"/>
      <c r="I531" s="30"/>
      <c r="J531" s="148">
        <v>375</v>
      </c>
      <c r="K531" s="222" t="s">
        <v>8074</v>
      </c>
    </row>
    <row r="532" spans="1:11" ht="15.75" hidden="1" thickBot="1" x14ac:dyDescent="0.3">
      <c r="A532" s="202" t="s">
        <v>204</v>
      </c>
      <c r="B532" s="204" t="str">
        <f>INDEX(Orçamentária!A:B,MATCH(Composições!A532,Orçamentária!A:A,0),2)</f>
        <v>Pintura tinta látex acrílica standard (tetos)</v>
      </c>
      <c r="C532" s="40"/>
      <c r="D532" s="25" t="str">
        <f>TRIM(INDEX(Orçamentária!C:C,MATCH(Composições!A532,Orçamentária!A:A,0),1))</f>
        <v>m2</v>
      </c>
      <c r="E532" s="26"/>
      <c r="F532" s="41" t="s">
        <v>514</v>
      </c>
      <c r="G532" s="27" t="str">
        <f t="shared" si="9"/>
        <v/>
      </c>
      <c r="H532" s="28"/>
      <c r="I532" s="29"/>
      <c r="J532" s="148">
        <v>5400</v>
      </c>
      <c r="K532" s="222" t="s">
        <v>8074</v>
      </c>
    </row>
    <row r="533" spans="1:11" ht="15.75" hidden="1" thickBot="1" x14ac:dyDescent="0.3">
      <c r="A533" s="203"/>
      <c r="B533" s="205"/>
      <c r="C533" s="31"/>
      <c r="D533" s="31"/>
      <c r="E533" s="32"/>
      <c r="F533" s="42" t="s">
        <v>514</v>
      </c>
      <c r="G533" s="30" t="str">
        <f t="shared" si="9"/>
        <v/>
      </c>
      <c r="H533" s="34"/>
      <c r="I533" s="30"/>
      <c r="J533" s="148">
        <v>5400</v>
      </c>
      <c r="K533" s="222" t="s">
        <v>8074</v>
      </c>
    </row>
    <row r="534" spans="1:11" ht="15.75" hidden="1" thickBot="1" x14ac:dyDescent="0.3">
      <c r="A534" s="203"/>
      <c r="B534" s="205"/>
      <c r="C534" s="35" t="s">
        <v>99</v>
      </c>
      <c r="D534" s="35" t="s">
        <v>695</v>
      </c>
      <c r="E534" s="36">
        <v>0.24399999999999999</v>
      </c>
      <c r="F534" s="30">
        <v>25.887499999999999</v>
      </c>
      <c r="G534" s="33">
        <f t="shared" si="9"/>
        <v>6.3165499999999994</v>
      </c>
      <c r="H534" s="38">
        <f>SUM(G534:G536)</f>
        <v>16.285669499999997</v>
      </c>
      <c r="I534" s="39"/>
      <c r="J534" s="148">
        <v>5400</v>
      </c>
      <c r="K534" s="222" t="s">
        <v>8074</v>
      </c>
    </row>
    <row r="535" spans="1:11" ht="15.75" hidden="1" thickBot="1" x14ac:dyDescent="0.3">
      <c r="A535" s="203"/>
      <c r="B535" s="205"/>
      <c r="C535" s="35" t="s">
        <v>23</v>
      </c>
      <c r="D535" s="35" t="s">
        <v>695</v>
      </c>
      <c r="E535" s="36">
        <v>8.8999999999999996E-2</v>
      </c>
      <c r="F535" s="30">
        <v>18.420500000000001</v>
      </c>
      <c r="G535" s="33">
        <f t="shared" si="9"/>
        <v>1.6394245000000001</v>
      </c>
      <c r="H535" s="34"/>
      <c r="I535" s="30"/>
      <c r="J535" s="148">
        <v>5400</v>
      </c>
      <c r="K535" s="222" t="s">
        <v>8074</v>
      </c>
    </row>
    <row r="536" spans="1:11" ht="15.75" hidden="1" thickBot="1" x14ac:dyDescent="0.3">
      <c r="A536" s="203"/>
      <c r="B536" s="205"/>
      <c r="C536" s="35" t="s">
        <v>6773</v>
      </c>
      <c r="D536" s="49" t="s">
        <v>101</v>
      </c>
      <c r="E536" s="36">
        <v>0.33</v>
      </c>
      <c r="F536" s="33">
        <v>25.241499999999998</v>
      </c>
      <c r="G536" s="33">
        <f t="shared" si="9"/>
        <v>8.3296949999999992</v>
      </c>
      <c r="H536" s="34"/>
      <c r="I536" s="30"/>
      <c r="J536" s="148">
        <v>5400</v>
      </c>
      <c r="K536" s="222" t="s">
        <v>8074</v>
      </c>
    </row>
    <row r="537" spans="1:11" ht="15.75" hidden="1" thickBot="1" x14ac:dyDescent="0.3">
      <c r="A537" s="209"/>
      <c r="B537" s="206"/>
      <c r="C537" s="35"/>
      <c r="D537" s="35"/>
      <c r="E537" s="36"/>
      <c r="F537" s="30" t="s">
        <v>514</v>
      </c>
      <c r="G537" s="30" t="str">
        <f t="shared" si="9"/>
        <v/>
      </c>
      <c r="H537" s="34"/>
      <c r="I537" s="30"/>
      <c r="J537" s="148">
        <v>5400</v>
      </c>
      <c r="K537" s="222" t="s">
        <v>8074</v>
      </c>
    </row>
    <row r="538" spans="1:11" ht="15.75" hidden="1" thickBot="1" x14ac:dyDescent="0.3">
      <c r="A538" s="202" t="s">
        <v>205</v>
      </c>
      <c r="B538" s="204" t="str">
        <f>INDEX(Orçamentária!A:B,MATCH(Composições!A538,Orçamentária!A:A,0),2)</f>
        <v>Cerâmica para revestimento de superfícies internas ou externas – Linha Administrativa</v>
      </c>
      <c r="C538" s="40"/>
      <c r="D538" s="25" t="str">
        <f>TRIM(INDEX(Orçamentária!C:C,MATCH(Composições!A538,Orçamentária!A:A,0),1))</f>
        <v>m2</v>
      </c>
      <c r="E538" s="26"/>
      <c r="F538" s="41" t="s">
        <v>514</v>
      </c>
      <c r="G538" s="27" t="str">
        <f t="shared" si="9"/>
        <v/>
      </c>
      <c r="H538" s="28"/>
      <c r="I538" s="29"/>
      <c r="J538" s="148">
        <v>0</v>
      </c>
      <c r="K538" s="222">
        <v>0</v>
      </c>
    </row>
    <row r="539" spans="1:11" ht="15.75" hidden="1" thickBot="1" x14ac:dyDescent="0.3">
      <c r="A539" s="203"/>
      <c r="B539" s="205"/>
      <c r="C539" s="31"/>
      <c r="D539" s="31"/>
      <c r="E539" s="32"/>
      <c r="F539" s="42" t="s">
        <v>514</v>
      </c>
      <c r="G539" s="30" t="str">
        <f t="shared" si="9"/>
        <v/>
      </c>
      <c r="H539" s="34"/>
      <c r="I539" s="30"/>
      <c r="J539" s="148">
        <v>0</v>
      </c>
      <c r="K539" s="222">
        <v>0</v>
      </c>
    </row>
    <row r="540" spans="1:11" ht="26.25" hidden="1" thickBot="1" x14ac:dyDescent="0.3">
      <c r="A540" s="203"/>
      <c r="B540" s="205"/>
      <c r="C540" s="35" t="s">
        <v>206</v>
      </c>
      <c r="D540" s="35" t="s">
        <v>94</v>
      </c>
      <c r="E540" s="36">
        <v>1.08</v>
      </c>
      <c r="F540" s="33">
        <v>40.355999999999995</v>
      </c>
      <c r="G540" s="33">
        <f t="shared" si="9"/>
        <v>43.584479999999999</v>
      </c>
      <c r="H540" s="38">
        <f>SUM(G540:G544)</f>
        <v>73.20320000000001</v>
      </c>
      <c r="I540" s="39"/>
      <c r="J540" s="148">
        <v>0</v>
      </c>
      <c r="K540" s="222">
        <v>0</v>
      </c>
    </row>
    <row r="541" spans="1:11" ht="15.75" hidden="1" thickBot="1" x14ac:dyDescent="0.3">
      <c r="A541" s="203"/>
      <c r="B541" s="205"/>
      <c r="C541" s="35" t="s">
        <v>3513</v>
      </c>
      <c r="D541" s="35" t="s">
        <v>42</v>
      </c>
      <c r="E541" s="36">
        <v>6.14</v>
      </c>
      <c r="F541" s="33">
        <v>0.96899999999999997</v>
      </c>
      <c r="G541" s="33">
        <f t="shared" si="9"/>
        <v>5.9496599999999997</v>
      </c>
      <c r="H541" s="34"/>
      <c r="I541" s="30"/>
      <c r="J541" s="148">
        <v>0</v>
      </c>
      <c r="K541" s="222">
        <v>0</v>
      </c>
    </row>
    <row r="542" spans="1:11" ht="15.75" hidden="1" thickBot="1" x14ac:dyDescent="0.3">
      <c r="A542" s="203"/>
      <c r="B542" s="205"/>
      <c r="C542" s="35" t="s">
        <v>3511</v>
      </c>
      <c r="D542" s="35" t="s">
        <v>42</v>
      </c>
      <c r="E542" s="36">
        <v>0.22</v>
      </c>
      <c r="F542" s="33">
        <v>3.0590000000000002</v>
      </c>
      <c r="G542" s="33">
        <f t="shared" si="9"/>
        <v>0.67298000000000002</v>
      </c>
      <c r="H542" s="34"/>
      <c r="I542" s="30"/>
      <c r="J542" s="148">
        <v>0</v>
      </c>
      <c r="K542" s="222">
        <v>0</v>
      </c>
    </row>
    <row r="543" spans="1:11" ht="15.75" hidden="1" thickBot="1" x14ac:dyDescent="0.3">
      <c r="A543" s="203"/>
      <c r="B543" s="205"/>
      <c r="C543" s="35" t="s">
        <v>36</v>
      </c>
      <c r="D543" s="35" t="s">
        <v>12</v>
      </c>
      <c r="E543" s="36">
        <v>0.66</v>
      </c>
      <c r="F543" s="30">
        <v>24.795000000000002</v>
      </c>
      <c r="G543" s="33">
        <f t="shared" si="9"/>
        <v>16.364700000000003</v>
      </c>
      <c r="H543" s="34"/>
      <c r="I543" s="30"/>
      <c r="J543" s="148">
        <v>0</v>
      </c>
      <c r="K543" s="222">
        <v>0</v>
      </c>
    </row>
    <row r="544" spans="1:11" ht="15.75" hidden="1" thickBot="1" x14ac:dyDescent="0.3">
      <c r="A544" s="203"/>
      <c r="B544" s="205"/>
      <c r="C544" s="35" t="s">
        <v>23</v>
      </c>
      <c r="D544" s="35" t="s">
        <v>12</v>
      </c>
      <c r="E544" s="36">
        <v>0.36</v>
      </c>
      <c r="F544" s="30">
        <v>18.420500000000001</v>
      </c>
      <c r="G544" s="33">
        <f t="shared" si="9"/>
        <v>6.6313800000000001</v>
      </c>
      <c r="H544" s="34"/>
      <c r="I544" s="30"/>
      <c r="J544" s="148">
        <v>0</v>
      </c>
      <c r="K544" s="222">
        <v>0</v>
      </c>
    </row>
    <row r="545" spans="1:11" ht="15.75" hidden="1" thickBot="1" x14ac:dyDescent="0.3">
      <c r="A545" s="209"/>
      <c r="B545" s="206"/>
      <c r="C545" s="35"/>
      <c r="D545" s="35"/>
      <c r="E545" s="36"/>
      <c r="F545" s="30" t="s">
        <v>514</v>
      </c>
      <c r="G545" s="30" t="str">
        <f t="shared" si="9"/>
        <v/>
      </c>
      <c r="H545" s="34"/>
      <c r="I545" s="30"/>
      <c r="J545" s="148">
        <v>0</v>
      </c>
      <c r="K545" s="222">
        <v>0</v>
      </c>
    </row>
    <row r="546" spans="1:11" ht="15.75" hidden="1" thickBot="1" x14ac:dyDescent="0.3">
      <c r="A546" s="202" t="s">
        <v>207</v>
      </c>
      <c r="B546" s="204" t="str">
        <f>INDEX(Orçamentária!A:B,MATCH(Composições!A546,Orçamentária!A:A,0),2)</f>
        <v>Contrapiso em argamassa</v>
      </c>
      <c r="C546" s="40"/>
      <c r="D546" s="25" t="str">
        <f>TRIM(INDEX(Orçamentária!C:C,MATCH(Composições!A546,Orçamentária!A:A,0),1))</f>
        <v>m2</v>
      </c>
      <c r="E546" s="26"/>
      <c r="F546" s="41" t="s">
        <v>514</v>
      </c>
      <c r="G546" s="27" t="str">
        <f t="shared" si="9"/>
        <v/>
      </c>
      <c r="H546" s="28"/>
      <c r="I546" s="29"/>
      <c r="J546" s="148">
        <v>250</v>
      </c>
      <c r="K546" s="222" t="s">
        <v>8074</v>
      </c>
    </row>
    <row r="547" spans="1:11" ht="15.75" hidden="1" thickBot="1" x14ac:dyDescent="0.3">
      <c r="A547" s="203"/>
      <c r="B547" s="205"/>
      <c r="C547" s="31"/>
      <c r="D547" s="31"/>
      <c r="E547" s="32"/>
      <c r="F547" s="42" t="s">
        <v>514</v>
      </c>
      <c r="G547" s="30" t="str">
        <f t="shared" si="9"/>
        <v/>
      </c>
      <c r="H547" s="34"/>
      <c r="I547" s="30"/>
      <c r="J547" s="148">
        <v>250</v>
      </c>
      <c r="K547" s="222" t="s">
        <v>8074</v>
      </c>
    </row>
    <row r="548" spans="1:11" ht="26.25" hidden="1" thickBot="1" x14ac:dyDescent="0.3">
      <c r="A548" s="203"/>
      <c r="B548" s="205"/>
      <c r="C548" s="35" t="s">
        <v>208</v>
      </c>
      <c r="D548" s="35" t="s">
        <v>108</v>
      </c>
      <c r="E548" s="36">
        <v>5.2999999999999999E-2</v>
      </c>
      <c r="F548" s="33">
        <v>820.17363849499986</v>
      </c>
      <c r="G548" s="33">
        <f t="shared" si="9"/>
        <v>43.469202840234992</v>
      </c>
      <c r="H548" s="38">
        <f>SUM(G548:G552)</f>
        <v>55.993660840234995</v>
      </c>
      <c r="I548" s="39"/>
      <c r="J548" s="148">
        <v>250</v>
      </c>
      <c r="K548" s="222" t="s">
        <v>8074</v>
      </c>
    </row>
    <row r="549" spans="1:11" ht="15.75" hidden="1" thickBot="1" x14ac:dyDescent="0.3">
      <c r="A549" s="203"/>
      <c r="B549" s="205"/>
      <c r="C549" s="35" t="s">
        <v>22</v>
      </c>
      <c r="D549" s="35" t="s">
        <v>12</v>
      </c>
      <c r="E549" s="36">
        <v>0.27100000000000002</v>
      </c>
      <c r="F549" s="30">
        <v>24.889999999999997</v>
      </c>
      <c r="G549" s="33">
        <f t="shared" si="9"/>
        <v>6.74519</v>
      </c>
      <c r="H549" s="34"/>
      <c r="I549" s="30"/>
      <c r="J549" s="148">
        <v>250</v>
      </c>
      <c r="K549" s="222" t="s">
        <v>8074</v>
      </c>
    </row>
    <row r="550" spans="1:11" ht="15.75" hidden="1" thickBot="1" x14ac:dyDescent="0.3">
      <c r="A550" s="203"/>
      <c r="B550" s="205"/>
      <c r="C550" s="35" t="s">
        <v>23</v>
      </c>
      <c r="D550" s="35" t="s">
        <v>12</v>
      </c>
      <c r="E550" s="36">
        <v>0.13600000000000001</v>
      </c>
      <c r="F550" s="30">
        <v>18.420500000000001</v>
      </c>
      <c r="G550" s="33">
        <f t="shared" si="9"/>
        <v>2.5051880000000004</v>
      </c>
      <c r="H550" s="34"/>
      <c r="I550" s="30"/>
      <c r="J550" s="148">
        <v>250</v>
      </c>
      <c r="K550" s="222" t="s">
        <v>8074</v>
      </c>
    </row>
    <row r="551" spans="1:11" ht="15.75" hidden="1" thickBot="1" x14ac:dyDescent="0.3">
      <c r="A551" s="203"/>
      <c r="B551" s="205"/>
      <c r="C551" s="35" t="s">
        <v>113</v>
      </c>
      <c r="D551" s="46" t="s">
        <v>42</v>
      </c>
      <c r="E551" s="36">
        <v>0.5</v>
      </c>
      <c r="F551" s="33">
        <v>0.627</v>
      </c>
      <c r="G551" s="33">
        <f t="shared" si="9"/>
        <v>0.3135</v>
      </c>
      <c r="H551" s="34"/>
      <c r="I551" s="30"/>
      <c r="J551" s="148">
        <v>250</v>
      </c>
      <c r="K551" s="222" t="s">
        <v>8074</v>
      </c>
    </row>
    <row r="552" spans="1:11" ht="15.75" hidden="1" thickBot="1" x14ac:dyDescent="0.3">
      <c r="A552" s="203"/>
      <c r="B552" s="205"/>
      <c r="C552" s="35" t="s">
        <v>209</v>
      </c>
      <c r="D552" s="49" t="s">
        <v>101</v>
      </c>
      <c r="E552" s="36">
        <v>0.21</v>
      </c>
      <c r="F552" s="33">
        <v>14.097999999999999</v>
      </c>
      <c r="G552" s="33">
        <f t="shared" si="9"/>
        <v>2.9605799999999998</v>
      </c>
      <c r="H552" s="34"/>
      <c r="I552" s="30"/>
      <c r="J552" s="148">
        <v>250</v>
      </c>
      <c r="K552" s="222" t="s">
        <v>8074</v>
      </c>
    </row>
    <row r="553" spans="1:11" ht="15.75" hidden="1" thickBot="1" x14ac:dyDescent="0.3">
      <c r="A553" s="209"/>
      <c r="B553" s="206"/>
      <c r="C553" s="35"/>
      <c r="D553" s="35"/>
      <c r="E553" s="36"/>
      <c r="F553" s="30" t="s">
        <v>514</v>
      </c>
      <c r="G553" s="30" t="str">
        <f t="shared" si="9"/>
        <v/>
      </c>
      <c r="H553" s="34"/>
      <c r="I553" s="30"/>
      <c r="J553" s="148">
        <v>250</v>
      </c>
      <c r="K553" s="222" t="s">
        <v>8074</v>
      </c>
    </row>
    <row r="554" spans="1:11" ht="15.75" hidden="1" thickBot="1" x14ac:dyDescent="0.3">
      <c r="A554" s="202" t="s">
        <v>210</v>
      </c>
      <c r="B554" s="204" t="str">
        <f>INDEX(Orçamentária!A:B,MATCH(Composições!A554,Orçamentária!A:A,0),2)</f>
        <v>Contrapiso em argamassa (e=2cm) ou Regularização de contrapiso existente</v>
      </c>
      <c r="C554" s="40"/>
      <c r="D554" s="25" t="str">
        <f>TRIM(INDEX(Orçamentária!C:C,MATCH(Composições!A554,Orçamentária!A:A,0),1))</f>
        <v>m2</v>
      </c>
      <c r="E554" s="26"/>
      <c r="F554" s="41" t="s">
        <v>514</v>
      </c>
      <c r="G554" s="27" t="str">
        <f t="shared" si="9"/>
        <v/>
      </c>
      <c r="H554" s="28"/>
      <c r="I554" s="29"/>
      <c r="J554" s="148">
        <v>750</v>
      </c>
      <c r="K554" s="222" t="s">
        <v>8074</v>
      </c>
    </row>
    <row r="555" spans="1:11" ht="15.75" hidden="1" thickBot="1" x14ac:dyDescent="0.3">
      <c r="A555" s="203"/>
      <c r="B555" s="205"/>
      <c r="C555" s="31"/>
      <c r="D555" s="31"/>
      <c r="E555" s="32"/>
      <c r="F555" s="42" t="s">
        <v>514</v>
      </c>
      <c r="G555" s="30" t="str">
        <f t="shared" si="9"/>
        <v/>
      </c>
      <c r="H555" s="34"/>
      <c r="I555" s="30"/>
      <c r="J555" s="148">
        <v>750</v>
      </c>
      <c r="K555" s="222" t="s">
        <v>8074</v>
      </c>
    </row>
    <row r="556" spans="1:11" ht="15.75" hidden="1" thickBot="1" x14ac:dyDescent="0.3">
      <c r="A556" s="203"/>
      <c r="B556" s="205"/>
      <c r="C556" s="35" t="s">
        <v>113</v>
      </c>
      <c r="D556" s="35" t="s">
        <v>42</v>
      </c>
      <c r="E556" s="36">
        <v>0.5</v>
      </c>
      <c r="F556" s="33">
        <v>0.627</v>
      </c>
      <c r="G556" s="33">
        <f t="shared" si="9"/>
        <v>0.3135</v>
      </c>
      <c r="H556" s="38">
        <f>SUM(G556:G560)</f>
        <v>35.996916293344988</v>
      </c>
      <c r="I556" s="39"/>
      <c r="J556" s="148">
        <v>750</v>
      </c>
      <c r="K556" s="222" t="s">
        <v>8074</v>
      </c>
    </row>
    <row r="557" spans="1:11" ht="15.75" hidden="1" thickBot="1" x14ac:dyDescent="0.3">
      <c r="A557" s="203"/>
      <c r="B557" s="205"/>
      <c r="C557" s="35" t="s">
        <v>209</v>
      </c>
      <c r="D557" s="49" t="s">
        <v>101</v>
      </c>
      <c r="E557" s="36">
        <v>0.21</v>
      </c>
      <c r="F557" s="33">
        <v>14.097999999999999</v>
      </c>
      <c r="G557" s="33">
        <f t="shared" si="9"/>
        <v>2.9605799999999998</v>
      </c>
      <c r="H557" s="34"/>
      <c r="I557" s="30"/>
      <c r="J557" s="148">
        <v>750</v>
      </c>
      <c r="K557" s="222" t="s">
        <v>8074</v>
      </c>
    </row>
    <row r="558" spans="1:11" ht="26.25" hidden="1" thickBot="1" x14ac:dyDescent="0.3">
      <c r="A558" s="203"/>
      <c r="B558" s="205"/>
      <c r="C558" s="35" t="s">
        <v>208</v>
      </c>
      <c r="D558" s="35" t="s">
        <v>108</v>
      </c>
      <c r="E558" s="36">
        <v>3.1E-2</v>
      </c>
      <c r="F558" s="33">
        <v>820.17363849499986</v>
      </c>
      <c r="G558" s="33">
        <f t="shared" si="9"/>
        <v>25.425382793344994</v>
      </c>
      <c r="H558" s="34"/>
      <c r="I558" s="30"/>
      <c r="J558" s="148">
        <v>750</v>
      </c>
      <c r="K558" s="222" t="s">
        <v>8074</v>
      </c>
    </row>
    <row r="559" spans="1:11" ht="15.75" hidden="1" thickBot="1" x14ac:dyDescent="0.3">
      <c r="A559" s="203"/>
      <c r="B559" s="205"/>
      <c r="C559" s="35" t="s">
        <v>22</v>
      </c>
      <c r="D559" s="46" t="s">
        <v>12</v>
      </c>
      <c r="E559" s="36">
        <v>0.214</v>
      </c>
      <c r="F559" s="30">
        <v>24.889999999999997</v>
      </c>
      <c r="G559" s="33">
        <f t="shared" si="9"/>
        <v>5.3264599999999991</v>
      </c>
      <c r="H559" s="34"/>
      <c r="I559" s="30"/>
      <c r="J559" s="148">
        <v>750</v>
      </c>
      <c r="K559" s="222" t="s">
        <v>8074</v>
      </c>
    </row>
    <row r="560" spans="1:11" ht="15.75" hidden="1" thickBot="1" x14ac:dyDescent="0.3">
      <c r="A560" s="203"/>
      <c r="B560" s="205"/>
      <c r="C560" s="35" t="s">
        <v>23</v>
      </c>
      <c r="D560" s="46" t="s">
        <v>12</v>
      </c>
      <c r="E560" s="36">
        <v>0.107</v>
      </c>
      <c r="F560" s="30">
        <v>18.420500000000001</v>
      </c>
      <c r="G560" s="33">
        <f t="shared" si="9"/>
        <v>1.9709935000000001</v>
      </c>
      <c r="H560" s="34"/>
      <c r="I560" s="30"/>
      <c r="J560" s="148">
        <v>750</v>
      </c>
      <c r="K560" s="222" t="s">
        <v>8074</v>
      </c>
    </row>
    <row r="561" spans="1:11" ht="15.75" hidden="1" thickBot="1" x14ac:dyDescent="0.3">
      <c r="A561" s="209"/>
      <c r="B561" s="206"/>
      <c r="C561" s="35"/>
      <c r="D561" s="35"/>
      <c r="E561" s="36"/>
      <c r="F561" s="30" t="s">
        <v>514</v>
      </c>
      <c r="G561" s="30" t="str">
        <f t="shared" si="9"/>
        <v/>
      </c>
      <c r="H561" s="34"/>
      <c r="I561" s="30"/>
      <c r="J561" s="148">
        <v>750</v>
      </c>
      <c r="K561" s="222" t="s">
        <v>8074</v>
      </c>
    </row>
    <row r="562" spans="1:11" ht="15.75" hidden="1" thickBot="1" x14ac:dyDescent="0.3">
      <c r="A562" s="202" t="s">
        <v>211</v>
      </c>
      <c r="B562" s="204" t="str">
        <f>INDEX(Orçamentária!A:B,MATCH(Composições!A562,Orçamentária!A:A,0),2)</f>
        <v>Granito cinza andorinha para piso</v>
      </c>
      <c r="C562" s="40"/>
      <c r="D562" s="25" t="str">
        <f>TRIM(INDEX(Orçamentária!C:C,MATCH(Composições!A562,Orçamentária!A:A,0),1))</f>
        <v>m2</v>
      </c>
      <c r="E562" s="26"/>
      <c r="F562" s="41" t="s">
        <v>514</v>
      </c>
      <c r="G562" s="27" t="str">
        <f t="shared" si="9"/>
        <v/>
      </c>
      <c r="H562" s="28"/>
      <c r="I562" s="29"/>
      <c r="J562" s="148">
        <v>720</v>
      </c>
      <c r="K562" s="222" t="s">
        <v>8074</v>
      </c>
    </row>
    <row r="563" spans="1:11" ht="15.75" hidden="1" thickBot="1" x14ac:dyDescent="0.3">
      <c r="A563" s="203"/>
      <c r="B563" s="205"/>
      <c r="C563" s="31"/>
      <c r="D563" s="31"/>
      <c r="E563" s="32"/>
      <c r="F563" s="42" t="s">
        <v>514</v>
      </c>
      <c r="G563" s="30" t="str">
        <f t="shared" si="9"/>
        <v/>
      </c>
      <c r="H563" s="34"/>
      <c r="I563" s="30"/>
      <c r="J563" s="148">
        <v>720</v>
      </c>
      <c r="K563" s="222" t="s">
        <v>8074</v>
      </c>
    </row>
    <row r="564" spans="1:11" ht="15.75" hidden="1" thickBot="1" x14ac:dyDescent="0.3">
      <c r="A564" s="203"/>
      <c r="B564" s="205"/>
      <c r="C564" s="35" t="s">
        <v>3512</v>
      </c>
      <c r="D564" s="35" t="s">
        <v>42</v>
      </c>
      <c r="E564" s="36">
        <v>8.6199999999999992</v>
      </c>
      <c r="F564" s="33">
        <v>1.6054999999999999</v>
      </c>
      <c r="G564" s="33">
        <f t="shared" si="9"/>
        <v>13.839409999999997</v>
      </c>
      <c r="H564" s="38">
        <f>SUM(G564:G568)</f>
        <v>275.06590699999998</v>
      </c>
      <c r="I564" s="39"/>
      <c r="J564" s="148">
        <v>720</v>
      </c>
      <c r="K564" s="222" t="s">
        <v>8074</v>
      </c>
    </row>
    <row r="565" spans="1:11" ht="15.75" hidden="1" thickBot="1" x14ac:dyDescent="0.3">
      <c r="A565" s="203"/>
      <c r="B565" s="205"/>
      <c r="C565" s="35" t="s">
        <v>54</v>
      </c>
      <c r="D565" s="35" t="s">
        <v>12</v>
      </c>
      <c r="E565" s="36">
        <v>1.1879999999999999</v>
      </c>
      <c r="F565" s="30">
        <v>24.795000000000002</v>
      </c>
      <c r="G565" s="33">
        <f t="shared" si="9"/>
        <v>29.45646</v>
      </c>
      <c r="H565" s="34"/>
      <c r="I565" s="30"/>
      <c r="J565" s="148">
        <v>720</v>
      </c>
      <c r="K565" s="222" t="s">
        <v>8074</v>
      </c>
    </row>
    <row r="566" spans="1:11" ht="15.75" hidden="1" thickBot="1" x14ac:dyDescent="0.3">
      <c r="A566" s="203"/>
      <c r="B566" s="205"/>
      <c r="C566" s="35" t="s">
        <v>23</v>
      </c>
      <c r="D566" s="35" t="s">
        <v>12</v>
      </c>
      <c r="E566" s="36">
        <v>0.59399999999999997</v>
      </c>
      <c r="F566" s="30">
        <v>18.420500000000001</v>
      </c>
      <c r="G566" s="33">
        <f t="shared" si="9"/>
        <v>10.941777</v>
      </c>
      <c r="H566" s="34"/>
      <c r="I566" s="30"/>
      <c r="J566" s="148">
        <v>720</v>
      </c>
      <c r="K566" s="222" t="s">
        <v>8074</v>
      </c>
    </row>
    <row r="567" spans="1:11" ht="15.75" hidden="1" thickBot="1" x14ac:dyDescent="0.3">
      <c r="A567" s="203"/>
      <c r="B567" s="205"/>
      <c r="C567" s="35" t="s">
        <v>3511</v>
      </c>
      <c r="D567" s="35" t="s">
        <v>42</v>
      </c>
      <c r="E567" s="36">
        <v>0.14000000000000001</v>
      </c>
      <c r="F567" s="33">
        <v>3.0590000000000002</v>
      </c>
      <c r="G567" s="33">
        <f t="shared" si="9"/>
        <v>0.42826000000000009</v>
      </c>
      <c r="H567" s="34"/>
      <c r="I567" s="30"/>
      <c r="J567" s="148">
        <v>720</v>
      </c>
      <c r="K567" s="222" t="s">
        <v>8074</v>
      </c>
    </row>
    <row r="568" spans="1:11" ht="15.75" hidden="1" thickBot="1" x14ac:dyDescent="0.3">
      <c r="A568" s="203"/>
      <c r="B568" s="205"/>
      <c r="C568" s="35" t="s">
        <v>212</v>
      </c>
      <c r="D568" s="35" t="s">
        <v>94</v>
      </c>
      <c r="E568" s="36">
        <v>1.1599999999999999</v>
      </c>
      <c r="F568" s="33">
        <v>190</v>
      </c>
      <c r="G568" s="53">
        <f t="shared" si="9"/>
        <v>220.39999999999998</v>
      </c>
      <c r="H568" s="34"/>
      <c r="I568" s="30"/>
      <c r="J568" s="148">
        <v>720</v>
      </c>
      <c r="K568" s="222" t="s">
        <v>8074</v>
      </c>
    </row>
    <row r="569" spans="1:11" ht="15.75" hidden="1" thickBot="1" x14ac:dyDescent="0.3">
      <c r="A569" s="209"/>
      <c r="B569" s="206"/>
      <c r="C569" s="35"/>
      <c r="D569" s="35"/>
      <c r="E569" s="36"/>
      <c r="F569" s="30" t="s">
        <v>514</v>
      </c>
      <c r="G569" s="30" t="str">
        <f t="shared" si="9"/>
        <v/>
      </c>
      <c r="H569" s="34"/>
      <c r="I569" s="30"/>
      <c r="J569" s="148">
        <v>720</v>
      </c>
      <c r="K569" s="222" t="s">
        <v>8074</v>
      </c>
    </row>
    <row r="570" spans="1:11" ht="15.75" hidden="1" thickBot="1" x14ac:dyDescent="0.3">
      <c r="A570" s="202" t="s">
        <v>213</v>
      </c>
      <c r="B570" s="204" t="str">
        <f>INDEX(Orçamentária!A:B,MATCH(Composições!A570,Orçamentária!A:A,0),2)</f>
        <v>Granito Cinza Andorinha para rodapé</v>
      </c>
      <c r="C570" s="40"/>
      <c r="D570" s="25" t="str">
        <f>TRIM(INDEX(Orçamentária!C:C,MATCH(Composições!A570,Orçamentária!A:A,0),1))</f>
        <v>m2</v>
      </c>
      <c r="E570" s="26"/>
      <c r="F570" s="41" t="s">
        <v>514</v>
      </c>
      <c r="G570" s="27" t="str">
        <f t="shared" si="9"/>
        <v/>
      </c>
      <c r="H570" s="28"/>
      <c r="I570" s="29"/>
      <c r="J570" s="148">
        <v>180</v>
      </c>
      <c r="K570" s="222" t="s">
        <v>8074</v>
      </c>
    </row>
    <row r="571" spans="1:11" ht="15.75" hidden="1" thickBot="1" x14ac:dyDescent="0.3">
      <c r="A571" s="203"/>
      <c r="B571" s="205"/>
      <c r="C571" s="31"/>
      <c r="D571" s="31"/>
      <c r="E571" s="32"/>
      <c r="F571" s="42" t="s">
        <v>514</v>
      </c>
      <c r="G571" s="30" t="str">
        <f t="shared" si="9"/>
        <v/>
      </c>
      <c r="H571" s="34"/>
      <c r="I571" s="30"/>
      <c r="J571" s="148">
        <v>180</v>
      </c>
      <c r="K571" s="222" t="s">
        <v>8074</v>
      </c>
    </row>
    <row r="572" spans="1:11" ht="26.25" hidden="1" thickBot="1" x14ac:dyDescent="0.3">
      <c r="A572" s="203"/>
      <c r="B572" s="205"/>
      <c r="C572" s="35" t="s">
        <v>214</v>
      </c>
      <c r="D572" s="35" t="s">
        <v>92</v>
      </c>
      <c r="E572" s="36">
        <f>ROUND(1.04/0.07,4)</f>
        <v>14.857100000000001</v>
      </c>
      <c r="F572" s="33">
        <v>55.45</v>
      </c>
      <c r="G572" s="33">
        <f t="shared" si="9"/>
        <v>823.8261950000001</v>
      </c>
      <c r="H572" s="38">
        <f>SUM(G572:G576)</f>
        <v>943.0945720000002</v>
      </c>
      <c r="I572" s="39"/>
      <c r="J572" s="148">
        <v>180</v>
      </c>
      <c r="K572" s="222" t="s">
        <v>8074</v>
      </c>
    </row>
    <row r="573" spans="1:11" ht="15.75" hidden="1" thickBot="1" x14ac:dyDescent="0.3">
      <c r="A573" s="203"/>
      <c r="B573" s="205"/>
      <c r="C573" s="35" t="s">
        <v>3512</v>
      </c>
      <c r="D573" s="35" t="s">
        <v>42</v>
      </c>
      <c r="E573" s="36">
        <f>ROUND(0.8614/0.1,4)</f>
        <v>8.6140000000000008</v>
      </c>
      <c r="F573" s="33">
        <v>1.6054999999999999</v>
      </c>
      <c r="G573" s="33">
        <f t="shared" si="9"/>
        <v>13.829777</v>
      </c>
      <c r="H573" s="44"/>
      <c r="I573" s="45"/>
      <c r="J573" s="148">
        <v>180</v>
      </c>
      <c r="K573" s="222" t="s">
        <v>8074</v>
      </c>
    </row>
    <row r="574" spans="1:11" ht="15.75" hidden="1" thickBot="1" x14ac:dyDescent="0.3">
      <c r="A574" s="203"/>
      <c r="B574" s="205"/>
      <c r="C574" s="35" t="s">
        <v>54</v>
      </c>
      <c r="D574" s="35" t="s">
        <v>12</v>
      </c>
      <c r="E574" s="36">
        <f>0.299/0.1</f>
        <v>2.9899999999999998</v>
      </c>
      <c r="F574" s="30">
        <v>24.795000000000002</v>
      </c>
      <c r="G574" s="33">
        <f t="shared" si="9"/>
        <v>74.137050000000002</v>
      </c>
      <c r="H574" s="34"/>
      <c r="I574" s="30"/>
      <c r="J574" s="148">
        <v>180</v>
      </c>
      <c r="K574" s="222" t="s">
        <v>8074</v>
      </c>
    </row>
    <row r="575" spans="1:11" ht="15.75" hidden="1" thickBot="1" x14ac:dyDescent="0.3">
      <c r="A575" s="203"/>
      <c r="B575" s="205"/>
      <c r="C575" s="35" t="s">
        <v>23</v>
      </c>
      <c r="D575" s="35" t="s">
        <v>12</v>
      </c>
      <c r="E575" s="36">
        <f>0.15/0.1</f>
        <v>1.4999999999999998</v>
      </c>
      <c r="F575" s="30">
        <v>18.420500000000001</v>
      </c>
      <c r="G575" s="33">
        <f t="shared" si="9"/>
        <v>27.630749999999995</v>
      </c>
      <c r="H575" s="34"/>
      <c r="I575" s="30"/>
      <c r="J575" s="148">
        <v>180</v>
      </c>
      <c r="K575" s="222" t="s">
        <v>8074</v>
      </c>
    </row>
    <row r="576" spans="1:11" ht="15.75" hidden="1" thickBot="1" x14ac:dyDescent="0.3">
      <c r="A576" s="203"/>
      <c r="B576" s="205"/>
      <c r="C576" s="35" t="s">
        <v>3511</v>
      </c>
      <c r="D576" s="35" t="s">
        <v>42</v>
      </c>
      <c r="E576" s="36">
        <f>0.12/0.1</f>
        <v>1.2</v>
      </c>
      <c r="F576" s="33">
        <v>3.0590000000000002</v>
      </c>
      <c r="G576" s="33">
        <f t="shared" si="9"/>
        <v>3.6707999999999998</v>
      </c>
      <c r="H576" s="34"/>
      <c r="I576" s="30"/>
      <c r="J576" s="148">
        <v>180</v>
      </c>
      <c r="K576" s="222" t="s">
        <v>8074</v>
      </c>
    </row>
    <row r="577" spans="1:11" ht="15.75" hidden="1" thickBot="1" x14ac:dyDescent="0.3">
      <c r="A577" s="203"/>
      <c r="B577" s="205"/>
      <c r="C577" s="35"/>
      <c r="D577" s="35"/>
      <c r="E577" s="36"/>
      <c r="F577" s="33" t="s">
        <v>514</v>
      </c>
      <c r="G577" s="33" t="str">
        <f t="shared" si="9"/>
        <v/>
      </c>
      <c r="H577" s="34"/>
      <c r="I577" s="30"/>
      <c r="J577" s="148">
        <v>180</v>
      </c>
      <c r="K577" s="222" t="s">
        <v>8074</v>
      </c>
    </row>
    <row r="578" spans="1:11" ht="26.25" hidden="1" thickBot="1" x14ac:dyDescent="0.3">
      <c r="A578" s="203"/>
      <c r="B578" s="205"/>
      <c r="C578" s="47" t="s">
        <v>215</v>
      </c>
      <c r="D578" s="35"/>
      <c r="E578" s="36"/>
      <c r="F578" s="33" t="s">
        <v>514</v>
      </c>
      <c r="G578" s="33" t="str">
        <f t="shared" si="9"/>
        <v/>
      </c>
      <c r="H578" s="34"/>
      <c r="I578" s="30"/>
      <c r="J578" s="148">
        <v>180</v>
      </c>
      <c r="K578" s="222" t="s">
        <v>8074</v>
      </c>
    </row>
    <row r="579" spans="1:11" ht="15.75" hidden="1" thickBot="1" x14ac:dyDescent="0.3">
      <c r="A579" s="209"/>
      <c r="B579" s="206"/>
      <c r="C579" s="35"/>
      <c r="D579" s="35"/>
      <c r="E579" s="36"/>
      <c r="F579" s="30" t="s">
        <v>514</v>
      </c>
      <c r="G579" s="30" t="str">
        <f t="shared" si="9"/>
        <v/>
      </c>
      <c r="H579" s="34"/>
      <c r="I579" s="30"/>
      <c r="J579" s="148">
        <v>180</v>
      </c>
      <c r="K579" s="222" t="s">
        <v>8074</v>
      </c>
    </row>
    <row r="580" spans="1:11" ht="15.75" hidden="1" thickBot="1" x14ac:dyDescent="0.3">
      <c r="A580" s="202" t="s">
        <v>216</v>
      </c>
      <c r="B580" s="204" t="str">
        <f>INDEX(Orçamentária!A:B,MATCH(Composições!A580,Orçamentária!A:A,0),2)</f>
        <v>Granito Cinza Andorinha para soleira e peitoril</v>
      </c>
      <c r="C580" s="40"/>
      <c r="D580" s="25" t="str">
        <f>TRIM(INDEX(Orçamentária!C:C,MATCH(Composições!A580,Orçamentária!A:A,0),1))</f>
        <v>m2</v>
      </c>
      <c r="E580" s="26"/>
      <c r="F580" s="41" t="s">
        <v>514</v>
      </c>
      <c r="G580" s="27" t="str">
        <f t="shared" si="9"/>
        <v/>
      </c>
      <c r="H580" s="28"/>
      <c r="I580" s="29"/>
      <c r="J580" s="148">
        <v>20</v>
      </c>
      <c r="K580" s="222" t="s">
        <v>8074</v>
      </c>
    </row>
    <row r="581" spans="1:11" ht="15.75" hidden="1" thickBot="1" x14ac:dyDescent="0.3">
      <c r="A581" s="203"/>
      <c r="B581" s="205"/>
      <c r="C581" s="31"/>
      <c r="D581" s="31"/>
      <c r="E581" s="32"/>
      <c r="F581" s="42" t="s">
        <v>514</v>
      </c>
      <c r="G581" s="30" t="str">
        <f t="shared" si="9"/>
        <v/>
      </c>
      <c r="H581" s="34"/>
      <c r="I581" s="30"/>
      <c r="J581" s="148">
        <v>20</v>
      </c>
      <c r="K581" s="222" t="s">
        <v>8074</v>
      </c>
    </row>
    <row r="582" spans="1:11" ht="26.25" hidden="1" thickBot="1" x14ac:dyDescent="0.3">
      <c r="A582" s="203"/>
      <c r="B582" s="205"/>
      <c r="C582" s="35" t="s">
        <v>217</v>
      </c>
      <c r="D582" s="35" t="s">
        <v>92</v>
      </c>
      <c r="E582" s="36">
        <f>ROUND(1/0.15,4)</f>
        <v>6.6666999999999996</v>
      </c>
      <c r="F582" s="33">
        <v>74.150000000000006</v>
      </c>
      <c r="G582" s="33">
        <f t="shared" si="9"/>
        <v>494.33580499999999</v>
      </c>
      <c r="H582" s="38">
        <f>SUM(G582:G585)</f>
        <v>632.08834149999996</v>
      </c>
      <c r="I582" s="39"/>
      <c r="J582" s="148">
        <v>20</v>
      </c>
      <c r="K582" s="222" t="s">
        <v>8074</v>
      </c>
    </row>
    <row r="583" spans="1:11" ht="15.75" hidden="1" thickBot="1" x14ac:dyDescent="0.3">
      <c r="A583" s="203"/>
      <c r="B583" s="205"/>
      <c r="C583" s="35" t="s">
        <v>3512</v>
      </c>
      <c r="D583" s="35" t="s">
        <v>42</v>
      </c>
      <c r="E583" s="36">
        <f>1.29/0.15</f>
        <v>8.6000000000000014</v>
      </c>
      <c r="F583" s="33">
        <v>1.6054999999999999</v>
      </c>
      <c r="G583" s="33">
        <f t="shared" si="9"/>
        <v>13.807300000000001</v>
      </c>
      <c r="H583" s="34"/>
      <c r="I583" s="30"/>
      <c r="J583" s="148">
        <v>20</v>
      </c>
      <c r="K583" s="222" t="s">
        <v>8074</v>
      </c>
    </row>
    <row r="584" spans="1:11" ht="15.75" hidden="1" thickBot="1" x14ac:dyDescent="0.3">
      <c r="A584" s="203"/>
      <c r="B584" s="205"/>
      <c r="C584" s="35" t="s">
        <v>54</v>
      </c>
      <c r="D584" s="35" t="s">
        <v>12</v>
      </c>
      <c r="E584" s="36">
        <f>ROUND(0.547/0.15,4)</f>
        <v>3.6467000000000001</v>
      </c>
      <c r="F584" s="30">
        <v>24.795000000000002</v>
      </c>
      <c r="G584" s="33">
        <f t="shared" si="9"/>
        <v>90.419926500000003</v>
      </c>
      <c r="H584" s="34"/>
      <c r="I584" s="30"/>
      <c r="J584" s="148">
        <v>20</v>
      </c>
      <c r="K584" s="222" t="s">
        <v>8074</v>
      </c>
    </row>
    <row r="585" spans="1:11" ht="15.75" hidden="1" thickBot="1" x14ac:dyDescent="0.3">
      <c r="A585" s="203"/>
      <c r="B585" s="205"/>
      <c r="C585" s="35" t="s">
        <v>23</v>
      </c>
      <c r="D585" s="35" t="s">
        <v>12</v>
      </c>
      <c r="E585" s="36">
        <f>ROUND(0.273/0.15,4)</f>
        <v>1.82</v>
      </c>
      <c r="F585" s="30">
        <v>18.420500000000001</v>
      </c>
      <c r="G585" s="33">
        <f t="shared" si="9"/>
        <v>33.525310000000005</v>
      </c>
      <c r="H585" s="34"/>
      <c r="I585" s="30"/>
      <c r="J585" s="148">
        <v>20</v>
      </c>
      <c r="K585" s="222" t="s">
        <v>8074</v>
      </c>
    </row>
    <row r="586" spans="1:11" ht="15.75" hidden="1" thickBot="1" x14ac:dyDescent="0.3">
      <c r="A586" s="203"/>
      <c r="B586" s="205"/>
      <c r="C586" s="35"/>
      <c r="D586" s="35"/>
      <c r="E586" s="36"/>
      <c r="F586" s="30" t="s">
        <v>514</v>
      </c>
      <c r="G586" s="33" t="str">
        <f t="shared" si="9"/>
        <v/>
      </c>
      <c r="H586" s="34"/>
      <c r="I586" s="30"/>
      <c r="J586" s="148">
        <v>20</v>
      </c>
      <c r="K586" s="222" t="s">
        <v>8074</v>
      </c>
    </row>
    <row r="587" spans="1:11" ht="26.25" hidden="1" thickBot="1" x14ac:dyDescent="0.3">
      <c r="A587" s="203"/>
      <c r="B587" s="205"/>
      <c r="C587" s="47" t="s">
        <v>218</v>
      </c>
      <c r="D587" s="35"/>
      <c r="E587" s="36"/>
      <c r="F587" s="30" t="s">
        <v>514</v>
      </c>
      <c r="G587" s="33" t="str">
        <f t="shared" si="9"/>
        <v/>
      </c>
      <c r="H587" s="34"/>
      <c r="I587" s="30"/>
      <c r="J587" s="148">
        <v>20</v>
      </c>
      <c r="K587" s="222" t="s">
        <v>8074</v>
      </c>
    </row>
    <row r="588" spans="1:11" ht="15.75" hidden="1" thickBot="1" x14ac:dyDescent="0.3">
      <c r="A588" s="209"/>
      <c r="B588" s="206"/>
      <c r="C588" s="35"/>
      <c r="D588" s="35"/>
      <c r="E588" s="36"/>
      <c r="F588" s="30" t="s">
        <v>514</v>
      </c>
      <c r="G588" s="30" t="str">
        <f t="shared" si="9"/>
        <v/>
      </c>
      <c r="H588" s="34"/>
      <c r="I588" s="30"/>
      <c r="J588" s="148">
        <v>20</v>
      </c>
      <c r="K588" s="222" t="s">
        <v>8074</v>
      </c>
    </row>
    <row r="589" spans="1:11" ht="15.75" hidden="1" thickBot="1" x14ac:dyDescent="0.3">
      <c r="A589" s="202" t="s">
        <v>219</v>
      </c>
      <c r="B589" s="204" t="str">
        <f>INDEX(Orçamentária!A:B,MATCH(Composições!A589,Orçamentária!A:A,0),2)</f>
        <v>Granito Preto São Gabriel para piso</v>
      </c>
      <c r="C589" s="40"/>
      <c r="D589" s="25" t="str">
        <f>TRIM(INDEX(Orçamentária!C:C,MATCH(Composições!A589,Orçamentária!A:A,0),1))</f>
        <v>m2</v>
      </c>
      <c r="E589" s="26"/>
      <c r="F589" s="41" t="s">
        <v>514</v>
      </c>
      <c r="G589" s="27" t="str">
        <f t="shared" si="9"/>
        <v/>
      </c>
      <c r="H589" s="28"/>
      <c r="I589" s="29"/>
      <c r="J589" s="148">
        <v>25</v>
      </c>
      <c r="K589" s="222" t="s">
        <v>8074</v>
      </c>
    </row>
    <row r="590" spans="1:11" ht="15.75" hidden="1" thickBot="1" x14ac:dyDescent="0.3">
      <c r="A590" s="203"/>
      <c r="B590" s="205"/>
      <c r="C590" s="31"/>
      <c r="D590" s="31"/>
      <c r="E590" s="32"/>
      <c r="F590" s="42" t="s">
        <v>514</v>
      </c>
      <c r="G590" s="30" t="str">
        <f t="shared" si="9"/>
        <v/>
      </c>
      <c r="H590" s="34"/>
      <c r="I590" s="30"/>
      <c r="J590" s="148">
        <v>25</v>
      </c>
      <c r="K590" s="222" t="s">
        <v>8074</v>
      </c>
    </row>
    <row r="591" spans="1:11" ht="15.75" hidden="1" thickBot="1" x14ac:dyDescent="0.3">
      <c r="A591" s="203"/>
      <c r="B591" s="205"/>
      <c r="C591" s="35" t="s">
        <v>3512</v>
      </c>
      <c r="D591" s="35" t="s">
        <v>42</v>
      </c>
      <c r="E591" s="36">
        <v>8.6199999999999992</v>
      </c>
      <c r="F591" s="33">
        <v>1.6054999999999999</v>
      </c>
      <c r="G591" s="33">
        <f t="shared" si="9"/>
        <v>13.839409999999997</v>
      </c>
      <c r="H591" s="38">
        <f>SUM(G591:G595)</f>
        <v>385.26590699999997</v>
      </c>
      <c r="I591" s="39"/>
      <c r="J591" s="148">
        <v>25</v>
      </c>
      <c r="K591" s="222" t="s">
        <v>8074</v>
      </c>
    </row>
    <row r="592" spans="1:11" ht="15.75" hidden="1" thickBot="1" x14ac:dyDescent="0.3">
      <c r="A592" s="203"/>
      <c r="B592" s="205"/>
      <c r="C592" s="35" t="s">
        <v>54</v>
      </c>
      <c r="D592" s="35" t="s">
        <v>12</v>
      </c>
      <c r="E592" s="36">
        <v>1.1879999999999999</v>
      </c>
      <c r="F592" s="30">
        <v>24.795000000000002</v>
      </c>
      <c r="G592" s="33">
        <f t="shared" si="9"/>
        <v>29.45646</v>
      </c>
      <c r="H592" s="34"/>
      <c r="I592" s="30"/>
      <c r="J592" s="148">
        <v>25</v>
      </c>
      <c r="K592" s="222" t="s">
        <v>8074</v>
      </c>
    </row>
    <row r="593" spans="1:11" ht="15.75" hidden="1" thickBot="1" x14ac:dyDescent="0.3">
      <c r="A593" s="203"/>
      <c r="B593" s="205"/>
      <c r="C593" s="35" t="s">
        <v>23</v>
      </c>
      <c r="D593" s="35" t="s">
        <v>12</v>
      </c>
      <c r="E593" s="36">
        <v>0.59399999999999997</v>
      </c>
      <c r="F593" s="30">
        <v>18.420500000000001</v>
      </c>
      <c r="G593" s="33">
        <f t="shared" si="9"/>
        <v>10.941777</v>
      </c>
      <c r="H593" s="34"/>
      <c r="I593" s="30"/>
      <c r="J593" s="148">
        <v>25</v>
      </c>
      <c r="K593" s="222" t="s">
        <v>8074</v>
      </c>
    </row>
    <row r="594" spans="1:11" ht="15.75" hidden="1" thickBot="1" x14ac:dyDescent="0.3">
      <c r="A594" s="203"/>
      <c r="B594" s="205"/>
      <c r="C594" s="35" t="s">
        <v>3511</v>
      </c>
      <c r="D594" s="35" t="s">
        <v>42</v>
      </c>
      <c r="E594" s="36">
        <v>0.14000000000000001</v>
      </c>
      <c r="F594" s="33">
        <v>3.0590000000000002</v>
      </c>
      <c r="G594" s="33">
        <f t="shared" si="9"/>
        <v>0.42826000000000009</v>
      </c>
      <c r="H594" s="34"/>
      <c r="I594" s="30"/>
      <c r="J594" s="148">
        <v>25</v>
      </c>
      <c r="K594" s="222" t="s">
        <v>8074</v>
      </c>
    </row>
    <row r="595" spans="1:11" ht="15.75" hidden="1" thickBot="1" x14ac:dyDescent="0.3">
      <c r="A595" s="203"/>
      <c r="B595" s="205"/>
      <c r="C595" s="35" t="s">
        <v>220</v>
      </c>
      <c r="D595" s="35" t="s">
        <v>94</v>
      </c>
      <c r="E595" s="36">
        <v>1.1599999999999999</v>
      </c>
      <c r="F595" s="33">
        <v>285</v>
      </c>
      <c r="G595" s="53">
        <f t="shared" ref="G595:G658" si="10">IF(ISNUMBER(F595),E595*F595,"")</f>
        <v>330.59999999999997</v>
      </c>
      <c r="H595" s="34"/>
      <c r="I595" s="30"/>
      <c r="J595" s="148">
        <v>25</v>
      </c>
      <c r="K595" s="222" t="s">
        <v>8074</v>
      </c>
    </row>
    <row r="596" spans="1:11" ht="15.75" hidden="1" thickBot="1" x14ac:dyDescent="0.3">
      <c r="A596" s="209"/>
      <c r="B596" s="206"/>
      <c r="C596" s="35"/>
      <c r="D596" s="35"/>
      <c r="E596" s="36"/>
      <c r="F596" s="30" t="s">
        <v>514</v>
      </c>
      <c r="G596" s="30" t="str">
        <f t="shared" si="10"/>
        <v/>
      </c>
      <c r="H596" s="34"/>
      <c r="I596" s="30"/>
      <c r="J596" s="148">
        <v>25</v>
      </c>
      <c r="K596" s="222" t="s">
        <v>8074</v>
      </c>
    </row>
    <row r="597" spans="1:11" ht="15.75" hidden="1" thickBot="1" x14ac:dyDescent="0.3">
      <c r="A597" s="202" t="s">
        <v>221</v>
      </c>
      <c r="B597" s="204" t="str">
        <f>INDEX(Orçamentária!A:B,MATCH(Composições!A597,Orçamentária!A:A,0),2)</f>
        <v>Granito Preto São Gabriel para rodapé</v>
      </c>
      <c r="C597" s="40"/>
      <c r="D597" s="25" t="str">
        <f>TRIM(INDEX(Orçamentária!C:C,MATCH(Composições!A597,Orçamentária!A:A,0),1))</f>
        <v>m2</v>
      </c>
      <c r="E597" s="26"/>
      <c r="F597" s="41" t="s">
        <v>514</v>
      </c>
      <c r="G597" s="27" t="str">
        <f t="shared" si="10"/>
        <v/>
      </c>
      <c r="H597" s="28"/>
      <c r="I597" s="29"/>
      <c r="J597" s="148">
        <v>3</v>
      </c>
      <c r="K597" s="222" t="s">
        <v>8074</v>
      </c>
    </row>
    <row r="598" spans="1:11" ht="15.75" hidden="1" thickBot="1" x14ac:dyDescent="0.3">
      <c r="A598" s="203"/>
      <c r="B598" s="205"/>
      <c r="C598" s="31"/>
      <c r="D598" s="31"/>
      <c r="E598" s="32"/>
      <c r="F598" s="42" t="s">
        <v>514</v>
      </c>
      <c r="G598" s="30" t="str">
        <f t="shared" si="10"/>
        <v/>
      </c>
      <c r="H598" s="34"/>
      <c r="I598" s="30"/>
      <c r="J598" s="148">
        <v>3</v>
      </c>
      <c r="K598" s="222" t="s">
        <v>8074</v>
      </c>
    </row>
    <row r="599" spans="1:11" ht="26.25" hidden="1" thickBot="1" x14ac:dyDescent="0.3">
      <c r="A599" s="203"/>
      <c r="B599" s="205"/>
      <c r="C599" s="35" t="s">
        <v>222</v>
      </c>
      <c r="D599" s="35" t="s">
        <v>92</v>
      </c>
      <c r="E599" s="36">
        <f>ROUND(1.04/0.07,2)</f>
        <v>14.86</v>
      </c>
      <c r="F599" s="33">
        <v>54.06</v>
      </c>
      <c r="G599" s="33">
        <f t="shared" si="10"/>
        <v>803.33159999999998</v>
      </c>
      <c r="H599" s="38">
        <f>SUM(G599:G603)</f>
        <v>922.59997700000008</v>
      </c>
      <c r="I599" s="39"/>
      <c r="J599" s="148">
        <v>3</v>
      </c>
      <c r="K599" s="222" t="s">
        <v>8074</v>
      </c>
    </row>
    <row r="600" spans="1:11" ht="15.75" hidden="1" thickBot="1" x14ac:dyDescent="0.3">
      <c r="A600" s="203"/>
      <c r="B600" s="205"/>
      <c r="C600" s="35" t="s">
        <v>3512</v>
      </c>
      <c r="D600" s="35" t="s">
        <v>42</v>
      </c>
      <c r="E600" s="36">
        <f>ROUND(0.8614/0.1,4)</f>
        <v>8.6140000000000008</v>
      </c>
      <c r="F600" s="33">
        <v>1.6054999999999999</v>
      </c>
      <c r="G600" s="33">
        <f t="shared" si="10"/>
        <v>13.829777</v>
      </c>
      <c r="H600" s="34"/>
      <c r="I600" s="30"/>
      <c r="J600" s="148">
        <v>3</v>
      </c>
      <c r="K600" s="222" t="s">
        <v>8074</v>
      </c>
    </row>
    <row r="601" spans="1:11" ht="15.75" hidden="1" thickBot="1" x14ac:dyDescent="0.3">
      <c r="A601" s="203"/>
      <c r="B601" s="205"/>
      <c r="C601" s="35" t="s">
        <v>54</v>
      </c>
      <c r="D601" s="35" t="s">
        <v>12</v>
      </c>
      <c r="E601" s="36">
        <f>0.299/0.1</f>
        <v>2.9899999999999998</v>
      </c>
      <c r="F601" s="30">
        <v>24.795000000000002</v>
      </c>
      <c r="G601" s="33">
        <f t="shared" si="10"/>
        <v>74.137050000000002</v>
      </c>
      <c r="H601" s="34"/>
      <c r="I601" s="30"/>
      <c r="J601" s="148">
        <v>3</v>
      </c>
      <c r="K601" s="222" t="s">
        <v>8074</v>
      </c>
    </row>
    <row r="602" spans="1:11" ht="15.75" hidden="1" thickBot="1" x14ac:dyDescent="0.3">
      <c r="A602" s="203"/>
      <c r="B602" s="205"/>
      <c r="C602" s="35" t="s">
        <v>23</v>
      </c>
      <c r="D602" s="35" t="s">
        <v>12</v>
      </c>
      <c r="E602" s="36">
        <f>0.15/0.1</f>
        <v>1.4999999999999998</v>
      </c>
      <c r="F602" s="30">
        <v>18.420500000000001</v>
      </c>
      <c r="G602" s="33">
        <f t="shared" si="10"/>
        <v>27.630749999999995</v>
      </c>
      <c r="H602" s="34"/>
      <c r="I602" s="30"/>
      <c r="J602" s="148">
        <v>3</v>
      </c>
      <c r="K602" s="222" t="s">
        <v>8074</v>
      </c>
    </row>
    <row r="603" spans="1:11" ht="15.75" hidden="1" thickBot="1" x14ac:dyDescent="0.3">
      <c r="A603" s="203"/>
      <c r="B603" s="205"/>
      <c r="C603" s="35" t="s">
        <v>3511</v>
      </c>
      <c r="D603" s="35" t="s">
        <v>42</v>
      </c>
      <c r="E603" s="36">
        <f>0.12/0.1</f>
        <v>1.2</v>
      </c>
      <c r="F603" s="33">
        <v>3.0590000000000002</v>
      </c>
      <c r="G603" s="33">
        <f t="shared" si="10"/>
        <v>3.6707999999999998</v>
      </c>
      <c r="H603" s="34"/>
      <c r="I603" s="30"/>
      <c r="J603" s="148">
        <v>3</v>
      </c>
      <c r="K603" s="222" t="s">
        <v>8074</v>
      </c>
    </row>
    <row r="604" spans="1:11" ht="15.75" hidden="1" thickBot="1" x14ac:dyDescent="0.3">
      <c r="A604" s="203"/>
      <c r="B604" s="205"/>
      <c r="C604" s="35"/>
      <c r="D604" s="35"/>
      <c r="E604" s="36"/>
      <c r="F604" s="33" t="s">
        <v>514</v>
      </c>
      <c r="G604" s="33" t="str">
        <f t="shared" si="10"/>
        <v/>
      </c>
      <c r="H604" s="34"/>
      <c r="I604" s="30"/>
      <c r="J604" s="148">
        <v>3</v>
      </c>
      <c r="K604" s="222" t="s">
        <v>8074</v>
      </c>
    </row>
    <row r="605" spans="1:11" ht="26.25" hidden="1" thickBot="1" x14ac:dyDescent="0.3">
      <c r="A605" s="203"/>
      <c r="B605" s="205"/>
      <c r="C605" s="47" t="s">
        <v>215</v>
      </c>
      <c r="D605" s="35"/>
      <c r="E605" s="36"/>
      <c r="F605" s="33" t="s">
        <v>514</v>
      </c>
      <c r="G605" s="33" t="str">
        <f t="shared" si="10"/>
        <v/>
      </c>
      <c r="H605" s="34"/>
      <c r="I605" s="30"/>
      <c r="J605" s="148">
        <v>3</v>
      </c>
      <c r="K605" s="222" t="s">
        <v>8074</v>
      </c>
    </row>
    <row r="606" spans="1:11" ht="15.75" hidden="1" thickBot="1" x14ac:dyDescent="0.3">
      <c r="A606" s="209"/>
      <c r="B606" s="206"/>
      <c r="C606" s="35"/>
      <c r="D606" s="35"/>
      <c r="E606" s="36"/>
      <c r="F606" s="30" t="s">
        <v>514</v>
      </c>
      <c r="G606" s="30" t="str">
        <f t="shared" si="10"/>
        <v/>
      </c>
      <c r="H606" s="34"/>
      <c r="I606" s="30"/>
      <c r="J606" s="148">
        <v>3</v>
      </c>
      <c r="K606" s="222" t="s">
        <v>8074</v>
      </c>
    </row>
    <row r="607" spans="1:11" ht="15.75" hidden="1" thickBot="1" x14ac:dyDescent="0.3">
      <c r="A607" s="202" t="s">
        <v>223</v>
      </c>
      <c r="B607" s="204" t="str">
        <f>INDEX(Orçamentária!A:B,MATCH(Composições!A607,Orçamentária!A:A,0),2)</f>
        <v>Granito Preto São Gabriel para soleira e peitoril</v>
      </c>
      <c r="C607" s="40"/>
      <c r="D607" s="25" t="str">
        <f>TRIM(INDEX(Orçamentária!C:C,MATCH(Composições!A607,Orçamentária!A:A,0),1))</f>
        <v>m2</v>
      </c>
      <c r="E607" s="26"/>
      <c r="F607" s="41" t="s">
        <v>514</v>
      </c>
      <c r="G607" s="27" t="str">
        <f t="shared" si="10"/>
        <v/>
      </c>
      <c r="H607" s="28"/>
      <c r="I607" s="29"/>
      <c r="J607" s="148">
        <v>2</v>
      </c>
      <c r="K607" s="222" t="s">
        <v>8074</v>
      </c>
    </row>
    <row r="608" spans="1:11" ht="15.75" hidden="1" thickBot="1" x14ac:dyDescent="0.3">
      <c r="A608" s="203"/>
      <c r="B608" s="205"/>
      <c r="C608" s="31"/>
      <c r="D608" s="31"/>
      <c r="E608" s="32"/>
      <c r="F608" s="42" t="s">
        <v>514</v>
      </c>
      <c r="G608" s="30" t="str">
        <f t="shared" si="10"/>
        <v/>
      </c>
      <c r="H608" s="34"/>
      <c r="I608" s="30"/>
      <c r="J608" s="148">
        <v>2</v>
      </c>
      <c r="K608" s="222" t="s">
        <v>8074</v>
      </c>
    </row>
    <row r="609" spans="1:11" ht="26.25" hidden="1" thickBot="1" x14ac:dyDescent="0.3">
      <c r="A609" s="203"/>
      <c r="B609" s="205"/>
      <c r="C609" s="35" t="s">
        <v>224</v>
      </c>
      <c r="D609" s="35" t="s">
        <v>92</v>
      </c>
      <c r="E609" s="36">
        <f>ROUND(1/0.15,4)</f>
        <v>6.6666999999999996</v>
      </c>
      <c r="F609" s="33">
        <v>70.150000000000006</v>
      </c>
      <c r="G609" s="33">
        <f t="shared" si="10"/>
        <v>467.66900500000003</v>
      </c>
      <c r="H609" s="38">
        <f>SUM(G609:G612)</f>
        <v>605.42154149999999</v>
      </c>
      <c r="I609" s="39"/>
      <c r="J609" s="148">
        <v>2</v>
      </c>
      <c r="K609" s="222" t="s">
        <v>8074</v>
      </c>
    </row>
    <row r="610" spans="1:11" ht="15.75" hidden="1" thickBot="1" x14ac:dyDescent="0.3">
      <c r="A610" s="203"/>
      <c r="B610" s="205"/>
      <c r="C610" s="35" t="s">
        <v>3512</v>
      </c>
      <c r="D610" s="35" t="s">
        <v>42</v>
      </c>
      <c r="E610" s="36">
        <f>ROUND(1.29/0.15,4)</f>
        <v>8.6</v>
      </c>
      <c r="F610" s="33">
        <v>1.6054999999999999</v>
      </c>
      <c r="G610" s="33">
        <f t="shared" si="10"/>
        <v>13.8073</v>
      </c>
      <c r="H610" s="34"/>
      <c r="I610" s="30"/>
      <c r="J610" s="148">
        <v>2</v>
      </c>
      <c r="K610" s="222" t="s">
        <v>8074</v>
      </c>
    </row>
    <row r="611" spans="1:11" ht="15.75" hidden="1" thickBot="1" x14ac:dyDescent="0.3">
      <c r="A611" s="203"/>
      <c r="B611" s="205"/>
      <c r="C611" s="35" t="s">
        <v>54</v>
      </c>
      <c r="D611" s="35" t="s">
        <v>12</v>
      </c>
      <c r="E611" s="36">
        <f>ROUND(0.547/0.15,4)</f>
        <v>3.6467000000000001</v>
      </c>
      <c r="F611" s="30">
        <v>24.795000000000002</v>
      </c>
      <c r="G611" s="33">
        <f t="shared" si="10"/>
        <v>90.419926500000003</v>
      </c>
      <c r="H611" s="34"/>
      <c r="I611" s="30"/>
      <c r="J611" s="148">
        <v>2</v>
      </c>
      <c r="K611" s="222" t="s">
        <v>8074</v>
      </c>
    </row>
    <row r="612" spans="1:11" ht="15.75" hidden="1" thickBot="1" x14ac:dyDescent="0.3">
      <c r="A612" s="203"/>
      <c r="B612" s="205"/>
      <c r="C612" s="35" t="s">
        <v>23</v>
      </c>
      <c r="D612" s="35" t="s">
        <v>12</v>
      </c>
      <c r="E612" s="36">
        <f>ROUND(0.273/0.15,4)</f>
        <v>1.82</v>
      </c>
      <c r="F612" s="30">
        <v>18.420500000000001</v>
      </c>
      <c r="G612" s="33">
        <f t="shared" si="10"/>
        <v>33.525310000000005</v>
      </c>
      <c r="H612" s="34"/>
      <c r="I612" s="30"/>
      <c r="J612" s="148">
        <v>2</v>
      </c>
      <c r="K612" s="222" t="s">
        <v>8074</v>
      </c>
    </row>
    <row r="613" spans="1:11" ht="15.75" hidden="1" thickBot="1" x14ac:dyDescent="0.3">
      <c r="A613" s="203"/>
      <c r="B613" s="205"/>
      <c r="C613" s="35"/>
      <c r="D613" s="35"/>
      <c r="E613" s="36"/>
      <c r="F613" s="30" t="s">
        <v>514</v>
      </c>
      <c r="G613" s="33" t="str">
        <f t="shared" si="10"/>
        <v/>
      </c>
      <c r="H613" s="34"/>
      <c r="I613" s="30"/>
      <c r="J613" s="148">
        <v>2</v>
      </c>
      <c r="K613" s="222" t="s">
        <v>8074</v>
      </c>
    </row>
    <row r="614" spans="1:11" ht="26.25" hidden="1" thickBot="1" x14ac:dyDescent="0.3">
      <c r="A614" s="203"/>
      <c r="B614" s="205"/>
      <c r="C614" s="47" t="s">
        <v>218</v>
      </c>
      <c r="D614" s="35"/>
      <c r="E614" s="36"/>
      <c r="F614" s="30" t="s">
        <v>514</v>
      </c>
      <c r="G614" s="33" t="str">
        <f t="shared" si="10"/>
        <v/>
      </c>
      <c r="H614" s="34"/>
      <c r="I614" s="30"/>
      <c r="J614" s="148">
        <v>2</v>
      </c>
      <c r="K614" s="222" t="s">
        <v>8074</v>
      </c>
    </row>
    <row r="615" spans="1:11" ht="15.75" hidden="1" thickBot="1" x14ac:dyDescent="0.3">
      <c r="A615" s="209"/>
      <c r="B615" s="206"/>
      <c r="C615" s="35"/>
      <c r="D615" s="35"/>
      <c r="E615" s="36"/>
      <c r="F615" s="30" t="s">
        <v>514</v>
      </c>
      <c r="G615" s="30" t="str">
        <f t="shared" si="10"/>
        <v/>
      </c>
      <c r="H615" s="34"/>
      <c r="I615" s="30"/>
      <c r="J615" s="148">
        <v>2</v>
      </c>
      <c r="K615" s="222" t="s">
        <v>8074</v>
      </c>
    </row>
    <row r="616" spans="1:11" ht="15.75" hidden="1" thickBot="1" x14ac:dyDescent="0.3">
      <c r="A616" s="202" t="s">
        <v>225</v>
      </c>
      <c r="B616" s="204" t="str">
        <f>INDEX(Orçamentária!A:B,MATCH(Composições!A616,Orçamentária!A:A,0),2)</f>
        <v>Instalação de rodapé de madeira reaproveitado</v>
      </c>
      <c r="C616" s="40"/>
      <c r="D616" s="25" t="str">
        <f>TRIM(INDEX(Orçamentária!C:C,MATCH(Composições!A616,Orçamentária!A:A,0),1))</f>
        <v>m</v>
      </c>
      <c r="E616" s="26"/>
      <c r="F616" s="41" t="s">
        <v>514</v>
      </c>
      <c r="G616" s="27" t="str">
        <f t="shared" si="10"/>
        <v/>
      </c>
      <c r="H616" s="28"/>
      <c r="I616" s="29"/>
      <c r="J616" s="148">
        <v>65</v>
      </c>
      <c r="K616" s="222" t="s">
        <v>8074</v>
      </c>
    </row>
    <row r="617" spans="1:11" ht="15.75" hidden="1" thickBot="1" x14ac:dyDescent="0.3">
      <c r="A617" s="203"/>
      <c r="B617" s="205"/>
      <c r="C617" s="31"/>
      <c r="D617" s="31"/>
      <c r="E617" s="32"/>
      <c r="F617" s="42" t="s">
        <v>514</v>
      </c>
      <c r="G617" s="30" t="str">
        <f t="shared" si="10"/>
        <v/>
      </c>
      <c r="H617" s="34"/>
      <c r="I617" s="30"/>
      <c r="J617" s="148">
        <v>65</v>
      </c>
      <c r="K617" s="222" t="s">
        <v>8074</v>
      </c>
    </row>
    <row r="618" spans="1:11" ht="15.75" hidden="1" thickBot="1" x14ac:dyDescent="0.3">
      <c r="A618" s="203"/>
      <c r="B618" s="205"/>
      <c r="C618" s="35" t="s">
        <v>1228</v>
      </c>
      <c r="D618" s="46" t="s">
        <v>42</v>
      </c>
      <c r="E618" s="36">
        <v>4.0300000000000002E-2</v>
      </c>
      <c r="F618" s="30">
        <v>41.249000000000002</v>
      </c>
      <c r="G618" s="33">
        <f t="shared" si="10"/>
        <v>1.6623347000000002</v>
      </c>
      <c r="H618" s="38">
        <f>SUM(G618:G620)</f>
        <v>13.40547565</v>
      </c>
      <c r="I618" s="39"/>
      <c r="J618" s="148">
        <v>65</v>
      </c>
      <c r="K618" s="222" t="s">
        <v>8074</v>
      </c>
    </row>
    <row r="619" spans="1:11" ht="15.75" hidden="1" thickBot="1" x14ac:dyDescent="0.3">
      <c r="A619" s="203"/>
      <c r="B619" s="205"/>
      <c r="C619" s="35" t="s">
        <v>696</v>
      </c>
      <c r="D619" s="46" t="s">
        <v>695</v>
      </c>
      <c r="E619" s="36">
        <v>0.15140000000000001</v>
      </c>
      <c r="F619" s="33">
        <v>18.420500000000001</v>
      </c>
      <c r="G619" s="33">
        <f t="shared" si="10"/>
        <v>2.7888637000000003</v>
      </c>
      <c r="H619" s="34"/>
      <c r="I619" s="30"/>
      <c r="J619" s="148">
        <v>65</v>
      </c>
      <c r="K619" s="222" t="s">
        <v>8074</v>
      </c>
    </row>
    <row r="620" spans="1:11" ht="15.75" hidden="1" thickBot="1" x14ac:dyDescent="0.3">
      <c r="A620" s="203"/>
      <c r="B620" s="205"/>
      <c r="C620" s="35" t="s">
        <v>1207</v>
      </c>
      <c r="D620" s="46" t="s">
        <v>695</v>
      </c>
      <c r="E620" s="36">
        <v>0.36349999999999999</v>
      </c>
      <c r="F620" s="33">
        <v>24.633499999999998</v>
      </c>
      <c r="G620" s="33">
        <f t="shared" si="10"/>
        <v>8.9542772499999987</v>
      </c>
      <c r="H620" s="34"/>
      <c r="I620" s="30"/>
      <c r="J620" s="148">
        <v>65</v>
      </c>
      <c r="K620" s="222" t="s">
        <v>8074</v>
      </c>
    </row>
    <row r="621" spans="1:11" ht="15.75" hidden="1" thickBot="1" x14ac:dyDescent="0.3">
      <c r="A621" s="203"/>
      <c r="B621" s="205"/>
      <c r="C621" s="35"/>
      <c r="D621" s="35"/>
      <c r="E621" s="36"/>
      <c r="F621" s="30" t="s">
        <v>514</v>
      </c>
      <c r="G621" s="30" t="str">
        <f t="shared" si="10"/>
        <v/>
      </c>
      <c r="H621" s="34"/>
      <c r="I621" s="30"/>
      <c r="J621" s="148">
        <v>65</v>
      </c>
      <c r="K621" s="222" t="s">
        <v>8074</v>
      </c>
    </row>
    <row r="622" spans="1:11" ht="15.75" hidden="1" thickBot="1" x14ac:dyDescent="0.3">
      <c r="A622" s="202" t="s">
        <v>226</v>
      </c>
      <c r="B622" s="204" t="str">
        <f>INDEX(Orçamentária!A:B,MATCH(Composições!A622,Orçamentária!A:A,0),2)</f>
        <v>Mármore Bege Bahia para piso e parede</v>
      </c>
      <c r="C622" s="40"/>
      <c r="D622" s="25" t="str">
        <f>TRIM(INDEX(Orçamentária!C:C,MATCH(Composições!A622,Orçamentária!A:A,0),1))</f>
        <v>m2</v>
      </c>
      <c r="E622" s="26"/>
      <c r="F622" s="41" t="s">
        <v>514</v>
      </c>
      <c r="G622" s="27" t="str">
        <f t="shared" si="10"/>
        <v/>
      </c>
      <c r="H622" s="28"/>
      <c r="I622" s="29"/>
      <c r="J622" s="148">
        <v>10</v>
      </c>
      <c r="K622" s="222" t="s">
        <v>8074</v>
      </c>
    </row>
    <row r="623" spans="1:11" ht="15.75" hidden="1" thickBot="1" x14ac:dyDescent="0.3">
      <c r="A623" s="203"/>
      <c r="B623" s="205"/>
      <c r="C623" s="31"/>
      <c r="D623" s="31"/>
      <c r="E623" s="32"/>
      <c r="F623" s="42" t="s">
        <v>514</v>
      </c>
      <c r="G623" s="30" t="str">
        <f t="shared" si="10"/>
        <v/>
      </c>
      <c r="H623" s="34"/>
      <c r="I623" s="30"/>
      <c r="J623" s="148">
        <v>10</v>
      </c>
      <c r="K623" s="222" t="s">
        <v>8074</v>
      </c>
    </row>
    <row r="624" spans="1:11" ht="15.75" hidden="1" thickBot="1" x14ac:dyDescent="0.3">
      <c r="A624" s="203"/>
      <c r="B624" s="205"/>
      <c r="C624" s="35" t="s">
        <v>3512</v>
      </c>
      <c r="D624" s="35" t="s">
        <v>42</v>
      </c>
      <c r="E624" s="36">
        <v>8.6199999999999992</v>
      </c>
      <c r="F624" s="33">
        <v>1.6054999999999999</v>
      </c>
      <c r="G624" s="33">
        <f t="shared" si="10"/>
        <v>13.839409999999997</v>
      </c>
      <c r="H624" s="38">
        <f>SUM(G624:G628)</f>
        <v>344.665907</v>
      </c>
      <c r="I624" s="39"/>
      <c r="J624" s="148">
        <v>10</v>
      </c>
      <c r="K624" s="222" t="s">
        <v>8074</v>
      </c>
    </row>
    <row r="625" spans="1:11" ht="15.75" hidden="1" thickBot="1" x14ac:dyDescent="0.3">
      <c r="A625" s="203"/>
      <c r="B625" s="205"/>
      <c r="C625" s="35" t="s">
        <v>54</v>
      </c>
      <c r="D625" s="35" t="s">
        <v>12</v>
      </c>
      <c r="E625" s="36">
        <v>1.1879999999999999</v>
      </c>
      <c r="F625" s="30">
        <v>24.795000000000002</v>
      </c>
      <c r="G625" s="33">
        <f t="shared" si="10"/>
        <v>29.45646</v>
      </c>
      <c r="H625" s="34"/>
      <c r="I625" s="30"/>
      <c r="J625" s="148">
        <v>10</v>
      </c>
      <c r="K625" s="222" t="s">
        <v>8074</v>
      </c>
    </row>
    <row r="626" spans="1:11" ht="15.75" hidden="1" thickBot="1" x14ac:dyDescent="0.3">
      <c r="A626" s="203"/>
      <c r="B626" s="205"/>
      <c r="C626" s="35" t="s">
        <v>23</v>
      </c>
      <c r="D626" s="35" t="s">
        <v>12</v>
      </c>
      <c r="E626" s="36">
        <v>0.59399999999999997</v>
      </c>
      <c r="F626" s="30">
        <v>18.420500000000001</v>
      </c>
      <c r="G626" s="33">
        <f t="shared" si="10"/>
        <v>10.941777</v>
      </c>
      <c r="H626" s="34"/>
      <c r="I626" s="30"/>
      <c r="J626" s="148">
        <v>10</v>
      </c>
      <c r="K626" s="222" t="s">
        <v>8074</v>
      </c>
    </row>
    <row r="627" spans="1:11" ht="15.75" hidden="1" thickBot="1" x14ac:dyDescent="0.3">
      <c r="A627" s="203"/>
      <c r="B627" s="205"/>
      <c r="C627" s="35" t="s">
        <v>3511</v>
      </c>
      <c r="D627" s="35" t="s">
        <v>42</v>
      </c>
      <c r="E627" s="36">
        <v>0.14000000000000001</v>
      </c>
      <c r="F627" s="33">
        <v>3.0590000000000002</v>
      </c>
      <c r="G627" s="33">
        <f t="shared" si="10"/>
        <v>0.42826000000000009</v>
      </c>
      <c r="H627" s="34"/>
      <c r="I627" s="30"/>
      <c r="J627" s="148">
        <v>10</v>
      </c>
      <c r="K627" s="222" t="s">
        <v>8074</v>
      </c>
    </row>
    <row r="628" spans="1:11" ht="15.75" hidden="1" thickBot="1" x14ac:dyDescent="0.3">
      <c r="A628" s="203"/>
      <c r="B628" s="205"/>
      <c r="C628" s="35" t="s">
        <v>227</v>
      </c>
      <c r="D628" s="35" t="s">
        <v>94</v>
      </c>
      <c r="E628" s="36">
        <v>1.1599999999999999</v>
      </c>
      <c r="F628" s="33">
        <v>250</v>
      </c>
      <c r="G628" s="53">
        <f t="shared" si="10"/>
        <v>290</v>
      </c>
      <c r="H628" s="34"/>
      <c r="I628" s="30"/>
      <c r="J628" s="148">
        <v>10</v>
      </c>
      <c r="K628" s="222" t="s">
        <v>8074</v>
      </c>
    </row>
    <row r="629" spans="1:11" ht="15.75" hidden="1" thickBot="1" x14ac:dyDescent="0.3">
      <c r="A629" s="209"/>
      <c r="B629" s="206"/>
      <c r="C629" s="35"/>
      <c r="D629" s="35"/>
      <c r="E629" s="36"/>
      <c r="F629" s="30" t="s">
        <v>514</v>
      </c>
      <c r="G629" s="30" t="str">
        <f t="shared" si="10"/>
        <v/>
      </c>
      <c r="H629" s="34"/>
      <c r="I629" s="30"/>
      <c r="J629" s="148">
        <v>10</v>
      </c>
      <c r="K629" s="222" t="s">
        <v>8074</v>
      </c>
    </row>
    <row r="630" spans="1:11" ht="15.75" hidden="1" thickBot="1" x14ac:dyDescent="0.3">
      <c r="A630" s="202" t="s">
        <v>228</v>
      </c>
      <c r="B630" s="204" t="str">
        <f>INDEX(Orçamentária!A:B,MATCH(Composições!A630,Orçamentária!A:A,0),2)</f>
        <v>Mármore Branco Especial para piso e parede</v>
      </c>
      <c r="C630" s="40"/>
      <c r="D630" s="25" t="str">
        <f>TRIM(INDEX(Orçamentária!C:C,MATCH(Composições!A630,Orçamentária!A:A,0),1))</f>
        <v>m2</v>
      </c>
      <c r="E630" s="26"/>
      <c r="F630" s="41" t="s">
        <v>514</v>
      </c>
      <c r="G630" s="27" t="str">
        <f t="shared" si="10"/>
        <v/>
      </c>
      <c r="H630" s="28"/>
      <c r="I630" s="29"/>
      <c r="J630" s="148">
        <v>30</v>
      </c>
      <c r="K630" s="222" t="s">
        <v>8074</v>
      </c>
    </row>
    <row r="631" spans="1:11" ht="15.75" hidden="1" thickBot="1" x14ac:dyDescent="0.3">
      <c r="A631" s="203"/>
      <c r="B631" s="205"/>
      <c r="C631" s="31"/>
      <c r="D631" s="31"/>
      <c r="E631" s="32"/>
      <c r="F631" s="42" t="s">
        <v>514</v>
      </c>
      <c r="G631" s="30" t="str">
        <f t="shared" si="10"/>
        <v/>
      </c>
      <c r="H631" s="34"/>
      <c r="I631" s="30"/>
      <c r="J631" s="148">
        <v>30</v>
      </c>
      <c r="K631" s="222" t="s">
        <v>8074</v>
      </c>
    </row>
    <row r="632" spans="1:11" ht="15.75" hidden="1" thickBot="1" x14ac:dyDescent="0.3">
      <c r="A632" s="203"/>
      <c r="B632" s="205"/>
      <c r="C632" s="35" t="s">
        <v>3512</v>
      </c>
      <c r="D632" s="35" t="s">
        <v>42</v>
      </c>
      <c r="E632" s="36">
        <v>8.6199999999999992</v>
      </c>
      <c r="F632" s="33">
        <v>1.6054999999999999</v>
      </c>
      <c r="G632" s="33">
        <f t="shared" si="10"/>
        <v>13.839409999999997</v>
      </c>
      <c r="H632" s="38">
        <f>SUM(G632:G636)</f>
        <v>623.56470699999988</v>
      </c>
      <c r="I632" s="39"/>
      <c r="J632" s="148">
        <v>30</v>
      </c>
      <c r="K632" s="222" t="s">
        <v>8074</v>
      </c>
    </row>
    <row r="633" spans="1:11" ht="15.75" hidden="1" thickBot="1" x14ac:dyDescent="0.3">
      <c r="A633" s="203"/>
      <c r="B633" s="205"/>
      <c r="C633" s="35" t="s">
        <v>54</v>
      </c>
      <c r="D633" s="35" t="s">
        <v>12</v>
      </c>
      <c r="E633" s="36">
        <v>1.1879999999999999</v>
      </c>
      <c r="F633" s="30">
        <v>24.795000000000002</v>
      </c>
      <c r="G633" s="33">
        <f t="shared" si="10"/>
        <v>29.45646</v>
      </c>
      <c r="H633" s="34"/>
      <c r="I633" s="30"/>
      <c r="J633" s="148">
        <v>30</v>
      </c>
      <c r="K633" s="222" t="s">
        <v>8074</v>
      </c>
    </row>
    <row r="634" spans="1:11" ht="15.75" hidden="1" thickBot="1" x14ac:dyDescent="0.3">
      <c r="A634" s="203"/>
      <c r="B634" s="205"/>
      <c r="C634" s="35" t="s">
        <v>23</v>
      </c>
      <c r="D634" s="35" t="s">
        <v>12</v>
      </c>
      <c r="E634" s="36">
        <v>0.59399999999999997</v>
      </c>
      <c r="F634" s="30">
        <v>18.420500000000001</v>
      </c>
      <c r="G634" s="33">
        <f t="shared" si="10"/>
        <v>10.941777</v>
      </c>
      <c r="H634" s="34"/>
      <c r="I634" s="30"/>
      <c r="J634" s="148">
        <v>30</v>
      </c>
      <c r="K634" s="222" t="s">
        <v>8074</v>
      </c>
    </row>
    <row r="635" spans="1:11" ht="15.75" hidden="1" thickBot="1" x14ac:dyDescent="0.3">
      <c r="A635" s="203"/>
      <c r="B635" s="205"/>
      <c r="C635" s="35" t="s">
        <v>3511</v>
      </c>
      <c r="D635" s="35" t="s">
        <v>42</v>
      </c>
      <c r="E635" s="36">
        <v>0.14000000000000001</v>
      </c>
      <c r="F635" s="33">
        <v>3.0590000000000002</v>
      </c>
      <c r="G635" s="33">
        <f t="shared" si="10"/>
        <v>0.42826000000000009</v>
      </c>
      <c r="H635" s="34"/>
      <c r="I635" s="30"/>
      <c r="J635" s="148">
        <v>30</v>
      </c>
      <c r="K635" s="222" t="s">
        <v>8074</v>
      </c>
    </row>
    <row r="636" spans="1:11" ht="15.75" hidden="1" thickBot="1" x14ac:dyDescent="0.3">
      <c r="A636" s="203"/>
      <c r="B636" s="205"/>
      <c r="C636" s="35" t="s">
        <v>229</v>
      </c>
      <c r="D636" s="35" t="s">
        <v>94</v>
      </c>
      <c r="E636" s="36">
        <v>1.1599999999999999</v>
      </c>
      <c r="F636" s="33">
        <v>490.43</v>
      </c>
      <c r="G636" s="53">
        <f t="shared" si="10"/>
        <v>568.89879999999994</v>
      </c>
      <c r="H636" s="34"/>
      <c r="I636" s="30"/>
      <c r="J636" s="148">
        <v>30</v>
      </c>
      <c r="K636" s="222" t="s">
        <v>8074</v>
      </c>
    </row>
    <row r="637" spans="1:11" ht="15.75" hidden="1" thickBot="1" x14ac:dyDescent="0.3">
      <c r="A637" s="209"/>
      <c r="B637" s="206"/>
      <c r="C637" s="35"/>
      <c r="D637" s="35"/>
      <c r="E637" s="36"/>
      <c r="F637" s="30" t="s">
        <v>514</v>
      </c>
      <c r="G637" s="30" t="str">
        <f t="shared" si="10"/>
        <v/>
      </c>
      <c r="H637" s="34"/>
      <c r="I637" s="30"/>
      <c r="J637" s="148">
        <v>30</v>
      </c>
      <c r="K637" s="222" t="s">
        <v>8074</v>
      </c>
    </row>
    <row r="638" spans="1:11" ht="15.75" hidden="1" thickBot="1" x14ac:dyDescent="0.3">
      <c r="A638" s="202" t="s">
        <v>230</v>
      </c>
      <c r="B638" s="204" t="str">
        <f>INDEX(Orçamentária!A:B,MATCH(Composições!A638,Orçamentária!A:A,0),2)</f>
        <v>Rodapé de madeira</v>
      </c>
      <c r="C638" s="40"/>
      <c r="D638" s="25" t="str">
        <f>TRIM(INDEX(Orçamentária!C:C,MATCH(Composições!A638,Orçamentária!A:A,0),1))</f>
        <v>m</v>
      </c>
      <c r="E638" s="26"/>
      <c r="F638" s="41" t="s">
        <v>514</v>
      </c>
      <c r="G638" s="27" t="str">
        <f t="shared" si="10"/>
        <v/>
      </c>
      <c r="H638" s="28"/>
      <c r="I638" s="29"/>
      <c r="J638" s="148">
        <v>65</v>
      </c>
      <c r="K638" s="222" t="s">
        <v>8074</v>
      </c>
    </row>
    <row r="639" spans="1:11" ht="15.75" hidden="1" thickBot="1" x14ac:dyDescent="0.3">
      <c r="A639" s="203"/>
      <c r="B639" s="205"/>
      <c r="C639" s="31"/>
      <c r="D639" s="31"/>
      <c r="E639" s="32"/>
      <c r="F639" s="42" t="s">
        <v>514</v>
      </c>
      <c r="G639" s="30" t="str">
        <f t="shared" si="10"/>
        <v/>
      </c>
      <c r="H639" s="34"/>
      <c r="I639" s="30"/>
      <c r="J639" s="148">
        <v>65</v>
      </c>
      <c r="K639" s="222" t="s">
        <v>8074</v>
      </c>
    </row>
    <row r="640" spans="1:11" ht="26.25" hidden="1" thickBot="1" x14ac:dyDescent="0.3">
      <c r="A640" s="203"/>
      <c r="B640" s="205"/>
      <c r="C640" s="35" t="s">
        <v>3339</v>
      </c>
      <c r="D640" s="46" t="s">
        <v>473</v>
      </c>
      <c r="E640" s="36">
        <v>1.0349999999999999</v>
      </c>
      <c r="F640" s="30">
        <v>16.491999999999997</v>
      </c>
      <c r="G640" s="33">
        <f t="shared" si="10"/>
        <v>17.069219999999994</v>
      </c>
      <c r="H640" s="38">
        <f>SUM(G640:G643)</f>
        <v>30.474695649999994</v>
      </c>
      <c r="I640" s="39"/>
      <c r="J640" s="148">
        <v>65</v>
      </c>
      <c r="K640" s="222" t="s">
        <v>8074</v>
      </c>
    </row>
    <row r="641" spans="1:11" ht="15.75" hidden="1" thickBot="1" x14ac:dyDescent="0.3">
      <c r="A641" s="203"/>
      <c r="B641" s="205"/>
      <c r="C641" s="35" t="s">
        <v>1228</v>
      </c>
      <c r="D641" s="35" t="s">
        <v>42</v>
      </c>
      <c r="E641" s="36">
        <v>4.0300000000000002E-2</v>
      </c>
      <c r="F641" s="30">
        <v>41.249000000000002</v>
      </c>
      <c r="G641" s="33">
        <f t="shared" si="10"/>
        <v>1.6623347000000002</v>
      </c>
      <c r="H641" s="34"/>
      <c r="I641" s="30"/>
      <c r="J641" s="148">
        <v>65</v>
      </c>
      <c r="K641" s="222" t="s">
        <v>8074</v>
      </c>
    </row>
    <row r="642" spans="1:11" ht="15.75" hidden="1" thickBot="1" x14ac:dyDescent="0.3">
      <c r="A642" s="203"/>
      <c r="B642" s="205"/>
      <c r="C642" s="35" t="s">
        <v>696</v>
      </c>
      <c r="D642" s="46" t="s">
        <v>695</v>
      </c>
      <c r="E642" s="36">
        <v>0.15140000000000001</v>
      </c>
      <c r="F642" s="33">
        <v>18.420500000000001</v>
      </c>
      <c r="G642" s="33">
        <f t="shared" si="10"/>
        <v>2.7888637000000003</v>
      </c>
      <c r="H642" s="34"/>
      <c r="I642" s="30"/>
      <c r="J642" s="148">
        <v>65</v>
      </c>
      <c r="K642" s="222" t="s">
        <v>8074</v>
      </c>
    </row>
    <row r="643" spans="1:11" ht="15.75" hidden="1" thickBot="1" x14ac:dyDescent="0.3">
      <c r="A643" s="203"/>
      <c r="B643" s="205"/>
      <c r="C643" s="35" t="s">
        <v>1207</v>
      </c>
      <c r="D643" s="46" t="s">
        <v>695</v>
      </c>
      <c r="E643" s="36">
        <v>0.36349999999999999</v>
      </c>
      <c r="F643" s="33">
        <v>24.633499999999998</v>
      </c>
      <c r="G643" s="33">
        <f t="shared" si="10"/>
        <v>8.9542772499999987</v>
      </c>
      <c r="H643" s="34"/>
      <c r="I643" s="30"/>
      <c r="J643" s="148">
        <v>65</v>
      </c>
      <c r="K643" s="222" t="s">
        <v>8074</v>
      </c>
    </row>
    <row r="644" spans="1:11" ht="15.75" hidden="1" thickBot="1" x14ac:dyDescent="0.3">
      <c r="A644" s="209"/>
      <c r="B644" s="206"/>
      <c r="C644" s="35"/>
      <c r="D644" s="35"/>
      <c r="E644" s="36"/>
      <c r="F644" s="30" t="s">
        <v>514</v>
      </c>
      <c r="G644" s="30" t="str">
        <f t="shared" si="10"/>
        <v/>
      </c>
      <c r="H644" s="34"/>
      <c r="I644" s="30"/>
      <c r="J644" s="148">
        <v>65</v>
      </c>
      <c r="K644" s="222" t="s">
        <v>8074</v>
      </c>
    </row>
    <row r="645" spans="1:11" ht="15.75" hidden="1" thickBot="1" x14ac:dyDescent="0.3">
      <c r="A645" s="202" t="s">
        <v>232</v>
      </c>
      <c r="B645" s="204" t="str">
        <f>INDEX(Orçamentária!A:B,MATCH(Composições!A645,Orçamentária!A:A,0),2)</f>
        <v>Acabamento abaulado em placas de granito ou mármore reaproveitadas</v>
      </c>
      <c r="C645" s="40"/>
      <c r="D645" s="25" t="str">
        <f>TRIM(INDEX(Orçamentária!C:C,MATCH(Composições!A645,Orçamentária!A:A,0),1))</f>
        <v>m</v>
      </c>
      <c r="E645" s="26"/>
      <c r="F645" s="41" t="s">
        <v>514</v>
      </c>
      <c r="G645" s="27" t="str">
        <f t="shared" si="10"/>
        <v/>
      </c>
      <c r="H645" s="28"/>
      <c r="I645" s="29"/>
      <c r="J645" s="148">
        <v>15</v>
      </c>
      <c r="K645" s="222" t="s">
        <v>8074</v>
      </c>
    </row>
    <row r="646" spans="1:11" ht="15.75" hidden="1" thickBot="1" x14ac:dyDescent="0.3">
      <c r="A646" s="203"/>
      <c r="B646" s="205"/>
      <c r="C646" s="31"/>
      <c r="D646" s="31"/>
      <c r="E646" s="32"/>
      <c r="F646" s="42" t="s">
        <v>514</v>
      </c>
      <c r="G646" s="30" t="str">
        <f t="shared" si="10"/>
        <v/>
      </c>
      <c r="H646" s="34"/>
      <c r="I646" s="30"/>
      <c r="J646" s="148">
        <v>15</v>
      </c>
      <c r="K646" s="222" t="s">
        <v>8074</v>
      </c>
    </row>
    <row r="647" spans="1:11" ht="15.75" hidden="1" thickBot="1" x14ac:dyDescent="0.3">
      <c r="A647" s="203"/>
      <c r="B647" s="205"/>
      <c r="C647" s="35" t="s">
        <v>54</v>
      </c>
      <c r="D647" s="46" t="s">
        <v>12</v>
      </c>
      <c r="E647" s="36">
        <v>2</v>
      </c>
      <c r="F647" s="30">
        <v>24.795000000000002</v>
      </c>
      <c r="G647" s="33">
        <f t="shared" si="10"/>
        <v>49.59</v>
      </c>
      <c r="H647" s="38">
        <f>SUM(G647:G647)</f>
        <v>49.59</v>
      </c>
      <c r="I647" s="39"/>
      <c r="J647" s="148">
        <v>15</v>
      </c>
      <c r="K647" s="222" t="s">
        <v>8074</v>
      </c>
    </row>
    <row r="648" spans="1:11" ht="15.75" hidden="1" thickBot="1" x14ac:dyDescent="0.3">
      <c r="A648" s="209"/>
      <c r="B648" s="206"/>
      <c r="C648" s="54"/>
      <c r="D648" s="35"/>
      <c r="E648" s="36"/>
      <c r="F648" s="30" t="s">
        <v>514</v>
      </c>
      <c r="G648" s="30" t="str">
        <f t="shared" si="10"/>
        <v/>
      </c>
      <c r="H648" s="34"/>
      <c r="I648" s="30"/>
      <c r="J648" s="148">
        <v>15</v>
      </c>
      <c r="K648" s="222" t="s">
        <v>8074</v>
      </c>
    </row>
    <row r="649" spans="1:11" ht="15.75" hidden="1" thickBot="1" x14ac:dyDescent="0.3">
      <c r="A649" s="202" t="s">
        <v>233</v>
      </c>
      <c r="B649" s="204" t="str">
        <f>INDEX(Orçamentária!A:B,MATCH(Composições!A649,Orçamentária!A:A,0),2)</f>
        <v>Acabamento em meia esquadria em placas de granito ou mármore reaproveitadas</v>
      </c>
      <c r="C649" s="40"/>
      <c r="D649" s="25" t="str">
        <f>TRIM(INDEX(Orçamentária!C:C,MATCH(Composições!A649,Orçamentária!A:A,0),1))</f>
        <v>m</v>
      </c>
      <c r="E649" s="26"/>
      <c r="F649" s="41" t="s">
        <v>514</v>
      </c>
      <c r="G649" s="27" t="str">
        <f t="shared" si="10"/>
        <v/>
      </c>
      <c r="H649" s="28"/>
      <c r="I649" s="29"/>
      <c r="J649" s="148">
        <v>15</v>
      </c>
      <c r="K649" s="222" t="s">
        <v>8074</v>
      </c>
    </row>
    <row r="650" spans="1:11" ht="15.75" hidden="1" thickBot="1" x14ac:dyDescent="0.3">
      <c r="A650" s="203"/>
      <c r="B650" s="205"/>
      <c r="C650" s="31"/>
      <c r="D650" s="31"/>
      <c r="E650" s="32"/>
      <c r="F650" s="42" t="s">
        <v>514</v>
      </c>
      <c r="G650" s="30" t="str">
        <f t="shared" si="10"/>
        <v/>
      </c>
      <c r="H650" s="34"/>
      <c r="I650" s="30"/>
      <c r="J650" s="148">
        <v>15</v>
      </c>
      <c r="K650" s="222" t="s">
        <v>8074</v>
      </c>
    </row>
    <row r="651" spans="1:11" ht="15.75" hidden="1" thickBot="1" x14ac:dyDescent="0.3">
      <c r="A651" s="203"/>
      <c r="B651" s="205"/>
      <c r="C651" s="35" t="s">
        <v>54</v>
      </c>
      <c r="D651" s="46" t="s">
        <v>12</v>
      </c>
      <c r="E651" s="36">
        <v>1.75</v>
      </c>
      <c r="F651" s="30">
        <v>24.795000000000002</v>
      </c>
      <c r="G651" s="33">
        <f t="shared" si="10"/>
        <v>43.391249999999999</v>
      </c>
      <c r="H651" s="38">
        <f>SUM(G651:G651)</f>
        <v>43.391249999999999</v>
      </c>
      <c r="I651" s="39"/>
      <c r="J651" s="148">
        <v>15</v>
      </c>
      <c r="K651" s="222" t="s">
        <v>8074</v>
      </c>
    </row>
    <row r="652" spans="1:11" ht="15.75" hidden="1" thickBot="1" x14ac:dyDescent="0.3">
      <c r="A652" s="209"/>
      <c r="B652" s="206"/>
      <c r="C652" s="54"/>
      <c r="D652" s="35"/>
      <c r="E652" s="36"/>
      <c r="F652" s="30" t="s">
        <v>514</v>
      </c>
      <c r="G652" s="30" t="str">
        <f t="shared" si="10"/>
        <v/>
      </c>
      <c r="H652" s="34"/>
      <c r="I652" s="30"/>
      <c r="J652" s="148">
        <v>15</v>
      </c>
      <c r="K652" s="222" t="s">
        <v>8074</v>
      </c>
    </row>
    <row r="653" spans="1:11" ht="15.75" hidden="1" thickBot="1" x14ac:dyDescent="0.3">
      <c r="A653" s="202" t="s">
        <v>234</v>
      </c>
      <c r="B653" s="204" t="str">
        <f>INDEX(Orçamentária!A:B,MATCH(Composições!A653,Orçamentária!A:A,0),2)</f>
        <v>Acabamento reto em placas de granito ou mármore reaproveitadas</v>
      </c>
      <c r="C653" s="40"/>
      <c r="D653" s="25" t="str">
        <f>TRIM(INDEX(Orçamentária!C:C,MATCH(Composições!A653,Orçamentária!A:A,0),1))</f>
        <v>m</v>
      </c>
      <c r="E653" s="26"/>
      <c r="F653" s="41" t="s">
        <v>514</v>
      </c>
      <c r="G653" s="27" t="str">
        <f t="shared" si="10"/>
        <v/>
      </c>
      <c r="H653" s="28"/>
      <c r="I653" s="29"/>
      <c r="J653" s="148">
        <v>15</v>
      </c>
      <c r="K653" s="222" t="s">
        <v>8074</v>
      </c>
    </row>
    <row r="654" spans="1:11" ht="15.75" hidden="1" thickBot="1" x14ac:dyDescent="0.3">
      <c r="A654" s="203"/>
      <c r="B654" s="205"/>
      <c r="C654" s="31"/>
      <c r="D654" s="31"/>
      <c r="E654" s="32"/>
      <c r="F654" s="42" t="s">
        <v>514</v>
      </c>
      <c r="G654" s="30" t="str">
        <f t="shared" si="10"/>
        <v/>
      </c>
      <c r="H654" s="34"/>
      <c r="I654" s="30"/>
      <c r="J654" s="148">
        <v>15</v>
      </c>
      <c r="K654" s="222" t="s">
        <v>8074</v>
      </c>
    </row>
    <row r="655" spans="1:11" ht="15.75" hidden="1" thickBot="1" x14ac:dyDescent="0.3">
      <c r="A655" s="203"/>
      <c r="B655" s="205"/>
      <c r="C655" s="35" t="s">
        <v>54</v>
      </c>
      <c r="D655" s="46" t="s">
        <v>12</v>
      </c>
      <c r="E655" s="36">
        <v>1</v>
      </c>
      <c r="F655" s="30">
        <v>24.795000000000002</v>
      </c>
      <c r="G655" s="33">
        <f t="shared" si="10"/>
        <v>24.795000000000002</v>
      </c>
      <c r="H655" s="38">
        <f>SUM(G655:G655)</f>
        <v>24.795000000000002</v>
      </c>
      <c r="I655" s="39"/>
      <c r="J655" s="148">
        <v>15</v>
      </c>
      <c r="K655" s="222" t="s">
        <v>8074</v>
      </c>
    </row>
    <row r="656" spans="1:11" ht="15.75" hidden="1" thickBot="1" x14ac:dyDescent="0.3">
      <c r="A656" s="209"/>
      <c r="B656" s="206"/>
      <c r="C656" s="54"/>
      <c r="D656" s="35"/>
      <c r="E656" s="36"/>
      <c r="F656" s="30" t="s">
        <v>514</v>
      </c>
      <c r="G656" s="30" t="str">
        <f t="shared" si="10"/>
        <v/>
      </c>
      <c r="H656" s="34"/>
      <c r="I656" s="30"/>
      <c r="J656" s="148">
        <v>15</v>
      </c>
      <c r="K656" s="222" t="s">
        <v>8074</v>
      </c>
    </row>
    <row r="657" spans="1:11" ht="15.75" hidden="1" thickBot="1" x14ac:dyDescent="0.3">
      <c r="A657" s="202" t="s">
        <v>235</v>
      </c>
      <c r="B657" s="204" t="str">
        <f>INDEX(Orçamentária!A:B,MATCH(Composições!A657,Orçamentária!A:A,0),2)</f>
        <v>Corte de peça de granito ou mármore reaproveitada</v>
      </c>
      <c r="C657" s="40"/>
      <c r="D657" s="25" t="str">
        <f>TRIM(INDEX(Orçamentária!C:C,MATCH(Composições!A657,Orçamentária!A:A,0),1))</f>
        <v>m</v>
      </c>
      <c r="E657" s="26"/>
      <c r="F657" s="41" t="s">
        <v>514</v>
      </c>
      <c r="G657" s="27" t="str">
        <f t="shared" si="10"/>
        <v/>
      </c>
      <c r="H657" s="28"/>
      <c r="I657" s="29"/>
      <c r="J657" s="148">
        <v>15</v>
      </c>
      <c r="K657" s="222" t="s">
        <v>8074</v>
      </c>
    </row>
    <row r="658" spans="1:11" ht="15.75" hidden="1" thickBot="1" x14ac:dyDescent="0.3">
      <c r="A658" s="203"/>
      <c r="B658" s="205"/>
      <c r="C658" s="31"/>
      <c r="D658" s="31"/>
      <c r="E658" s="32"/>
      <c r="F658" s="42" t="s">
        <v>514</v>
      </c>
      <c r="G658" s="30" t="str">
        <f t="shared" si="10"/>
        <v/>
      </c>
      <c r="H658" s="34"/>
      <c r="I658" s="30"/>
      <c r="J658" s="148">
        <v>15</v>
      </c>
      <c r="K658" s="222" t="s">
        <v>8074</v>
      </c>
    </row>
    <row r="659" spans="1:11" ht="15.75" hidden="1" thickBot="1" x14ac:dyDescent="0.3">
      <c r="A659" s="203"/>
      <c r="B659" s="205"/>
      <c r="C659" s="35" t="s">
        <v>54</v>
      </c>
      <c r="D659" s="46" t="s">
        <v>12</v>
      </c>
      <c r="E659" s="36">
        <v>1.25</v>
      </c>
      <c r="F659" s="30">
        <v>24.795000000000002</v>
      </c>
      <c r="G659" s="33">
        <f t="shared" ref="G659:G722" si="11">IF(ISNUMBER(F659),E659*F659,"")</f>
        <v>30.993750000000002</v>
      </c>
      <c r="H659" s="38">
        <f>SUM(G659:G659)</f>
        <v>30.993750000000002</v>
      </c>
      <c r="I659" s="39"/>
      <c r="J659" s="148">
        <v>15</v>
      </c>
      <c r="K659" s="222" t="s">
        <v>8074</v>
      </c>
    </row>
    <row r="660" spans="1:11" ht="15.75" hidden="1" thickBot="1" x14ac:dyDescent="0.3">
      <c r="A660" s="209"/>
      <c r="B660" s="206"/>
      <c r="C660" s="54"/>
      <c r="D660" s="35"/>
      <c r="E660" s="36"/>
      <c r="F660" s="30" t="s">
        <v>514</v>
      </c>
      <c r="G660" s="30" t="str">
        <f t="shared" si="11"/>
        <v/>
      </c>
      <c r="H660" s="34"/>
      <c r="I660" s="30"/>
      <c r="J660" s="148">
        <v>15</v>
      </c>
      <c r="K660" s="222" t="s">
        <v>8074</v>
      </c>
    </row>
    <row r="661" spans="1:11" ht="15.75" hidden="1" thickBot="1" x14ac:dyDescent="0.3">
      <c r="A661" s="202" t="s">
        <v>236</v>
      </c>
      <c r="B661" s="204" t="str">
        <f>INDEX(Orçamentária!A:B,MATCH(Composições!A661,Orçamentária!A:A,0),2)</f>
        <v>Corte em placas de granito ou mármore reaproveitadas, para instalação de cubas</v>
      </c>
      <c r="C661" s="40"/>
      <c r="D661" s="25" t="str">
        <f>TRIM(INDEX(Orçamentária!C:C,MATCH(Composições!A661,Orçamentária!A:A,0),1))</f>
        <v>un</v>
      </c>
      <c r="E661" s="26"/>
      <c r="F661" s="41" t="s">
        <v>514</v>
      </c>
      <c r="G661" s="27" t="str">
        <f t="shared" si="11"/>
        <v/>
      </c>
      <c r="H661" s="28"/>
      <c r="I661" s="29"/>
      <c r="J661" s="148">
        <v>20</v>
      </c>
      <c r="K661" s="222" t="s">
        <v>8074</v>
      </c>
    </row>
    <row r="662" spans="1:11" ht="15.75" hidden="1" thickBot="1" x14ac:dyDescent="0.3">
      <c r="A662" s="203"/>
      <c r="B662" s="205"/>
      <c r="C662" s="31"/>
      <c r="D662" s="31"/>
      <c r="E662" s="32"/>
      <c r="F662" s="42" t="s">
        <v>514</v>
      </c>
      <c r="G662" s="30" t="str">
        <f t="shared" si="11"/>
        <v/>
      </c>
      <c r="H662" s="34"/>
      <c r="I662" s="30"/>
      <c r="J662" s="148">
        <v>20</v>
      </c>
      <c r="K662" s="222" t="s">
        <v>8074</v>
      </c>
    </row>
    <row r="663" spans="1:11" ht="26.25" hidden="1" thickBot="1" x14ac:dyDescent="0.3">
      <c r="A663" s="203"/>
      <c r="B663" s="205"/>
      <c r="C663" s="35" t="s">
        <v>237</v>
      </c>
      <c r="D663" s="46" t="s">
        <v>20</v>
      </c>
      <c r="E663" s="36">
        <v>1</v>
      </c>
      <c r="F663" s="30">
        <v>102.9705</v>
      </c>
      <c r="G663" s="33">
        <f t="shared" si="11"/>
        <v>102.9705</v>
      </c>
      <c r="H663" s="38">
        <f>SUM(G663:G663)</f>
        <v>102.9705</v>
      </c>
      <c r="I663" s="39"/>
      <c r="J663" s="148">
        <v>20</v>
      </c>
      <c r="K663" s="222" t="s">
        <v>8074</v>
      </c>
    </row>
    <row r="664" spans="1:11" ht="15.75" hidden="1" thickBot="1" x14ac:dyDescent="0.3">
      <c r="A664" s="209"/>
      <c r="B664" s="206"/>
      <c r="C664" s="54"/>
      <c r="D664" s="35"/>
      <c r="E664" s="36"/>
      <c r="F664" s="30" t="s">
        <v>514</v>
      </c>
      <c r="G664" s="30" t="str">
        <f t="shared" si="11"/>
        <v/>
      </c>
      <c r="H664" s="34"/>
      <c r="I664" s="30"/>
      <c r="J664" s="148">
        <v>20</v>
      </c>
      <c r="K664" s="222" t="s">
        <v>8074</v>
      </c>
    </row>
    <row r="665" spans="1:11" ht="15.75" hidden="1" thickBot="1" x14ac:dyDescent="0.3">
      <c r="A665" s="202" t="s">
        <v>238</v>
      </c>
      <c r="B665" s="204" t="str">
        <f>INDEX(Orçamentária!A:B,MATCH(Composições!A665,Orçamentária!A:A,0),2)</f>
        <v>Furo em placas de granito ou mármore reaproveitadas, para instalação de torneira ou misturador</v>
      </c>
      <c r="C665" s="151"/>
      <c r="D665" s="25" t="str">
        <f>TRIM(INDEX(Orçamentária!C:C,MATCH(Composições!A665,Orçamentária!A:A,0),1))</f>
        <v>un</v>
      </c>
      <c r="E665" s="26"/>
      <c r="F665" s="41" t="s">
        <v>514</v>
      </c>
      <c r="G665" s="27" t="str">
        <f t="shared" si="11"/>
        <v/>
      </c>
      <c r="H665" s="28"/>
      <c r="I665" s="29"/>
      <c r="J665" s="148">
        <v>20</v>
      </c>
      <c r="K665" s="222" t="s">
        <v>8074</v>
      </c>
    </row>
    <row r="666" spans="1:11" ht="15.75" hidden="1" thickBot="1" x14ac:dyDescent="0.3">
      <c r="A666" s="203"/>
      <c r="B666" s="205"/>
      <c r="C666" s="31"/>
      <c r="D666" s="31"/>
      <c r="E666" s="32"/>
      <c r="F666" s="42" t="s">
        <v>514</v>
      </c>
      <c r="G666" s="30" t="str">
        <f t="shared" si="11"/>
        <v/>
      </c>
      <c r="H666" s="34"/>
      <c r="I666" s="30"/>
      <c r="J666" s="148">
        <v>20</v>
      </c>
      <c r="K666" s="222" t="s">
        <v>8074</v>
      </c>
    </row>
    <row r="667" spans="1:11" ht="27" hidden="1" thickBot="1" x14ac:dyDescent="0.3">
      <c r="A667" s="203"/>
      <c r="B667" s="205"/>
      <c r="C667" s="50" t="s">
        <v>6596</v>
      </c>
      <c r="D667" s="46" t="s">
        <v>20</v>
      </c>
      <c r="E667" s="36">
        <v>1</v>
      </c>
      <c r="F667" s="30">
        <v>15.4375</v>
      </c>
      <c r="G667" s="33">
        <f t="shared" si="11"/>
        <v>15.4375</v>
      </c>
      <c r="H667" s="38">
        <f>SUM(G667:G667)</f>
        <v>15.4375</v>
      </c>
      <c r="I667" s="39"/>
      <c r="J667" s="148">
        <v>20</v>
      </c>
      <c r="K667" s="222" t="s">
        <v>8074</v>
      </c>
    </row>
    <row r="668" spans="1:11" ht="15.75" hidden="1" thickBot="1" x14ac:dyDescent="0.3">
      <c r="A668" s="209"/>
      <c r="B668" s="206"/>
      <c r="C668" s="35"/>
      <c r="D668" s="35"/>
      <c r="E668" s="36"/>
      <c r="F668" s="30" t="s">
        <v>514</v>
      </c>
      <c r="G668" s="30" t="str">
        <f t="shared" si="11"/>
        <v/>
      </c>
      <c r="H668" s="34"/>
      <c r="I668" s="30"/>
      <c r="J668" s="148">
        <v>20</v>
      </c>
      <c r="K668" s="222" t="s">
        <v>8074</v>
      </c>
    </row>
    <row r="669" spans="1:11" ht="15.75" hidden="1" thickBot="1" x14ac:dyDescent="0.3">
      <c r="A669" s="202" t="s">
        <v>239</v>
      </c>
      <c r="B669" s="204" t="str">
        <f>INDEX(Orçamentária!A:B,MATCH(Composições!A669,Orçamentária!A:A,0),2)</f>
        <v>Granito Cinza Andorinha 20mm para rodabancada</v>
      </c>
      <c r="C669" s="40"/>
      <c r="D669" s="25" t="str">
        <f>TRIM(INDEX(Orçamentária!C:C,MATCH(Composições!A669,Orçamentária!A:A,0),1))</f>
        <v>m2</v>
      </c>
      <c r="E669" s="26"/>
      <c r="F669" s="41" t="s">
        <v>514</v>
      </c>
      <c r="G669" s="27" t="str">
        <f t="shared" si="11"/>
        <v/>
      </c>
      <c r="H669" s="28"/>
      <c r="I669" s="29"/>
      <c r="J669" s="148">
        <v>85</v>
      </c>
      <c r="K669" s="222" t="s">
        <v>8074</v>
      </c>
    </row>
    <row r="670" spans="1:11" ht="15.75" hidden="1" thickBot="1" x14ac:dyDescent="0.3">
      <c r="A670" s="203"/>
      <c r="B670" s="205"/>
      <c r="C670" s="31"/>
      <c r="D670" s="31"/>
      <c r="E670" s="32"/>
      <c r="F670" s="42" t="s">
        <v>514</v>
      </c>
      <c r="G670" s="30" t="str">
        <f t="shared" si="11"/>
        <v/>
      </c>
      <c r="H670" s="34"/>
      <c r="I670" s="30"/>
      <c r="J670" s="148">
        <v>85</v>
      </c>
      <c r="K670" s="222" t="s">
        <v>8074</v>
      </c>
    </row>
    <row r="671" spans="1:11" ht="26.25" hidden="1" thickBot="1" x14ac:dyDescent="0.3">
      <c r="A671" s="203"/>
      <c r="B671" s="205"/>
      <c r="C671" s="35" t="s">
        <v>240</v>
      </c>
      <c r="D671" s="35" t="s">
        <v>92</v>
      </c>
      <c r="E671" s="36">
        <f>ROUND(1.04/0.15,4)</f>
        <v>6.9333</v>
      </c>
      <c r="F671" s="33">
        <v>70.66</v>
      </c>
      <c r="G671" s="33">
        <f t="shared" si="11"/>
        <v>489.90697799999998</v>
      </c>
      <c r="H671" s="38">
        <f>SUM(G671:G675)</f>
        <v>569.41845634999981</v>
      </c>
      <c r="I671" s="39"/>
      <c r="J671" s="148">
        <v>85</v>
      </c>
      <c r="K671" s="222" t="s">
        <v>8074</v>
      </c>
    </row>
    <row r="672" spans="1:11" ht="15.75" hidden="1" thickBot="1" x14ac:dyDescent="0.3">
      <c r="A672" s="203"/>
      <c r="B672" s="205"/>
      <c r="C672" s="35" t="s">
        <v>3512</v>
      </c>
      <c r="D672" s="35" t="s">
        <v>42</v>
      </c>
      <c r="E672" s="36">
        <f>ROUND(0.8614/0.15,4)</f>
        <v>5.7427000000000001</v>
      </c>
      <c r="F672" s="33">
        <v>1.6054999999999999</v>
      </c>
      <c r="G672" s="33">
        <f t="shared" si="11"/>
        <v>9.2199048499999989</v>
      </c>
      <c r="H672" s="34"/>
      <c r="I672" s="30"/>
      <c r="J672" s="148">
        <v>85</v>
      </c>
      <c r="K672" s="222" t="s">
        <v>8074</v>
      </c>
    </row>
    <row r="673" spans="1:11" ht="15.75" hidden="1" thickBot="1" x14ac:dyDescent="0.3">
      <c r="A673" s="203"/>
      <c r="B673" s="205"/>
      <c r="C673" s="35" t="s">
        <v>54</v>
      </c>
      <c r="D673" s="35" t="s">
        <v>12</v>
      </c>
      <c r="E673" s="36">
        <f>ROUND(0.299/0.15,4)</f>
        <v>1.9933000000000001</v>
      </c>
      <c r="F673" s="30">
        <v>24.795000000000002</v>
      </c>
      <c r="G673" s="33">
        <f t="shared" si="11"/>
        <v>49.423873500000006</v>
      </c>
      <c r="H673" s="34"/>
      <c r="I673" s="30"/>
      <c r="J673" s="148">
        <v>85</v>
      </c>
      <c r="K673" s="222" t="s">
        <v>8074</v>
      </c>
    </row>
    <row r="674" spans="1:11" ht="15.75" hidden="1" thickBot="1" x14ac:dyDescent="0.3">
      <c r="A674" s="203"/>
      <c r="B674" s="205"/>
      <c r="C674" s="35" t="s">
        <v>23</v>
      </c>
      <c r="D674" s="35" t="s">
        <v>12</v>
      </c>
      <c r="E674" s="36">
        <f>0.15/0.15</f>
        <v>1</v>
      </c>
      <c r="F674" s="30">
        <v>18.420500000000001</v>
      </c>
      <c r="G674" s="33">
        <f t="shared" si="11"/>
        <v>18.420500000000001</v>
      </c>
      <c r="H674" s="34"/>
      <c r="I674" s="30"/>
      <c r="J674" s="148">
        <v>85</v>
      </c>
      <c r="K674" s="222" t="s">
        <v>8074</v>
      </c>
    </row>
    <row r="675" spans="1:11" ht="15.75" hidden="1" thickBot="1" x14ac:dyDescent="0.3">
      <c r="A675" s="203"/>
      <c r="B675" s="205"/>
      <c r="C675" s="35" t="s">
        <v>3511</v>
      </c>
      <c r="D675" s="35" t="s">
        <v>42</v>
      </c>
      <c r="E675" s="36">
        <f>0.12/0.15</f>
        <v>0.8</v>
      </c>
      <c r="F675" s="33">
        <v>3.0590000000000002</v>
      </c>
      <c r="G675" s="33">
        <f t="shared" si="11"/>
        <v>2.4472000000000005</v>
      </c>
      <c r="H675" s="34"/>
      <c r="I675" s="30"/>
      <c r="J675" s="148">
        <v>85</v>
      </c>
      <c r="K675" s="222" t="s">
        <v>8074</v>
      </c>
    </row>
    <row r="676" spans="1:11" ht="15.75" hidden="1" thickBot="1" x14ac:dyDescent="0.3">
      <c r="A676" s="203"/>
      <c r="B676" s="205"/>
      <c r="C676" s="35"/>
      <c r="D676" s="35"/>
      <c r="E676" s="36"/>
      <c r="F676" s="33" t="s">
        <v>514</v>
      </c>
      <c r="G676" s="33" t="str">
        <f t="shared" si="11"/>
        <v/>
      </c>
      <c r="H676" s="34"/>
      <c r="I676" s="30"/>
      <c r="J676" s="148">
        <v>85</v>
      </c>
      <c r="K676" s="222" t="s">
        <v>8074</v>
      </c>
    </row>
    <row r="677" spans="1:11" ht="15.75" hidden="1" thickBot="1" x14ac:dyDescent="0.3">
      <c r="A677" s="202" t="s">
        <v>241</v>
      </c>
      <c r="B677" s="204" t="str">
        <f>INDEX(Orçamentária!A:B,MATCH(Composições!A677,Orçamentária!A:A,0),2)</f>
        <v>Granito Cinza Andorinha 20mm para bancadas</v>
      </c>
      <c r="C677" s="40"/>
      <c r="D677" s="25" t="str">
        <f>TRIM(INDEX(Orçamentária!C:C,MATCH(Composições!A677,Orçamentária!A:A,0),1))</f>
        <v>m2</v>
      </c>
      <c r="E677" s="26"/>
      <c r="F677" s="41" t="s">
        <v>514</v>
      </c>
      <c r="G677" s="27" t="str">
        <f t="shared" si="11"/>
        <v/>
      </c>
      <c r="H677" s="28"/>
      <c r="I677" s="29"/>
      <c r="J677" s="148">
        <v>45</v>
      </c>
      <c r="K677" s="222" t="s">
        <v>8074</v>
      </c>
    </row>
    <row r="678" spans="1:11" ht="15.75" hidden="1" thickBot="1" x14ac:dyDescent="0.3">
      <c r="A678" s="203"/>
      <c r="B678" s="205"/>
      <c r="C678" s="31"/>
      <c r="D678" s="31"/>
      <c r="E678" s="32"/>
      <c r="F678" s="42" t="s">
        <v>514</v>
      </c>
      <c r="G678" s="30" t="str">
        <f t="shared" si="11"/>
        <v/>
      </c>
      <c r="H678" s="34"/>
      <c r="I678" s="30"/>
      <c r="J678" s="148">
        <v>45</v>
      </c>
      <c r="K678" s="222" t="s">
        <v>8074</v>
      </c>
    </row>
    <row r="679" spans="1:11" ht="15.75" hidden="1" thickBot="1" x14ac:dyDescent="0.3">
      <c r="A679" s="203"/>
      <c r="B679" s="205"/>
      <c r="C679" s="35" t="s">
        <v>3325</v>
      </c>
      <c r="D679" s="35" t="s">
        <v>891</v>
      </c>
      <c r="E679" s="36">
        <f>ROUND(0.5228/(1.5*0.6),4)</f>
        <v>0.58089999999999997</v>
      </c>
      <c r="F679" s="53">
        <v>32.755999999999993</v>
      </c>
      <c r="G679" s="53">
        <f t="shared" si="11"/>
        <v>19.027960399999994</v>
      </c>
      <c r="H679" s="38">
        <f>SUM(G679:G685)</f>
        <v>526.20150634999993</v>
      </c>
      <c r="I679" s="39"/>
      <c r="J679" s="148">
        <v>45</v>
      </c>
      <c r="K679" s="222" t="s">
        <v>8074</v>
      </c>
    </row>
    <row r="680" spans="1:11" ht="39" hidden="1" thickBot="1" x14ac:dyDescent="0.3">
      <c r="A680" s="203"/>
      <c r="B680" s="205"/>
      <c r="C680" s="35" t="s">
        <v>1122</v>
      </c>
      <c r="D680" s="35" t="s">
        <v>278</v>
      </c>
      <c r="E680" s="36">
        <f>ROUND(6/(1.5*0.6),4)</f>
        <v>6.6666999999999996</v>
      </c>
      <c r="F680" s="53">
        <v>1.159</v>
      </c>
      <c r="G680" s="53">
        <f t="shared" si="11"/>
        <v>7.7267052999999999</v>
      </c>
      <c r="H680" s="72"/>
      <c r="I680" s="73"/>
      <c r="J680" s="148">
        <v>45</v>
      </c>
      <c r="K680" s="222" t="s">
        <v>8074</v>
      </c>
    </row>
    <row r="681" spans="1:11" ht="26.25" hidden="1" thickBot="1" x14ac:dyDescent="0.3">
      <c r="A681" s="203"/>
      <c r="B681" s="205"/>
      <c r="C681" s="35" t="s">
        <v>242</v>
      </c>
      <c r="D681" s="35" t="s">
        <v>982</v>
      </c>
      <c r="E681" s="36">
        <f>ROUND(1.005/(1.5*0.6),4)</f>
        <v>1.1167</v>
      </c>
      <c r="F681" s="53">
        <v>335.37</v>
      </c>
      <c r="G681" s="53">
        <f t="shared" si="11"/>
        <v>374.507679</v>
      </c>
      <c r="H681" s="72"/>
      <c r="I681" s="73"/>
      <c r="J681" s="148">
        <v>45</v>
      </c>
      <c r="K681" s="222" t="s">
        <v>8074</v>
      </c>
    </row>
    <row r="682" spans="1:11" ht="15.75" hidden="1" thickBot="1" x14ac:dyDescent="0.3">
      <c r="A682" s="203"/>
      <c r="B682" s="205"/>
      <c r="C682" s="35" t="s">
        <v>3497</v>
      </c>
      <c r="D682" s="35" t="s">
        <v>891</v>
      </c>
      <c r="E682" s="36">
        <f>ROUND(0.0211/(1.5*0.6),4)</f>
        <v>2.3400000000000001E-2</v>
      </c>
      <c r="F682" s="53">
        <v>64.619</v>
      </c>
      <c r="G682" s="53">
        <f t="shared" si="11"/>
        <v>1.5120846000000001</v>
      </c>
      <c r="H682" s="72"/>
      <c r="I682" s="73"/>
      <c r="J682" s="148">
        <v>45</v>
      </c>
      <c r="K682" s="222" t="s">
        <v>8074</v>
      </c>
    </row>
    <row r="683" spans="1:11" ht="26.25" hidden="1" thickBot="1" x14ac:dyDescent="0.3">
      <c r="A683" s="203"/>
      <c r="B683" s="205"/>
      <c r="C683" s="35" t="s">
        <v>3341</v>
      </c>
      <c r="D683" s="35" t="s">
        <v>278</v>
      </c>
      <c r="E683" s="36">
        <f>ROUND(2/(1.5*0.6),4)</f>
        <v>2.2222</v>
      </c>
      <c r="F683" s="53">
        <v>27.958499999999997</v>
      </c>
      <c r="G683" s="53">
        <f t="shared" si="11"/>
        <v>62.12937869999999</v>
      </c>
      <c r="H683" s="72"/>
      <c r="I683" s="73"/>
      <c r="J683" s="148">
        <v>45</v>
      </c>
      <c r="K683" s="222" t="s">
        <v>8074</v>
      </c>
    </row>
    <row r="684" spans="1:11" ht="15.75" hidden="1" thickBot="1" x14ac:dyDescent="0.3">
      <c r="A684" s="203"/>
      <c r="B684" s="205"/>
      <c r="C684" s="35" t="s">
        <v>3218</v>
      </c>
      <c r="D684" s="35" t="s">
        <v>695</v>
      </c>
      <c r="E684" s="36">
        <f>ROUND(1.4944/(1.5*0.6),4)</f>
        <v>1.6604000000000001</v>
      </c>
      <c r="F684" s="53">
        <v>24.795000000000002</v>
      </c>
      <c r="G684" s="53">
        <f t="shared" si="11"/>
        <v>41.169618000000007</v>
      </c>
      <c r="H684" s="72"/>
      <c r="I684" s="73"/>
      <c r="J684" s="148">
        <v>45</v>
      </c>
      <c r="K684" s="222" t="s">
        <v>8074</v>
      </c>
    </row>
    <row r="685" spans="1:11" ht="15.75" hidden="1" thickBot="1" x14ac:dyDescent="0.3">
      <c r="A685" s="203"/>
      <c r="B685" s="205"/>
      <c r="C685" s="35" t="s">
        <v>696</v>
      </c>
      <c r="D685" s="35" t="s">
        <v>695</v>
      </c>
      <c r="E685" s="36">
        <f>ROUND(0.9834/(1.5*0.6),4)</f>
        <v>1.0927</v>
      </c>
      <c r="F685" s="53">
        <v>18.420500000000001</v>
      </c>
      <c r="G685" s="53">
        <f t="shared" si="11"/>
        <v>20.128080350000001</v>
      </c>
      <c r="H685" s="72"/>
      <c r="I685" s="73"/>
      <c r="J685" s="148">
        <v>45</v>
      </c>
      <c r="K685" s="222" t="s">
        <v>8074</v>
      </c>
    </row>
    <row r="686" spans="1:11" ht="15.75" hidden="1" thickBot="1" x14ac:dyDescent="0.3">
      <c r="A686" s="203"/>
      <c r="B686" s="205"/>
      <c r="C686" s="35"/>
      <c r="D686" s="35"/>
      <c r="E686" s="36"/>
      <c r="F686" s="30" t="s">
        <v>514</v>
      </c>
      <c r="G686" s="33" t="str">
        <f t="shared" si="11"/>
        <v/>
      </c>
      <c r="H686" s="34"/>
      <c r="I686" s="30"/>
      <c r="J686" s="148">
        <v>45</v>
      </c>
      <c r="K686" s="222" t="s">
        <v>8074</v>
      </c>
    </row>
    <row r="687" spans="1:11" ht="15.75" hidden="1" thickBot="1" x14ac:dyDescent="0.3">
      <c r="A687" s="202" t="s">
        <v>243</v>
      </c>
      <c r="B687" s="204" t="str">
        <f>INDEX(Orçamentária!A:B,MATCH(Composições!A687,Orçamentária!A:A,0),2)</f>
        <v>Granito Cinza Andorinha 20mm para divisória</v>
      </c>
      <c r="C687" s="40"/>
      <c r="D687" s="25" t="str">
        <f>TRIM(INDEX(Orçamentária!C:C,MATCH(Composições!A687,Orçamentária!A:A,0),1))</f>
        <v>m2</v>
      </c>
      <c r="E687" s="26"/>
      <c r="F687" s="41" t="s">
        <v>514</v>
      </c>
      <c r="G687" s="27" t="str">
        <f t="shared" si="11"/>
        <v/>
      </c>
      <c r="H687" s="28"/>
      <c r="I687" s="29"/>
      <c r="J687" s="148">
        <v>75</v>
      </c>
      <c r="K687" s="222" t="s">
        <v>8074</v>
      </c>
    </row>
    <row r="688" spans="1:11" ht="15.75" hidden="1" thickBot="1" x14ac:dyDescent="0.3">
      <c r="A688" s="203"/>
      <c r="B688" s="205"/>
      <c r="C688" s="31"/>
      <c r="D688" s="31"/>
      <c r="E688" s="32"/>
      <c r="F688" s="42" t="s">
        <v>514</v>
      </c>
      <c r="G688" s="30" t="str">
        <f t="shared" si="11"/>
        <v/>
      </c>
      <c r="H688" s="34"/>
      <c r="I688" s="30"/>
      <c r="J688" s="148">
        <v>75</v>
      </c>
      <c r="K688" s="222" t="s">
        <v>8074</v>
      </c>
    </row>
    <row r="689" spans="1:11" ht="26.25" hidden="1" thickBot="1" x14ac:dyDescent="0.3">
      <c r="A689" s="203"/>
      <c r="B689" s="205"/>
      <c r="C689" s="35" t="s">
        <v>768</v>
      </c>
      <c r="D689" s="35" t="s">
        <v>891</v>
      </c>
      <c r="E689" s="36">
        <v>0.53</v>
      </c>
      <c r="F689" s="33">
        <v>48.83</v>
      </c>
      <c r="G689" s="33">
        <f t="shared" si="11"/>
        <v>25.879899999999999</v>
      </c>
      <c r="H689" s="38">
        <f>SUM(G689:G695)</f>
        <v>459.85128700000001</v>
      </c>
      <c r="I689" s="39"/>
      <c r="J689" s="148">
        <v>75</v>
      </c>
      <c r="K689" s="222" t="s">
        <v>8074</v>
      </c>
    </row>
    <row r="690" spans="1:11" ht="26.25" hidden="1" thickBot="1" x14ac:dyDescent="0.3">
      <c r="A690" s="203"/>
      <c r="B690" s="205"/>
      <c r="C690" s="35" t="s">
        <v>6377</v>
      </c>
      <c r="D690" s="35" t="s">
        <v>982</v>
      </c>
      <c r="E690" s="36">
        <v>1.05</v>
      </c>
      <c r="F690" s="33">
        <v>340.01</v>
      </c>
      <c r="G690" s="33">
        <f t="shared" si="11"/>
        <v>357.01049999999998</v>
      </c>
      <c r="H690" s="34"/>
      <c r="I690" s="30"/>
      <c r="J690" s="148">
        <v>75</v>
      </c>
      <c r="K690" s="222" t="s">
        <v>8074</v>
      </c>
    </row>
    <row r="691" spans="1:11" ht="15.75" hidden="1" thickBot="1" x14ac:dyDescent="0.3">
      <c r="A691" s="203"/>
      <c r="B691" s="205"/>
      <c r="C691" s="35" t="s">
        <v>3490</v>
      </c>
      <c r="D691" s="35" t="s">
        <v>891</v>
      </c>
      <c r="E691" s="36">
        <v>0.97</v>
      </c>
      <c r="F691" s="30">
        <v>1.843</v>
      </c>
      <c r="G691" s="33">
        <f t="shared" si="11"/>
        <v>1.7877099999999999</v>
      </c>
      <c r="H691" s="34"/>
      <c r="I691" s="30"/>
      <c r="J691" s="148">
        <v>75</v>
      </c>
      <c r="K691" s="222" t="s">
        <v>8074</v>
      </c>
    </row>
    <row r="692" spans="1:11" ht="15.75" hidden="1" thickBot="1" x14ac:dyDescent="0.3">
      <c r="A692" s="203"/>
      <c r="B692" s="205"/>
      <c r="C692" s="35" t="s">
        <v>3218</v>
      </c>
      <c r="D692" s="35" t="s">
        <v>695</v>
      </c>
      <c r="E692" s="36">
        <v>1.405</v>
      </c>
      <c r="F692" s="30">
        <v>24.795000000000002</v>
      </c>
      <c r="G692" s="33">
        <f t="shared" si="11"/>
        <v>34.836975000000002</v>
      </c>
      <c r="H692" s="34"/>
      <c r="I692" s="30"/>
      <c r="J692" s="148">
        <v>75</v>
      </c>
      <c r="K692" s="222" t="s">
        <v>8074</v>
      </c>
    </row>
    <row r="693" spans="1:11" ht="15.75" hidden="1" thickBot="1" x14ac:dyDescent="0.3">
      <c r="A693" s="203"/>
      <c r="B693" s="205"/>
      <c r="C693" s="35" t="s">
        <v>696</v>
      </c>
      <c r="D693" s="35" t="s">
        <v>695</v>
      </c>
      <c r="E693" s="36">
        <v>0.70199999999999996</v>
      </c>
      <c r="F693" s="30">
        <v>18.420500000000001</v>
      </c>
      <c r="G693" s="33">
        <f t="shared" si="11"/>
        <v>12.931191</v>
      </c>
      <c r="H693" s="34"/>
      <c r="I693" s="30"/>
      <c r="J693" s="148">
        <v>75</v>
      </c>
      <c r="K693" s="222" t="s">
        <v>8074</v>
      </c>
    </row>
    <row r="694" spans="1:11" ht="26.25" hidden="1" thickBot="1" x14ac:dyDescent="0.3">
      <c r="A694" s="203"/>
      <c r="B694" s="205"/>
      <c r="C694" s="35" t="s">
        <v>1146</v>
      </c>
      <c r="D694" s="35" t="s">
        <v>932</v>
      </c>
      <c r="E694" s="36">
        <v>8.8999999999999996E-2</v>
      </c>
      <c r="F694" s="30">
        <v>20.234999999999999</v>
      </c>
      <c r="G694" s="33">
        <f t="shared" si="11"/>
        <v>1.8009149999999998</v>
      </c>
      <c r="H694" s="34"/>
      <c r="I694" s="30"/>
      <c r="J694" s="148">
        <v>75</v>
      </c>
      <c r="K694" s="222" t="s">
        <v>8074</v>
      </c>
    </row>
    <row r="695" spans="1:11" ht="26.25" hidden="1" thickBot="1" x14ac:dyDescent="0.3">
      <c r="A695" s="203"/>
      <c r="B695" s="205"/>
      <c r="C695" s="35" t="s">
        <v>1147</v>
      </c>
      <c r="D695" s="35" t="s">
        <v>934</v>
      </c>
      <c r="E695" s="36">
        <v>1.3160000000000001</v>
      </c>
      <c r="F695" s="33">
        <v>19.456</v>
      </c>
      <c r="G695" s="33">
        <f t="shared" si="11"/>
        <v>25.604096000000002</v>
      </c>
      <c r="H695" s="34"/>
      <c r="I695" s="30"/>
      <c r="J695" s="148">
        <v>75</v>
      </c>
      <c r="K695" s="222" t="s">
        <v>8074</v>
      </c>
    </row>
    <row r="696" spans="1:11" ht="15.75" hidden="1" thickBot="1" x14ac:dyDescent="0.3">
      <c r="A696" s="203"/>
      <c r="B696" s="205"/>
      <c r="C696" s="35"/>
      <c r="D696" s="35"/>
      <c r="E696" s="36"/>
      <c r="F696" s="33" t="s">
        <v>514</v>
      </c>
      <c r="G696" s="33" t="str">
        <f t="shared" si="11"/>
        <v/>
      </c>
      <c r="H696" s="34"/>
      <c r="I696" s="30"/>
      <c r="J696" s="148">
        <v>75</v>
      </c>
      <c r="K696" s="222" t="s">
        <v>8074</v>
      </c>
    </row>
    <row r="697" spans="1:11" ht="15.75" hidden="1" thickBot="1" x14ac:dyDescent="0.3">
      <c r="A697" s="202" t="s">
        <v>245</v>
      </c>
      <c r="B697" s="204" t="str">
        <f>INDEX(Orçamentária!A:B,MATCH(Composições!A697,Orçamentária!A:A,0),2)</f>
        <v>Granito Preto São Gabriel 20mm para rodabancada</v>
      </c>
      <c r="C697" s="40"/>
      <c r="D697" s="25" t="str">
        <f>TRIM(INDEX(Orçamentária!C:C,MATCH(Composições!A697,Orçamentária!A:A,0),1))</f>
        <v>m2</v>
      </c>
      <c r="E697" s="26"/>
      <c r="F697" s="41" t="s">
        <v>514</v>
      </c>
      <c r="G697" s="27" t="str">
        <f t="shared" si="11"/>
        <v/>
      </c>
      <c r="H697" s="28"/>
      <c r="I697" s="29"/>
      <c r="J697" s="148">
        <v>25</v>
      </c>
      <c r="K697" s="222" t="s">
        <v>8074</v>
      </c>
    </row>
    <row r="698" spans="1:11" ht="15.75" hidden="1" thickBot="1" x14ac:dyDescent="0.3">
      <c r="A698" s="203"/>
      <c r="B698" s="205"/>
      <c r="C698" s="31"/>
      <c r="D698" s="31"/>
      <c r="E698" s="32"/>
      <c r="F698" s="42" t="s">
        <v>514</v>
      </c>
      <c r="G698" s="30" t="str">
        <f t="shared" si="11"/>
        <v/>
      </c>
      <c r="H698" s="34"/>
      <c r="I698" s="30"/>
      <c r="J698" s="148">
        <v>25</v>
      </c>
      <c r="K698" s="222" t="s">
        <v>8074</v>
      </c>
    </row>
    <row r="699" spans="1:11" ht="26.25" hidden="1" thickBot="1" x14ac:dyDescent="0.3">
      <c r="A699" s="203"/>
      <c r="B699" s="205"/>
      <c r="C699" s="35" t="s">
        <v>246</v>
      </c>
      <c r="D699" s="35" t="s">
        <v>92</v>
      </c>
      <c r="E699" s="36">
        <f>ROUND(1.04/0.15,4)</f>
        <v>6.9333</v>
      </c>
      <c r="F699" s="33">
        <v>80.83</v>
      </c>
      <c r="G699" s="30">
        <f t="shared" si="11"/>
        <v>560.41863899999998</v>
      </c>
      <c r="H699" s="38">
        <f>SUM(G699:G703)</f>
        <v>639.93011734999993</v>
      </c>
      <c r="I699" s="39"/>
      <c r="J699" s="148">
        <v>25</v>
      </c>
      <c r="K699" s="222" t="s">
        <v>8074</v>
      </c>
    </row>
    <row r="700" spans="1:11" ht="15.75" hidden="1" thickBot="1" x14ac:dyDescent="0.3">
      <c r="A700" s="203"/>
      <c r="B700" s="205"/>
      <c r="C700" s="35" t="s">
        <v>3512</v>
      </c>
      <c r="D700" s="35" t="s">
        <v>42</v>
      </c>
      <c r="E700" s="36">
        <f>ROUND(0.8614/0.15,4)</f>
        <v>5.7427000000000001</v>
      </c>
      <c r="F700" s="33">
        <v>1.6054999999999999</v>
      </c>
      <c r="G700" s="33">
        <f t="shared" si="11"/>
        <v>9.2199048499999989</v>
      </c>
      <c r="H700" s="34"/>
      <c r="I700" s="30"/>
      <c r="J700" s="148">
        <v>25</v>
      </c>
      <c r="K700" s="222" t="s">
        <v>8074</v>
      </c>
    </row>
    <row r="701" spans="1:11" ht="15.75" hidden="1" thickBot="1" x14ac:dyDescent="0.3">
      <c r="A701" s="203"/>
      <c r="B701" s="205"/>
      <c r="C701" s="35" t="s">
        <v>54</v>
      </c>
      <c r="D701" s="35" t="s">
        <v>12</v>
      </c>
      <c r="E701" s="36">
        <f>ROUND(0.299/0.15,4)</f>
        <v>1.9933000000000001</v>
      </c>
      <c r="F701" s="33">
        <v>24.795000000000002</v>
      </c>
      <c r="G701" s="33">
        <f t="shared" si="11"/>
        <v>49.423873500000006</v>
      </c>
      <c r="H701" s="34"/>
      <c r="I701" s="30"/>
      <c r="J701" s="148">
        <v>25</v>
      </c>
      <c r="K701" s="222" t="s">
        <v>8074</v>
      </c>
    </row>
    <row r="702" spans="1:11" ht="15.75" hidden="1" thickBot="1" x14ac:dyDescent="0.3">
      <c r="A702" s="203"/>
      <c r="B702" s="205"/>
      <c r="C702" s="35" t="s">
        <v>23</v>
      </c>
      <c r="D702" s="35" t="s">
        <v>12</v>
      </c>
      <c r="E702" s="36">
        <f>0.15/0.15</f>
        <v>1</v>
      </c>
      <c r="F702" s="33">
        <v>18.420500000000001</v>
      </c>
      <c r="G702" s="33">
        <f t="shared" si="11"/>
        <v>18.420500000000001</v>
      </c>
      <c r="H702" s="34"/>
      <c r="I702" s="30"/>
      <c r="J702" s="148">
        <v>25</v>
      </c>
      <c r="K702" s="222" t="s">
        <v>8074</v>
      </c>
    </row>
    <row r="703" spans="1:11" ht="15.75" hidden="1" thickBot="1" x14ac:dyDescent="0.3">
      <c r="A703" s="203"/>
      <c r="B703" s="205"/>
      <c r="C703" s="35" t="s">
        <v>3511</v>
      </c>
      <c r="D703" s="35" t="s">
        <v>42</v>
      </c>
      <c r="E703" s="36">
        <f>0.12/0.15</f>
        <v>0.8</v>
      </c>
      <c r="F703" s="33">
        <v>3.0590000000000002</v>
      </c>
      <c r="G703" s="33">
        <f t="shared" si="11"/>
        <v>2.4472000000000005</v>
      </c>
      <c r="H703" s="34"/>
      <c r="I703" s="30"/>
      <c r="J703" s="148">
        <v>25</v>
      </c>
      <c r="K703" s="222" t="s">
        <v>8074</v>
      </c>
    </row>
    <row r="704" spans="1:11" ht="15.75" hidden="1" thickBot="1" x14ac:dyDescent="0.3">
      <c r="A704" s="203"/>
      <c r="B704" s="205"/>
      <c r="C704" s="35"/>
      <c r="D704" s="35"/>
      <c r="E704" s="36"/>
      <c r="F704" s="33" t="s">
        <v>514</v>
      </c>
      <c r="G704" s="33" t="str">
        <f t="shared" si="11"/>
        <v/>
      </c>
      <c r="H704" s="34"/>
      <c r="I704" s="30"/>
      <c r="J704" s="148">
        <v>25</v>
      </c>
      <c r="K704" s="222" t="s">
        <v>8074</v>
      </c>
    </row>
    <row r="705" spans="1:11" ht="15.75" hidden="1" thickBot="1" x14ac:dyDescent="0.3">
      <c r="A705" s="202" t="s">
        <v>247</v>
      </c>
      <c r="B705" s="204" t="str">
        <f>INDEX(Orçamentária!A:B,MATCH(Composições!A705,Orçamentária!A:A,0),2)</f>
        <v>Granito Preto São Gabriel 20mm para bancadas</v>
      </c>
      <c r="C705" s="40"/>
      <c r="D705" s="25" t="str">
        <f>TRIM(INDEX(Orçamentária!C:C,MATCH(Composições!A705,Orçamentária!A:A,0),1))</f>
        <v>m2</v>
      </c>
      <c r="E705" s="26"/>
      <c r="F705" s="41" t="s">
        <v>514</v>
      </c>
      <c r="G705" s="27" t="str">
        <f t="shared" si="11"/>
        <v/>
      </c>
      <c r="H705" s="28"/>
      <c r="I705" s="29"/>
      <c r="J705" s="148">
        <v>10</v>
      </c>
      <c r="K705" s="222" t="s">
        <v>8074</v>
      </c>
    </row>
    <row r="706" spans="1:11" ht="15.75" hidden="1" thickBot="1" x14ac:dyDescent="0.3">
      <c r="A706" s="203"/>
      <c r="B706" s="205"/>
      <c r="C706" s="31"/>
      <c r="D706" s="31"/>
      <c r="E706" s="32"/>
      <c r="F706" s="42" t="s">
        <v>514</v>
      </c>
      <c r="G706" s="30" t="str">
        <f t="shared" si="11"/>
        <v/>
      </c>
      <c r="H706" s="34"/>
      <c r="I706" s="30"/>
      <c r="J706" s="148">
        <v>10</v>
      </c>
      <c r="K706" s="222" t="s">
        <v>8074</v>
      </c>
    </row>
    <row r="707" spans="1:11" ht="15.75" hidden="1" thickBot="1" x14ac:dyDescent="0.3">
      <c r="A707" s="203"/>
      <c r="B707" s="205"/>
      <c r="C707" s="35" t="s">
        <v>3325</v>
      </c>
      <c r="D707" s="35" t="s">
        <v>891</v>
      </c>
      <c r="E707" s="36">
        <f>ROUND(0.5228/(1.5*0.6),4)</f>
        <v>0.58089999999999997</v>
      </c>
      <c r="F707" s="53">
        <v>32.755999999999993</v>
      </c>
      <c r="G707" s="53">
        <f t="shared" si="11"/>
        <v>19.027960399999994</v>
      </c>
      <c r="H707" s="38">
        <f>SUM(G707:G713)</f>
        <v>741.16625635000003</v>
      </c>
      <c r="I707" s="39"/>
      <c r="J707" s="148">
        <v>10</v>
      </c>
      <c r="K707" s="222" t="s">
        <v>8074</v>
      </c>
    </row>
    <row r="708" spans="1:11" ht="39" hidden="1" thickBot="1" x14ac:dyDescent="0.3">
      <c r="A708" s="203"/>
      <c r="B708" s="205"/>
      <c r="C708" s="35" t="s">
        <v>1122</v>
      </c>
      <c r="D708" s="35" t="s">
        <v>278</v>
      </c>
      <c r="E708" s="36">
        <f>ROUND(6/(1.5*0.6),4)</f>
        <v>6.6666999999999996</v>
      </c>
      <c r="F708" s="53">
        <v>1.159</v>
      </c>
      <c r="G708" s="53">
        <f t="shared" si="11"/>
        <v>7.7267052999999999</v>
      </c>
      <c r="H708" s="72"/>
      <c r="I708" s="73"/>
      <c r="J708" s="148">
        <v>10</v>
      </c>
      <c r="K708" s="222" t="s">
        <v>8074</v>
      </c>
    </row>
    <row r="709" spans="1:11" ht="26.25" hidden="1" thickBot="1" x14ac:dyDescent="0.3">
      <c r="A709" s="203"/>
      <c r="B709" s="205"/>
      <c r="C709" s="35" t="s">
        <v>248</v>
      </c>
      <c r="D709" s="35" t="s">
        <v>982</v>
      </c>
      <c r="E709" s="36">
        <f>ROUND(1.005/(1.5*0.6),4)</f>
        <v>1.1167</v>
      </c>
      <c r="F709" s="53">
        <v>527.87</v>
      </c>
      <c r="G709" s="53">
        <f t="shared" si="11"/>
        <v>589.47242900000003</v>
      </c>
      <c r="H709" s="72"/>
      <c r="I709" s="73"/>
      <c r="J709" s="148">
        <v>10</v>
      </c>
      <c r="K709" s="222" t="s">
        <v>8074</v>
      </c>
    </row>
    <row r="710" spans="1:11" ht="15.75" hidden="1" thickBot="1" x14ac:dyDescent="0.3">
      <c r="A710" s="203"/>
      <c r="B710" s="205"/>
      <c r="C710" s="35" t="s">
        <v>3497</v>
      </c>
      <c r="D710" s="35" t="s">
        <v>891</v>
      </c>
      <c r="E710" s="36">
        <f>ROUND(0.0211/(1.5*0.6),4)</f>
        <v>2.3400000000000001E-2</v>
      </c>
      <c r="F710" s="53">
        <v>64.619</v>
      </c>
      <c r="G710" s="53">
        <f t="shared" si="11"/>
        <v>1.5120846000000001</v>
      </c>
      <c r="H710" s="72"/>
      <c r="I710" s="73"/>
      <c r="J710" s="148">
        <v>10</v>
      </c>
      <c r="K710" s="222" t="s">
        <v>8074</v>
      </c>
    </row>
    <row r="711" spans="1:11" ht="26.25" hidden="1" thickBot="1" x14ac:dyDescent="0.3">
      <c r="A711" s="203"/>
      <c r="B711" s="205"/>
      <c r="C711" s="35" t="s">
        <v>3341</v>
      </c>
      <c r="D711" s="35" t="s">
        <v>278</v>
      </c>
      <c r="E711" s="36">
        <f>ROUND(2/(1.5*0.6),4)</f>
        <v>2.2222</v>
      </c>
      <c r="F711" s="53">
        <v>27.958499999999997</v>
      </c>
      <c r="G711" s="53">
        <f t="shared" si="11"/>
        <v>62.12937869999999</v>
      </c>
      <c r="H711" s="72"/>
      <c r="I711" s="73"/>
      <c r="J711" s="148">
        <v>10</v>
      </c>
      <c r="K711" s="222" t="s">
        <v>8074</v>
      </c>
    </row>
    <row r="712" spans="1:11" ht="15.75" hidden="1" thickBot="1" x14ac:dyDescent="0.3">
      <c r="A712" s="203"/>
      <c r="B712" s="205"/>
      <c r="C712" s="35" t="s">
        <v>3218</v>
      </c>
      <c r="D712" s="35" t="s">
        <v>695</v>
      </c>
      <c r="E712" s="36">
        <f>ROUND(1.4944/(1.5*0.6),4)</f>
        <v>1.6604000000000001</v>
      </c>
      <c r="F712" s="53">
        <v>24.795000000000002</v>
      </c>
      <c r="G712" s="53">
        <f t="shared" si="11"/>
        <v>41.169618000000007</v>
      </c>
      <c r="H712" s="72"/>
      <c r="I712" s="73"/>
      <c r="J712" s="148">
        <v>10</v>
      </c>
      <c r="K712" s="222" t="s">
        <v>8074</v>
      </c>
    </row>
    <row r="713" spans="1:11" ht="15.75" hidden="1" thickBot="1" x14ac:dyDescent="0.3">
      <c r="A713" s="203"/>
      <c r="B713" s="205"/>
      <c r="C713" s="35" t="s">
        <v>696</v>
      </c>
      <c r="D713" s="35" t="s">
        <v>695</v>
      </c>
      <c r="E713" s="36">
        <f>ROUND(0.9834/(1.5*0.6),4)</f>
        <v>1.0927</v>
      </c>
      <c r="F713" s="53">
        <v>18.420500000000001</v>
      </c>
      <c r="G713" s="53">
        <f t="shared" si="11"/>
        <v>20.128080350000001</v>
      </c>
      <c r="H713" s="72"/>
      <c r="I713" s="73"/>
      <c r="J713" s="148">
        <v>10</v>
      </c>
      <c r="K713" s="222" t="s">
        <v>8074</v>
      </c>
    </row>
    <row r="714" spans="1:11" ht="15.75" hidden="1" thickBot="1" x14ac:dyDescent="0.3">
      <c r="A714" s="203"/>
      <c r="B714" s="205"/>
      <c r="C714" s="35"/>
      <c r="D714" s="35"/>
      <c r="E714" s="36"/>
      <c r="F714" s="30" t="s">
        <v>514</v>
      </c>
      <c r="G714" s="33" t="str">
        <f t="shared" si="11"/>
        <v/>
      </c>
      <c r="H714" s="34"/>
      <c r="I714" s="30"/>
      <c r="J714" s="148">
        <v>10</v>
      </c>
      <c r="K714" s="222" t="s">
        <v>8074</v>
      </c>
    </row>
    <row r="715" spans="1:11" ht="15.75" hidden="1" thickBot="1" x14ac:dyDescent="0.3">
      <c r="A715" s="202" t="s">
        <v>249</v>
      </c>
      <c r="B715" s="204" t="str">
        <f>INDEX(Orçamentária!A:B,MATCH(Composições!A715,Orçamentária!A:A,0),2)</f>
        <v>Instalação de bancada de granito ou mármore reaproveitada</v>
      </c>
      <c r="C715" s="40"/>
      <c r="D715" s="25" t="str">
        <f>TRIM(INDEX(Orçamentária!C:C,MATCH(Composições!A715,Orçamentária!A:A,0),1))</f>
        <v>m2</v>
      </c>
      <c r="E715" s="26"/>
      <c r="F715" s="41" t="s">
        <v>514</v>
      </c>
      <c r="G715" s="27" t="str">
        <f t="shared" si="11"/>
        <v/>
      </c>
      <c r="H715" s="28"/>
      <c r="I715" s="29"/>
      <c r="J715" s="148">
        <v>25</v>
      </c>
      <c r="K715" s="222" t="s">
        <v>8074</v>
      </c>
    </row>
    <row r="716" spans="1:11" ht="15.75" hidden="1" thickBot="1" x14ac:dyDescent="0.3">
      <c r="A716" s="203"/>
      <c r="B716" s="205"/>
      <c r="C716" s="31"/>
      <c r="D716" s="31"/>
      <c r="E716" s="32"/>
      <c r="F716" s="42" t="s">
        <v>514</v>
      </c>
      <c r="G716" s="30" t="str">
        <f t="shared" si="11"/>
        <v/>
      </c>
      <c r="H716" s="34"/>
      <c r="I716" s="30"/>
      <c r="J716" s="148">
        <v>25</v>
      </c>
      <c r="K716" s="222" t="s">
        <v>8074</v>
      </c>
    </row>
    <row r="717" spans="1:11" ht="15.75" hidden="1" thickBot="1" x14ac:dyDescent="0.3">
      <c r="A717" s="203"/>
      <c r="B717" s="205"/>
      <c r="C717" s="35" t="s">
        <v>3325</v>
      </c>
      <c r="D717" s="35" t="s">
        <v>891</v>
      </c>
      <c r="E717" s="36">
        <f>ROUND(0.5228/(1.5*0.6),4)</f>
        <v>0.58089999999999997</v>
      </c>
      <c r="F717" s="53">
        <v>32.755999999999993</v>
      </c>
      <c r="G717" s="53">
        <f t="shared" si="11"/>
        <v>19.027960399999994</v>
      </c>
      <c r="H717" s="38">
        <f>SUM(G717:G722)</f>
        <v>151.69382734999999</v>
      </c>
      <c r="I717" s="39"/>
      <c r="J717" s="148">
        <v>25</v>
      </c>
      <c r="K717" s="222" t="s">
        <v>8074</v>
      </c>
    </row>
    <row r="718" spans="1:11" ht="39" hidden="1" thickBot="1" x14ac:dyDescent="0.3">
      <c r="A718" s="203"/>
      <c r="B718" s="205"/>
      <c r="C718" s="35" t="s">
        <v>1122</v>
      </c>
      <c r="D718" s="35" t="s">
        <v>278</v>
      </c>
      <c r="E718" s="36">
        <f>ROUND(6/(1.5*0.6),4)</f>
        <v>6.6666999999999996</v>
      </c>
      <c r="F718" s="53">
        <v>1.159</v>
      </c>
      <c r="G718" s="53">
        <f t="shared" si="11"/>
        <v>7.7267052999999999</v>
      </c>
      <c r="H718" s="72"/>
      <c r="I718" s="73"/>
      <c r="J718" s="148">
        <v>25</v>
      </c>
      <c r="K718" s="222" t="s">
        <v>8074</v>
      </c>
    </row>
    <row r="719" spans="1:11" ht="15.75" hidden="1" thickBot="1" x14ac:dyDescent="0.3">
      <c r="A719" s="203"/>
      <c r="B719" s="205"/>
      <c r="C719" s="35" t="s">
        <v>3497</v>
      </c>
      <c r="D719" s="35" t="s">
        <v>891</v>
      </c>
      <c r="E719" s="36">
        <f>ROUND(0.0211/(1.5*0.6),4)</f>
        <v>2.3400000000000001E-2</v>
      </c>
      <c r="F719" s="53">
        <v>64.619</v>
      </c>
      <c r="G719" s="53">
        <f t="shared" si="11"/>
        <v>1.5120846000000001</v>
      </c>
      <c r="H719" s="72"/>
      <c r="I719" s="73"/>
      <c r="J719" s="148">
        <v>25</v>
      </c>
      <c r="K719" s="222" t="s">
        <v>8074</v>
      </c>
    </row>
    <row r="720" spans="1:11" ht="26.25" hidden="1" thickBot="1" x14ac:dyDescent="0.3">
      <c r="A720" s="203"/>
      <c r="B720" s="205"/>
      <c r="C720" s="35" t="s">
        <v>3341</v>
      </c>
      <c r="D720" s="35" t="s">
        <v>278</v>
      </c>
      <c r="E720" s="36">
        <f>ROUND(2/(1.5*0.6),4)</f>
        <v>2.2222</v>
      </c>
      <c r="F720" s="53">
        <v>27.958499999999997</v>
      </c>
      <c r="G720" s="53">
        <f t="shared" si="11"/>
        <v>62.12937869999999</v>
      </c>
      <c r="H720" s="72"/>
      <c r="I720" s="73"/>
      <c r="J720" s="148">
        <v>25</v>
      </c>
      <c r="K720" s="222" t="s">
        <v>8074</v>
      </c>
    </row>
    <row r="721" spans="1:11" ht="15.75" hidden="1" thickBot="1" x14ac:dyDescent="0.3">
      <c r="A721" s="203"/>
      <c r="B721" s="205"/>
      <c r="C721" s="35" t="s">
        <v>3218</v>
      </c>
      <c r="D721" s="35" t="s">
        <v>695</v>
      </c>
      <c r="E721" s="36">
        <f>ROUND(1.4944/(1.5*0.6),4)</f>
        <v>1.6604000000000001</v>
      </c>
      <c r="F721" s="53">
        <v>24.795000000000002</v>
      </c>
      <c r="G721" s="53">
        <f t="shared" si="11"/>
        <v>41.169618000000007</v>
      </c>
      <c r="H721" s="72"/>
      <c r="I721" s="73"/>
      <c r="J721" s="148">
        <v>25</v>
      </c>
      <c r="K721" s="222" t="s">
        <v>8074</v>
      </c>
    </row>
    <row r="722" spans="1:11" ht="15.75" hidden="1" thickBot="1" x14ac:dyDescent="0.3">
      <c r="A722" s="203"/>
      <c r="B722" s="205"/>
      <c r="C722" s="35" t="s">
        <v>696</v>
      </c>
      <c r="D722" s="35" t="s">
        <v>695</v>
      </c>
      <c r="E722" s="36">
        <f>ROUND(0.9834/(1.5*0.6),4)</f>
        <v>1.0927</v>
      </c>
      <c r="F722" s="53">
        <v>18.420500000000001</v>
      </c>
      <c r="G722" s="53">
        <f t="shared" si="11"/>
        <v>20.128080350000001</v>
      </c>
      <c r="H722" s="72"/>
      <c r="I722" s="73"/>
      <c r="J722" s="148">
        <v>25</v>
      </c>
      <c r="K722" s="222" t="s">
        <v>8074</v>
      </c>
    </row>
    <row r="723" spans="1:11" ht="15.75" hidden="1" thickBot="1" x14ac:dyDescent="0.3">
      <c r="A723" s="209"/>
      <c r="B723" s="206"/>
      <c r="C723" s="35"/>
      <c r="D723" s="35"/>
      <c r="E723" s="36"/>
      <c r="F723" s="30" t="s">
        <v>514</v>
      </c>
      <c r="G723" s="30" t="str">
        <f t="shared" ref="G723:G786" si="12">IF(ISNUMBER(F723),E723*F723,"")</f>
        <v/>
      </c>
      <c r="H723" s="34"/>
      <c r="I723" s="30"/>
      <c r="J723" s="148">
        <v>25</v>
      </c>
      <c r="K723" s="222" t="s">
        <v>8074</v>
      </c>
    </row>
    <row r="724" spans="1:11" ht="15.75" hidden="1" thickBot="1" x14ac:dyDescent="0.3">
      <c r="A724" s="202" t="s">
        <v>250</v>
      </c>
      <c r="B724" s="204" t="str">
        <f>INDEX(Orçamentária!A:B,MATCH(Composições!A724,Orçamentária!A:A,0),2)</f>
        <v>Instalação de rodapé/rodabanca reaproveitado(a), de mármore ou granito</v>
      </c>
      <c r="C724" s="40"/>
      <c r="D724" s="25" t="str">
        <f>TRIM(INDEX(Orçamentária!C:C,MATCH(Composições!A724,Orçamentária!A:A,0),1))</f>
        <v>m2</v>
      </c>
      <c r="E724" s="26"/>
      <c r="F724" s="41" t="s">
        <v>514</v>
      </c>
      <c r="G724" s="27" t="str">
        <f t="shared" si="12"/>
        <v/>
      </c>
      <c r="H724" s="28"/>
      <c r="I724" s="29"/>
      <c r="J724" s="148">
        <v>15</v>
      </c>
      <c r="K724" s="222" t="s">
        <v>8074</v>
      </c>
    </row>
    <row r="725" spans="1:11" ht="15.75" hidden="1" thickBot="1" x14ac:dyDescent="0.3">
      <c r="A725" s="203"/>
      <c r="B725" s="205"/>
      <c r="C725" s="31"/>
      <c r="D725" s="31"/>
      <c r="E725" s="32"/>
      <c r="F725" s="42" t="s">
        <v>514</v>
      </c>
      <c r="G725" s="30" t="str">
        <f t="shared" si="12"/>
        <v/>
      </c>
      <c r="H725" s="34"/>
      <c r="I725" s="30"/>
      <c r="J725" s="148">
        <v>15</v>
      </c>
      <c r="K725" s="222" t="s">
        <v>8074</v>
      </c>
    </row>
    <row r="726" spans="1:11" ht="15.75" hidden="1" thickBot="1" x14ac:dyDescent="0.3">
      <c r="A726" s="203"/>
      <c r="B726" s="205"/>
      <c r="C726" s="35" t="s">
        <v>3512</v>
      </c>
      <c r="D726" s="35" t="s">
        <v>42</v>
      </c>
      <c r="E726" s="36">
        <f>0.8614</f>
        <v>0.86140000000000005</v>
      </c>
      <c r="F726" s="33">
        <v>1.6054999999999999</v>
      </c>
      <c r="G726" s="33">
        <f t="shared" si="12"/>
        <v>1.3829777000000001</v>
      </c>
      <c r="H726" s="38">
        <f>SUM(G726:G729)</f>
        <v>11.9268377</v>
      </c>
      <c r="I726" s="39"/>
      <c r="J726" s="148">
        <v>15</v>
      </c>
      <c r="K726" s="222" t="s">
        <v>8074</v>
      </c>
    </row>
    <row r="727" spans="1:11" ht="15.75" hidden="1" thickBot="1" x14ac:dyDescent="0.3">
      <c r="A727" s="203"/>
      <c r="B727" s="205"/>
      <c r="C727" s="35" t="s">
        <v>54</v>
      </c>
      <c r="D727" s="35" t="s">
        <v>12</v>
      </c>
      <c r="E727" s="36">
        <f>0.299</f>
        <v>0.29899999999999999</v>
      </c>
      <c r="F727" s="30">
        <v>24.795000000000002</v>
      </c>
      <c r="G727" s="33">
        <f t="shared" si="12"/>
        <v>7.4137050000000002</v>
      </c>
      <c r="H727" s="34"/>
      <c r="I727" s="30"/>
      <c r="J727" s="148">
        <v>15</v>
      </c>
      <c r="K727" s="222" t="s">
        <v>8074</v>
      </c>
    </row>
    <row r="728" spans="1:11" ht="15.75" hidden="1" thickBot="1" x14ac:dyDescent="0.3">
      <c r="A728" s="203"/>
      <c r="B728" s="205"/>
      <c r="C728" s="35" t="s">
        <v>23</v>
      </c>
      <c r="D728" s="35" t="s">
        <v>12</v>
      </c>
      <c r="E728" s="36">
        <f>0.15</f>
        <v>0.15</v>
      </c>
      <c r="F728" s="30">
        <v>18.420500000000001</v>
      </c>
      <c r="G728" s="33">
        <f t="shared" si="12"/>
        <v>2.7630750000000002</v>
      </c>
      <c r="H728" s="34"/>
      <c r="I728" s="30"/>
      <c r="J728" s="148">
        <v>15</v>
      </c>
      <c r="K728" s="222" t="s">
        <v>8074</v>
      </c>
    </row>
    <row r="729" spans="1:11" ht="15.75" hidden="1" thickBot="1" x14ac:dyDescent="0.3">
      <c r="A729" s="203"/>
      <c r="B729" s="205"/>
      <c r="C729" s="35" t="s">
        <v>3511</v>
      </c>
      <c r="D729" s="35" t="s">
        <v>42</v>
      </c>
      <c r="E729" s="36">
        <f>0.12</f>
        <v>0.12</v>
      </c>
      <c r="F729" s="33">
        <v>3.0590000000000002</v>
      </c>
      <c r="G729" s="33">
        <f t="shared" si="12"/>
        <v>0.36708000000000002</v>
      </c>
      <c r="H729" s="34"/>
      <c r="I729" s="30"/>
      <c r="J729" s="148">
        <v>15</v>
      </c>
      <c r="K729" s="222" t="s">
        <v>8074</v>
      </c>
    </row>
    <row r="730" spans="1:11" ht="15.75" hidden="1" thickBot="1" x14ac:dyDescent="0.3">
      <c r="A730" s="209"/>
      <c r="B730" s="206"/>
      <c r="C730" s="35"/>
      <c r="D730" s="35"/>
      <c r="E730" s="36"/>
      <c r="F730" s="30" t="s">
        <v>514</v>
      </c>
      <c r="G730" s="30" t="str">
        <f t="shared" si="12"/>
        <v/>
      </c>
      <c r="H730" s="34"/>
      <c r="I730" s="30"/>
      <c r="J730" s="148">
        <v>15</v>
      </c>
      <c r="K730" s="222" t="s">
        <v>8074</v>
      </c>
    </row>
    <row r="731" spans="1:11" ht="15.75" hidden="1" thickBot="1" x14ac:dyDescent="0.3">
      <c r="A731" s="202" t="s">
        <v>251</v>
      </c>
      <c r="B731" s="204" t="str">
        <f>INDEX(Orçamentária!A:B,MATCH(Composições!A731,Orçamentária!A:A,0),2)</f>
        <v>Instalação de soleira ou peitoril, de mármore ou granito, reaproveitados</v>
      </c>
      <c r="C731" s="40"/>
      <c r="D731" s="25" t="str">
        <f>TRIM(INDEX(Orçamentária!C:C,MATCH(Composições!A731,Orçamentária!A:A,0),1))</f>
        <v>m2</v>
      </c>
      <c r="E731" s="26"/>
      <c r="F731" s="41" t="s">
        <v>514</v>
      </c>
      <c r="G731" s="27" t="str">
        <f t="shared" si="12"/>
        <v/>
      </c>
      <c r="H731" s="28"/>
      <c r="I731" s="29"/>
      <c r="J731" s="148">
        <v>10</v>
      </c>
      <c r="K731" s="222" t="s">
        <v>8074</v>
      </c>
    </row>
    <row r="732" spans="1:11" ht="15.75" hidden="1" thickBot="1" x14ac:dyDescent="0.3">
      <c r="A732" s="203"/>
      <c r="B732" s="205"/>
      <c r="C732" s="31"/>
      <c r="D732" s="31"/>
      <c r="E732" s="32"/>
      <c r="F732" s="42" t="s">
        <v>514</v>
      </c>
      <c r="G732" s="30" t="str">
        <f t="shared" si="12"/>
        <v/>
      </c>
      <c r="H732" s="34"/>
      <c r="I732" s="30"/>
      <c r="J732" s="148">
        <v>10</v>
      </c>
      <c r="K732" s="222" t="s">
        <v>8074</v>
      </c>
    </row>
    <row r="733" spans="1:11" ht="15.75" hidden="1" thickBot="1" x14ac:dyDescent="0.3">
      <c r="A733" s="203"/>
      <c r="B733" s="205"/>
      <c r="C733" s="35" t="s">
        <v>54</v>
      </c>
      <c r="D733" s="35" t="s">
        <v>12</v>
      </c>
      <c r="E733" s="36">
        <v>1.1879999999999999</v>
      </c>
      <c r="F733" s="30">
        <v>24.795000000000002</v>
      </c>
      <c r="G733" s="33">
        <f t="shared" si="12"/>
        <v>29.45646</v>
      </c>
      <c r="H733" s="38">
        <f>SUM(G733:G735)</f>
        <v>54.237646999999996</v>
      </c>
      <c r="I733" s="39"/>
      <c r="J733" s="148">
        <v>10</v>
      </c>
      <c r="K733" s="222" t="s">
        <v>8074</v>
      </c>
    </row>
    <row r="734" spans="1:11" ht="15.75" hidden="1" thickBot="1" x14ac:dyDescent="0.3">
      <c r="A734" s="203"/>
      <c r="B734" s="205"/>
      <c r="C734" s="35" t="s">
        <v>23</v>
      </c>
      <c r="D734" s="35" t="s">
        <v>12</v>
      </c>
      <c r="E734" s="36">
        <v>0.59399999999999997</v>
      </c>
      <c r="F734" s="30">
        <v>18.420500000000001</v>
      </c>
      <c r="G734" s="33">
        <f t="shared" si="12"/>
        <v>10.941777</v>
      </c>
      <c r="H734" s="34"/>
      <c r="I734" s="30"/>
      <c r="J734" s="148">
        <v>10</v>
      </c>
      <c r="K734" s="222" t="s">
        <v>8074</v>
      </c>
    </row>
    <row r="735" spans="1:11" ht="15.75" hidden="1" thickBot="1" x14ac:dyDescent="0.3">
      <c r="A735" s="203"/>
      <c r="B735" s="205"/>
      <c r="C735" s="35" t="s">
        <v>3512</v>
      </c>
      <c r="D735" s="35" t="s">
        <v>42</v>
      </c>
      <c r="E735" s="36">
        <v>8.6199999999999992</v>
      </c>
      <c r="F735" s="33">
        <v>1.6054999999999999</v>
      </c>
      <c r="G735" s="33">
        <f t="shared" si="12"/>
        <v>13.839409999999997</v>
      </c>
      <c r="H735" s="34"/>
      <c r="I735" s="30"/>
      <c r="J735" s="148">
        <v>10</v>
      </c>
      <c r="K735" s="222" t="s">
        <v>8074</v>
      </c>
    </row>
    <row r="736" spans="1:11" ht="15.75" hidden="1" thickBot="1" x14ac:dyDescent="0.3">
      <c r="A736" s="209"/>
      <c r="B736" s="206"/>
      <c r="C736" s="35"/>
      <c r="D736" s="35"/>
      <c r="E736" s="36"/>
      <c r="F736" s="30" t="s">
        <v>514</v>
      </c>
      <c r="G736" s="30" t="str">
        <f t="shared" si="12"/>
        <v/>
      </c>
      <c r="H736" s="34"/>
      <c r="I736" s="30"/>
      <c r="J736" s="148">
        <v>10</v>
      </c>
      <c r="K736" s="222" t="s">
        <v>8074</v>
      </c>
    </row>
    <row r="737" spans="1:11" ht="15.75" hidden="1" thickBot="1" x14ac:dyDescent="0.3">
      <c r="A737" s="202" t="s">
        <v>252</v>
      </c>
      <c r="B737" s="204" t="str">
        <f>INDEX(Orçamentária!A:B,MATCH(Composições!A737,Orçamentária!A:A,0),2)</f>
        <v>Mármore Branco Especial 20mm para rodabancada</v>
      </c>
      <c r="C737" s="40"/>
      <c r="D737" s="25" t="str">
        <f>TRIM(INDEX(Orçamentária!C:C,MATCH(Composições!A737,Orçamentária!A:A,0),1))</f>
        <v>m2</v>
      </c>
      <c r="E737" s="26"/>
      <c r="F737" s="41" t="s">
        <v>514</v>
      </c>
      <c r="G737" s="27" t="str">
        <f t="shared" si="12"/>
        <v/>
      </c>
      <c r="H737" s="28"/>
      <c r="I737" s="29"/>
      <c r="J737" s="148">
        <v>2</v>
      </c>
      <c r="K737" s="222" t="s">
        <v>8074</v>
      </c>
    </row>
    <row r="738" spans="1:11" ht="15.75" hidden="1" thickBot="1" x14ac:dyDescent="0.3">
      <c r="A738" s="203"/>
      <c r="B738" s="205"/>
      <c r="C738" s="31"/>
      <c r="D738" s="31"/>
      <c r="E738" s="32"/>
      <c r="F738" s="42" t="s">
        <v>514</v>
      </c>
      <c r="G738" s="30" t="str">
        <f t="shared" si="12"/>
        <v/>
      </c>
      <c r="H738" s="34"/>
      <c r="I738" s="30"/>
      <c r="J738" s="148">
        <v>2</v>
      </c>
      <c r="K738" s="222" t="s">
        <v>8074</v>
      </c>
    </row>
    <row r="739" spans="1:11" ht="26.25" hidden="1" thickBot="1" x14ac:dyDescent="0.3">
      <c r="A739" s="203"/>
      <c r="B739" s="205"/>
      <c r="C739" s="35" t="s">
        <v>253</v>
      </c>
      <c r="D739" s="35" t="s">
        <v>92</v>
      </c>
      <c r="E739" s="36">
        <f>ROUND(1.04/0.15,4)</f>
        <v>6.9333</v>
      </c>
      <c r="F739" s="33">
        <v>105.97</v>
      </c>
      <c r="G739" s="33">
        <f t="shared" si="12"/>
        <v>734.72180100000003</v>
      </c>
      <c r="H739" s="38">
        <f>SUM(G739:G743)</f>
        <v>789.38770800000009</v>
      </c>
      <c r="I739" s="39"/>
      <c r="J739" s="148">
        <v>2</v>
      </c>
      <c r="K739" s="222" t="s">
        <v>8074</v>
      </c>
    </row>
    <row r="740" spans="1:11" ht="15.75" hidden="1" thickBot="1" x14ac:dyDescent="0.3">
      <c r="A740" s="203"/>
      <c r="B740" s="205"/>
      <c r="C740" s="35" t="s">
        <v>3512</v>
      </c>
      <c r="D740" s="35" t="s">
        <v>42</v>
      </c>
      <c r="E740" s="36">
        <v>8.6199999999999992</v>
      </c>
      <c r="F740" s="33">
        <v>1.6054999999999999</v>
      </c>
      <c r="G740" s="33">
        <f t="shared" si="12"/>
        <v>13.839409999999997</v>
      </c>
      <c r="H740" s="34"/>
      <c r="I740" s="30"/>
      <c r="J740" s="148">
        <v>2</v>
      </c>
      <c r="K740" s="222" t="s">
        <v>8074</v>
      </c>
    </row>
    <row r="741" spans="1:11" ht="15.75" hidden="1" thickBot="1" x14ac:dyDescent="0.3">
      <c r="A741" s="203"/>
      <c r="B741" s="205"/>
      <c r="C741" s="35" t="s">
        <v>54</v>
      </c>
      <c r="D741" s="35" t="s">
        <v>12</v>
      </c>
      <c r="E741" s="36">
        <v>1.1879999999999999</v>
      </c>
      <c r="F741" s="30">
        <v>24.795000000000002</v>
      </c>
      <c r="G741" s="33">
        <f t="shared" si="12"/>
        <v>29.45646</v>
      </c>
      <c r="H741" s="34"/>
      <c r="I741" s="30"/>
      <c r="J741" s="148">
        <v>2</v>
      </c>
      <c r="K741" s="222" t="s">
        <v>8074</v>
      </c>
    </row>
    <row r="742" spans="1:11" ht="15.75" hidden="1" thickBot="1" x14ac:dyDescent="0.3">
      <c r="A742" s="203"/>
      <c r="B742" s="205"/>
      <c r="C742" s="35" t="s">
        <v>23</v>
      </c>
      <c r="D742" s="35" t="s">
        <v>12</v>
      </c>
      <c r="E742" s="36">
        <v>0.59399999999999997</v>
      </c>
      <c r="F742" s="30">
        <v>18.420500000000001</v>
      </c>
      <c r="G742" s="33">
        <f t="shared" si="12"/>
        <v>10.941777</v>
      </c>
      <c r="H742" s="34"/>
      <c r="I742" s="30"/>
      <c r="J742" s="148">
        <v>2</v>
      </c>
      <c r="K742" s="222" t="s">
        <v>8074</v>
      </c>
    </row>
    <row r="743" spans="1:11" ht="15.75" hidden="1" thickBot="1" x14ac:dyDescent="0.3">
      <c r="A743" s="203"/>
      <c r="B743" s="205"/>
      <c r="C743" s="35" t="s">
        <v>3511</v>
      </c>
      <c r="D743" s="35" t="s">
        <v>42</v>
      </c>
      <c r="E743" s="36">
        <v>0.14000000000000001</v>
      </c>
      <c r="F743" s="33">
        <v>3.0590000000000002</v>
      </c>
      <c r="G743" s="33">
        <f t="shared" si="12"/>
        <v>0.42826000000000009</v>
      </c>
      <c r="H743" s="34"/>
      <c r="I743" s="30"/>
      <c r="J743" s="148">
        <v>2</v>
      </c>
      <c r="K743" s="222" t="s">
        <v>8074</v>
      </c>
    </row>
    <row r="744" spans="1:11" ht="15.75" hidden="1" thickBot="1" x14ac:dyDescent="0.3">
      <c r="A744" s="203"/>
      <c r="B744" s="205"/>
      <c r="C744" s="35"/>
      <c r="D744" s="35"/>
      <c r="E744" s="36"/>
      <c r="F744" s="33" t="s">
        <v>514</v>
      </c>
      <c r="G744" s="33" t="str">
        <f t="shared" si="12"/>
        <v/>
      </c>
      <c r="H744" s="34"/>
      <c r="I744" s="30"/>
      <c r="J744" s="148">
        <v>2</v>
      </c>
      <c r="K744" s="222" t="s">
        <v>8074</v>
      </c>
    </row>
    <row r="745" spans="1:11" ht="15.75" hidden="1" thickBot="1" x14ac:dyDescent="0.3">
      <c r="A745" s="202" t="s">
        <v>254</v>
      </c>
      <c r="B745" s="204" t="str">
        <f>INDEX(Orçamentária!A:B,MATCH(Composições!A745,Orçamentária!A:A,0),2)</f>
        <v>Instalação de divisória e porta de divisória com dobradiça reaproveitadas</v>
      </c>
      <c r="C745" s="40"/>
      <c r="D745" s="25" t="str">
        <f>TRIM(INDEX(Orçamentária!C:C,MATCH(Composições!A745,Orçamentária!A:A,0),1))</f>
        <v>m2</v>
      </c>
      <c r="E745" s="26"/>
      <c r="F745" s="41" t="s">
        <v>514</v>
      </c>
      <c r="G745" s="27" t="str">
        <f t="shared" si="12"/>
        <v/>
      </c>
      <c r="H745" s="28"/>
      <c r="I745" s="29"/>
      <c r="J745" s="148">
        <v>560</v>
      </c>
      <c r="K745" s="222" t="s">
        <v>8074</v>
      </c>
    </row>
    <row r="746" spans="1:11" ht="15.75" hidden="1" thickBot="1" x14ac:dyDescent="0.3">
      <c r="A746" s="203"/>
      <c r="B746" s="205"/>
      <c r="C746" s="31"/>
      <c r="D746" s="31"/>
      <c r="E746" s="32"/>
      <c r="F746" s="42" t="s">
        <v>514</v>
      </c>
      <c r="G746" s="30" t="str">
        <f t="shared" si="12"/>
        <v/>
      </c>
      <c r="H746" s="34"/>
      <c r="I746" s="30"/>
      <c r="J746" s="148">
        <v>560</v>
      </c>
      <c r="K746" s="222" t="s">
        <v>8074</v>
      </c>
    </row>
    <row r="747" spans="1:11" ht="26.25" hidden="1" thickBot="1" x14ac:dyDescent="0.3">
      <c r="A747" s="203"/>
      <c r="B747" s="205"/>
      <c r="C747" s="35" t="s">
        <v>255</v>
      </c>
      <c r="D747" s="46" t="s">
        <v>94</v>
      </c>
      <c r="E747" s="36">
        <v>1</v>
      </c>
      <c r="F747" s="30">
        <v>16.330500000000001</v>
      </c>
      <c r="G747" s="33">
        <f t="shared" si="12"/>
        <v>16.330500000000001</v>
      </c>
      <c r="H747" s="38">
        <f>SUM(G747:G747)</f>
        <v>16.330500000000001</v>
      </c>
      <c r="I747" s="39"/>
      <c r="J747" s="148">
        <v>560</v>
      </c>
      <c r="K747" s="222" t="s">
        <v>8074</v>
      </c>
    </row>
    <row r="748" spans="1:11" ht="15.75" hidden="1" thickBot="1" x14ac:dyDescent="0.3">
      <c r="A748" s="209"/>
      <c r="B748" s="206"/>
      <c r="C748" s="35"/>
      <c r="D748" s="35"/>
      <c r="E748" s="36"/>
      <c r="F748" s="30" t="s">
        <v>514</v>
      </c>
      <c r="G748" s="30" t="str">
        <f t="shared" si="12"/>
        <v/>
      </c>
      <c r="H748" s="34"/>
      <c r="I748" s="30"/>
      <c r="J748" s="148">
        <v>560</v>
      </c>
      <c r="K748" s="222" t="s">
        <v>8074</v>
      </c>
    </row>
    <row r="749" spans="1:11" ht="15.75" hidden="1" thickBot="1" x14ac:dyDescent="0.3">
      <c r="A749" s="202" t="s">
        <v>256</v>
      </c>
      <c r="B749" s="204" t="str">
        <f>INDEX(Orçamentária!A:B,MATCH(Composições!A749,Orçamentária!A:A,0),2)</f>
        <v>Alçapão em forro de gesso acartonado</v>
      </c>
      <c r="C749" s="40"/>
      <c r="D749" s="25" t="str">
        <f>TRIM(INDEX(Orçamentária!C:C,MATCH(Composições!A749,Orçamentária!A:A,0),1))</f>
        <v>m2</v>
      </c>
      <c r="E749" s="26"/>
      <c r="F749" s="41" t="s">
        <v>514</v>
      </c>
      <c r="G749" s="27" t="str">
        <f t="shared" si="12"/>
        <v/>
      </c>
      <c r="H749" s="28"/>
      <c r="I749" s="29"/>
      <c r="J749" s="148">
        <v>95</v>
      </c>
      <c r="K749" s="222" t="s">
        <v>8074</v>
      </c>
    </row>
    <row r="750" spans="1:11" ht="15.75" hidden="1" thickBot="1" x14ac:dyDescent="0.3">
      <c r="A750" s="203"/>
      <c r="B750" s="205"/>
      <c r="C750" s="31"/>
      <c r="D750" s="31"/>
      <c r="E750" s="32"/>
      <c r="F750" s="42" t="s">
        <v>514</v>
      </c>
      <c r="G750" s="30" t="str">
        <f t="shared" si="12"/>
        <v/>
      </c>
      <c r="H750" s="34"/>
      <c r="I750" s="30"/>
      <c r="J750" s="148">
        <v>95</v>
      </c>
      <c r="K750" s="222" t="s">
        <v>8074</v>
      </c>
    </row>
    <row r="751" spans="1:11" ht="26.25" hidden="1" thickBot="1" x14ac:dyDescent="0.3">
      <c r="A751" s="203"/>
      <c r="B751" s="205"/>
      <c r="C751" s="35" t="s">
        <v>257</v>
      </c>
      <c r="D751" s="46" t="s">
        <v>92</v>
      </c>
      <c r="E751" s="36">
        <f>2*(1.5+0.67)</f>
        <v>4.34</v>
      </c>
      <c r="F751" s="33">
        <v>4.8165000000000004</v>
      </c>
      <c r="G751" s="33">
        <f t="shared" si="12"/>
        <v>20.90361</v>
      </c>
      <c r="H751" s="38">
        <f>SUM(G751:G754)</f>
        <v>141.85160999999999</v>
      </c>
      <c r="I751" s="39"/>
      <c r="J751" s="148">
        <v>95</v>
      </c>
      <c r="K751" s="222" t="s">
        <v>8074</v>
      </c>
    </row>
    <row r="752" spans="1:11" ht="15.75" hidden="1" thickBot="1" x14ac:dyDescent="0.3">
      <c r="A752" s="203"/>
      <c r="B752" s="205"/>
      <c r="C752" s="35" t="s">
        <v>258</v>
      </c>
      <c r="D752" s="46" t="s">
        <v>94</v>
      </c>
      <c r="E752" s="36">
        <f>0.36/0.6/0.6</f>
        <v>1</v>
      </c>
      <c r="F752" s="33">
        <v>77.78</v>
      </c>
      <c r="G752" s="33">
        <f t="shared" si="12"/>
        <v>77.78</v>
      </c>
      <c r="H752" s="34"/>
      <c r="I752" s="30"/>
      <c r="J752" s="148">
        <v>95</v>
      </c>
      <c r="K752" s="222" t="s">
        <v>8074</v>
      </c>
    </row>
    <row r="753" spans="1:11" ht="15.75" hidden="1" thickBot="1" x14ac:dyDescent="0.3">
      <c r="A753" s="203"/>
      <c r="B753" s="205"/>
      <c r="C753" s="35" t="s">
        <v>178</v>
      </c>
      <c r="D753" s="46" t="s">
        <v>12</v>
      </c>
      <c r="E753" s="36">
        <v>1</v>
      </c>
      <c r="F753" s="30">
        <v>24.747499999999999</v>
      </c>
      <c r="G753" s="33">
        <f t="shared" si="12"/>
        <v>24.747499999999999</v>
      </c>
      <c r="H753" s="34"/>
      <c r="I753" s="30"/>
      <c r="J753" s="148">
        <v>95</v>
      </c>
      <c r="K753" s="222" t="s">
        <v>8074</v>
      </c>
    </row>
    <row r="754" spans="1:11" ht="15.75" hidden="1" thickBot="1" x14ac:dyDescent="0.3">
      <c r="A754" s="203"/>
      <c r="B754" s="205"/>
      <c r="C754" s="35" t="s">
        <v>23</v>
      </c>
      <c r="D754" s="46" t="s">
        <v>12</v>
      </c>
      <c r="E754" s="36">
        <v>1</v>
      </c>
      <c r="F754" s="30">
        <v>18.420500000000001</v>
      </c>
      <c r="G754" s="33">
        <f t="shared" si="12"/>
        <v>18.420500000000001</v>
      </c>
      <c r="H754" s="34"/>
      <c r="I754" s="30"/>
      <c r="J754" s="148">
        <v>95</v>
      </c>
      <c r="K754" s="222" t="s">
        <v>8074</v>
      </c>
    </row>
    <row r="755" spans="1:11" ht="15.75" hidden="1" thickBot="1" x14ac:dyDescent="0.3">
      <c r="A755" s="209"/>
      <c r="B755" s="206"/>
      <c r="C755" s="35"/>
      <c r="D755" s="35"/>
      <c r="E755" s="36"/>
      <c r="F755" s="30" t="s">
        <v>514</v>
      </c>
      <c r="G755" s="30" t="str">
        <f t="shared" si="12"/>
        <v/>
      </c>
      <c r="H755" s="34"/>
      <c r="I755" s="30"/>
      <c r="J755" s="148">
        <v>95</v>
      </c>
      <c r="K755" s="222" t="s">
        <v>8074</v>
      </c>
    </row>
    <row r="756" spans="1:11" ht="15.75" hidden="1" thickBot="1" x14ac:dyDescent="0.3">
      <c r="A756" s="202" t="s">
        <v>259</v>
      </c>
      <c r="B756" s="204" t="str">
        <f>INDEX(Orçamentária!A:B,MATCH(Composições!A756,Orçamentária!A:A,0),2)</f>
        <v>Forro de PVC em réguas de 100 x 6000mm</v>
      </c>
      <c r="C756" s="40"/>
      <c r="D756" s="25" t="str">
        <f>TRIM(INDEX(Orçamentária!C:C,MATCH(Composições!A756,Orçamentária!A:A,0),1))</f>
        <v>m2</v>
      </c>
      <c r="E756" s="26"/>
      <c r="F756" s="41" t="s">
        <v>514</v>
      </c>
      <c r="G756" s="27" t="str">
        <f t="shared" si="12"/>
        <v/>
      </c>
      <c r="H756" s="28"/>
      <c r="I756" s="29"/>
      <c r="J756" s="148">
        <v>40</v>
      </c>
      <c r="K756" s="222" t="s">
        <v>8074</v>
      </c>
    </row>
    <row r="757" spans="1:11" ht="15.75" hidden="1" thickBot="1" x14ac:dyDescent="0.3">
      <c r="A757" s="203"/>
      <c r="B757" s="205"/>
      <c r="C757" s="31"/>
      <c r="D757" s="31"/>
      <c r="E757" s="32"/>
      <c r="F757" s="42" t="s">
        <v>514</v>
      </c>
      <c r="G757" s="30" t="str">
        <f t="shared" si="12"/>
        <v/>
      </c>
      <c r="H757" s="34"/>
      <c r="I757" s="30"/>
      <c r="J757" s="148">
        <v>40</v>
      </c>
      <c r="K757" s="222" t="s">
        <v>8074</v>
      </c>
    </row>
    <row r="758" spans="1:11" ht="26.25" hidden="1" thickBot="1" x14ac:dyDescent="0.3">
      <c r="A758" s="203"/>
      <c r="B758" s="205"/>
      <c r="C758" s="35" t="s">
        <v>260</v>
      </c>
      <c r="D758" s="46" t="s">
        <v>42</v>
      </c>
      <c r="E758" s="36">
        <v>4.2599999999999999E-2</v>
      </c>
      <c r="F758" s="33">
        <v>25.972999999999999</v>
      </c>
      <c r="G758" s="30">
        <f t="shared" si="12"/>
        <v>1.1064498</v>
      </c>
      <c r="H758" s="38">
        <f>SUM(G758:G765)</f>
        <v>64.876413899999989</v>
      </c>
      <c r="I758" s="39"/>
      <c r="J758" s="148">
        <v>40</v>
      </c>
      <c r="K758" s="222" t="s">
        <v>8074</v>
      </c>
    </row>
    <row r="759" spans="1:11" ht="26.25" hidden="1" thickBot="1" x14ac:dyDescent="0.3">
      <c r="A759" s="203"/>
      <c r="B759" s="205"/>
      <c r="C759" s="35" t="s">
        <v>261</v>
      </c>
      <c r="D759" s="46" t="s">
        <v>94</v>
      </c>
      <c r="E759" s="36">
        <v>1.0955999999999999</v>
      </c>
      <c r="F759" s="33">
        <v>24.6525</v>
      </c>
      <c r="G759" s="30">
        <f t="shared" si="12"/>
        <v>27.009278999999996</v>
      </c>
      <c r="H759" s="34"/>
      <c r="I759" s="30"/>
      <c r="J759" s="148">
        <v>40</v>
      </c>
      <c r="K759" s="222" t="s">
        <v>8074</v>
      </c>
    </row>
    <row r="760" spans="1:11" ht="26.25" hidden="1" thickBot="1" x14ac:dyDescent="0.3">
      <c r="A760" s="203"/>
      <c r="B760" s="205"/>
      <c r="C760" s="35" t="s">
        <v>262</v>
      </c>
      <c r="D760" s="46" t="s">
        <v>92</v>
      </c>
      <c r="E760" s="36">
        <v>3.8498999999999999</v>
      </c>
      <c r="F760" s="33">
        <v>5.7379999999999995</v>
      </c>
      <c r="G760" s="30">
        <f t="shared" si="12"/>
        <v>22.090726199999999</v>
      </c>
      <c r="H760" s="34"/>
      <c r="I760" s="30"/>
      <c r="J760" s="148">
        <v>40</v>
      </c>
      <c r="K760" s="222" t="s">
        <v>8074</v>
      </c>
    </row>
    <row r="761" spans="1:11" ht="26.25" hidden="1" thickBot="1" x14ac:dyDescent="0.3">
      <c r="A761" s="203"/>
      <c r="B761" s="205"/>
      <c r="C761" s="35" t="s">
        <v>263</v>
      </c>
      <c r="D761" s="46" t="s">
        <v>20</v>
      </c>
      <c r="E761" s="36">
        <v>1.3265</v>
      </c>
      <c r="F761" s="33">
        <v>2.1564999999999999</v>
      </c>
      <c r="G761" s="30">
        <f t="shared" si="12"/>
        <v>2.8605972499999996</v>
      </c>
      <c r="H761" s="34"/>
      <c r="I761" s="30"/>
      <c r="J761" s="148">
        <v>40</v>
      </c>
      <c r="K761" s="222" t="s">
        <v>8074</v>
      </c>
    </row>
    <row r="762" spans="1:11" ht="26.25" hidden="1" thickBot="1" x14ac:dyDescent="0.3">
      <c r="A762" s="203"/>
      <c r="B762" s="205"/>
      <c r="C762" s="35" t="s">
        <v>160</v>
      </c>
      <c r="D762" s="46" t="s">
        <v>20</v>
      </c>
      <c r="E762" s="36">
        <v>2.1911999999999998</v>
      </c>
      <c r="F762" s="33">
        <v>0.22799999999999998</v>
      </c>
      <c r="G762" s="30">
        <f t="shared" si="12"/>
        <v>0.49959359999999992</v>
      </c>
      <c r="H762" s="34"/>
      <c r="I762" s="30"/>
      <c r="J762" s="148">
        <v>40</v>
      </c>
      <c r="K762" s="222" t="s">
        <v>8074</v>
      </c>
    </row>
    <row r="763" spans="1:11" ht="26.25" hidden="1" thickBot="1" x14ac:dyDescent="0.3">
      <c r="A763" s="203"/>
      <c r="B763" s="205"/>
      <c r="C763" s="35" t="s">
        <v>264</v>
      </c>
      <c r="D763" s="46" t="s">
        <v>151</v>
      </c>
      <c r="E763" s="36">
        <v>1.32E-2</v>
      </c>
      <c r="F763" s="33">
        <v>26.381499999999999</v>
      </c>
      <c r="G763" s="30">
        <f t="shared" si="12"/>
        <v>0.34823579999999998</v>
      </c>
      <c r="H763" s="34"/>
      <c r="I763" s="30"/>
      <c r="J763" s="148">
        <v>40</v>
      </c>
      <c r="K763" s="222" t="s">
        <v>8074</v>
      </c>
    </row>
    <row r="764" spans="1:11" ht="26.25" hidden="1" thickBot="1" x14ac:dyDescent="0.3">
      <c r="A764" s="203"/>
      <c r="B764" s="205"/>
      <c r="C764" s="35" t="s">
        <v>265</v>
      </c>
      <c r="D764" s="46" t="s">
        <v>151</v>
      </c>
      <c r="E764" s="36">
        <v>3.3300000000000003E-2</v>
      </c>
      <c r="F764" s="33">
        <v>45.229499999999994</v>
      </c>
      <c r="G764" s="30">
        <f t="shared" si="12"/>
        <v>1.50614235</v>
      </c>
      <c r="H764" s="34"/>
      <c r="I764" s="30"/>
      <c r="J764" s="148">
        <v>40</v>
      </c>
      <c r="K764" s="222" t="s">
        <v>8074</v>
      </c>
    </row>
    <row r="765" spans="1:11" ht="15.75" hidden="1" thickBot="1" x14ac:dyDescent="0.3">
      <c r="A765" s="203"/>
      <c r="B765" s="205"/>
      <c r="C765" s="35" t="s">
        <v>27</v>
      </c>
      <c r="D765" s="46" t="s">
        <v>12</v>
      </c>
      <c r="E765" s="36">
        <v>0.49940000000000001</v>
      </c>
      <c r="F765" s="30">
        <v>18.933499999999999</v>
      </c>
      <c r="G765" s="30">
        <f t="shared" si="12"/>
        <v>9.4553899000000001</v>
      </c>
      <c r="H765" s="34"/>
      <c r="I765" s="30"/>
      <c r="J765" s="148">
        <v>40</v>
      </c>
      <c r="K765" s="222" t="s">
        <v>8074</v>
      </c>
    </row>
    <row r="766" spans="1:11" ht="15.75" hidden="1" thickBot="1" x14ac:dyDescent="0.3">
      <c r="A766" s="209"/>
      <c r="B766" s="206"/>
      <c r="C766" s="35"/>
      <c r="D766" s="35"/>
      <c r="E766" s="36"/>
      <c r="F766" s="30" t="s">
        <v>514</v>
      </c>
      <c r="G766" s="30" t="str">
        <f t="shared" si="12"/>
        <v/>
      </c>
      <c r="H766" s="34"/>
      <c r="I766" s="30"/>
      <c r="J766" s="148">
        <v>40</v>
      </c>
      <c r="K766" s="222" t="s">
        <v>8074</v>
      </c>
    </row>
    <row r="767" spans="1:11" ht="15.75" hidden="1" thickBot="1" x14ac:dyDescent="0.3">
      <c r="A767" s="202" t="s">
        <v>266</v>
      </c>
      <c r="B767" s="204" t="str">
        <f>INDEX(Orçamentária!A:B,MATCH(Composições!A767,Orçamentária!A:A,0),2)</f>
        <v>Forro de PVC em réguas de 100 x 6000mm, sem estrutura</v>
      </c>
      <c r="C767" s="40"/>
      <c r="D767" s="25" t="str">
        <f>TRIM(INDEX(Orçamentária!C:C,MATCH(Composições!A767,Orçamentária!A:A,0),1))</f>
        <v>m2</v>
      </c>
      <c r="E767" s="26"/>
      <c r="F767" s="41" t="s">
        <v>514</v>
      </c>
      <c r="G767" s="27" t="str">
        <f t="shared" si="12"/>
        <v/>
      </c>
      <c r="H767" s="28"/>
      <c r="I767" s="29"/>
      <c r="J767" s="148">
        <v>75</v>
      </c>
      <c r="K767" s="222" t="s">
        <v>8074</v>
      </c>
    </row>
    <row r="768" spans="1:11" ht="15.75" hidden="1" thickBot="1" x14ac:dyDescent="0.3">
      <c r="A768" s="203"/>
      <c r="B768" s="205"/>
      <c r="C768" s="31"/>
      <c r="D768" s="31"/>
      <c r="E768" s="32"/>
      <c r="F768" s="42" t="s">
        <v>514</v>
      </c>
      <c r="G768" s="30" t="str">
        <f t="shared" si="12"/>
        <v/>
      </c>
      <c r="H768" s="34"/>
      <c r="I768" s="30"/>
      <c r="J768" s="148">
        <v>75</v>
      </c>
      <c r="K768" s="222" t="s">
        <v>8074</v>
      </c>
    </row>
    <row r="769" spans="1:11" ht="26.25" hidden="1" thickBot="1" x14ac:dyDescent="0.3">
      <c r="A769" s="203"/>
      <c r="B769" s="205"/>
      <c r="C769" s="35" t="s">
        <v>261</v>
      </c>
      <c r="D769" s="46" t="s">
        <v>94</v>
      </c>
      <c r="E769" s="36">
        <v>1.0955999999999999</v>
      </c>
      <c r="F769" s="33">
        <v>24.6525</v>
      </c>
      <c r="G769" s="30">
        <f t="shared" si="12"/>
        <v>27.009278999999996</v>
      </c>
      <c r="H769" s="38">
        <f>SUM(G769:G771)</f>
        <v>30.345110899999995</v>
      </c>
      <c r="I769" s="39"/>
      <c r="J769" s="148">
        <v>75</v>
      </c>
      <c r="K769" s="222" t="s">
        <v>8074</v>
      </c>
    </row>
    <row r="770" spans="1:11" ht="26.25" hidden="1" thickBot="1" x14ac:dyDescent="0.3">
      <c r="A770" s="203"/>
      <c r="B770" s="205"/>
      <c r="C770" s="35" t="s">
        <v>160</v>
      </c>
      <c r="D770" s="46" t="s">
        <v>20</v>
      </c>
      <c r="E770" s="36">
        <v>2.1911999999999998</v>
      </c>
      <c r="F770" s="33">
        <v>0.22799999999999998</v>
      </c>
      <c r="G770" s="33">
        <f t="shared" si="12"/>
        <v>0.49959359999999992</v>
      </c>
      <c r="H770" s="43"/>
      <c r="I770" s="39"/>
      <c r="J770" s="148">
        <v>75</v>
      </c>
      <c r="K770" s="222" t="s">
        <v>8074</v>
      </c>
    </row>
    <row r="771" spans="1:11" ht="15.75" hidden="1" thickBot="1" x14ac:dyDescent="0.3">
      <c r="A771" s="203"/>
      <c r="B771" s="205"/>
      <c r="C771" s="35" t="s">
        <v>27</v>
      </c>
      <c r="D771" s="46" t="s">
        <v>12</v>
      </c>
      <c r="E771" s="36">
        <f>ROUND(0.4994*0.3,4)</f>
        <v>0.14979999999999999</v>
      </c>
      <c r="F771" s="30">
        <v>18.933499999999999</v>
      </c>
      <c r="G771" s="33">
        <f t="shared" si="12"/>
        <v>2.8362382999999998</v>
      </c>
      <c r="H771" s="34"/>
      <c r="I771" s="30"/>
      <c r="J771" s="148">
        <v>75</v>
      </c>
      <c r="K771" s="222" t="s">
        <v>8074</v>
      </c>
    </row>
    <row r="772" spans="1:11" ht="15.75" hidden="1" thickBot="1" x14ac:dyDescent="0.3">
      <c r="A772" s="209"/>
      <c r="B772" s="206"/>
      <c r="C772" s="35"/>
      <c r="D772" s="35"/>
      <c r="E772" s="36"/>
      <c r="F772" s="30" t="s">
        <v>514</v>
      </c>
      <c r="G772" s="30" t="str">
        <f t="shared" si="12"/>
        <v/>
      </c>
      <c r="H772" s="34"/>
      <c r="I772" s="30"/>
      <c r="J772" s="148">
        <v>75</v>
      </c>
      <c r="K772" s="222" t="s">
        <v>8074</v>
      </c>
    </row>
    <row r="773" spans="1:11" ht="15.75" hidden="1" thickBot="1" x14ac:dyDescent="0.3">
      <c r="A773" s="202" t="s">
        <v>267</v>
      </c>
      <c r="B773" s="204" t="str">
        <f>INDEX(Orçamentária!A:B,MATCH(Composições!A773,Orçamentária!A:A,0),2)</f>
        <v>Forro de PVC modular em placas</v>
      </c>
      <c r="C773" s="40"/>
      <c r="D773" s="25" t="str">
        <f>TRIM(INDEX(Orçamentária!C:C,MATCH(Composições!A773,Orçamentária!A:A,0),1))</f>
        <v>m2</v>
      </c>
      <c r="E773" s="26"/>
      <c r="F773" s="41" t="s">
        <v>514</v>
      </c>
      <c r="G773" s="27" t="str">
        <f t="shared" si="12"/>
        <v/>
      </c>
      <c r="H773" s="28"/>
      <c r="I773" s="29"/>
      <c r="J773" s="148">
        <v>15</v>
      </c>
      <c r="K773" s="222" t="s">
        <v>8074</v>
      </c>
    </row>
    <row r="774" spans="1:11" ht="15.75" hidden="1" thickBot="1" x14ac:dyDescent="0.3">
      <c r="A774" s="207"/>
      <c r="B774" s="205"/>
      <c r="C774" s="31"/>
      <c r="D774" s="31"/>
      <c r="E774" s="32"/>
      <c r="F774" s="42" t="s">
        <v>514</v>
      </c>
      <c r="G774" s="30" t="str">
        <f t="shared" si="12"/>
        <v/>
      </c>
      <c r="H774" s="34"/>
      <c r="I774" s="30"/>
      <c r="J774" s="148">
        <v>15</v>
      </c>
      <c r="K774" s="222" t="s">
        <v>8074</v>
      </c>
    </row>
    <row r="775" spans="1:11" ht="26.25" hidden="1" thickBot="1" x14ac:dyDescent="0.3">
      <c r="A775" s="207"/>
      <c r="B775" s="205"/>
      <c r="C775" s="35" t="s">
        <v>260</v>
      </c>
      <c r="D775" s="46" t="s">
        <v>42</v>
      </c>
      <c r="E775" s="36">
        <v>4.2599999999999999E-2</v>
      </c>
      <c r="F775" s="33">
        <v>25.972999999999999</v>
      </c>
      <c r="G775" s="30">
        <f t="shared" si="12"/>
        <v>1.1064498</v>
      </c>
      <c r="H775" s="38">
        <f>SUM(G775:G782)</f>
        <v>102.1240749</v>
      </c>
      <c r="I775" s="39"/>
      <c r="J775" s="148">
        <v>15</v>
      </c>
      <c r="K775" s="222" t="s">
        <v>8074</v>
      </c>
    </row>
    <row r="776" spans="1:11" ht="15.75" hidden="1" thickBot="1" x14ac:dyDescent="0.3">
      <c r="A776" s="207"/>
      <c r="B776" s="205"/>
      <c r="C776" s="35" t="s">
        <v>268</v>
      </c>
      <c r="D776" s="46" t="s">
        <v>94</v>
      </c>
      <c r="E776" s="36">
        <v>1.0955999999999999</v>
      </c>
      <c r="F776" s="33">
        <v>58.65</v>
      </c>
      <c r="G776" s="30">
        <f t="shared" si="12"/>
        <v>64.256939999999986</v>
      </c>
      <c r="H776" s="34"/>
      <c r="I776" s="30"/>
      <c r="J776" s="148">
        <v>15</v>
      </c>
      <c r="K776" s="222" t="s">
        <v>8074</v>
      </c>
    </row>
    <row r="777" spans="1:11" ht="26.25" hidden="1" thickBot="1" x14ac:dyDescent="0.3">
      <c r="A777" s="207"/>
      <c r="B777" s="205"/>
      <c r="C777" s="35" t="s">
        <v>262</v>
      </c>
      <c r="D777" s="46" t="s">
        <v>92</v>
      </c>
      <c r="E777" s="36">
        <v>3.8498999999999999</v>
      </c>
      <c r="F777" s="33">
        <v>5.7379999999999995</v>
      </c>
      <c r="G777" s="30">
        <f t="shared" si="12"/>
        <v>22.090726199999999</v>
      </c>
      <c r="H777" s="34"/>
      <c r="I777" s="30"/>
      <c r="J777" s="148">
        <v>15</v>
      </c>
      <c r="K777" s="222" t="s">
        <v>8074</v>
      </c>
    </row>
    <row r="778" spans="1:11" ht="26.25" hidden="1" thickBot="1" x14ac:dyDescent="0.3">
      <c r="A778" s="207"/>
      <c r="B778" s="205"/>
      <c r="C778" s="35" t="s">
        <v>263</v>
      </c>
      <c r="D778" s="46" t="s">
        <v>20</v>
      </c>
      <c r="E778" s="36">
        <v>1.3265</v>
      </c>
      <c r="F778" s="33">
        <v>2.1564999999999999</v>
      </c>
      <c r="G778" s="30">
        <f t="shared" si="12"/>
        <v>2.8605972499999996</v>
      </c>
      <c r="H778" s="34"/>
      <c r="I778" s="30"/>
      <c r="J778" s="148">
        <v>15</v>
      </c>
      <c r="K778" s="222" t="s">
        <v>8074</v>
      </c>
    </row>
    <row r="779" spans="1:11" ht="26.25" hidden="1" thickBot="1" x14ac:dyDescent="0.3">
      <c r="A779" s="207"/>
      <c r="B779" s="205"/>
      <c r="C779" s="35" t="s">
        <v>160</v>
      </c>
      <c r="D779" s="46" t="s">
        <v>20</v>
      </c>
      <c r="E779" s="36">
        <v>2.1911999999999998</v>
      </c>
      <c r="F779" s="33">
        <v>0.22799999999999998</v>
      </c>
      <c r="G779" s="30">
        <f t="shared" si="12"/>
        <v>0.49959359999999992</v>
      </c>
      <c r="H779" s="34"/>
      <c r="I779" s="30"/>
      <c r="J779" s="148">
        <v>15</v>
      </c>
      <c r="K779" s="222" t="s">
        <v>8074</v>
      </c>
    </row>
    <row r="780" spans="1:11" ht="26.25" hidden="1" thickBot="1" x14ac:dyDescent="0.3">
      <c r="A780" s="207"/>
      <c r="B780" s="205"/>
      <c r="C780" s="35" t="s">
        <v>264</v>
      </c>
      <c r="D780" s="46" t="s">
        <v>151</v>
      </c>
      <c r="E780" s="36">
        <v>1.32E-2</v>
      </c>
      <c r="F780" s="33">
        <v>26.381499999999999</v>
      </c>
      <c r="G780" s="30">
        <f t="shared" si="12"/>
        <v>0.34823579999999998</v>
      </c>
      <c r="H780" s="34"/>
      <c r="I780" s="30"/>
      <c r="J780" s="148">
        <v>15</v>
      </c>
      <c r="K780" s="222" t="s">
        <v>8074</v>
      </c>
    </row>
    <row r="781" spans="1:11" ht="26.25" hidden="1" thickBot="1" x14ac:dyDescent="0.3">
      <c r="A781" s="207"/>
      <c r="B781" s="205"/>
      <c r="C781" s="35" t="s">
        <v>265</v>
      </c>
      <c r="D781" s="46" t="s">
        <v>151</v>
      </c>
      <c r="E781" s="36">
        <v>3.3300000000000003E-2</v>
      </c>
      <c r="F781" s="33">
        <v>45.229499999999994</v>
      </c>
      <c r="G781" s="30">
        <f t="shared" si="12"/>
        <v>1.50614235</v>
      </c>
      <c r="H781" s="34"/>
      <c r="I781" s="30"/>
      <c r="J781" s="148">
        <v>15</v>
      </c>
      <c r="K781" s="222" t="s">
        <v>8074</v>
      </c>
    </row>
    <row r="782" spans="1:11" ht="15.75" hidden="1" thickBot="1" x14ac:dyDescent="0.3">
      <c r="A782" s="207"/>
      <c r="B782" s="205"/>
      <c r="C782" s="35" t="s">
        <v>27</v>
      </c>
      <c r="D782" s="46" t="s">
        <v>12</v>
      </c>
      <c r="E782" s="36">
        <v>0.49940000000000001</v>
      </c>
      <c r="F782" s="30">
        <v>18.933499999999999</v>
      </c>
      <c r="G782" s="30">
        <f t="shared" si="12"/>
        <v>9.4553899000000001</v>
      </c>
      <c r="H782" s="34"/>
      <c r="I782" s="30"/>
      <c r="J782" s="148">
        <v>15</v>
      </c>
      <c r="K782" s="222" t="s">
        <v>8074</v>
      </c>
    </row>
    <row r="783" spans="1:11" ht="15.75" hidden="1" thickBot="1" x14ac:dyDescent="0.3">
      <c r="A783" s="208"/>
      <c r="B783" s="206"/>
      <c r="C783" s="35"/>
      <c r="D783" s="35"/>
      <c r="E783" s="36"/>
      <c r="F783" s="30" t="s">
        <v>514</v>
      </c>
      <c r="G783" s="30" t="str">
        <f t="shared" si="12"/>
        <v/>
      </c>
      <c r="H783" s="34"/>
      <c r="I783" s="30"/>
      <c r="J783" s="148">
        <v>15</v>
      </c>
      <c r="K783" s="222" t="s">
        <v>8074</v>
      </c>
    </row>
    <row r="784" spans="1:11" ht="15.75" hidden="1" thickBot="1" x14ac:dyDescent="0.3">
      <c r="A784" s="202" t="s">
        <v>269</v>
      </c>
      <c r="B784" s="204" t="str">
        <f>INDEX(Orçamentária!A:B,MATCH(Composições!A784,Orçamentária!A:A,0),2)</f>
        <v>Forro em chapas metálicas</v>
      </c>
      <c r="C784" s="40"/>
      <c r="D784" s="25" t="str">
        <f>TRIM(INDEX(Orçamentária!C:C,MATCH(Composições!A784,Orçamentária!A:A,0),1))</f>
        <v>m2</v>
      </c>
      <c r="E784" s="26"/>
      <c r="F784" s="41" t="s">
        <v>514</v>
      </c>
      <c r="G784" s="27" t="str">
        <f t="shared" si="12"/>
        <v/>
      </c>
      <c r="H784" s="28"/>
      <c r="I784" s="29"/>
      <c r="J784" s="148">
        <v>300</v>
      </c>
      <c r="K784" s="222" t="s">
        <v>8074</v>
      </c>
    </row>
    <row r="785" spans="1:11" ht="15.75" hidden="1" thickBot="1" x14ac:dyDescent="0.3">
      <c r="A785" s="207"/>
      <c r="B785" s="205"/>
      <c r="C785" s="31"/>
      <c r="D785" s="31"/>
      <c r="E785" s="32"/>
      <c r="F785" s="42" t="s">
        <v>514</v>
      </c>
      <c r="G785" s="30" t="str">
        <f t="shared" si="12"/>
        <v/>
      </c>
      <c r="H785" s="34"/>
      <c r="I785" s="30"/>
      <c r="J785" s="148">
        <v>300</v>
      </c>
      <c r="K785" s="222" t="s">
        <v>8074</v>
      </c>
    </row>
    <row r="786" spans="1:11" ht="15.75" hidden="1" thickBot="1" x14ac:dyDescent="0.3">
      <c r="A786" s="207"/>
      <c r="B786" s="205"/>
      <c r="C786" s="35" t="s">
        <v>52</v>
      </c>
      <c r="D786" s="46" t="s">
        <v>12</v>
      </c>
      <c r="E786" s="36">
        <v>0.5</v>
      </c>
      <c r="F786" s="33">
        <v>21.184999999999999</v>
      </c>
      <c r="G786" s="30">
        <f t="shared" si="12"/>
        <v>10.592499999999999</v>
      </c>
      <c r="H786" s="38">
        <f>SUM(G786:G789)</f>
        <v>230.56924999999998</v>
      </c>
      <c r="I786" s="39"/>
      <c r="J786" s="148">
        <v>300</v>
      </c>
      <c r="K786" s="222" t="s">
        <v>8074</v>
      </c>
    </row>
    <row r="787" spans="1:11" ht="15.75" hidden="1" thickBot="1" x14ac:dyDescent="0.3">
      <c r="A787" s="207"/>
      <c r="B787" s="205"/>
      <c r="C787" s="35" t="s">
        <v>27</v>
      </c>
      <c r="D787" s="46" t="s">
        <v>12</v>
      </c>
      <c r="E787" s="36">
        <v>0.5</v>
      </c>
      <c r="F787" s="33">
        <v>18.933499999999999</v>
      </c>
      <c r="G787" s="30">
        <f t="shared" ref="G787:G850" si="13">IF(ISNUMBER(F787),E787*F787,"")</f>
        <v>9.4667499999999993</v>
      </c>
      <c r="H787" s="34"/>
      <c r="I787" s="30"/>
      <c r="J787" s="148">
        <v>300</v>
      </c>
      <c r="K787" s="222" t="s">
        <v>8074</v>
      </c>
    </row>
    <row r="788" spans="1:11" ht="15.75" hidden="1" thickBot="1" x14ac:dyDescent="0.3">
      <c r="A788" s="207"/>
      <c r="B788" s="205"/>
      <c r="C788" s="37" t="s">
        <v>270</v>
      </c>
      <c r="D788" s="35" t="s">
        <v>94</v>
      </c>
      <c r="E788" s="36">
        <v>1</v>
      </c>
      <c r="F788" s="33">
        <v>135.51</v>
      </c>
      <c r="G788" s="30">
        <f t="shared" si="13"/>
        <v>135.51</v>
      </c>
      <c r="H788" s="34"/>
      <c r="I788" s="30"/>
      <c r="J788" s="148">
        <v>300</v>
      </c>
      <c r="K788" s="222" t="s">
        <v>8074</v>
      </c>
    </row>
    <row r="789" spans="1:11" ht="15.75" hidden="1" thickBot="1" x14ac:dyDescent="0.3">
      <c r="A789" s="207"/>
      <c r="B789" s="205"/>
      <c r="C789" s="37" t="s">
        <v>271</v>
      </c>
      <c r="D789" s="35" t="s">
        <v>94</v>
      </c>
      <c r="E789" s="36">
        <v>1</v>
      </c>
      <c r="F789" s="33">
        <v>75</v>
      </c>
      <c r="G789" s="30">
        <f t="shared" si="13"/>
        <v>75</v>
      </c>
      <c r="H789" s="34"/>
      <c r="I789" s="30"/>
      <c r="J789" s="148">
        <v>300</v>
      </c>
      <c r="K789" s="222" t="s">
        <v>8074</v>
      </c>
    </row>
    <row r="790" spans="1:11" ht="15.75" hidden="1" thickBot="1" x14ac:dyDescent="0.3">
      <c r="A790" s="208"/>
      <c r="B790" s="206"/>
      <c r="C790" s="35"/>
      <c r="D790" s="35"/>
      <c r="E790" s="36"/>
      <c r="F790" s="30" t="s">
        <v>514</v>
      </c>
      <c r="G790" s="30" t="str">
        <f t="shared" si="13"/>
        <v/>
      </c>
      <c r="H790" s="34"/>
      <c r="I790" s="30"/>
      <c r="J790" s="148">
        <v>300</v>
      </c>
      <c r="K790" s="222" t="s">
        <v>8074</v>
      </c>
    </row>
    <row r="791" spans="1:11" ht="15.75" hidden="1" thickBot="1" x14ac:dyDescent="0.3">
      <c r="A791" s="202" t="s">
        <v>272</v>
      </c>
      <c r="B791" s="204" t="str">
        <f>INDEX(Orçamentária!A:B,MATCH(Composições!A791,Orçamentária!A:A,0),2)</f>
        <v>Forro em gesso acartonado monolítico</v>
      </c>
      <c r="C791" s="40"/>
      <c r="D791" s="25" t="str">
        <f>TRIM(INDEX(Orçamentária!C:C,MATCH(Composições!A791,Orçamentária!A:A,0),1))</f>
        <v>m2</v>
      </c>
      <c r="E791" s="26"/>
      <c r="F791" s="41" t="s">
        <v>514</v>
      </c>
      <c r="G791" s="27" t="str">
        <f t="shared" si="13"/>
        <v/>
      </c>
      <c r="H791" s="28"/>
      <c r="I791" s="29"/>
      <c r="J791" s="148">
        <v>2250</v>
      </c>
      <c r="K791" s="222" t="s">
        <v>8074</v>
      </c>
    </row>
    <row r="792" spans="1:11" ht="15.75" hidden="1" thickBot="1" x14ac:dyDescent="0.3">
      <c r="A792" s="203"/>
      <c r="B792" s="205"/>
      <c r="C792" s="31"/>
      <c r="D792" s="31"/>
      <c r="E792" s="32"/>
      <c r="F792" s="42" t="s">
        <v>514</v>
      </c>
      <c r="G792" s="30" t="str">
        <f t="shared" si="13"/>
        <v/>
      </c>
      <c r="H792" s="34"/>
      <c r="I792" s="30"/>
      <c r="J792" s="148">
        <v>2250</v>
      </c>
      <c r="K792" s="222" t="s">
        <v>8074</v>
      </c>
    </row>
    <row r="793" spans="1:11" ht="26.25" hidden="1" thickBot="1" x14ac:dyDescent="0.3">
      <c r="A793" s="203"/>
      <c r="B793" s="205"/>
      <c r="C793" s="35" t="s">
        <v>260</v>
      </c>
      <c r="D793" s="46" t="s">
        <v>42</v>
      </c>
      <c r="E793" s="36">
        <v>4.2599999999999999E-2</v>
      </c>
      <c r="F793" s="33">
        <v>25.972999999999999</v>
      </c>
      <c r="G793" s="33">
        <f t="shared" si="13"/>
        <v>1.1064498</v>
      </c>
      <c r="H793" s="38">
        <f>SUM(G793:G803)</f>
        <v>65.276092199999994</v>
      </c>
      <c r="I793" s="39"/>
      <c r="J793" s="148">
        <v>2250</v>
      </c>
      <c r="K793" s="222" t="s">
        <v>8074</v>
      </c>
    </row>
    <row r="794" spans="1:11" ht="26.25" hidden="1" thickBot="1" x14ac:dyDescent="0.3">
      <c r="A794" s="203"/>
      <c r="B794" s="205"/>
      <c r="C794" s="35" t="s">
        <v>3682</v>
      </c>
      <c r="D794" s="46" t="s">
        <v>94</v>
      </c>
      <c r="E794" s="36">
        <v>1.0966</v>
      </c>
      <c r="F794" s="33">
        <v>17.3565</v>
      </c>
      <c r="G794" s="33">
        <f t="shared" si="13"/>
        <v>19.0331379</v>
      </c>
      <c r="H794" s="44"/>
      <c r="I794" s="45"/>
      <c r="J794" s="148">
        <v>2250</v>
      </c>
      <c r="K794" s="222" t="s">
        <v>8074</v>
      </c>
    </row>
    <row r="795" spans="1:11" ht="26.25" hidden="1" thickBot="1" x14ac:dyDescent="0.3">
      <c r="A795" s="203"/>
      <c r="B795" s="205"/>
      <c r="C795" s="35" t="s">
        <v>262</v>
      </c>
      <c r="D795" s="46" t="s">
        <v>92</v>
      </c>
      <c r="E795" s="36">
        <v>3.851</v>
      </c>
      <c r="F795" s="33">
        <v>5.7379999999999995</v>
      </c>
      <c r="G795" s="33">
        <f t="shared" si="13"/>
        <v>22.097037999999998</v>
      </c>
      <c r="H795" s="44"/>
      <c r="I795" s="45"/>
      <c r="J795" s="148">
        <v>2250</v>
      </c>
      <c r="K795" s="222" t="s">
        <v>8074</v>
      </c>
    </row>
    <row r="796" spans="1:11" ht="26.25" hidden="1" thickBot="1" x14ac:dyDescent="0.3">
      <c r="A796" s="203"/>
      <c r="B796" s="205"/>
      <c r="C796" s="35" t="s">
        <v>263</v>
      </c>
      <c r="D796" s="46" t="s">
        <v>20</v>
      </c>
      <c r="E796" s="36">
        <v>1.3265</v>
      </c>
      <c r="F796" s="33">
        <v>2.1564999999999999</v>
      </c>
      <c r="G796" s="33">
        <f t="shared" si="13"/>
        <v>2.8605972499999996</v>
      </c>
      <c r="H796" s="44"/>
      <c r="I796" s="45"/>
      <c r="J796" s="148">
        <v>2250</v>
      </c>
      <c r="K796" s="222" t="s">
        <v>8074</v>
      </c>
    </row>
    <row r="797" spans="1:11" ht="26.25" hidden="1" thickBot="1" x14ac:dyDescent="0.3">
      <c r="A797" s="203"/>
      <c r="B797" s="205"/>
      <c r="C797" s="35" t="s">
        <v>158</v>
      </c>
      <c r="D797" s="46" t="s">
        <v>92</v>
      </c>
      <c r="E797" s="36">
        <v>1.4395</v>
      </c>
      <c r="F797" s="33">
        <v>2.4034999999999997</v>
      </c>
      <c r="G797" s="33">
        <f t="shared" si="13"/>
        <v>3.4598382499999998</v>
      </c>
      <c r="H797" s="44"/>
      <c r="I797" s="45"/>
      <c r="J797" s="148">
        <v>2250</v>
      </c>
      <c r="K797" s="222" t="s">
        <v>8074</v>
      </c>
    </row>
    <row r="798" spans="1:11" ht="39" hidden="1" thickBot="1" x14ac:dyDescent="0.3">
      <c r="A798" s="203"/>
      <c r="B798" s="205"/>
      <c r="C798" s="35" t="s">
        <v>3680</v>
      </c>
      <c r="D798" s="46" t="s">
        <v>42</v>
      </c>
      <c r="E798" s="36">
        <v>0.5202</v>
      </c>
      <c r="F798" s="33">
        <v>3.0019999999999998</v>
      </c>
      <c r="G798" s="33">
        <f t="shared" si="13"/>
        <v>1.5616403999999999</v>
      </c>
      <c r="H798" s="44"/>
      <c r="I798" s="45"/>
      <c r="J798" s="148">
        <v>2250</v>
      </c>
      <c r="K798" s="222" t="s">
        <v>8074</v>
      </c>
    </row>
    <row r="799" spans="1:11" ht="26.25" hidden="1" thickBot="1" x14ac:dyDescent="0.3">
      <c r="A799" s="203"/>
      <c r="B799" s="205"/>
      <c r="C799" s="35" t="s">
        <v>159</v>
      </c>
      <c r="D799" s="46" t="s">
        <v>20</v>
      </c>
      <c r="E799" s="36">
        <v>7.9740000000000002</v>
      </c>
      <c r="F799" s="33">
        <v>9.5000000000000001E-2</v>
      </c>
      <c r="G799" s="33">
        <f t="shared" si="13"/>
        <v>0.75753000000000004</v>
      </c>
      <c r="H799" s="44"/>
      <c r="I799" s="45"/>
      <c r="J799" s="148">
        <v>2250</v>
      </c>
      <c r="K799" s="222" t="s">
        <v>8074</v>
      </c>
    </row>
    <row r="800" spans="1:11" ht="26.25" hidden="1" thickBot="1" x14ac:dyDescent="0.3">
      <c r="A800" s="203"/>
      <c r="B800" s="205"/>
      <c r="C800" s="35" t="s">
        <v>160</v>
      </c>
      <c r="D800" s="46" t="s">
        <v>20</v>
      </c>
      <c r="E800" s="36">
        <v>2.1911999999999998</v>
      </c>
      <c r="F800" s="33">
        <v>0.22799999999999998</v>
      </c>
      <c r="G800" s="33">
        <f t="shared" si="13"/>
        <v>0.49959359999999992</v>
      </c>
      <c r="H800" s="44"/>
      <c r="I800" s="45"/>
      <c r="J800" s="148">
        <v>2250</v>
      </c>
      <c r="K800" s="222" t="s">
        <v>8074</v>
      </c>
    </row>
    <row r="801" spans="1:11" ht="26.25" hidden="1" thickBot="1" x14ac:dyDescent="0.3">
      <c r="A801" s="203"/>
      <c r="B801" s="205"/>
      <c r="C801" s="35" t="s">
        <v>264</v>
      </c>
      <c r="D801" s="46" t="s">
        <v>151</v>
      </c>
      <c r="E801" s="36">
        <v>1.32E-2</v>
      </c>
      <c r="F801" s="33">
        <v>26.381499999999999</v>
      </c>
      <c r="G801" s="33">
        <f t="shared" si="13"/>
        <v>0.34823579999999998</v>
      </c>
      <c r="H801" s="44"/>
      <c r="I801" s="45"/>
      <c r="J801" s="148">
        <v>2250</v>
      </c>
      <c r="K801" s="222" t="s">
        <v>8074</v>
      </c>
    </row>
    <row r="802" spans="1:11" ht="15.75" hidden="1" thickBot="1" x14ac:dyDescent="0.3">
      <c r="A802" s="203"/>
      <c r="B802" s="205"/>
      <c r="C802" s="35" t="s">
        <v>27</v>
      </c>
      <c r="D802" s="46" t="s">
        <v>12</v>
      </c>
      <c r="E802" s="36">
        <v>0.36280000000000001</v>
      </c>
      <c r="F802" s="30">
        <v>18.933499999999999</v>
      </c>
      <c r="G802" s="33">
        <f t="shared" si="13"/>
        <v>6.8690737999999998</v>
      </c>
      <c r="H802" s="44"/>
      <c r="I802" s="45"/>
      <c r="J802" s="148">
        <v>2250</v>
      </c>
      <c r="K802" s="222" t="s">
        <v>8074</v>
      </c>
    </row>
    <row r="803" spans="1:11" ht="15.75" hidden="1" thickBot="1" x14ac:dyDescent="0.3">
      <c r="A803" s="203"/>
      <c r="B803" s="205"/>
      <c r="C803" s="35" t="s">
        <v>23</v>
      </c>
      <c r="D803" s="35" t="s">
        <v>12</v>
      </c>
      <c r="E803" s="36">
        <v>0.36280000000000001</v>
      </c>
      <c r="F803" s="30">
        <v>18.420500000000001</v>
      </c>
      <c r="G803" s="33">
        <f t="shared" si="13"/>
        <v>6.6829574000000003</v>
      </c>
      <c r="H803" s="44"/>
      <c r="I803" s="45"/>
      <c r="J803" s="148">
        <v>2250</v>
      </c>
      <c r="K803" s="222" t="s">
        <v>8074</v>
      </c>
    </row>
    <row r="804" spans="1:11" ht="15.75" hidden="1" thickBot="1" x14ac:dyDescent="0.3">
      <c r="A804" s="209"/>
      <c r="B804" s="206"/>
      <c r="C804" s="35"/>
      <c r="D804" s="35"/>
      <c r="E804" s="36"/>
      <c r="F804" s="30" t="s">
        <v>514</v>
      </c>
      <c r="G804" s="30" t="str">
        <f t="shared" si="13"/>
        <v/>
      </c>
      <c r="H804" s="34"/>
      <c r="I804" s="30"/>
      <c r="J804" s="148">
        <v>2250</v>
      </c>
      <c r="K804" s="222" t="s">
        <v>8074</v>
      </c>
    </row>
    <row r="805" spans="1:11" ht="15.75" hidden="1" thickBot="1" x14ac:dyDescent="0.3">
      <c r="A805" s="202" t="s">
        <v>273</v>
      </c>
      <c r="B805" s="204" t="str">
        <f>INDEX(Orçamentária!A:B,MATCH(Composições!A805,Orçamentária!A:A,0),2)</f>
        <v>Forro em gesso acartonado monolítico, sem estrutura</v>
      </c>
      <c r="C805" s="40"/>
      <c r="D805" s="25" t="str">
        <f>TRIM(INDEX(Orçamentária!C:C,MATCH(Composições!A805,Orçamentária!A:A,0),1))</f>
        <v>m2</v>
      </c>
      <c r="E805" s="26"/>
      <c r="F805" s="41" t="s">
        <v>514</v>
      </c>
      <c r="G805" s="27" t="str">
        <f t="shared" si="13"/>
        <v/>
      </c>
      <c r="H805" s="28"/>
      <c r="I805" s="29"/>
      <c r="J805" s="148">
        <v>1500</v>
      </c>
      <c r="K805" s="222" t="s">
        <v>8074</v>
      </c>
    </row>
    <row r="806" spans="1:11" ht="15.75" hidden="1" thickBot="1" x14ac:dyDescent="0.3">
      <c r="A806" s="203"/>
      <c r="B806" s="205"/>
      <c r="C806" s="31"/>
      <c r="D806" s="31"/>
      <c r="E806" s="32"/>
      <c r="F806" s="42" t="s">
        <v>514</v>
      </c>
      <c r="G806" s="30" t="str">
        <f t="shared" si="13"/>
        <v/>
      </c>
      <c r="H806" s="34"/>
      <c r="I806" s="30"/>
      <c r="J806" s="148">
        <v>1500</v>
      </c>
      <c r="K806" s="222" t="s">
        <v>8074</v>
      </c>
    </row>
    <row r="807" spans="1:11" ht="26.25" hidden="1" thickBot="1" x14ac:dyDescent="0.3">
      <c r="A807" s="203"/>
      <c r="B807" s="205"/>
      <c r="C807" s="35" t="s">
        <v>3682</v>
      </c>
      <c r="D807" s="46" t="s">
        <v>94</v>
      </c>
      <c r="E807" s="36">
        <v>1.0966</v>
      </c>
      <c r="F807" s="33">
        <v>17.3565</v>
      </c>
      <c r="G807" s="33">
        <f t="shared" si="13"/>
        <v>19.0331379</v>
      </c>
      <c r="H807" s="38">
        <f>SUM(G807:G813)</f>
        <v>38.86377135</v>
      </c>
      <c r="I807" s="39"/>
      <c r="J807" s="148">
        <v>1500</v>
      </c>
      <c r="K807" s="222" t="s">
        <v>8074</v>
      </c>
    </row>
    <row r="808" spans="1:11" ht="26.25" hidden="1" thickBot="1" x14ac:dyDescent="0.3">
      <c r="A808" s="203"/>
      <c r="B808" s="205"/>
      <c r="C808" s="35" t="s">
        <v>158</v>
      </c>
      <c r="D808" s="46" t="s">
        <v>92</v>
      </c>
      <c r="E808" s="36">
        <v>1.4395</v>
      </c>
      <c r="F808" s="33">
        <v>2.4034999999999997</v>
      </c>
      <c r="G808" s="33">
        <f t="shared" si="13"/>
        <v>3.4598382499999998</v>
      </c>
      <c r="H808" s="44"/>
      <c r="I808" s="45"/>
      <c r="J808" s="148">
        <v>1500</v>
      </c>
      <c r="K808" s="222" t="s">
        <v>8074</v>
      </c>
    </row>
    <row r="809" spans="1:11" ht="39" hidden="1" thickBot="1" x14ac:dyDescent="0.3">
      <c r="A809" s="203"/>
      <c r="B809" s="205"/>
      <c r="C809" s="35" t="s">
        <v>3680</v>
      </c>
      <c r="D809" s="46" t="s">
        <v>42</v>
      </c>
      <c r="E809" s="36">
        <v>0.5202</v>
      </c>
      <c r="F809" s="33">
        <v>3.0019999999999998</v>
      </c>
      <c r="G809" s="33">
        <f t="shared" si="13"/>
        <v>1.5616403999999999</v>
      </c>
      <c r="H809" s="44"/>
      <c r="I809" s="45"/>
      <c r="J809" s="148">
        <v>1500</v>
      </c>
      <c r="K809" s="222" t="s">
        <v>8074</v>
      </c>
    </row>
    <row r="810" spans="1:11" ht="26.25" hidden="1" thickBot="1" x14ac:dyDescent="0.3">
      <c r="A810" s="203"/>
      <c r="B810" s="205"/>
      <c r="C810" s="35" t="s">
        <v>159</v>
      </c>
      <c r="D810" s="46" t="s">
        <v>20</v>
      </c>
      <c r="E810" s="36">
        <v>7.9740000000000002</v>
      </c>
      <c r="F810" s="33">
        <v>9.5000000000000001E-2</v>
      </c>
      <c r="G810" s="33">
        <f t="shared" si="13"/>
        <v>0.75753000000000004</v>
      </c>
      <c r="H810" s="44"/>
      <c r="I810" s="45"/>
      <c r="J810" s="148">
        <v>1500</v>
      </c>
      <c r="K810" s="222" t="s">
        <v>8074</v>
      </c>
    </row>
    <row r="811" spans="1:11" ht="26.25" hidden="1" thickBot="1" x14ac:dyDescent="0.3">
      <c r="A811" s="203"/>
      <c r="B811" s="205"/>
      <c r="C811" s="35" t="s">
        <v>160</v>
      </c>
      <c r="D811" s="46" t="s">
        <v>20</v>
      </c>
      <c r="E811" s="36">
        <v>2.1911999999999998</v>
      </c>
      <c r="F811" s="33">
        <v>0.22799999999999998</v>
      </c>
      <c r="G811" s="33">
        <f t="shared" si="13"/>
        <v>0.49959359999999992</v>
      </c>
      <c r="H811" s="44"/>
      <c r="I811" s="45"/>
      <c r="J811" s="148">
        <v>1500</v>
      </c>
      <c r="K811" s="222" t="s">
        <v>8074</v>
      </c>
    </row>
    <row r="812" spans="1:11" ht="15.75" hidden="1" thickBot="1" x14ac:dyDescent="0.3">
      <c r="A812" s="203"/>
      <c r="B812" s="205"/>
      <c r="C812" s="35" t="s">
        <v>27</v>
      </c>
      <c r="D812" s="46" t="s">
        <v>12</v>
      </c>
      <c r="E812" s="36">
        <v>0.36280000000000001</v>
      </c>
      <c r="F812" s="30">
        <v>18.933499999999999</v>
      </c>
      <c r="G812" s="33">
        <f t="shared" si="13"/>
        <v>6.8690737999999998</v>
      </c>
      <c r="H812" s="44"/>
      <c r="I812" s="45"/>
      <c r="J812" s="148">
        <v>1500</v>
      </c>
      <c r="K812" s="222" t="s">
        <v>8074</v>
      </c>
    </row>
    <row r="813" spans="1:11" ht="15.75" hidden="1" thickBot="1" x14ac:dyDescent="0.3">
      <c r="A813" s="203"/>
      <c r="B813" s="205"/>
      <c r="C813" s="35" t="s">
        <v>23</v>
      </c>
      <c r="D813" s="35" t="s">
        <v>12</v>
      </c>
      <c r="E813" s="36">
        <v>0.36280000000000001</v>
      </c>
      <c r="F813" s="30">
        <v>18.420500000000001</v>
      </c>
      <c r="G813" s="33">
        <f t="shared" si="13"/>
        <v>6.6829574000000003</v>
      </c>
      <c r="H813" s="44"/>
      <c r="I813" s="45"/>
      <c r="J813" s="148">
        <v>1500</v>
      </c>
      <c r="K813" s="222" t="s">
        <v>8074</v>
      </c>
    </row>
    <row r="814" spans="1:11" ht="15.75" hidden="1" thickBot="1" x14ac:dyDescent="0.3">
      <c r="A814" s="209"/>
      <c r="B814" s="206"/>
      <c r="C814" s="35"/>
      <c r="D814" s="35"/>
      <c r="E814" s="36"/>
      <c r="F814" s="30" t="s">
        <v>514</v>
      </c>
      <c r="G814" s="30" t="str">
        <f t="shared" si="13"/>
        <v/>
      </c>
      <c r="H814" s="34"/>
      <c r="I814" s="30"/>
      <c r="J814" s="148">
        <v>1500</v>
      </c>
      <c r="K814" s="222" t="s">
        <v>8074</v>
      </c>
    </row>
    <row r="815" spans="1:11" ht="15.75" hidden="1" thickBot="1" x14ac:dyDescent="0.3">
      <c r="A815" s="202" t="s">
        <v>274</v>
      </c>
      <c r="B815" s="204" t="str">
        <f>INDEX(Orçamentária!A:B,MATCH(Composições!A815,Orçamentária!A:A,0),2)</f>
        <v>Forro mineral modulado</v>
      </c>
      <c r="C815" s="40"/>
      <c r="D815" s="25" t="str">
        <f>TRIM(INDEX(Orçamentária!C:C,MATCH(Composições!A815,Orçamentária!A:A,0),1))</f>
        <v>m2</v>
      </c>
      <c r="E815" s="26"/>
      <c r="F815" s="41" t="s">
        <v>514</v>
      </c>
      <c r="G815" s="27" t="str">
        <f t="shared" si="13"/>
        <v/>
      </c>
      <c r="H815" s="28"/>
      <c r="I815" s="29"/>
      <c r="J815" s="148">
        <v>225</v>
      </c>
      <c r="K815" s="222" t="s">
        <v>8074</v>
      </c>
    </row>
    <row r="816" spans="1:11" ht="15.75" hidden="1" thickBot="1" x14ac:dyDescent="0.3">
      <c r="A816" s="203"/>
      <c r="B816" s="205"/>
      <c r="C816" s="31"/>
      <c r="D816" s="31"/>
      <c r="E816" s="32"/>
      <c r="F816" s="42" t="s">
        <v>514</v>
      </c>
      <c r="G816" s="30" t="str">
        <f t="shared" si="13"/>
        <v/>
      </c>
      <c r="H816" s="34"/>
      <c r="I816" s="30"/>
      <c r="J816" s="148">
        <v>225</v>
      </c>
      <c r="K816" s="222" t="s">
        <v>8074</v>
      </c>
    </row>
    <row r="817" spans="1:11" ht="39" hidden="1" thickBot="1" x14ac:dyDescent="0.3">
      <c r="A817" s="203"/>
      <c r="B817" s="205"/>
      <c r="C817" s="35" t="s">
        <v>275</v>
      </c>
      <c r="D817" s="46" t="s">
        <v>94</v>
      </c>
      <c r="E817" s="36">
        <v>1</v>
      </c>
      <c r="F817" s="33">
        <v>114.9785</v>
      </c>
      <c r="G817" s="33">
        <f t="shared" si="13"/>
        <v>114.9785</v>
      </c>
      <c r="H817" s="38">
        <f>SUM(G817:G817)</f>
        <v>114.9785</v>
      </c>
      <c r="I817" s="39"/>
      <c r="J817" s="148">
        <v>225</v>
      </c>
      <c r="K817" s="222" t="s">
        <v>8074</v>
      </c>
    </row>
    <row r="818" spans="1:11" ht="15.75" hidden="1" thickBot="1" x14ac:dyDescent="0.3">
      <c r="A818" s="209"/>
      <c r="B818" s="206"/>
      <c r="C818" s="35"/>
      <c r="D818" s="35"/>
      <c r="E818" s="36"/>
      <c r="F818" s="30" t="s">
        <v>514</v>
      </c>
      <c r="G818" s="30" t="str">
        <f t="shared" si="13"/>
        <v/>
      </c>
      <c r="H818" s="34"/>
      <c r="I818" s="30"/>
      <c r="J818" s="148">
        <v>225</v>
      </c>
      <c r="K818" s="222" t="s">
        <v>8074</v>
      </c>
    </row>
    <row r="819" spans="1:11" ht="15.75" hidden="1" thickBot="1" x14ac:dyDescent="0.3">
      <c r="A819" s="202" t="s">
        <v>276</v>
      </c>
      <c r="B819" s="204" t="str">
        <f>INDEX(Orçamentária!A:B,MATCH(Composições!A819,Orçamentária!A:A,0),2)</f>
        <v>Forro mineral modulado, sem estrutura</v>
      </c>
      <c r="C819" s="40"/>
      <c r="D819" s="25" t="str">
        <f>TRIM(INDEX(Orçamentária!C:C,MATCH(Composições!A819,Orçamentária!A:A,0),1))</f>
        <v>m2</v>
      </c>
      <c r="E819" s="26"/>
      <c r="F819" s="41" t="s">
        <v>514</v>
      </c>
      <c r="G819" s="27" t="str">
        <f t="shared" si="13"/>
        <v/>
      </c>
      <c r="H819" s="28"/>
      <c r="I819" s="29"/>
      <c r="J819" s="148">
        <v>80</v>
      </c>
      <c r="K819" s="222" t="s">
        <v>8074</v>
      </c>
    </row>
    <row r="820" spans="1:11" ht="15.75" hidden="1" thickBot="1" x14ac:dyDescent="0.3">
      <c r="A820" s="203"/>
      <c r="B820" s="205"/>
      <c r="C820" s="31"/>
      <c r="D820" s="31"/>
      <c r="E820" s="32"/>
      <c r="F820" s="42" t="s">
        <v>514</v>
      </c>
      <c r="G820" s="30" t="str">
        <f t="shared" si="13"/>
        <v/>
      </c>
      <c r="H820" s="34"/>
      <c r="I820" s="30"/>
      <c r="J820" s="148">
        <v>80</v>
      </c>
      <c r="K820" s="222" t="s">
        <v>8074</v>
      </c>
    </row>
    <row r="821" spans="1:11" ht="15.75" hidden="1" thickBot="1" x14ac:dyDescent="0.3">
      <c r="A821" s="203"/>
      <c r="B821" s="205"/>
      <c r="C821" s="35" t="s">
        <v>50</v>
      </c>
      <c r="D821" s="35" t="s">
        <v>12</v>
      </c>
      <c r="E821" s="36">
        <f>1.2/4</f>
        <v>0.3</v>
      </c>
      <c r="F821" s="30">
        <v>19.474999999999998</v>
      </c>
      <c r="G821" s="30">
        <f t="shared" si="13"/>
        <v>5.8424999999999994</v>
      </c>
      <c r="H821" s="38">
        <f>SUM(G821:G822)</f>
        <v>31.454499999999996</v>
      </c>
      <c r="I821" s="39"/>
      <c r="J821" s="148">
        <v>80</v>
      </c>
      <c r="K821" s="222" t="s">
        <v>8074</v>
      </c>
    </row>
    <row r="822" spans="1:11" ht="26.25" hidden="1" thickBot="1" x14ac:dyDescent="0.3">
      <c r="A822" s="203"/>
      <c r="B822" s="205"/>
      <c r="C822" s="35" t="s">
        <v>277</v>
      </c>
      <c r="D822" s="35" t="s">
        <v>278</v>
      </c>
      <c r="E822" s="36">
        <v>1</v>
      </c>
      <c r="F822" s="33">
        <v>25.611999999999998</v>
      </c>
      <c r="G822" s="30">
        <f t="shared" si="13"/>
        <v>25.611999999999998</v>
      </c>
      <c r="H822" s="34"/>
      <c r="I822" s="30"/>
      <c r="J822" s="148">
        <v>80</v>
      </c>
      <c r="K822" s="222" t="s">
        <v>8074</v>
      </c>
    </row>
    <row r="823" spans="1:11" ht="15.75" hidden="1" thickBot="1" x14ac:dyDescent="0.3">
      <c r="A823" s="209"/>
      <c r="B823" s="206"/>
      <c r="C823" s="35"/>
      <c r="D823" s="35"/>
      <c r="E823" s="36"/>
      <c r="F823" s="30" t="s">
        <v>514</v>
      </c>
      <c r="G823" s="30" t="str">
        <f t="shared" si="13"/>
        <v/>
      </c>
      <c r="H823" s="34"/>
      <c r="I823" s="30"/>
      <c r="J823" s="148">
        <v>80</v>
      </c>
      <c r="K823" s="222" t="s">
        <v>8074</v>
      </c>
    </row>
    <row r="824" spans="1:11" ht="15.75" hidden="1" thickBot="1" x14ac:dyDescent="0.3">
      <c r="A824" s="202" t="s">
        <v>279</v>
      </c>
      <c r="B824" s="204" t="str">
        <f>INDEX(Orçamentária!A:B,MATCH(Composições!A824,Orçamentária!A:A,0),2)</f>
        <v>Instalação de forro de PVC reaproveitado</v>
      </c>
      <c r="C824" s="40"/>
      <c r="D824" s="25" t="str">
        <f>TRIM(INDEX(Orçamentária!C:C,MATCH(Composições!A824,Orçamentária!A:A,0),1))</f>
        <v>m2</v>
      </c>
      <c r="E824" s="26"/>
      <c r="F824" s="41" t="s">
        <v>514</v>
      </c>
      <c r="G824" s="27" t="str">
        <f t="shared" si="13"/>
        <v/>
      </c>
      <c r="H824" s="28"/>
      <c r="I824" s="29"/>
      <c r="J824" s="148">
        <v>80</v>
      </c>
      <c r="K824" s="222" t="s">
        <v>8074</v>
      </c>
    </row>
    <row r="825" spans="1:11" ht="15.75" hidden="1" thickBot="1" x14ac:dyDescent="0.3">
      <c r="A825" s="203"/>
      <c r="B825" s="205"/>
      <c r="C825" s="31"/>
      <c r="D825" s="31"/>
      <c r="E825" s="32"/>
      <c r="F825" s="42" t="s">
        <v>514</v>
      </c>
      <c r="G825" s="30" t="str">
        <f t="shared" si="13"/>
        <v/>
      </c>
      <c r="H825" s="34"/>
      <c r="I825" s="30"/>
      <c r="J825" s="148">
        <v>80</v>
      </c>
      <c r="K825" s="222" t="s">
        <v>8074</v>
      </c>
    </row>
    <row r="826" spans="1:11" ht="15.75" hidden="1" thickBot="1" x14ac:dyDescent="0.3">
      <c r="A826" s="203"/>
      <c r="B826" s="205"/>
      <c r="C826" s="35" t="s">
        <v>27</v>
      </c>
      <c r="D826" s="46" t="s">
        <v>12</v>
      </c>
      <c r="E826" s="36">
        <f>ROUND(0.4994*0.3,4)</f>
        <v>0.14979999999999999</v>
      </c>
      <c r="F826" s="30">
        <v>18.933499999999999</v>
      </c>
      <c r="G826" s="30">
        <f t="shared" si="13"/>
        <v>2.8362382999999998</v>
      </c>
      <c r="H826" s="38">
        <f>SUM(G826:G826)</f>
        <v>2.8362382999999998</v>
      </c>
      <c r="I826" s="39"/>
      <c r="J826" s="148">
        <v>80</v>
      </c>
      <c r="K826" s="222" t="s">
        <v>8074</v>
      </c>
    </row>
    <row r="827" spans="1:11" ht="15.75" hidden="1" thickBot="1" x14ac:dyDescent="0.3">
      <c r="A827" s="209"/>
      <c r="B827" s="206"/>
      <c r="C827" s="35"/>
      <c r="D827" s="35"/>
      <c r="E827" s="36"/>
      <c r="F827" s="30" t="s">
        <v>514</v>
      </c>
      <c r="G827" s="30" t="str">
        <f t="shared" si="13"/>
        <v/>
      </c>
      <c r="H827" s="34"/>
      <c r="I827" s="30"/>
      <c r="J827" s="148">
        <v>80</v>
      </c>
      <c r="K827" s="222" t="s">
        <v>8074</v>
      </c>
    </row>
    <row r="828" spans="1:11" ht="15.75" hidden="1" thickBot="1" x14ac:dyDescent="0.3">
      <c r="A828" s="202" t="s">
        <v>280</v>
      </c>
      <c r="B828" s="204" t="str">
        <f>INDEX(Orçamentária!A:B,MATCH(Composições!A828,Orçamentária!A:A,0),2)</f>
        <v>Instalação de forro mineral reaproveitado</v>
      </c>
      <c r="C828" s="40"/>
      <c r="D828" s="25" t="str">
        <f>TRIM(INDEX(Orçamentária!C:C,MATCH(Composições!A828,Orçamentária!A:A,0),1))</f>
        <v>m2</v>
      </c>
      <c r="E828" s="26"/>
      <c r="F828" s="41" t="s">
        <v>514</v>
      </c>
      <c r="G828" s="27" t="str">
        <f t="shared" si="13"/>
        <v/>
      </c>
      <c r="H828" s="28"/>
      <c r="I828" s="29"/>
      <c r="J828" s="148">
        <v>75</v>
      </c>
      <c r="K828" s="222" t="s">
        <v>8074</v>
      </c>
    </row>
    <row r="829" spans="1:11" ht="15.75" hidden="1" thickBot="1" x14ac:dyDescent="0.3">
      <c r="A829" s="203"/>
      <c r="B829" s="205"/>
      <c r="C829" s="31"/>
      <c r="D829" s="31"/>
      <c r="E829" s="32"/>
      <c r="F829" s="42" t="s">
        <v>514</v>
      </c>
      <c r="G829" s="30" t="str">
        <f t="shared" si="13"/>
        <v/>
      </c>
      <c r="H829" s="34"/>
      <c r="I829" s="30"/>
      <c r="J829" s="148">
        <v>75</v>
      </c>
      <c r="K829" s="222" t="s">
        <v>8074</v>
      </c>
    </row>
    <row r="830" spans="1:11" ht="15.75" hidden="1" thickBot="1" x14ac:dyDescent="0.3">
      <c r="A830" s="203"/>
      <c r="B830" s="205"/>
      <c r="C830" s="35" t="s">
        <v>50</v>
      </c>
      <c r="D830" s="46" t="s">
        <v>12</v>
      </c>
      <c r="E830" s="36">
        <v>1.2</v>
      </c>
      <c r="F830" s="30">
        <v>19.474999999999998</v>
      </c>
      <c r="G830" s="30">
        <f t="shared" si="13"/>
        <v>23.369999999999997</v>
      </c>
      <c r="H830" s="38">
        <f>SUM(G830:G831)</f>
        <v>46.090199999999996</v>
      </c>
      <c r="I830" s="39"/>
      <c r="J830" s="148">
        <v>75</v>
      </c>
      <c r="K830" s="222" t="s">
        <v>8074</v>
      </c>
    </row>
    <row r="831" spans="1:11" ht="15.75" hidden="1" thickBot="1" x14ac:dyDescent="0.3">
      <c r="A831" s="203"/>
      <c r="B831" s="205"/>
      <c r="C831" s="35" t="s">
        <v>27</v>
      </c>
      <c r="D831" s="46" t="s">
        <v>12</v>
      </c>
      <c r="E831" s="36">
        <v>1.2</v>
      </c>
      <c r="F831" s="30">
        <v>18.933499999999999</v>
      </c>
      <c r="G831" s="30">
        <f t="shared" si="13"/>
        <v>22.720199999999998</v>
      </c>
      <c r="H831" s="34"/>
      <c r="I831" s="30"/>
      <c r="J831" s="148">
        <v>75</v>
      </c>
      <c r="K831" s="222" t="s">
        <v>8074</v>
      </c>
    </row>
    <row r="832" spans="1:11" ht="15.75" hidden="1" thickBot="1" x14ac:dyDescent="0.3">
      <c r="A832" s="209"/>
      <c r="B832" s="206"/>
      <c r="C832" s="35"/>
      <c r="D832" s="35"/>
      <c r="E832" s="36"/>
      <c r="F832" s="30" t="s">
        <v>514</v>
      </c>
      <c r="G832" s="30" t="str">
        <f t="shared" si="13"/>
        <v/>
      </c>
      <c r="H832" s="34"/>
      <c r="I832" s="30"/>
      <c r="J832" s="148">
        <v>75</v>
      </c>
      <c r="K832" s="222" t="s">
        <v>8074</v>
      </c>
    </row>
    <row r="833" spans="1:11" ht="15.75" hidden="1" thickBot="1" x14ac:dyDescent="0.3">
      <c r="A833" s="202" t="s">
        <v>281</v>
      </c>
      <c r="B833" s="204" t="str">
        <f>INDEX(Orçamentária!A:B,MATCH(Composições!A833,Orçamentária!A:A,0),2)</f>
        <v>Tabica metálica em forro de gesso acartonado</v>
      </c>
      <c r="C833" s="40"/>
      <c r="D833" s="25" t="str">
        <f>TRIM(INDEX(Orçamentária!C:C,MATCH(Composições!A833,Orçamentária!A:A,0),1))</f>
        <v>m</v>
      </c>
      <c r="E833" s="26"/>
      <c r="F833" s="41" t="s">
        <v>514</v>
      </c>
      <c r="G833" s="27" t="str">
        <f t="shared" si="13"/>
        <v/>
      </c>
      <c r="H833" s="28"/>
      <c r="I833" s="29"/>
      <c r="J833" s="148">
        <v>1875</v>
      </c>
      <c r="K833" s="222" t="s">
        <v>8074</v>
      </c>
    </row>
    <row r="834" spans="1:11" ht="15.75" hidden="1" thickBot="1" x14ac:dyDescent="0.3">
      <c r="A834" s="203"/>
      <c r="B834" s="205"/>
      <c r="C834" s="31"/>
      <c r="D834" s="31"/>
      <c r="E834" s="32"/>
      <c r="F834" s="42" t="s">
        <v>514</v>
      </c>
      <c r="G834" s="30" t="str">
        <f t="shared" si="13"/>
        <v/>
      </c>
      <c r="H834" s="34"/>
      <c r="I834" s="30"/>
      <c r="J834" s="148">
        <v>1875</v>
      </c>
      <c r="K834" s="222" t="s">
        <v>8074</v>
      </c>
    </row>
    <row r="835" spans="1:11" ht="26.25" hidden="1" thickBot="1" x14ac:dyDescent="0.3">
      <c r="A835" s="203"/>
      <c r="B835" s="205"/>
      <c r="C835" s="35" t="s">
        <v>282</v>
      </c>
      <c r="D835" s="35" t="s">
        <v>92</v>
      </c>
      <c r="E835" s="36">
        <v>1.1512</v>
      </c>
      <c r="F835" s="33">
        <v>5.5670000000000002</v>
      </c>
      <c r="G835" s="33">
        <f t="shared" si="13"/>
        <v>6.4087304000000005</v>
      </c>
      <c r="H835" s="38">
        <f>SUM(G835:G838)</f>
        <v>12.70885015</v>
      </c>
      <c r="I835" s="39"/>
      <c r="J835" s="148">
        <v>1875</v>
      </c>
      <c r="K835" s="222" t="s">
        <v>8074</v>
      </c>
    </row>
    <row r="836" spans="1:11" ht="26.25" hidden="1" thickBot="1" x14ac:dyDescent="0.3">
      <c r="A836" s="203"/>
      <c r="B836" s="205"/>
      <c r="C836" s="35" t="s">
        <v>160</v>
      </c>
      <c r="D836" s="35" t="s">
        <v>20</v>
      </c>
      <c r="E836" s="36">
        <v>0.58330000000000004</v>
      </c>
      <c r="F836" s="33">
        <v>0.22799999999999998</v>
      </c>
      <c r="G836" s="33">
        <f t="shared" si="13"/>
        <v>0.13299240000000001</v>
      </c>
      <c r="H836" s="55"/>
      <c r="I836" s="56"/>
      <c r="J836" s="148">
        <v>1875</v>
      </c>
      <c r="K836" s="222" t="s">
        <v>8074</v>
      </c>
    </row>
    <row r="837" spans="1:11" ht="26.25" hidden="1" thickBot="1" x14ac:dyDescent="0.3">
      <c r="A837" s="203"/>
      <c r="B837" s="205"/>
      <c r="C837" s="35" t="s">
        <v>265</v>
      </c>
      <c r="D837" s="35" t="s">
        <v>151</v>
      </c>
      <c r="E837" s="36">
        <v>7.4899999999999994E-2</v>
      </c>
      <c r="F837" s="33">
        <v>45.229499999999994</v>
      </c>
      <c r="G837" s="33">
        <f t="shared" si="13"/>
        <v>3.3876895499999993</v>
      </c>
      <c r="H837" s="55"/>
      <c r="I837" s="56"/>
      <c r="J837" s="148">
        <v>1875</v>
      </c>
      <c r="K837" s="222" t="s">
        <v>8074</v>
      </c>
    </row>
    <row r="838" spans="1:11" ht="15.75" hidden="1" thickBot="1" x14ac:dyDescent="0.3">
      <c r="A838" s="203"/>
      <c r="B838" s="205"/>
      <c r="C838" s="35" t="s">
        <v>27</v>
      </c>
      <c r="D838" s="35" t="s">
        <v>12</v>
      </c>
      <c r="E838" s="36">
        <v>0.14680000000000001</v>
      </c>
      <c r="F838" s="30">
        <v>18.933499999999999</v>
      </c>
      <c r="G838" s="33">
        <f t="shared" si="13"/>
        <v>2.7794378000000002</v>
      </c>
      <c r="H838" s="55"/>
      <c r="I838" s="56"/>
      <c r="J838" s="148">
        <v>1875</v>
      </c>
      <c r="K838" s="222" t="s">
        <v>8074</v>
      </c>
    </row>
    <row r="839" spans="1:11" ht="15.75" hidden="1" thickBot="1" x14ac:dyDescent="0.3">
      <c r="A839" s="209"/>
      <c r="B839" s="206"/>
      <c r="C839" s="35"/>
      <c r="D839" s="35"/>
      <c r="E839" s="36"/>
      <c r="F839" s="30" t="s">
        <v>514</v>
      </c>
      <c r="G839" s="33" t="str">
        <f t="shared" si="13"/>
        <v/>
      </c>
      <c r="H839" s="34"/>
      <c r="I839" s="30"/>
      <c r="J839" s="148">
        <v>1875</v>
      </c>
      <c r="K839" s="222" t="s">
        <v>8074</v>
      </c>
    </row>
    <row r="840" spans="1:11" ht="15.75" hidden="1" thickBot="1" x14ac:dyDescent="0.3">
      <c r="A840" s="202" t="s">
        <v>283</v>
      </c>
      <c r="B840" s="204" t="str">
        <f>INDEX(Orçamentária!A:B,MATCH(Composições!A840,Orçamentária!A:A,0),2)</f>
        <v>Instalação de revestimento de piso têxtil (carpete) reaproveitado</v>
      </c>
      <c r="C840" s="40"/>
      <c r="D840" s="25" t="str">
        <f>TRIM(INDEX(Orçamentária!C:C,MATCH(Composições!A840,Orçamentária!A:A,0),1))</f>
        <v>m2</v>
      </c>
      <c r="E840" s="26"/>
      <c r="F840" s="41" t="s">
        <v>514</v>
      </c>
      <c r="G840" s="27" t="str">
        <f t="shared" si="13"/>
        <v/>
      </c>
      <c r="H840" s="28"/>
      <c r="I840" s="29"/>
      <c r="J840" s="148">
        <v>250</v>
      </c>
      <c r="K840" s="222" t="s">
        <v>8074</v>
      </c>
    </row>
    <row r="841" spans="1:11" ht="15.75" hidden="1" thickBot="1" x14ac:dyDescent="0.3">
      <c r="A841" s="203"/>
      <c r="B841" s="205"/>
      <c r="C841" s="31"/>
      <c r="D841" s="31"/>
      <c r="E841" s="32"/>
      <c r="F841" s="42" t="s">
        <v>514</v>
      </c>
      <c r="G841" s="30" t="str">
        <f t="shared" si="13"/>
        <v/>
      </c>
      <c r="H841" s="34"/>
      <c r="I841" s="30"/>
      <c r="J841" s="148">
        <v>250</v>
      </c>
      <c r="K841" s="222" t="s">
        <v>8074</v>
      </c>
    </row>
    <row r="842" spans="1:11" ht="15.75" hidden="1" thickBot="1" x14ac:dyDescent="0.3">
      <c r="A842" s="203"/>
      <c r="B842" s="205"/>
      <c r="C842" s="35" t="s">
        <v>23</v>
      </c>
      <c r="D842" s="35" t="s">
        <v>12</v>
      </c>
      <c r="E842" s="36">
        <v>0.1</v>
      </c>
      <c r="F842" s="30">
        <v>18.420500000000001</v>
      </c>
      <c r="G842" s="33">
        <f t="shared" si="13"/>
        <v>1.8420500000000002</v>
      </c>
      <c r="H842" s="38">
        <f>SUM(G842:G844)</f>
        <v>8.8948499999999999</v>
      </c>
      <c r="I842" s="39"/>
      <c r="J842" s="148">
        <v>250</v>
      </c>
      <c r="K842" s="222" t="s">
        <v>8074</v>
      </c>
    </row>
    <row r="843" spans="1:11" ht="15.75" hidden="1" thickBot="1" x14ac:dyDescent="0.3">
      <c r="A843" s="203"/>
      <c r="B843" s="205"/>
      <c r="C843" s="35" t="s">
        <v>22</v>
      </c>
      <c r="D843" s="35" t="s">
        <v>12</v>
      </c>
      <c r="E843" s="36">
        <v>0.1</v>
      </c>
      <c r="F843" s="30">
        <v>24.889999999999997</v>
      </c>
      <c r="G843" s="33">
        <f t="shared" si="13"/>
        <v>2.4889999999999999</v>
      </c>
      <c r="H843" s="34"/>
      <c r="I843" s="30"/>
      <c r="J843" s="148">
        <v>250</v>
      </c>
      <c r="K843" s="222" t="s">
        <v>8074</v>
      </c>
    </row>
    <row r="844" spans="1:11" ht="15.75" hidden="1" thickBot="1" x14ac:dyDescent="0.3">
      <c r="A844" s="203"/>
      <c r="B844" s="205"/>
      <c r="C844" s="35" t="s">
        <v>6597</v>
      </c>
      <c r="D844" s="35" t="s">
        <v>42</v>
      </c>
      <c r="E844" s="36">
        <v>0.1</v>
      </c>
      <c r="F844" s="33">
        <v>45.637999999999998</v>
      </c>
      <c r="G844" s="30">
        <f t="shared" si="13"/>
        <v>4.5637999999999996</v>
      </c>
      <c r="H844" s="34"/>
      <c r="I844" s="30"/>
      <c r="J844" s="148">
        <v>250</v>
      </c>
      <c r="K844" s="222" t="s">
        <v>8074</v>
      </c>
    </row>
    <row r="845" spans="1:11" ht="15.75" hidden="1" thickBot="1" x14ac:dyDescent="0.3">
      <c r="A845" s="209"/>
      <c r="B845" s="206"/>
      <c r="C845" s="35"/>
      <c r="D845" s="35"/>
      <c r="E845" s="36"/>
      <c r="F845" s="30" t="s">
        <v>514</v>
      </c>
      <c r="G845" s="30" t="str">
        <f t="shared" si="13"/>
        <v/>
      </c>
      <c r="H845" s="34"/>
      <c r="I845" s="30"/>
      <c r="J845" s="148">
        <v>250</v>
      </c>
      <c r="K845" s="222" t="s">
        <v>8074</v>
      </c>
    </row>
    <row r="846" spans="1:11" ht="15.75" hidden="1" thickBot="1" x14ac:dyDescent="0.3">
      <c r="A846" s="202" t="s">
        <v>284</v>
      </c>
      <c r="B846" s="204" t="str">
        <f>INDEX(Orçamentária!A:B,MATCH(Composições!A846,Orçamentária!A:A,0),2)</f>
        <v>Baguetes metálicos</v>
      </c>
      <c r="C846" s="40"/>
      <c r="D846" s="25" t="str">
        <f>TRIM(INDEX(Orçamentária!C:C,MATCH(Composições!A846,Orçamentária!A:A,0),1))</f>
        <v>m</v>
      </c>
      <c r="E846" s="26"/>
      <c r="F846" s="41" t="s">
        <v>514</v>
      </c>
      <c r="G846" s="27" t="str">
        <f t="shared" si="13"/>
        <v/>
      </c>
      <c r="H846" s="28"/>
      <c r="I846" s="29"/>
      <c r="J846" s="148">
        <v>0</v>
      </c>
      <c r="K846" s="222">
        <v>0</v>
      </c>
    </row>
    <row r="847" spans="1:11" ht="15.75" hidden="1" thickBot="1" x14ac:dyDescent="0.3">
      <c r="A847" s="207"/>
      <c r="B847" s="205"/>
      <c r="C847" s="31"/>
      <c r="D847" s="31"/>
      <c r="E847" s="32"/>
      <c r="F847" s="42" t="s">
        <v>514</v>
      </c>
      <c r="G847" s="30" t="str">
        <f t="shared" si="13"/>
        <v/>
      </c>
      <c r="H847" s="34"/>
      <c r="I847" s="30"/>
      <c r="J847" s="148">
        <v>0</v>
      </c>
      <c r="K847" s="222">
        <v>0</v>
      </c>
    </row>
    <row r="848" spans="1:11" ht="15.75" hidden="1" thickBot="1" x14ac:dyDescent="0.3">
      <c r="A848" s="207"/>
      <c r="B848" s="205"/>
      <c r="C848" s="35" t="s">
        <v>68</v>
      </c>
      <c r="D848" s="46" t="s">
        <v>12</v>
      </c>
      <c r="E848" s="36">
        <v>0.25</v>
      </c>
      <c r="F848" s="30">
        <v>22.961500000000001</v>
      </c>
      <c r="G848" s="33">
        <f t="shared" si="13"/>
        <v>5.7403750000000002</v>
      </c>
      <c r="H848" s="38">
        <f>SUM(G848:G849)</f>
        <v>5.7403750000000002</v>
      </c>
      <c r="I848" s="39"/>
      <c r="J848" s="148">
        <v>0</v>
      </c>
      <c r="K848" s="222">
        <v>0</v>
      </c>
    </row>
    <row r="849" spans="1:11" ht="15.75" hidden="1" thickBot="1" x14ac:dyDescent="0.3">
      <c r="A849" s="207"/>
      <c r="B849" s="205"/>
      <c r="C849" s="35" t="s">
        <v>285</v>
      </c>
      <c r="D849" s="46" t="s">
        <v>92</v>
      </c>
      <c r="E849" s="36">
        <v>1.05</v>
      </c>
      <c r="F849" s="33" t="s">
        <v>514</v>
      </c>
      <c r="G849" s="33" t="str">
        <f t="shared" si="13"/>
        <v/>
      </c>
      <c r="H849" s="34"/>
      <c r="I849" s="30"/>
      <c r="J849" s="148">
        <v>0</v>
      </c>
      <c r="K849" s="222">
        <v>0</v>
      </c>
    </row>
    <row r="850" spans="1:11" ht="15.75" hidden="1" thickBot="1" x14ac:dyDescent="0.3">
      <c r="A850" s="208"/>
      <c r="B850" s="206"/>
      <c r="C850" s="35"/>
      <c r="D850" s="46"/>
      <c r="E850" s="36"/>
      <c r="F850" s="33" t="s">
        <v>514</v>
      </c>
      <c r="G850" s="33" t="str">
        <f t="shared" si="13"/>
        <v/>
      </c>
      <c r="H850" s="34"/>
      <c r="I850" s="30"/>
      <c r="J850" s="148">
        <v>0</v>
      </c>
      <c r="K850" s="222">
        <v>0</v>
      </c>
    </row>
    <row r="851" spans="1:11" ht="15.75" hidden="1" thickBot="1" x14ac:dyDescent="0.3">
      <c r="A851" s="202" t="s">
        <v>286</v>
      </c>
      <c r="B851" s="204" t="str">
        <f>INDEX(Orçamentária!A:B,MATCH(Composições!A851,Orçamentária!A:A,0),2)</f>
        <v>Cordão de massa de vidraceiro</v>
      </c>
      <c r="C851" s="40"/>
      <c r="D851" s="25" t="str">
        <f>TRIM(INDEX(Orçamentária!C:C,MATCH(Composições!A851,Orçamentária!A:A,0),1))</f>
        <v>m</v>
      </c>
      <c r="E851" s="26"/>
      <c r="F851" s="41" t="s">
        <v>514</v>
      </c>
      <c r="G851" s="27" t="str">
        <f t="shared" ref="G851:G914" si="14">IF(ISNUMBER(F851),E851*F851,"")</f>
        <v/>
      </c>
      <c r="H851" s="28"/>
      <c r="I851" s="29"/>
      <c r="J851" s="148">
        <v>0</v>
      </c>
      <c r="K851" s="222">
        <v>0</v>
      </c>
    </row>
    <row r="852" spans="1:11" ht="15.75" hidden="1" thickBot="1" x14ac:dyDescent="0.3">
      <c r="A852" s="207"/>
      <c r="B852" s="205"/>
      <c r="C852" s="31"/>
      <c r="D852" s="31"/>
      <c r="E852" s="32"/>
      <c r="F852" s="42" t="s">
        <v>514</v>
      </c>
      <c r="G852" s="30" t="str">
        <f t="shared" si="14"/>
        <v/>
      </c>
      <c r="H852" s="34"/>
      <c r="I852" s="30"/>
      <c r="J852" s="148">
        <v>0</v>
      </c>
      <c r="K852" s="222">
        <v>0</v>
      </c>
    </row>
    <row r="853" spans="1:11" ht="15.75" hidden="1" thickBot="1" x14ac:dyDescent="0.3">
      <c r="A853" s="207"/>
      <c r="B853" s="205"/>
      <c r="C853" s="35" t="s">
        <v>68</v>
      </c>
      <c r="D853" s="46" t="s">
        <v>12</v>
      </c>
      <c r="E853" s="36">
        <v>0.5</v>
      </c>
      <c r="F853" s="30">
        <v>22.961500000000001</v>
      </c>
      <c r="G853" s="33">
        <f t="shared" si="14"/>
        <v>11.48075</v>
      </c>
      <c r="H853" s="38">
        <f>SUM(G853:G855)</f>
        <v>19.579975000000001</v>
      </c>
      <c r="I853" s="39"/>
      <c r="J853" s="148">
        <v>0</v>
      </c>
      <c r="K853" s="222">
        <v>0</v>
      </c>
    </row>
    <row r="854" spans="1:11" ht="15.75" hidden="1" thickBot="1" x14ac:dyDescent="0.3">
      <c r="A854" s="207"/>
      <c r="B854" s="205"/>
      <c r="C854" s="35" t="s">
        <v>23</v>
      </c>
      <c r="D854" s="46" t="s">
        <v>12</v>
      </c>
      <c r="E854" s="36">
        <f>E853/2</f>
        <v>0.25</v>
      </c>
      <c r="F854" s="33">
        <v>18.420500000000001</v>
      </c>
      <c r="G854" s="30">
        <f t="shared" si="14"/>
        <v>4.6051250000000001</v>
      </c>
      <c r="H854" s="34"/>
      <c r="I854" s="30"/>
      <c r="J854" s="148">
        <v>0</v>
      </c>
      <c r="K854" s="222">
        <v>0</v>
      </c>
    </row>
    <row r="855" spans="1:11" ht="15.75" hidden="1" thickBot="1" x14ac:dyDescent="0.3">
      <c r="A855" s="207"/>
      <c r="B855" s="205"/>
      <c r="C855" s="35" t="s">
        <v>287</v>
      </c>
      <c r="D855" s="35" t="s">
        <v>42</v>
      </c>
      <c r="E855" s="36">
        <v>0.6</v>
      </c>
      <c r="F855" s="33">
        <v>5.8234999999999992</v>
      </c>
      <c r="G855" s="30">
        <f t="shared" si="14"/>
        <v>3.4940999999999995</v>
      </c>
      <c r="H855" s="34"/>
      <c r="I855" s="30"/>
      <c r="J855" s="148">
        <v>0</v>
      </c>
      <c r="K855" s="222">
        <v>0</v>
      </c>
    </row>
    <row r="856" spans="1:11" ht="15.75" hidden="1" thickBot="1" x14ac:dyDescent="0.3">
      <c r="A856" s="208"/>
      <c r="B856" s="206"/>
      <c r="C856" s="35"/>
      <c r="D856" s="35"/>
      <c r="E856" s="36"/>
      <c r="F856" s="30" t="s">
        <v>514</v>
      </c>
      <c r="G856" s="30" t="str">
        <f t="shared" si="14"/>
        <v/>
      </c>
      <c r="H856" s="34"/>
      <c r="I856" s="30"/>
      <c r="J856" s="148">
        <v>0</v>
      </c>
      <c r="K856" s="222">
        <v>0</v>
      </c>
    </row>
    <row r="857" spans="1:11" ht="15.75" thickBot="1" x14ac:dyDescent="0.3">
      <c r="A857" s="202" t="s">
        <v>288</v>
      </c>
      <c r="B857" s="204" t="str">
        <f>INDEX(Orçamentária!A:B,MATCH(Composições!A857,Orçamentária!A:A,0),2)</f>
        <v>Espelho cristal, e=5 mm</v>
      </c>
      <c r="C857" s="40"/>
      <c r="D857" s="25" t="str">
        <f>TRIM(INDEX(Orçamentária!C:C,MATCH(Composições!A857,Orçamentária!A:A,0),1))</f>
        <v>m2</v>
      </c>
      <c r="E857" s="26"/>
      <c r="F857" s="41" t="s">
        <v>514</v>
      </c>
      <c r="G857" s="27" t="str">
        <f t="shared" si="14"/>
        <v/>
      </c>
      <c r="H857" s="28"/>
      <c r="I857" s="29"/>
      <c r="J857" s="148">
        <v>100</v>
      </c>
      <c r="K857" s="222" t="s">
        <v>8075</v>
      </c>
    </row>
    <row r="858" spans="1:11" x14ac:dyDescent="0.25">
      <c r="A858" s="203"/>
      <c r="B858" s="205"/>
      <c r="C858" s="31"/>
      <c r="D858" s="31"/>
      <c r="E858" s="32"/>
      <c r="F858" s="42" t="s">
        <v>514</v>
      </c>
      <c r="G858" s="30" t="str">
        <f t="shared" si="14"/>
        <v/>
      </c>
      <c r="H858" s="34"/>
      <c r="I858" s="30"/>
      <c r="J858" s="148">
        <v>100</v>
      </c>
      <c r="K858" s="222" t="s">
        <v>8075</v>
      </c>
    </row>
    <row r="859" spans="1:11" x14ac:dyDescent="0.25">
      <c r="A859" s="203"/>
      <c r="B859" s="205"/>
      <c r="C859" s="35" t="s">
        <v>289</v>
      </c>
      <c r="D859" s="46" t="s">
        <v>94</v>
      </c>
      <c r="E859" s="36">
        <v>1</v>
      </c>
      <c r="F859" s="30">
        <v>750.63299999999992</v>
      </c>
      <c r="G859" s="33">
        <f t="shared" si="14"/>
        <v>750.63299999999992</v>
      </c>
      <c r="H859" s="38">
        <f>SUM(G859:G861)</f>
        <v>854.08799999999997</v>
      </c>
      <c r="I859" s="39"/>
      <c r="J859" s="148">
        <v>100</v>
      </c>
      <c r="K859" s="222" t="s">
        <v>8075</v>
      </c>
    </row>
    <row r="860" spans="1:11" x14ac:dyDescent="0.25">
      <c r="A860" s="203"/>
      <c r="B860" s="205"/>
      <c r="C860" s="35" t="s">
        <v>23</v>
      </c>
      <c r="D860" s="46" t="s">
        <v>12</v>
      </c>
      <c r="E860" s="36">
        <v>2.5</v>
      </c>
      <c r="F860" s="30">
        <v>18.420500000000001</v>
      </c>
      <c r="G860" s="33">
        <f t="shared" si="14"/>
        <v>46.051250000000003</v>
      </c>
      <c r="H860" s="34"/>
      <c r="I860" s="30"/>
      <c r="J860" s="148">
        <v>100</v>
      </c>
      <c r="K860" s="222" t="s">
        <v>8075</v>
      </c>
    </row>
    <row r="861" spans="1:11" x14ac:dyDescent="0.25">
      <c r="A861" s="203"/>
      <c r="B861" s="205"/>
      <c r="C861" s="35" t="s">
        <v>68</v>
      </c>
      <c r="D861" s="46" t="s">
        <v>12</v>
      </c>
      <c r="E861" s="36">
        <v>2.5</v>
      </c>
      <c r="F861" s="30">
        <v>22.961500000000001</v>
      </c>
      <c r="G861" s="33">
        <f t="shared" si="14"/>
        <v>57.403750000000002</v>
      </c>
      <c r="H861" s="34"/>
      <c r="I861" s="30"/>
      <c r="J861" s="148">
        <v>100</v>
      </c>
      <c r="K861" s="222" t="s">
        <v>8075</v>
      </c>
    </row>
    <row r="862" spans="1:11" ht="15.75" thickBot="1" x14ac:dyDescent="0.3">
      <c r="A862" s="209"/>
      <c r="B862" s="206"/>
      <c r="C862" s="35"/>
      <c r="D862" s="35"/>
      <c r="E862" s="36"/>
      <c r="F862" s="30" t="s">
        <v>514</v>
      </c>
      <c r="G862" s="30" t="str">
        <f t="shared" si="14"/>
        <v/>
      </c>
      <c r="H862" s="34"/>
      <c r="I862" s="30"/>
      <c r="J862" s="148">
        <v>100</v>
      </c>
      <c r="K862" s="222" t="s">
        <v>8075</v>
      </c>
    </row>
    <row r="863" spans="1:11" ht="15.75" hidden="1" thickBot="1" x14ac:dyDescent="0.3">
      <c r="A863" s="202" t="s">
        <v>290</v>
      </c>
      <c r="B863" s="204" t="str">
        <f>INDEX(Orçamentária!A:B,MATCH(Composições!A863,Orçamentária!A:A,0),2)</f>
        <v>Instalação de vidro reaproveitado</v>
      </c>
      <c r="C863" s="40"/>
      <c r="D863" s="25" t="str">
        <f>TRIM(INDEX(Orçamentária!C:C,MATCH(Composições!A863,Orçamentária!A:A,0),1))</f>
        <v>m2</v>
      </c>
      <c r="E863" s="26"/>
      <c r="F863" s="41" t="s">
        <v>514</v>
      </c>
      <c r="G863" s="27" t="str">
        <f t="shared" si="14"/>
        <v/>
      </c>
      <c r="H863" s="28"/>
      <c r="I863" s="29"/>
      <c r="J863" s="148">
        <v>45</v>
      </c>
      <c r="K863" s="222" t="s">
        <v>8074</v>
      </c>
    </row>
    <row r="864" spans="1:11" ht="15.75" hidden="1" thickBot="1" x14ac:dyDescent="0.3">
      <c r="A864" s="203"/>
      <c r="B864" s="205"/>
      <c r="C864" s="31"/>
      <c r="D864" s="31"/>
      <c r="E864" s="32"/>
      <c r="F864" s="42" t="s">
        <v>514</v>
      </c>
      <c r="G864" s="30" t="str">
        <f t="shared" si="14"/>
        <v/>
      </c>
      <c r="H864" s="34"/>
      <c r="I864" s="30"/>
      <c r="J864" s="148">
        <v>45</v>
      </c>
      <c r="K864" s="222" t="s">
        <v>8074</v>
      </c>
    </row>
    <row r="865" spans="1:11" ht="15.75" hidden="1" thickBot="1" x14ac:dyDescent="0.3">
      <c r="A865" s="203"/>
      <c r="B865" s="205"/>
      <c r="C865" s="35" t="s">
        <v>68</v>
      </c>
      <c r="D865" s="46" t="s">
        <v>12</v>
      </c>
      <c r="E865" s="36">
        <v>1</v>
      </c>
      <c r="F865" s="30">
        <v>22.961500000000001</v>
      </c>
      <c r="G865" s="33">
        <f t="shared" si="14"/>
        <v>22.961500000000001</v>
      </c>
      <c r="H865" s="38">
        <f>SUM(G865:G866)</f>
        <v>34.608499999999999</v>
      </c>
      <c r="I865" s="39"/>
      <c r="J865" s="148">
        <v>45</v>
      </c>
      <c r="K865" s="222" t="s">
        <v>8074</v>
      </c>
    </row>
    <row r="866" spans="1:11" ht="15.75" hidden="1" thickBot="1" x14ac:dyDescent="0.3">
      <c r="A866" s="203"/>
      <c r="B866" s="205"/>
      <c r="C866" s="35" t="s">
        <v>287</v>
      </c>
      <c r="D866" s="46" t="s">
        <v>42</v>
      </c>
      <c r="E866" s="36">
        <v>2</v>
      </c>
      <c r="F866" s="33">
        <v>5.8234999999999992</v>
      </c>
      <c r="G866" s="33">
        <f t="shared" si="14"/>
        <v>11.646999999999998</v>
      </c>
      <c r="H866" s="34"/>
      <c r="I866" s="30"/>
      <c r="J866" s="148">
        <v>45</v>
      </c>
      <c r="K866" s="222" t="s">
        <v>8074</v>
      </c>
    </row>
    <row r="867" spans="1:11" ht="15.75" hidden="1" thickBot="1" x14ac:dyDescent="0.3">
      <c r="A867" s="203"/>
      <c r="B867" s="205"/>
      <c r="C867" s="35"/>
      <c r="D867" s="46"/>
      <c r="E867" s="36"/>
      <c r="F867" s="33" t="s">
        <v>514</v>
      </c>
      <c r="G867" s="33" t="str">
        <f t="shared" si="14"/>
        <v/>
      </c>
      <c r="H867" s="34"/>
      <c r="I867" s="30"/>
      <c r="J867" s="148">
        <v>45</v>
      </c>
      <c r="K867" s="222" t="s">
        <v>8074</v>
      </c>
    </row>
    <row r="868" spans="1:11" ht="15.75" hidden="1" thickBot="1" x14ac:dyDescent="0.3">
      <c r="A868" s="202" t="s">
        <v>291</v>
      </c>
      <c r="B868" s="204" t="str">
        <f>INDEX(Orçamentária!A:B,MATCH(Composições!A868,Orçamentária!A:A,0),2)</f>
        <v>Substituição da calafetação com selante</v>
      </c>
      <c r="C868" s="40"/>
      <c r="D868" s="25" t="str">
        <f>TRIM(INDEX(Orçamentária!C:C,MATCH(Composições!A868,Orçamentária!A:A,0),1))</f>
        <v>m</v>
      </c>
      <c r="E868" s="26"/>
      <c r="F868" s="41" t="s">
        <v>514</v>
      </c>
      <c r="G868" s="27" t="str">
        <f t="shared" si="14"/>
        <v/>
      </c>
      <c r="H868" s="28"/>
      <c r="I868" s="29"/>
      <c r="J868" s="148">
        <v>0</v>
      </c>
      <c r="K868" s="222">
        <v>0</v>
      </c>
    </row>
    <row r="869" spans="1:11" ht="15.75" hidden="1" thickBot="1" x14ac:dyDescent="0.3">
      <c r="A869" s="207"/>
      <c r="B869" s="205"/>
      <c r="C869" s="31"/>
      <c r="D869" s="31"/>
      <c r="E869" s="32"/>
      <c r="F869" s="42" t="s">
        <v>514</v>
      </c>
      <c r="G869" s="30" t="str">
        <f t="shared" si="14"/>
        <v/>
      </c>
      <c r="H869" s="34"/>
      <c r="I869" s="30"/>
      <c r="J869" s="148">
        <v>0</v>
      </c>
      <c r="K869" s="222">
        <v>0</v>
      </c>
    </row>
    <row r="870" spans="1:11" ht="15.75" hidden="1" thickBot="1" x14ac:dyDescent="0.3">
      <c r="A870" s="207"/>
      <c r="B870" s="205"/>
      <c r="C870" s="35" t="s">
        <v>68</v>
      </c>
      <c r="D870" s="46" t="s">
        <v>12</v>
      </c>
      <c r="E870" s="36">
        <v>0.3</v>
      </c>
      <c r="F870" s="30">
        <v>22.961500000000001</v>
      </c>
      <c r="G870" s="30">
        <f t="shared" si="14"/>
        <v>6.8884499999999997</v>
      </c>
      <c r="H870" s="38">
        <f>SUM(G870:G872)</f>
        <v>20.5521195</v>
      </c>
      <c r="I870" s="39"/>
      <c r="J870" s="148">
        <v>0</v>
      </c>
      <c r="K870" s="222">
        <v>0</v>
      </c>
    </row>
    <row r="871" spans="1:11" ht="15.75" hidden="1" thickBot="1" x14ac:dyDescent="0.3">
      <c r="A871" s="207"/>
      <c r="B871" s="205"/>
      <c r="C871" s="35" t="s">
        <v>23</v>
      </c>
      <c r="D871" s="46" t="s">
        <v>12</v>
      </c>
      <c r="E871" s="36">
        <v>0.3</v>
      </c>
      <c r="F871" s="33">
        <v>18.420500000000001</v>
      </c>
      <c r="G871" s="30">
        <f t="shared" si="14"/>
        <v>5.5261500000000003</v>
      </c>
      <c r="H871" s="34"/>
      <c r="I871" s="30"/>
      <c r="J871" s="148">
        <v>0</v>
      </c>
      <c r="K871" s="222">
        <v>0</v>
      </c>
    </row>
    <row r="872" spans="1:11" ht="15.75" hidden="1" thickBot="1" x14ac:dyDescent="0.3">
      <c r="A872" s="207"/>
      <c r="B872" s="205"/>
      <c r="C872" s="35" t="s">
        <v>292</v>
      </c>
      <c r="D872" s="46" t="s">
        <v>20</v>
      </c>
      <c r="E872" s="36">
        <f>ROUND(1/3,4)</f>
        <v>0.33329999999999999</v>
      </c>
      <c r="F872" s="33">
        <v>24.414999999999999</v>
      </c>
      <c r="G872" s="30">
        <f t="shared" si="14"/>
        <v>8.1375194999999998</v>
      </c>
      <c r="H872" s="34"/>
      <c r="I872" s="30"/>
      <c r="J872" s="148">
        <v>0</v>
      </c>
      <c r="K872" s="222">
        <v>0</v>
      </c>
    </row>
    <row r="873" spans="1:11" ht="15.75" hidden="1" thickBot="1" x14ac:dyDescent="0.3">
      <c r="A873" s="207"/>
      <c r="B873" s="205"/>
      <c r="C873" s="35"/>
      <c r="D873" s="46"/>
      <c r="E873" s="36"/>
      <c r="F873" s="30" t="s">
        <v>514</v>
      </c>
      <c r="G873" s="30" t="str">
        <f t="shared" si="14"/>
        <v/>
      </c>
      <c r="H873" s="34"/>
      <c r="I873" s="30"/>
      <c r="J873" s="148">
        <v>0</v>
      </c>
      <c r="K873" s="222">
        <v>0</v>
      </c>
    </row>
    <row r="874" spans="1:11" ht="26.25" hidden="1" thickBot="1" x14ac:dyDescent="0.3">
      <c r="A874" s="207"/>
      <c r="B874" s="205"/>
      <c r="C874" s="57" t="s">
        <v>293</v>
      </c>
      <c r="D874" s="57"/>
      <c r="E874" s="58"/>
      <c r="F874" s="59" t="s">
        <v>514</v>
      </c>
      <c r="G874" s="57" t="str">
        <f t="shared" si="14"/>
        <v/>
      </c>
      <c r="H874" s="60"/>
      <c r="I874" s="57"/>
      <c r="J874" s="148">
        <v>0</v>
      </c>
      <c r="K874" s="222">
        <v>0</v>
      </c>
    </row>
    <row r="875" spans="1:11" ht="15.75" hidden="1" thickBot="1" x14ac:dyDescent="0.3">
      <c r="A875" s="208"/>
      <c r="B875" s="206"/>
      <c r="C875" s="35"/>
      <c r="D875" s="35"/>
      <c r="E875" s="36"/>
      <c r="F875" s="30" t="s">
        <v>514</v>
      </c>
      <c r="G875" s="30" t="str">
        <f t="shared" si="14"/>
        <v/>
      </c>
      <c r="H875" s="34"/>
      <c r="I875" s="30"/>
      <c r="J875" s="148">
        <v>0</v>
      </c>
      <c r="K875" s="222">
        <v>0</v>
      </c>
    </row>
    <row r="876" spans="1:11" ht="15.75" thickBot="1" x14ac:dyDescent="0.3">
      <c r="A876" s="202" t="s">
        <v>294</v>
      </c>
      <c r="B876" s="204" t="str">
        <f>INDEX(Orçamentária!A:B,MATCH(Composições!A876,Orçamentária!A:A,0),2)</f>
        <v>Vidro liso comum transparente 4mm</v>
      </c>
      <c r="C876" s="40"/>
      <c r="D876" s="25" t="str">
        <f>TRIM(INDEX(Orçamentária!C:C,MATCH(Composições!A876,Orçamentária!A:A,0),1))</f>
        <v>m2</v>
      </c>
      <c r="E876" s="26"/>
      <c r="F876" s="41" t="s">
        <v>514</v>
      </c>
      <c r="G876" s="27" t="str">
        <f t="shared" si="14"/>
        <v/>
      </c>
      <c r="H876" s="28"/>
      <c r="I876" s="29"/>
      <c r="J876" s="148">
        <v>20</v>
      </c>
      <c r="K876" s="222" t="s">
        <v>8075</v>
      </c>
    </row>
    <row r="877" spans="1:11" x14ac:dyDescent="0.25">
      <c r="A877" s="207"/>
      <c r="B877" s="205"/>
      <c r="C877" s="31"/>
      <c r="D877" s="31"/>
      <c r="E877" s="32"/>
      <c r="F877" s="42" t="s">
        <v>514</v>
      </c>
      <c r="G877" s="30" t="str">
        <f t="shared" si="14"/>
        <v/>
      </c>
      <c r="H877" s="34"/>
      <c r="I877" s="30"/>
      <c r="J877" s="148">
        <v>20</v>
      </c>
      <c r="K877" s="222" t="s">
        <v>8075</v>
      </c>
    </row>
    <row r="878" spans="1:11" x14ac:dyDescent="0.25">
      <c r="A878" s="207"/>
      <c r="B878" s="205"/>
      <c r="C878" s="35" t="s">
        <v>6678</v>
      </c>
      <c r="D878" s="46" t="s">
        <v>982</v>
      </c>
      <c r="E878" s="36">
        <v>1</v>
      </c>
      <c r="F878" s="30">
        <v>91.713000000000008</v>
      </c>
      <c r="G878" s="33">
        <f t="shared" si="14"/>
        <v>91.713000000000008</v>
      </c>
      <c r="H878" s="38">
        <f>SUM(G878:G882)</f>
        <v>132.74854450000001</v>
      </c>
      <c r="I878" s="39"/>
      <c r="J878" s="148">
        <v>20</v>
      </c>
      <c r="K878" s="222" t="s">
        <v>8075</v>
      </c>
    </row>
    <row r="879" spans="1:11" x14ac:dyDescent="0.25">
      <c r="A879" s="207"/>
      <c r="B879" s="205"/>
      <c r="C879" s="35" t="s">
        <v>3332</v>
      </c>
      <c r="D879" s="46" t="s">
        <v>891</v>
      </c>
      <c r="E879" s="36">
        <v>3.3000000000000002E-2</v>
      </c>
      <c r="F879" s="33">
        <v>25.450499999999998</v>
      </c>
      <c r="G879" s="33">
        <f t="shared" si="14"/>
        <v>0.83986649999999996</v>
      </c>
      <c r="H879" s="34"/>
      <c r="I879" s="30"/>
      <c r="J879" s="148">
        <v>20</v>
      </c>
      <c r="K879" s="222" t="s">
        <v>8075</v>
      </c>
    </row>
    <row r="880" spans="1:11" x14ac:dyDescent="0.25">
      <c r="A880" s="207"/>
      <c r="B880" s="205"/>
      <c r="C880" s="35" t="s">
        <v>1117</v>
      </c>
      <c r="D880" s="46" t="s">
        <v>278</v>
      </c>
      <c r="E880" s="36">
        <v>0.56499999999999995</v>
      </c>
      <c r="F880" s="33">
        <v>24.414999999999999</v>
      </c>
      <c r="G880" s="33">
        <f t="shared" si="14"/>
        <v>13.794474999999998</v>
      </c>
      <c r="H880" s="34"/>
      <c r="I880" s="30"/>
      <c r="J880" s="148">
        <v>20</v>
      </c>
      <c r="K880" s="222" t="s">
        <v>8075</v>
      </c>
    </row>
    <row r="881" spans="1:11" x14ac:dyDescent="0.25">
      <c r="A881" s="207"/>
      <c r="B881" s="205"/>
      <c r="C881" s="35" t="s">
        <v>696</v>
      </c>
      <c r="D881" s="46" t="s">
        <v>695</v>
      </c>
      <c r="E881" s="36">
        <v>0.628</v>
      </c>
      <c r="F881" s="33">
        <v>18.420500000000001</v>
      </c>
      <c r="G881" s="33">
        <f t="shared" si="14"/>
        <v>11.568074000000001</v>
      </c>
      <c r="H881" s="34"/>
      <c r="I881" s="30"/>
      <c r="J881" s="148">
        <v>20</v>
      </c>
      <c r="K881" s="222" t="s">
        <v>8075</v>
      </c>
    </row>
    <row r="882" spans="1:11" x14ac:dyDescent="0.25">
      <c r="A882" s="207"/>
      <c r="B882" s="205"/>
      <c r="C882" s="35" t="s">
        <v>3220</v>
      </c>
      <c r="D882" s="46" t="s">
        <v>695</v>
      </c>
      <c r="E882" s="36">
        <v>0.64600000000000002</v>
      </c>
      <c r="F882" s="33">
        <v>22.961500000000001</v>
      </c>
      <c r="G882" s="33">
        <f t="shared" si="14"/>
        <v>14.833129000000001</v>
      </c>
      <c r="H882" s="34"/>
      <c r="I882" s="30"/>
      <c r="J882" s="148">
        <v>20</v>
      </c>
      <c r="K882" s="222" t="s">
        <v>8075</v>
      </c>
    </row>
    <row r="883" spans="1:11" ht="15.75" thickBot="1" x14ac:dyDescent="0.3">
      <c r="A883" s="208"/>
      <c r="B883" s="206"/>
      <c r="C883" s="35"/>
      <c r="D883" s="35"/>
      <c r="E883" s="36"/>
      <c r="F883" s="30" t="s">
        <v>514</v>
      </c>
      <c r="G883" s="30" t="str">
        <f t="shared" si="14"/>
        <v/>
      </c>
      <c r="H883" s="34"/>
      <c r="I883" s="30"/>
      <c r="J883" s="148">
        <v>20</v>
      </c>
      <c r="K883" s="222" t="s">
        <v>8075</v>
      </c>
    </row>
    <row r="884" spans="1:11" ht="15.75" thickBot="1" x14ac:dyDescent="0.3">
      <c r="A884" s="202" t="s">
        <v>295</v>
      </c>
      <c r="B884" s="204" t="str">
        <f>INDEX(Orçamentária!A:B,MATCH(Composições!A884,Orçamentária!A:A,0),2)</f>
        <v>Vidro liso comum transparente 6mm</v>
      </c>
      <c r="C884" s="40"/>
      <c r="D884" s="25" t="str">
        <f>TRIM(INDEX(Orçamentária!C:C,MATCH(Composições!A884,Orçamentária!A:A,0),1))</f>
        <v>m2</v>
      </c>
      <c r="E884" s="26"/>
      <c r="F884" s="41" t="s">
        <v>514</v>
      </c>
      <c r="G884" s="27" t="str">
        <f t="shared" si="14"/>
        <v/>
      </c>
      <c r="H884" s="28"/>
      <c r="I884" s="29"/>
      <c r="J884" s="148">
        <v>10</v>
      </c>
      <c r="K884" s="222" t="s">
        <v>8075</v>
      </c>
    </row>
    <row r="885" spans="1:11" x14ac:dyDescent="0.25">
      <c r="A885" s="207"/>
      <c r="B885" s="205"/>
      <c r="C885" s="31"/>
      <c r="D885" s="31"/>
      <c r="E885" s="32"/>
      <c r="F885" s="42" t="s">
        <v>514</v>
      </c>
      <c r="G885" s="30" t="str">
        <f t="shared" si="14"/>
        <v/>
      </c>
      <c r="H885" s="34"/>
      <c r="I885" s="30"/>
      <c r="J885" s="148">
        <v>10</v>
      </c>
      <c r="K885" s="222" t="s">
        <v>8075</v>
      </c>
    </row>
    <row r="886" spans="1:11" x14ac:dyDescent="0.25">
      <c r="A886" s="207"/>
      <c r="B886" s="205"/>
      <c r="C886" s="35" t="s">
        <v>296</v>
      </c>
      <c r="D886" s="46" t="s">
        <v>982</v>
      </c>
      <c r="E886" s="36">
        <v>1</v>
      </c>
      <c r="F886" s="30">
        <v>129.9315</v>
      </c>
      <c r="G886" s="30">
        <f t="shared" si="14"/>
        <v>129.9315</v>
      </c>
      <c r="H886" s="38">
        <f>SUM(G886:G890)</f>
        <v>155.28399799999997</v>
      </c>
      <c r="I886" s="39"/>
      <c r="J886" s="148">
        <v>10</v>
      </c>
      <c r="K886" s="222" t="s">
        <v>8075</v>
      </c>
    </row>
    <row r="887" spans="1:11" x14ac:dyDescent="0.25">
      <c r="A887" s="207"/>
      <c r="B887" s="205"/>
      <c r="C887" s="35" t="s">
        <v>3332</v>
      </c>
      <c r="D887" s="46" t="s">
        <v>891</v>
      </c>
      <c r="E887" s="36">
        <v>2.1000000000000001E-2</v>
      </c>
      <c r="F887" s="33">
        <v>25.450499999999998</v>
      </c>
      <c r="G887" s="30">
        <f t="shared" si="14"/>
        <v>0.53446050000000001</v>
      </c>
      <c r="H887" s="34"/>
      <c r="I887" s="30"/>
      <c r="J887" s="148">
        <v>10</v>
      </c>
      <c r="K887" s="222" t="s">
        <v>8075</v>
      </c>
    </row>
    <row r="888" spans="1:11" x14ac:dyDescent="0.25">
      <c r="A888" s="207"/>
      <c r="B888" s="205"/>
      <c r="C888" s="35" t="s">
        <v>1117</v>
      </c>
      <c r="D888" s="46" t="s">
        <v>278</v>
      </c>
      <c r="E888" s="36">
        <v>0.35699999999999998</v>
      </c>
      <c r="F888" s="33">
        <v>24.414999999999999</v>
      </c>
      <c r="G888" s="30">
        <f t="shared" si="14"/>
        <v>8.7161549999999988</v>
      </c>
      <c r="H888" s="34"/>
      <c r="I888" s="30"/>
      <c r="J888" s="148">
        <v>10</v>
      </c>
      <c r="K888" s="222" t="s">
        <v>8075</v>
      </c>
    </row>
    <row r="889" spans="1:11" x14ac:dyDescent="0.25">
      <c r="A889" s="207"/>
      <c r="B889" s="205"/>
      <c r="C889" s="35" t="s">
        <v>696</v>
      </c>
      <c r="D889" s="46" t="s">
        <v>695</v>
      </c>
      <c r="E889" s="36">
        <v>0.38300000000000001</v>
      </c>
      <c r="F889" s="33">
        <v>18.420500000000001</v>
      </c>
      <c r="G889" s="30">
        <f t="shared" si="14"/>
        <v>7.0550515000000003</v>
      </c>
      <c r="H889" s="34"/>
      <c r="I889" s="30"/>
      <c r="J889" s="148">
        <v>10</v>
      </c>
      <c r="K889" s="222" t="s">
        <v>8075</v>
      </c>
    </row>
    <row r="890" spans="1:11" x14ac:dyDescent="0.25">
      <c r="A890" s="207"/>
      <c r="B890" s="205"/>
      <c r="C890" s="35" t="s">
        <v>3220</v>
      </c>
      <c r="D890" s="46" t="s">
        <v>695</v>
      </c>
      <c r="E890" s="36">
        <v>0.39400000000000002</v>
      </c>
      <c r="F890" s="33">
        <v>22.961500000000001</v>
      </c>
      <c r="G890" s="30">
        <f t="shared" si="14"/>
        <v>9.046831000000001</v>
      </c>
      <c r="H890" s="34"/>
      <c r="I890" s="30"/>
      <c r="J890" s="148">
        <v>10</v>
      </c>
      <c r="K890" s="222" t="s">
        <v>8075</v>
      </c>
    </row>
    <row r="891" spans="1:11" ht="15.75" thickBot="1" x14ac:dyDescent="0.3">
      <c r="A891" s="208"/>
      <c r="B891" s="206"/>
      <c r="C891" s="35"/>
      <c r="D891" s="35"/>
      <c r="E891" s="36"/>
      <c r="F891" s="30" t="s">
        <v>514</v>
      </c>
      <c r="G891" s="30" t="str">
        <f t="shared" si="14"/>
        <v/>
      </c>
      <c r="H891" s="34"/>
      <c r="I891" s="30"/>
      <c r="J891" s="148">
        <v>10</v>
      </c>
      <c r="K891" s="222" t="s">
        <v>8075</v>
      </c>
    </row>
    <row r="892" spans="1:11" ht="15.75" hidden="1" thickBot="1" x14ac:dyDescent="0.3">
      <c r="A892" s="202" t="s">
        <v>297</v>
      </c>
      <c r="B892" s="204" t="str">
        <f>INDEX(Orçamentária!A:B,MATCH(Composições!A892,Orçamentária!A:A,0),2)</f>
        <v>Instalação de painéis de vidro temperado reaproveitados</v>
      </c>
      <c r="C892" s="40"/>
      <c r="D892" s="25" t="str">
        <f>TRIM(INDEX(Orçamentária!C:C,MATCH(Composições!A892,Orçamentária!A:A,0),1))</f>
        <v>m2</v>
      </c>
      <c r="E892" s="26"/>
      <c r="F892" s="41" t="s">
        <v>514</v>
      </c>
      <c r="G892" s="27" t="str">
        <f t="shared" si="14"/>
        <v/>
      </c>
      <c r="H892" s="28"/>
      <c r="I892" s="29"/>
      <c r="J892" s="148">
        <v>65</v>
      </c>
      <c r="K892" s="222" t="s">
        <v>8074</v>
      </c>
    </row>
    <row r="893" spans="1:11" ht="15.75" hidden="1" thickBot="1" x14ac:dyDescent="0.3">
      <c r="A893" s="203"/>
      <c r="B893" s="205"/>
      <c r="C893" s="31"/>
      <c r="D893" s="31"/>
      <c r="E893" s="32"/>
      <c r="F893" s="42" t="s">
        <v>514</v>
      </c>
      <c r="G893" s="30" t="str">
        <f t="shared" si="14"/>
        <v/>
      </c>
      <c r="H893" s="34"/>
      <c r="I893" s="30"/>
      <c r="J893" s="148">
        <v>65</v>
      </c>
      <c r="K893" s="222" t="s">
        <v>8074</v>
      </c>
    </row>
    <row r="894" spans="1:11" ht="15.75" hidden="1" thickBot="1" x14ac:dyDescent="0.3">
      <c r="A894" s="203"/>
      <c r="B894" s="205"/>
      <c r="C894" s="35" t="s">
        <v>68</v>
      </c>
      <c r="D894" s="35" t="s">
        <v>12</v>
      </c>
      <c r="E894" s="36">
        <f>2.2/2</f>
        <v>1.1000000000000001</v>
      </c>
      <c r="F894" s="30">
        <v>22.961500000000001</v>
      </c>
      <c r="G894" s="33">
        <f t="shared" si="14"/>
        <v>25.257650000000002</v>
      </c>
      <c r="H894" s="38">
        <f>SUM(G894:G895)</f>
        <v>45.520200000000003</v>
      </c>
      <c r="I894" s="39"/>
      <c r="J894" s="148">
        <v>65</v>
      </c>
      <c r="K894" s="222" t="s">
        <v>8074</v>
      </c>
    </row>
    <row r="895" spans="1:11" ht="15.75" hidden="1" thickBot="1" x14ac:dyDescent="0.3">
      <c r="A895" s="203"/>
      <c r="B895" s="205"/>
      <c r="C895" s="35" t="s">
        <v>23</v>
      </c>
      <c r="D895" s="46" t="s">
        <v>12</v>
      </c>
      <c r="E895" s="36">
        <f>2.2/2</f>
        <v>1.1000000000000001</v>
      </c>
      <c r="F895" s="30">
        <v>18.420500000000001</v>
      </c>
      <c r="G895" s="33">
        <f t="shared" si="14"/>
        <v>20.262550000000001</v>
      </c>
      <c r="H895" s="34"/>
      <c r="I895" s="30"/>
      <c r="J895" s="148">
        <v>65</v>
      </c>
      <c r="K895" s="222" t="s">
        <v>8074</v>
      </c>
    </row>
    <row r="896" spans="1:11" ht="15.75" hidden="1" thickBot="1" x14ac:dyDescent="0.3">
      <c r="A896" s="209"/>
      <c r="B896" s="206"/>
      <c r="C896" s="35"/>
      <c r="D896" s="35"/>
      <c r="E896" s="36"/>
      <c r="F896" s="30" t="s">
        <v>514</v>
      </c>
      <c r="G896" s="30" t="str">
        <f t="shared" si="14"/>
        <v/>
      </c>
      <c r="H896" s="34"/>
      <c r="I896" s="30"/>
      <c r="J896" s="148">
        <v>65</v>
      </c>
      <c r="K896" s="222" t="s">
        <v>8074</v>
      </c>
    </row>
    <row r="897" spans="1:11" ht="15.75" thickBot="1" x14ac:dyDescent="0.3">
      <c r="A897" s="202" t="s">
        <v>298</v>
      </c>
      <c r="B897" s="204" t="str">
        <f>INDEX(Orçamentária!A:B,MATCH(Composições!A897,Orçamentária!A:A,0),2)</f>
        <v>Mola hidráulica de piso</v>
      </c>
      <c r="C897" s="40"/>
      <c r="D897" s="25" t="str">
        <f>TRIM(INDEX(Orçamentária!C:C,MATCH(Composições!A897,Orçamentária!A:A,0),1))</f>
        <v>un</v>
      </c>
      <c r="E897" s="26"/>
      <c r="F897" s="41" t="s">
        <v>514</v>
      </c>
      <c r="G897" s="27" t="str">
        <f t="shared" si="14"/>
        <v/>
      </c>
      <c r="H897" s="28"/>
      <c r="I897" s="29"/>
      <c r="J897" s="148">
        <v>25</v>
      </c>
      <c r="K897" s="222" t="s">
        <v>8075</v>
      </c>
    </row>
    <row r="898" spans="1:11" x14ac:dyDescent="0.25">
      <c r="A898" s="203"/>
      <c r="B898" s="205"/>
      <c r="C898" s="31"/>
      <c r="D898" s="31"/>
      <c r="E898" s="32"/>
      <c r="F898" s="42" t="s">
        <v>514</v>
      </c>
      <c r="G898" s="30" t="str">
        <f t="shared" si="14"/>
        <v/>
      </c>
      <c r="H898" s="34"/>
      <c r="I898" s="30"/>
      <c r="J898" s="148">
        <v>25</v>
      </c>
      <c r="K898" s="222" t="s">
        <v>8075</v>
      </c>
    </row>
    <row r="899" spans="1:11" x14ac:dyDescent="0.25">
      <c r="A899" s="203"/>
      <c r="B899" s="205"/>
      <c r="C899" s="35" t="s">
        <v>68</v>
      </c>
      <c r="D899" s="35" t="s">
        <v>12</v>
      </c>
      <c r="E899" s="36">
        <v>1.8180000000000001</v>
      </c>
      <c r="F899" s="30">
        <v>22.961500000000001</v>
      </c>
      <c r="G899" s="33">
        <f t="shared" si="14"/>
        <v>41.744007000000003</v>
      </c>
      <c r="H899" s="38">
        <f>SUM(G899:G902)</f>
        <v>1018.7730305</v>
      </c>
      <c r="I899" s="39"/>
      <c r="J899" s="148">
        <v>25</v>
      </c>
      <c r="K899" s="222" t="s">
        <v>8075</v>
      </c>
    </row>
    <row r="900" spans="1:11" x14ac:dyDescent="0.25">
      <c r="A900" s="203"/>
      <c r="B900" s="205"/>
      <c r="C900" s="35" t="s">
        <v>23</v>
      </c>
      <c r="D900" s="46" t="s">
        <v>12</v>
      </c>
      <c r="E900" s="36">
        <v>1.7669999999999999</v>
      </c>
      <c r="F900" s="30">
        <v>18.420500000000001</v>
      </c>
      <c r="G900" s="33">
        <f t="shared" si="14"/>
        <v>32.549023499999997</v>
      </c>
      <c r="H900" s="44"/>
      <c r="I900" s="45"/>
      <c r="J900" s="148">
        <v>25</v>
      </c>
      <c r="K900" s="222" t="s">
        <v>8075</v>
      </c>
    </row>
    <row r="901" spans="1:11" ht="38.25" x14ac:dyDescent="0.25">
      <c r="A901" s="203"/>
      <c r="B901" s="205"/>
      <c r="C901" s="35" t="s">
        <v>6382</v>
      </c>
      <c r="D901" s="35" t="s">
        <v>20</v>
      </c>
      <c r="E901" s="36">
        <v>1</v>
      </c>
      <c r="F901" s="30">
        <v>802.58</v>
      </c>
      <c r="G901" s="30">
        <f t="shared" si="14"/>
        <v>802.58</v>
      </c>
      <c r="H901" s="34"/>
      <c r="I901" s="30"/>
      <c r="J901" s="148">
        <v>25</v>
      </c>
      <c r="K901" s="222" t="s">
        <v>8075</v>
      </c>
    </row>
    <row r="902" spans="1:11" x14ac:dyDescent="0.25">
      <c r="A902" s="203"/>
      <c r="B902" s="205"/>
      <c r="C902" s="35" t="s">
        <v>6383</v>
      </c>
      <c r="D902" s="35" t="s">
        <v>20</v>
      </c>
      <c r="E902" s="36">
        <v>1</v>
      </c>
      <c r="F902" s="30">
        <v>141.9</v>
      </c>
      <c r="G902" s="30">
        <f t="shared" si="14"/>
        <v>141.9</v>
      </c>
      <c r="H902" s="34"/>
      <c r="I902" s="30"/>
      <c r="J902" s="148">
        <v>25</v>
      </c>
      <c r="K902" s="222" t="s">
        <v>8075</v>
      </c>
    </row>
    <row r="903" spans="1:11" ht="15.75" thickBot="1" x14ac:dyDescent="0.3">
      <c r="A903" s="209"/>
      <c r="B903" s="206"/>
      <c r="C903" s="35"/>
      <c r="D903" s="35"/>
      <c r="E903" s="36"/>
      <c r="F903" s="30" t="s">
        <v>514</v>
      </c>
      <c r="G903" s="30" t="str">
        <f t="shared" si="14"/>
        <v/>
      </c>
      <c r="H903" s="34"/>
      <c r="I903" s="30"/>
      <c r="J903" s="148">
        <v>25</v>
      </c>
      <c r="K903" s="222" t="s">
        <v>8075</v>
      </c>
    </row>
    <row r="904" spans="1:11" ht="15.75" hidden="1" thickBot="1" x14ac:dyDescent="0.3">
      <c r="A904" s="202" t="s">
        <v>299</v>
      </c>
      <c r="B904" s="204" t="str">
        <f>INDEX(Orçamentária!A:B,MATCH(Composições!A904,Orçamentária!A:A,0),2)</f>
        <v>Instalação de persianas reaproveitadas</v>
      </c>
      <c r="C904" s="40"/>
      <c r="D904" s="25" t="str">
        <f>TRIM(INDEX(Orçamentária!C:C,MATCH(Composições!A904,Orçamentária!A:A,0),1))</f>
        <v>m</v>
      </c>
      <c r="E904" s="26"/>
      <c r="F904" s="41" t="s">
        <v>514</v>
      </c>
      <c r="G904" s="27" t="str">
        <f t="shared" si="14"/>
        <v/>
      </c>
      <c r="H904" s="28"/>
      <c r="I904" s="29"/>
      <c r="J904" s="148">
        <v>500</v>
      </c>
      <c r="K904" s="222" t="s">
        <v>8074</v>
      </c>
    </row>
    <row r="905" spans="1:11" hidden="1" x14ac:dyDescent="0.25">
      <c r="A905" s="203"/>
      <c r="B905" s="205"/>
      <c r="C905" s="31"/>
      <c r="D905" s="31"/>
      <c r="E905" s="32"/>
      <c r="F905" s="42" t="s">
        <v>514</v>
      </c>
      <c r="G905" s="30" t="str">
        <f t="shared" si="14"/>
        <v/>
      </c>
      <c r="H905" s="34"/>
      <c r="I905" s="30"/>
      <c r="J905" s="148">
        <v>500</v>
      </c>
      <c r="K905" s="222" t="s">
        <v>8074</v>
      </c>
    </row>
    <row r="906" spans="1:11" hidden="1" x14ac:dyDescent="0.25">
      <c r="A906" s="203"/>
      <c r="B906" s="205"/>
      <c r="C906" s="35" t="s">
        <v>50</v>
      </c>
      <c r="D906" s="35" t="s">
        <v>12</v>
      </c>
      <c r="E906" s="36">
        <f>ROUND(1/3,4)</f>
        <v>0.33329999999999999</v>
      </c>
      <c r="F906" s="30">
        <v>19.474999999999998</v>
      </c>
      <c r="G906" s="33">
        <f t="shared" si="14"/>
        <v>6.491017499999999</v>
      </c>
      <c r="H906" s="38">
        <f>SUM(G906:G906)</f>
        <v>6.491017499999999</v>
      </c>
      <c r="I906" s="39"/>
      <c r="J906" s="148">
        <v>500</v>
      </c>
      <c r="K906" s="222" t="s">
        <v>8074</v>
      </c>
    </row>
    <row r="907" spans="1:11" ht="15.75" hidden="1" thickBot="1" x14ac:dyDescent="0.3">
      <c r="A907" s="209"/>
      <c r="B907" s="206"/>
      <c r="C907" s="35"/>
      <c r="D907" s="35"/>
      <c r="E907" s="36"/>
      <c r="F907" s="30" t="s">
        <v>514</v>
      </c>
      <c r="G907" s="30" t="str">
        <f t="shared" si="14"/>
        <v/>
      </c>
      <c r="H907" s="34"/>
      <c r="I907" s="30"/>
      <c r="J907" s="148">
        <v>500</v>
      </c>
      <c r="K907" s="222" t="s">
        <v>8074</v>
      </c>
    </row>
    <row r="908" spans="1:11" ht="15.75" hidden="1" thickBot="1" x14ac:dyDescent="0.3">
      <c r="A908" s="202" t="s">
        <v>300</v>
      </c>
      <c r="B908" s="204" t="str">
        <f>INDEX(Orçamentária!A:B,MATCH(Composições!A908,Orçamentária!A:A,0),2)</f>
        <v>Tubo de ligação para bacia sanitária</v>
      </c>
      <c r="C908" s="40"/>
      <c r="D908" s="25" t="str">
        <f>TRIM(INDEX(Orçamentária!C:C,MATCH(Composições!A908,Orçamentária!A:A,0),1))</f>
        <v>un</v>
      </c>
      <c r="E908" s="26"/>
      <c r="F908" s="41" t="s">
        <v>514</v>
      </c>
      <c r="G908" s="27" t="str">
        <f t="shared" si="14"/>
        <v/>
      </c>
      <c r="H908" s="28"/>
      <c r="I908" s="29"/>
      <c r="J908" s="148">
        <v>15</v>
      </c>
      <c r="K908" s="222" t="s">
        <v>8074</v>
      </c>
    </row>
    <row r="909" spans="1:11" hidden="1" x14ac:dyDescent="0.25">
      <c r="A909" s="203"/>
      <c r="B909" s="205"/>
      <c r="C909" s="31"/>
      <c r="D909" s="31"/>
      <c r="E909" s="32"/>
      <c r="F909" s="42" t="s">
        <v>514</v>
      </c>
      <c r="G909" s="30" t="str">
        <f t="shared" si="14"/>
        <v/>
      </c>
      <c r="H909" s="34"/>
      <c r="I909" s="30"/>
      <c r="J909" s="148">
        <v>15</v>
      </c>
      <c r="K909" s="222" t="s">
        <v>8074</v>
      </c>
    </row>
    <row r="910" spans="1:11" hidden="1" x14ac:dyDescent="0.25">
      <c r="A910" s="203"/>
      <c r="B910" s="205"/>
      <c r="C910" s="35" t="s">
        <v>39</v>
      </c>
      <c r="D910" s="46" t="s">
        <v>12</v>
      </c>
      <c r="E910" s="36">
        <v>0.2</v>
      </c>
      <c r="F910" s="30">
        <v>24.300999999999998</v>
      </c>
      <c r="G910" s="33">
        <f t="shared" si="14"/>
        <v>4.8601999999999999</v>
      </c>
      <c r="H910" s="38">
        <f>SUM(G910:G912)</f>
        <v>147.18270000000001</v>
      </c>
      <c r="I910" s="39"/>
      <c r="J910" s="148">
        <v>15</v>
      </c>
      <c r="K910" s="222" t="s">
        <v>8074</v>
      </c>
    </row>
    <row r="911" spans="1:11" ht="25.5" hidden="1" x14ac:dyDescent="0.25">
      <c r="A911" s="203"/>
      <c r="B911" s="205"/>
      <c r="C911" s="35" t="s">
        <v>6598</v>
      </c>
      <c r="D911" s="46" t="s">
        <v>20</v>
      </c>
      <c r="E911" s="36">
        <v>1</v>
      </c>
      <c r="F911" s="33">
        <v>14.3925</v>
      </c>
      <c r="G911" s="53">
        <f t="shared" si="14"/>
        <v>14.3925</v>
      </c>
      <c r="H911" s="34"/>
      <c r="I911" s="30"/>
      <c r="J911" s="148">
        <v>15</v>
      </c>
      <c r="K911" s="222" t="s">
        <v>8074</v>
      </c>
    </row>
    <row r="912" spans="1:11" ht="25.5" hidden="1" x14ac:dyDescent="0.25">
      <c r="A912" s="203"/>
      <c r="B912" s="205"/>
      <c r="C912" s="35" t="s">
        <v>301</v>
      </c>
      <c r="D912" s="35" t="s">
        <v>20</v>
      </c>
      <c r="E912" s="36">
        <v>1</v>
      </c>
      <c r="F912" s="33">
        <v>127.93</v>
      </c>
      <c r="G912" s="30">
        <f t="shared" si="14"/>
        <v>127.93</v>
      </c>
      <c r="H912" s="34"/>
      <c r="I912" s="30"/>
      <c r="J912" s="148">
        <v>15</v>
      </c>
      <c r="K912" s="222" t="s">
        <v>8074</v>
      </c>
    </row>
    <row r="913" spans="1:11" ht="15.75" hidden="1" thickBot="1" x14ac:dyDescent="0.3">
      <c r="A913" s="209"/>
      <c r="B913" s="206"/>
      <c r="C913" s="35"/>
      <c r="D913" s="35"/>
      <c r="E913" s="36"/>
      <c r="F913" s="30" t="s">
        <v>514</v>
      </c>
      <c r="G913" s="30" t="str">
        <f t="shared" si="14"/>
        <v/>
      </c>
      <c r="H913" s="34"/>
      <c r="I913" s="30"/>
      <c r="J913" s="148">
        <v>15</v>
      </c>
      <c r="K913" s="222" t="s">
        <v>8074</v>
      </c>
    </row>
    <row r="914" spans="1:11" ht="15.75" hidden="1" thickBot="1" x14ac:dyDescent="0.3">
      <c r="A914" s="202" t="s">
        <v>302</v>
      </c>
      <c r="B914" s="204" t="str">
        <f>INDEX(Orçamentária!A:B,MATCH(Composições!A914,Orçamentária!A:A,0),2)</f>
        <v>Tubo PVC esgoto ou aguas pluviais predial DN 100mm</v>
      </c>
      <c r="C914" s="40"/>
      <c r="D914" s="25" t="str">
        <f>TRIM(INDEX(Orçamentária!C:C,MATCH(Composições!A914,Orçamentária!A:A,0),1))</f>
        <v>m</v>
      </c>
      <c r="E914" s="26"/>
      <c r="F914" s="41" t="s">
        <v>514</v>
      </c>
      <c r="G914" s="27" t="str">
        <f t="shared" si="14"/>
        <v/>
      </c>
      <c r="H914" s="28"/>
      <c r="I914" s="29"/>
      <c r="J914" s="148">
        <v>175</v>
      </c>
      <c r="K914" s="222" t="s">
        <v>8074</v>
      </c>
    </row>
    <row r="915" spans="1:11" hidden="1" x14ac:dyDescent="0.25">
      <c r="A915" s="203"/>
      <c r="B915" s="205"/>
      <c r="C915" s="31"/>
      <c r="D915" s="31"/>
      <c r="E915" s="32"/>
      <c r="F915" s="42" t="s">
        <v>514</v>
      </c>
      <c r="G915" s="30" t="str">
        <f t="shared" ref="G915:G978" si="15">IF(ISNUMBER(F915),E915*F915,"")</f>
        <v/>
      </c>
      <c r="H915" s="34"/>
      <c r="I915" s="30"/>
      <c r="J915" s="148">
        <v>175</v>
      </c>
      <c r="K915" s="222" t="s">
        <v>8074</v>
      </c>
    </row>
    <row r="916" spans="1:11" hidden="1" x14ac:dyDescent="0.25">
      <c r="A916" s="203"/>
      <c r="B916" s="205"/>
      <c r="C916" s="35" t="s">
        <v>6599</v>
      </c>
      <c r="D916" s="46" t="s">
        <v>20</v>
      </c>
      <c r="E916" s="36">
        <v>4.2900000000000001E-2</v>
      </c>
      <c r="F916" s="33">
        <v>69.074499999999986</v>
      </c>
      <c r="G916" s="33">
        <f t="shared" si="15"/>
        <v>2.9632960499999994</v>
      </c>
      <c r="H916" s="38">
        <f>SUM(G916:G921)</f>
        <v>73.636131149999997</v>
      </c>
      <c r="I916" s="39"/>
      <c r="J916" s="148">
        <v>175</v>
      </c>
      <c r="K916" s="222" t="s">
        <v>8074</v>
      </c>
    </row>
    <row r="917" spans="1:11" ht="25.5" hidden="1" x14ac:dyDescent="0.25">
      <c r="A917" s="203"/>
      <c r="B917" s="205"/>
      <c r="C917" s="35" t="s">
        <v>3733</v>
      </c>
      <c r="D917" s="46" t="s">
        <v>92</v>
      </c>
      <c r="E917" s="36">
        <v>1.04</v>
      </c>
      <c r="F917" s="33">
        <v>43.823500000000003</v>
      </c>
      <c r="G917" s="33">
        <f t="shared" si="15"/>
        <v>45.576440000000005</v>
      </c>
      <c r="H917" s="44"/>
      <c r="I917" s="45"/>
      <c r="J917" s="148">
        <v>175</v>
      </c>
      <c r="K917" s="222" t="s">
        <v>8074</v>
      </c>
    </row>
    <row r="918" spans="1:11" ht="25.5" hidden="1" x14ac:dyDescent="0.25">
      <c r="A918" s="203"/>
      <c r="B918" s="205"/>
      <c r="C918" s="35" t="s">
        <v>6600</v>
      </c>
      <c r="D918" s="46" t="s">
        <v>20</v>
      </c>
      <c r="E918" s="36">
        <v>7.0099999999999996E-2</v>
      </c>
      <c r="F918" s="33">
        <v>78.260999999999996</v>
      </c>
      <c r="G918" s="33">
        <f t="shared" si="15"/>
        <v>5.4860960999999993</v>
      </c>
      <c r="H918" s="44"/>
      <c r="I918" s="45"/>
      <c r="J918" s="148">
        <v>175</v>
      </c>
      <c r="K918" s="222" t="s">
        <v>8074</v>
      </c>
    </row>
    <row r="919" spans="1:11" hidden="1" x14ac:dyDescent="0.25">
      <c r="A919" s="203"/>
      <c r="B919" s="205"/>
      <c r="C919" s="35" t="s">
        <v>303</v>
      </c>
      <c r="D919" s="46" t="s">
        <v>20</v>
      </c>
      <c r="E919" s="36">
        <v>0.14849999999999999</v>
      </c>
      <c r="F919" s="33">
        <v>2.0139999999999998</v>
      </c>
      <c r="G919" s="33">
        <f t="shared" si="15"/>
        <v>0.29907899999999993</v>
      </c>
      <c r="H919" s="44"/>
      <c r="I919" s="45"/>
      <c r="J919" s="148">
        <v>175</v>
      </c>
      <c r="K919" s="222" t="s">
        <v>8074</v>
      </c>
    </row>
    <row r="920" spans="1:11" ht="25.5" hidden="1" x14ac:dyDescent="0.25">
      <c r="A920" s="203"/>
      <c r="B920" s="205"/>
      <c r="C920" s="35" t="s">
        <v>106</v>
      </c>
      <c r="D920" s="46" t="s">
        <v>12</v>
      </c>
      <c r="E920" s="36">
        <v>0.44500000000000001</v>
      </c>
      <c r="F920" s="30">
        <v>19.094999999999999</v>
      </c>
      <c r="G920" s="33">
        <f t="shared" si="15"/>
        <v>8.4972750000000001</v>
      </c>
      <c r="H920" s="44"/>
      <c r="I920" s="45"/>
      <c r="J920" s="148">
        <v>175</v>
      </c>
      <c r="K920" s="222" t="s">
        <v>8074</v>
      </c>
    </row>
    <row r="921" spans="1:11" hidden="1" x14ac:dyDescent="0.25">
      <c r="A921" s="203"/>
      <c r="B921" s="205"/>
      <c r="C921" s="35" t="s">
        <v>39</v>
      </c>
      <c r="D921" s="46" t="s">
        <v>12</v>
      </c>
      <c r="E921" s="36">
        <v>0.44500000000000001</v>
      </c>
      <c r="F921" s="30">
        <v>24.300999999999998</v>
      </c>
      <c r="G921" s="33">
        <f t="shared" si="15"/>
        <v>10.813944999999999</v>
      </c>
      <c r="H921" s="44"/>
      <c r="I921" s="45"/>
      <c r="J921" s="148">
        <v>175</v>
      </c>
      <c r="K921" s="222" t="s">
        <v>8074</v>
      </c>
    </row>
    <row r="922" spans="1:11" ht="15.75" hidden="1" thickBot="1" x14ac:dyDescent="0.3">
      <c r="A922" s="209"/>
      <c r="B922" s="206"/>
      <c r="C922" s="35"/>
      <c r="D922" s="35"/>
      <c r="E922" s="36"/>
      <c r="F922" s="30" t="s">
        <v>514</v>
      </c>
      <c r="G922" s="30" t="str">
        <f t="shared" si="15"/>
        <v/>
      </c>
      <c r="H922" s="34"/>
      <c r="I922" s="30"/>
      <c r="J922" s="148">
        <v>175</v>
      </c>
      <c r="K922" s="222" t="s">
        <v>8074</v>
      </c>
    </row>
    <row r="923" spans="1:11" ht="15.75" hidden="1" thickBot="1" x14ac:dyDescent="0.3">
      <c r="A923" s="202" t="s">
        <v>304</v>
      </c>
      <c r="B923" s="204" t="str">
        <f>INDEX(Orçamentária!A:B,MATCH(Composições!A923,Orçamentária!A:A,0),2)</f>
        <v>Tubo PVC esgoto ou aguas pluviais predial DN 40mm</v>
      </c>
      <c r="C923" s="40"/>
      <c r="D923" s="25" t="str">
        <f>TRIM(INDEX(Orçamentária!C:C,MATCH(Composições!A923,Orçamentária!A:A,0),1))</f>
        <v>m</v>
      </c>
      <c r="E923" s="26"/>
      <c r="F923" s="41" t="s">
        <v>514</v>
      </c>
      <c r="G923" s="27" t="str">
        <f t="shared" si="15"/>
        <v/>
      </c>
      <c r="H923" s="28"/>
      <c r="I923" s="29"/>
      <c r="J923" s="148">
        <v>75</v>
      </c>
      <c r="K923" s="222" t="s">
        <v>8074</v>
      </c>
    </row>
    <row r="924" spans="1:11" hidden="1" x14ac:dyDescent="0.25">
      <c r="A924" s="203"/>
      <c r="B924" s="205"/>
      <c r="C924" s="31"/>
      <c r="D924" s="31"/>
      <c r="E924" s="32"/>
      <c r="F924" s="42" t="s">
        <v>514</v>
      </c>
      <c r="G924" s="30" t="str">
        <f t="shared" si="15"/>
        <v/>
      </c>
      <c r="H924" s="34"/>
      <c r="I924" s="30"/>
      <c r="J924" s="148">
        <v>75</v>
      </c>
      <c r="K924" s="222" t="s">
        <v>8074</v>
      </c>
    </row>
    <row r="925" spans="1:11" ht="25.5" hidden="1" x14ac:dyDescent="0.25">
      <c r="A925" s="203"/>
      <c r="B925" s="205"/>
      <c r="C925" s="35" t="s">
        <v>3735</v>
      </c>
      <c r="D925" s="46" t="s">
        <v>92</v>
      </c>
      <c r="E925" s="36">
        <v>1.04</v>
      </c>
      <c r="F925" s="33">
        <v>15.304499999999999</v>
      </c>
      <c r="G925" s="33">
        <f t="shared" si="15"/>
        <v>15.916679999999999</v>
      </c>
      <c r="H925" s="38">
        <f>SUM(G925:G928)</f>
        <v>23.151538000000002</v>
      </c>
      <c r="I925" s="39"/>
      <c r="J925" s="148">
        <v>75</v>
      </c>
      <c r="K925" s="222" t="s">
        <v>8074</v>
      </c>
    </row>
    <row r="926" spans="1:11" hidden="1" x14ac:dyDescent="0.25">
      <c r="A926" s="203"/>
      <c r="B926" s="205"/>
      <c r="C926" s="35" t="s">
        <v>303</v>
      </c>
      <c r="D926" s="46" t="s">
        <v>20</v>
      </c>
      <c r="E926" s="36">
        <v>3.6999999999999998E-2</v>
      </c>
      <c r="F926" s="33">
        <v>2.0139999999999998</v>
      </c>
      <c r="G926" s="33">
        <f t="shared" si="15"/>
        <v>7.4517999999999987E-2</v>
      </c>
      <c r="H926" s="34"/>
      <c r="I926" s="30"/>
      <c r="J926" s="148">
        <v>75</v>
      </c>
      <c r="K926" s="222" t="s">
        <v>8074</v>
      </c>
    </row>
    <row r="927" spans="1:11" ht="25.5" hidden="1" x14ac:dyDescent="0.25">
      <c r="A927" s="203"/>
      <c r="B927" s="205"/>
      <c r="C927" s="35" t="s">
        <v>106</v>
      </c>
      <c r="D927" s="46" t="s">
        <v>12</v>
      </c>
      <c r="E927" s="36">
        <v>0.16500000000000001</v>
      </c>
      <c r="F927" s="30">
        <v>19.094999999999999</v>
      </c>
      <c r="G927" s="33">
        <f t="shared" si="15"/>
        <v>3.1506750000000001</v>
      </c>
      <c r="H927" s="34"/>
      <c r="I927" s="30"/>
      <c r="J927" s="148">
        <v>75</v>
      </c>
      <c r="K927" s="222" t="s">
        <v>8074</v>
      </c>
    </row>
    <row r="928" spans="1:11" hidden="1" x14ac:dyDescent="0.25">
      <c r="A928" s="203"/>
      <c r="B928" s="205"/>
      <c r="C928" s="35" t="s">
        <v>39</v>
      </c>
      <c r="D928" s="46" t="s">
        <v>12</v>
      </c>
      <c r="E928" s="36">
        <v>0.16500000000000001</v>
      </c>
      <c r="F928" s="30">
        <v>24.300999999999998</v>
      </c>
      <c r="G928" s="33">
        <f t="shared" si="15"/>
        <v>4.009665</v>
      </c>
      <c r="H928" s="34"/>
      <c r="I928" s="30"/>
      <c r="J928" s="148">
        <v>75</v>
      </c>
      <c r="K928" s="222" t="s">
        <v>8074</v>
      </c>
    </row>
    <row r="929" spans="1:11" ht="15.75" hidden="1" thickBot="1" x14ac:dyDescent="0.3">
      <c r="A929" s="209"/>
      <c r="B929" s="206"/>
      <c r="C929" s="35"/>
      <c r="D929" s="35"/>
      <c r="E929" s="36"/>
      <c r="F929" s="30" t="s">
        <v>514</v>
      </c>
      <c r="G929" s="30" t="str">
        <f t="shared" si="15"/>
        <v/>
      </c>
      <c r="H929" s="34"/>
      <c r="I929" s="30"/>
      <c r="J929" s="148">
        <v>75</v>
      </c>
      <c r="K929" s="222" t="s">
        <v>8074</v>
      </c>
    </row>
    <row r="930" spans="1:11" ht="15.75" hidden="1" thickBot="1" x14ac:dyDescent="0.3">
      <c r="A930" s="202" t="s">
        <v>305</v>
      </c>
      <c r="B930" s="204" t="str">
        <f>INDEX(Orçamentária!A:B,MATCH(Composições!A930,Orçamentária!A:A,0),2)</f>
        <v>Tubo PVC esgoto ou aguas pluviais predial DN 50mm</v>
      </c>
      <c r="C930" s="40"/>
      <c r="D930" s="25" t="str">
        <f>TRIM(INDEX(Orçamentária!C:C,MATCH(Composições!A930,Orçamentária!A:A,0),1))</f>
        <v>m</v>
      </c>
      <c r="E930" s="26"/>
      <c r="F930" s="41" t="s">
        <v>514</v>
      </c>
      <c r="G930" s="27" t="str">
        <f t="shared" si="15"/>
        <v/>
      </c>
      <c r="H930" s="28"/>
      <c r="I930" s="29"/>
      <c r="J930" s="148">
        <v>100</v>
      </c>
      <c r="K930" s="222" t="s">
        <v>8074</v>
      </c>
    </row>
    <row r="931" spans="1:11" hidden="1" x14ac:dyDescent="0.25">
      <c r="A931" s="203"/>
      <c r="B931" s="205"/>
      <c r="C931" s="31"/>
      <c r="D931" s="31"/>
      <c r="E931" s="32"/>
      <c r="F931" s="42" t="s">
        <v>514</v>
      </c>
      <c r="G931" s="30" t="str">
        <f t="shared" si="15"/>
        <v/>
      </c>
      <c r="H931" s="34"/>
      <c r="I931" s="30"/>
      <c r="J931" s="148">
        <v>100</v>
      </c>
      <c r="K931" s="222" t="s">
        <v>8074</v>
      </c>
    </row>
    <row r="932" spans="1:11" hidden="1" x14ac:dyDescent="0.25">
      <c r="A932" s="203"/>
      <c r="B932" s="205"/>
      <c r="C932" s="35" t="s">
        <v>6599</v>
      </c>
      <c r="D932" s="46" t="s">
        <v>20</v>
      </c>
      <c r="E932" s="36">
        <v>1.2800000000000001E-2</v>
      </c>
      <c r="F932" s="33">
        <v>69.074499999999986</v>
      </c>
      <c r="G932" s="33">
        <f t="shared" si="15"/>
        <v>0.88415359999999987</v>
      </c>
      <c r="H932" s="38">
        <f>SUM(G932:G937)</f>
        <v>31.431188900000002</v>
      </c>
      <c r="I932" s="39"/>
      <c r="J932" s="148">
        <v>100</v>
      </c>
      <c r="K932" s="222" t="s">
        <v>8074</v>
      </c>
    </row>
    <row r="933" spans="1:11" ht="25.5" hidden="1" x14ac:dyDescent="0.25">
      <c r="A933" s="203"/>
      <c r="B933" s="205"/>
      <c r="C933" s="35" t="s">
        <v>3736</v>
      </c>
      <c r="D933" s="46" t="s">
        <v>92</v>
      </c>
      <c r="E933" s="36">
        <v>1.04</v>
      </c>
      <c r="F933" s="33">
        <v>19.0855</v>
      </c>
      <c r="G933" s="33">
        <f t="shared" si="15"/>
        <v>19.84892</v>
      </c>
      <c r="H933" s="34"/>
      <c r="I933" s="30"/>
      <c r="J933" s="148">
        <v>100</v>
      </c>
      <c r="K933" s="222" t="s">
        <v>8074</v>
      </c>
    </row>
    <row r="934" spans="1:11" ht="25.5" hidden="1" x14ac:dyDescent="0.25">
      <c r="A934" s="203"/>
      <c r="B934" s="205"/>
      <c r="C934" s="35" t="s">
        <v>6600</v>
      </c>
      <c r="D934" s="46" t="s">
        <v>20</v>
      </c>
      <c r="E934" s="36">
        <v>1.9300000000000001E-2</v>
      </c>
      <c r="F934" s="33">
        <v>78.260999999999996</v>
      </c>
      <c r="G934" s="33">
        <f t="shared" si="15"/>
        <v>1.5104373</v>
      </c>
      <c r="H934" s="34"/>
      <c r="I934" s="30"/>
      <c r="J934" s="148">
        <v>100</v>
      </c>
      <c r="K934" s="222" t="s">
        <v>8074</v>
      </c>
    </row>
    <row r="935" spans="1:11" hidden="1" x14ac:dyDescent="0.25">
      <c r="A935" s="203"/>
      <c r="B935" s="205"/>
      <c r="C935" s="35" t="s">
        <v>303</v>
      </c>
      <c r="D935" s="46" t="s">
        <v>20</v>
      </c>
      <c r="E935" s="36">
        <v>3.6999999999999998E-2</v>
      </c>
      <c r="F935" s="33">
        <v>2.0139999999999998</v>
      </c>
      <c r="G935" s="33">
        <f t="shared" si="15"/>
        <v>7.4517999999999987E-2</v>
      </c>
      <c r="H935" s="34"/>
      <c r="I935" s="30"/>
      <c r="J935" s="148">
        <v>100</v>
      </c>
      <c r="K935" s="222" t="s">
        <v>8074</v>
      </c>
    </row>
    <row r="936" spans="1:11" ht="25.5" hidden="1" x14ac:dyDescent="0.25">
      <c r="A936" s="203"/>
      <c r="B936" s="205"/>
      <c r="C936" s="35" t="s">
        <v>106</v>
      </c>
      <c r="D936" s="46" t="s">
        <v>12</v>
      </c>
      <c r="E936" s="36">
        <v>0.21</v>
      </c>
      <c r="F936" s="30">
        <v>19.094999999999999</v>
      </c>
      <c r="G936" s="33">
        <f t="shared" si="15"/>
        <v>4.0099499999999999</v>
      </c>
      <c r="H936" s="34"/>
      <c r="I936" s="30"/>
      <c r="J936" s="148">
        <v>100</v>
      </c>
      <c r="K936" s="222" t="s">
        <v>8074</v>
      </c>
    </row>
    <row r="937" spans="1:11" hidden="1" x14ac:dyDescent="0.25">
      <c r="A937" s="203"/>
      <c r="B937" s="205"/>
      <c r="C937" s="35" t="s">
        <v>39</v>
      </c>
      <c r="D937" s="46" t="s">
        <v>12</v>
      </c>
      <c r="E937" s="36">
        <v>0.21</v>
      </c>
      <c r="F937" s="30">
        <v>24.300999999999998</v>
      </c>
      <c r="G937" s="33">
        <f t="shared" si="15"/>
        <v>5.1032099999999998</v>
      </c>
      <c r="H937" s="34"/>
      <c r="I937" s="30"/>
      <c r="J937" s="148">
        <v>100</v>
      </c>
      <c r="K937" s="222" t="s">
        <v>8074</v>
      </c>
    </row>
    <row r="938" spans="1:11" ht="15.75" hidden="1" thickBot="1" x14ac:dyDescent="0.3">
      <c r="A938" s="209"/>
      <c r="B938" s="206"/>
      <c r="C938" s="35"/>
      <c r="D938" s="35"/>
      <c r="E938" s="36"/>
      <c r="F938" s="30" t="s">
        <v>514</v>
      </c>
      <c r="G938" s="30" t="str">
        <f t="shared" si="15"/>
        <v/>
      </c>
      <c r="H938" s="34"/>
      <c r="I938" s="30"/>
      <c r="J938" s="148">
        <v>100</v>
      </c>
      <c r="K938" s="222" t="s">
        <v>8074</v>
      </c>
    </row>
    <row r="939" spans="1:11" ht="15.75" hidden="1" thickBot="1" x14ac:dyDescent="0.3">
      <c r="A939" s="202" t="s">
        <v>306</v>
      </c>
      <c r="B939" s="204" t="str">
        <f>INDEX(Orçamentária!A:B,MATCH(Composições!A939,Orçamentária!A:A,0),2)</f>
        <v>Tubo PVC esgoto ou aguas pluviais predial DN 75mm</v>
      </c>
      <c r="C939" s="40"/>
      <c r="D939" s="25" t="str">
        <f>TRIM(INDEX(Orçamentária!C:C,MATCH(Composições!A939,Orçamentária!A:A,0),1))</f>
        <v>m</v>
      </c>
      <c r="E939" s="26"/>
      <c r="F939" s="41" t="s">
        <v>514</v>
      </c>
      <c r="G939" s="27" t="str">
        <f t="shared" si="15"/>
        <v/>
      </c>
      <c r="H939" s="28"/>
      <c r="I939" s="29"/>
      <c r="J939" s="148">
        <v>75</v>
      </c>
      <c r="K939" s="222" t="s">
        <v>8074</v>
      </c>
    </row>
    <row r="940" spans="1:11" hidden="1" x14ac:dyDescent="0.25">
      <c r="A940" s="203"/>
      <c r="B940" s="205"/>
      <c r="C940" s="31"/>
      <c r="D940" s="31"/>
      <c r="E940" s="32"/>
      <c r="F940" s="42" t="s">
        <v>514</v>
      </c>
      <c r="G940" s="30" t="str">
        <f t="shared" si="15"/>
        <v/>
      </c>
      <c r="H940" s="34"/>
      <c r="I940" s="30"/>
      <c r="J940" s="148">
        <v>75</v>
      </c>
      <c r="K940" s="222" t="s">
        <v>8074</v>
      </c>
    </row>
    <row r="941" spans="1:11" hidden="1" x14ac:dyDescent="0.25">
      <c r="A941" s="203"/>
      <c r="B941" s="205"/>
      <c r="C941" s="35" t="s">
        <v>6599</v>
      </c>
      <c r="D941" s="46" t="s">
        <v>20</v>
      </c>
      <c r="E941" s="36">
        <v>2.93E-2</v>
      </c>
      <c r="F941" s="33">
        <v>69.074499999999986</v>
      </c>
      <c r="G941" s="33">
        <f t="shared" si="15"/>
        <v>2.0238828499999997</v>
      </c>
      <c r="H941" s="38">
        <f>SUM(G941:G946)</f>
        <v>45.921017349999993</v>
      </c>
      <c r="I941" s="39"/>
      <c r="J941" s="148">
        <v>75</v>
      </c>
      <c r="K941" s="222" t="s">
        <v>8074</v>
      </c>
    </row>
    <row r="942" spans="1:11" ht="25.5" hidden="1" x14ac:dyDescent="0.25">
      <c r="A942" s="203"/>
      <c r="B942" s="205"/>
      <c r="C942" s="35" t="s">
        <v>3737</v>
      </c>
      <c r="D942" s="46" t="s">
        <v>92</v>
      </c>
      <c r="E942" s="36">
        <v>1.04</v>
      </c>
      <c r="F942" s="33">
        <v>25.013499999999997</v>
      </c>
      <c r="G942" s="33">
        <f t="shared" si="15"/>
        <v>26.014039999999998</v>
      </c>
      <c r="H942" s="44"/>
      <c r="I942" s="45"/>
      <c r="J942" s="148">
        <v>75</v>
      </c>
      <c r="K942" s="222" t="s">
        <v>8074</v>
      </c>
    </row>
    <row r="943" spans="1:11" ht="25.5" hidden="1" x14ac:dyDescent="0.25">
      <c r="A943" s="203"/>
      <c r="B943" s="205"/>
      <c r="C943" s="35" t="s">
        <v>6600</v>
      </c>
      <c r="D943" s="46" t="s">
        <v>20</v>
      </c>
      <c r="E943" s="36">
        <v>4.5499999999999999E-2</v>
      </c>
      <c r="F943" s="33">
        <v>78.260999999999996</v>
      </c>
      <c r="G943" s="33">
        <f t="shared" si="15"/>
        <v>3.5608754999999999</v>
      </c>
      <c r="H943" s="44"/>
      <c r="I943" s="45"/>
      <c r="J943" s="148">
        <v>75</v>
      </c>
      <c r="K943" s="222" t="s">
        <v>8074</v>
      </c>
    </row>
    <row r="944" spans="1:11" hidden="1" x14ac:dyDescent="0.25">
      <c r="A944" s="203"/>
      <c r="B944" s="205"/>
      <c r="C944" s="35" t="s">
        <v>303</v>
      </c>
      <c r="D944" s="46" t="s">
        <v>20</v>
      </c>
      <c r="E944" s="36">
        <v>0.1085</v>
      </c>
      <c r="F944" s="33">
        <v>2.0139999999999998</v>
      </c>
      <c r="G944" s="33">
        <f t="shared" si="15"/>
        <v>0.21851899999999996</v>
      </c>
      <c r="H944" s="44"/>
      <c r="I944" s="45"/>
      <c r="J944" s="148">
        <v>75</v>
      </c>
      <c r="K944" s="222" t="s">
        <v>8074</v>
      </c>
    </row>
    <row r="945" spans="1:11" ht="25.5" hidden="1" x14ac:dyDescent="0.25">
      <c r="A945" s="203"/>
      <c r="B945" s="205"/>
      <c r="C945" s="35" t="s">
        <v>106</v>
      </c>
      <c r="D945" s="46" t="s">
        <v>12</v>
      </c>
      <c r="E945" s="36">
        <v>0.32500000000000001</v>
      </c>
      <c r="F945" s="30">
        <v>19.094999999999999</v>
      </c>
      <c r="G945" s="33">
        <f t="shared" si="15"/>
        <v>6.2058749999999998</v>
      </c>
      <c r="H945" s="44"/>
      <c r="I945" s="45"/>
      <c r="J945" s="148">
        <v>75</v>
      </c>
      <c r="K945" s="222" t="s">
        <v>8074</v>
      </c>
    </row>
    <row r="946" spans="1:11" hidden="1" x14ac:dyDescent="0.25">
      <c r="A946" s="203"/>
      <c r="B946" s="205"/>
      <c r="C946" s="35" t="s">
        <v>39</v>
      </c>
      <c r="D946" s="46" t="s">
        <v>12</v>
      </c>
      <c r="E946" s="36">
        <v>0.32500000000000001</v>
      </c>
      <c r="F946" s="30">
        <v>24.300999999999998</v>
      </c>
      <c r="G946" s="33">
        <f t="shared" si="15"/>
        <v>7.8978250000000001</v>
      </c>
      <c r="H946" s="44"/>
      <c r="I946" s="45"/>
      <c r="J946" s="148">
        <v>75</v>
      </c>
      <c r="K946" s="222" t="s">
        <v>8074</v>
      </c>
    </row>
    <row r="947" spans="1:11" ht="15.75" hidden="1" thickBot="1" x14ac:dyDescent="0.3">
      <c r="A947" s="209"/>
      <c r="B947" s="206"/>
      <c r="C947" s="35"/>
      <c r="D947" s="35"/>
      <c r="E947" s="36"/>
      <c r="F947" s="30" t="s">
        <v>514</v>
      </c>
      <c r="G947" s="30" t="str">
        <f t="shared" si="15"/>
        <v/>
      </c>
      <c r="H947" s="34"/>
      <c r="I947" s="30"/>
      <c r="J947" s="148">
        <v>75</v>
      </c>
      <c r="K947" s="222" t="s">
        <v>8074</v>
      </c>
    </row>
    <row r="948" spans="1:11" ht="15.75" hidden="1" thickBot="1" x14ac:dyDescent="0.3">
      <c r="A948" s="202" t="s">
        <v>307</v>
      </c>
      <c r="B948" s="204" t="str">
        <f>INDEX(Orçamentária!A:B,MATCH(Composições!A948,Orçamentária!A:A,0),2)</f>
        <v>Tubo PVC soldável água fria DN 25mm</v>
      </c>
      <c r="C948" s="40"/>
      <c r="D948" s="25" t="str">
        <f>TRIM(INDEX(Orçamentária!C:C,MATCH(Composições!A948,Orçamentária!A:A,0),1))</f>
        <v>m</v>
      </c>
      <c r="E948" s="26"/>
      <c r="F948" s="41" t="s">
        <v>514</v>
      </c>
      <c r="G948" s="27" t="str">
        <f t="shared" si="15"/>
        <v/>
      </c>
      <c r="H948" s="28"/>
      <c r="I948" s="29"/>
      <c r="J948" s="148">
        <v>300</v>
      </c>
      <c r="K948" s="222" t="s">
        <v>8074</v>
      </c>
    </row>
    <row r="949" spans="1:11" hidden="1" x14ac:dyDescent="0.25">
      <c r="A949" s="203"/>
      <c r="B949" s="205"/>
      <c r="C949" s="31"/>
      <c r="D949" s="31"/>
      <c r="E949" s="32"/>
      <c r="F949" s="42" t="s">
        <v>514</v>
      </c>
      <c r="G949" s="30" t="str">
        <f t="shared" si="15"/>
        <v/>
      </c>
      <c r="H949" s="34"/>
      <c r="I949" s="30"/>
      <c r="J949" s="148">
        <v>300</v>
      </c>
      <c r="K949" s="222" t="s">
        <v>8074</v>
      </c>
    </row>
    <row r="950" spans="1:11" hidden="1" x14ac:dyDescent="0.25">
      <c r="A950" s="203"/>
      <c r="B950" s="205"/>
      <c r="C950" s="35" t="s">
        <v>308</v>
      </c>
      <c r="D950" s="46" t="s">
        <v>92</v>
      </c>
      <c r="E950" s="36">
        <v>1.0609999999999999</v>
      </c>
      <c r="F950" s="33">
        <v>4.9020000000000001</v>
      </c>
      <c r="G950" s="33">
        <f t="shared" si="15"/>
        <v>5.201022</v>
      </c>
      <c r="H950" s="38">
        <f>SUM(G950:G952)</f>
        <v>5.8953579999999999</v>
      </c>
      <c r="I950" s="39"/>
      <c r="J950" s="148">
        <v>300</v>
      </c>
      <c r="K950" s="222" t="s">
        <v>8074</v>
      </c>
    </row>
    <row r="951" spans="1:11" ht="25.5" hidden="1" x14ac:dyDescent="0.25">
      <c r="A951" s="203"/>
      <c r="B951" s="205"/>
      <c r="C951" s="35" t="s">
        <v>106</v>
      </c>
      <c r="D951" s="35" t="s">
        <v>12</v>
      </c>
      <c r="E951" s="36">
        <v>1.6E-2</v>
      </c>
      <c r="F951" s="30">
        <v>19.094999999999999</v>
      </c>
      <c r="G951" s="33">
        <f t="shared" si="15"/>
        <v>0.30552000000000001</v>
      </c>
      <c r="H951" s="34"/>
      <c r="I951" s="30"/>
      <c r="J951" s="148">
        <v>300</v>
      </c>
      <c r="K951" s="222" t="s">
        <v>8074</v>
      </c>
    </row>
    <row r="952" spans="1:11" hidden="1" x14ac:dyDescent="0.25">
      <c r="A952" s="203"/>
      <c r="B952" s="205"/>
      <c r="C952" s="35" t="s">
        <v>39</v>
      </c>
      <c r="D952" s="46" t="s">
        <v>12</v>
      </c>
      <c r="E952" s="36">
        <v>1.6E-2</v>
      </c>
      <c r="F952" s="30">
        <v>24.300999999999998</v>
      </c>
      <c r="G952" s="33">
        <f t="shared" si="15"/>
        <v>0.38881599999999999</v>
      </c>
      <c r="H952" s="34"/>
      <c r="I952" s="30"/>
      <c r="J952" s="148">
        <v>300</v>
      </c>
      <c r="K952" s="222" t="s">
        <v>8074</v>
      </c>
    </row>
    <row r="953" spans="1:11" ht="15.75" hidden="1" thickBot="1" x14ac:dyDescent="0.3">
      <c r="A953" s="209"/>
      <c r="B953" s="206"/>
      <c r="C953" s="35"/>
      <c r="D953" s="35"/>
      <c r="E953" s="36"/>
      <c r="F953" s="30" t="s">
        <v>514</v>
      </c>
      <c r="G953" s="30" t="str">
        <f t="shared" si="15"/>
        <v/>
      </c>
      <c r="H953" s="34"/>
      <c r="I953" s="30"/>
      <c r="J953" s="148">
        <v>300</v>
      </c>
      <c r="K953" s="222" t="s">
        <v>8074</v>
      </c>
    </row>
    <row r="954" spans="1:11" ht="15.75" hidden="1" thickBot="1" x14ac:dyDescent="0.3">
      <c r="A954" s="202" t="s">
        <v>309</v>
      </c>
      <c r="B954" s="204" t="str">
        <f>INDEX(Orçamentária!A:B,MATCH(Composições!A954,Orçamentária!A:A,0),2)</f>
        <v>Tubo PVC soldável água fria DN 32mm</v>
      </c>
      <c r="C954" s="40"/>
      <c r="D954" s="25" t="str">
        <f>TRIM(INDEX(Orçamentária!C:C,MATCH(Composições!A954,Orçamentária!A:A,0),1))</f>
        <v>m</v>
      </c>
      <c r="E954" s="26"/>
      <c r="F954" s="41" t="s">
        <v>514</v>
      </c>
      <c r="G954" s="27" t="str">
        <f t="shared" si="15"/>
        <v/>
      </c>
      <c r="H954" s="28"/>
      <c r="I954" s="29"/>
      <c r="J954" s="148">
        <v>160</v>
      </c>
      <c r="K954" s="222" t="s">
        <v>8074</v>
      </c>
    </row>
    <row r="955" spans="1:11" hidden="1" x14ac:dyDescent="0.25">
      <c r="A955" s="203"/>
      <c r="B955" s="205"/>
      <c r="C955" s="31"/>
      <c r="D955" s="31"/>
      <c r="E955" s="32"/>
      <c r="F955" s="42" t="s">
        <v>514</v>
      </c>
      <c r="G955" s="30" t="str">
        <f t="shared" si="15"/>
        <v/>
      </c>
      <c r="H955" s="34"/>
      <c r="I955" s="30"/>
      <c r="J955" s="148">
        <v>160</v>
      </c>
      <c r="K955" s="222" t="s">
        <v>8074</v>
      </c>
    </row>
    <row r="956" spans="1:11" hidden="1" x14ac:dyDescent="0.25">
      <c r="A956" s="203"/>
      <c r="B956" s="205"/>
      <c r="C956" s="35" t="s">
        <v>310</v>
      </c>
      <c r="D956" s="46" t="s">
        <v>92</v>
      </c>
      <c r="E956" s="36">
        <v>1.0609999999999999</v>
      </c>
      <c r="F956" s="33">
        <v>11.010499999999999</v>
      </c>
      <c r="G956" s="33">
        <f t="shared" si="15"/>
        <v>11.682140499999997</v>
      </c>
      <c r="H956" s="38">
        <f>SUM(G956:G958)</f>
        <v>12.550060499999997</v>
      </c>
      <c r="I956" s="39"/>
      <c r="J956" s="148">
        <v>160</v>
      </c>
      <c r="K956" s="222" t="s">
        <v>8074</v>
      </c>
    </row>
    <row r="957" spans="1:11" ht="25.5" hidden="1" x14ac:dyDescent="0.25">
      <c r="A957" s="203"/>
      <c r="B957" s="205"/>
      <c r="C957" s="35" t="s">
        <v>106</v>
      </c>
      <c r="D957" s="35" t="s">
        <v>12</v>
      </c>
      <c r="E957" s="36">
        <v>0.02</v>
      </c>
      <c r="F957" s="30">
        <v>19.094999999999999</v>
      </c>
      <c r="G957" s="33">
        <f t="shared" si="15"/>
        <v>0.38189999999999996</v>
      </c>
      <c r="H957" s="34"/>
      <c r="I957" s="30"/>
      <c r="J957" s="148">
        <v>160</v>
      </c>
      <c r="K957" s="222" t="s">
        <v>8074</v>
      </c>
    </row>
    <row r="958" spans="1:11" hidden="1" x14ac:dyDescent="0.25">
      <c r="A958" s="203"/>
      <c r="B958" s="205"/>
      <c r="C958" s="35" t="s">
        <v>39</v>
      </c>
      <c r="D958" s="46" t="s">
        <v>12</v>
      </c>
      <c r="E958" s="36">
        <v>0.02</v>
      </c>
      <c r="F958" s="30">
        <v>24.300999999999998</v>
      </c>
      <c r="G958" s="33">
        <f t="shared" si="15"/>
        <v>0.48601999999999995</v>
      </c>
      <c r="H958" s="34"/>
      <c r="I958" s="30"/>
      <c r="J958" s="148">
        <v>160</v>
      </c>
      <c r="K958" s="222" t="s">
        <v>8074</v>
      </c>
    </row>
    <row r="959" spans="1:11" ht="15.75" hidden="1" thickBot="1" x14ac:dyDescent="0.3">
      <c r="A959" s="209"/>
      <c r="B959" s="206"/>
      <c r="C959" s="35"/>
      <c r="D959" s="35"/>
      <c r="E959" s="36"/>
      <c r="F959" s="30" t="s">
        <v>514</v>
      </c>
      <c r="G959" s="30" t="str">
        <f t="shared" si="15"/>
        <v/>
      </c>
      <c r="H959" s="34"/>
      <c r="I959" s="30"/>
      <c r="J959" s="148">
        <v>160</v>
      </c>
      <c r="K959" s="222" t="s">
        <v>8074</v>
      </c>
    </row>
    <row r="960" spans="1:11" ht="15.75" hidden="1" thickBot="1" x14ac:dyDescent="0.3">
      <c r="A960" s="202" t="s">
        <v>311</v>
      </c>
      <c r="B960" s="204" t="str">
        <f>INDEX(Orçamentária!A:B,MATCH(Composições!A960,Orçamentária!A:A,0),2)</f>
        <v>Tubo PVC soldável água fria DN 40mm</v>
      </c>
      <c r="C960" s="40"/>
      <c r="D960" s="25" t="str">
        <f>TRIM(INDEX(Orçamentária!C:C,MATCH(Composições!A960,Orçamentária!A:A,0),1))</f>
        <v>m</v>
      </c>
      <c r="E960" s="26"/>
      <c r="F960" s="41" t="s">
        <v>514</v>
      </c>
      <c r="G960" s="27" t="str">
        <f t="shared" si="15"/>
        <v/>
      </c>
      <c r="H960" s="28"/>
      <c r="I960" s="29"/>
      <c r="J960" s="148">
        <v>75</v>
      </c>
      <c r="K960" s="222" t="s">
        <v>8074</v>
      </c>
    </row>
    <row r="961" spans="1:11" hidden="1" x14ac:dyDescent="0.25">
      <c r="A961" s="203"/>
      <c r="B961" s="205"/>
      <c r="C961" s="31"/>
      <c r="D961" s="31"/>
      <c r="E961" s="32"/>
      <c r="F961" s="42" t="s">
        <v>514</v>
      </c>
      <c r="G961" s="30" t="str">
        <f t="shared" si="15"/>
        <v/>
      </c>
      <c r="H961" s="34"/>
      <c r="I961" s="30"/>
      <c r="J961" s="148">
        <v>75</v>
      </c>
      <c r="K961" s="222" t="s">
        <v>8074</v>
      </c>
    </row>
    <row r="962" spans="1:11" hidden="1" x14ac:dyDescent="0.25">
      <c r="A962" s="203"/>
      <c r="B962" s="205"/>
      <c r="C962" s="35" t="s">
        <v>312</v>
      </c>
      <c r="D962" s="46" t="s">
        <v>92</v>
      </c>
      <c r="E962" s="36">
        <v>1.0609999999999999</v>
      </c>
      <c r="F962" s="33">
        <v>16.026499999999999</v>
      </c>
      <c r="G962" s="33">
        <f t="shared" si="15"/>
        <v>17.004116499999999</v>
      </c>
      <c r="H962" s="38">
        <f>SUM(G962:G965)</f>
        <v>18.061732499999998</v>
      </c>
      <c r="I962" s="39"/>
      <c r="J962" s="148">
        <v>75</v>
      </c>
      <c r="K962" s="222" t="s">
        <v>8074</v>
      </c>
    </row>
    <row r="963" spans="1:11" hidden="1" x14ac:dyDescent="0.25">
      <c r="A963" s="203"/>
      <c r="B963" s="205"/>
      <c r="C963" s="35" t="s">
        <v>303</v>
      </c>
      <c r="D963" s="46" t="s">
        <v>20</v>
      </c>
      <c r="E963" s="36">
        <v>8.0000000000000002E-3</v>
      </c>
      <c r="F963" s="33">
        <v>2.0139999999999998</v>
      </c>
      <c r="G963" s="33">
        <f t="shared" si="15"/>
        <v>1.6111999999999998E-2</v>
      </c>
      <c r="H963" s="34"/>
      <c r="I963" s="30"/>
      <c r="J963" s="148">
        <v>75</v>
      </c>
      <c r="K963" s="222" t="s">
        <v>8074</v>
      </c>
    </row>
    <row r="964" spans="1:11" ht="25.5" hidden="1" x14ac:dyDescent="0.25">
      <c r="A964" s="203"/>
      <c r="B964" s="205"/>
      <c r="C964" s="35" t="s">
        <v>106</v>
      </c>
      <c r="D964" s="35" t="s">
        <v>12</v>
      </c>
      <c r="E964" s="36">
        <v>2.4E-2</v>
      </c>
      <c r="F964" s="30">
        <v>19.094999999999999</v>
      </c>
      <c r="G964" s="33">
        <f t="shared" si="15"/>
        <v>0.45827999999999997</v>
      </c>
      <c r="H964" s="34"/>
      <c r="I964" s="30"/>
      <c r="J964" s="148">
        <v>75</v>
      </c>
      <c r="K964" s="222" t="s">
        <v>8074</v>
      </c>
    </row>
    <row r="965" spans="1:11" hidden="1" x14ac:dyDescent="0.25">
      <c r="A965" s="203"/>
      <c r="B965" s="205"/>
      <c r="C965" s="35" t="s">
        <v>39</v>
      </c>
      <c r="D965" s="46" t="s">
        <v>12</v>
      </c>
      <c r="E965" s="36">
        <v>2.4E-2</v>
      </c>
      <c r="F965" s="30">
        <v>24.300999999999998</v>
      </c>
      <c r="G965" s="33">
        <f t="shared" si="15"/>
        <v>0.58322399999999996</v>
      </c>
      <c r="H965" s="34"/>
      <c r="I965" s="30"/>
      <c r="J965" s="148">
        <v>75</v>
      </c>
      <c r="K965" s="222" t="s">
        <v>8074</v>
      </c>
    </row>
    <row r="966" spans="1:11" ht="15.75" hidden="1" thickBot="1" x14ac:dyDescent="0.3">
      <c r="A966" s="209"/>
      <c r="B966" s="206"/>
      <c r="C966" s="35"/>
      <c r="D966" s="35"/>
      <c r="E966" s="36"/>
      <c r="F966" s="30" t="s">
        <v>514</v>
      </c>
      <c r="G966" s="30" t="str">
        <f t="shared" si="15"/>
        <v/>
      </c>
      <c r="H966" s="34"/>
      <c r="I966" s="30"/>
      <c r="J966" s="148">
        <v>75</v>
      </c>
      <c r="K966" s="222" t="s">
        <v>8074</v>
      </c>
    </row>
    <row r="967" spans="1:11" ht="15.75" hidden="1" thickBot="1" x14ac:dyDescent="0.3">
      <c r="A967" s="202" t="s">
        <v>313</v>
      </c>
      <c r="B967" s="204" t="str">
        <f>INDEX(Orçamentária!A:B,MATCH(Composições!A967,Orçamentária!A:A,0),2)</f>
        <v>Tubo PVC soldável água fria DN 50mm</v>
      </c>
      <c r="C967" s="40"/>
      <c r="D967" s="25" t="str">
        <f>TRIM(INDEX(Orçamentária!C:C,MATCH(Composições!A967,Orçamentária!A:A,0),1))</f>
        <v>m</v>
      </c>
      <c r="E967" s="26"/>
      <c r="F967" s="41" t="s">
        <v>514</v>
      </c>
      <c r="G967" s="27" t="str">
        <f t="shared" si="15"/>
        <v/>
      </c>
      <c r="H967" s="28"/>
      <c r="I967" s="29"/>
      <c r="J967" s="148">
        <v>90</v>
      </c>
      <c r="K967" s="222" t="s">
        <v>8074</v>
      </c>
    </row>
    <row r="968" spans="1:11" hidden="1" x14ac:dyDescent="0.25">
      <c r="A968" s="203"/>
      <c r="B968" s="205"/>
      <c r="C968" s="31"/>
      <c r="D968" s="31"/>
      <c r="E968" s="32"/>
      <c r="F968" s="42" t="s">
        <v>514</v>
      </c>
      <c r="G968" s="30" t="str">
        <f t="shared" si="15"/>
        <v/>
      </c>
      <c r="H968" s="34"/>
      <c r="I968" s="30"/>
      <c r="J968" s="148">
        <v>90</v>
      </c>
      <c r="K968" s="222" t="s">
        <v>8074</v>
      </c>
    </row>
    <row r="969" spans="1:11" hidden="1" x14ac:dyDescent="0.25">
      <c r="A969" s="203"/>
      <c r="B969" s="205"/>
      <c r="C969" s="35" t="s">
        <v>314</v>
      </c>
      <c r="D969" s="46" t="s">
        <v>92</v>
      </c>
      <c r="E969" s="36">
        <v>1.0609999999999999</v>
      </c>
      <c r="F969" s="33">
        <v>18.353999999999999</v>
      </c>
      <c r="G969" s="33">
        <f t="shared" si="15"/>
        <v>19.473593999999999</v>
      </c>
      <c r="H969" s="38">
        <f>SUM(G969:G972)</f>
        <v>20.752217999999999</v>
      </c>
      <c r="I969" s="39"/>
      <c r="J969" s="148">
        <v>90</v>
      </c>
      <c r="K969" s="222" t="s">
        <v>8074</v>
      </c>
    </row>
    <row r="970" spans="1:11" hidden="1" x14ac:dyDescent="0.25">
      <c r="A970" s="203"/>
      <c r="B970" s="205"/>
      <c r="C970" s="35" t="s">
        <v>303</v>
      </c>
      <c r="D970" s="46" t="s">
        <v>20</v>
      </c>
      <c r="E970" s="36">
        <v>0.01</v>
      </c>
      <c r="F970" s="33">
        <v>2.0139999999999998</v>
      </c>
      <c r="G970" s="33">
        <f t="shared" si="15"/>
        <v>2.0139999999999998E-2</v>
      </c>
      <c r="H970" s="34"/>
      <c r="I970" s="30"/>
      <c r="J970" s="148">
        <v>90</v>
      </c>
      <c r="K970" s="222" t="s">
        <v>8074</v>
      </c>
    </row>
    <row r="971" spans="1:11" ht="25.5" hidden="1" x14ac:dyDescent="0.25">
      <c r="A971" s="203"/>
      <c r="B971" s="205"/>
      <c r="C971" s="35" t="s">
        <v>106</v>
      </c>
      <c r="D971" s="35" t="s">
        <v>12</v>
      </c>
      <c r="E971" s="36">
        <v>2.9000000000000001E-2</v>
      </c>
      <c r="F971" s="30">
        <v>19.094999999999999</v>
      </c>
      <c r="G971" s="33">
        <f t="shared" si="15"/>
        <v>0.553755</v>
      </c>
      <c r="H971" s="34"/>
      <c r="I971" s="30"/>
      <c r="J971" s="148">
        <v>90</v>
      </c>
      <c r="K971" s="222" t="s">
        <v>8074</v>
      </c>
    </row>
    <row r="972" spans="1:11" hidden="1" x14ac:dyDescent="0.25">
      <c r="A972" s="203"/>
      <c r="B972" s="205"/>
      <c r="C972" s="35" t="s">
        <v>39</v>
      </c>
      <c r="D972" s="46" t="s">
        <v>12</v>
      </c>
      <c r="E972" s="36">
        <v>2.9000000000000001E-2</v>
      </c>
      <c r="F972" s="30">
        <v>24.300999999999998</v>
      </c>
      <c r="G972" s="33">
        <f t="shared" si="15"/>
        <v>0.70472899999999994</v>
      </c>
      <c r="H972" s="34"/>
      <c r="I972" s="30"/>
      <c r="J972" s="148">
        <v>90</v>
      </c>
      <c r="K972" s="222" t="s">
        <v>8074</v>
      </c>
    </row>
    <row r="973" spans="1:11" ht="15.75" hidden="1" thickBot="1" x14ac:dyDescent="0.3">
      <c r="A973" s="209"/>
      <c r="B973" s="206"/>
      <c r="C973" s="35"/>
      <c r="D973" s="35"/>
      <c r="E973" s="36"/>
      <c r="F973" s="30" t="s">
        <v>514</v>
      </c>
      <c r="G973" s="30" t="str">
        <f t="shared" si="15"/>
        <v/>
      </c>
      <c r="H973" s="34"/>
      <c r="I973" s="30"/>
      <c r="J973" s="148">
        <v>90</v>
      </c>
      <c r="K973" s="222" t="s">
        <v>8074</v>
      </c>
    </row>
    <row r="974" spans="1:11" ht="15.75" hidden="1" thickBot="1" x14ac:dyDescent="0.3">
      <c r="A974" s="202" t="s">
        <v>315</v>
      </c>
      <c r="B974" s="204" t="str">
        <f>INDEX(Orçamentária!A:B,MATCH(Composições!A974,Orçamentária!A:A,0),2)</f>
        <v>Base registro gaveta 3/4"</v>
      </c>
      <c r="C974" s="40"/>
      <c r="D974" s="25" t="str">
        <f>TRIM(INDEX(Orçamentária!C:C,MATCH(Composições!A974,Orçamentária!A:A,0),1))</f>
        <v>un</v>
      </c>
      <c r="E974" s="26"/>
      <c r="F974" s="41" t="s">
        <v>514</v>
      </c>
      <c r="G974" s="27" t="str">
        <f t="shared" si="15"/>
        <v/>
      </c>
      <c r="H974" s="28"/>
      <c r="I974" s="29"/>
      <c r="J974" s="148">
        <v>45</v>
      </c>
      <c r="K974" s="222" t="s">
        <v>8074</v>
      </c>
    </row>
    <row r="975" spans="1:11" hidden="1" x14ac:dyDescent="0.25">
      <c r="A975" s="203"/>
      <c r="B975" s="205"/>
      <c r="C975" s="31"/>
      <c r="D975" s="31"/>
      <c r="E975" s="32"/>
      <c r="F975" s="42" t="s">
        <v>514</v>
      </c>
      <c r="G975" s="30" t="str">
        <f t="shared" si="15"/>
        <v/>
      </c>
      <c r="H975" s="34"/>
      <c r="I975" s="30"/>
      <c r="J975" s="148">
        <v>45</v>
      </c>
      <c r="K975" s="222" t="s">
        <v>8074</v>
      </c>
    </row>
    <row r="976" spans="1:11" ht="25.5" hidden="1" x14ac:dyDescent="0.25">
      <c r="A976" s="203"/>
      <c r="B976" s="205"/>
      <c r="C976" s="35" t="s">
        <v>316</v>
      </c>
      <c r="D976" s="46" t="s">
        <v>143</v>
      </c>
      <c r="E976" s="36">
        <v>1</v>
      </c>
      <c r="F976" s="33">
        <v>40.51</v>
      </c>
      <c r="G976" s="33">
        <f t="shared" si="15"/>
        <v>40.51</v>
      </c>
      <c r="H976" s="38">
        <f>SUM(G976:G979)</f>
        <v>50.266992099999996</v>
      </c>
      <c r="I976" s="39"/>
      <c r="J976" s="148">
        <v>45</v>
      </c>
      <c r="K976" s="222" t="s">
        <v>8074</v>
      </c>
    </row>
    <row r="977" spans="1:11" hidden="1" x14ac:dyDescent="0.25">
      <c r="A977" s="203"/>
      <c r="B977" s="205"/>
      <c r="C977" s="35" t="s">
        <v>317</v>
      </c>
      <c r="D977" s="46" t="s">
        <v>278</v>
      </c>
      <c r="E977" s="36">
        <v>1.06E-2</v>
      </c>
      <c r="F977" s="33">
        <v>14.8865</v>
      </c>
      <c r="G977" s="33">
        <f t="shared" si="15"/>
        <v>0.15779689999999999</v>
      </c>
      <c r="H977" s="34"/>
      <c r="I977" s="30"/>
      <c r="J977" s="148">
        <v>45</v>
      </c>
      <c r="K977" s="222" t="s">
        <v>8074</v>
      </c>
    </row>
    <row r="978" spans="1:11" hidden="1" x14ac:dyDescent="0.25">
      <c r="A978" s="203"/>
      <c r="B978" s="205"/>
      <c r="C978" s="35" t="s">
        <v>39</v>
      </c>
      <c r="D978" s="46" t="s">
        <v>12</v>
      </c>
      <c r="E978" s="36">
        <v>0.22120000000000001</v>
      </c>
      <c r="F978" s="30">
        <v>24.300999999999998</v>
      </c>
      <c r="G978" s="33">
        <f t="shared" si="15"/>
        <v>5.3753811999999996</v>
      </c>
      <c r="H978" s="34"/>
      <c r="I978" s="30"/>
      <c r="J978" s="148">
        <v>45</v>
      </c>
      <c r="K978" s="222" t="s">
        <v>8074</v>
      </c>
    </row>
    <row r="979" spans="1:11" ht="25.5" hidden="1" x14ac:dyDescent="0.25">
      <c r="A979" s="203"/>
      <c r="B979" s="205"/>
      <c r="C979" s="35" t="s">
        <v>106</v>
      </c>
      <c r="D979" s="46" t="s">
        <v>12</v>
      </c>
      <c r="E979" s="36">
        <v>0.22120000000000001</v>
      </c>
      <c r="F979" s="30">
        <v>19.094999999999999</v>
      </c>
      <c r="G979" s="33">
        <f t="shared" ref="G979:G1042" si="16">IF(ISNUMBER(F979),E979*F979,"")</f>
        <v>4.223814</v>
      </c>
      <c r="H979" s="34"/>
      <c r="I979" s="30"/>
      <c r="J979" s="148">
        <v>45</v>
      </c>
      <c r="K979" s="222" t="s">
        <v>8074</v>
      </c>
    </row>
    <row r="980" spans="1:11" ht="15.75" hidden="1" thickBot="1" x14ac:dyDescent="0.3">
      <c r="A980" s="209"/>
      <c r="B980" s="206"/>
      <c r="C980" s="35"/>
      <c r="D980" s="35"/>
      <c r="E980" s="36"/>
      <c r="F980" s="30" t="s">
        <v>514</v>
      </c>
      <c r="G980" s="30" t="str">
        <f t="shared" si="16"/>
        <v/>
      </c>
      <c r="H980" s="34"/>
      <c r="I980" s="30"/>
      <c r="J980" s="148">
        <v>45</v>
      </c>
      <c r="K980" s="222" t="s">
        <v>8074</v>
      </c>
    </row>
    <row r="981" spans="1:11" ht="15.75" hidden="1" thickBot="1" x14ac:dyDescent="0.3">
      <c r="A981" s="202" t="s">
        <v>318</v>
      </c>
      <c r="B981" s="204" t="str">
        <f>INDEX(Orçamentária!A:B,MATCH(Composições!A981,Orçamentária!A:A,0),2)</f>
        <v>Caixa sifonada de PVC DN 150mm</v>
      </c>
      <c r="C981" s="40"/>
      <c r="D981" s="25" t="str">
        <f>TRIM(INDEX(Orçamentária!C:C,MATCH(Composições!A981,Orçamentária!A:A,0),1))</f>
        <v>un</v>
      </c>
      <c r="E981" s="26"/>
      <c r="F981" s="41" t="s">
        <v>514</v>
      </c>
      <c r="G981" s="27" t="str">
        <f t="shared" si="16"/>
        <v/>
      </c>
      <c r="H981" s="28"/>
      <c r="I981" s="29"/>
      <c r="J981" s="148">
        <v>40</v>
      </c>
      <c r="K981" s="222" t="s">
        <v>8074</v>
      </c>
    </row>
    <row r="982" spans="1:11" hidden="1" x14ac:dyDescent="0.25">
      <c r="A982" s="203"/>
      <c r="B982" s="205"/>
      <c r="C982" s="31"/>
      <c r="D982" s="31"/>
      <c r="E982" s="32"/>
      <c r="F982" s="42" t="s">
        <v>514</v>
      </c>
      <c r="G982" s="30" t="str">
        <f t="shared" si="16"/>
        <v/>
      </c>
      <c r="H982" s="34"/>
      <c r="I982" s="30"/>
      <c r="J982" s="148">
        <v>40</v>
      </c>
      <c r="K982" s="222" t="s">
        <v>8074</v>
      </c>
    </row>
    <row r="983" spans="1:11" ht="25.5" hidden="1" x14ac:dyDescent="0.25">
      <c r="A983" s="203"/>
      <c r="B983" s="205"/>
      <c r="C983" s="35" t="s">
        <v>106</v>
      </c>
      <c r="D983" s="46" t="s">
        <v>12</v>
      </c>
      <c r="E983" s="36">
        <v>0.38</v>
      </c>
      <c r="F983" s="30">
        <v>19.094999999999999</v>
      </c>
      <c r="G983" s="33">
        <f t="shared" si="16"/>
        <v>7.2561</v>
      </c>
      <c r="H983" s="38">
        <f>SUM(G983:G990)</f>
        <v>108.38473809999999</v>
      </c>
      <c r="I983" s="39"/>
      <c r="J983" s="148">
        <v>40</v>
      </c>
      <c r="K983" s="222" t="s">
        <v>8074</v>
      </c>
    </row>
    <row r="984" spans="1:11" hidden="1" x14ac:dyDescent="0.25">
      <c r="A984" s="203"/>
      <c r="B984" s="205"/>
      <c r="C984" s="35" t="s">
        <v>39</v>
      </c>
      <c r="D984" s="46" t="s">
        <v>12</v>
      </c>
      <c r="E984" s="36">
        <v>0.38</v>
      </c>
      <c r="F984" s="30">
        <v>24.300999999999998</v>
      </c>
      <c r="G984" s="33">
        <f t="shared" si="16"/>
        <v>9.2343799999999998</v>
      </c>
      <c r="H984" s="34"/>
      <c r="I984" s="30"/>
      <c r="J984" s="148">
        <v>40</v>
      </c>
      <c r="K984" s="222" t="s">
        <v>8074</v>
      </c>
    </row>
    <row r="985" spans="1:11" hidden="1" x14ac:dyDescent="0.25">
      <c r="A985" s="203"/>
      <c r="B985" s="205"/>
      <c r="C985" s="35" t="s">
        <v>6599</v>
      </c>
      <c r="D985" s="46" t="s">
        <v>20</v>
      </c>
      <c r="E985" s="36">
        <v>1.4800000000000001E-2</v>
      </c>
      <c r="F985" s="33">
        <v>69.074499999999986</v>
      </c>
      <c r="G985" s="33">
        <f t="shared" si="16"/>
        <v>1.0223026</v>
      </c>
      <c r="H985" s="34"/>
      <c r="I985" s="30"/>
      <c r="J985" s="148">
        <v>40</v>
      </c>
      <c r="K985" s="222" t="s">
        <v>8074</v>
      </c>
    </row>
    <row r="986" spans="1:11" ht="25.5" hidden="1" x14ac:dyDescent="0.25">
      <c r="A986" s="203"/>
      <c r="B986" s="205"/>
      <c r="C986" s="35" t="s">
        <v>6774</v>
      </c>
      <c r="D986" s="46" t="s">
        <v>20</v>
      </c>
      <c r="E986" s="36">
        <v>1</v>
      </c>
      <c r="F986" s="33">
        <v>2.4510000000000001</v>
      </c>
      <c r="G986" s="33">
        <f t="shared" si="16"/>
        <v>2.4510000000000001</v>
      </c>
      <c r="H986" s="34"/>
      <c r="I986" s="30"/>
      <c r="J986" s="148">
        <v>40</v>
      </c>
      <c r="K986" s="222" t="s">
        <v>8074</v>
      </c>
    </row>
    <row r="987" spans="1:11" hidden="1" x14ac:dyDescent="0.25">
      <c r="A987" s="203"/>
      <c r="B987" s="205"/>
      <c r="C987" s="35" t="s">
        <v>303</v>
      </c>
      <c r="D987" s="46" t="s">
        <v>20</v>
      </c>
      <c r="E987" s="36">
        <v>5.7000000000000002E-2</v>
      </c>
      <c r="F987" s="33">
        <v>2.0139999999999998</v>
      </c>
      <c r="G987" s="33">
        <f t="shared" si="16"/>
        <v>0.114798</v>
      </c>
      <c r="H987" s="34"/>
      <c r="I987" s="30"/>
      <c r="J987" s="148">
        <v>40</v>
      </c>
      <c r="K987" s="222" t="s">
        <v>8074</v>
      </c>
    </row>
    <row r="988" spans="1:11" ht="25.5" hidden="1" x14ac:dyDescent="0.25">
      <c r="A988" s="203"/>
      <c r="B988" s="205"/>
      <c r="C988" s="35" t="s">
        <v>6601</v>
      </c>
      <c r="D988" s="46" t="s">
        <v>20</v>
      </c>
      <c r="E988" s="36">
        <v>1</v>
      </c>
      <c r="F988" s="33">
        <v>85.69</v>
      </c>
      <c r="G988" s="33">
        <f t="shared" si="16"/>
        <v>85.69</v>
      </c>
      <c r="H988" s="34"/>
      <c r="I988" s="30"/>
      <c r="J988" s="148">
        <v>40</v>
      </c>
      <c r="K988" s="222" t="s">
        <v>8074</v>
      </c>
    </row>
    <row r="989" spans="1:11" ht="38.25" hidden="1" x14ac:dyDescent="0.25">
      <c r="A989" s="203"/>
      <c r="B989" s="205"/>
      <c r="C989" s="35" t="s">
        <v>6602</v>
      </c>
      <c r="D989" s="46" t="s">
        <v>20</v>
      </c>
      <c r="E989" s="36">
        <v>0.03</v>
      </c>
      <c r="F989" s="33">
        <v>28.509499999999999</v>
      </c>
      <c r="G989" s="33">
        <f t="shared" si="16"/>
        <v>0.85528499999999996</v>
      </c>
      <c r="H989" s="34"/>
      <c r="I989" s="30"/>
      <c r="J989" s="148">
        <v>40</v>
      </c>
      <c r="K989" s="222" t="s">
        <v>8074</v>
      </c>
    </row>
    <row r="990" spans="1:11" ht="25.5" hidden="1" x14ac:dyDescent="0.25">
      <c r="A990" s="203"/>
      <c r="B990" s="205"/>
      <c r="C990" s="35" t="s">
        <v>6600</v>
      </c>
      <c r="D990" s="46" t="s">
        <v>20</v>
      </c>
      <c r="E990" s="36">
        <v>2.2499999999999999E-2</v>
      </c>
      <c r="F990" s="33">
        <v>78.260999999999996</v>
      </c>
      <c r="G990" s="33">
        <f t="shared" si="16"/>
        <v>1.7608724999999998</v>
      </c>
      <c r="H990" s="34"/>
      <c r="I990" s="30"/>
      <c r="J990" s="148">
        <v>40</v>
      </c>
      <c r="K990" s="222" t="s">
        <v>8074</v>
      </c>
    </row>
    <row r="991" spans="1:11" ht="15.75" hidden="1" thickBot="1" x14ac:dyDescent="0.3">
      <c r="A991" s="209"/>
      <c r="B991" s="206"/>
      <c r="C991" s="35"/>
      <c r="D991" s="35"/>
      <c r="E991" s="36"/>
      <c r="F991" s="30" t="s">
        <v>514</v>
      </c>
      <c r="G991" s="30" t="str">
        <f t="shared" si="16"/>
        <v/>
      </c>
      <c r="H991" s="34"/>
      <c r="I991" s="30"/>
      <c r="J991" s="148">
        <v>40</v>
      </c>
      <c r="K991" s="222" t="s">
        <v>8074</v>
      </c>
    </row>
    <row r="992" spans="1:11" ht="15.75" hidden="1" thickBot="1" x14ac:dyDescent="0.3">
      <c r="A992" s="202" t="s">
        <v>319</v>
      </c>
      <c r="B992" s="204" t="str">
        <f>INDEX(Orçamentária!A:B,MATCH(Composições!A992,Orçamentária!A:A,0),2)</f>
        <v>Caixa sifonada de PVC DN 250mm</v>
      </c>
      <c r="C992" s="40"/>
      <c r="D992" s="25" t="str">
        <f>TRIM(INDEX(Orçamentária!C:C,MATCH(Composições!A992,Orçamentária!A:A,0),1))</f>
        <v>un</v>
      </c>
      <c r="E992" s="26"/>
      <c r="F992" s="41" t="s">
        <v>514</v>
      </c>
      <c r="G992" s="27" t="str">
        <f t="shared" si="16"/>
        <v/>
      </c>
      <c r="H992" s="28"/>
      <c r="I992" s="29"/>
      <c r="J992" s="148">
        <v>30</v>
      </c>
      <c r="K992" s="222" t="s">
        <v>8074</v>
      </c>
    </row>
    <row r="993" spans="1:11" hidden="1" x14ac:dyDescent="0.25">
      <c r="A993" s="203"/>
      <c r="B993" s="205"/>
      <c r="C993" s="31"/>
      <c r="D993" s="31"/>
      <c r="E993" s="32"/>
      <c r="F993" s="42" t="s">
        <v>514</v>
      </c>
      <c r="G993" s="30" t="str">
        <f t="shared" si="16"/>
        <v/>
      </c>
      <c r="H993" s="34"/>
      <c r="I993" s="30"/>
      <c r="J993" s="148">
        <v>30</v>
      </c>
      <c r="K993" s="222" t="s">
        <v>8074</v>
      </c>
    </row>
    <row r="994" spans="1:11" ht="25.5" hidden="1" x14ac:dyDescent="0.25">
      <c r="A994" s="203"/>
      <c r="B994" s="205"/>
      <c r="C994" s="35" t="s">
        <v>106</v>
      </c>
      <c r="D994" s="46" t="s">
        <v>12</v>
      </c>
      <c r="E994" s="36">
        <v>0.38</v>
      </c>
      <c r="F994" s="30">
        <v>19.094999999999999</v>
      </c>
      <c r="G994" s="30">
        <f t="shared" si="16"/>
        <v>7.2561</v>
      </c>
      <c r="H994" s="38">
        <f>SUM(G994:G1001)</f>
        <v>148.47473810000002</v>
      </c>
      <c r="I994" s="39"/>
      <c r="J994" s="148">
        <v>30</v>
      </c>
      <c r="K994" s="222" t="s">
        <v>8074</v>
      </c>
    </row>
    <row r="995" spans="1:11" hidden="1" x14ac:dyDescent="0.25">
      <c r="A995" s="203"/>
      <c r="B995" s="205"/>
      <c r="C995" s="35" t="s">
        <v>39</v>
      </c>
      <c r="D995" s="46" t="s">
        <v>12</v>
      </c>
      <c r="E995" s="36">
        <v>0.38</v>
      </c>
      <c r="F995" s="30">
        <v>24.300999999999998</v>
      </c>
      <c r="G995" s="30">
        <f t="shared" si="16"/>
        <v>9.2343799999999998</v>
      </c>
      <c r="H995" s="34"/>
      <c r="I995" s="30"/>
      <c r="J995" s="148">
        <v>30</v>
      </c>
      <c r="K995" s="222" t="s">
        <v>8074</v>
      </c>
    </row>
    <row r="996" spans="1:11" hidden="1" x14ac:dyDescent="0.25">
      <c r="A996" s="203"/>
      <c r="B996" s="205"/>
      <c r="C996" s="35" t="s">
        <v>6599</v>
      </c>
      <c r="D996" s="46" t="s">
        <v>20</v>
      </c>
      <c r="E996" s="36">
        <v>1.4800000000000001E-2</v>
      </c>
      <c r="F996" s="33">
        <v>69.074499999999986</v>
      </c>
      <c r="G996" s="30">
        <f t="shared" si="16"/>
        <v>1.0223026</v>
      </c>
      <c r="H996" s="34"/>
      <c r="I996" s="30"/>
      <c r="J996" s="148">
        <v>30</v>
      </c>
      <c r="K996" s="222" t="s">
        <v>8074</v>
      </c>
    </row>
    <row r="997" spans="1:11" ht="25.5" hidden="1" x14ac:dyDescent="0.25">
      <c r="A997" s="203"/>
      <c r="B997" s="205"/>
      <c r="C997" s="35" t="s">
        <v>6774</v>
      </c>
      <c r="D997" s="46" t="s">
        <v>20</v>
      </c>
      <c r="E997" s="36">
        <v>1</v>
      </c>
      <c r="F997" s="33">
        <v>2.4510000000000001</v>
      </c>
      <c r="G997" s="30">
        <f t="shared" si="16"/>
        <v>2.4510000000000001</v>
      </c>
      <c r="H997" s="34"/>
      <c r="I997" s="30"/>
      <c r="J997" s="148">
        <v>30</v>
      </c>
      <c r="K997" s="222" t="s">
        <v>8074</v>
      </c>
    </row>
    <row r="998" spans="1:11" hidden="1" x14ac:dyDescent="0.25">
      <c r="A998" s="203"/>
      <c r="B998" s="205"/>
      <c r="C998" s="35" t="s">
        <v>303</v>
      </c>
      <c r="D998" s="46" t="s">
        <v>20</v>
      </c>
      <c r="E998" s="36">
        <v>5.7000000000000002E-2</v>
      </c>
      <c r="F998" s="33">
        <v>2.0139999999999998</v>
      </c>
      <c r="G998" s="30">
        <f t="shared" si="16"/>
        <v>0.114798</v>
      </c>
      <c r="H998" s="34"/>
      <c r="I998" s="30"/>
      <c r="J998" s="148">
        <v>30</v>
      </c>
      <c r="K998" s="222" t="s">
        <v>8074</v>
      </c>
    </row>
    <row r="999" spans="1:11" ht="25.5" hidden="1" x14ac:dyDescent="0.25">
      <c r="A999" s="203"/>
      <c r="B999" s="205"/>
      <c r="C999" s="35" t="s">
        <v>6603</v>
      </c>
      <c r="D999" s="46" t="s">
        <v>20</v>
      </c>
      <c r="E999" s="36">
        <v>1</v>
      </c>
      <c r="F999" s="33">
        <v>125.78</v>
      </c>
      <c r="G999" s="30">
        <f t="shared" si="16"/>
        <v>125.78</v>
      </c>
      <c r="H999" s="34"/>
      <c r="I999" s="30"/>
      <c r="J999" s="148">
        <v>30</v>
      </c>
      <c r="K999" s="222" t="s">
        <v>8074</v>
      </c>
    </row>
    <row r="1000" spans="1:11" ht="38.25" hidden="1" x14ac:dyDescent="0.25">
      <c r="A1000" s="203"/>
      <c r="B1000" s="205"/>
      <c r="C1000" s="35" t="s">
        <v>6602</v>
      </c>
      <c r="D1000" s="46" t="s">
        <v>20</v>
      </c>
      <c r="E1000" s="36">
        <v>0.03</v>
      </c>
      <c r="F1000" s="33">
        <v>28.509499999999999</v>
      </c>
      <c r="G1000" s="30">
        <f t="shared" si="16"/>
        <v>0.85528499999999996</v>
      </c>
      <c r="H1000" s="34"/>
      <c r="I1000" s="30"/>
      <c r="J1000" s="148">
        <v>30</v>
      </c>
      <c r="K1000" s="222" t="s">
        <v>8074</v>
      </c>
    </row>
    <row r="1001" spans="1:11" ht="25.5" hidden="1" x14ac:dyDescent="0.25">
      <c r="A1001" s="203"/>
      <c r="B1001" s="205"/>
      <c r="C1001" s="35" t="s">
        <v>6600</v>
      </c>
      <c r="D1001" s="46" t="s">
        <v>20</v>
      </c>
      <c r="E1001" s="36">
        <v>2.2499999999999999E-2</v>
      </c>
      <c r="F1001" s="33">
        <v>78.260999999999996</v>
      </c>
      <c r="G1001" s="30">
        <f t="shared" si="16"/>
        <v>1.7608724999999998</v>
      </c>
      <c r="H1001" s="34"/>
      <c r="I1001" s="30"/>
      <c r="J1001" s="148">
        <v>30</v>
      </c>
      <c r="K1001" s="222" t="s">
        <v>8074</v>
      </c>
    </row>
    <row r="1002" spans="1:11" ht="15.75" hidden="1" thickBot="1" x14ac:dyDescent="0.3">
      <c r="A1002" s="209"/>
      <c r="B1002" s="206"/>
      <c r="C1002" s="35"/>
      <c r="D1002" s="35"/>
      <c r="E1002" s="36"/>
      <c r="F1002" s="30" t="s">
        <v>514</v>
      </c>
      <c r="G1002" s="30" t="str">
        <f t="shared" si="16"/>
        <v/>
      </c>
      <c r="H1002" s="34"/>
      <c r="I1002" s="30"/>
      <c r="J1002" s="148">
        <v>30</v>
      </c>
      <c r="K1002" s="222" t="s">
        <v>8074</v>
      </c>
    </row>
    <row r="1003" spans="1:11" ht="15.75" hidden="1" thickBot="1" x14ac:dyDescent="0.3">
      <c r="A1003" s="202" t="s">
        <v>320</v>
      </c>
      <c r="B1003" s="204" t="str">
        <f>INDEX(Orçamentária!A:B,MATCH(Composições!A1003,Orçamentária!A:A,0),2)</f>
        <v>Grelha quadrada para ralo 10x10cm</v>
      </c>
      <c r="C1003" s="40"/>
      <c r="D1003" s="25" t="str">
        <f>TRIM(INDEX(Orçamentária!C:C,MATCH(Composições!A1003,Orçamentária!A:A,0),1))</f>
        <v>un</v>
      </c>
      <c r="E1003" s="26"/>
      <c r="F1003" s="41" t="s">
        <v>514</v>
      </c>
      <c r="G1003" s="27" t="str">
        <f t="shared" si="16"/>
        <v/>
      </c>
      <c r="H1003" s="28"/>
      <c r="I1003" s="29"/>
      <c r="J1003" s="148">
        <v>35</v>
      </c>
      <c r="K1003" s="222" t="s">
        <v>8074</v>
      </c>
    </row>
    <row r="1004" spans="1:11" hidden="1" x14ac:dyDescent="0.25">
      <c r="A1004" s="203"/>
      <c r="B1004" s="205"/>
      <c r="C1004" s="31"/>
      <c r="D1004" s="31"/>
      <c r="E1004" s="32"/>
      <c r="F1004" s="42" t="s">
        <v>514</v>
      </c>
      <c r="G1004" s="30" t="str">
        <f t="shared" si="16"/>
        <v/>
      </c>
      <c r="H1004" s="34"/>
      <c r="I1004" s="30"/>
      <c r="J1004" s="148">
        <v>35</v>
      </c>
      <c r="K1004" s="222" t="s">
        <v>8074</v>
      </c>
    </row>
    <row r="1005" spans="1:11" ht="25.5" hidden="1" x14ac:dyDescent="0.25">
      <c r="A1005" s="203"/>
      <c r="B1005" s="205"/>
      <c r="C1005" s="35" t="s">
        <v>321</v>
      </c>
      <c r="D1005" s="46" t="s">
        <v>143</v>
      </c>
      <c r="E1005" s="36">
        <v>1</v>
      </c>
      <c r="F1005" s="33">
        <v>47.9</v>
      </c>
      <c r="G1005" s="33">
        <f t="shared" si="16"/>
        <v>47.9</v>
      </c>
      <c r="H1005" s="38">
        <f>SUM(G1005:G1006)</f>
        <v>50.663074999999999</v>
      </c>
      <c r="I1005" s="39"/>
      <c r="J1005" s="148">
        <v>35</v>
      </c>
      <c r="K1005" s="222" t="s">
        <v>8074</v>
      </c>
    </row>
    <row r="1006" spans="1:11" hidden="1" x14ac:dyDescent="0.25">
      <c r="A1006" s="203"/>
      <c r="B1006" s="205"/>
      <c r="C1006" s="35" t="s">
        <v>23</v>
      </c>
      <c r="D1006" s="46" t="s">
        <v>12</v>
      </c>
      <c r="E1006" s="36">
        <v>0.15</v>
      </c>
      <c r="F1006" s="30">
        <v>18.420500000000001</v>
      </c>
      <c r="G1006" s="33">
        <f t="shared" si="16"/>
        <v>2.7630750000000002</v>
      </c>
      <c r="H1006" s="34"/>
      <c r="I1006" s="30"/>
      <c r="J1006" s="148">
        <v>35</v>
      </c>
      <c r="K1006" s="222" t="s">
        <v>8074</v>
      </c>
    </row>
    <row r="1007" spans="1:11" ht="15.75" hidden="1" thickBot="1" x14ac:dyDescent="0.3">
      <c r="A1007" s="209"/>
      <c r="B1007" s="206"/>
      <c r="C1007" s="35"/>
      <c r="D1007" s="35"/>
      <c r="E1007" s="36"/>
      <c r="F1007" s="30" t="s">
        <v>514</v>
      </c>
      <c r="G1007" s="30" t="str">
        <f t="shared" si="16"/>
        <v/>
      </c>
      <c r="H1007" s="34"/>
      <c r="I1007" s="30"/>
      <c r="J1007" s="148">
        <v>35</v>
      </c>
      <c r="K1007" s="222" t="s">
        <v>8074</v>
      </c>
    </row>
    <row r="1008" spans="1:11" ht="15.75" hidden="1" thickBot="1" x14ac:dyDescent="0.3">
      <c r="A1008" s="202" t="s">
        <v>322</v>
      </c>
      <c r="B1008" s="204" t="str">
        <f>INDEX(Orçamentária!A:B,MATCH(Composições!A1008,Orçamentária!A:A,0),2)</f>
        <v>Grelha quadrada para ralo 15x15cm</v>
      </c>
      <c r="C1008" s="40"/>
      <c r="D1008" s="25" t="str">
        <f>TRIM(INDEX(Orçamentária!C:C,MATCH(Composições!A1008,Orçamentária!A:A,0),1))</f>
        <v>un</v>
      </c>
      <c r="E1008" s="26"/>
      <c r="F1008" s="41" t="s">
        <v>514</v>
      </c>
      <c r="G1008" s="27" t="str">
        <f t="shared" si="16"/>
        <v/>
      </c>
      <c r="H1008" s="28"/>
      <c r="I1008" s="29"/>
      <c r="J1008" s="148">
        <v>40</v>
      </c>
      <c r="K1008" s="222" t="s">
        <v>8074</v>
      </c>
    </row>
    <row r="1009" spans="1:11" hidden="1" x14ac:dyDescent="0.25">
      <c r="A1009" s="203"/>
      <c r="B1009" s="205"/>
      <c r="C1009" s="31"/>
      <c r="D1009" s="31"/>
      <c r="E1009" s="32"/>
      <c r="F1009" s="42" t="s">
        <v>514</v>
      </c>
      <c r="G1009" s="30" t="str">
        <f t="shared" si="16"/>
        <v/>
      </c>
      <c r="H1009" s="34"/>
      <c r="I1009" s="30"/>
      <c r="J1009" s="148">
        <v>40</v>
      </c>
      <c r="K1009" s="222" t="s">
        <v>8074</v>
      </c>
    </row>
    <row r="1010" spans="1:11" ht="25.5" hidden="1" x14ac:dyDescent="0.25">
      <c r="A1010" s="203"/>
      <c r="B1010" s="205"/>
      <c r="C1010" s="35" t="s">
        <v>323</v>
      </c>
      <c r="D1010" s="46" t="s">
        <v>143</v>
      </c>
      <c r="E1010" s="36">
        <v>1</v>
      </c>
      <c r="F1010" s="33">
        <v>76.16</v>
      </c>
      <c r="G1010" s="33">
        <f t="shared" si="16"/>
        <v>76.16</v>
      </c>
      <c r="H1010" s="38">
        <f>SUM(G1010:G1011)</f>
        <v>78.923074999999997</v>
      </c>
      <c r="I1010" s="39"/>
      <c r="J1010" s="148">
        <v>40</v>
      </c>
      <c r="K1010" s="222" t="s">
        <v>8074</v>
      </c>
    </row>
    <row r="1011" spans="1:11" hidden="1" x14ac:dyDescent="0.25">
      <c r="A1011" s="203"/>
      <c r="B1011" s="205"/>
      <c r="C1011" s="35" t="s">
        <v>23</v>
      </c>
      <c r="D1011" s="46" t="s">
        <v>12</v>
      </c>
      <c r="E1011" s="36">
        <v>0.15</v>
      </c>
      <c r="F1011" s="30">
        <v>18.420500000000001</v>
      </c>
      <c r="G1011" s="33">
        <f t="shared" si="16"/>
        <v>2.7630750000000002</v>
      </c>
      <c r="H1011" s="34"/>
      <c r="I1011" s="30"/>
      <c r="J1011" s="148">
        <v>40</v>
      </c>
      <c r="K1011" s="222" t="s">
        <v>8074</v>
      </c>
    </row>
    <row r="1012" spans="1:11" ht="15.75" hidden="1" thickBot="1" x14ac:dyDescent="0.3">
      <c r="A1012" s="209"/>
      <c r="B1012" s="206"/>
      <c r="C1012" s="35"/>
      <c r="D1012" s="35"/>
      <c r="E1012" s="36"/>
      <c r="F1012" s="30" t="s">
        <v>514</v>
      </c>
      <c r="G1012" s="30" t="str">
        <f t="shared" si="16"/>
        <v/>
      </c>
      <c r="H1012" s="34"/>
      <c r="I1012" s="30"/>
      <c r="J1012" s="148">
        <v>40</v>
      </c>
      <c r="K1012" s="222" t="s">
        <v>8074</v>
      </c>
    </row>
    <row r="1013" spans="1:11" ht="15.75" hidden="1" thickBot="1" x14ac:dyDescent="0.3">
      <c r="A1013" s="202" t="s">
        <v>324</v>
      </c>
      <c r="B1013" s="204" t="str">
        <f>INDEX(Orçamentária!A:B,MATCH(Composições!A1013,Orçamentária!A:A,0),2)</f>
        <v>Ralo seco PVC DN 100x40mm</v>
      </c>
      <c r="C1013" s="40"/>
      <c r="D1013" s="25" t="str">
        <f>TRIM(INDEX(Orçamentária!C:C,MATCH(Composições!A1013,Orçamentária!A:A,0),1))</f>
        <v>un</v>
      </c>
      <c r="E1013" s="26"/>
      <c r="F1013" s="41" t="s">
        <v>514</v>
      </c>
      <c r="G1013" s="27" t="str">
        <f t="shared" si="16"/>
        <v/>
      </c>
      <c r="H1013" s="28"/>
      <c r="I1013" s="29"/>
      <c r="J1013" s="148">
        <v>30</v>
      </c>
      <c r="K1013" s="222" t="s">
        <v>8074</v>
      </c>
    </row>
    <row r="1014" spans="1:11" hidden="1" x14ac:dyDescent="0.25">
      <c r="A1014" s="203"/>
      <c r="B1014" s="205"/>
      <c r="C1014" s="31"/>
      <c r="D1014" s="31"/>
      <c r="E1014" s="32"/>
      <c r="F1014" s="42" t="s">
        <v>514</v>
      </c>
      <c r="G1014" s="30" t="str">
        <f t="shared" si="16"/>
        <v/>
      </c>
      <c r="H1014" s="34"/>
      <c r="I1014" s="30"/>
      <c r="J1014" s="148">
        <v>30</v>
      </c>
      <c r="K1014" s="222" t="s">
        <v>8074</v>
      </c>
    </row>
    <row r="1015" spans="1:11" ht="25.5" hidden="1" x14ac:dyDescent="0.25">
      <c r="A1015" s="203"/>
      <c r="B1015" s="205"/>
      <c r="C1015" s="35" t="s">
        <v>106</v>
      </c>
      <c r="D1015" s="46" t="s">
        <v>12</v>
      </c>
      <c r="E1015" s="36">
        <v>7.0000000000000007E-2</v>
      </c>
      <c r="F1015" s="30">
        <v>19.094999999999999</v>
      </c>
      <c r="G1015" s="33">
        <f t="shared" si="16"/>
        <v>1.3366500000000001</v>
      </c>
      <c r="H1015" s="38">
        <f>SUM(G1015:G1020)</f>
        <v>15.77738055</v>
      </c>
      <c r="I1015" s="39"/>
      <c r="J1015" s="148">
        <v>30</v>
      </c>
      <c r="K1015" s="222" t="s">
        <v>8074</v>
      </c>
    </row>
    <row r="1016" spans="1:11" hidden="1" x14ac:dyDescent="0.25">
      <c r="A1016" s="203"/>
      <c r="B1016" s="205"/>
      <c r="C1016" s="35" t="s">
        <v>39</v>
      </c>
      <c r="D1016" s="46" t="s">
        <v>12</v>
      </c>
      <c r="E1016" s="36">
        <v>7.0000000000000007E-2</v>
      </c>
      <c r="F1016" s="30">
        <v>24.300999999999998</v>
      </c>
      <c r="G1016" s="33">
        <f t="shared" si="16"/>
        <v>1.7010700000000001</v>
      </c>
      <c r="H1016" s="34"/>
      <c r="I1016" s="30"/>
      <c r="J1016" s="148">
        <v>30</v>
      </c>
      <c r="K1016" s="222" t="s">
        <v>8074</v>
      </c>
    </row>
    <row r="1017" spans="1:11" hidden="1" x14ac:dyDescent="0.25">
      <c r="A1017" s="203"/>
      <c r="B1017" s="205"/>
      <c r="C1017" s="35" t="s">
        <v>6599</v>
      </c>
      <c r="D1017" s="46" t="s">
        <v>20</v>
      </c>
      <c r="E1017" s="36">
        <v>4.8999999999999998E-3</v>
      </c>
      <c r="F1017" s="33">
        <v>69.074499999999986</v>
      </c>
      <c r="G1017" s="33">
        <f t="shared" si="16"/>
        <v>0.33846504999999993</v>
      </c>
      <c r="H1017" s="34"/>
      <c r="I1017" s="30"/>
      <c r="J1017" s="148">
        <v>30</v>
      </c>
      <c r="K1017" s="222" t="s">
        <v>8074</v>
      </c>
    </row>
    <row r="1018" spans="1:11" hidden="1" x14ac:dyDescent="0.25">
      <c r="A1018" s="203"/>
      <c r="B1018" s="205"/>
      <c r="C1018" s="35" t="s">
        <v>303</v>
      </c>
      <c r="D1018" s="46" t="s">
        <v>20</v>
      </c>
      <c r="E1018" s="36">
        <v>1.7000000000000001E-2</v>
      </c>
      <c r="F1018" s="33">
        <v>2.0139999999999998</v>
      </c>
      <c r="G1018" s="33">
        <f t="shared" si="16"/>
        <v>3.4237999999999998E-2</v>
      </c>
      <c r="H1018" s="34"/>
      <c r="I1018" s="30"/>
      <c r="J1018" s="148">
        <v>30</v>
      </c>
      <c r="K1018" s="222" t="s">
        <v>8074</v>
      </c>
    </row>
    <row r="1019" spans="1:11" ht="25.5" hidden="1" x14ac:dyDescent="0.25">
      <c r="A1019" s="203"/>
      <c r="B1019" s="205"/>
      <c r="C1019" s="35" t="s">
        <v>6604</v>
      </c>
      <c r="D1019" s="46" t="s">
        <v>20</v>
      </c>
      <c r="E1019" s="36">
        <v>1</v>
      </c>
      <c r="F1019" s="33">
        <v>11.78</v>
      </c>
      <c r="G1019" s="33">
        <f t="shared" si="16"/>
        <v>11.78</v>
      </c>
      <c r="H1019" s="34"/>
      <c r="I1019" s="30"/>
      <c r="J1019" s="148">
        <v>30</v>
      </c>
      <c r="K1019" s="222" t="s">
        <v>8074</v>
      </c>
    </row>
    <row r="1020" spans="1:11" ht="25.5" hidden="1" x14ac:dyDescent="0.25">
      <c r="A1020" s="203"/>
      <c r="B1020" s="205"/>
      <c r="C1020" s="35" t="s">
        <v>6600</v>
      </c>
      <c r="D1020" s="46" t="s">
        <v>20</v>
      </c>
      <c r="E1020" s="36">
        <v>7.4999999999999997E-3</v>
      </c>
      <c r="F1020" s="33">
        <v>78.260999999999996</v>
      </c>
      <c r="G1020" s="33">
        <f t="shared" si="16"/>
        <v>0.58695749999999991</v>
      </c>
      <c r="H1020" s="34"/>
      <c r="I1020" s="30"/>
      <c r="J1020" s="148">
        <v>30</v>
      </c>
      <c r="K1020" s="222" t="s">
        <v>8074</v>
      </c>
    </row>
    <row r="1021" spans="1:11" ht="15.75" hidden="1" thickBot="1" x14ac:dyDescent="0.3">
      <c r="A1021" s="209"/>
      <c r="B1021" s="206"/>
      <c r="C1021" s="35"/>
      <c r="D1021" s="35"/>
      <c r="E1021" s="36"/>
      <c r="F1021" s="30" t="s">
        <v>514</v>
      </c>
      <c r="G1021" s="30" t="str">
        <f t="shared" si="16"/>
        <v/>
      </c>
      <c r="H1021" s="34"/>
      <c r="I1021" s="30"/>
      <c r="J1021" s="148">
        <v>30</v>
      </c>
      <c r="K1021" s="222" t="s">
        <v>8074</v>
      </c>
    </row>
    <row r="1022" spans="1:11" ht="15.75" hidden="1" thickBot="1" x14ac:dyDescent="0.3">
      <c r="A1022" s="202" t="s">
        <v>325</v>
      </c>
      <c r="B1022" s="204" t="str">
        <f>INDEX(Orçamentária!A:B,MATCH(Composições!A1022,Orçamentária!A:A,0),2)</f>
        <v>Assento para bacia convencional</v>
      </c>
      <c r="C1022" s="40"/>
      <c r="D1022" s="25" t="str">
        <f>TRIM(INDEX(Orçamentária!C:C,MATCH(Composições!A1022,Orçamentária!A:A,0),1))</f>
        <v>un</v>
      </c>
      <c r="E1022" s="26"/>
      <c r="F1022" s="41" t="s">
        <v>514</v>
      </c>
      <c r="G1022" s="27" t="str">
        <f t="shared" si="16"/>
        <v/>
      </c>
      <c r="H1022" s="28"/>
      <c r="I1022" s="29"/>
      <c r="J1022" s="148">
        <v>40</v>
      </c>
      <c r="K1022" s="222" t="s">
        <v>8074</v>
      </c>
    </row>
    <row r="1023" spans="1:11" hidden="1" x14ac:dyDescent="0.25">
      <c r="A1023" s="203"/>
      <c r="B1023" s="205"/>
      <c r="C1023" s="31"/>
      <c r="D1023" s="31"/>
      <c r="E1023" s="32"/>
      <c r="F1023" s="42" t="s">
        <v>514</v>
      </c>
      <c r="G1023" s="30" t="str">
        <f t="shared" si="16"/>
        <v/>
      </c>
      <c r="H1023" s="34"/>
      <c r="I1023" s="30"/>
      <c r="J1023" s="148">
        <v>40</v>
      </c>
      <c r="K1023" s="222" t="s">
        <v>8074</v>
      </c>
    </row>
    <row r="1024" spans="1:11" ht="25.5" hidden="1" x14ac:dyDescent="0.25">
      <c r="A1024" s="203"/>
      <c r="B1024" s="205"/>
      <c r="C1024" s="35" t="s">
        <v>326</v>
      </c>
      <c r="D1024" s="46" t="s">
        <v>143</v>
      </c>
      <c r="E1024" s="36">
        <v>1</v>
      </c>
      <c r="F1024" s="33">
        <v>89.29</v>
      </c>
      <c r="G1024" s="33">
        <f t="shared" si="16"/>
        <v>89.29</v>
      </c>
      <c r="H1024" s="38">
        <f>SUM(G1024:G1025)</f>
        <v>91.132050000000007</v>
      </c>
      <c r="I1024" s="39"/>
      <c r="J1024" s="148">
        <v>40</v>
      </c>
      <c r="K1024" s="222" t="s">
        <v>8074</v>
      </c>
    </row>
    <row r="1025" spans="1:11" hidden="1" x14ac:dyDescent="0.25">
      <c r="A1025" s="203"/>
      <c r="B1025" s="205"/>
      <c r="C1025" s="35" t="s">
        <v>23</v>
      </c>
      <c r="D1025" s="46" t="s">
        <v>12</v>
      </c>
      <c r="E1025" s="36">
        <v>0.1</v>
      </c>
      <c r="F1025" s="30">
        <v>18.420500000000001</v>
      </c>
      <c r="G1025" s="33">
        <f t="shared" si="16"/>
        <v>1.8420500000000002</v>
      </c>
      <c r="H1025" s="34"/>
      <c r="I1025" s="30"/>
      <c r="J1025" s="148">
        <v>40</v>
      </c>
      <c r="K1025" s="222" t="s">
        <v>8074</v>
      </c>
    </row>
    <row r="1026" spans="1:11" ht="15.75" hidden="1" thickBot="1" x14ac:dyDescent="0.3">
      <c r="A1026" s="209"/>
      <c r="B1026" s="206"/>
      <c r="C1026" s="35"/>
      <c r="D1026" s="35"/>
      <c r="E1026" s="36"/>
      <c r="F1026" s="30" t="s">
        <v>514</v>
      </c>
      <c r="G1026" s="30" t="str">
        <f t="shared" si="16"/>
        <v/>
      </c>
      <c r="H1026" s="34"/>
      <c r="I1026" s="30"/>
      <c r="J1026" s="148">
        <v>40</v>
      </c>
      <c r="K1026" s="222" t="s">
        <v>8074</v>
      </c>
    </row>
    <row r="1027" spans="1:11" ht="15.75" hidden="1" thickBot="1" x14ac:dyDescent="0.3">
      <c r="A1027" s="202" t="s">
        <v>327</v>
      </c>
      <c r="B1027" s="204" t="str">
        <f>INDEX(Orçamentária!A:B,MATCH(Composições!A1027,Orçamentária!A:A,0),2)</f>
        <v>Bacia convencional – Linha Administrativa</v>
      </c>
      <c r="C1027" s="40"/>
      <c r="D1027" s="25" t="str">
        <f>TRIM(INDEX(Orçamentária!C:C,MATCH(Composições!A1027,Orçamentária!A:A,0),1))</f>
        <v>un</v>
      </c>
      <c r="E1027" s="26"/>
      <c r="F1027" s="41" t="s">
        <v>514</v>
      </c>
      <c r="G1027" s="27" t="str">
        <f t="shared" si="16"/>
        <v/>
      </c>
      <c r="H1027" s="28"/>
      <c r="I1027" s="29"/>
      <c r="J1027" s="148">
        <v>40</v>
      </c>
      <c r="K1027" s="222" t="s">
        <v>8074</v>
      </c>
    </row>
    <row r="1028" spans="1:11" hidden="1" x14ac:dyDescent="0.25">
      <c r="A1028" s="203"/>
      <c r="B1028" s="205"/>
      <c r="C1028" s="31"/>
      <c r="D1028" s="31"/>
      <c r="E1028" s="32"/>
      <c r="F1028" s="42" t="s">
        <v>514</v>
      </c>
      <c r="G1028" s="30" t="str">
        <f t="shared" si="16"/>
        <v/>
      </c>
      <c r="H1028" s="34"/>
      <c r="I1028" s="30"/>
      <c r="J1028" s="148">
        <v>40</v>
      </c>
      <c r="K1028" s="222" t="s">
        <v>8074</v>
      </c>
    </row>
    <row r="1029" spans="1:11" ht="25.5" hidden="1" x14ac:dyDescent="0.25">
      <c r="A1029" s="203"/>
      <c r="B1029" s="205"/>
      <c r="C1029" s="35" t="s">
        <v>6605</v>
      </c>
      <c r="D1029" s="46" t="s">
        <v>278</v>
      </c>
      <c r="E1029" s="36">
        <v>1</v>
      </c>
      <c r="F1029" s="33">
        <v>181.23150000000001</v>
      </c>
      <c r="G1029" s="33">
        <f t="shared" si="16"/>
        <v>181.23150000000001</v>
      </c>
      <c r="H1029" s="38">
        <f>SUM(G1029:G1035)</f>
        <v>391.19163544999998</v>
      </c>
      <c r="I1029" s="39"/>
      <c r="J1029" s="148">
        <v>40</v>
      </c>
      <c r="K1029" s="222" t="s">
        <v>8074</v>
      </c>
    </row>
    <row r="1030" spans="1:11" ht="25.5" hidden="1" x14ac:dyDescent="0.25">
      <c r="A1030" s="203"/>
      <c r="B1030" s="205"/>
      <c r="C1030" s="35" t="s">
        <v>301</v>
      </c>
      <c r="D1030" s="35" t="s">
        <v>20</v>
      </c>
      <c r="E1030" s="36">
        <v>1</v>
      </c>
      <c r="F1030" s="33">
        <v>127.93</v>
      </c>
      <c r="G1030" s="33">
        <f t="shared" si="16"/>
        <v>127.93</v>
      </c>
      <c r="H1030" s="34"/>
      <c r="I1030" s="30"/>
      <c r="J1030" s="148">
        <v>40</v>
      </c>
      <c r="K1030" s="222" t="s">
        <v>8074</v>
      </c>
    </row>
    <row r="1031" spans="1:11" ht="25.5" hidden="1" x14ac:dyDescent="0.25">
      <c r="A1031" s="203"/>
      <c r="B1031" s="205"/>
      <c r="C1031" s="35" t="s">
        <v>328</v>
      </c>
      <c r="D1031" s="46" t="s">
        <v>278</v>
      </c>
      <c r="E1031" s="36">
        <v>2</v>
      </c>
      <c r="F1031" s="33">
        <v>21.716999999999999</v>
      </c>
      <c r="G1031" s="33">
        <f t="shared" si="16"/>
        <v>43.433999999999997</v>
      </c>
      <c r="H1031" s="34"/>
      <c r="I1031" s="30"/>
      <c r="J1031" s="148">
        <v>40</v>
      </c>
      <c r="K1031" s="222" t="s">
        <v>8074</v>
      </c>
    </row>
    <row r="1032" spans="1:11" ht="25.5" hidden="1" x14ac:dyDescent="0.25">
      <c r="A1032" s="203"/>
      <c r="B1032" s="205"/>
      <c r="C1032" s="35" t="s">
        <v>6598</v>
      </c>
      <c r="D1032" s="46" t="s">
        <v>20</v>
      </c>
      <c r="E1032" s="36">
        <v>1</v>
      </c>
      <c r="F1032" s="33">
        <v>14.3925</v>
      </c>
      <c r="G1032" s="53">
        <f t="shared" si="16"/>
        <v>14.3925</v>
      </c>
      <c r="H1032" s="34"/>
      <c r="I1032" s="30"/>
      <c r="J1032" s="148">
        <v>40</v>
      </c>
      <c r="K1032" s="222" t="s">
        <v>8074</v>
      </c>
    </row>
    <row r="1033" spans="1:11" hidden="1" x14ac:dyDescent="0.25">
      <c r="A1033" s="203"/>
      <c r="B1033" s="205"/>
      <c r="C1033" s="35" t="s">
        <v>3514</v>
      </c>
      <c r="D1033" s="46" t="s">
        <v>42</v>
      </c>
      <c r="E1033" s="36">
        <v>8.8099999999999998E-2</v>
      </c>
      <c r="F1033" s="33">
        <v>64.619</v>
      </c>
      <c r="G1033" s="33">
        <f t="shared" si="16"/>
        <v>5.6929338999999999</v>
      </c>
      <c r="H1033" s="34"/>
      <c r="I1033" s="30"/>
      <c r="J1033" s="148">
        <v>40</v>
      </c>
      <c r="K1033" s="222" t="s">
        <v>8074</v>
      </c>
    </row>
    <row r="1034" spans="1:11" hidden="1" x14ac:dyDescent="0.25">
      <c r="A1034" s="203"/>
      <c r="B1034" s="205"/>
      <c r="C1034" s="35" t="s">
        <v>39</v>
      </c>
      <c r="D1034" s="46" t="s">
        <v>12</v>
      </c>
      <c r="E1034" s="36">
        <v>0.49680000000000002</v>
      </c>
      <c r="F1034" s="30">
        <v>24.300999999999998</v>
      </c>
      <c r="G1034" s="33">
        <f t="shared" si="16"/>
        <v>12.072736799999999</v>
      </c>
      <c r="H1034" s="34"/>
      <c r="I1034" s="30"/>
      <c r="J1034" s="148">
        <v>40</v>
      </c>
      <c r="K1034" s="222" t="s">
        <v>8074</v>
      </c>
    </row>
    <row r="1035" spans="1:11" hidden="1" x14ac:dyDescent="0.25">
      <c r="A1035" s="203"/>
      <c r="B1035" s="205"/>
      <c r="C1035" s="35" t="s">
        <v>23</v>
      </c>
      <c r="D1035" s="46" t="s">
        <v>12</v>
      </c>
      <c r="E1035" s="36">
        <v>0.34949999999999998</v>
      </c>
      <c r="F1035" s="30">
        <v>18.420500000000001</v>
      </c>
      <c r="G1035" s="33">
        <f t="shared" si="16"/>
        <v>6.4379647499999999</v>
      </c>
      <c r="H1035" s="34"/>
      <c r="I1035" s="30"/>
      <c r="J1035" s="148">
        <v>40</v>
      </c>
      <c r="K1035" s="222" t="s">
        <v>8074</v>
      </c>
    </row>
    <row r="1036" spans="1:11" ht="15.75" hidden="1" thickBot="1" x14ac:dyDescent="0.3">
      <c r="A1036" s="209"/>
      <c r="B1036" s="206"/>
      <c r="C1036" s="35"/>
      <c r="D1036" s="35"/>
      <c r="E1036" s="36"/>
      <c r="F1036" s="30" t="s">
        <v>514</v>
      </c>
      <c r="G1036" s="30" t="str">
        <f t="shared" si="16"/>
        <v/>
      </c>
      <c r="H1036" s="34"/>
      <c r="I1036" s="30"/>
      <c r="J1036" s="148">
        <v>40</v>
      </c>
      <c r="K1036" s="222" t="s">
        <v>8074</v>
      </c>
    </row>
    <row r="1037" spans="1:11" ht="15.75" hidden="1" thickBot="1" x14ac:dyDescent="0.3">
      <c r="A1037" s="202" t="s">
        <v>329</v>
      </c>
      <c r="B1037" s="204" t="str">
        <f>INDEX(Orçamentária!A:B,MATCH(Composições!A1037,Orçamentária!A:A,0),2)</f>
        <v>Bacia convencional com saída horizontal</v>
      </c>
      <c r="C1037" s="40"/>
      <c r="D1037" s="25" t="str">
        <f>TRIM(INDEX(Orçamentária!C:C,MATCH(Composições!A1037,Orçamentária!A:A,0),1))</f>
        <v>un</v>
      </c>
      <c r="E1037" s="26"/>
      <c r="F1037" s="41" t="s">
        <v>514</v>
      </c>
      <c r="G1037" s="27" t="str">
        <f t="shared" si="16"/>
        <v/>
      </c>
      <c r="H1037" s="28"/>
      <c r="I1037" s="29"/>
      <c r="J1037" s="148">
        <v>10</v>
      </c>
      <c r="K1037" s="222" t="s">
        <v>8074</v>
      </c>
    </row>
    <row r="1038" spans="1:11" hidden="1" x14ac:dyDescent="0.25">
      <c r="A1038" s="203"/>
      <c r="B1038" s="205"/>
      <c r="C1038" s="31"/>
      <c r="D1038" s="31"/>
      <c r="E1038" s="32"/>
      <c r="F1038" s="42" t="s">
        <v>514</v>
      </c>
      <c r="G1038" s="30" t="str">
        <f t="shared" si="16"/>
        <v/>
      </c>
      <c r="H1038" s="34"/>
      <c r="I1038" s="30"/>
      <c r="J1038" s="148">
        <v>10</v>
      </c>
      <c r="K1038" s="222" t="s">
        <v>8074</v>
      </c>
    </row>
    <row r="1039" spans="1:11" ht="25.5" hidden="1" x14ac:dyDescent="0.25">
      <c r="A1039" s="203"/>
      <c r="B1039" s="205"/>
      <c r="C1039" s="35" t="s">
        <v>330</v>
      </c>
      <c r="D1039" s="46" t="s">
        <v>143</v>
      </c>
      <c r="E1039" s="36">
        <v>1</v>
      </c>
      <c r="F1039" s="33">
        <v>358.71</v>
      </c>
      <c r="G1039" s="33">
        <f t="shared" si="16"/>
        <v>358.71</v>
      </c>
      <c r="H1039" s="38">
        <f>SUM(G1039:G1044)</f>
        <v>440.74013544999997</v>
      </c>
      <c r="I1039" s="39"/>
      <c r="J1039" s="148">
        <v>10</v>
      </c>
      <c r="K1039" s="222" t="s">
        <v>8074</v>
      </c>
    </row>
    <row r="1040" spans="1:11" ht="25.5" hidden="1" x14ac:dyDescent="0.25">
      <c r="A1040" s="203"/>
      <c r="B1040" s="205"/>
      <c r="C1040" s="35" t="s">
        <v>328</v>
      </c>
      <c r="D1040" s="46" t="s">
        <v>278</v>
      </c>
      <c r="E1040" s="36">
        <v>2</v>
      </c>
      <c r="F1040" s="33">
        <v>21.716999999999999</v>
      </c>
      <c r="G1040" s="33">
        <f t="shared" si="16"/>
        <v>43.433999999999997</v>
      </c>
      <c r="H1040" s="34"/>
      <c r="I1040" s="30"/>
      <c r="J1040" s="148">
        <v>10</v>
      </c>
      <c r="K1040" s="222" t="s">
        <v>8074</v>
      </c>
    </row>
    <row r="1041" spans="1:11" ht="25.5" hidden="1" x14ac:dyDescent="0.25">
      <c r="A1041" s="203"/>
      <c r="B1041" s="205"/>
      <c r="C1041" s="35" t="s">
        <v>6598</v>
      </c>
      <c r="D1041" s="46" t="s">
        <v>20</v>
      </c>
      <c r="E1041" s="36">
        <v>1</v>
      </c>
      <c r="F1041" s="33">
        <v>14.3925</v>
      </c>
      <c r="G1041" s="53">
        <f t="shared" si="16"/>
        <v>14.3925</v>
      </c>
      <c r="H1041" s="34"/>
      <c r="I1041" s="30"/>
      <c r="J1041" s="148">
        <v>10</v>
      </c>
      <c r="K1041" s="222" t="s">
        <v>8074</v>
      </c>
    </row>
    <row r="1042" spans="1:11" hidden="1" x14ac:dyDescent="0.25">
      <c r="A1042" s="203"/>
      <c r="B1042" s="205"/>
      <c r="C1042" s="35" t="s">
        <v>3514</v>
      </c>
      <c r="D1042" s="46" t="s">
        <v>42</v>
      </c>
      <c r="E1042" s="36">
        <v>8.8099999999999998E-2</v>
      </c>
      <c r="F1042" s="33">
        <v>64.619</v>
      </c>
      <c r="G1042" s="33">
        <f t="shared" si="16"/>
        <v>5.6929338999999999</v>
      </c>
      <c r="H1042" s="34"/>
      <c r="I1042" s="30"/>
      <c r="J1042" s="148">
        <v>10</v>
      </c>
      <c r="K1042" s="222" t="s">
        <v>8074</v>
      </c>
    </row>
    <row r="1043" spans="1:11" hidden="1" x14ac:dyDescent="0.25">
      <c r="A1043" s="203"/>
      <c r="B1043" s="205"/>
      <c r="C1043" s="35" t="s">
        <v>39</v>
      </c>
      <c r="D1043" s="46" t="s">
        <v>12</v>
      </c>
      <c r="E1043" s="36">
        <v>0.49680000000000002</v>
      </c>
      <c r="F1043" s="30">
        <v>24.300999999999998</v>
      </c>
      <c r="G1043" s="33">
        <f t="shared" ref="G1043:G1106" si="17">IF(ISNUMBER(F1043),E1043*F1043,"")</f>
        <v>12.072736799999999</v>
      </c>
      <c r="H1043" s="34"/>
      <c r="I1043" s="30"/>
      <c r="J1043" s="148">
        <v>10</v>
      </c>
      <c r="K1043" s="222" t="s">
        <v>8074</v>
      </c>
    </row>
    <row r="1044" spans="1:11" hidden="1" x14ac:dyDescent="0.25">
      <c r="A1044" s="203"/>
      <c r="B1044" s="205"/>
      <c r="C1044" s="35" t="s">
        <v>23</v>
      </c>
      <c r="D1044" s="46" t="s">
        <v>12</v>
      </c>
      <c r="E1044" s="36">
        <v>0.34949999999999998</v>
      </c>
      <c r="F1044" s="30">
        <v>18.420500000000001</v>
      </c>
      <c r="G1044" s="33">
        <f t="shared" si="17"/>
        <v>6.4379647499999999</v>
      </c>
      <c r="H1044" s="34"/>
      <c r="I1044" s="30"/>
      <c r="J1044" s="148">
        <v>10</v>
      </c>
      <c r="K1044" s="222" t="s">
        <v>8074</v>
      </c>
    </row>
    <row r="1045" spans="1:11" ht="15.75" hidden="1" thickBot="1" x14ac:dyDescent="0.3">
      <c r="A1045" s="209"/>
      <c r="B1045" s="206"/>
      <c r="C1045" s="35"/>
      <c r="D1045" s="35"/>
      <c r="E1045" s="36"/>
      <c r="F1045" s="30" t="s">
        <v>514</v>
      </c>
      <c r="G1045" s="30" t="str">
        <f t="shared" si="17"/>
        <v/>
      </c>
      <c r="H1045" s="34"/>
      <c r="I1045" s="30"/>
      <c r="J1045" s="148">
        <v>10</v>
      </c>
      <c r="K1045" s="222" t="s">
        <v>8074</v>
      </c>
    </row>
    <row r="1046" spans="1:11" ht="15.75" hidden="1" thickBot="1" x14ac:dyDescent="0.3">
      <c r="A1046" s="202" t="s">
        <v>331</v>
      </c>
      <c r="B1046" s="204" t="str">
        <f>INDEX(Orçamentária!A:B,MATCH(Composições!A1046,Orçamentária!A:A,0),2)</f>
        <v>Cuba oval de embutir</v>
      </c>
      <c r="C1046" s="40"/>
      <c r="D1046" s="25" t="str">
        <f>TRIM(INDEX(Orçamentária!C:C,MATCH(Composições!A1046,Orçamentária!A:A,0),1))</f>
        <v>un</v>
      </c>
      <c r="E1046" s="26"/>
      <c r="F1046" s="41" t="s">
        <v>514</v>
      </c>
      <c r="G1046" s="27" t="str">
        <f t="shared" si="17"/>
        <v/>
      </c>
      <c r="H1046" s="28"/>
      <c r="I1046" s="29"/>
      <c r="J1046" s="148">
        <v>45</v>
      </c>
      <c r="K1046" s="222" t="s">
        <v>8074</v>
      </c>
    </row>
    <row r="1047" spans="1:11" hidden="1" x14ac:dyDescent="0.25">
      <c r="A1047" s="203"/>
      <c r="B1047" s="205"/>
      <c r="C1047" s="31"/>
      <c r="D1047" s="31"/>
      <c r="E1047" s="32"/>
      <c r="F1047" s="42" t="s">
        <v>514</v>
      </c>
      <c r="G1047" s="30" t="str">
        <f t="shared" si="17"/>
        <v/>
      </c>
      <c r="H1047" s="34"/>
      <c r="I1047" s="30"/>
      <c r="J1047" s="148">
        <v>45</v>
      </c>
      <c r="K1047" s="222" t="s">
        <v>8074</v>
      </c>
    </row>
    <row r="1048" spans="1:11" hidden="1" x14ac:dyDescent="0.25">
      <c r="A1048" s="203"/>
      <c r="B1048" s="205"/>
      <c r="C1048" s="35" t="s">
        <v>332</v>
      </c>
      <c r="D1048" s="46" t="s">
        <v>143</v>
      </c>
      <c r="E1048" s="36">
        <v>1</v>
      </c>
      <c r="F1048" s="33">
        <v>91.79</v>
      </c>
      <c r="G1048" s="33">
        <f t="shared" si="17"/>
        <v>91.79</v>
      </c>
      <c r="H1048" s="38">
        <f>SUM(G1048:G1051)</f>
        <v>134.93636185</v>
      </c>
      <c r="I1048" s="39"/>
      <c r="J1048" s="148">
        <v>45</v>
      </c>
      <c r="K1048" s="222" t="s">
        <v>8074</v>
      </c>
    </row>
    <row r="1049" spans="1:11" hidden="1" x14ac:dyDescent="0.25">
      <c r="A1049" s="203"/>
      <c r="B1049" s="205"/>
      <c r="C1049" s="35" t="s">
        <v>333</v>
      </c>
      <c r="D1049" s="46" t="s">
        <v>42</v>
      </c>
      <c r="E1049" s="36">
        <v>0.52710000000000001</v>
      </c>
      <c r="F1049" s="33">
        <v>32.755999999999993</v>
      </c>
      <c r="G1049" s="33">
        <f t="shared" si="17"/>
        <v>17.265687599999996</v>
      </c>
      <c r="H1049" s="34"/>
      <c r="I1049" s="30"/>
      <c r="J1049" s="148">
        <v>45</v>
      </c>
      <c r="K1049" s="222" t="s">
        <v>8074</v>
      </c>
    </row>
    <row r="1050" spans="1:11" hidden="1" x14ac:dyDescent="0.25">
      <c r="A1050" s="203"/>
      <c r="B1050" s="205"/>
      <c r="C1050" s="35" t="s">
        <v>23</v>
      </c>
      <c r="D1050" s="46" t="s">
        <v>12</v>
      </c>
      <c r="E1050" s="36">
        <v>0.26650000000000001</v>
      </c>
      <c r="F1050" s="30">
        <v>18.420500000000001</v>
      </c>
      <c r="G1050" s="33">
        <f t="shared" si="17"/>
        <v>4.90906325</v>
      </c>
      <c r="H1050" s="34"/>
      <c r="I1050" s="30"/>
      <c r="J1050" s="148">
        <v>45</v>
      </c>
      <c r="K1050" s="222" t="s">
        <v>8074</v>
      </c>
    </row>
    <row r="1051" spans="1:11" hidden="1" x14ac:dyDescent="0.25">
      <c r="A1051" s="203"/>
      <c r="B1051" s="205"/>
      <c r="C1051" s="35" t="s">
        <v>54</v>
      </c>
      <c r="D1051" s="46" t="s">
        <v>12</v>
      </c>
      <c r="E1051" s="36">
        <v>0.8458</v>
      </c>
      <c r="F1051" s="30">
        <v>24.795000000000002</v>
      </c>
      <c r="G1051" s="33">
        <f t="shared" si="17"/>
        <v>20.971611000000003</v>
      </c>
      <c r="H1051" s="34"/>
      <c r="I1051" s="30"/>
      <c r="J1051" s="148">
        <v>45</v>
      </c>
      <c r="K1051" s="222" t="s">
        <v>8074</v>
      </c>
    </row>
    <row r="1052" spans="1:11" ht="15.75" hidden="1" thickBot="1" x14ac:dyDescent="0.3">
      <c r="A1052" s="209"/>
      <c r="B1052" s="206"/>
      <c r="C1052" s="35"/>
      <c r="D1052" s="35"/>
      <c r="E1052" s="36"/>
      <c r="F1052" s="30" t="s">
        <v>514</v>
      </c>
      <c r="G1052" s="30" t="str">
        <f t="shared" si="17"/>
        <v/>
      </c>
      <c r="H1052" s="34"/>
      <c r="I1052" s="30"/>
      <c r="J1052" s="148">
        <v>45</v>
      </c>
      <c r="K1052" s="222" t="s">
        <v>8074</v>
      </c>
    </row>
    <row r="1053" spans="1:11" ht="15.75" hidden="1" thickBot="1" x14ac:dyDescent="0.3">
      <c r="A1053" s="202" t="s">
        <v>334</v>
      </c>
      <c r="B1053" s="204" t="str">
        <f>INDEX(Orçamentária!A:B,MATCH(Composições!A1053,Orçamentária!A:A,0),2)</f>
        <v>Cuba retangular em aço inox</v>
      </c>
      <c r="C1053" s="40"/>
      <c r="D1053" s="25" t="str">
        <f>TRIM(INDEX(Orçamentária!C:C,MATCH(Composições!A1053,Orçamentária!A:A,0),1))</f>
        <v>un</v>
      </c>
      <c r="E1053" s="26"/>
      <c r="F1053" s="41" t="s">
        <v>514</v>
      </c>
      <c r="G1053" s="27" t="str">
        <f t="shared" si="17"/>
        <v/>
      </c>
      <c r="H1053" s="28"/>
      <c r="I1053" s="29"/>
      <c r="J1053" s="148">
        <v>25</v>
      </c>
      <c r="K1053" s="222" t="s">
        <v>8074</v>
      </c>
    </row>
    <row r="1054" spans="1:11" hidden="1" x14ac:dyDescent="0.25">
      <c r="A1054" s="203"/>
      <c r="B1054" s="205"/>
      <c r="C1054" s="31"/>
      <c r="D1054" s="31"/>
      <c r="E1054" s="32"/>
      <c r="F1054" s="42" t="s">
        <v>514</v>
      </c>
      <c r="G1054" s="30" t="str">
        <f t="shared" si="17"/>
        <v/>
      </c>
      <c r="H1054" s="34"/>
      <c r="I1054" s="30"/>
      <c r="J1054" s="148">
        <v>25</v>
      </c>
      <c r="K1054" s="222" t="s">
        <v>8074</v>
      </c>
    </row>
    <row r="1055" spans="1:11" ht="38.25" hidden="1" x14ac:dyDescent="0.25">
      <c r="A1055" s="203"/>
      <c r="B1055" s="205"/>
      <c r="C1055" s="35" t="s">
        <v>335</v>
      </c>
      <c r="D1055" s="46" t="s">
        <v>143</v>
      </c>
      <c r="E1055" s="36">
        <v>1</v>
      </c>
      <c r="F1055" s="33">
        <v>342.33</v>
      </c>
      <c r="G1055" s="33">
        <f t="shared" si="17"/>
        <v>342.33</v>
      </c>
      <c r="H1055" s="38">
        <f>SUM(G1055:G1058)</f>
        <v>366.67921059999998</v>
      </c>
      <c r="I1055" s="39"/>
      <c r="J1055" s="148">
        <v>25</v>
      </c>
      <c r="K1055" s="222" t="s">
        <v>8074</v>
      </c>
    </row>
    <row r="1056" spans="1:11" hidden="1" x14ac:dyDescent="0.25">
      <c r="A1056" s="203"/>
      <c r="B1056" s="205"/>
      <c r="C1056" s="35" t="s">
        <v>333</v>
      </c>
      <c r="D1056" s="46" t="s">
        <v>42</v>
      </c>
      <c r="E1056" s="36">
        <v>0.2974</v>
      </c>
      <c r="F1056" s="33">
        <v>32.755999999999993</v>
      </c>
      <c r="G1056" s="33">
        <f t="shared" si="17"/>
        <v>9.741634399999997</v>
      </c>
      <c r="H1056" s="34"/>
      <c r="I1056" s="30"/>
      <c r="J1056" s="148">
        <v>25</v>
      </c>
      <c r="K1056" s="222" t="s">
        <v>8074</v>
      </c>
    </row>
    <row r="1057" spans="1:11" hidden="1" x14ac:dyDescent="0.25">
      <c r="A1057" s="203"/>
      <c r="B1057" s="205"/>
      <c r="C1057" s="35" t="s">
        <v>54</v>
      </c>
      <c r="D1057" s="46" t="s">
        <v>12</v>
      </c>
      <c r="E1057" s="36">
        <v>0.47739999999999999</v>
      </c>
      <c r="F1057" s="30">
        <v>24.795000000000002</v>
      </c>
      <c r="G1057" s="33">
        <f t="shared" si="17"/>
        <v>11.837133000000001</v>
      </c>
      <c r="H1057" s="34"/>
      <c r="I1057" s="30"/>
      <c r="J1057" s="148">
        <v>25</v>
      </c>
      <c r="K1057" s="222" t="s">
        <v>8074</v>
      </c>
    </row>
    <row r="1058" spans="1:11" hidden="1" x14ac:dyDescent="0.25">
      <c r="A1058" s="203"/>
      <c r="B1058" s="205"/>
      <c r="C1058" s="35" t="s">
        <v>23</v>
      </c>
      <c r="D1058" s="46" t="s">
        <v>12</v>
      </c>
      <c r="E1058" s="36">
        <v>0.15040000000000001</v>
      </c>
      <c r="F1058" s="30">
        <v>18.420500000000001</v>
      </c>
      <c r="G1058" s="33">
        <f t="shared" si="17"/>
        <v>2.7704432000000003</v>
      </c>
      <c r="H1058" s="34"/>
      <c r="I1058" s="30"/>
      <c r="J1058" s="148">
        <v>25</v>
      </c>
      <c r="K1058" s="222" t="s">
        <v>8074</v>
      </c>
    </row>
    <row r="1059" spans="1:11" ht="15.75" hidden="1" thickBot="1" x14ac:dyDescent="0.3">
      <c r="A1059" s="209"/>
      <c r="B1059" s="206"/>
      <c r="C1059" s="35"/>
      <c r="D1059" s="35"/>
      <c r="E1059" s="36"/>
      <c r="F1059" s="30" t="s">
        <v>514</v>
      </c>
      <c r="G1059" s="30" t="str">
        <f t="shared" si="17"/>
        <v/>
      </c>
      <c r="H1059" s="34"/>
      <c r="I1059" s="30"/>
      <c r="J1059" s="148">
        <v>25</v>
      </c>
      <c r="K1059" s="222" t="s">
        <v>8074</v>
      </c>
    </row>
    <row r="1060" spans="1:11" ht="15.75" hidden="1" thickBot="1" x14ac:dyDescent="0.3">
      <c r="A1060" s="202" t="s">
        <v>336</v>
      </c>
      <c r="B1060" s="204" t="str">
        <f>INDEX(Orçamentária!A:B,MATCH(Composições!A1060,Orçamentária!A:A,0),2)</f>
        <v>Cuba semiencaixe quadrada com mesa</v>
      </c>
      <c r="C1060" s="40"/>
      <c r="D1060" s="25" t="str">
        <f>TRIM(INDEX(Orçamentária!C:C,MATCH(Composições!A1060,Orçamentária!A:A,0),1))</f>
        <v>un</v>
      </c>
      <c r="E1060" s="26"/>
      <c r="F1060" s="41" t="s">
        <v>514</v>
      </c>
      <c r="G1060" s="27" t="str">
        <f t="shared" si="17"/>
        <v/>
      </c>
      <c r="H1060" s="28"/>
      <c r="I1060" s="29"/>
      <c r="J1060" s="148">
        <v>15</v>
      </c>
      <c r="K1060" s="222" t="s">
        <v>8074</v>
      </c>
    </row>
    <row r="1061" spans="1:11" hidden="1" x14ac:dyDescent="0.25">
      <c r="A1061" s="203"/>
      <c r="B1061" s="205"/>
      <c r="C1061" s="31"/>
      <c r="D1061" s="31"/>
      <c r="E1061" s="32"/>
      <c r="F1061" s="42" t="s">
        <v>514</v>
      </c>
      <c r="G1061" s="30" t="str">
        <f t="shared" si="17"/>
        <v/>
      </c>
      <c r="H1061" s="34"/>
      <c r="I1061" s="30"/>
      <c r="J1061" s="148">
        <v>15</v>
      </c>
      <c r="K1061" s="222" t="s">
        <v>8074</v>
      </c>
    </row>
    <row r="1062" spans="1:11" hidden="1" x14ac:dyDescent="0.25">
      <c r="A1062" s="203"/>
      <c r="B1062" s="205"/>
      <c r="C1062" s="35" t="s">
        <v>337</v>
      </c>
      <c r="D1062" s="46" t="s">
        <v>143</v>
      </c>
      <c r="E1062" s="36">
        <v>1</v>
      </c>
      <c r="F1062" s="33">
        <v>923.62</v>
      </c>
      <c r="G1062" s="33">
        <f t="shared" si="17"/>
        <v>923.62</v>
      </c>
      <c r="H1062" s="38">
        <f>SUM(G1062:G1065)</f>
        <v>966.76636185000007</v>
      </c>
      <c r="I1062" s="39"/>
      <c r="J1062" s="148">
        <v>15</v>
      </c>
      <c r="K1062" s="222" t="s">
        <v>8074</v>
      </c>
    </row>
    <row r="1063" spans="1:11" hidden="1" x14ac:dyDescent="0.25">
      <c r="A1063" s="203"/>
      <c r="B1063" s="205"/>
      <c r="C1063" s="35" t="s">
        <v>333</v>
      </c>
      <c r="D1063" s="46" t="s">
        <v>42</v>
      </c>
      <c r="E1063" s="36">
        <v>0.52710000000000001</v>
      </c>
      <c r="F1063" s="33">
        <v>32.755999999999993</v>
      </c>
      <c r="G1063" s="33">
        <f t="shared" si="17"/>
        <v>17.265687599999996</v>
      </c>
      <c r="H1063" s="34"/>
      <c r="I1063" s="30"/>
      <c r="J1063" s="148">
        <v>15</v>
      </c>
      <c r="K1063" s="222" t="s">
        <v>8074</v>
      </c>
    </row>
    <row r="1064" spans="1:11" hidden="1" x14ac:dyDescent="0.25">
      <c r="A1064" s="203"/>
      <c r="B1064" s="205"/>
      <c r="C1064" s="35" t="s">
        <v>23</v>
      </c>
      <c r="D1064" s="46" t="s">
        <v>12</v>
      </c>
      <c r="E1064" s="36">
        <v>0.26650000000000001</v>
      </c>
      <c r="F1064" s="30">
        <v>18.420500000000001</v>
      </c>
      <c r="G1064" s="33">
        <f t="shared" si="17"/>
        <v>4.90906325</v>
      </c>
      <c r="H1064" s="34"/>
      <c r="I1064" s="30"/>
      <c r="J1064" s="148">
        <v>15</v>
      </c>
      <c r="K1064" s="222" t="s">
        <v>8074</v>
      </c>
    </row>
    <row r="1065" spans="1:11" hidden="1" x14ac:dyDescent="0.25">
      <c r="A1065" s="203"/>
      <c r="B1065" s="205"/>
      <c r="C1065" s="35" t="s">
        <v>54</v>
      </c>
      <c r="D1065" s="46" t="s">
        <v>12</v>
      </c>
      <c r="E1065" s="36">
        <v>0.8458</v>
      </c>
      <c r="F1065" s="30">
        <v>24.795000000000002</v>
      </c>
      <c r="G1065" s="33">
        <f t="shared" si="17"/>
        <v>20.971611000000003</v>
      </c>
      <c r="H1065" s="34"/>
      <c r="I1065" s="30"/>
      <c r="J1065" s="148">
        <v>15</v>
      </c>
      <c r="K1065" s="222" t="s">
        <v>8074</v>
      </c>
    </row>
    <row r="1066" spans="1:11" ht="15.75" hidden="1" thickBot="1" x14ac:dyDescent="0.3">
      <c r="A1066" s="209"/>
      <c r="B1066" s="206"/>
      <c r="C1066" s="35"/>
      <c r="D1066" s="35"/>
      <c r="E1066" s="36"/>
      <c r="F1066" s="30" t="s">
        <v>514</v>
      </c>
      <c r="G1066" s="30" t="str">
        <f t="shared" si="17"/>
        <v/>
      </c>
      <c r="H1066" s="34"/>
      <c r="I1066" s="30"/>
      <c r="J1066" s="148">
        <v>15</v>
      </c>
      <c r="K1066" s="222" t="s">
        <v>8074</v>
      </c>
    </row>
    <row r="1067" spans="1:11" ht="15.75" hidden="1" thickBot="1" x14ac:dyDescent="0.3">
      <c r="A1067" s="202" t="s">
        <v>338</v>
      </c>
      <c r="B1067" s="204" t="str">
        <f>INDEX(Orçamentária!A:B,MATCH(Composições!A1067,Orçamentária!A:A,0),2)</f>
        <v>Instalação de lavatório reaproveitado</v>
      </c>
      <c r="C1067" s="40"/>
      <c r="D1067" s="25" t="str">
        <f>TRIM(INDEX(Orçamentária!C:C,MATCH(Composições!A1067,Orçamentária!A:A,0),1))</f>
        <v>un</v>
      </c>
      <c r="E1067" s="26"/>
      <c r="F1067" s="41" t="s">
        <v>514</v>
      </c>
      <c r="G1067" s="27" t="str">
        <f t="shared" si="17"/>
        <v/>
      </c>
      <c r="H1067" s="28"/>
      <c r="I1067" s="29"/>
      <c r="J1067" s="148">
        <v>25</v>
      </c>
      <c r="K1067" s="222" t="s">
        <v>8074</v>
      </c>
    </row>
    <row r="1068" spans="1:11" hidden="1" x14ac:dyDescent="0.25">
      <c r="A1068" s="203"/>
      <c r="B1068" s="205"/>
      <c r="C1068" s="31"/>
      <c r="D1068" s="31"/>
      <c r="E1068" s="32"/>
      <c r="F1068" s="42" t="s">
        <v>514</v>
      </c>
      <c r="G1068" s="30" t="str">
        <f t="shared" si="17"/>
        <v/>
      </c>
      <c r="H1068" s="34"/>
      <c r="I1068" s="30"/>
      <c r="J1068" s="148">
        <v>25</v>
      </c>
      <c r="K1068" s="222" t="s">
        <v>8074</v>
      </c>
    </row>
    <row r="1069" spans="1:11" ht="25.5" hidden="1" x14ac:dyDescent="0.25">
      <c r="A1069" s="203"/>
      <c r="B1069" s="205"/>
      <c r="C1069" s="35" t="s">
        <v>339</v>
      </c>
      <c r="D1069" s="46" t="s">
        <v>278</v>
      </c>
      <c r="E1069" s="36">
        <v>2</v>
      </c>
      <c r="F1069" s="33">
        <v>16.093</v>
      </c>
      <c r="G1069" s="33">
        <f t="shared" si="17"/>
        <v>32.186</v>
      </c>
      <c r="H1069" s="38">
        <f>SUM(G1069:G1072)</f>
        <v>47.029010900000003</v>
      </c>
      <c r="I1069" s="39"/>
      <c r="J1069" s="148">
        <v>25</v>
      </c>
      <c r="K1069" s="222" t="s">
        <v>8074</v>
      </c>
    </row>
    <row r="1070" spans="1:11" hidden="1" x14ac:dyDescent="0.25">
      <c r="A1070" s="203"/>
      <c r="B1070" s="205"/>
      <c r="C1070" s="35" t="s">
        <v>3514</v>
      </c>
      <c r="D1070" s="46" t="s">
        <v>42</v>
      </c>
      <c r="E1070" s="36">
        <v>3.04E-2</v>
      </c>
      <c r="F1070" s="33">
        <v>64.619</v>
      </c>
      <c r="G1070" s="33">
        <f t="shared" si="17"/>
        <v>1.9644176</v>
      </c>
      <c r="H1070" s="34"/>
      <c r="I1070" s="30"/>
      <c r="J1070" s="148">
        <v>25</v>
      </c>
      <c r="K1070" s="222" t="s">
        <v>8074</v>
      </c>
    </row>
    <row r="1071" spans="1:11" hidden="1" x14ac:dyDescent="0.25">
      <c r="A1071" s="203"/>
      <c r="B1071" s="205"/>
      <c r="C1071" s="35" t="s">
        <v>39</v>
      </c>
      <c r="D1071" s="46" t="s">
        <v>12</v>
      </c>
      <c r="E1071" s="36">
        <v>0.38700000000000001</v>
      </c>
      <c r="F1071" s="30">
        <v>24.300999999999998</v>
      </c>
      <c r="G1071" s="33">
        <f t="shared" si="17"/>
        <v>9.4044869999999996</v>
      </c>
      <c r="H1071" s="34"/>
      <c r="I1071" s="30"/>
      <c r="J1071" s="148">
        <v>25</v>
      </c>
      <c r="K1071" s="222" t="s">
        <v>8074</v>
      </c>
    </row>
    <row r="1072" spans="1:11" hidden="1" x14ac:dyDescent="0.25">
      <c r="A1072" s="203"/>
      <c r="B1072" s="205"/>
      <c r="C1072" s="35" t="s">
        <v>23</v>
      </c>
      <c r="D1072" s="46" t="s">
        <v>12</v>
      </c>
      <c r="E1072" s="36">
        <v>0.18859999999999999</v>
      </c>
      <c r="F1072" s="30">
        <v>18.420500000000001</v>
      </c>
      <c r="G1072" s="33">
        <f t="shared" si="17"/>
        <v>3.4741062999999999</v>
      </c>
      <c r="H1072" s="34"/>
      <c r="I1072" s="30"/>
      <c r="J1072" s="148">
        <v>25</v>
      </c>
      <c r="K1072" s="222" t="s">
        <v>8074</v>
      </c>
    </row>
    <row r="1073" spans="1:11" hidden="1" x14ac:dyDescent="0.25">
      <c r="A1073" s="203"/>
      <c r="B1073" s="205"/>
      <c r="C1073" s="35"/>
      <c r="D1073" s="46"/>
      <c r="E1073" s="36"/>
      <c r="F1073" s="33" t="s">
        <v>514</v>
      </c>
      <c r="G1073" s="33" t="str">
        <f t="shared" si="17"/>
        <v/>
      </c>
      <c r="H1073" s="34"/>
      <c r="I1073" s="30"/>
      <c r="J1073" s="148">
        <v>25</v>
      </c>
      <c r="K1073" s="222" t="s">
        <v>8074</v>
      </c>
    </row>
    <row r="1074" spans="1:11" ht="15.75" hidden="1" thickBot="1" x14ac:dyDescent="0.3">
      <c r="A1074" s="202" t="s">
        <v>340</v>
      </c>
      <c r="B1074" s="204" t="str">
        <f>INDEX(Orçamentária!A:B,MATCH(Composições!A1074,Orçamentária!A:A,0),2)</f>
        <v>Instalação de mictório reaproveitado</v>
      </c>
      <c r="C1074" s="40"/>
      <c r="D1074" s="25" t="str">
        <f>TRIM(INDEX(Orçamentária!C:C,MATCH(Composições!A1074,Orçamentária!A:A,0),1))</f>
        <v>un</v>
      </c>
      <c r="E1074" s="26"/>
      <c r="F1074" s="41" t="s">
        <v>514</v>
      </c>
      <c r="G1074" s="27" t="str">
        <f t="shared" si="17"/>
        <v/>
      </c>
      <c r="H1074" s="28"/>
      <c r="I1074" s="29"/>
      <c r="J1074" s="148">
        <v>25</v>
      </c>
      <c r="K1074" s="222" t="s">
        <v>8074</v>
      </c>
    </row>
    <row r="1075" spans="1:11" hidden="1" x14ac:dyDescent="0.25">
      <c r="A1075" s="203"/>
      <c r="B1075" s="205"/>
      <c r="C1075" s="31"/>
      <c r="D1075" s="31"/>
      <c r="E1075" s="32"/>
      <c r="F1075" s="42" t="s">
        <v>514</v>
      </c>
      <c r="G1075" s="30" t="str">
        <f t="shared" si="17"/>
        <v/>
      </c>
      <c r="H1075" s="34"/>
      <c r="I1075" s="30"/>
      <c r="J1075" s="148">
        <v>25</v>
      </c>
      <c r="K1075" s="222" t="s">
        <v>8074</v>
      </c>
    </row>
    <row r="1076" spans="1:11" ht="25.5" hidden="1" x14ac:dyDescent="0.25">
      <c r="A1076" s="203"/>
      <c r="B1076" s="205"/>
      <c r="C1076" s="35" t="s">
        <v>339</v>
      </c>
      <c r="D1076" s="46" t="s">
        <v>278</v>
      </c>
      <c r="E1076" s="36">
        <v>2</v>
      </c>
      <c r="F1076" s="33">
        <v>16.093</v>
      </c>
      <c r="G1076" s="30">
        <f t="shared" si="17"/>
        <v>32.186</v>
      </c>
      <c r="H1076" s="38">
        <f>SUM(G1076:G1079)</f>
        <v>47.522082749999996</v>
      </c>
      <c r="I1076" s="39"/>
      <c r="J1076" s="148">
        <v>25</v>
      </c>
      <c r="K1076" s="222" t="s">
        <v>8074</v>
      </c>
    </row>
    <row r="1077" spans="1:11" hidden="1" x14ac:dyDescent="0.25">
      <c r="A1077" s="203"/>
      <c r="B1077" s="205"/>
      <c r="C1077" s="35" t="s">
        <v>341</v>
      </c>
      <c r="D1077" s="46" t="s">
        <v>278</v>
      </c>
      <c r="E1077" s="36">
        <v>3.6499999999999998E-2</v>
      </c>
      <c r="F1077" s="33">
        <v>4.0374999999999996</v>
      </c>
      <c r="G1077" s="30">
        <f t="shared" si="17"/>
        <v>0.14736874999999997</v>
      </c>
      <c r="H1077" s="34"/>
      <c r="I1077" s="30"/>
      <c r="J1077" s="148">
        <v>25</v>
      </c>
      <c r="K1077" s="222" t="s">
        <v>8074</v>
      </c>
    </row>
    <row r="1078" spans="1:11" hidden="1" x14ac:dyDescent="0.25">
      <c r="A1078" s="203"/>
      <c r="B1078" s="205"/>
      <c r="C1078" s="35" t="s">
        <v>23</v>
      </c>
      <c r="D1078" s="46" t="s">
        <v>12</v>
      </c>
      <c r="E1078" s="36">
        <f>ROUND(0.3179/2,4)</f>
        <v>0.159</v>
      </c>
      <c r="F1078" s="30">
        <v>18.420500000000001</v>
      </c>
      <c r="G1078" s="33">
        <f t="shared" si="17"/>
        <v>2.9288595000000002</v>
      </c>
      <c r="H1078" s="34"/>
      <c r="I1078" s="30"/>
      <c r="J1078" s="148">
        <v>25</v>
      </c>
      <c r="K1078" s="222" t="s">
        <v>8074</v>
      </c>
    </row>
    <row r="1079" spans="1:11" hidden="1" x14ac:dyDescent="0.25">
      <c r="A1079" s="203"/>
      <c r="B1079" s="205"/>
      <c r="C1079" s="35" t="s">
        <v>39</v>
      </c>
      <c r="D1079" s="46" t="s">
        <v>12</v>
      </c>
      <c r="E1079" s="36">
        <f>1.009/2</f>
        <v>0.50449999999999995</v>
      </c>
      <c r="F1079" s="30">
        <v>24.300999999999998</v>
      </c>
      <c r="G1079" s="33">
        <f t="shared" si="17"/>
        <v>12.259854499999998</v>
      </c>
      <c r="H1079" s="34"/>
      <c r="I1079" s="30"/>
      <c r="J1079" s="148">
        <v>25</v>
      </c>
      <c r="K1079" s="222" t="s">
        <v>8074</v>
      </c>
    </row>
    <row r="1080" spans="1:11" hidden="1" x14ac:dyDescent="0.25">
      <c r="A1080" s="203"/>
      <c r="B1080" s="205"/>
      <c r="C1080" s="35"/>
      <c r="D1080" s="46"/>
      <c r="E1080" s="36"/>
      <c r="F1080" s="33" t="s">
        <v>514</v>
      </c>
      <c r="G1080" s="33" t="str">
        <f t="shared" si="17"/>
        <v/>
      </c>
      <c r="H1080" s="34"/>
      <c r="I1080" s="30"/>
      <c r="J1080" s="148">
        <v>25</v>
      </c>
      <c r="K1080" s="222" t="s">
        <v>8074</v>
      </c>
    </row>
    <row r="1081" spans="1:11" ht="25.5" hidden="1" x14ac:dyDescent="0.25">
      <c r="A1081" s="203"/>
      <c r="B1081" s="205"/>
      <c r="C1081" s="51" t="s">
        <v>342</v>
      </c>
      <c r="D1081" s="46"/>
      <c r="E1081" s="36"/>
      <c r="F1081" s="33" t="s">
        <v>514</v>
      </c>
      <c r="G1081" s="33" t="str">
        <f t="shared" si="17"/>
        <v/>
      </c>
      <c r="H1081" s="34"/>
      <c r="I1081" s="30"/>
      <c r="J1081" s="148">
        <v>25</v>
      </c>
      <c r="K1081" s="222" t="s">
        <v>8074</v>
      </c>
    </row>
    <row r="1082" spans="1:11" hidden="1" x14ac:dyDescent="0.25">
      <c r="A1082" s="203"/>
      <c r="B1082" s="205"/>
      <c r="C1082" s="35"/>
      <c r="D1082" s="35"/>
      <c r="E1082" s="36"/>
      <c r="F1082" s="33" t="s">
        <v>514</v>
      </c>
      <c r="G1082" s="33" t="str">
        <f t="shared" si="17"/>
        <v/>
      </c>
      <c r="H1082" s="34"/>
      <c r="I1082" s="30"/>
      <c r="J1082" s="148">
        <v>25</v>
      </c>
      <c r="K1082" s="222" t="s">
        <v>8074</v>
      </c>
    </row>
    <row r="1083" spans="1:11" ht="15.75" hidden="1" thickBot="1" x14ac:dyDescent="0.3">
      <c r="A1083" s="202" t="s">
        <v>343</v>
      </c>
      <c r="B1083" s="204" t="str">
        <f>INDEX(Orçamentária!A:B,MATCH(Composições!A1083,Orçamentária!A:A,0),2)</f>
        <v>Instalação de vaso sanitário reaproveitado</v>
      </c>
      <c r="C1083" s="40"/>
      <c r="D1083" s="25" t="str">
        <f>TRIM(INDEX(Orçamentária!C:C,MATCH(Composições!A1083,Orçamentária!A:A,0),1))</f>
        <v>un</v>
      </c>
      <c r="E1083" s="26"/>
      <c r="F1083" s="41" t="s">
        <v>514</v>
      </c>
      <c r="G1083" s="27" t="str">
        <f t="shared" si="17"/>
        <v/>
      </c>
      <c r="H1083" s="28"/>
      <c r="I1083" s="29"/>
      <c r="J1083" s="148">
        <v>25</v>
      </c>
      <c r="K1083" s="222" t="s">
        <v>8074</v>
      </c>
    </row>
    <row r="1084" spans="1:11" hidden="1" x14ac:dyDescent="0.25">
      <c r="A1084" s="203"/>
      <c r="B1084" s="205"/>
      <c r="C1084" s="31"/>
      <c r="D1084" s="31"/>
      <c r="E1084" s="32"/>
      <c r="F1084" s="42" t="s">
        <v>514</v>
      </c>
      <c r="G1084" s="30" t="str">
        <f t="shared" si="17"/>
        <v/>
      </c>
      <c r="H1084" s="34"/>
      <c r="I1084" s="30"/>
      <c r="J1084" s="148">
        <v>25</v>
      </c>
      <c r="K1084" s="222" t="s">
        <v>8074</v>
      </c>
    </row>
    <row r="1085" spans="1:11" ht="25.5" hidden="1" x14ac:dyDescent="0.25">
      <c r="A1085" s="203"/>
      <c r="B1085" s="205"/>
      <c r="C1085" s="35" t="s">
        <v>328</v>
      </c>
      <c r="D1085" s="46" t="s">
        <v>278</v>
      </c>
      <c r="E1085" s="36">
        <v>2</v>
      </c>
      <c r="F1085" s="33">
        <v>21.716999999999999</v>
      </c>
      <c r="G1085" s="33">
        <f t="shared" si="17"/>
        <v>43.433999999999997</v>
      </c>
      <c r="H1085" s="38">
        <f>SUM(G1085:G1089)</f>
        <v>82.030135450000003</v>
      </c>
      <c r="I1085" s="39"/>
      <c r="J1085" s="148">
        <v>25</v>
      </c>
      <c r="K1085" s="222" t="s">
        <v>8074</v>
      </c>
    </row>
    <row r="1086" spans="1:11" ht="25.5" hidden="1" x14ac:dyDescent="0.25">
      <c r="A1086" s="203"/>
      <c r="B1086" s="205"/>
      <c r="C1086" s="35" t="s">
        <v>6598</v>
      </c>
      <c r="D1086" s="46" t="s">
        <v>20</v>
      </c>
      <c r="E1086" s="36">
        <v>1</v>
      </c>
      <c r="F1086" s="33">
        <v>14.3925</v>
      </c>
      <c r="G1086" s="53">
        <f t="shared" si="17"/>
        <v>14.3925</v>
      </c>
      <c r="H1086" s="34"/>
      <c r="I1086" s="30"/>
      <c r="J1086" s="148">
        <v>25</v>
      </c>
      <c r="K1086" s="222" t="s">
        <v>8074</v>
      </c>
    </row>
    <row r="1087" spans="1:11" hidden="1" x14ac:dyDescent="0.25">
      <c r="A1087" s="203"/>
      <c r="B1087" s="205"/>
      <c r="C1087" s="35" t="s">
        <v>3514</v>
      </c>
      <c r="D1087" s="46" t="s">
        <v>42</v>
      </c>
      <c r="E1087" s="36">
        <v>8.8099999999999998E-2</v>
      </c>
      <c r="F1087" s="33">
        <v>64.619</v>
      </c>
      <c r="G1087" s="33">
        <f t="shared" si="17"/>
        <v>5.6929338999999999</v>
      </c>
      <c r="H1087" s="34"/>
      <c r="I1087" s="30"/>
      <c r="J1087" s="148">
        <v>25</v>
      </c>
      <c r="K1087" s="222" t="s">
        <v>8074</v>
      </c>
    </row>
    <row r="1088" spans="1:11" hidden="1" x14ac:dyDescent="0.25">
      <c r="A1088" s="203"/>
      <c r="B1088" s="205"/>
      <c r="C1088" s="35" t="s">
        <v>39</v>
      </c>
      <c r="D1088" s="46" t="s">
        <v>12</v>
      </c>
      <c r="E1088" s="36">
        <v>0.49680000000000002</v>
      </c>
      <c r="F1088" s="30">
        <v>24.300999999999998</v>
      </c>
      <c r="G1088" s="33">
        <f t="shared" si="17"/>
        <v>12.072736799999999</v>
      </c>
      <c r="H1088" s="34"/>
      <c r="I1088" s="30"/>
      <c r="J1088" s="148">
        <v>25</v>
      </c>
      <c r="K1088" s="222" t="s">
        <v>8074</v>
      </c>
    </row>
    <row r="1089" spans="1:11" hidden="1" x14ac:dyDescent="0.25">
      <c r="A1089" s="203"/>
      <c r="B1089" s="205"/>
      <c r="C1089" s="35" t="s">
        <v>23</v>
      </c>
      <c r="D1089" s="46" t="s">
        <v>12</v>
      </c>
      <c r="E1089" s="36">
        <v>0.34949999999999998</v>
      </c>
      <c r="F1089" s="30">
        <v>18.420500000000001</v>
      </c>
      <c r="G1089" s="33">
        <f t="shared" si="17"/>
        <v>6.4379647499999999</v>
      </c>
      <c r="H1089" s="34"/>
      <c r="I1089" s="30"/>
      <c r="J1089" s="148">
        <v>25</v>
      </c>
      <c r="K1089" s="222" t="s">
        <v>8074</v>
      </c>
    </row>
    <row r="1090" spans="1:11" hidden="1" x14ac:dyDescent="0.25">
      <c r="A1090" s="203"/>
      <c r="B1090" s="205"/>
      <c r="C1090" s="35"/>
      <c r="D1090" s="35"/>
      <c r="E1090" s="36"/>
      <c r="F1090" s="30" t="s">
        <v>514</v>
      </c>
      <c r="G1090" s="33" t="str">
        <f t="shared" si="17"/>
        <v/>
      </c>
      <c r="H1090" s="34"/>
      <c r="I1090" s="30"/>
      <c r="J1090" s="148">
        <v>25</v>
      </c>
      <c r="K1090" s="222" t="s">
        <v>8074</v>
      </c>
    </row>
    <row r="1091" spans="1:11" ht="15.75" hidden="1" thickBot="1" x14ac:dyDescent="0.3">
      <c r="A1091" s="202" t="s">
        <v>344</v>
      </c>
      <c r="B1091" s="204" t="str">
        <f>INDEX(Orçamentária!A:B,MATCH(Composições!A1091,Orçamentária!A:A,0),2)</f>
        <v>Lavatório suspenso</v>
      </c>
      <c r="C1091" s="40"/>
      <c r="D1091" s="25" t="str">
        <f>TRIM(INDEX(Orçamentária!C:C,MATCH(Composições!A1091,Orçamentária!A:A,0),1))</f>
        <v>un</v>
      </c>
      <c r="E1091" s="26"/>
      <c r="F1091" s="41" t="s">
        <v>514</v>
      </c>
      <c r="G1091" s="27" t="str">
        <f t="shared" si="17"/>
        <v/>
      </c>
      <c r="H1091" s="28"/>
      <c r="I1091" s="29"/>
      <c r="J1091" s="148">
        <v>10</v>
      </c>
      <c r="K1091" s="222" t="s">
        <v>8074</v>
      </c>
    </row>
    <row r="1092" spans="1:11" hidden="1" x14ac:dyDescent="0.25">
      <c r="A1092" s="203"/>
      <c r="B1092" s="205"/>
      <c r="C1092" s="31"/>
      <c r="D1092" s="31"/>
      <c r="E1092" s="32"/>
      <c r="F1092" s="42" t="s">
        <v>514</v>
      </c>
      <c r="G1092" s="30" t="str">
        <f t="shared" si="17"/>
        <v/>
      </c>
      <c r="H1092" s="34"/>
      <c r="I1092" s="30"/>
      <c r="J1092" s="148">
        <v>10</v>
      </c>
      <c r="K1092" s="222" t="s">
        <v>8074</v>
      </c>
    </row>
    <row r="1093" spans="1:11" ht="25.5" hidden="1" x14ac:dyDescent="0.25">
      <c r="A1093" s="203"/>
      <c r="B1093" s="205"/>
      <c r="C1093" s="35" t="s">
        <v>6606</v>
      </c>
      <c r="D1093" s="46" t="s">
        <v>278</v>
      </c>
      <c r="E1093" s="36">
        <v>1</v>
      </c>
      <c r="F1093" s="33">
        <v>82.051500000000004</v>
      </c>
      <c r="G1093" s="33">
        <f t="shared" si="17"/>
        <v>82.051500000000004</v>
      </c>
      <c r="H1093" s="38">
        <f>SUM(G1093:G1097)</f>
        <v>129.08051090000001</v>
      </c>
      <c r="I1093" s="39"/>
      <c r="J1093" s="148">
        <v>10</v>
      </c>
      <c r="K1093" s="222" t="s">
        <v>8074</v>
      </c>
    </row>
    <row r="1094" spans="1:11" ht="25.5" hidden="1" x14ac:dyDescent="0.25">
      <c r="A1094" s="203"/>
      <c r="B1094" s="205"/>
      <c r="C1094" s="35" t="s">
        <v>339</v>
      </c>
      <c r="D1094" s="46" t="s">
        <v>278</v>
      </c>
      <c r="E1094" s="36">
        <v>2</v>
      </c>
      <c r="F1094" s="33">
        <v>16.093</v>
      </c>
      <c r="G1094" s="33">
        <f t="shared" si="17"/>
        <v>32.186</v>
      </c>
      <c r="H1094" s="34"/>
      <c r="I1094" s="30"/>
      <c r="J1094" s="148">
        <v>10</v>
      </c>
      <c r="K1094" s="222" t="s">
        <v>8074</v>
      </c>
    </row>
    <row r="1095" spans="1:11" hidden="1" x14ac:dyDescent="0.25">
      <c r="A1095" s="203"/>
      <c r="B1095" s="205"/>
      <c r="C1095" s="35" t="s">
        <v>3514</v>
      </c>
      <c r="D1095" s="46" t="s">
        <v>42</v>
      </c>
      <c r="E1095" s="36">
        <v>3.04E-2</v>
      </c>
      <c r="F1095" s="33">
        <v>64.619</v>
      </c>
      <c r="G1095" s="33">
        <f t="shared" si="17"/>
        <v>1.9644176</v>
      </c>
      <c r="H1095" s="34"/>
      <c r="I1095" s="30"/>
      <c r="J1095" s="148">
        <v>10</v>
      </c>
      <c r="K1095" s="222" t="s">
        <v>8074</v>
      </c>
    </row>
    <row r="1096" spans="1:11" hidden="1" x14ac:dyDescent="0.25">
      <c r="A1096" s="203"/>
      <c r="B1096" s="205"/>
      <c r="C1096" s="35" t="s">
        <v>39</v>
      </c>
      <c r="D1096" s="46" t="s">
        <v>12</v>
      </c>
      <c r="E1096" s="36">
        <v>0.38700000000000001</v>
      </c>
      <c r="F1096" s="30">
        <v>24.300999999999998</v>
      </c>
      <c r="G1096" s="33">
        <f t="shared" si="17"/>
        <v>9.4044869999999996</v>
      </c>
      <c r="H1096" s="34"/>
      <c r="I1096" s="30"/>
      <c r="J1096" s="148">
        <v>10</v>
      </c>
      <c r="K1096" s="222" t="s">
        <v>8074</v>
      </c>
    </row>
    <row r="1097" spans="1:11" hidden="1" x14ac:dyDescent="0.25">
      <c r="A1097" s="203"/>
      <c r="B1097" s="205"/>
      <c r="C1097" s="35" t="s">
        <v>23</v>
      </c>
      <c r="D1097" s="46" t="s">
        <v>12</v>
      </c>
      <c r="E1097" s="36">
        <v>0.18859999999999999</v>
      </c>
      <c r="F1097" s="30">
        <v>18.420500000000001</v>
      </c>
      <c r="G1097" s="33">
        <f t="shared" si="17"/>
        <v>3.4741062999999999</v>
      </c>
      <c r="H1097" s="34"/>
      <c r="I1097" s="30"/>
      <c r="J1097" s="148">
        <v>10</v>
      </c>
      <c r="K1097" s="222" t="s">
        <v>8074</v>
      </c>
    </row>
    <row r="1098" spans="1:11" ht="15.75" hidden="1" thickBot="1" x14ac:dyDescent="0.3">
      <c r="A1098" s="209"/>
      <c r="B1098" s="206"/>
      <c r="C1098" s="35"/>
      <c r="D1098" s="35"/>
      <c r="E1098" s="36"/>
      <c r="F1098" s="30" t="s">
        <v>514</v>
      </c>
      <c r="G1098" s="30" t="str">
        <f t="shared" si="17"/>
        <v/>
      </c>
      <c r="H1098" s="34"/>
      <c r="I1098" s="30"/>
      <c r="J1098" s="148">
        <v>10</v>
      </c>
      <c r="K1098" s="222" t="s">
        <v>8074</v>
      </c>
    </row>
    <row r="1099" spans="1:11" ht="15.75" hidden="1" thickBot="1" x14ac:dyDescent="0.3">
      <c r="A1099" s="202" t="s">
        <v>345</v>
      </c>
      <c r="B1099" s="204" t="str">
        <f>INDEX(Orçamentária!A:B,MATCH(Composições!A1099,Orçamentária!A:A,0),2)</f>
        <v>Mictório – Linha Administrativa</v>
      </c>
      <c r="C1099" s="40"/>
      <c r="D1099" s="25" t="str">
        <f>TRIM(INDEX(Orçamentária!C:C,MATCH(Composições!A1099,Orçamentária!A:A,0),1))</f>
        <v>un</v>
      </c>
      <c r="E1099" s="26"/>
      <c r="F1099" s="41" t="s">
        <v>514</v>
      </c>
      <c r="G1099" s="27" t="str">
        <f t="shared" si="17"/>
        <v/>
      </c>
      <c r="H1099" s="28"/>
      <c r="I1099" s="29"/>
      <c r="J1099" s="148">
        <v>20</v>
      </c>
      <c r="K1099" s="222" t="s">
        <v>8074</v>
      </c>
    </row>
    <row r="1100" spans="1:11" hidden="1" x14ac:dyDescent="0.25">
      <c r="A1100" s="203"/>
      <c r="B1100" s="205"/>
      <c r="C1100" s="31"/>
      <c r="D1100" s="31"/>
      <c r="E1100" s="32"/>
      <c r="F1100" s="42" t="s">
        <v>514</v>
      </c>
      <c r="G1100" s="30" t="str">
        <f t="shared" si="17"/>
        <v/>
      </c>
      <c r="H1100" s="34"/>
      <c r="I1100" s="30"/>
      <c r="J1100" s="148">
        <v>20</v>
      </c>
      <c r="K1100" s="222" t="s">
        <v>8074</v>
      </c>
    </row>
    <row r="1101" spans="1:11" ht="25.5" hidden="1" x14ac:dyDescent="0.25">
      <c r="A1101" s="203"/>
      <c r="B1101" s="205"/>
      <c r="C1101" s="35" t="s">
        <v>6607</v>
      </c>
      <c r="D1101" s="46" t="s">
        <v>278</v>
      </c>
      <c r="E1101" s="36">
        <v>1</v>
      </c>
      <c r="F1101" s="33">
        <v>315.53299999999996</v>
      </c>
      <c r="G1101" s="33">
        <f t="shared" si="17"/>
        <v>315.53299999999996</v>
      </c>
      <c r="H1101" s="38">
        <f>SUM(G1101:G1105)</f>
        <v>363.05508274999994</v>
      </c>
      <c r="I1101" s="39"/>
      <c r="J1101" s="148">
        <v>20</v>
      </c>
      <c r="K1101" s="222" t="s">
        <v>8074</v>
      </c>
    </row>
    <row r="1102" spans="1:11" ht="25.5" hidden="1" x14ac:dyDescent="0.25">
      <c r="A1102" s="203"/>
      <c r="B1102" s="205"/>
      <c r="C1102" s="35" t="s">
        <v>339</v>
      </c>
      <c r="D1102" s="46" t="s">
        <v>278</v>
      </c>
      <c r="E1102" s="36">
        <v>2</v>
      </c>
      <c r="F1102" s="33">
        <v>16.093</v>
      </c>
      <c r="G1102" s="30">
        <f t="shared" si="17"/>
        <v>32.186</v>
      </c>
      <c r="H1102" s="34"/>
      <c r="I1102" s="30"/>
      <c r="J1102" s="148">
        <v>20</v>
      </c>
      <c r="K1102" s="222" t="s">
        <v>8074</v>
      </c>
    </row>
    <row r="1103" spans="1:11" hidden="1" x14ac:dyDescent="0.25">
      <c r="A1103" s="203"/>
      <c r="B1103" s="205"/>
      <c r="C1103" s="35" t="s">
        <v>341</v>
      </c>
      <c r="D1103" s="46" t="s">
        <v>278</v>
      </c>
      <c r="E1103" s="36">
        <v>3.6499999999999998E-2</v>
      </c>
      <c r="F1103" s="33">
        <v>4.0374999999999996</v>
      </c>
      <c r="G1103" s="30">
        <f t="shared" si="17"/>
        <v>0.14736874999999997</v>
      </c>
      <c r="H1103" s="34"/>
      <c r="I1103" s="30"/>
      <c r="J1103" s="148">
        <v>20</v>
      </c>
      <c r="K1103" s="222" t="s">
        <v>8074</v>
      </c>
    </row>
    <row r="1104" spans="1:11" hidden="1" x14ac:dyDescent="0.25">
      <c r="A1104" s="203"/>
      <c r="B1104" s="205"/>
      <c r="C1104" s="35" t="s">
        <v>23</v>
      </c>
      <c r="D1104" s="46" t="s">
        <v>12</v>
      </c>
      <c r="E1104" s="36">
        <f>ROUND(0.3179/2,4)</f>
        <v>0.159</v>
      </c>
      <c r="F1104" s="30">
        <v>18.420500000000001</v>
      </c>
      <c r="G1104" s="33">
        <f t="shared" si="17"/>
        <v>2.9288595000000002</v>
      </c>
      <c r="H1104" s="34"/>
      <c r="I1104" s="30"/>
      <c r="J1104" s="148">
        <v>20</v>
      </c>
      <c r="K1104" s="222" t="s">
        <v>8074</v>
      </c>
    </row>
    <row r="1105" spans="1:11" hidden="1" x14ac:dyDescent="0.25">
      <c r="A1105" s="203"/>
      <c r="B1105" s="205"/>
      <c r="C1105" s="35" t="s">
        <v>39</v>
      </c>
      <c r="D1105" s="46" t="s">
        <v>12</v>
      </c>
      <c r="E1105" s="36">
        <f>1.009/2</f>
        <v>0.50449999999999995</v>
      </c>
      <c r="F1105" s="30">
        <v>24.300999999999998</v>
      </c>
      <c r="G1105" s="33">
        <f t="shared" si="17"/>
        <v>12.259854499999998</v>
      </c>
      <c r="H1105" s="34"/>
      <c r="I1105" s="30"/>
      <c r="J1105" s="148">
        <v>20</v>
      </c>
      <c r="K1105" s="222" t="s">
        <v>8074</v>
      </c>
    </row>
    <row r="1106" spans="1:11" hidden="1" x14ac:dyDescent="0.25">
      <c r="A1106" s="203"/>
      <c r="B1106" s="205"/>
      <c r="C1106" s="35"/>
      <c r="D1106" s="46"/>
      <c r="E1106" s="36"/>
      <c r="F1106" s="33" t="s">
        <v>514</v>
      </c>
      <c r="G1106" s="33" t="str">
        <f t="shared" si="17"/>
        <v/>
      </c>
      <c r="H1106" s="34"/>
      <c r="I1106" s="30"/>
      <c r="J1106" s="148">
        <v>20</v>
      </c>
      <c r="K1106" s="222" t="s">
        <v>8074</v>
      </c>
    </row>
    <row r="1107" spans="1:11" ht="25.5" hidden="1" x14ac:dyDescent="0.25">
      <c r="A1107" s="203"/>
      <c r="B1107" s="205"/>
      <c r="C1107" s="51" t="s">
        <v>342</v>
      </c>
      <c r="D1107" s="46"/>
      <c r="E1107" s="36"/>
      <c r="F1107" s="33" t="s">
        <v>514</v>
      </c>
      <c r="G1107" s="33" t="str">
        <f t="shared" ref="G1107:G1170" si="18">IF(ISNUMBER(F1107),E1107*F1107,"")</f>
        <v/>
      </c>
      <c r="H1107" s="34"/>
      <c r="I1107" s="30"/>
      <c r="J1107" s="148">
        <v>20</v>
      </c>
      <c r="K1107" s="222" t="s">
        <v>8074</v>
      </c>
    </row>
    <row r="1108" spans="1:11" hidden="1" x14ac:dyDescent="0.25">
      <c r="A1108" s="203"/>
      <c r="B1108" s="205"/>
      <c r="C1108" s="35"/>
      <c r="D1108" s="46"/>
      <c r="E1108" s="36"/>
      <c r="F1108" s="33" t="s">
        <v>514</v>
      </c>
      <c r="G1108" s="33" t="str">
        <f t="shared" si="18"/>
        <v/>
      </c>
      <c r="H1108" s="34"/>
      <c r="I1108" s="30"/>
      <c r="J1108" s="148">
        <v>20</v>
      </c>
      <c r="K1108" s="222" t="s">
        <v>8074</v>
      </c>
    </row>
    <row r="1109" spans="1:11" ht="15.75" hidden="1" thickBot="1" x14ac:dyDescent="0.3">
      <c r="A1109" s="202" t="s">
        <v>346</v>
      </c>
      <c r="B1109" s="204" t="str">
        <f>INDEX(Orçamentária!A:B,MATCH(Composições!A1109,Orçamentária!A:A,0),2)</f>
        <v>Tanque 38 litros</v>
      </c>
      <c r="C1109" s="40"/>
      <c r="D1109" s="25" t="str">
        <f>TRIM(INDEX(Orçamentária!C:C,MATCH(Composições!A1109,Orçamentária!A:A,0),1))</f>
        <v>un</v>
      </c>
      <c r="E1109" s="26"/>
      <c r="F1109" s="41" t="s">
        <v>514</v>
      </c>
      <c r="G1109" s="27" t="str">
        <f t="shared" si="18"/>
        <v/>
      </c>
      <c r="H1109" s="28"/>
      <c r="I1109" s="29"/>
      <c r="J1109" s="148">
        <v>25</v>
      </c>
      <c r="K1109" s="222" t="s">
        <v>8074</v>
      </c>
    </row>
    <row r="1110" spans="1:11" hidden="1" x14ac:dyDescent="0.25">
      <c r="A1110" s="203"/>
      <c r="B1110" s="205"/>
      <c r="C1110" s="31"/>
      <c r="D1110" s="31"/>
      <c r="E1110" s="32"/>
      <c r="F1110" s="42" t="s">
        <v>514</v>
      </c>
      <c r="G1110" s="30" t="str">
        <f t="shared" si="18"/>
        <v/>
      </c>
      <c r="H1110" s="34"/>
      <c r="I1110" s="30"/>
      <c r="J1110" s="148">
        <v>25</v>
      </c>
      <c r="K1110" s="222" t="s">
        <v>8074</v>
      </c>
    </row>
    <row r="1111" spans="1:11" ht="25.5" hidden="1" x14ac:dyDescent="0.25">
      <c r="A1111" s="203"/>
      <c r="B1111" s="205"/>
      <c r="C1111" s="35" t="s">
        <v>347</v>
      </c>
      <c r="D1111" s="46" t="s">
        <v>143</v>
      </c>
      <c r="E1111" s="36">
        <v>1</v>
      </c>
      <c r="F1111" s="33">
        <v>493.66</v>
      </c>
      <c r="G1111" s="33">
        <f t="shared" si="18"/>
        <v>493.66</v>
      </c>
      <c r="H1111" s="38">
        <f>SUM(G1111:G1115)</f>
        <v>586.88984790000006</v>
      </c>
      <c r="I1111" s="39"/>
      <c r="J1111" s="148">
        <v>25</v>
      </c>
      <c r="K1111" s="222" t="s">
        <v>8074</v>
      </c>
    </row>
    <row r="1112" spans="1:11" ht="25.5" hidden="1" x14ac:dyDescent="0.25">
      <c r="A1112" s="203"/>
      <c r="B1112" s="205"/>
      <c r="C1112" s="35" t="s">
        <v>339</v>
      </c>
      <c r="D1112" s="46" t="s">
        <v>278</v>
      </c>
      <c r="E1112" s="36">
        <v>4</v>
      </c>
      <c r="F1112" s="33">
        <v>16.093</v>
      </c>
      <c r="G1112" s="33">
        <f t="shared" si="18"/>
        <v>64.372</v>
      </c>
      <c r="H1112" s="34"/>
      <c r="I1112" s="30"/>
      <c r="J1112" s="148">
        <v>25</v>
      </c>
      <c r="K1112" s="222" t="s">
        <v>8074</v>
      </c>
    </row>
    <row r="1113" spans="1:11" hidden="1" x14ac:dyDescent="0.25">
      <c r="A1113" s="203"/>
      <c r="B1113" s="205"/>
      <c r="C1113" s="35" t="s">
        <v>3514</v>
      </c>
      <c r="D1113" s="46" t="s">
        <v>42</v>
      </c>
      <c r="E1113" s="36">
        <v>3.9E-2</v>
      </c>
      <c r="F1113" s="33">
        <v>64.619</v>
      </c>
      <c r="G1113" s="33">
        <f t="shared" si="18"/>
        <v>2.5201410000000002</v>
      </c>
      <c r="H1113" s="34"/>
      <c r="I1113" s="30"/>
      <c r="J1113" s="148">
        <v>25</v>
      </c>
      <c r="K1113" s="222" t="s">
        <v>8074</v>
      </c>
    </row>
    <row r="1114" spans="1:11" hidden="1" x14ac:dyDescent="0.25">
      <c r="A1114" s="203"/>
      <c r="B1114" s="205"/>
      <c r="C1114" s="35" t="s">
        <v>39</v>
      </c>
      <c r="D1114" s="46" t="s">
        <v>12</v>
      </c>
      <c r="E1114" s="36">
        <v>0.8226</v>
      </c>
      <c r="F1114" s="30">
        <v>24.300999999999998</v>
      </c>
      <c r="G1114" s="33">
        <f t="shared" si="18"/>
        <v>19.990002599999997</v>
      </c>
      <c r="H1114" s="34"/>
      <c r="I1114" s="30"/>
      <c r="J1114" s="148">
        <v>25</v>
      </c>
      <c r="K1114" s="222" t="s">
        <v>8074</v>
      </c>
    </row>
    <row r="1115" spans="1:11" hidden="1" x14ac:dyDescent="0.25">
      <c r="A1115" s="203"/>
      <c r="B1115" s="205"/>
      <c r="C1115" s="35" t="s">
        <v>23</v>
      </c>
      <c r="D1115" s="46" t="s">
        <v>12</v>
      </c>
      <c r="E1115" s="36">
        <v>0.34460000000000002</v>
      </c>
      <c r="F1115" s="30">
        <v>18.420500000000001</v>
      </c>
      <c r="G1115" s="33">
        <f t="shared" si="18"/>
        <v>6.3477043000000002</v>
      </c>
      <c r="H1115" s="34"/>
      <c r="I1115" s="30"/>
      <c r="J1115" s="148">
        <v>25</v>
      </c>
      <c r="K1115" s="222" t="s">
        <v>8074</v>
      </c>
    </row>
    <row r="1116" spans="1:11" ht="15.75" hidden="1" thickBot="1" x14ac:dyDescent="0.3">
      <c r="A1116" s="209"/>
      <c r="B1116" s="206"/>
      <c r="C1116" s="35"/>
      <c r="D1116" s="35"/>
      <c r="E1116" s="36"/>
      <c r="F1116" s="30" t="s">
        <v>514</v>
      </c>
      <c r="G1116" s="30" t="str">
        <f t="shared" si="18"/>
        <v/>
      </c>
      <c r="H1116" s="34"/>
      <c r="I1116" s="30"/>
      <c r="J1116" s="148">
        <v>25</v>
      </c>
      <c r="K1116" s="222" t="s">
        <v>8074</v>
      </c>
    </row>
    <row r="1117" spans="1:11" ht="15.75" hidden="1" thickBot="1" x14ac:dyDescent="0.3">
      <c r="A1117" s="202" t="s">
        <v>348</v>
      </c>
      <c r="B1117" s="204" t="str">
        <f>INDEX(Orçamentária!A:B,MATCH(Composições!A1117,Orçamentária!A:A,0),2)</f>
        <v>Acabamento para registro GD</v>
      </c>
      <c r="C1117" s="40"/>
      <c r="D1117" s="25" t="str">
        <f>TRIM(INDEX(Orçamentária!C:C,MATCH(Composições!A1117,Orçamentária!A:A,0),1))</f>
        <v>un</v>
      </c>
      <c r="E1117" s="26"/>
      <c r="F1117" s="41" t="s">
        <v>514</v>
      </c>
      <c r="G1117" s="27" t="str">
        <f t="shared" si="18"/>
        <v/>
      </c>
      <c r="H1117" s="28"/>
      <c r="I1117" s="29"/>
      <c r="J1117" s="148">
        <v>30</v>
      </c>
      <c r="K1117" s="222" t="s">
        <v>8074</v>
      </c>
    </row>
    <row r="1118" spans="1:11" hidden="1" x14ac:dyDescent="0.25">
      <c r="A1118" s="203"/>
      <c r="B1118" s="205"/>
      <c r="C1118" s="31"/>
      <c r="D1118" s="31"/>
      <c r="E1118" s="32"/>
      <c r="F1118" s="42" t="s">
        <v>514</v>
      </c>
      <c r="G1118" s="30" t="str">
        <f t="shared" si="18"/>
        <v/>
      </c>
      <c r="H1118" s="34"/>
      <c r="I1118" s="30"/>
      <c r="J1118" s="148">
        <v>30</v>
      </c>
      <c r="K1118" s="222" t="s">
        <v>8074</v>
      </c>
    </row>
    <row r="1119" spans="1:11" ht="25.5" hidden="1" x14ac:dyDescent="0.25">
      <c r="A1119" s="203"/>
      <c r="B1119" s="205"/>
      <c r="C1119" s="35" t="s">
        <v>349</v>
      </c>
      <c r="D1119" s="46" t="s">
        <v>143</v>
      </c>
      <c r="E1119" s="36">
        <v>1</v>
      </c>
      <c r="F1119" s="33">
        <v>57.61</v>
      </c>
      <c r="G1119" s="33">
        <f t="shared" si="18"/>
        <v>57.61</v>
      </c>
      <c r="H1119" s="38">
        <f>SUM(G1119:G1120)</f>
        <v>59.554079999999999</v>
      </c>
      <c r="I1119" s="39"/>
      <c r="J1119" s="148">
        <v>30</v>
      </c>
      <c r="K1119" s="222" t="s">
        <v>8074</v>
      </c>
    </row>
    <row r="1120" spans="1:11" hidden="1" x14ac:dyDescent="0.25">
      <c r="A1120" s="203"/>
      <c r="B1120" s="205"/>
      <c r="C1120" s="35" t="s">
        <v>39</v>
      </c>
      <c r="D1120" s="46" t="s">
        <v>12</v>
      </c>
      <c r="E1120" s="36">
        <v>0.08</v>
      </c>
      <c r="F1120" s="30">
        <v>24.300999999999998</v>
      </c>
      <c r="G1120" s="33">
        <f t="shared" si="18"/>
        <v>1.9440799999999998</v>
      </c>
      <c r="H1120" s="34"/>
      <c r="I1120" s="30"/>
      <c r="J1120" s="148">
        <v>30</v>
      </c>
      <c r="K1120" s="222" t="s">
        <v>8074</v>
      </c>
    </row>
    <row r="1121" spans="1:11" ht="15.75" hidden="1" thickBot="1" x14ac:dyDescent="0.3">
      <c r="A1121" s="209"/>
      <c r="B1121" s="206"/>
      <c r="C1121" s="51"/>
      <c r="D1121" s="35"/>
      <c r="E1121" s="36"/>
      <c r="F1121" s="30" t="s">
        <v>514</v>
      </c>
      <c r="G1121" s="30" t="str">
        <f t="shared" si="18"/>
        <v/>
      </c>
      <c r="H1121" s="34"/>
      <c r="I1121" s="30"/>
      <c r="J1121" s="148">
        <v>30</v>
      </c>
      <c r="K1121" s="222" t="s">
        <v>8074</v>
      </c>
    </row>
    <row r="1122" spans="1:11" ht="15.75" hidden="1" thickBot="1" x14ac:dyDescent="0.3">
      <c r="A1122" s="202" t="s">
        <v>350</v>
      </c>
      <c r="B1122" s="204" t="str">
        <f>INDEX(Orçamentária!A:B,MATCH(Composições!A1122,Orçamentária!A:A,0),2)</f>
        <v>Acabamento para registro PQ</v>
      </c>
      <c r="C1122" s="40"/>
      <c r="D1122" s="25" t="str">
        <f>TRIM(INDEX(Orçamentária!C:C,MATCH(Composições!A1122,Orçamentária!A:A,0),1))</f>
        <v>un</v>
      </c>
      <c r="E1122" s="26"/>
      <c r="F1122" s="41" t="s">
        <v>514</v>
      </c>
      <c r="G1122" s="27" t="str">
        <f t="shared" si="18"/>
        <v/>
      </c>
      <c r="H1122" s="28"/>
      <c r="I1122" s="29"/>
      <c r="J1122" s="148">
        <v>55</v>
      </c>
      <c r="K1122" s="222" t="s">
        <v>8074</v>
      </c>
    </row>
    <row r="1123" spans="1:11" hidden="1" x14ac:dyDescent="0.25">
      <c r="A1123" s="203"/>
      <c r="B1123" s="205"/>
      <c r="C1123" s="31"/>
      <c r="D1123" s="31"/>
      <c r="E1123" s="32"/>
      <c r="F1123" s="42" t="s">
        <v>514</v>
      </c>
      <c r="G1123" s="30" t="str">
        <f t="shared" si="18"/>
        <v/>
      </c>
      <c r="H1123" s="34"/>
      <c r="I1123" s="30"/>
      <c r="J1123" s="148">
        <v>55</v>
      </c>
      <c r="K1123" s="222" t="s">
        <v>8074</v>
      </c>
    </row>
    <row r="1124" spans="1:11" ht="25.5" hidden="1" x14ac:dyDescent="0.25">
      <c r="A1124" s="203"/>
      <c r="B1124" s="205"/>
      <c r="C1124" s="35" t="s">
        <v>351</v>
      </c>
      <c r="D1124" s="46" t="s">
        <v>143</v>
      </c>
      <c r="E1124" s="36">
        <v>1</v>
      </c>
      <c r="F1124" s="33">
        <v>45.89</v>
      </c>
      <c r="G1124" s="33">
        <f t="shared" si="18"/>
        <v>45.89</v>
      </c>
      <c r="H1124" s="38">
        <f>SUM(G1124:G1125)</f>
        <v>47.83408</v>
      </c>
      <c r="I1124" s="39"/>
      <c r="J1124" s="148">
        <v>55</v>
      </c>
      <c r="K1124" s="222" t="s">
        <v>8074</v>
      </c>
    </row>
    <row r="1125" spans="1:11" hidden="1" x14ac:dyDescent="0.25">
      <c r="A1125" s="203"/>
      <c r="B1125" s="205"/>
      <c r="C1125" s="35" t="s">
        <v>39</v>
      </c>
      <c r="D1125" s="46" t="s">
        <v>12</v>
      </c>
      <c r="E1125" s="36">
        <v>0.08</v>
      </c>
      <c r="F1125" s="30">
        <v>24.300999999999998</v>
      </c>
      <c r="G1125" s="33">
        <f t="shared" si="18"/>
        <v>1.9440799999999998</v>
      </c>
      <c r="H1125" s="34"/>
      <c r="I1125" s="30"/>
      <c r="J1125" s="148">
        <v>55</v>
      </c>
      <c r="K1125" s="222" t="s">
        <v>8074</v>
      </c>
    </row>
    <row r="1126" spans="1:11" ht="15.75" hidden="1" thickBot="1" x14ac:dyDescent="0.3">
      <c r="A1126" s="209"/>
      <c r="B1126" s="206"/>
      <c r="C1126" s="35"/>
      <c r="D1126" s="35"/>
      <c r="E1126" s="36"/>
      <c r="F1126" s="30" t="s">
        <v>514</v>
      </c>
      <c r="G1126" s="30" t="str">
        <f t="shared" si="18"/>
        <v/>
      </c>
      <c r="H1126" s="34"/>
      <c r="I1126" s="30"/>
      <c r="J1126" s="148">
        <v>55</v>
      </c>
      <c r="K1126" s="222" t="s">
        <v>8074</v>
      </c>
    </row>
    <row r="1127" spans="1:11" ht="15.75" hidden="1" thickBot="1" x14ac:dyDescent="0.3">
      <c r="A1127" s="202" t="s">
        <v>352</v>
      </c>
      <c r="B1127" s="204" t="str">
        <f>INDEX(Orçamentária!A:B,MATCH(Composições!A1127,Orçamentária!A:A,0),2)</f>
        <v>Ducha higiênica</v>
      </c>
      <c r="C1127" s="40"/>
      <c r="D1127" s="25" t="str">
        <f>TRIM(INDEX(Orçamentária!C:C,MATCH(Composições!A1127,Orçamentária!A:A,0),1))</f>
        <v>un</v>
      </c>
      <c r="E1127" s="26"/>
      <c r="F1127" s="41" t="s">
        <v>514</v>
      </c>
      <c r="G1127" s="27" t="str">
        <f t="shared" si="18"/>
        <v/>
      </c>
      <c r="H1127" s="28"/>
      <c r="I1127" s="29"/>
      <c r="J1127" s="148">
        <v>45</v>
      </c>
      <c r="K1127" s="222" t="s">
        <v>8074</v>
      </c>
    </row>
    <row r="1128" spans="1:11" hidden="1" x14ac:dyDescent="0.25">
      <c r="A1128" s="203"/>
      <c r="B1128" s="205"/>
      <c r="C1128" s="31"/>
      <c r="D1128" s="31"/>
      <c r="E1128" s="32"/>
      <c r="F1128" s="42" t="s">
        <v>514</v>
      </c>
      <c r="G1128" s="30" t="str">
        <f t="shared" si="18"/>
        <v/>
      </c>
      <c r="H1128" s="34"/>
      <c r="I1128" s="30"/>
      <c r="J1128" s="148">
        <v>45</v>
      </c>
      <c r="K1128" s="222" t="s">
        <v>8074</v>
      </c>
    </row>
    <row r="1129" spans="1:11" ht="25.5" hidden="1" x14ac:dyDescent="0.25">
      <c r="A1129" s="203"/>
      <c r="B1129" s="205"/>
      <c r="C1129" s="35" t="s">
        <v>353</v>
      </c>
      <c r="D1129" s="46" t="s">
        <v>143</v>
      </c>
      <c r="E1129" s="36">
        <v>1</v>
      </c>
      <c r="F1129" s="33">
        <v>333.88</v>
      </c>
      <c r="G1129" s="33">
        <f t="shared" si="18"/>
        <v>333.88</v>
      </c>
      <c r="H1129" s="38">
        <f>SUM(G1129:G1131)</f>
        <v>355.57800000000003</v>
      </c>
      <c r="I1129" s="39"/>
      <c r="J1129" s="148">
        <v>45</v>
      </c>
      <c r="K1129" s="222" t="s">
        <v>8074</v>
      </c>
    </row>
    <row r="1130" spans="1:11" hidden="1" x14ac:dyDescent="0.25">
      <c r="A1130" s="203"/>
      <c r="B1130" s="205"/>
      <c r="C1130" s="35" t="s">
        <v>39</v>
      </c>
      <c r="D1130" s="46" t="s">
        <v>12</v>
      </c>
      <c r="E1130" s="36">
        <v>0.5</v>
      </c>
      <c r="F1130" s="30">
        <v>24.300999999999998</v>
      </c>
      <c r="G1130" s="33">
        <f t="shared" si="18"/>
        <v>12.150499999999999</v>
      </c>
      <c r="H1130" s="34"/>
      <c r="I1130" s="30"/>
      <c r="J1130" s="148">
        <v>45</v>
      </c>
      <c r="K1130" s="222" t="s">
        <v>8074</v>
      </c>
    </row>
    <row r="1131" spans="1:11" ht="25.5" hidden="1" x14ac:dyDescent="0.25">
      <c r="A1131" s="203"/>
      <c r="B1131" s="205"/>
      <c r="C1131" s="35" t="s">
        <v>106</v>
      </c>
      <c r="D1131" s="46" t="s">
        <v>12</v>
      </c>
      <c r="E1131" s="36">
        <v>0.5</v>
      </c>
      <c r="F1131" s="30">
        <v>19.094999999999999</v>
      </c>
      <c r="G1131" s="33">
        <f t="shared" si="18"/>
        <v>9.5474999999999994</v>
      </c>
      <c r="H1131" s="34"/>
      <c r="I1131" s="30"/>
      <c r="J1131" s="148">
        <v>45</v>
      </c>
      <c r="K1131" s="222" t="s">
        <v>8074</v>
      </c>
    </row>
    <row r="1132" spans="1:11" ht="15.75" hidden="1" thickBot="1" x14ac:dyDescent="0.3">
      <c r="A1132" s="209"/>
      <c r="B1132" s="206"/>
      <c r="C1132" s="35"/>
      <c r="D1132" s="35"/>
      <c r="E1132" s="36"/>
      <c r="F1132" s="30" t="s">
        <v>514</v>
      </c>
      <c r="G1132" s="30" t="str">
        <f t="shared" si="18"/>
        <v/>
      </c>
      <c r="H1132" s="34"/>
      <c r="I1132" s="30"/>
      <c r="J1132" s="148">
        <v>45</v>
      </c>
      <c r="K1132" s="222" t="s">
        <v>8074</v>
      </c>
    </row>
    <row r="1133" spans="1:11" ht="15.75" hidden="1" thickBot="1" x14ac:dyDescent="0.3">
      <c r="A1133" s="202" t="s">
        <v>354</v>
      </c>
      <c r="B1133" s="204" t="str">
        <f>INDEX(Orçamentária!A:B,MATCH(Composições!A1133,Orçamentária!A:A,0),2)</f>
        <v>Instalação de metais e acessórios reaproveitados</v>
      </c>
      <c r="C1133" s="40"/>
      <c r="D1133" s="25" t="str">
        <f>TRIM(INDEX(Orçamentária!C:C,MATCH(Composições!A1133,Orçamentária!A:A,0),1))</f>
        <v>un</v>
      </c>
      <c r="E1133" s="26"/>
      <c r="F1133" s="41" t="s">
        <v>514</v>
      </c>
      <c r="G1133" s="27" t="str">
        <f t="shared" si="18"/>
        <v/>
      </c>
      <c r="H1133" s="28"/>
      <c r="I1133" s="29"/>
      <c r="J1133" s="148">
        <v>200</v>
      </c>
      <c r="K1133" s="222" t="s">
        <v>8074</v>
      </c>
    </row>
    <row r="1134" spans="1:11" hidden="1" x14ac:dyDescent="0.25">
      <c r="A1134" s="203"/>
      <c r="B1134" s="205"/>
      <c r="C1134" s="31"/>
      <c r="D1134" s="31"/>
      <c r="E1134" s="32"/>
      <c r="F1134" s="42" t="s">
        <v>514</v>
      </c>
      <c r="G1134" s="30" t="str">
        <f t="shared" si="18"/>
        <v/>
      </c>
      <c r="H1134" s="34"/>
      <c r="I1134" s="30"/>
      <c r="J1134" s="148">
        <v>200</v>
      </c>
      <c r="K1134" s="222" t="s">
        <v>8074</v>
      </c>
    </row>
    <row r="1135" spans="1:11" hidden="1" x14ac:dyDescent="0.25">
      <c r="A1135" s="203"/>
      <c r="B1135" s="205"/>
      <c r="C1135" s="35" t="s">
        <v>39</v>
      </c>
      <c r="D1135" s="46" t="s">
        <v>12</v>
      </c>
      <c r="E1135" s="36">
        <v>0.16209999999999999</v>
      </c>
      <c r="F1135" s="30">
        <v>24.300999999999998</v>
      </c>
      <c r="G1135" s="33">
        <f t="shared" si="18"/>
        <v>3.9391920999999996</v>
      </c>
      <c r="H1135" s="38">
        <f>SUM(G1135:G1136)</f>
        <v>4.3726485999999998</v>
      </c>
      <c r="I1135" s="39"/>
      <c r="J1135" s="148">
        <v>200</v>
      </c>
      <c r="K1135" s="222" t="s">
        <v>8074</v>
      </c>
    </row>
    <row r="1136" spans="1:11" ht="25.5" hidden="1" x14ac:dyDescent="0.25">
      <c r="A1136" s="203"/>
      <c r="B1136" s="205"/>
      <c r="C1136" s="35" t="s">
        <v>106</v>
      </c>
      <c r="D1136" s="46" t="s">
        <v>12</v>
      </c>
      <c r="E1136" s="36">
        <v>2.2700000000000001E-2</v>
      </c>
      <c r="F1136" s="30">
        <v>19.094999999999999</v>
      </c>
      <c r="G1136" s="33">
        <f t="shared" si="18"/>
        <v>0.43345650000000002</v>
      </c>
      <c r="H1136" s="44"/>
      <c r="I1136" s="45"/>
      <c r="J1136" s="148">
        <v>200</v>
      </c>
      <c r="K1136" s="222" t="s">
        <v>8074</v>
      </c>
    </row>
    <row r="1137" spans="1:11" ht="15.75" hidden="1" thickBot="1" x14ac:dyDescent="0.3">
      <c r="A1137" s="209"/>
      <c r="B1137" s="206"/>
      <c r="C1137" s="35"/>
      <c r="D1137" s="35"/>
      <c r="E1137" s="36"/>
      <c r="F1137" s="30" t="s">
        <v>514</v>
      </c>
      <c r="G1137" s="30" t="str">
        <f t="shared" si="18"/>
        <v/>
      </c>
      <c r="H1137" s="34"/>
      <c r="I1137" s="30"/>
      <c r="J1137" s="148">
        <v>200</v>
      </c>
      <c r="K1137" s="222" t="s">
        <v>8074</v>
      </c>
    </row>
    <row r="1138" spans="1:11" ht="15.75" hidden="1" thickBot="1" x14ac:dyDescent="0.3">
      <c r="A1138" s="202" t="s">
        <v>355</v>
      </c>
      <c r="B1138" s="204" t="str">
        <f>INDEX(Orçamentária!A:B,MATCH(Composições!A1138,Orçamentária!A:A,0),2)</f>
        <v>Ligação flexível 1/2” x 40 cm</v>
      </c>
      <c r="C1138" s="40"/>
      <c r="D1138" s="25" t="str">
        <f>TRIM(INDEX(Orçamentária!C:C,MATCH(Composições!A1138,Orçamentária!A:A,0),1))</f>
        <v>un</v>
      </c>
      <c r="E1138" s="26"/>
      <c r="F1138" s="41" t="s">
        <v>514</v>
      </c>
      <c r="G1138" s="27" t="str">
        <f t="shared" si="18"/>
        <v/>
      </c>
      <c r="H1138" s="28"/>
      <c r="I1138" s="29"/>
      <c r="J1138" s="148">
        <v>75</v>
      </c>
      <c r="K1138" s="222" t="s">
        <v>8074</v>
      </c>
    </row>
    <row r="1139" spans="1:11" hidden="1" x14ac:dyDescent="0.25">
      <c r="A1139" s="203"/>
      <c r="B1139" s="205"/>
      <c r="C1139" s="31"/>
      <c r="D1139" s="31"/>
      <c r="E1139" s="32"/>
      <c r="F1139" s="42" t="s">
        <v>514</v>
      </c>
      <c r="G1139" s="30" t="str">
        <f t="shared" si="18"/>
        <v/>
      </c>
      <c r="H1139" s="34"/>
      <c r="I1139" s="30"/>
      <c r="J1139" s="148">
        <v>75</v>
      </c>
      <c r="K1139" s="222" t="s">
        <v>8074</v>
      </c>
    </row>
    <row r="1140" spans="1:11" hidden="1" x14ac:dyDescent="0.25">
      <c r="A1140" s="203"/>
      <c r="B1140" s="205"/>
      <c r="C1140" s="35" t="s">
        <v>356</v>
      </c>
      <c r="D1140" s="46" t="s">
        <v>278</v>
      </c>
      <c r="E1140" s="36">
        <v>1</v>
      </c>
      <c r="F1140" s="33">
        <v>34.9315</v>
      </c>
      <c r="G1140" s="33">
        <f t="shared" si="18"/>
        <v>34.9315</v>
      </c>
      <c r="H1140" s="38">
        <f>SUM(G1140:G1143)</f>
        <v>39.56833125</v>
      </c>
      <c r="I1140" s="39"/>
      <c r="J1140" s="148">
        <v>75</v>
      </c>
      <c r="K1140" s="222" t="s">
        <v>8074</v>
      </c>
    </row>
    <row r="1141" spans="1:11" hidden="1" x14ac:dyDescent="0.25">
      <c r="A1141" s="203"/>
      <c r="B1141" s="205"/>
      <c r="C1141" s="35" t="s">
        <v>341</v>
      </c>
      <c r="D1141" s="46" t="s">
        <v>278</v>
      </c>
      <c r="E1141" s="36">
        <v>1.7500000000000002E-2</v>
      </c>
      <c r="F1141" s="33">
        <v>4.0374999999999996</v>
      </c>
      <c r="G1141" s="33">
        <f t="shared" si="18"/>
        <v>7.0656250000000004E-2</v>
      </c>
      <c r="H1141" s="34"/>
      <c r="I1141" s="30"/>
      <c r="J1141" s="148">
        <v>75</v>
      </c>
      <c r="K1141" s="222" t="s">
        <v>8074</v>
      </c>
    </row>
    <row r="1142" spans="1:11" hidden="1" x14ac:dyDescent="0.25">
      <c r="A1142" s="203"/>
      <c r="B1142" s="205"/>
      <c r="C1142" s="35" t="s">
        <v>39</v>
      </c>
      <c r="D1142" s="46" t="s">
        <v>12</v>
      </c>
      <c r="E1142" s="36">
        <v>0.15</v>
      </c>
      <c r="F1142" s="30">
        <v>24.300999999999998</v>
      </c>
      <c r="G1142" s="33">
        <f t="shared" si="18"/>
        <v>3.6451499999999997</v>
      </c>
      <c r="H1142" s="34"/>
      <c r="I1142" s="30"/>
      <c r="J1142" s="148">
        <v>75</v>
      </c>
      <c r="K1142" s="222" t="s">
        <v>8074</v>
      </c>
    </row>
    <row r="1143" spans="1:11" hidden="1" x14ac:dyDescent="0.25">
      <c r="A1143" s="203"/>
      <c r="B1143" s="205"/>
      <c r="C1143" s="35" t="s">
        <v>23</v>
      </c>
      <c r="D1143" s="46" t="s">
        <v>12</v>
      </c>
      <c r="E1143" s="36">
        <v>0.05</v>
      </c>
      <c r="F1143" s="30">
        <v>18.420500000000001</v>
      </c>
      <c r="G1143" s="33">
        <f t="shared" si="18"/>
        <v>0.92102500000000009</v>
      </c>
      <c r="H1143" s="34"/>
      <c r="I1143" s="30"/>
      <c r="J1143" s="148">
        <v>75</v>
      </c>
      <c r="K1143" s="222" t="s">
        <v>8074</v>
      </c>
    </row>
    <row r="1144" spans="1:11" ht="15.75" hidden="1" thickBot="1" x14ac:dyDescent="0.3">
      <c r="A1144" s="209"/>
      <c r="B1144" s="206"/>
      <c r="C1144" s="35"/>
      <c r="D1144" s="35"/>
      <c r="E1144" s="36"/>
      <c r="F1144" s="30" t="s">
        <v>514</v>
      </c>
      <c r="G1144" s="30" t="str">
        <f t="shared" si="18"/>
        <v/>
      </c>
      <c r="H1144" s="34"/>
      <c r="I1144" s="30"/>
      <c r="J1144" s="148">
        <v>75</v>
      </c>
      <c r="K1144" s="222" t="s">
        <v>8074</v>
      </c>
    </row>
    <row r="1145" spans="1:11" ht="15.75" hidden="1" thickBot="1" x14ac:dyDescent="0.3">
      <c r="A1145" s="202" t="s">
        <v>357</v>
      </c>
      <c r="B1145" s="204" t="str">
        <f>INDEX(Orçamentária!A:B,MATCH(Composições!A1145,Orçamentária!A:A,0),2)</f>
        <v>Sifão articulado para cozinha</v>
      </c>
      <c r="C1145" s="40"/>
      <c r="D1145" s="25" t="str">
        <f>TRIM(INDEX(Orçamentária!C:C,MATCH(Composições!A1145,Orçamentária!A:A,0),1))</f>
        <v>un</v>
      </c>
      <c r="E1145" s="26"/>
      <c r="F1145" s="41" t="s">
        <v>514</v>
      </c>
      <c r="G1145" s="27" t="str">
        <f t="shared" si="18"/>
        <v/>
      </c>
      <c r="H1145" s="28"/>
      <c r="I1145" s="29"/>
      <c r="J1145" s="148">
        <v>40</v>
      </c>
      <c r="K1145" s="222" t="s">
        <v>8074</v>
      </c>
    </row>
    <row r="1146" spans="1:11" hidden="1" x14ac:dyDescent="0.25">
      <c r="A1146" s="203"/>
      <c r="B1146" s="205"/>
      <c r="C1146" s="31"/>
      <c r="D1146" s="31"/>
      <c r="E1146" s="32"/>
      <c r="F1146" s="42" t="s">
        <v>514</v>
      </c>
      <c r="G1146" s="30" t="str">
        <f t="shared" si="18"/>
        <v/>
      </c>
      <c r="H1146" s="34"/>
      <c r="I1146" s="30"/>
      <c r="J1146" s="148">
        <v>40</v>
      </c>
      <c r="K1146" s="222" t="s">
        <v>8074</v>
      </c>
    </row>
    <row r="1147" spans="1:11" ht="25.5" hidden="1" x14ac:dyDescent="0.25">
      <c r="A1147" s="203"/>
      <c r="B1147" s="205"/>
      <c r="C1147" s="35" t="s">
        <v>358</v>
      </c>
      <c r="D1147" s="46" t="s">
        <v>143</v>
      </c>
      <c r="E1147" s="36">
        <v>1</v>
      </c>
      <c r="F1147" s="33">
        <v>267.67</v>
      </c>
      <c r="G1147" s="33">
        <f t="shared" si="18"/>
        <v>267.67</v>
      </c>
      <c r="H1147" s="38">
        <f>SUM(G1147:G1150)</f>
        <v>276.03578550000003</v>
      </c>
      <c r="I1147" s="39"/>
      <c r="J1147" s="148">
        <v>40</v>
      </c>
      <c r="K1147" s="222" t="s">
        <v>8074</v>
      </c>
    </row>
    <row r="1148" spans="1:11" hidden="1" x14ac:dyDescent="0.25">
      <c r="A1148" s="203"/>
      <c r="B1148" s="205"/>
      <c r="C1148" s="35" t="s">
        <v>341</v>
      </c>
      <c r="D1148" s="46" t="s">
        <v>278</v>
      </c>
      <c r="E1148" s="36">
        <v>3.32E-2</v>
      </c>
      <c r="F1148" s="33">
        <v>4.0374999999999996</v>
      </c>
      <c r="G1148" s="33">
        <f t="shared" si="18"/>
        <v>0.134045</v>
      </c>
      <c r="H1148" s="34"/>
      <c r="I1148" s="30"/>
      <c r="J1148" s="148">
        <v>40</v>
      </c>
      <c r="K1148" s="222" t="s">
        <v>8074</v>
      </c>
    </row>
    <row r="1149" spans="1:11" hidden="1" x14ac:dyDescent="0.25">
      <c r="A1149" s="203"/>
      <c r="B1149" s="205"/>
      <c r="C1149" s="35" t="s">
        <v>23</v>
      </c>
      <c r="D1149" s="46" t="s">
        <v>12</v>
      </c>
      <c r="E1149" s="36">
        <v>8.6199999999999999E-2</v>
      </c>
      <c r="F1149" s="30">
        <v>18.420500000000001</v>
      </c>
      <c r="G1149" s="33">
        <f t="shared" si="18"/>
        <v>1.5878471000000001</v>
      </c>
      <c r="H1149" s="34"/>
      <c r="I1149" s="30"/>
      <c r="J1149" s="148">
        <v>40</v>
      </c>
      <c r="K1149" s="222" t="s">
        <v>8074</v>
      </c>
    </row>
    <row r="1150" spans="1:11" hidden="1" x14ac:dyDescent="0.25">
      <c r="A1150" s="203"/>
      <c r="B1150" s="205"/>
      <c r="C1150" s="35" t="s">
        <v>39</v>
      </c>
      <c r="D1150" s="46" t="s">
        <v>12</v>
      </c>
      <c r="E1150" s="36">
        <v>0.27339999999999998</v>
      </c>
      <c r="F1150" s="30">
        <v>24.300999999999998</v>
      </c>
      <c r="G1150" s="33">
        <f t="shared" si="18"/>
        <v>6.6438933999999987</v>
      </c>
      <c r="H1150" s="34"/>
      <c r="I1150" s="30"/>
      <c r="J1150" s="148">
        <v>40</v>
      </c>
      <c r="K1150" s="222" t="s">
        <v>8074</v>
      </c>
    </row>
    <row r="1151" spans="1:11" ht="15.75" hidden="1" thickBot="1" x14ac:dyDescent="0.3">
      <c r="A1151" s="209"/>
      <c r="B1151" s="206"/>
      <c r="C1151" s="35"/>
      <c r="D1151" s="35"/>
      <c r="E1151" s="36"/>
      <c r="F1151" s="30" t="s">
        <v>514</v>
      </c>
      <c r="G1151" s="30" t="str">
        <f t="shared" si="18"/>
        <v/>
      </c>
      <c r="H1151" s="34"/>
      <c r="I1151" s="30"/>
      <c r="J1151" s="148">
        <v>40</v>
      </c>
      <c r="K1151" s="222" t="s">
        <v>8074</v>
      </c>
    </row>
    <row r="1152" spans="1:11" ht="15.75" hidden="1" thickBot="1" x14ac:dyDescent="0.3">
      <c r="A1152" s="202" t="s">
        <v>359</v>
      </c>
      <c r="B1152" s="204" t="str">
        <f>INDEX(Orçamentária!A:B,MATCH(Composições!A1152,Orçamentária!A:A,0),2)</f>
        <v>Sifão para lavatório 1 1/2"</v>
      </c>
      <c r="C1152" s="40"/>
      <c r="D1152" s="25" t="str">
        <f>TRIM(INDEX(Orçamentária!C:C,MATCH(Composições!A1152,Orçamentária!A:A,0),1))</f>
        <v>un</v>
      </c>
      <c r="E1152" s="26"/>
      <c r="F1152" s="41" t="s">
        <v>514</v>
      </c>
      <c r="G1152" s="27" t="str">
        <f t="shared" si="18"/>
        <v/>
      </c>
      <c r="H1152" s="28"/>
      <c r="I1152" s="29"/>
      <c r="J1152" s="148">
        <v>50</v>
      </c>
      <c r="K1152" s="222" t="s">
        <v>8074</v>
      </c>
    </row>
    <row r="1153" spans="1:11" hidden="1" x14ac:dyDescent="0.25">
      <c r="A1153" s="203"/>
      <c r="B1153" s="205"/>
      <c r="C1153" s="31"/>
      <c r="D1153" s="31"/>
      <c r="E1153" s="32"/>
      <c r="F1153" s="42" t="s">
        <v>514</v>
      </c>
      <c r="G1153" s="30" t="str">
        <f t="shared" si="18"/>
        <v/>
      </c>
      <c r="H1153" s="34"/>
      <c r="I1153" s="30"/>
      <c r="J1153" s="148">
        <v>50</v>
      </c>
      <c r="K1153" s="222" t="s">
        <v>8074</v>
      </c>
    </row>
    <row r="1154" spans="1:11" hidden="1" x14ac:dyDescent="0.25">
      <c r="A1154" s="203"/>
      <c r="B1154" s="205"/>
      <c r="C1154" s="35" t="s">
        <v>360</v>
      </c>
      <c r="D1154" s="46" t="s">
        <v>278</v>
      </c>
      <c r="E1154" s="36">
        <v>1</v>
      </c>
      <c r="F1154" s="33">
        <v>139.18449999999999</v>
      </c>
      <c r="G1154" s="33">
        <f t="shared" si="18"/>
        <v>139.18449999999999</v>
      </c>
      <c r="H1154" s="38">
        <f>SUM(G1154:G1157)</f>
        <v>147.60549</v>
      </c>
      <c r="I1154" s="39"/>
      <c r="J1154" s="148">
        <v>50</v>
      </c>
      <c r="K1154" s="222" t="s">
        <v>8074</v>
      </c>
    </row>
    <row r="1155" spans="1:11" hidden="1" x14ac:dyDescent="0.25">
      <c r="A1155" s="203"/>
      <c r="B1155" s="205"/>
      <c r="C1155" s="35" t="s">
        <v>341</v>
      </c>
      <c r="D1155" s="46" t="s">
        <v>278</v>
      </c>
      <c r="E1155" s="36">
        <v>0.05</v>
      </c>
      <c r="F1155" s="33">
        <v>4.0374999999999996</v>
      </c>
      <c r="G1155" s="33">
        <f t="shared" si="18"/>
        <v>0.201875</v>
      </c>
      <c r="H1155" s="34"/>
      <c r="I1155" s="30"/>
      <c r="J1155" s="148">
        <v>50</v>
      </c>
      <c r="K1155" s="222" t="s">
        <v>8074</v>
      </c>
    </row>
    <row r="1156" spans="1:11" hidden="1" x14ac:dyDescent="0.25">
      <c r="A1156" s="203"/>
      <c r="B1156" s="205"/>
      <c r="C1156" s="35" t="s">
        <v>39</v>
      </c>
      <c r="D1156" s="46" t="s">
        <v>12</v>
      </c>
      <c r="E1156" s="36">
        <v>0.27</v>
      </c>
      <c r="F1156" s="30">
        <v>24.300999999999998</v>
      </c>
      <c r="G1156" s="33">
        <f t="shared" si="18"/>
        <v>6.5612700000000004</v>
      </c>
      <c r="H1156" s="34"/>
      <c r="I1156" s="30"/>
      <c r="J1156" s="148">
        <v>50</v>
      </c>
      <c r="K1156" s="222" t="s">
        <v>8074</v>
      </c>
    </row>
    <row r="1157" spans="1:11" hidden="1" x14ac:dyDescent="0.25">
      <c r="A1157" s="203"/>
      <c r="B1157" s="205"/>
      <c r="C1157" s="35" t="s">
        <v>23</v>
      </c>
      <c r="D1157" s="46" t="s">
        <v>12</v>
      </c>
      <c r="E1157" s="36">
        <v>0.09</v>
      </c>
      <c r="F1157" s="30">
        <v>18.420500000000001</v>
      </c>
      <c r="G1157" s="33">
        <f t="shared" si="18"/>
        <v>1.657845</v>
      </c>
      <c r="H1157" s="34"/>
      <c r="I1157" s="30"/>
      <c r="J1157" s="148">
        <v>50</v>
      </c>
      <c r="K1157" s="222" t="s">
        <v>8074</v>
      </c>
    </row>
    <row r="1158" spans="1:11" ht="15.75" hidden="1" thickBot="1" x14ac:dyDescent="0.3">
      <c r="A1158" s="209"/>
      <c r="B1158" s="206"/>
      <c r="C1158" s="35"/>
      <c r="D1158" s="35"/>
      <c r="E1158" s="36"/>
      <c r="F1158" s="30" t="s">
        <v>514</v>
      </c>
      <c r="G1158" s="30" t="str">
        <f t="shared" si="18"/>
        <v/>
      </c>
      <c r="H1158" s="34"/>
      <c r="I1158" s="30"/>
      <c r="J1158" s="148">
        <v>50</v>
      </c>
      <c r="K1158" s="222" t="s">
        <v>8074</v>
      </c>
    </row>
    <row r="1159" spans="1:11" ht="15.75" hidden="1" thickBot="1" x14ac:dyDescent="0.3">
      <c r="A1159" s="202" t="s">
        <v>361</v>
      </c>
      <c r="B1159" s="204" t="str">
        <f>INDEX(Orçamentária!A:B,MATCH(Composições!A1159,Orçamentária!A:A,0),2)</f>
        <v>Sifão para tanque</v>
      </c>
      <c r="C1159" s="40"/>
      <c r="D1159" s="25" t="str">
        <f>TRIM(INDEX(Orçamentária!C:C,MATCH(Composições!A1159,Orçamentária!A:A,0),1))</f>
        <v>un</v>
      </c>
      <c r="E1159" s="26"/>
      <c r="F1159" s="41" t="s">
        <v>514</v>
      </c>
      <c r="G1159" s="27" t="str">
        <f t="shared" si="18"/>
        <v/>
      </c>
      <c r="H1159" s="28"/>
      <c r="I1159" s="29"/>
      <c r="J1159" s="148">
        <v>25</v>
      </c>
      <c r="K1159" s="222" t="s">
        <v>8074</v>
      </c>
    </row>
    <row r="1160" spans="1:11" hidden="1" x14ac:dyDescent="0.25">
      <c r="A1160" s="203"/>
      <c r="B1160" s="205"/>
      <c r="C1160" s="31"/>
      <c r="D1160" s="31"/>
      <c r="E1160" s="32"/>
      <c r="F1160" s="42" t="s">
        <v>514</v>
      </c>
      <c r="G1160" s="30" t="str">
        <f t="shared" si="18"/>
        <v/>
      </c>
      <c r="H1160" s="34"/>
      <c r="I1160" s="30"/>
      <c r="J1160" s="148">
        <v>25</v>
      </c>
      <c r="K1160" s="222" t="s">
        <v>8074</v>
      </c>
    </row>
    <row r="1161" spans="1:11" hidden="1" x14ac:dyDescent="0.25">
      <c r="A1161" s="203"/>
      <c r="B1161" s="205"/>
      <c r="C1161" s="35" t="s">
        <v>341</v>
      </c>
      <c r="D1161" s="46" t="s">
        <v>278</v>
      </c>
      <c r="E1161" s="36">
        <v>3.32E-2</v>
      </c>
      <c r="F1161" s="33">
        <v>4.0374999999999996</v>
      </c>
      <c r="G1161" s="33">
        <f t="shared" si="18"/>
        <v>0.134045</v>
      </c>
      <c r="H1161" s="38">
        <f>SUM(G1161:G1164)</f>
        <v>155.76778549999997</v>
      </c>
      <c r="I1161" s="39"/>
      <c r="J1161" s="148">
        <v>25</v>
      </c>
      <c r="K1161" s="222" t="s">
        <v>8074</v>
      </c>
    </row>
    <row r="1162" spans="1:11" hidden="1" x14ac:dyDescent="0.25">
      <c r="A1162" s="203"/>
      <c r="B1162" s="205"/>
      <c r="C1162" s="35" t="s">
        <v>23</v>
      </c>
      <c r="D1162" s="46" t="s">
        <v>12</v>
      </c>
      <c r="E1162" s="36">
        <v>8.6199999999999999E-2</v>
      </c>
      <c r="F1162" s="30">
        <v>18.420500000000001</v>
      </c>
      <c r="G1162" s="33">
        <f t="shared" si="18"/>
        <v>1.5878471000000001</v>
      </c>
      <c r="H1162" s="44"/>
      <c r="I1162" s="45"/>
      <c r="J1162" s="148">
        <v>25</v>
      </c>
      <c r="K1162" s="222" t="s">
        <v>8074</v>
      </c>
    </row>
    <row r="1163" spans="1:11" hidden="1" x14ac:dyDescent="0.25">
      <c r="A1163" s="203"/>
      <c r="B1163" s="205"/>
      <c r="C1163" s="35" t="s">
        <v>39</v>
      </c>
      <c r="D1163" s="46" t="s">
        <v>12</v>
      </c>
      <c r="E1163" s="36">
        <v>0.27339999999999998</v>
      </c>
      <c r="F1163" s="30">
        <v>24.300999999999998</v>
      </c>
      <c r="G1163" s="33">
        <f t="shared" si="18"/>
        <v>6.6438933999999987</v>
      </c>
      <c r="H1163" s="34"/>
      <c r="I1163" s="30"/>
      <c r="J1163" s="148">
        <v>25</v>
      </c>
      <c r="K1163" s="222" t="s">
        <v>8074</v>
      </c>
    </row>
    <row r="1164" spans="1:11" hidden="1" x14ac:dyDescent="0.25">
      <c r="A1164" s="203"/>
      <c r="B1164" s="205"/>
      <c r="C1164" s="35" t="s">
        <v>362</v>
      </c>
      <c r="D1164" s="35" t="s">
        <v>20</v>
      </c>
      <c r="E1164" s="36">
        <v>1</v>
      </c>
      <c r="F1164" s="33">
        <v>147.40199999999999</v>
      </c>
      <c r="G1164" s="30">
        <f t="shared" si="18"/>
        <v>147.40199999999999</v>
      </c>
      <c r="H1164" s="34"/>
      <c r="I1164" s="30"/>
      <c r="J1164" s="148">
        <v>25</v>
      </c>
      <c r="K1164" s="222" t="s">
        <v>8074</v>
      </c>
    </row>
    <row r="1165" spans="1:11" ht="15.75" hidden="1" thickBot="1" x14ac:dyDescent="0.3">
      <c r="A1165" s="209"/>
      <c r="B1165" s="206"/>
      <c r="C1165" s="35"/>
      <c r="D1165" s="35"/>
      <c r="E1165" s="36"/>
      <c r="F1165" s="30" t="s">
        <v>514</v>
      </c>
      <c r="G1165" s="30" t="str">
        <f t="shared" si="18"/>
        <v/>
      </c>
      <c r="H1165" s="34"/>
      <c r="I1165" s="30"/>
      <c r="J1165" s="148">
        <v>25</v>
      </c>
      <c r="K1165" s="222" t="s">
        <v>8074</v>
      </c>
    </row>
    <row r="1166" spans="1:11" ht="15.75" hidden="1" thickBot="1" x14ac:dyDescent="0.3">
      <c r="A1166" s="202" t="s">
        <v>363</v>
      </c>
      <c r="B1166" s="204" t="str">
        <f>INDEX(Orçamentária!A:B,MATCH(Composições!A1166,Orçamentária!A:A,0),2)</f>
        <v>Torneira de mesa para cozinha bica móvel – Linha Administrativa</v>
      </c>
      <c r="C1166" s="40"/>
      <c r="D1166" s="25" t="str">
        <f>TRIM(INDEX(Orçamentária!C:C,MATCH(Composições!A1166,Orçamentária!A:A,0),1))</f>
        <v>un</v>
      </c>
      <c r="E1166" s="26"/>
      <c r="F1166" s="41" t="s">
        <v>514</v>
      </c>
      <c r="G1166" s="27" t="str">
        <f t="shared" si="18"/>
        <v/>
      </c>
      <c r="H1166" s="28"/>
      <c r="I1166" s="29"/>
      <c r="J1166" s="148">
        <v>0</v>
      </c>
      <c r="K1166" s="222">
        <v>0</v>
      </c>
    </row>
    <row r="1167" spans="1:11" hidden="1" x14ac:dyDescent="0.25">
      <c r="A1167" s="203"/>
      <c r="B1167" s="205"/>
      <c r="C1167" s="31"/>
      <c r="D1167" s="31"/>
      <c r="E1167" s="32"/>
      <c r="F1167" s="42" t="s">
        <v>514</v>
      </c>
      <c r="G1167" s="30" t="str">
        <f t="shared" si="18"/>
        <v/>
      </c>
      <c r="H1167" s="34"/>
      <c r="I1167" s="30"/>
      <c r="J1167" s="148">
        <v>0</v>
      </c>
      <c r="K1167" s="222">
        <v>0</v>
      </c>
    </row>
    <row r="1168" spans="1:11" hidden="1" x14ac:dyDescent="0.25">
      <c r="A1168" s="203"/>
      <c r="B1168" s="205"/>
      <c r="C1168" s="35" t="s">
        <v>364</v>
      </c>
      <c r="D1168" s="46" t="s">
        <v>143</v>
      </c>
      <c r="E1168" s="36">
        <v>1</v>
      </c>
      <c r="F1168" s="33" t="s">
        <v>514</v>
      </c>
      <c r="G1168" s="33" t="str">
        <f t="shared" si="18"/>
        <v/>
      </c>
      <c r="H1168" s="38">
        <f>SUM(G1168:G1171)</f>
        <v>5.1028404499999995</v>
      </c>
      <c r="I1168" s="39"/>
      <c r="J1168" s="148">
        <v>0</v>
      </c>
      <c r="K1168" s="222">
        <v>0</v>
      </c>
    </row>
    <row r="1169" spans="1:11" hidden="1" x14ac:dyDescent="0.25">
      <c r="A1169" s="203"/>
      <c r="B1169" s="205"/>
      <c r="C1169" s="35" t="s">
        <v>341</v>
      </c>
      <c r="D1169" s="46" t="s">
        <v>278</v>
      </c>
      <c r="E1169" s="36">
        <v>2.1000000000000001E-2</v>
      </c>
      <c r="F1169" s="33">
        <v>4.0374999999999996</v>
      </c>
      <c r="G1169" s="33">
        <f t="shared" si="18"/>
        <v>8.4787500000000002E-2</v>
      </c>
      <c r="H1169" s="34"/>
      <c r="I1169" s="30"/>
      <c r="J1169" s="148">
        <v>0</v>
      </c>
      <c r="K1169" s="222">
        <v>0</v>
      </c>
    </row>
    <row r="1170" spans="1:11" hidden="1" x14ac:dyDescent="0.25">
      <c r="A1170" s="203"/>
      <c r="B1170" s="205"/>
      <c r="C1170" s="35" t="s">
        <v>39</v>
      </c>
      <c r="D1170" s="46" t="s">
        <v>12</v>
      </c>
      <c r="E1170" s="36">
        <v>0.16669999999999999</v>
      </c>
      <c r="F1170" s="30">
        <v>24.300999999999998</v>
      </c>
      <c r="G1170" s="33">
        <f t="shared" si="18"/>
        <v>4.0509766999999997</v>
      </c>
      <c r="H1170" s="34"/>
      <c r="I1170" s="30"/>
      <c r="J1170" s="148">
        <v>0</v>
      </c>
      <c r="K1170" s="222">
        <v>0</v>
      </c>
    </row>
    <row r="1171" spans="1:11" hidden="1" x14ac:dyDescent="0.25">
      <c r="A1171" s="203"/>
      <c r="B1171" s="205"/>
      <c r="C1171" s="35" t="s">
        <v>23</v>
      </c>
      <c r="D1171" s="46" t="s">
        <v>12</v>
      </c>
      <c r="E1171" s="36">
        <v>5.2499999999999998E-2</v>
      </c>
      <c r="F1171" s="30">
        <v>18.420500000000001</v>
      </c>
      <c r="G1171" s="33">
        <f t="shared" ref="G1171:G1234" si="19">IF(ISNUMBER(F1171),E1171*F1171,"")</f>
        <v>0.96707624999999997</v>
      </c>
      <c r="H1171" s="34"/>
      <c r="I1171" s="30"/>
      <c r="J1171" s="148">
        <v>0</v>
      </c>
      <c r="K1171" s="222">
        <v>0</v>
      </c>
    </row>
    <row r="1172" spans="1:11" ht="15.75" hidden="1" thickBot="1" x14ac:dyDescent="0.3">
      <c r="A1172" s="209"/>
      <c r="B1172" s="206"/>
      <c r="C1172" s="35"/>
      <c r="D1172" s="35"/>
      <c r="E1172" s="36"/>
      <c r="F1172" s="30" t="s">
        <v>514</v>
      </c>
      <c r="G1172" s="30" t="str">
        <f t="shared" si="19"/>
        <v/>
      </c>
      <c r="H1172" s="34"/>
      <c r="I1172" s="30"/>
      <c r="J1172" s="148">
        <v>0</v>
      </c>
      <c r="K1172" s="222">
        <v>0</v>
      </c>
    </row>
    <row r="1173" spans="1:11" ht="15.75" hidden="1" thickBot="1" x14ac:dyDescent="0.3">
      <c r="A1173" s="202" t="s">
        <v>365</v>
      </c>
      <c r="B1173" s="204" t="str">
        <f>INDEX(Orçamentária!A:B,MATCH(Composições!A1173,Orçamentária!A:A,0),2)</f>
        <v>Torneira de mesa para cozinha bica móvel</v>
      </c>
      <c r="C1173" s="40"/>
      <c r="D1173" s="25" t="str">
        <f>TRIM(INDEX(Orçamentária!C:C,MATCH(Composições!A1173,Orçamentária!A:A,0),1))</f>
        <v>un</v>
      </c>
      <c r="E1173" s="26"/>
      <c r="F1173" s="41" t="s">
        <v>514</v>
      </c>
      <c r="G1173" s="27" t="str">
        <f t="shared" si="19"/>
        <v/>
      </c>
      <c r="H1173" s="28"/>
      <c r="I1173" s="29"/>
      <c r="J1173" s="148">
        <v>30</v>
      </c>
      <c r="K1173" s="222" t="s">
        <v>8074</v>
      </c>
    </row>
    <row r="1174" spans="1:11" hidden="1" x14ac:dyDescent="0.25">
      <c r="A1174" s="203"/>
      <c r="B1174" s="205"/>
      <c r="C1174" s="31"/>
      <c r="D1174" s="31"/>
      <c r="E1174" s="32"/>
      <c r="F1174" s="42" t="s">
        <v>514</v>
      </c>
      <c r="G1174" s="30" t="str">
        <f t="shared" si="19"/>
        <v/>
      </c>
      <c r="H1174" s="34"/>
      <c r="I1174" s="30"/>
      <c r="J1174" s="148">
        <v>30</v>
      </c>
      <c r="K1174" s="222" t="s">
        <v>8074</v>
      </c>
    </row>
    <row r="1175" spans="1:11" ht="25.5" hidden="1" x14ac:dyDescent="0.25">
      <c r="A1175" s="203"/>
      <c r="B1175" s="205"/>
      <c r="C1175" s="35" t="s">
        <v>366</v>
      </c>
      <c r="D1175" s="46" t="s">
        <v>143</v>
      </c>
      <c r="E1175" s="36">
        <v>1</v>
      </c>
      <c r="F1175" s="33">
        <v>210.89</v>
      </c>
      <c r="G1175" s="33">
        <f t="shared" si="19"/>
        <v>210.89</v>
      </c>
      <c r="H1175" s="38">
        <f>SUM(G1175:G1178)</f>
        <v>215.99284044999999</v>
      </c>
      <c r="I1175" s="39"/>
      <c r="J1175" s="148">
        <v>30</v>
      </c>
      <c r="K1175" s="222" t="s">
        <v>8074</v>
      </c>
    </row>
    <row r="1176" spans="1:11" hidden="1" x14ac:dyDescent="0.25">
      <c r="A1176" s="203"/>
      <c r="B1176" s="205"/>
      <c r="C1176" s="35" t="s">
        <v>341</v>
      </c>
      <c r="D1176" s="46" t="s">
        <v>278</v>
      </c>
      <c r="E1176" s="36">
        <v>2.1000000000000001E-2</v>
      </c>
      <c r="F1176" s="33">
        <v>4.0374999999999996</v>
      </c>
      <c r="G1176" s="33">
        <f t="shared" si="19"/>
        <v>8.4787500000000002E-2</v>
      </c>
      <c r="H1176" s="34"/>
      <c r="I1176" s="30"/>
      <c r="J1176" s="148">
        <v>30</v>
      </c>
      <c r="K1176" s="222" t="s">
        <v>8074</v>
      </c>
    </row>
    <row r="1177" spans="1:11" hidden="1" x14ac:dyDescent="0.25">
      <c r="A1177" s="203"/>
      <c r="B1177" s="205"/>
      <c r="C1177" s="35" t="s">
        <v>39</v>
      </c>
      <c r="D1177" s="46" t="s">
        <v>12</v>
      </c>
      <c r="E1177" s="36">
        <v>0.16669999999999999</v>
      </c>
      <c r="F1177" s="30">
        <v>24.300999999999998</v>
      </c>
      <c r="G1177" s="33">
        <f t="shared" si="19"/>
        <v>4.0509766999999997</v>
      </c>
      <c r="H1177" s="34"/>
      <c r="I1177" s="30"/>
      <c r="J1177" s="148">
        <v>30</v>
      </c>
      <c r="K1177" s="222" t="s">
        <v>8074</v>
      </c>
    </row>
    <row r="1178" spans="1:11" hidden="1" x14ac:dyDescent="0.25">
      <c r="A1178" s="203"/>
      <c r="B1178" s="205"/>
      <c r="C1178" s="35" t="s">
        <v>23</v>
      </c>
      <c r="D1178" s="46" t="s">
        <v>12</v>
      </c>
      <c r="E1178" s="36">
        <v>5.2499999999999998E-2</v>
      </c>
      <c r="F1178" s="30">
        <v>18.420500000000001</v>
      </c>
      <c r="G1178" s="33">
        <f t="shared" si="19"/>
        <v>0.96707624999999997</v>
      </c>
      <c r="H1178" s="34"/>
      <c r="I1178" s="30"/>
      <c r="J1178" s="148">
        <v>30</v>
      </c>
      <c r="K1178" s="222" t="s">
        <v>8074</v>
      </c>
    </row>
    <row r="1179" spans="1:11" ht="15.75" hidden="1" thickBot="1" x14ac:dyDescent="0.3">
      <c r="A1179" s="209"/>
      <c r="B1179" s="206"/>
      <c r="C1179" s="35"/>
      <c r="D1179" s="35"/>
      <c r="E1179" s="36"/>
      <c r="F1179" s="30" t="s">
        <v>514</v>
      </c>
      <c r="G1179" s="30" t="str">
        <f t="shared" si="19"/>
        <v/>
      </c>
      <c r="H1179" s="34"/>
      <c r="I1179" s="30"/>
      <c r="J1179" s="148">
        <v>30</v>
      </c>
      <c r="K1179" s="222" t="s">
        <v>8074</v>
      </c>
    </row>
    <row r="1180" spans="1:11" ht="15.75" hidden="1" thickBot="1" x14ac:dyDescent="0.3">
      <c r="A1180" s="202" t="s">
        <v>367</v>
      </c>
      <c r="B1180" s="204" t="str">
        <f>INDEX(Orçamentária!A:B,MATCH(Composições!A1180,Orçamentária!A:A,0),2)</f>
        <v>Torneira de mesa para lavatório – Linha Acessibilidade</v>
      </c>
      <c r="C1180" s="40"/>
      <c r="D1180" s="25" t="str">
        <f>TRIM(INDEX(Orçamentária!C:C,MATCH(Composições!A1180,Orçamentária!A:A,0),1))</f>
        <v>un</v>
      </c>
      <c r="E1180" s="26"/>
      <c r="F1180" s="41" t="s">
        <v>514</v>
      </c>
      <c r="G1180" s="27" t="str">
        <f t="shared" si="19"/>
        <v/>
      </c>
      <c r="H1180" s="28"/>
      <c r="I1180" s="29"/>
      <c r="J1180" s="148">
        <v>10</v>
      </c>
      <c r="K1180" s="222" t="s">
        <v>8074</v>
      </c>
    </row>
    <row r="1181" spans="1:11" hidden="1" x14ac:dyDescent="0.25">
      <c r="A1181" s="203"/>
      <c r="B1181" s="205"/>
      <c r="C1181" s="31"/>
      <c r="D1181" s="31"/>
      <c r="E1181" s="32"/>
      <c r="F1181" s="42" t="s">
        <v>514</v>
      </c>
      <c r="G1181" s="30" t="str">
        <f t="shared" si="19"/>
        <v/>
      </c>
      <c r="H1181" s="34"/>
      <c r="I1181" s="30"/>
      <c r="J1181" s="148">
        <v>10</v>
      </c>
      <c r="K1181" s="222" t="s">
        <v>8074</v>
      </c>
    </row>
    <row r="1182" spans="1:11" ht="25.5" hidden="1" x14ac:dyDescent="0.25">
      <c r="A1182" s="203"/>
      <c r="B1182" s="205"/>
      <c r="C1182" s="35" t="s">
        <v>368</v>
      </c>
      <c r="D1182" s="46" t="s">
        <v>143</v>
      </c>
      <c r="E1182" s="36">
        <v>1</v>
      </c>
      <c r="F1182" s="33">
        <v>523.37</v>
      </c>
      <c r="G1182" s="33">
        <f t="shared" si="19"/>
        <v>523.37</v>
      </c>
      <c r="H1182" s="38">
        <f>SUM(G1182:G1185)</f>
        <v>526.34582464999994</v>
      </c>
      <c r="I1182" s="39"/>
      <c r="J1182" s="148">
        <v>10</v>
      </c>
      <c r="K1182" s="222" t="s">
        <v>8074</v>
      </c>
    </row>
    <row r="1183" spans="1:11" hidden="1" x14ac:dyDescent="0.25">
      <c r="A1183" s="203"/>
      <c r="B1183" s="205"/>
      <c r="C1183" s="35" t="s">
        <v>341</v>
      </c>
      <c r="D1183" s="46" t="s">
        <v>278</v>
      </c>
      <c r="E1183" s="36">
        <v>2.1000000000000001E-2</v>
      </c>
      <c r="F1183" s="33">
        <v>4.0374999999999996</v>
      </c>
      <c r="G1183" s="33">
        <f t="shared" si="19"/>
        <v>8.4787500000000002E-2</v>
      </c>
      <c r="H1183" s="34"/>
      <c r="I1183" s="30"/>
      <c r="J1183" s="148">
        <v>10</v>
      </c>
      <c r="K1183" s="222" t="s">
        <v>8074</v>
      </c>
    </row>
    <row r="1184" spans="1:11" hidden="1" x14ac:dyDescent="0.25">
      <c r="A1184" s="203"/>
      <c r="B1184" s="205"/>
      <c r="C1184" s="35" t="s">
        <v>39</v>
      </c>
      <c r="D1184" s="46" t="s">
        <v>12</v>
      </c>
      <c r="E1184" s="36">
        <v>9.6000000000000002E-2</v>
      </c>
      <c r="F1184" s="30">
        <v>24.300999999999998</v>
      </c>
      <c r="G1184" s="33">
        <f t="shared" si="19"/>
        <v>2.3328959999999999</v>
      </c>
      <c r="H1184" s="34"/>
      <c r="I1184" s="30"/>
      <c r="J1184" s="148">
        <v>10</v>
      </c>
      <c r="K1184" s="222" t="s">
        <v>8074</v>
      </c>
    </row>
    <row r="1185" spans="1:11" hidden="1" x14ac:dyDescent="0.25">
      <c r="A1185" s="203"/>
      <c r="B1185" s="205"/>
      <c r="C1185" s="35" t="s">
        <v>23</v>
      </c>
      <c r="D1185" s="46" t="s">
        <v>12</v>
      </c>
      <c r="E1185" s="36">
        <v>3.0300000000000001E-2</v>
      </c>
      <c r="F1185" s="30">
        <v>18.420500000000001</v>
      </c>
      <c r="G1185" s="33">
        <f t="shared" si="19"/>
        <v>0.55814114999999997</v>
      </c>
      <c r="H1185" s="34"/>
      <c r="I1185" s="30"/>
      <c r="J1185" s="148">
        <v>10</v>
      </c>
      <c r="K1185" s="222" t="s">
        <v>8074</v>
      </c>
    </row>
    <row r="1186" spans="1:11" ht="15.75" hidden="1" thickBot="1" x14ac:dyDescent="0.3">
      <c r="A1186" s="209"/>
      <c r="B1186" s="206"/>
      <c r="C1186" s="35"/>
      <c r="D1186" s="35"/>
      <c r="E1186" s="36"/>
      <c r="F1186" s="30" t="s">
        <v>514</v>
      </c>
      <c r="G1186" s="30" t="str">
        <f t="shared" si="19"/>
        <v/>
      </c>
      <c r="H1186" s="34"/>
      <c r="I1186" s="30"/>
      <c r="J1186" s="148">
        <v>10</v>
      </c>
      <c r="K1186" s="222" t="s">
        <v>8074</v>
      </c>
    </row>
    <row r="1187" spans="1:11" ht="15.75" hidden="1" thickBot="1" x14ac:dyDescent="0.3">
      <c r="A1187" s="202" t="s">
        <v>369</v>
      </c>
      <c r="B1187" s="204" t="str">
        <f>INDEX(Orçamentária!A:B,MATCH(Composições!A1187,Orçamentária!A:A,0),2)</f>
        <v>Torneira de mesa para lavatório bica alta</v>
      </c>
      <c r="C1187" s="40"/>
      <c r="D1187" s="25" t="str">
        <f>TRIM(INDEX(Orçamentária!C:C,MATCH(Composições!A1187,Orçamentária!A:A,0),1))</f>
        <v>un</v>
      </c>
      <c r="E1187" s="26"/>
      <c r="F1187" s="41" t="s">
        <v>514</v>
      </c>
      <c r="G1187" s="27" t="str">
        <f t="shared" si="19"/>
        <v/>
      </c>
      <c r="H1187" s="28"/>
      <c r="I1187" s="29"/>
      <c r="J1187" s="148">
        <v>60</v>
      </c>
      <c r="K1187" s="222" t="s">
        <v>8074</v>
      </c>
    </row>
    <row r="1188" spans="1:11" hidden="1" x14ac:dyDescent="0.25">
      <c r="A1188" s="203"/>
      <c r="B1188" s="205"/>
      <c r="C1188" s="31"/>
      <c r="D1188" s="31"/>
      <c r="E1188" s="32"/>
      <c r="F1188" s="42" t="s">
        <v>514</v>
      </c>
      <c r="G1188" s="30" t="str">
        <f t="shared" si="19"/>
        <v/>
      </c>
      <c r="H1188" s="34"/>
      <c r="I1188" s="30"/>
      <c r="J1188" s="148">
        <v>60</v>
      </c>
      <c r="K1188" s="222" t="s">
        <v>8074</v>
      </c>
    </row>
    <row r="1189" spans="1:11" ht="25.5" hidden="1" x14ac:dyDescent="0.25">
      <c r="A1189" s="203"/>
      <c r="B1189" s="205"/>
      <c r="C1189" s="35" t="s">
        <v>370</v>
      </c>
      <c r="D1189" s="46" t="s">
        <v>143</v>
      </c>
      <c r="E1189" s="36">
        <v>1</v>
      </c>
      <c r="F1189" s="33">
        <v>198.77</v>
      </c>
      <c r="G1189" s="33">
        <f t="shared" si="19"/>
        <v>198.77</v>
      </c>
      <c r="H1189" s="38">
        <f>SUM(G1189:G1192)</f>
        <v>201.74582465000003</v>
      </c>
      <c r="I1189" s="39"/>
      <c r="J1189" s="148">
        <v>60</v>
      </c>
      <c r="K1189" s="222" t="s">
        <v>8074</v>
      </c>
    </row>
    <row r="1190" spans="1:11" hidden="1" x14ac:dyDescent="0.25">
      <c r="A1190" s="203"/>
      <c r="B1190" s="205"/>
      <c r="C1190" s="35" t="s">
        <v>341</v>
      </c>
      <c r="D1190" s="46" t="s">
        <v>278</v>
      </c>
      <c r="E1190" s="36">
        <v>2.1000000000000001E-2</v>
      </c>
      <c r="F1190" s="33">
        <v>4.0374999999999996</v>
      </c>
      <c r="G1190" s="33">
        <f t="shared" si="19"/>
        <v>8.4787500000000002E-2</v>
      </c>
      <c r="H1190" s="34"/>
      <c r="I1190" s="30"/>
      <c r="J1190" s="148">
        <v>60</v>
      </c>
      <c r="K1190" s="222" t="s">
        <v>8074</v>
      </c>
    </row>
    <row r="1191" spans="1:11" hidden="1" x14ac:dyDescent="0.25">
      <c r="A1191" s="203"/>
      <c r="B1191" s="205"/>
      <c r="C1191" s="35" t="s">
        <v>39</v>
      </c>
      <c r="D1191" s="46" t="s">
        <v>12</v>
      </c>
      <c r="E1191" s="36">
        <v>9.6000000000000002E-2</v>
      </c>
      <c r="F1191" s="30">
        <v>24.300999999999998</v>
      </c>
      <c r="G1191" s="33">
        <f t="shared" si="19"/>
        <v>2.3328959999999999</v>
      </c>
      <c r="H1191" s="34"/>
      <c r="I1191" s="30"/>
      <c r="J1191" s="148">
        <v>60</v>
      </c>
      <c r="K1191" s="222" t="s">
        <v>8074</v>
      </c>
    </row>
    <row r="1192" spans="1:11" hidden="1" x14ac:dyDescent="0.25">
      <c r="A1192" s="203"/>
      <c r="B1192" s="205"/>
      <c r="C1192" s="35" t="s">
        <v>23</v>
      </c>
      <c r="D1192" s="46" t="s">
        <v>12</v>
      </c>
      <c r="E1192" s="36">
        <v>3.0300000000000001E-2</v>
      </c>
      <c r="F1192" s="30">
        <v>18.420500000000001</v>
      </c>
      <c r="G1192" s="33">
        <f t="shared" si="19"/>
        <v>0.55814114999999997</v>
      </c>
      <c r="H1192" s="34"/>
      <c r="I1192" s="30"/>
      <c r="J1192" s="148">
        <v>60</v>
      </c>
      <c r="K1192" s="222" t="s">
        <v>8074</v>
      </c>
    </row>
    <row r="1193" spans="1:11" ht="15.75" hidden="1" thickBot="1" x14ac:dyDescent="0.3">
      <c r="A1193" s="209"/>
      <c r="B1193" s="206"/>
      <c r="C1193" s="35"/>
      <c r="D1193" s="35"/>
      <c r="E1193" s="36"/>
      <c r="F1193" s="30" t="s">
        <v>514</v>
      </c>
      <c r="G1193" s="30" t="str">
        <f t="shared" si="19"/>
        <v/>
      </c>
      <c r="H1193" s="34"/>
      <c r="I1193" s="30"/>
      <c r="J1193" s="148">
        <v>60</v>
      </c>
      <c r="K1193" s="222" t="s">
        <v>8074</v>
      </c>
    </row>
    <row r="1194" spans="1:11" ht="15.75" hidden="1" thickBot="1" x14ac:dyDescent="0.3">
      <c r="A1194" s="202" t="s">
        <v>371</v>
      </c>
      <c r="B1194" s="204" t="str">
        <f>INDEX(Orçamentária!A:B,MATCH(Composições!A1194,Orçamentária!A:A,0),2)</f>
        <v>Torneira de mesa para lavatório bica baixa</v>
      </c>
      <c r="C1194" s="40"/>
      <c r="D1194" s="25" t="str">
        <f>TRIM(INDEX(Orçamentária!C:C,MATCH(Composições!A1194,Orçamentária!A:A,0),1))</f>
        <v>un</v>
      </c>
      <c r="E1194" s="26"/>
      <c r="F1194" s="41" t="s">
        <v>514</v>
      </c>
      <c r="G1194" s="27" t="str">
        <f t="shared" si="19"/>
        <v/>
      </c>
      <c r="H1194" s="28"/>
      <c r="I1194" s="29"/>
      <c r="J1194" s="148">
        <v>60</v>
      </c>
      <c r="K1194" s="222" t="s">
        <v>8074</v>
      </c>
    </row>
    <row r="1195" spans="1:11" hidden="1" x14ac:dyDescent="0.25">
      <c r="A1195" s="203"/>
      <c r="B1195" s="205"/>
      <c r="C1195" s="31"/>
      <c r="D1195" s="31"/>
      <c r="E1195" s="32"/>
      <c r="F1195" s="42" t="s">
        <v>514</v>
      </c>
      <c r="G1195" s="30" t="str">
        <f t="shared" si="19"/>
        <v/>
      </c>
      <c r="H1195" s="34"/>
      <c r="I1195" s="30"/>
      <c r="J1195" s="148">
        <v>60</v>
      </c>
      <c r="K1195" s="222" t="s">
        <v>8074</v>
      </c>
    </row>
    <row r="1196" spans="1:11" ht="25.5" hidden="1" x14ac:dyDescent="0.25">
      <c r="A1196" s="203"/>
      <c r="B1196" s="205"/>
      <c r="C1196" s="35" t="s">
        <v>372</v>
      </c>
      <c r="D1196" s="46" t="s">
        <v>143</v>
      </c>
      <c r="E1196" s="36">
        <v>1</v>
      </c>
      <c r="F1196" s="33">
        <v>177.13</v>
      </c>
      <c r="G1196" s="33">
        <f t="shared" si="19"/>
        <v>177.13</v>
      </c>
      <c r="H1196" s="38">
        <f>SUM(G1196:G1199)</f>
        <v>180.10582465000002</v>
      </c>
      <c r="I1196" s="39"/>
      <c r="J1196" s="148">
        <v>60</v>
      </c>
      <c r="K1196" s="222" t="s">
        <v>8074</v>
      </c>
    </row>
    <row r="1197" spans="1:11" hidden="1" x14ac:dyDescent="0.25">
      <c r="A1197" s="203"/>
      <c r="B1197" s="205"/>
      <c r="C1197" s="35" t="s">
        <v>341</v>
      </c>
      <c r="D1197" s="46" t="s">
        <v>278</v>
      </c>
      <c r="E1197" s="36">
        <v>2.1000000000000001E-2</v>
      </c>
      <c r="F1197" s="33">
        <v>4.0374999999999996</v>
      </c>
      <c r="G1197" s="33">
        <f t="shared" si="19"/>
        <v>8.4787500000000002E-2</v>
      </c>
      <c r="H1197" s="34"/>
      <c r="I1197" s="30"/>
      <c r="J1197" s="148">
        <v>60</v>
      </c>
      <c r="K1197" s="222" t="s">
        <v>8074</v>
      </c>
    </row>
    <row r="1198" spans="1:11" hidden="1" x14ac:dyDescent="0.25">
      <c r="A1198" s="203"/>
      <c r="B1198" s="205"/>
      <c r="C1198" s="35" t="s">
        <v>39</v>
      </c>
      <c r="D1198" s="46" t="s">
        <v>12</v>
      </c>
      <c r="E1198" s="36">
        <v>9.6000000000000002E-2</v>
      </c>
      <c r="F1198" s="30">
        <v>24.300999999999998</v>
      </c>
      <c r="G1198" s="33">
        <f t="shared" si="19"/>
        <v>2.3328959999999999</v>
      </c>
      <c r="H1198" s="34"/>
      <c r="I1198" s="30"/>
      <c r="J1198" s="148">
        <v>60</v>
      </c>
      <c r="K1198" s="222" t="s">
        <v>8074</v>
      </c>
    </row>
    <row r="1199" spans="1:11" hidden="1" x14ac:dyDescent="0.25">
      <c r="A1199" s="203"/>
      <c r="B1199" s="205"/>
      <c r="C1199" s="35" t="s">
        <v>23</v>
      </c>
      <c r="D1199" s="46" t="s">
        <v>12</v>
      </c>
      <c r="E1199" s="36">
        <v>3.0300000000000001E-2</v>
      </c>
      <c r="F1199" s="30">
        <v>18.420500000000001</v>
      </c>
      <c r="G1199" s="33">
        <f t="shared" si="19"/>
        <v>0.55814114999999997</v>
      </c>
      <c r="H1199" s="34"/>
      <c r="I1199" s="30"/>
      <c r="J1199" s="148">
        <v>60</v>
      </c>
      <c r="K1199" s="222" t="s">
        <v>8074</v>
      </c>
    </row>
    <row r="1200" spans="1:11" ht="15.75" hidden="1" thickBot="1" x14ac:dyDescent="0.3">
      <c r="A1200" s="209"/>
      <c r="B1200" s="206"/>
      <c r="C1200" s="35"/>
      <c r="D1200" s="35"/>
      <c r="E1200" s="36"/>
      <c r="F1200" s="30" t="s">
        <v>514</v>
      </c>
      <c r="G1200" s="30" t="str">
        <f t="shared" si="19"/>
        <v/>
      </c>
      <c r="H1200" s="34"/>
      <c r="I1200" s="30"/>
      <c r="J1200" s="148">
        <v>60</v>
      </c>
      <c r="K1200" s="222" t="s">
        <v>8074</v>
      </c>
    </row>
    <row r="1201" spans="1:11" ht="15.75" hidden="1" thickBot="1" x14ac:dyDescent="0.3">
      <c r="A1201" s="202" t="s">
        <v>373</v>
      </c>
      <c r="B1201" s="204" t="str">
        <f>INDEX(Orçamentária!A:B,MATCH(Composições!A1201,Orçamentária!A:A,0),2)</f>
        <v>Torneira de mesa para lavatório com fechamento automático – Linha Administrativa</v>
      </c>
      <c r="C1201" s="40"/>
      <c r="D1201" s="25" t="str">
        <f>TRIM(INDEX(Orçamentária!C:C,MATCH(Composições!A1201,Orçamentária!A:A,0),1))</f>
        <v>un</v>
      </c>
      <c r="E1201" s="26"/>
      <c r="F1201" s="41" t="s">
        <v>514</v>
      </c>
      <c r="G1201" s="27" t="str">
        <f t="shared" si="19"/>
        <v/>
      </c>
      <c r="H1201" s="28"/>
      <c r="I1201" s="29"/>
      <c r="J1201" s="148">
        <v>50</v>
      </c>
      <c r="K1201" s="222" t="s">
        <v>8074</v>
      </c>
    </row>
    <row r="1202" spans="1:11" hidden="1" x14ac:dyDescent="0.25">
      <c r="A1202" s="203"/>
      <c r="B1202" s="205"/>
      <c r="C1202" s="31"/>
      <c r="D1202" s="31"/>
      <c r="E1202" s="32"/>
      <c r="F1202" s="42" t="s">
        <v>514</v>
      </c>
      <c r="G1202" s="30" t="str">
        <f t="shared" si="19"/>
        <v/>
      </c>
      <c r="H1202" s="34"/>
      <c r="I1202" s="30"/>
      <c r="J1202" s="148">
        <v>50</v>
      </c>
      <c r="K1202" s="222" t="s">
        <v>8074</v>
      </c>
    </row>
    <row r="1203" spans="1:11" ht="25.5" hidden="1" x14ac:dyDescent="0.25">
      <c r="A1203" s="203"/>
      <c r="B1203" s="205"/>
      <c r="C1203" s="35" t="s">
        <v>7716</v>
      </c>
      <c r="D1203" s="46" t="s">
        <v>278</v>
      </c>
      <c r="E1203" s="36">
        <v>1</v>
      </c>
      <c r="F1203" s="33">
        <v>107.30249999999999</v>
      </c>
      <c r="G1203" s="33">
        <f t="shared" si="19"/>
        <v>107.30249999999999</v>
      </c>
      <c r="H1203" s="38">
        <f>SUM(G1203:G1206)</f>
        <v>110.27832465</v>
      </c>
      <c r="I1203" s="39"/>
      <c r="J1203" s="148">
        <v>50</v>
      </c>
      <c r="K1203" s="222" t="s">
        <v>8074</v>
      </c>
    </row>
    <row r="1204" spans="1:11" hidden="1" x14ac:dyDescent="0.25">
      <c r="A1204" s="203"/>
      <c r="B1204" s="205"/>
      <c r="C1204" s="35" t="s">
        <v>341</v>
      </c>
      <c r="D1204" s="46" t="s">
        <v>278</v>
      </c>
      <c r="E1204" s="36">
        <v>2.1000000000000001E-2</v>
      </c>
      <c r="F1204" s="33">
        <v>4.0374999999999996</v>
      </c>
      <c r="G1204" s="33">
        <f t="shared" si="19"/>
        <v>8.4787500000000002E-2</v>
      </c>
      <c r="H1204" s="34"/>
      <c r="I1204" s="30"/>
      <c r="J1204" s="148">
        <v>50</v>
      </c>
      <c r="K1204" s="222" t="s">
        <v>8074</v>
      </c>
    </row>
    <row r="1205" spans="1:11" hidden="1" x14ac:dyDescent="0.25">
      <c r="A1205" s="203"/>
      <c r="B1205" s="205"/>
      <c r="C1205" s="35" t="s">
        <v>39</v>
      </c>
      <c r="D1205" s="46" t="s">
        <v>12</v>
      </c>
      <c r="E1205" s="36">
        <v>9.6000000000000002E-2</v>
      </c>
      <c r="F1205" s="30">
        <v>24.300999999999998</v>
      </c>
      <c r="G1205" s="33">
        <f t="shared" si="19"/>
        <v>2.3328959999999999</v>
      </c>
      <c r="H1205" s="34"/>
      <c r="I1205" s="30"/>
      <c r="J1205" s="148">
        <v>50</v>
      </c>
      <c r="K1205" s="222" t="s">
        <v>8074</v>
      </c>
    </row>
    <row r="1206" spans="1:11" hidden="1" x14ac:dyDescent="0.25">
      <c r="A1206" s="203"/>
      <c r="B1206" s="205"/>
      <c r="C1206" s="35" t="s">
        <v>23</v>
      </c>
      <c r="D1206" s="46" t="s">
        <v>12</v>
      </c>
      <c r="E1206" s="36">
        <v>3.0300000000000001E-2</v>
      </c>
      <c r="F1206" s="30">
        <v>18.420500000000001</v>
      </c>
      <c r="G1206" s="33">
        <f t="shared" si="19"/>
        <v>0.55814114999999997</v>
      </c>
      <c r="H1206" s="34"/>
      <c r="I1206" s="30"/>
      <c r="J1206" s="148">
        <v>50</v>
      </c>
      <c r="K1206" s="222" t="s">
        <v>8074</v>
      </c>
    </row>
    <row r="1207" spans="1:11" ht="15.75" hidden="1" thickBot="1" x14ac:dyDescent="0.3">
      <c r="A1207" s="209"/>
      <c r="B1207" s="206"/>
      <c r="C1207" s="35"/>
      <c r="D1207" s="35"/>
      <c r="E1207" s="36"/>
      <c r="F1207" s="30" t="s">
        <v>514</v>
      </c>
      <c r="G1207" s="30" t="str">
        <f t="shared" si="19"/>
        <v/>
      </c>
      <c r="H1207" s="34"/>
      <c r="I1207" s="30"/>
      <c r="J1207" s="148">
        <v>50</v>
      </c>
      <c r="K1207" s="222" t="s">
        <v>8074</v>
      </c>
    </row>
    <row r="1208" spans="1:11" ht="15.75" hidden="1" thickBot="1" x14ac:dyDescent="0.3">
      <c r="A1208" s="202" t="s">
        <v>374</v>
      </c>
      <c r="B1208" s="204" t="str">
        <f>INDEX(Orçamentária!A:B,MATCH(Composições!A1208,Orçamentária!A:A,0),2)</f>
        <v>Torneira de parede para cozinha</v>
      </c>
      <c r="C1208" s="40"/>
      <c r="D1208" s="25" t="str">
        <f>TRIM(INDEX(Orçamentária!C:C,MATCH(Composições!A1208,Orçamentária!A:A,0),1))</f>
        <v>un</v>
      </c>
      <c r="E1208" s="26"/>
      <c r="F1208" s="41" t="s">
        <v>514</v>
      </c>
      <c r="G1208" s="27" t="str">
        <f t="shared" si="19"/>
        <v/>
      </c>
      <c r="H1208" s="28"/>
      <c r="I1208" s="29"/>
      <c r="J1208" s="148">
        <v>30</v>
      </c>
      <c r="K1208" s="222" t="s">
        <v>8074</v>
      </c>
    </row>
    <row r="1209" spans="1:11" hidden="1" x14ac:dyDescent="0.25">
      <c r="A1209" s="203"/>
      <c r="B1209" s="205"/>
      <c r="C1209" s="31"/>
      <c r="D1209" s="31"/>
      <c r="E1209" s="32"/>
      <c r="F1209" s="42" t="s">
        <v>514</v>
      </c>
      <c r="G1209" s="30" t="str">
        <f t="shared" si="19"/>
        <v/>
      </c>
      <c r="H1209" s="34"/>
      <c r="I1209" s="30"/>
      <c r="J1209" s="148">
        <v>30</v>
      </c>
      <c r="K1209" s="222" t="s">
        <v>8074</v>
      </c>
    </row>
    <row r="1210" spans="1:11" ht="25.5" hidden="1" x14ac:dyDescent="0.25">
      <c r="A1210" s="203"/>
      <c r="B1210" s="205"/>
      <c r="C1210" s="35" t="s">
        <v>375</v>
      </c>
      <c r="D1210" s="46" t="s">
        <v>143</v>
      </c>
      <c r="E1210" s="36">
        <v>1</v>
      </c>
      <c r="F1210" s="33">
        <v>290.99</v>
      </c>
      <c r="G1210" s="33">
        <f t="shared" si="19"/>
        <v>290.99</v>
      </c>
      <c r="H1210" s="38">
        <f>SUM(G1210:G1213)</f>
        <v>294.57945625000002</v>
      </c>
      <c r="I1210" s="39"/>
      <c r="J1210" s="148">
        <v>30</v>
      </c>
      <c r="K1210" s="222" t="s">
        <v>8074</v>
      </c>
    </row>
    <row r="1211" spans="1:11" hidden="1" x14ac:dyDescent="0.25">
      <c r="A1211" s="203"/>
      <c r="B1211" s="205"/>
      <c r="C1211" s="35" t="s">
        <v>341</v>
      </c>
      <c r="D1211" s="46" t="s">
        <v>278</v>
      </c>
      <c r="E1211" s="36">
        <v>2.1000000000000001E-2</v>
      </c>
      <c r="F1211" s="33">
        <v>4.0374999999999996</v>
      </c>
      <c r="G1211" s="33">
        <f t="shared" si="19"/>
        <v>8.4787500000000002E-2</v>
      </c>
      <c r="H1211" s="34"/>
      <c r="I1211" s="30"/>
      <c r="J1211" s="148">
        <v>30</v>
      </c>
      <c r="K1211" s="222" t="s">
        <v>8074</v>
      </c>
    </row>
    <row r="1212" spans="1:11" hidden="1" x14ac:dyDescent="0.25">
      <c r="A1212" s="203"/>
      <c r="B1212" s="205"/>
      <c r="C1212" s="35" t="s">
        <v>39</v>
      </c>
      <c r="D1212" s="46" t="s">
        <v>12</v>
      </c>
      <c r="E1212" s="36">
        <v>0.1164</v>
      </c>
      <c r="F1212" s="30">
        <v>24.300999999999998</v>
      </c>
      <c r="G1212" s="33">
        <f t="shared" si="19"/>
        <v>2.8286363999999997</v>
      </c>
      <c r="H1212" s="34"/>
      <c r="I1212" s="30"/>
      <c r="J1212" s="148">
        <v>30</v>
      </c>
      <c r="K1212" s="222" t="s">
        <v>8074</v>
      </c>
    </row>
    <row r="1213" spans="1:11" hidden="1" x14ac:dyDescent="0.25">
      <c r="A1213" s="203"/>
      <c r="B1213" s="205"/>
      <c r="C1213" s="35" t="s">
        <v>23</v>
      </c>
      <c r="D1213" s="46" t="s">
        <v>12</v>
      </c>
      <c r="E1213" s="36">
        <v>3.6700000000000003E-2</v>
      </c>
      <c r="F1213" s="30">
        <v>18.420500000000001</v>
      </c>
      <c r="G1213" s="33">
        <f t="shared" si="19"/>
        <v>0.67603235000000006</v>
      </c>
      <c r="H1213" s="34"/>
      <c r="I1213" s="30"/>
      <c r="J1213" s="148">
        <v>30</v>
      </c>
      <c r="K1213" s="222" t="s">
        <v>8074</v>
      </c>
    </row>
    <row r="1214" spans="1:11" ht="15.75" hidden="1" thickBot="1" x14ac:dyDescent="0.3">
      <c r="A1214" s="209"/>
      <c r="B1214" s="206"/>
      <c r="C1214" s="35"/>
      <c r="D1214" s="35"/>
      <c r="E1214" s="36"/>
      <c r="F1214" s="30" t="s">
        <v>514</v>
      </c>
      <c r="G1214" s="30" t="str">
        <f t="shared" si="19"/>
        <v/>
      </c>
      <c r="H1214" s="34"/>
      <c r="I1214" s="30"/>
      <c r="J1214" s="148">
        <v>30</v>
      </c>
      <c r="K1214" s="222" t="s">
        <v>8074</v>
      </c>
    </row>
    <row r="1215" spans="1:11" ht="15.75" hidden="1" thickBot="1" x14ac:dyDescent="0.3">
      <c r="A1215" s="202" t="s">
        <v>376</v>
      </c>
      <c r="B1215" s="204" t="str">
        <f>INDEX(Orçamentária!A:B,MATCH(Composições!A1215,Orçamentária!A:A,0),2)</f>
        <v>Torneira de parede para tanque</v>
      </c>
      <c r="C1215" s="40"/>
      <c r="D1215" s="25" t="str">
        <f>TRIM(INDEX(Orçamentária!C:C,MATCH(Composições!A1215,Orçamentária!A:A,0),1))</f>
        <v>un</v>
      </c>
      <c r="E1215" s="26"/>
      <c r="F1215" s="41" t="s">
        <v>514</v>
      </c>
      <c r="G1215" s="27" t="str">
        <f t="shared" si="19"/>
        <v/>
      </c>
      <c r="H1215" s="28"/>
      <c r="I1215" s="29"/>
      <c r="J1215" s="148">
        <v>25</v>
      </c>
      <c r="K1215" s="222" t="s">
        <v>8074</v>
      </c>
    </row>
    <row r="1216" spans="1:11" hidden="1" x14ac:dyDescent="0.25">
      <c r="A1216" s="203"/>
      <c r="B1216" s="205"/>
      <c r="C1216" s="31"/>
      <c r="D1216" s="31"/>
      <c r="E1216" s="32"/>
      <c r="F1216" s="42" t="s">
        <v>514</v>
      </c>
      <c r="G1216" s="30" t="str">
        <f t="shared" si="19"/>
        <v/>
      </c>
      <c r="H1216" s="34"/>
      <c r="I1216" s="30"/>
      <c r="J1216" s="148">
        <v>25</v>
      </c>
      <c r="K1216" s="222" t="s">
        <v>8074</v>
      </c>
    </row>
    <row r="1217" spans="1:11" hidden="1" x14ac:dyDescent="0.25">
      <c r="A1217" s="203"/>
      <c r="B1217" s="205"/>
      <c r="C1217" s="35" t="s">
        <v>341</v>
      </c>
      <c r="D1217" s="46" t="s">
        <v>278</v>
      </c>
      <c r="E1217" s="36">
        <v>2.1000000000000001E-2</v>
      </c>
      <c r="F1217" s="33">
        <v>4.0374999999999996</v>
      </c>
      <c r="G1217" s="33">
        <f t="shared" si="19"/>
        <v>8.4787500000000002E-2</v>
      </c>
      <c r="H1217" s="38">
        <f>SUM(G1217:G1220)</f>
        <v>47.597716050000002</v>
      </c>
      <c r="I1217" s="39"/>
      <c r="J1217" s="148">
        <v>25</v>
      </c>
      <c r="K1217" s="222" t="s">
        <v>8074</v>
      </c>
    </row>
    <row r="1218" spans="1:11" hidden="1" x14ac:dyDescent="0.25">
      <c r="A1218" s="203"/>
      <c r="B1218" s="205"/>
      <c r="C1218" s="35" t="s">
        <v>39</v>
      </c>
      <c r="D1218" s="46" t="s">
        <v>12</v>
      </c>
      <c r="E1218" s="36">
        <v>0.1525</v>
      </c>
      <c r="F1218" s="30">
        <v>24.300999999999998</v>
      </c>
      <c r="G1218" s="33">
        <f t="shared" si="19"/>
        <v>3.7059024999999997</v>
      </c>
      <c r="H1218" s="34"/>
      <c r="I1218" s="30"/>
      <c r="J1218" s="148">
        <v>25</v>
      </c>
      <c r="K1218" s="222" t="s">
        <v>8074</v>
      </c>
    </row>
    <row r="1219" spans="1:11" hidden="1" x14ac:dyDescent="0.25">
      <c r="A1219" s="203"/>
      <c r="B1219" s="205"/>
      <c r="C1219" s="35" t="s">
        <v>23</v>
      </c>
      <c r="D1219" s="35" t="s">
        <v>12</v>
      </c>
      <c r="E1219" s="36">
        <v>4.8099999999999997E-2</v>
      </c>
      <c r="F1219" s="30">
        <v>18.420500000000001</v>
      </c>
      <c r="G1219" s="33">
        <f t="shared" si="19"/>
        <v>0.88602605000000001</v>
      </c>
      <c r="H1219" s="34"/>
      <c r="I1219" s="30"/>
      <c r="J1219" s="148">
        <v>25</v>
      </c>
      <c r="K1219" s="222" t="s">
        <v>8074</v>
      </c>
    </row>
    <row r="1220" spans="1:11" ht="38.25" hidden="1" x14ac:dyDescent="0.25">
      <c r="A1220" s="203"/>
      <c r="B1220" s="205"/>
      <c r="C1220" s="35" t="s">
        <v>7717</v>
      </c>
      <c r="D1220" s="35" t="s">
        <v>20</v>
      </c>
      <c r="E1220" s="36">
        <v>1</v>
      </c>
      <c r="F1220" s="33">
        <v>42.920999999999999</v>
      </c>
      <c r="G1220" s="30">
        <f t="shared" si="19"/>
        <v>42.920999999999999</v>
      </c>
      <c r="H1220" s="34"/>
      <c r="I1220" s="30"/>
      <c r="J1220" s="148">
        <v>25</v>
      </c>
      <c r="K1220" s="222" t="s">
        <v>8074</v>
      </c>
    </row>
    <row r="1221" spans="1:11" ht="15.75" hidden="1" thickBot="1" x14ac:dyDescent="0.3">
      <c r="A1221" s="209"/>
      <c r="B1221" s="206"/>
      <c r="C1221" s="35"/>
      <c r="D1221" s="35"/>
      <c r="E1221" s="36"/>
      <c r="F1221" s="30" t="s">
        <v>514</v>
      </c>
      <c r="G1221" s="30" t="str">
        <f t="shared" si="19"/>
        <v/>
      </c>
      <c r="H1221" s="34"/>
      <c r="I1221" s="30"/>
      <c r="J1221" s="148">
        <v>25</v>
      </c>
      <c r="K1221" s="222" t="s">
        <v>8074</v>
      </c>
    </row>
    <row r="1222" spans="1:11" ht="15.75" hidden="1" thickBot="1" x14ac:dyDescent="0.3">
      <c r="A1222" s="202" t="s">
        <v>377</v>
      </c>
      <c r="B1222" s="204" t="str">
        <f>INDEX(Orçamentária!A:B,MATCH(Composições!A1222,Orçamentária!A:A,0),2)</f>
        <v>Acabamento para válvula de descarga 1 1/2" – Linha Acessibilidade</v>
      </c>
      <c r="C1222" s="40"/>
      <c r="D1222" s="25" t="str">
        <f>TRIM(INDEX(Orçamentária!C:C,MATCH(Composições!A1222,Orçamentária!A:A,0),1))</f>
        <v>un</v>
      </c>
      <c r="E1222" s="26"/>
      <c r="F1222" s="41" t="s">
        <v>514</v>
      </c>
      <c r="G1222" s="27" t="str">
        <f t="shared" si="19"/>
        <v/>
      </c>
      <c r="H1222" s="28"/>
      <c r="I1222" s="29"/>
      <c r="J1222" s="148">
        <v>10</v>
      </c>
      <c r="K1222" s="222" t="s">
        <v>8074</v>
      </c>
    </row>
    <row r="1223" spans="1:11" hidden="1" x14ac:dyDescent="0.25">
      <c r="A1223" s="203"/>
      <c r="B1223" s="205"/>
      <c r="C1223" s="31"/>
      <c r="D1223" s="31"/>
      <c r="E1223" s="32"/>
      <c r="F1223" s="42" t="s">
        <v>514</v>
      </c>
      <c r="G1223" s="30" t="str">
        <f t="shared" si="19"/>
        <v/>
      </c>
      <c r="H1223" s="34"/>
      <c r="I1223" s="30"/>
      <c r="J1223" s="148">
        <v>10</v>
      </c>
      <c r="K1223" s="222" t="s">
        <v>8074</v>
      </c>
    </row>
    <row r="1224" spans="1:11" ht="25.5" hidden="1" x14ac:dyDescent="0.25">
      <c r="A1224" s="203"/>
      <c r="B1224" s="205"/>
      <c r="C1224" s="35" t="s">
        <v>6640</v>
      </c>
      <c r="D1224" s="46" t="s">
        <v>143</v>
      </c>
      <c r="E1224" s="36">
        <v>1</v>
      </c>
      <c r="F1224" s="33">
        <v>489.11</v>
      </c>
      <c r="G1224" s="33">
        <f t="shared" si="19"/>
        <v>489.11</v>
      </c>
      <c r="H1224" s="38">
        <f>SUM(G1224:G1226)</f>
        <v>510.80800000000005</v>
      </c>
      <c r="I1224" s="39"/>
      <c r="J1224" s="148">
        <v>10</v>
      </c>
      <c r="K1224" s="222" t="s">
        <v>8074</v>
      </c>
    </row>
    <row r="1225" spans="1:11" ht="25.5" hidden="1" x14ac:dyDescent="0.25">
      <c r="A1225" s="203"/>
      <c r="B1225" s="205"/>
      <c r="C1225" s="35" t="s">
        <v>106</v>
      </c>
      <c r="D1225" s="46" t="s">
        <v>12</v>
      </c>
      <c r="E1225" s="36">
        <v>0.5</v>
      </c>
      <c r="F1225" s="30">
        <v>19.094999999999999</v>
      </c>
      <c r="G1225" s="33">
        <f t="shared" si="19"/>
        <v>9.5474999999999994</v>
      </c>
      <c r="H1225" s="34"/>
      <c r="I1225" s="30"/>
      <c r="J1225" s="148">
        <v>10</v>
      </c>
      <c r="K1225" s="222" t="s">
        <v>8074</v>
      </c>
    </row>
    <row r="1226" spans="1:11" hidden="1" x14ac:dyDescent="0.25">
      <c r="A1226" s="203"/>
      <c r="B1226" s="205"/>
      <c r="C1226" s="35" t="s">
        <v>39</v>
      </c>
      <c r="D1226" s="46" t="s">
        <v>12</v>
      </c>
      <c r="E1226" s="36">
        <v>0.5</v>
      </c>
      <c r="F1226" s="30">
        <v>24.300999999999998</v>
      </c>
      <c r="G1226" s="33">
        <f t="shared" si="19"/>
        <v>12.150499999999999</v>
      </c>
      <c r="H1226" s="34"/>
      <c r="I1226" s="30"/>
      <c r="J1226" s="148">
        <v>10</v>
      </c>
      <c r="K1226" s="222" t="s">
        <v>8074</v>
      </c>
    </row>
    <row r="1227" spans="1:11" ht="15.75" hidden="1" thickBot="1" x14ac:dyDescent="0.3">
      <c r="A1227" s="209"/>
      <c r="B1227" s="206"/>
      <c r="C1227" s="35"/>
      <c r="D1227" s="35"/>
      <c r="E1227" s="36"/>
      <c r="F1227" s="30" t="s">
        <v>514</v>
      </c>
      <c r="G1227" s="30" t="str">
        <f t="shared" si="19"/>
        <v/>
      </c>
      <c r="H1227" s="34"/>
      <c r="I1227" s="30"/>
      <c r="J1227" s="148">
        <v>10</v>
      </c>
      <c r="K1227" s="222" t="s">
        <v>8074</v>
      </c>
    </row>
    <row r="1228" spans="1:11" ht="15.75" hidden="1" thickBot="1" x14ac:dyDescent="0.3">
      <c r="A1228" s="202" t="s">
        <v>379</v>
      </c>
      <c r="B1228" s="204" t="str">
        <f>INDEX(Orçamentária!A:B,MATCH(Composições!A1228,Orçamentária!A:A,0),2)</f>
        <v>Acabamento para válvula de descarga 1 1/2"</v>
      </c>
      <c r="C1228" s="40"/>
      <c r="D1228" s="25" t="str">
        <f>TRIM(INDEX(Orçamentária!C:C,MATCH(Composições!A1228,Orçamentária!A:A,0),1))</f>
        <v>un</v>
      </c>
      <c r="E1228" s="26"/>
      <c r="F1228" s="41" t="s">
        <v>514</v>
      </c>
      <c r="G1228" s="27" t="str">
        <f t="shared" si="19"/>
        <v/>
      </c>
      <c r="H1228" s="28"/>
      <c r="I1228" s="29"/>
      <c r="J1228" s="148">
        <v>50</v>
      </c>
      <c r="K1228" s="222" t="s">
        <v>8074</v>
      </c>
    </row>
    <row r="1229" spans="1:11" hidden="1" x14ac:dyDescent="0.25">
      <c r="A1229" s="203"/>
      <c r="B1229" s="205"/>
      <c r="C1229" s="31"/>
      <c r="D1229" s="31"/>
      <c r="E1229" s="32"/>
      <c r="F1229" s="42" t="s">
        <v>514</v>
      </c>
      <c r="G1229" s="30" t="str">
        <f t="shared" si="19"/>
        <v/>
      </c>
      <c r="H1229" s="34"/>
      <c r="I1229" s="30"/>
      <c r="J1229" s="148">
        <v>50</v>
      </c>
      <c r="K1229" s="222" t="s">
        <v>8074</v>
      </c>
    </row>
    <row r="1230" spans="1:11" hidden="1" x14ac:dyDescent="0.25">
      <c r="A1230" s="203"/>
      <c r="B1230" s="205"/>
      <c r="C1230" s="35" t="s">
        <v>6638</v>
      </c>
      <c r="D1230" s="46" t="s">
        <v>278</v>
      </c>
      <c r="E1230" s="36">
        <v>1</v>
      </c>
      <c r="F1230" s="33">
        <v>226.98</v>
      </c>
      <c r="G1230" s="33">
        <f t="shared" si="19"/>
        <v>226.98</v>
      </c>
      <c r="H1230" s="38">
        <f>SUM(G1230:G1232)</f>
        <v>248.67799999999997</v>
      </c>
      <c r="I1230" s="39"/>
      <c r="J1230" s="148">
        <v>50</v>
      </c>
      <c r="K1230" s="222" t="s">
        <v>8074</v>
      </c>
    </row>
    <row r="1231" spans="1:11" ht="25.5" hidden="1" x14ac:dyDescent="0.25">
      <c r="A1231" s="203"/>
      <c r="B1231" s="205"/>
      <c r="C1231" s="35" t="s">
        <v>106</v>
      </c>
      <c r="D1231" s="46" t="s">
        <v>12</v>
      </c>
      <c r="E1231" s="36">
        <v>0.5</v>
      </c>
      <c r="F1231" s="30">
        <v>19.094999999999999</v>
      </c>
      <c r="G1231" s="33">
        <f t="shared" si="19"/>
        <v>9.5474999999999994</v>
      </c>
      <c r="H1231" s="34"/>
      <c r="I1231" s="30"/>
      <c r="J1231" s="148">
        <v>50</v>
      </c>
      <c r="K1231" s="222" t="s">
        <v>8074</v>
      </c>
    </row>
    <row r="1232" spans="1:11" hidden="1" x14ac:dyDescent="0.25">
      <c r="A1232" s="203"/>
      <c r="B1232" s="205"/>
      <c r="C1232" s="35" t="s">
        <v>39</v>
      </c>
      <c r="D1232" s="46" t="s">
        <v>12</v>
      </c>
      <c r="E1232" s="36">
        <v>0.5</v>
      </c>
      <c r="F1232" s="30">
        <v>24.300999999999998</v>
      </c>
      <c r="G1232" s="33">
        <f t="shared" si="19"/>
        <v>12.150499999999999</v>
      </c>
      <c r="H1232" s="34"/>
      <c r="I1232" s="30"/>
      <c r="J1232" s="148">
        <v>50</v>
      </c>
      <c r="K1232" s="222" t="s">
        <v>8074</v>
      </c>
    </row>
    <row r="1233" spans="1:11" ht="15.75" hidden="1" thickBot="1" x14ac:dyDescent="0.3">
      <c r="A1233" s="209"/>
      <c r="B1233" s="206"/>
      <c r="C1233" s="35"/>
      <c r="D1233" s="35"/>
      <c r="E1233" s="36"/>
      <c r="F1233" s="30" t="s">
        <v>514</v>
      </c>
      <c r="G1233" s="30" t="str">
        <f t="shared" si="19"/>
        <v/>
      </c>
      <c r="H1233" s="34"/>
      <c r="I1233" s="30"/>
      <c r="J1233" s="148">
        <v>50</v>
      </c>
      <c r="K1233" s="222" t="s">
        <v>8074</v>
      </c>
    </row>
    <row r="1234" spans="1:11" ht="15.75" hidden="1" thickBot="1" x14ac:dyDescent="0.3">
      <c r="A1234" s="202" t="s">
        <v>380</v>
      </c>
      <c r="B1234" s="204" t="str">
        <f>INDEX(Orçamentária!A:B,MATCH(Composições!A1234,Orçamentária!A:A,0),2)</f>
        <v>Acabamento para válvula de descarga 1 1/4" – Linha Acessibilidade</v>
      </c>
      <c r="C1234" s="40"/>
      <c r="D1234" s="25" t="str">
        <f>TRIM(INDEX(Orçamentária!C:C,MATCH(Composições!A1234,Orçamentária!A:A,0),1))</f>
        <v>un</v>
      </c>
      <c r="E1234" s="26"/>
      <c r="F1234" s="41" t="s">
        <v>514</v>
      </c>
      <c r="G1234" s="27" t="str">
        <f t="shared" si="19"/>
        <v/>
      </c>
      <c r="H1234" s="28"/>
      <c r="I1234" s="29"/>
      <c r="J1234" s="148">
        <v>10</v>
      </c>
      <c r="K1234" s="222" t="s">
        <v>8074</v>
      </c>
    </row>
    <row r="1235" spans="1:11" hidden="1" x14ac:dyDescent="0.25">
      <c r="A1235" s="203"/>
      <c r="B1235" s="205"/>
      <c r="C1235" s="31"/>
      <c r="D1235" s="31"/>
      <c r="E1235" s="32"/>
      <c r="F1235" s="42" t="s">
        <v>514</v>
      </c>
      <c r="G1235" s="30" t="str">
        <f t="shared" ref="G1235:G1298" si="20">IF(ISNUMBER(F1235),E1235*F1235,"")</f>
        <v/>
      </c>
      <c r="H1235" s="34"/>
      <c r="I1235" s="30"/>
      <c r="J1235" s="148">
        <v>10</v>
      </c>
      <c r="K1235" s="222" t="s">
        <v>8074</v>
      </c>
    </row>
    <row r="1236" spans="1:11" ht="25.5" hidden="1" x14ac:dyDescent="0.25">
      <c r="A1236" s="203"/>
      <c r="B1236" s="205"/>
      <c r="C1236" s="35" t="s">
        <v>6639</v>
      </c>
      <c r="D1236" s="46" t="s">
        <v>143</v>
      </c>
      <c r="E1236" s="36">
        <v>1</v>
      </c>
      <c r="F1236" s="33">
        <v>460.4</v>
      </c>
      <c r="G1236" s="33">
        <f t="shared" si="20"/>
        <v>460.4</v>
      </c>
      <c r="H1236" s="38">
        <f>SUM(G1236:G1238)</f>
        <v>482.09800000000001</v>
      </c>
      <c r="I1236" s="39"/>
      <c r="J1236" s="148">
        <v>10</v>
      </c>
      <c r="K1236" s="222" t="s">
        <v>8074</v>
      </c>
    </row>
    <row r="1237" spans="1:11" ht="25.5" hidden="1" x14ac:dyDescent="0.25">
      <c r="A1237" s="203"/>
      <c r="B1237" s="205"/>
      <c r="C1237" s="35" t="s">
        <v>106</v>
      </c>
      <c r="D1237" s="46" t="s">
        <v>12</v>
      </c>
      <c r="E1237" s="36">
        <v>0.5</v>
      </c>
      <c r="F1237" s="30">
        <v>19.094999999999999</v>
      </c>
      <c r="G1237" s="33">
        <f t="shared" si="20"/>
        <v>9.5474999999999994</v>
      </c>
      <c r="H1237" s="34"/>
      <c r="I1237" s="30"/>
      <c r="J1237" s="148">
        <v>10</v>
      </c>
      <c r="K1237" s="222" t="s">
        <v>8074</v>
      </c>
    </row>
    <row r="1238" spans="1:11" hidden="1" x14ac:dyDescent="0.25">
      <c r="A1238" s="203"/>
      <c r="B1238" s="205"/>
      <c r="C1238" s="35" t="s">
        <v>39</v>
      </c>
      <c r="D1238" s="46" t="s">
        <v>12</v>
      </c>
      <c r="E1238" s="36">
        <v>0.5</v>
      </c>
      <c r="F1238" s="30">
        <v>24.300999999999998</v>
      </c>
      <c r="G1238" s="33">
        <f t="shared" si="20"/>
        <v>12.150499999999999</v>
      </c>
      <c r="H1238" s="34"/>
      <c r="I1238" s="30"/>
      <c r="J1238" s="148">
        <v>10</v>
      </c>
      <c r="K1238" s="222" t="s">
        <v>8074</v>
      </c>
    </row>
    <row r="1239" spans="1:11" ht="15.75" hidden="1" thickBot="1" x14ac:dyDescent="0.3">
      <c r="A1239" s="209"/>
      <c r="B1239" s="206"/>
      <c r="C1239" s="35"/>
      <c r="D1239" s="35"/>
      <c r="E1239" s="36"/>
      <c r="F1239" s="30" t="s">
        <v>514</v>
      </c>
      <c r="G1239" s="30" t="str">
        <f t="shared" si="20"/>
        <v/>
      </c>
      <c r="H1239" s="34"/>
      <c r="I1239" s="30"/>
      <c r="J1239" s="148">
        <v>10</v>
      </c>
      <c r="K1239" s="222" t="s">
        <v>8074</v>
      </c>
    </row>
    <row r="1240" spans="1:11" ht="15.75" hidden="1" thickBot="1" x14ac:dyDescent="0.3">
      <c r="A1240" s="202" t="s">
        <v>381</v>
      </c>
      <c r="B1240" s="204" t="str">
        <f>INDEX(Orçamentária!A:B,MATCH(Composições!A1240,Orçamentária!A:A,0),2)</f>
        <v>Acabamento para válvula de descarga 1 1/4"</v>
      </c>
      <c r="C1240" s="40"/>
      <c r="D1240" s="25" t="str">
        <f>TRIM(INDEX(Orçamentária!C:C,MATCH(Composições!A1240,Orçamentária!A:A,0),1))</f>
        <v>un</v>
      </c>
      <c r="E1240" s="26"/>
      <c r="F1240" s="41" t="s">
        <v>514</v>
      </c>
      <c r="G1240" s="27" t="str">
        <f t="shared" si="20"/>
        <v/>
      </c>
      <c r="H1240" s="28"/>
      <c r="I1240" s="29"/>
      <c r="J1240" s="148">
        <v>50</v>
      </c>
      <c r="K1240" s="222" t="s">
        <v>8074</v>
      </c>
    </row>
    <row r="1241" spans="1:11" hidden="1" x14ac:dyDescent="0.25">
      <c r="A1241" s="203"/>
      <c r="B1241" s="205"/>
      <c r="C1241" s="31"/>
      <c r="D1241" s="31"/>
      <c r="E1241" s="32"/>
      <c r="F1241" s="42" t="s">
        <v>514</v>
      </c>
      <c r="G1241" s="30" t="str">
        <f t="shared" si="20"/>
        <v/>
      </c>
      <c r="H1241" s="34"/>
      <c r="I1241" s="30"/>
      <c r="J1241" s="148">
        <v>50</v>
      </c>
      <c r="K1241" s="222" t="s">
        <v>8074</v>
      </c>
    </row>
    <row r="1242" spans="1:11" hidden="1" x14ac:dyDescent="0.25">
      <c r="A1242" s="203"/>
      <c r="B1242" s="205"/>
      <c r="C1242" s="35" t="s">
        <v>6638</v>
      </c>
      <c r="D1242" s="46" t="s">
        <v>143</v>
      </c>
      <c r="E1242" s="36">
        <v>1</v>
      </c>
      <c r="F1242" s="33">
        <v>226.98</v>
      </c>
      <c r="G1242" s="33">
        <f t="shared" si="20"/>
        <v>226.98</v>
      </c>
      <c r="H1242" s="38">
        <f>SUM(G1242:G1244)</f>
        <v>248.67799999999997</v>
      </c>
      <c r="I1242" s="39"/>
      <c r="J1242" s="148">
        <v>50</v>
      </c>
      <c r="K1242" s="222" t="s">
        <v>8074</v>
      </c>
    </row>
    <row r="1243" spans="1:11" ht="25.5" hidden="1" x14ac:dyDescent="0.25">
      <c r="A1243" s="203"/>
      <c r="B1243" s="205"/>
      <c r="C1243" s="35" t="s">
        <v>106</v>
      </c>
      <c r="D1243" s="46" t="s">
        <v>12</v>
      </c>
      <c r="E1243" s="36">
        <v>0.5</v>
      </c>
      <c r="F1243" s="30">
        <v>19.094999999999999</v>
      </c>
      <c r="G1243" s="33">
        <f t="shared" si="20"/>
        <v>9.5474999999999994</v>
      </c>
      <c r="H1243" s="34"/>
      <c r="I1243" s="30"/>
      <c r="J1243" s="148">
        <v>50</v>
      </c>
      <c r="K1243" s="222" t="s">
        <v>8074</v>
      </c>
    </row>
    <row r="1244" spans="1:11" hidden="1" x14ac:dyDescent="0.25">
      <c r="A1244" s="203"/>
      <c r="B1244" s="205"/>
      <c r="C1244" s="35" t="s">
        <v>39</v>
      </c>
      <c r="D1244" s="46" t="s">
        <v>12</v>
      </c>
      <c r="E1244" s="36">
        <v>0.5</v>
      </c>
      <c r="F1244" s="30">
        <v>24.300999999999998</v>
      </c>
      <c r="G1244" s="33">
        <f t="shared" si="20"/>
        <v>12.150499999999999</v>
      </c>
      <c r="H1244" s="34"/>
      <c r="I1244" s="30"/>
      <c r="J1244" s="148">
        <v>50</v>
      </c>
      <c r="K1244" s="222" t="s">
        <v>8074</v>
      </c>
    </row>
    <row r="1245" spans="1:11" ht="15.75" hidden="1" thickBot="1" x14ac:dyDescent="0.3">
      <c r="A1245" s="209"/>
      <c r="B1245" s="206"/>
      <c r="C1245" s="35"/>
      <c r="D1245" s="35"/>
      <c r="E1245" s="36"/>
      <c r="F1245" s="30" t="s">
        <v>514</v>
      </c>
      <c r="G1245" s="30" t="str">
        <f t="shared" si="20"/>
        <v/>
      </c>
      <c r="H1245" s="34"/>
      <c r="I1245" s="30"/>
      <c r="J1245" s="148">
        <v>50</v>
      </c>
      <c r="K1245" s="222" t="s">
        <v>8074</v>
      </c>
    </row>
    <row r="1246" spans="1:11" ht="15.75" hidden="1" thickBot="1" x14ac:dyDescent="0.3">
      <c r="A1246" s="202" t="s">
        <v>382</v>
      </c>
      <c r="B1246" s="204" t="str">
        <f>INDEX(Orçamentária!A:B,MATCH(Composições!A1246,Orçamentária!A:A,0),2)</f>
        <v>Válvula de escoamento para lavatório</v>
      </c>
      <c r="C1246" s="40"/>
      <c r="D1246" s="25" t="str">
        <f>TRIM(INDEX(Orçamentária!C:C,MATCH(Composições!A1246,Orçamentária!A:A,0),1))</f>
        <v>un</v>
      </c>
      <c r="E1246" s="26"/>
      <c r="F1246" s="41" t="s">
        <v>514</v>
      </c>
      <c r="G1246" s="27" t="str">
        <f t="shared" si="20"/>
        <v/>
      </c>
      <c r="H1246" s="28"/>
      <c r="I1246" s="29"/>
      <c r="J1246" s="148">
        <v>55</v>
      </c>
      <c r="K1246" s="222" t="s">
        <v>8074</v>
      </c>
    </row>
    <row r="1247" spans="1:11" hidden="1" x14ac:dyDescent="0.25">
      <c r="A1247" s="203"/>
      <c r="B1247" s="205"/>
      <c r="C1247" s="31"/>
      <c r="D1247" s="31"/>
      <c r="E1247" s="32"/>
      <c r="F1247" s="42" t="s">
        <v>514</v>
      </c>
      <c r="G1247" s="30" t="str">
        <f t="shared" si="20"/>
        <v/>
      </c>
      <c r="H1247" s="34"/>
      <c r="I1247" s="30"/>
      <c r="J1247" s="148">
        <v>55</v>
      </c>
      <c r="K1247" s="222" t="s">
        <v>8074</v>
      </c>
    </row>
    <row r="1248" spans="1:11" hidden="1" x14ac:dyDescent="0.25">
      <c r="A1248" s="203"/>
      <c r="B1248" s="205"/>
      <c r="C1248" s="35" t="s">
        <v>383</v>
      </c>
      <c r="D1248" s="46" t="s">
        <v>278</v>
      </c>
      <c r="E1248" s="36">
        <v>1</v>
      </c>
      <c r="F1248" s="33">
        <v>34.788999999999994</v>
      </c>
      <c r="G1248" s="33">
        <f t="shared" si="20"/>
        <v>34.788999999999994</v>
      </c>
      <c r="H1248" s="38">
        <f>SUM(G1248:G1251)</f>
        <v>40.220617400000002</v>
      </c>
      <c r="I1248" s="39"/>
      <c r="J1248" s="148">
        <v>55</v>
      </c>
      <c r="K1248" s="222" t="s">
        <v>8074</v>
      </c>
    </row>
    <row r="1249" spans="1:11" hidden="1" x14ac:dyDescent="0.25">
      <c r="A1249" s="203"/>
      <c r="B1249" s="205"/>
      <c r="C1249" s="35" t="s">
        <v>341</v>
      </c>
      <c r="D1249" s="46" t="s">
        <v>278</v>
      </c>
      <c r="E1249" s="36">
        <v>4.8000000000000001E-2</v>
      </c>
      <c r="F1249" s="33">
        <v>4.0374999999999996</v>
      </c>
      <c r="G1249" s="33">
        <f t="shared" si="20"/>
        <v>0.1938</v>
      </c>
      <c r="H1249" s="34"/>
      <c r="I1249" s="30"/>
      <c r="J1249" s="148">
        <v>55</v>
      </c>
      <c r="K1249" s="222" t="s">
        <v>8074</v>
      </c>
    </row>
    <row r="1250" spans="1:11" hidden="1" x14ac:dyDescent="0.25">
      <c r="A1250" s="203"/>
      <c r="B1250" s="205"/>
      <c r="C1250" s="35" t="s">
        <v>39</v>
      </c>
      <c r="D1250" s="46" t="s">
        <v>12</v>
      </c>
      <c r="E1250" s="36">
        <v>0.17399999999999999</v>
      </c>
      <c r="F1250" s="30">
        <v>24.300999999999998</v>
      </c>
      <c r="G1250" s="33">
        <f t="shared" si="20"/>
        <v>4.2283739999999996</v>
      </c>
      <c r="H1250" s="34"/>
      <c r="I1250" s="30"/>
      <c r="J1250" s="148">
        <v>55</v>
      </c>
      <c r="K1250" s="222" t="s">
        <v>8074</v>
      </c>
    </row>
    <row r="1251" spans="1:11" hidden="1" x14ac:dyDescent="0.25">
      <c r="A1251" s="203"/>
      <c r="B1251" s="205"/>
      <c r="C1251" s="35" t="s">
        <v>23</v>
      </c>
      <c r="D1251" s="46" t="s">
        <v>12</v>
      </c>
      <c r="E1251" s="36">
        <v>5.4800000000000001E-2</v>
      </c>
      <c r="F1251" s="30">
        <v>18.420500000000001</v>
      </c>
      <c r="G1251" s="33">
        <f t="shared" si="20"/>
        <v>1.0094434000000001</v>
      </c>
      <c r="H1251" s="34"/>
      <c r="I1251" s="30"/>
      <c r="J1251" s="148">
        <v>55</v>
      </c>
      <c r="K1251" s="222" t="s">
        <v>8074</v>
      </c>
    </row>
    <row r="1252" spans="1:11" ht="15.75" hidden="1" thickBot="1" x14ac:dyDescent="0.3">
      <c r="A1252" s="209"/>
      <c r="B1252" s="206"/>
      <c r="C1252" s="35"/>
      <c r="D1252" s="35"/>
      <c r="E1252" s="36"/>
      <c r="F1252" s="30" t="s">
        <v>514</v>
      </c>
      <c r="G1252" s="30" t="str">
        <f t="shared" si="20"/>
        <v/>
      </c>
      <c r="H1252" s="34"/>
      <c r="I1252" s="30"/>
      <c r="J1252" s="148">
        <v>55</v>
      </c>
      <c r="K1252" s="222" t="s">
        <v>8074</v>
      </c>
    </row>
    <row r="1253" spans="1:11" ht="15.75" hidden="1" thickBot="1" x14ac:dyDescent="0.3">
      <c r="A1253" s="202" t="s">
        <v>384</v>
      </c>
      <c r="B1253" s="204" t="str">
        <f>INDEX(Orçamentária!A:B,MATCH(Composições!A1253,Orçamentária!A:A,0),2)</f>
        <v>Válvula de escoamento para tanque</v>
      </c>
      <c r="C1253" s="40"/>
      <c r="D1253" s="25" t="str">
        <f>TRIM(INDEX(Orçamentária!C:C,MATCH(Composições!A1253,Orçamentária!A:A,0),1))</f>
        <v>un</v>
      </c>
      <c r="E1253" s="26"/>
      <c r="F1253" s="41" t="s">
        <v>514</v>
      </c>
      <c r="G1253" s="27" t="str">
        <f t="shared" si="20"/>
        <v/>
      </c>
      <c r="H1253" s="28"/>
      <c r="I1253" s="29"/>
      <c r="J1253" s="148">
        <v>20</v>
      </c>
      <c r="K1253" s="222" t="s">
        <v>8074</v>
      </c>
    </row>
    <row r="1254" spans="1:11" hidden="1" x14ac:dyDescent="0.25">
      <c r="A1254" s="203"/>
      <c r="B1254" s="205"/>
      <c r="C1254" s="31"/>
      <c r="D1254" s="31"/>
      <c r="E1254" s="32"/>
      <c r="F1254" s="42" t="s">
        <v>514</v>
      </c>
      <c r="G1254" s="30" t="str">
        <f t="shared" si="20"/>
        <v/>
      </c>
      <c r="H1254" s="34"/>
      <c r="I1254" s="30"/>
      <c r="J1254" s="148">
        <v>20</v>
      </c>
      <c r="K1254" s="222" t="s">
        <v>8074</v>
      </c>
    </row>
    <row r="1255" spans="1:11" hidden="1" x14ac:dyDescent="0.25">
      <c r="A1255" s="203"/>
      <c r="B1255" s="205"/>
      <c r="C1255" s="35" t="s">
        <v>341</v>
      </c>
      <c r="D1255" s="46" t="s">
        <v>278</v>
      </c>
      <c r="E1255" s="36">
        <v>3.32E-2</v>
      </c>
      <c r="F1255" s="33">
        <v>4.0374999999999996</v>
      </c>
      <c r="G1255" s="33">
        <f t="shared" si="20"/>
        <v>0.134045</v>
      </c>
      <c r="H1255" s="38">
        <f>SUM(G1255:G1258)</f>
        <v>47.628143600000001</v>
      </c>
      <c r="I1255" s="39"/>
      <c r="J1255" s="148">
        <v>20</v>
      </c>
      <c r="K1255" s="222" t="s">
        <v>8074</v>
      </c>
    </row>
    <row r="1256" spans="1:11" ht="25.5" hidden="1" x14ac:dyDescent="0.25">
      <c r="A1256" s="203"/>
      <c r="B1256" s="205"/>
      <c r="C1256" s="35" t="s">
        <v>6677</v>
      </c>
      <c r="D1256" s="35" t="s">
        <v>20</v>
      </c>
      <c r="E1256" s="36">
        <v>1</v>
      </c>
      <c r="F1256" s="33">
        <v>43.785499999999999</v>
      </c>
      <c r="G1256" s="33">
        <f t="shared" si="20"/>
        <v>43.785499999999999</v>
      </c>
      <c r="H1256" s="34"/>
      <c r="I1256" s="30"/>
      <c r="J1256" s="148">
        <v>20</v>
      </c>
      <c r="K1256" s="222" t="s">
        <v>8074</v>
      </c>
    </row>
    <row r="1257" spans="1:11" hidden="1" x14ac:dyDescent="0.25">
      <c r="A1257" s="203"/>
      <c r="B1257" s="205"/>
      <c r="C1257" s="35" t="s">
        <v>39</v>
      </c>
      <c r="D1257" s="46" t="s">
        <v>12</v>
      </c>
      <c r="E1257" s="36">
        <v>0.1232</v>
      </c>
      <c r="F1257" s="30">
        <v>24.300999999999998</v>
      </c>
      <c r="G1257" s="33">
        <f t="shared" si="20"/>
        <v>2.9938832</v>
      </c>
      <c r="H1257" s="34"/>
      <c r="I1257" s="30"/>
      <c r="J1257" s="148">
        <v>20</v>
      </c>
      <c r="K1257" s="222" t="s">
        <v>8074</v>
      </c>
    </row>
    <row r="1258" spans="1:11" hidden="1" x14ac:dyDescent="0.25">
      <c r="A1258" s="203"/>
      <c r="B1258" s="205"/>
      <c r="C1258" s="35" t="s">
        <v>23</v>
      </c>
      <c r="D1258" s="35" t="s">
        <v>12</v>
      </c>
      <c r="E1258" s="36">
        <v>3.8800000000000001E-2</v>
      </c>
      <c r="F1258" s="30">
        <v>18.420500000000001</v>
      </c>
      <c r="G1258" s="33">
        <f t="shared" si="20"/>
        <v>0.7147154</v>
      </c>
      <c r="H1258" s="34"/>
      <c r="I1258" s="30"/>
      <c r="J1258" s="148">
        <v>20</v>
      </c>
      <c r="K1258" s="222" t="s">
        <v>8074</v>
      </c>
    </row>
    <row r="1259" spans="1:11" ht="15.75" hidden="1" thickBot="1" x14ac:dyDescent="0.3">
      <c r="A1259" s="209"/>
      <c r="B1259" s="206"/>
      <c r="C1259" s="35"/>
      <c r="D1259" s="35"/>
      <c r="E1259" s="36"/>
      <c r="F1259" s="30" t="s">
        <v>514</v>
      </c>
      <c r="G1259" s="30" t="str">
        <f t="shared" si="20"/>
        <v/>
      </c>
      <c r="H1259" s="34"/>
      <c r="I1259" s="30"/>
      <c r="J1259" s="148">
        <v>20</v>
      </c>
      <c r="K1259" s="222" t="s">
        <v>8074</v>
      </c>
    </row>
    <row r="1260" spans="1:11" ht="15.75" hidden="1" thickBot="1" x14ac:dyDescent="0.3">
      <c r="A1260" s="202" t="s">
        <v>385</v>
      </c>
      <c r="B1260" s="204" t="str">
        <f>INDEX(Orçamentária!A:B,MATCH(Composições!A1260,Orçamentária!A:A,0),2)</f>
        <v>Válvula descarga para mictório – Linha Administrativa</v>
      </c>
      <c r="C1260" s="40"/>
      <c r="D1260" s="25" t="str">
        <f>TRIM(INDEX(Orçamentária!C:C,MATCH(Composições!A1260,Orçamentária!A:A,0),1))</f>
        <v>un</v>
      </c>
      <c r="E1260" s="26"/>
      <c r="F1260" s="41" t="s">
        <v>514</v>
      </c>
      <c r="G1260" s="27" t="str">
        <f t="shared" si="20"/>
        <v/>
      </c>
      <c r="H1260" s="28"/>
      <c r="I1260" s="29"/>
      <c r="J1260" s="148">
        <v>30</v>
      </c>
      <c r="K1260" s="222" t="s">
        <v>8074</v>
      </c>
    </row>
    <row r="1261" spans="1:11" hidden="1" x14ac:dyDescent="0.25">
      <c r="A1261" s="203"/>
      <c r="B1261" s="205"/>
      <c r="C1261" s="31"/>
      <c r="D1261" s="31"/>
      <c r="E1261" s="32"/>
      <c r="F1261" s="42" t="s">
        <v>514</v>
      </c>
      <c r="G1261" s="30" t="str">
        <f t="shared" si="20"/>
        <v/>
      </c>
      <c r="H1261" s="34"/>
      <c r="I1261" s="30"/>
      <c r="J1261" s="148">
        <v>30</v>
      </c>
      <c r="K1261" s="222" t="s">
        <v>8074</v>
      </c>
    </row>
    <row r="1262" spans="1:11" ht="25.5" hidden="1" x14ac:dyDescent="0.25">
      <c r="A1262" s="203"/>
      <c r="B1262" s="205"/>
      <c r="C1262" s="35" t="s">
        <v>386</v>
      </c>
      <c r="D1262" s="46" t="s">
        <v>278</v>
      </c>
      <c r="E1262" s="36">
        <v>1</v>
      </c>
      <c r="F1262" s="33">
        <v>195.35799999999998</v>
      </c>
      <c r="G1262" s="30">
        <f t="shared" si="20"/>
        <v>195.35799999999998</v>
      </c>
      <c r="H1262" s="38">
        <f>SUM(G1262:G1265)</f>
        <v>235.78078119999998</v>
      </c>
      <c r="I1262" s="39"/>
      <c r="J1262" s="148">
        <v>30</v>
      </c>
      <c r="K1262" s="222" t="s">
        <v>8074</v>
      </c>
    </row>
    <row r="1263" spans="1:11" hidden="1" x14ac:dyDescent="0.25">
      <c r="A1263" s="203"/>
      <c r="B1263" s="205"/>
      <c r="C1263" s="35" t="s">
        <v>378</v>
      </c>
      <c r="D1263" s="49" t="s">
        <v>278</v>
      </c>
      <c r="E1263" s="36">
        <v>1.9199999999999998E-2</v>
      </c>
      <c r="F1263" s="33">
        <v>14.8865</v>
      </c>
      <c r="G1263" s="30">
        <f t="shared" si="20"/>
        <v>0.28582079999999999</v>
      </c>
      <c r="H1263" s="34"/>
      <c r="I1263" s="30"/>
      <c r="J1263" s="148">
        <v>30</v>
      </c>
      <c r="K1263" s="222" t="s">
        <v>8074</v>
      </c>
    </row>
    <row r="1264" spans="1:11" ht="25.5" hidden="1" x14ac:dyDescent="0.25">
      <c r="A1264" s="203"/>
      <c r="B1264" s="205"/>
      <c r="C1264" s="35" t="s">
        <v>106</v>
      </c>
      <c r="D1264" s="46" t="s">
        <v>12</v>
      </c>
      <c r="E1264" s="36">
        <v>0.92490000000000006</v>
      </c>
      <c r="F1264" s="30">
        <v>19.094999999999999</v>
      </c>
      <c r="G1264" s="30">
        <f t="shared" si="20"/>
        <v>17.6609655</v>
      </c>
      <c r="H1264" s="34"/>
      <c r="I1264" s="30"/>
      <c r="J1264" s="148">
        <v>30</v>
      </c>
      <c r="K1264" s="222" t="s">
        <v>8074</v>
      </c>
    </row>
    <row r="1265" spans="1:11" hidden="1" x14ac:dyDescent="0.25">
      <c r="A1265" s="203"/>
      <c r="B1265" s="205"/>
      <c r="C1265" s="35" t="s">
        <v>39</v>
      </c>
      <c r="D1265" s="46" t="s">
        <v>12</v>
      </c>
      <c r="E1265" s="36">
        <v>0.92490000000000006</v>
      </c>
      <c r="F1265" s="30">
        <v>24.300999999999998</v>
      </c>
      <c r="G1265" s="33">
        <f t="shared" si="20"/>
        <v>22.4759949</v>
      </c>
      <c r="H1265" s="34"/>
      <c r="I1265" s="30"/>
      <c r="J1265" s="148">
        <v>30</v>
      </c>
      <c r="K1265" s="222" t="s">
        <v>8074</v>
      </c>
    </row>
    <row r="1266" spans="1:11" ht="15.75" hidden="1" thickBot="1" x14ac:dyDescent="0.3">
      <c r="A1266" s="209"/>
      <c r="B1266" s="206"/>
      <c r="C1266" s="35"/>
      <c r="D1266" s="35"/>
      <c r="E1266" s="36"/>
      <c r="F1266" s="30" t="s">
        <v>514</v>
      </c>
      <c r="G1266" s="30" t="str">
        <f t="shared" si="20"/>
        <v/>
      </c>
      <c r="H1266" s="34"/>
      <c r="I1266" s="30"/>
      <c r="J1266" s="148">
        <v>30</v>
      </c>
      <c r="K1266" s="222" t="s">
        <v>8074</v>
      </c>
    </row>
    <row r="1267" spans="1:11" ht="15.75" hidden="1" thickBot="1" x14ac:dyDescent="0.3">
      <c r="A1267" s="202" t="s">
        <v>387</v>
      </c>
      <c r="B1267" s="204" t="str">
        <f>INDEX(Orçamentária!A:B,MATCH(Composições!A1267,Orçamentária!A:A,0),2)</f>
        <v>Alarme de emergência para sanitários PNE</v>
      </c>
      <c r="C1267" s="40"/>
      <c r="D1267" s="25" t="str">
        <f>TRIM(INDEX(Orçamentária!C:C,MATCH(Composições!A1267,Orçamentária!A:A,0),1))</f>
        <v>un</v>
      </c>
      <c r="E1267" s="26"/>
      <c r="F1267" s="41" t="s">
        <v>514</v>
      </c>
      <c r="G1267" s="27" t="str">
        <f t="shared" si="20"/>
        <v/>
      </c>
      <c r="H1267" s="28"/>
      <c r="I1267" s="29"/>
      <c r="J1267" s="148">
        <v>15</v>
      </c>
      <c r="K1267" s="222" t="s">
        <v>8074</v>
      </c>
    </row>
    <row r="1268" spans="1:11" hidden="1" x14ac:dyDescent="0.25">
      <c r="A1268" s="203"/>
      <c r="B1268" s="205"/>
      <c r="C1268" s="31"/>
      <c r="D1268" s="31"/>
      <c r="E1268" s="32"/>
      <c r="F1268" s="42" t="s">
        <v>514</v>
      </c>
      <c r="G1268" s="30" t="str">
        <f t="shared" si="20"/>
        <v/>
      </c>
      <c r="H1268" s="34"/>
      <c r="I1268" s="30"/>
      <c r="J1268" s="148">
        <v>15</v>
      </c>
      <c r="K1268" s="222" t="s">
        <v>8074</v>
      </c>
    </row>
    <row r="1269" spans="1:11" hidden="1" x14ac:dyDescent="0.25">
      <c r="A1269" s="203"/>
      <c r="B1269" s="205"/>
      <c r="C1269" s="35" t="s">
        <v>30</v>
      </c>
      <c r="D1269" s="35" t="s">
        <v>12</v>
      </c>
      <c r="E1269" s="36">
        <v>0.28999999999999998</v>
      </c>
      <c r="F1269" s="30">
        <v>25.146499999999996</v>
      </c>
      <c r="G1269" s="30">
        <f t="shared" si="20"/>
        <v>7.2924849999999983</v>
      </c>
      <c r="H1269" s="38">
        <f>SUM(G1269:G1271)</f>
        <v>298.81094999999999</v>
      </c>
      <c r="I1269" s="39"/>
      <c r="J1269" s="148">
        <v>15</v>
      </c>
      <c r="K1269" s="222" t="s">
        <v>8074</v>
      </c>
    </row>
    <row r="1270" spans="1:11" hidden="1" x14ac:dyDescent="0.25">
      <c r="A1270" s="203"/>
      <c r="B1270" s="205"/>
      <c r="C1270" s="35" t="s">
        <v>74</v>
      </c>
      <c r="D1270" s="46" t="s">
        <v>12</v>
      </c>
      <c r="E1270" s="36">
        <v>0.28999999999999998</v>
      </c>
      <c r="F1270" s="30">
        <v>19.4085</v>
      </c>
      <c r="G1270" s="30">
        <f t="shared" si="20"/>
        <v>5.6284649999999994</v>
      </c>
      <c r="H1270" s="34"/>
      <c r="I1270" s="30"/>
      <c r="J1270" s="148">
        <v>15</v>
      </c>
      <c r="K1270" s="222" t="s">
        <v>8074</v>
      </c>
    </row>
    <row r="1271" spans="1:11" ht="25.5" hidden="1" x14ac:dyDescent="0.25">
      <c r="A1271" s="203"/>
      <c r="B1271" s="205"/>
      <c r="C1271" s="35" t="s">
        <v>388</v>
      </c>
      <c r="D1271" s="35" t="s">
        <v>143</v>
      </c>
      <c r="E1271" s="36">
        <v>1</v>
      </c>
      <c r="F1271" s="33">
        <v>285.89</v>
      </c>
      <c r="G1271" s="30">
        <f t="shared" si="20"/>
        <v>285.89</v>
      </c>
      <c r="H1271" s="34"/>
      <c r="I1271" s="30"/>
      <c r="J1271" s="148">
        <v>15</v>
      </c>
      <c r="K1271" s="222" t="s">
        <v>8074</v>
      </c>
    </row>
    <row r="1272" spans="1:11" ht="15.75" hidden="1" thickBot="1" x14ac:dyDescent="0.3">
      <c r="A1272" s="209"/>
      <c r="B1272" s="206"/>
      <c r="C1272" s="35"/>
      <c r="D1272" s="35"/>
      <c r="E1272" s="36"/>
      <c r="F1272" s="30" t="s">
        <v>514</v>
      </c>
      <c r="G1272" s="30" t="str">
        <f t="shared" si="20"/>
        <v/>
      </c>
      <c r="H1272" s="34"/>
      <c r="I1272" s="30"/>
      <c r="J1272" s="148">
        <v>15</v>
      </c>
      <c r="K1272" s="222" t="s">
        <v>8074</v>
      </c>
    </row>
    <row r="1273" spans="1:11" ht="15.75" hidden="1" thickBot="1" x14ac:dyDescent="0.3">
      <c r="A1273" s="202" t="s">
        <v>389</v>
      </c>
      <c r="B1273" s="204" t="str">
        <f>INDEX(Orçamentária!A:B,MATCH(Composições!A1273,Orçamentária!A:A,0),2)</f>
        <v>Barra de apoio 40cm – Linha Acessibilidade</v>
      </c>
      <c r="C1273" s="40"/>
      <c r="D1273" s="25" t="str">
        <f>TRIM(INDEX(Orçamentária!C:C,MATCH(Composições!A1273,Orçamentária!A:A,0),1))</f>
        <v>un</v>
      </c>
      <c r="E1273" s="26"/>
      <c r="F1273" s="41" t="s">
        <v>514</v>
      </c>
      <c r="G1273" s="27" t="str">
        <f t="shared" si="20"/>
        <v/>
      </c>
      <c r="H1273" s="28"/>
      <c r="I1273" s="29"/>
      <c r="J1273" s="148">
        <v>25</v>
      </c>
      <c r="K1273" s="222" t="s">
        <v>8074</v>
      </c>
    </row>
    <row r="1274" spans="1:11" hidden="1" x14ac:dyDescent="0.25">
      <c r="A1274" s="203"/>
      <c r="B1274" s="205"/>
      <c r="C1274" s="31"/>
      <c r="D1274" s="31"/>
      <c r="E1274" s="32"/>
      <c r="F1274" s="42" t="s">
        <v>514</v>
      </c>
      <c r="G1274" s="30" t="str">
        <f t="shared" si="20"/>
        <v/>
      </c>
      <c r="H1274" s="34"/>
      <c r="I1274" s="30"/>
      <c r="J1274" s="148">
        <v>25</v>
      </c>
      <c r="K1274" s="222" t="s">
        <v>8074</v>
      </c>
    </row>
    <row r="1275" spans="1:11" ht="25.5" hidden="1" x14ac:dyDescent="0.25">
      <c r="A1275" s="203"/>
      <c r="B1275" s="205"/>
      <c r="C1275" s="35" t="s">
        <v>390</v>
      </c>
      <c r="D1275" s="46" t="s">
        <v>143</v>
      </c>
      <c r="E1275" s="36">
        <v>1</v>
      </c>
      <c r="F1275" s="33">
        <v>52.23</v>
      </c>
      <c r="G1275" s="33">
        <f t="shared" si="20"/>
        <v>52.23</v>
      </c>
      <c r="H1275" s="38">
        <f>SUM(G1275:G1278)</f>
        <v>99.245499999999993</v>
      </c>
      <c r="I1275" s="39"/>
      <c r="J1275" s="148">
        <v>25</v>
      </c>
      <c r="K1275" s="222" t="s">
        <v>8074</v>
      </c>
    </row>
    <row r="1276" spans="1:11" ht="25.5" hidden="1" x14ac:dyDescent="0.25">
      <c r="A1276" s="203"/>
      <c r="B1276" s="205"/>
      <c r="C1276" s="35" t="s">
        <v>391</v>
      </c>
      <c r="D1276" s="46" t="s">
        <v>278</v>
      </c>
      <c r="E1276" s="36">
        <v>6</v>
      </c>
      <c r="F1276" s="33">
        <v>0.61749999999999994</v>
      </c>
      <c r="G1276" s="33">
        <f t="shared" si="20"/>
        <v>3.7049999999999996</v>
      </c>
      <c r="H1276" s="34"/>
      <c r="I1276" s="30"/>
      <c r="J1276" s="148">
        <v>25</v>
      </c>
      <c r="K1276" s="222" t="s">
        <v>8074</v>
      </c>
    </row>
    <row r="1277" spans="1:11" hidden="1" x14ac:dyDescent="0.25">
      <c r="A1277" s="203"/>
      <c r="B1277" s="205"/>
      <c r="C1277" s="35" t="s">
        <v>22</v>
      </c>
      <c r="D1277" s="35" t="s">
        <v>12</v>
      </c>
      <c r="E1277" s="36">
        <v>1</v>
      </c>
      <c r="F1277" s="30">
        <v>24.889999999999997</v>
      </c>
      <c r="G1277" s="33">
        <f t="shared" si="20"/>
        <v>24.889999999999997</v>
      </c>
      <c r="H1277" s="34"/>
      <c r="I1277" s="30"/>
      <c r="J1277" s="148">
        <v>25</v>
      </c>
      <c r="K1277" s="222" t="s">
        <v>8074</v>
      </c>
    </row>
    <row r="1278" spans="1:11" hidden="1" x14ac:dyDescent="0.25">
      <c r="A1278" s="203"/>
      <c r="B1278" s="205"/>
      <c r="C1278" s="35" t="s">
        <v>23</v>
      </c>
      <c r="D1278" s="35" t="s">
        <v>12</v>
      </c>
      <c r="E1278" s="36">
        <v>1</v>
      </c>
      <c r="F1278" s="30">
        <v>18.420500000000001</v>
      </c>
      <c r="G1278" s="33">
        <f t="shared" si="20"/>
        <v>18.420500000000001</v>
      </c>
      <c r="H1278" s="34"/>
      <c r="I1278" s="30"/>
      <c r="J1278" s="148">
        <v>25</v>
      </c>
      <c r="K1278" s="222" t="s">
        <v>8074</v>
      </c>
    </row>
    <row r="1279" spans="1:11" ht="15.75" hidden="1" thickBot="1" x14ac:dyDescent="0.3">
      <c r="A1279" s="209"/>
      <c r="B1279" s="206"/>
      <c r="C1279" s="35"/>
      <c r="D1279" s="35"/>
      <c r="E1279" s="36"/>
      <c r="F1279" s="30" t="s">
        <v>514</v>
      </c>
      <c r="G1279" s="30" t="str">
        <f t="shared" si="20"/>
        <v/>
      </c>
      <c r="H1279" s="34"/>
      <c r="I1279" s="30"/>
      <c r="J1279" s="148">
        <v>25</v>
      </c>
      <c r="K1279" s="222" t="s">
        <v>8074</v>
      </c>
    </row>
    <row r="1280" spans="1:11" ht="15.75" hidden="1" thickBot="1" x14ac:dyDescent="0.3">
      <c r="A1280" s="202" t="s">
        <v>392</v>
      </c>
      <c r="B1280" s="204" t="str">
        <f>INDEX(Orçamentária!A:B,MATCH(Composições!A1280,Orçamentária!A:A,0),2)</f>
        <v>Barra de apoio 70cm – Linha Acessibilidade</v>
      </c>
      <c r="C1280" s="40"/>
      <c r="D1280" s="25" t="str">
        <f>TRIM(INDEX(Orçamentária!C:C,MATCH(Composições!A1280,Orçamentária!A:A,0),1))</f>
        <v>un</v>
      </c>
      <c r="E1280" s="26"/>
      <c r="F1280" s="41" t="s">
        <v>514</v>
      </c>
      <c r="G1280" s="27" t="str">
        <f t="shared" si="20"/>
        <v/>
      </c>
      <c r="H1280" s="28"/>
      <c r="I1280" s="29"/>
      <c r="J1280" s="148">
        <v>20</v>
      </c>
      <c r="K1280" s="222" t="s">
        <v>8074</v>
      </c>
    </row>
    <row r="1281" spans="1:11" hidden="1" x14ac:dyDescent="0.25">
      <c r="A1281" s="203"/>
      <c r="B1281" s="205"/>
      <c r="C1281" s="31"/>
      <c r="D1281" s="31"/>
      <c r="E1281" s="32"/>
      <c r="F1281" s="42" t="s">
        <v>514</v>
      </c>
      <c r="G1281" s="30" t="str">
        <f t="shared" si="20"/>
        <v/>
      </c>
      <c r="H1281" s="34"/>
      <c r="I1281" s="30"/>
      <c r="J1281" s="148">
        <v>20</v>
      </c>
      <c r="K1281" s="222" t="s">
        <v>8074</v>
      </c>
    </row>
    <row r="1282" spans="1:11" ht="25.5" hidden="1" x14ac:dyDescent="0.25">
      <c r="A1282" s="203"/>
      <c r="B1282" s="205"/>
      <c r="C1282" s="35" t="s">
        <v>393</v>
      </c>
      <c r="D1282" s="46" t="s">
        <v>143</v>
      </c>
      <c r="E1282" s="36">
        <v>1</v>
      </c>
      <c r="F1282" s="33">
        <v>61</v>
      </c>
      <c r="G1282" s="33">
        <f t="shared" si="20"/>
        <v>61</v>
      </c>
      <c r="H1282" s="38">
        <f>SUM(G1282:G1285)</f>
        <v>108.0155</v>
      </c>
      <c r="I1282" s="39"/>
      <c r="J1282" s="148">
        <v>20</v>
      </c>
      <c r="K1282" s="222" t="s">
        <v>8074</v>
      </c>
    </row>
    <row r="1283" spans="1:11" ht="25.5" hidden="1" x14ac:dyDescent="0.25">
      <c r="A1283" s="203"/>
      <c r="B1283" s="205"/>
      <c r="C1283" s="35" t="s">
        <v>391</v>
      </c>
      <c r="D1283" s="46" t="s">
        <v>278</v>
      </c>
      <c r="E1283" s="36">
        <v>6</v>
      </c>
      <c r="F1283" s="33">
        <v>0.61749999999999994</v>
      </c>
      <c r="G1283" s="33">
        <f t="shared" si="20"/>
        <v>3.7049999999999996</v>
      </c>
      <c r="H1283" s="34"/>
      <c r="I1283" s="30"/>
      <c r="J1283" s="148">
        <v>20</v>
      </c>
      <c r="K1283" s="222" t="s">
        <v>8074</v>
      </c>
    </row>
    <row r="1284" spans="1:11" hidden="1" x14ac:dyDescent="0.25">
      <c r="A1284" s="203"/>
      <c r="B1284" s="205"/>
      <c r="C1284" s="35" t="s">
        <v>22</v>
      </c>
      <c r="D1284" s="35" t="s">
        <v>12</v>
      </c>
      <c r="E1284" s="36">
        <v>1</v>
      </c>
      <c r="F1284" s="30">
        <v>24.889999999999997</v>
      </c>
      <c r="G1284" s="33">
        <f t="shared" si="20"/>
        <v>24.889999999999997</v>
      </c>
      <c r="H1284" s="34"/>
      <c r="I1284" s="30"/>
      <c r="J1284" s="148">
        <v>20</v>
      </c>
      <c r="K1284" s="222" t="s">
        <v>8074</v>
      </c>
    </row>
    <row r="1285" spans="1:11" hidden="1" x14ac:dyDescent="0.25">
      <c r="A1285" s="203"/>
      <c r="B1285" s="205"/>
      <c r="C1285" s="35" t="s">
        <v>23</v>
      </c>
      <c r="D1285" s="35" t="s">
        <v>12</v>
      </c>
      <c r="E1285" s="36">
        <v>1</v>
      </c>
      <c r="F1285" s="30">
        <v>18.420500000000001</v>
      </c>
      <c r="G1285" s="33">
        <f t="shared" si="20"/>
        <v>18.420500000000001</v>
      </c>
      <c r="H1285" s="34"/>
      <c r="I1285" s="30"/>
      <c r="J1285" s="148">
        <v>20</v>
      </c>
      <c r="K1285" s="222" t="s">
        <v>8074</v>
      </c>
    </row>
    <row r="1286" spans="1:11" ht="15.75" hidden="1" thickBot="1" x14ac:dyDescent="0.3">
      <c r="A1286" s="209"/>
      <c r="B1286" s="206"/>
      <c r="C1286" s="35"/>
      <c r="D1286" s="35"/>
      <c r="E1286" s="36"/>
      <c r="F1286" s="30" t="s">
        <v>514</v>
      </c>
      <c r="G1286" s="30" t="str">
        <f t="shared" si="20"/>
        <v/>
      </c>
      <c r="H1286" s="34"/>
      <c r="I1286" s="30"/>
      <c r="J1286" s="148">
        <v>20</v>
      </c>
      <c r="K1286" s="222" t="s">
        <v>8074</v>
      </c>
    </row>
    <row r="1287" spans="1:11" ht="15.75" hidden="1" thickBot="1" x14ac:dyDescent="0.3">
      <c r="A1287" s="202" t="s">
        <v>394</v>
      </c>
      <c r="B1287" s="204" t="str">
        <f>INDEX(Orçamentária!A:B,MATCH(Composições!A1287,Orçamentária!A:A,0),2)</f>
        <v>Barra de apoio 80cm – Linha Acessibilidade</v>
      </c>
      <c r="C1287" s="40"/>
      <c r="D1287" s="25" t="str">
        <f>TRIM(INDEX(Orçamentária!C:C,MATCH(Composições!A1287,Orçamentária!A:A,0),1))</f>
        <v>un</v>
      </c>
      <c r="E1287" s="26"/>
      <c r="F1287" s="41" t="s">
        <v>514</v>
      </c>
      <c r="G1287" s="27" t="str">
        <f t="shared" si="20"/>
        <v/>
      </c>
      <c r="H1287" s="28"/>
      <c r="I1287" s="29"/>
      <c r="J1287" s="148">
        <v>20</v>
      </c>
      <c r="K1287" s="222" t="s">
        <v>8074</v>
      </c>
    </row>
    <row r="1288" spans="1:11" hidden="1" x14ac:dyDescent="0.25">
      <c r="A1288" s="203"/>
      <c r="B1288" s="205"/>
      <c r="C1288" s="31"/>
      <c r="D1288" s="31"/>
      <c r="E1288" s="32"/>
      <c r="F1288" s="42" t="s">
        <v>514</v>
      </c>
      <c r="G1288" s="30" t="str">
        <f t="shared" si="20"/>
        <v/>
      </c>
      <c r="H1288" s="34"/>
      <c r="I1288" s="30"/>
      <c r="J1288" s="148">
        <v>20</v>
      </c>
      <c r="K1288" s="222" t="s">
        <v>8074</v>
      </c>
    </row>
    <row r="1289" spans="1:11" ht="25.5" hidden="1" x14ac:dyDescent="0.25">
      <c r="A1289" s="203"/>
      <c r="B1289" s="205"/>
      <c r="C1289" s="35" t="s">
        <v>395</v>
      </c>
      <c r="D1289" s="46" t="s">
        <v>143</v>
      </c>
      <c r="E1289" s="36">
        <v>1</v>
      </c>
      <c r="F1289" s="33">
        <v>67</v>
      </c>
      <c r="G1289" s="33">
        <f t="shared" si="20"/>
        <v>67</v>
      </c>
      <c r="H1289" s="38">
        <f>SUM(G1289:G1292)</f>
        <v>114.0155</v>
      </c>
      <c r="I1289" s="39"/>
      <c r="J1289" s="148">
        <v>20</v>
      </c>
      <c r="K1289" s="222" t="s">
        <v>8074</v>
      </c>
    </row>
    <row r="1290" spans="1:11" ht="25.5" hidden="1" x14ac:dyDescent="0.25">
      <c r="A1290" s="203"/>
      <c r="B1290" s="205"/>
      <c r="C1290" s="35" t="s">
        <v>391</v>
      </c>
      <c r="D1290" s="46" t="s">
        <v>278</v>
      </c>
      <c r="E1290" s="36">
        <v>6</v>
      </c>
      <c r="F1290" s="33">
        <v>0.61749999999999994</v>
      </c>
      <c r="G1290" s="33">
        <f t="shared" si="20"/>
        <v>3.7049999999999996</v>
      </c>
      <c r="H1290" s="34"/>
      <c r="I1290" s="30"/>
      <c r="J1290" s="148">
        <v>20</v>
      </c>
      <c r="K1290" s="222" t="s">
        <v>8074</v>
      </c>
    </row>
    <row r="1291" spans="1:11" hidden="1" x14ac:dyDescent="0.25">
      <c r="A1291" s="203"/>
      <c r="B1291" s="205"/>
      <c r="C1291" s="35" t="s">
        <v>22</v>
      </c>
      <c r="D1291" s="35" t="s">
        <v>12</v>
      </c>
      <c r="E1291" s="36">
        <v>1</v>
      </c>
      <c r="F1291" s="30">
        <v>24.889999999999997</v>
      </c>
      <c r="G1291" s="33">
        <f t="shared" si="20"/>
        <v>24.889999999999997</v>
      </c>
      <c r="H1291" s="34"/>
      <c r="I1291" s="30"/>
      <c r="J1291" s="148">
        <v>20</v>
      </c>
      <c r="K1291" s="222" t="s">
        <v>8074</v>
      </c>
    </row>
    <row r="1292" spans="1:11" hidden="1" x14ac:dyDescent="0.25">
      <c r="A1292" s="203"/>
      <c r="B1292" s="205"/>
      <c r="C1292" s="35" t="s">
        <v>23</v>
      </c>
      <c r="D1292" s="35" t="s">
        <v>12</v>
      </c>
      <c r="E1292" s="36">
        <v>1</v>
      </c>
      <c r="F1292" s="30">
        <v>18.420500000000001</v>
      </c>
      <c r="G1292" s="33">
        <f t="shared" si="20"/>
        <v>18.420500000000001</v>
      </c>
      <c r="H1292" s="34"/>
      <c r="I1292" s="30"/>
      <c r="J1292" s="148">
        <v>20</v>
      </c>
      <c r="K1292" s="222" t="s">
        <v>8074</v>
      </c>
    </row>
    <row r="1293" spans="1:11" ht="15.75" hidden="1" thickBot="1" x14ac:dyDescent="0.3">
      <c r="A1293" s="209"/>
      <c r="B1293" s="206"/>
      <c r="C1293" s="35"/>
      <c r="D1293" s="35"/>
      <c r="E1293" s="36"/>
      <c r="F1293" s="30" t="s">
        <v>514</v>
      </c>
      <c r="G1293" s="30" t="str">
        <f t="shared" si="20"/>
        <v/>
      </c>
      <c r="H1293" s="34"/>
      <c r="I1293" s="30"/>
      <c r="J1293" s="148">
        <v>20</v>
      </c>
      <c r="K1293" s="222" t="s">
        <v>8074</v>
      </c>
    </row>
    <row r="1294" spans="1:11" ht="15.75" hidden="1" thickBot="1" x14ac:dyDescent="0.3">
      <c r="A1294" s="202" t="s">
        <v>396</v>
      </c>
      <c r="B1294" s="204" t="str">
        <f>INDEX(Orçamentária!A:B,MATCH(Composições!A1294,Orçamentária!A:A,0),2)</f>
        <v>Barra de apoio lateral fixa 30cm – Linha Acessibilidade</v>
      </c>
      <c r="C1294" s="40"/>
      <c r="D1294" s="25" t="str">
        <f>TRIM(INDEX(Orçamentária!C:C,MATCH(Composições!A1294,Orçamentária!A:A,0),1))</f>
        <v>un</v>
      </c>
      <c r="E1294" s="26"/>
      <c r="F1294" s="41" t="s">
        <v>514</v>
      </c>
      <c r="G1294" s="27" t="str">
        <f t="shared" si="20"/>
        <v/>
      </c>
      <c r="H1294" s="28"/>
      <c r="I1294" s="29"/>
      <c r="J1294" s="148">
        <v>20</v>
      </c>
      <c r="K1294" s="222" t="s">
        <v>8074</v>
      </c>
    </row>
    <row r="1295" spans="1:11" hidden="1" x14ac:dyDescent="0.25">
      <c r="A1295" s="203"/>
      <c r="B1295" s="205"/>
      <c r="C1295" s="31"/>
      <c r="D1295" s="31"/>
      <c r="E1295" s="32"/>
      <c r="F1295" s="42" t="s">
        <v>514</v>
      </c>
      <c r="G1295" s="30" t="str">
        <f t="shared" si="20"/>
        <v/>
      </c>
      <c r="H1295" s="34"/>
      <c r="I1295" s="30"/>
      <c r="J1295" s="148">
        <v>20</v>
      </c>
      <c r="K1295" s="222" t="s">
        <v>8074</v>
      </c>
    </row>
    <row r="1296" spans="1:11" hidden="1" x14ac:dyDescent="0.25">
      <c r="A1296" s="203"/>
      <c r="B1296" s="205"/>
      <c r="C1296" s="35" t="s">
        <v>22</v>
      </c>
      <c r="D1296" s="35" t="s">
        <v>12</v>
      </c>
      <c r="E1296" s="36">
        <v>1</v>
      </c>
      <c r="F1296" s="30">
        <v>24.889999999999997</v>
      </c>
      <c r="G1296" s="33">
        <f t="shared" si="20"/>
        <v>24.889999999999997</v>
      </c>
      <c r="H1296" s="38">
        <f>SUM(G1296:G1299)</f>
        <v>194.3655</v>
      </c>
      <c r="I1296" s="39"/>
      <c r="J1296" s="148">
        <v>20</v>
      </c>
      <c r="K1296" s="222" t="s">
        <v>8074</v>
      </c>
    </row>
    <row r="1297" spans="1:11" hidden="1" x14ac:dyDescent="0.25">
      <c r="A1297" s="203"/>
      <c r="B1297" s="205"/>
      <c r="C1297" s="35" t="s">
        <v>23</v>
      </c>
      <c r="D1297" s="35" t="s">
        <v>12</v>
      </c>
      <c r="E1297" s="36">
        <v>1</v>
      </c>
      <c r="F1297" s="30">
        <v>18.420500000000001</v>
      </c>
      <c r="G1297" s="33">
        <f t="shared" si="20"/>
        <v>18.420500000000001</v>
      </c>
      <c r="H1297" s="34"/>
      <c r="I1297" s="30"/>
      <c r="J1297" s="148">
        <v>20</v>
      </c>
      <c r="K1297" s="222" t="s">
        <v>8074</v>
      </c>
    </row>
    <row r="1298" spans="1:11" ht="25.5" hidden="1" x14ac:dyDescent="0.25">
      <c r="A1298" s="203"/>
      <c r="B1298" s="205"/>
      <c r="C1298" s="35" t="s">
        <v>397</v>
      </c>
      <c r="D1298" s="35" t="s">
        <v>20</v>
      </c>
      <c r="E1298" s="36">
        <v>1</v>
      </c>
      <c r="F1298" s="33">
        <v>147.35</v>
      </c>
      <c r="G1298" s="30">
        <f t="shared" si="20"/>
        <v>147.35</v>
      </c>
      <c r="H1298" s="34"/>
      <c r="I1298" s="30"/>
      <c r="J1298" s="148">
        <v>20</v>
      </c>
      <c r="K1298" s="222" t="s">
        <v>8074</v>
      </c>
    </row>
    <row r="1299" spans="1:11" ht="25.5" hidden="1" x14ac:dyDescent="0.25">
      <c r="A1299" s="203"/>
      <c r="B1299" s="205"/>
      <c r="C1299" s="35" t="s">
        <v>391</v>
      </c>
      <c r="D1299" s="46" t="s">
        <v>278</v>
      </c>
      <c r="E1299" s="36">
        <v>6</v>
      </c>
      <c r="F1299" s="33">
        <v>0.61749999999999994</v>
      </c>
      <c r="G1299" s="33">
        <f t="shared" ref="G1299:G1362" si="21">IF(ISNUMBER(F1299),E1299*F1299,"")</f>
        <v>3.7049999999999996</v>
      </c>
      <c r="H1299" s="34"/>
      <c r="I1299" s="30"/>
      <c r="J1299" s="148">
        <v>20</v>
      </c>
      <c r="K1299" s="222" t="s">
        <v>8074</v>
      </c>
    </row>
    <row r="1300" spans="1:11" ht="15.75" hidden="1" thickBot="1" x14ac:dyDescent="0.3">
      <c r="A1300" s="209"/>
      <c r="B1300" s="206"/>
      <c r="C1300" s="35"/>
      <c r="D1300" s="35"/>
      <c r="E1300" s="36"/>
      <c r="F1300" s="30" t="s">
        <v>514</v>
      </c>
      <c r="G1300" s="30" t="str">
        <f t="shared" si="21"/>
        <v/>
      </c>
      <c r="H1300" s="34"/>
      <c r="I1300" s="30"/>
      <c r="J1300" s="148">
        <v>20</v>
      </c>
      <c r="K1300" s="222" t="s">
        <v>8074</v>
      </c>
    </row>
    <row r="1301" spans="1:11" ht="15.75" hidden="1" thickBot="1" x14ac:dyDescent="0.3">
      <c r="A1301" s="202" t="s">
        <v>398</v>
      </c>
      <c r="B1301" s="204" t="str">
        <f>INDEX(Orçamentária!A:B,MATCH(Composições!A1301,Orçamentária!A:A,0),2)</f>
        <v>Lavatório suspenso – Linha Acessibilidade</v>
      </c>
      <c r="C1301" s="40"/>
      <c r="D1301" s="25" t="str">
        <f>TRIM(INDEX(Orçamentária!C:C,MATCH(Composições!A1301,Orçamentária!A:A,0),1))</f>
        <v>un</v>
      </c>
      <c r="E1301" s="26"/>
      <c r="F1301" s="41" t="s">
        <v>514</v>
      </c>
      <c r="G1301" s="27" t="str">
        <f t="shared" si="21"/>
        <v/>
      </c>
      <c r="H1301" s="28"/>
      <c r="I1301" s="29"/>
      <c r="J1301" s="148">
        <v>10</v>
      </c>
      <c r="K1301" s="222" t="s">
        <v>8074</v>
      </c>
    </row>
    <row r="1302" spans="1:11" hidden="1" x14ac:dyDescent="0.25">
      <c r="A1302" s="203"/>
      <c r="B1302" s="205"/>
      <c r="C1302" s="31"/>
      <c r="D1302" s="31"/>
      <c r="E1302" s="32"/>
      <c r="F1302" s="42" t="s">
        <v>514</v>
      </c>
      <c r="G1302" s="30" t="str">
        <f t="shared" si="21"/>
        <v/>
      </c>
      <c r="H1302" s="34"/>
      <c r="I1302" s="30"/>
      <c r="J1302" s="148">
        <v>10</v>
      </c>
      <c r="K1302" s="222" t="s">
        <v>8074</v>
      </c>
    </row>
    <row r="1303" spans="1:11" ht="25.5" hidden="1" x14ac:dyDescent="0.25">
      <c r="A1303" s="203"/>
      <c r="B1303" s="205"/>
      <c r="C1303" s="35" t="s">
        <v>399</v>
      </c>
      <c r="D1303" s="46" t="s">
        <v>143</v>
      </c>
      <c r="E1303" s="36">
        <v>1</v>
      </c>
      <c r="F1303" s="33">
        <v>275.18</v>
      </c>
      <c r="G1303" s="33">
        <f t="shared" si="21"/>
        <v>275.18</v>
      </c>
      <c r="H1303" s="38">
        <f>SUM(G1303:G1307)</f>
        <v>322.20901090000001</v>
      </c>
      <c r="I1303" s="39"/>
      <c r="J1303" s="148">
        <v>10</v>
      </c>
      <c r="K1303" s="222" t="s">
        <v>8074</v>
      </c>
    </row>
    <row r="1304" spans="1:11" ht="25.5" hidden="1" x14ac:dyDescent="0.25">
      <c r="A1304" s="203"/>
      <c r="B1304" s="205"/>
      <c r="C1304" s="35" t="s">
        <v>339</v>
      </c>
      <c r="D1304" s="46" t="s">
        <v>278</v>
      </c>
      <c r="E1304" s="36">
        <v>2</v>
      </c>
      <c r="F1304" s="33">
        <v>16.093</v>
      </c>
      <c r="G1304" s="33">
        <f t="shared" si="21"/>
        <v>32.186</v>
      </c>
      <c r="H1304" s="34"/>
      <c r="I1304" s="30"/>
      <c r="J1304" s="148">
        <v>10</v>
      </c>
      <c r="K1304" s="222" t="s">
        <v>8074</v>
      </c>
    </row>
    <row r="1305" spans="1:11" hidden="1" x14ac:dyDescent="0.25">
      <c r="A1305" s="203"/>
      <c r="B1305" s="205"/>
      <c r="C1305" s="35" t="s">
        <v>3514</v>
      </c>
      <c r="D1305" s="46" t="s">
        <v>42</v>
      </c>
      <c r="E1305" s="36">
        <v>3.04E-2</v>
      </c>
      <c r="F1305" s="33">
        <v>64.619</v>
      </c>
      <c r="G1305" s="33">
        <f t="shared" si="21"/>
        <v>1.9644176</v>
      </c>
      <c r="H1305" s="34"/>
      <c r="I1305" s="30"/>
      <c r="J1305" s="148">
        <v>10</v>
      </c>
      <c r="K1305" s="222" t="s">
        <v>8074</v>
      </c>
    </row>
    <row r="1306" spans="1:11" hidden="1" x14ac:dyDescent="0.25">
      <c r="A1306" s="203"/>
      <c r="B1306" s="205"/>
      <c r="C1306" s="35" t="s">
        <v>39</v>
      </c>
      <c r="D1306" s="46" t="s">
        <v>12</v>
      </c>
      <c r="E1306" s="36">
        <v>0.38700000000000001</v>
      </c>
      <c r="F1306" s="30">
        <v>24.300999999999998</v>
      </c>
      <c r="G1306" s="33">
        <f t="shared" si="21"/>
        <v>9.4044869999999996</v>
      </c>
      <c r="H1306" s="34"/>
      <c r="I1306" s="30"/>
      <c r="J1306" s="148">
        <v>10</v>
      </c>
      <c r="K1306" s="222" t="s">
        <v>8074</v>
      </c>
    </row>
    <row r="1307" spans="1:11" hidden="1" x14ac:dyDescent="0.25">
      <c r="A1307" s="203"/>
      <c r="B1307" s="205"/>
      <c r="C1307" s="35" t="s">
        <v>23</v>
      </c>
      <c r="D1307" s="46" t="s">
        <v>12</v>
      </c>
      <c r="E1307" s="36">
        <v>0.18859999999999999</v>
      </c>
      <c r="F1307" s="30">
        <v>18.420500000000001</v>
      </c>
      <c r="G1307" s="33">
        <f t="shared" si="21"/>
        <v>3.4741062999999999</v>
      </c>
      <c r="H1307" s="34"/>
      <c r="I1307" s="30"/>
      <c r="J1307" s="148">
        <v>10</v>
      </c>
      <c r="K1307" s="222" t="s">
        <v>8074</v>
      </c>
    </row>
    <row r="1308" spans="1:11" ht="15.75" hidden="1" thickBot="1" x14ac:dyDescent="0.3">
      <c r="A1308" s="209"/>
      <c r="B1308" s="206"/>
      <c r="C1308" s="35"/>
      <c r="D1308" s="35"/>
      <c r="E1308" s="36"/>
      <c r="F1308" s="30" t="s">
        <v>514</v>
      </c>
      <c r="G1308" s="30" t="str">
        <f t="shared" si="21"/>
        <v/>
      </c>
      <c r="H1308" s="34"/>
      <c r="I1308" s="30"/>
      <c r="J1308" s="148">
        <v>10</v>
      </c>
      <c r="K1308" s="222" t="s">
        <v>8074</v>
      </c>
    </row>
    <row r="1309" spans="1:11" ht="15.75" hidden="1" thickBot="1" x14ac:dyDescent="0.3">
      <c r="A1309" s="202" t="s">
        <v>400</v>
      </c>
      <c r="B1309" s="204" t="str">
        <f>INDEX(Orçamentária!A:B,MATCH(Composições!A1309,Orçamentária!A:A,0),2)</f>
        <v>Lavatório suspenso com Coluna – Linha Acessibilidade</v>
      </c>
      <c r="C1309" s="40"/>
      <c r="D1309" s="25" t="str">
        <f>TRIM(INDEX(Orçamentária!C:C,MATCH(Composições!A1309,Orçamentária!A:A,0),1))</f>
        <v>un</v>
      </c>
      <c r="E1309" s="26"/>
      <c r="F1309" s="41" t="s">
        <v>514</v>
      </c>
      <c r="G1309" s="27" t="str">
        <f t="shared" si="21"/>
        <v/>
      </c>
      <c r="H1309" s="28"/>
      <c r="I1309" s="29"/>
      <c r="J1309" s="148">
        <v>10</v>
      </c>
      <c r="K1309" s="222" t="s">
        <v>8074</v>
      </c>
    </row>
    <row r="1310" spans="1:11" hidden="1" x14ac:dyDescent="0.25">
      <c r="A1310" s="203"/>
      <c r="B1310" s="205"/>
      <c r="C1310" s="31"/>
      <c r="D1310" s="31"/>
      <c r="E1310" s="32"/>
      <c r="F1310" s="42" t="s">
        <v>514</v>
      </c>
      <c r="G1310" s="30" t="str">
        <f t="shared" si="21"/>
        <v/>
      </c>
      <c r="H1310" s="34"/>
      <c r="I1310" s="30"/>
      <c r="J1310" s="148">
        <v>10</v>
      </c>
      <c r="K1310" s="222" t="s">
        <v>8074</v>
      </c>
    </row>
    <row r="1311" spans="1:11" hidden="1" x14ac:dyDescent="0.25">
      <c r="A1311" s="203"/>
      <c r="B1311" s="205"/>
      <c r="C1311" s="35" t="s">
        <v>39</v>
      </c>
      <c r="D1311" s="46" t="s">
        <v>12</v>
      </c>
      <c r="E1311" s="36">
        <v>1.4666999999999999</v>
      </c>
      <c r="F1311" s="30">
        <v>24.300999999999998</v>
      </c>
      <c r="G1311" s="33">
        <f t="shared" si="21"/>
        <v>35.642276699999996</v>
      </c>
      <c r="H1311" s="38">
        <f>SUM(G1311:G1316)</f>
        <v>701.94092195000007</v>
      </c>
      <c r="I1311" s="39"/>
      <c r="J1311" s="148">
        <v>10</v>
      </c>
      <c r="K1311" s="222" t="s">
        <v>8074</v>
      </c>
    </row>
    <row r="1312" spans="1:11" hidden="1" x14ac:dyDescent="0.25">
      <c r="A1312" s="203"/>
      <c r="B1312" s="205"/>
      <c r="C1312" s="35" t="s">
        <v>23</v>
      </c>
      <c r="D1312" s="46" t="s">
        <v>12</v>
      </c>
      <c r="E1312" s="36">
        <v>0.65169999999999995</v>
      </c>
      <c r="F1312" s="30">
        <v>18.420500000000001</v>
      </c>
      <c r="G1312" s="33">
        <f t="shared" si="21"/>
        <v>12.00463985</v>
      </c>
      <c r="H1312" s="34"/>
      <c r="I1312" s="30"/>
      <c r="J1312" s="148">
        <v>10</v>
      </c>
      <c r="K1312" s="222" t="s">
        <v>8074</v>
      </c>
    </row>
    <row r="1313" spans="1:11" ht="25.5" hidden="1" x14ac:dyDescent="0.25">
      <c r="A1313" s="203"/>
      <c r="B1313" s="205"/>
      <c r="C1313" s="35" t="s">
        <v>399</v>
      </c>
      <c r="D1313" s="46" t="s">
        <v>143</v>
      </c>
      <c r="E1313" s="36">
        <v>1</v>
      </c>
      <c r="F1313" s="33">
        <v>275.18</v>
      </c>
      <c r="G1313" s="33">
        <f t="shared" si="21"/>
        <v>275.18</v>
      </c>
      <c r="H1313" s="34"/>
      <c r="I1313" s="30"/>
      <c r="J1313" s="148">
        <v>10</v>
      </c>
      <c r="K1313" s="222" t="s">
        <v>8074</v>
      </c>
    </row>
    <row r="1314" spans="1:11" ht="25.5" hidden="1" x14ac:dyDescent="0.25">
      <c r="A1314" s="203"/>
      <c r="B1314" s="205"/>
      <c r="C1314" s="35" t="s">
        <v>339</v>
      </c>
      <c r="D1314" s="46" t="s">
        <v>278</v>
      </c>
      <c r="E1314" s="36">
        <v>6</v>
      </c>
      <c r="F1314" s="33">
        <v>16.093</v>
      </c>
      <c r="G1314" s="33">
        <f t="shared" si="21"/>
        <v>96.557999999999993</v>
      </c>
      <c r="H1314" s="34"/>
      <c r="I1314" s="30"/>
      <c r="J1314" s="148">
        <v>10</v>
      </c>
      <c r="K1314" s="222" t="s">
        <v>8074</v>
      </c>
    </row>
    <row r="1315" spans="1:11" hidden="1" x14ac:dyDescent="0.25">
      <c r="A1315" s="203"/>
      <c r="B1315" s="205"/>
      <c r="C1315" s="35" t="s">
        <v>3514</v>
      </c>
      <c r="D1315" s="46" t="s">
        <v>42</v>
      </c>
      <c r="E1315" s="36">
        <v>8.6599999999999996E-2</v>
      </c>
      <c r="F1315" s="33">
        <v>64.619</v>
      </c>
      <c r="G1315" s="33">
        <f t="shared" si="21"/>
        <v>5.5960054000000001</v>
      </c>
      <c r="H1315" s="34"/>
      <c r="I1315" s="30"/>
      <c r="J1315" s="148">
        <v>10</v>
      </c>
      <c r="K1315" s="222" t="s">
        <v>8074</v>
      </c>
    </row>
    <row r="1316" spans="1:11" ht="25.5" hidden="1" x14ac:dyDescent="0.25">
      <c r="A1316" s="203"/>
      <c r="B1316" s="205"/>
      <c r="C1316" s="35" t="s">
        <v>401</v>
      </c>
      <c r="D1316" s="35" t="s">
        <v>20</v>
      </c>
      <c r="E1316" s="36">
        <v>1</v>
      </c>
      <c r="F1316" s="33">
        <v>276.95999999999998</v>
      </c>
      <c r="G1316" s="30">
        <f t="shared" si="21"/>
        <v>276.95999999999998</v>
      </c>
      <c r="H1316" s="34"/>
      <c r="I1316" s="30"/>
      <c r="J1316" s="148">
        <v>10</v>
      </c>
      <c r="K1316" s="222" t="s">
        <v>8074</v>
      </c>
    </row>
    <row r="1317" spans="1:11" hidden="1" x14ac:dyDescent="0.25">
      <c r="A1317" s="203"/>
      <c r="B1317" s="205"/>
      <c r="C1317" s="35"/>
      <c r="D1317" s="35"/>
      <c r="E1317" s="36"/>
      <c r="F1317" s="33" t="s">
        <v>514</v>
      </c>
      <c r="G1317" s="30" t="str">
        <f t="shared" si="21"/>
        <v/>
      </c>
      <c r="H1317" s="34"/>
      <c r="I1317" s="30"/>
      <c r="J1317" s="148">
        <v>10</v>
      </c>
      <c r="K1317" s="222" t="s">
        <v>8074</v>
      </c>
    </row>
    <row r="1318" spans="1:11" ht="15.75" hidden="1" thickBot="1" x14ac:dyDescent="0.3">
      <c r="A1318" s="202" t="s">
        <v>402</v>
      </c>
      <c r="B1318" s="204" t="str">
        <f>INDEX(Orçamentária!A:B,MATCH(Composições!A1318,Orçamentária!A:A,0),2)</f>
        <v>Cabide</v>
      </c>
      <c r="C1318" s="40"/>
      <c r="D1318" s="25" t="str">
        <f>TRIM(INDEX(Orçamentária!C:C,MATCH(Composições!A1318,Orçamentária!A:A,0),1))</f>
        <v>un</v>
      </c>
      <c r="E1318" s="26"/>
      <c r="F1318" s="41" t="s">
        <v>514</v>
      </c>
      <c r="G1318" s="27" t="str">
        <f t="shared" si="21"/>
        <v/>
      </c>
      <c r="H1318" s="28"/>
      <c r="I1318" s="29"/>
      <c r="J1318" s="148">
        <v>80</v>
      </c>
      <c r="K1318" s="222" t="s">
        <v>8074</v>
      </c>
    </row>
    <row r="1319" spans="1:11" hidden="1" x14ac:dyDescent="0.25">
      <c r="A1319" s="203"/>
      <c r="B1319" s="205"/>
      <c r="C1319" s="31"/>
      <c r="D1319" s="31"/>
      <c r="E1319" s="32"/>
      <c r="F1319" s="42" t="s">
        <v>514</v>
      </c>
      <c r="G1319" s="30" t="str">
        <f t="shared" si="21"/>
        <v/>
      </c>
      <c r="H1319" s="34"/>
      <c r="I1319" s="30"/>
      <c r="J1319" s="148">
        <v>80</v>
      </c>
      <c r="K1319" s="222" t="s">
        <v>8074</v>
      </c>
    </row>
    <row r="1320" spans="1:11" hidden="1" x14ac:dyDescent="0.25">
      <c r="A1320" s="203"/>
      <c r="B1320" s="205"/>
      <c r="C1320" s="35" t="s">
        <v>403</v>
      </c>
      <c r="D1320" s="46" t="s">
        <v>143</v>
      </c>
      <c r="E1320" s="36">
        <v>1</v>
      </c>
      <c r="F1320" s="33">
        <v>88.8</v>
      </c>
      <c r="G1320" s="33">
        <f t="shared" si="21"/>
        <v>88.8</v>
      </c>
      <c r="H1320" s="38">
        <f>SUM(G1320:G1322)</f>
        <v>98.318657999999999</v>
      </c>
      <c r="I1320" s="39"/>
      <c r="J1320" s="148">
        <v>80</v>
      </c>
      <c r="K1320" s="222" t="s">
        <v>8074</v>
      </c>
    </row>
    <row r="1321" spans="1:11" hidden="1" x14ac:dyDescent="0.25">
      <c r="A1321" s="203"/>
      <c r="B1321" s="205"/>
      <c r="C1321" s="35" t="s">
        <v>39</v>
      </c>
      <c r="D1321" s="46" t="s">
        <v>12</v>
      </c>
      <c r="E1321" s="36">
        <v>0.31619999999999998</v>
      </c>
      <c r="F1321" s="30">
        <v>24.300999999999998</v>
      </c>
      <c r="G1321" s="33">
        <f t="shared" si="21"/>
        <v>7.6839761999999991</v>
      </c>
      <c r="H1321" s="34"/>
      <c r="I1321" s="30"/>
      <c r="J1321" s="148">
        <v>80</v>
      </c>
      <c r="K1321" s="222" t="s">
        <v>8074</v>
      </c>
    </row>
    <row r="1322" spans="1:11" hidden="1" x14ac:dyDescent="0.25">
      <c r="A1322" s="203"/>
      <c r="B1322" s="205"/>
      <c r="C1322" s="35" t="s">
        <v>23</v>
      </c>
      <c r="D1322" s="46" t="s">
        <v>12</v>
      </c>
      <c r="E1322" s="36">
        <v>9.9599999999999994E-2</v>
      </c>
      <c r="F1322" s="30">
        <v>18.420500000000001</v>
      </c>
      <c r="G1322" s="33">
        <f t="shared" si="21"/>
        <v>1.8346818</v>
      </c>
      <c r="H1322" s="34"/>
      <c r="I1322" s="30"/>
      <c r="J1322" s="148">
        <v>80</v>
      </c>
      <c r="K1322" s="222" t="s">
        <v>8074</v>
      </c>
    </row>
    <row r="1323" spans="1:11" ht="15.75" hidden="1" thickBot="1" x14ac:dyDescent="0.3">
      <c r="A1323" s="209"/>
      <c r="B1323" s="206"/>
      <c r="C1323" s="35"/>
      <c r="D1323" s="35"/>
      <c r="E1323" s="36"/>
      <c r="F1323" s="30" t="s">
        <v>514</v>
      </c>
      <c r="G1323" s="30" t="str">
        <f t="shared" si="21"/>
        <v/>
      </c>
      <c r="H1323" s="34"/>
      <c r="I1323" s="30"/>
      <c r="J1323" s="148">
        <v>80</v>
      </c>
      <c r="K1323" s="222" t="s">
        <v>8074</v>
      </c>
    </row>
    <row r="1324" spans="1:11" ht="15.75" hidden="1" thickBot="1" x14ac:dyDescent="0.3">
      <c r="A1324" s="202" t="s">
        <v>404</v>
      </c>
      <c r="B1324" s="204" t="str">
        <f>INDEX(Orçamentária!A:B,MATCH(Composições!A1324,Orçamentária!A:A,0),2)</f>
        <v>Papeleira</v>
      </c>
      <c r="C1324" s="40"/>
      <c r="D1324" s="25" t="str">
        <f>TRIM(INDEX(Orçamentária!C:C,MATCH(Composições!A1324,Orçamentária!A:A,0),1))</f>
        <v>un</v>
      </c>
      <c r="E1324" s="26"/>
      <c r="F1324" s="41" t="s">
        <v>514</v>
      </c>
      <c r="G1324" s="27" t="str">
        <f t="shared" si="21"/>
        <v/>
      </c>
      <c r="H1324" s="28"/>
      <c r="I1324" s="29"/>
      <c r="J1324" s="148">
        <v>90</v>
      </c>
      <c r="K1324" s="222" t="s">
        <v>8074</v>
      </c>
    </row>
    <row r="1325" spans="1:11" hidden="1" x14ac:dyDescent="0.25">
      <c r="A1325" s="203"/>
      <c r="B1325" s="205"/>
      <c r="C1325" s="31"/>
      <c r="D1325" s="31"/>
      <c r="E1325" s="32"/>
      <c r="F1325" s="42" t="s">
        <v>514</v>
      </c>
      <c r="G1325" s="30" t="str">
        <f t="shared" si="21"/>
        <v/>
      </c>
      <c r="H1325" s="34"/>
      <c r="I1325" s="30"/>
      <c r="J1325" s="148">
        <v>90</v>
      </c>
      <c r="K1325" s="222" t="s">
        <v>8074</v>
      </c>
    </row>
    <row r="1326" spans="1:11" hidden="1" x14ac:dyDescent="0.25">
      <c r="A1326" s="203"/>
      <c r="B1326" s="205"/>
      <c r="C1326" s="35" t="s">
        <v>405</v>
      </c>
      <c r="D1326" s="46" t="s">
        <v>143</v>
      </c>
      <c r="E1326" s="36">
        <v>1</v>
      </c>
      <c r="F1326" s="33">
        <v>158.63999999999999</v>
      </c>
      <c r="G1326" s="33">
        <f t="shared" si="21"/>
        <v>158.63999999999999</v>
      </c>
      <c r="H1326" s="38">
        <f>SUM(G1326:G1328)</f>
        <v>168.15865799999997</v>
      </c>
      <c r="I1326" s="39"/>
      <c r="J1326" s="148">
        <v>90</v>
      </c>
      <c r="K1326" s="222" t="s">
        <v>8074</v>
      </c>
    </row>
    <row r="1327" spans="1:11" hidden="1" x14ac:dyDescent="0.25">
      <c r="A1327" s="203"/>
      <c r="B1327" s="205"/>
      <c r="C1327" s="35" t="s">
        <v>39</v>
      </c>
      <c r="D1327" s="46" t="s">
        <v>12</v>
      </c>
      <c r="E1327" s="36">
        <v>0.31619999999999998</v>
      </c>
      <c r="F1327" s="30">
        <v>24.300999999999998</v>
      </c>
      <c r="G1327" s="33">
        <f t="shared" si="21"/>
        <v>7.6839761999999991</v>
      </c>
      <c r="H1327" s="34"/>
      <c r="I1327" s="30"/>
      <c r="J1327" s="148">
        <v>90</v>
      </c>
      <c r="K1327" s="222" t="s">
        <v>8074</v>
      </c>
    </row>
    <row r="1328" spans="1:11" hidden="1" x14ac:dyDescent="0.25">
      <c r="A1328" s="203"/>
      <c r="B1328" s="205"/>
      <c r="C1328" s="35" t="s">
        <v>23</v>
      </c>
      <c r="D1328" s="46" t="s">
        <v>12</v>
      </c>
      <c r="E1328" s="36">
        <v>9.9599999999999994E-2</v>
      </c>
      <c r="F1328" s="30">
        <v>18.420500000000001</v>
      </c>
      <c r="G1328" s="33">
        <f t="shared" si="21"/>
        <v>1.8346818</v>
      </c>
      <c r="H1328" s="34"/>
      <c r="I1328" s="30"/>
      <c r="J1328" s="148">
        <v>90</v>
      </c>
      <c r="K1328" s="222" t="s">
        <v>8074</v>
      </c>
    </row>
    <row r="1329" spans="1:11" ht="15.75" hidden="1" thickBot="1" x14ac:dyDescent="0.3">
      <c r="A1329" s="209"/>
      <c r="B1329" s="206"/>
      <c r="C1329" s="35"/>
      <c r="D1329" s="35"/>
      <c r="E1329" s="36"/>
      <c r="F1329" s="30" t="s">
        <v>514</v>
      </c>
      <c r="G1329" s="30" t="str">
        <f t="shared" si="21"/>
        <v/>
      </c>
      <c r="H1329" s="34"/>
      <c r="I1329" s="30"/>
      <c r="J1329" s="148">
        <v>90</v>
      </c>
      <c r="K1329" s="222" t="s">
        <v>8074</v>
      </c>
    </row>
    <row r="1330" spans="1:11" ht="15.75" hidden="1" thickBot="1" x14ac:dyDescent="0.3">
      <c r="A1330" s="202" t="s">
        <v>406</v>
      </c>
      <c r="B1330" s="204" t="str">
        <f>INDEX(Orçamentária!A:B,MATCH(Composições!A1330,Orçamentária!A:A,0),2)</f>
        <v>Porta toalha argola</v>
      </c>
      <c r="C1330" s="40"/>
      <c r="D1330" s="25" t="str">
        <f>TRIM(INDEX(Orçamentária!C:C,MATCH(Composições!A1330,Orçamentária!A:A,0),1))</f>
        <v>un</v>
      </c>
      <c r="E1330" s="26"/>
      <c r="F1330" s="41" t="s">
        <v>514</v>
      </c>
      <c r="G1330" s="27" t="str">
        <f t="shared" si="21"/>
        <v/>
      </c>
      <c r="H1330" s="28"/>
      <c r="I1330" s="29"/>
      <c r="J1330" s="148">
        <v>80</v>
      </c>
      <c r="K1330" s="222" t="s">
        <v>8074</v>
      </c>
    </row>
    <row r="1331" spans="1:11" hidden="1" x14ac:dyDescent="0.25">
      <c r="A1331" s="203"/>
      <c r="B1331" s="205"/>
      <c r="C1331" s="31"/>
      <c r="D1331" s="31"/>
      <c r="E1331" s="32"/>
      <c r="F1331" s="42" t="s">
        <v>514</v>
      </c>
      <c r="G1331" s="30" t="str">
        <f t="shared" si="21"/>
        <v/>
      </c>
      <c r="H1331" s="34"/>
      <c r="I1331" s="30"/>
      <c r="J1331" s="148">
        <v>80</v>
      </c>
      <c r="K1331" s="222" t="s">
        <v>8074</v>
      </c>
    </row>
    <row r="1332" spans="1:11" ht="25.5" hidden="1" x14ac:dyDescent="0.25">
      <c r="A1332" s="203"/>
      <c r="B1332" s="205"/>
      <c r="C1332" s="35" t="s">
        <v>407</v>
      </c>
      <c r="D1332" s="46" t="s">
        <v>143</v>
      </c>
      <c r="E1332" s="36">
        <v>1</v>
      </c>
      <c r="F1332" s="33">
        <v>193.7</v>
      </c>
      <c r="G1332" s="33">
        <f t="shared" si="21"/>
        <v>193.7</v>
      </c>
      <c r="H1332" s="38">
        <f>SUM(G1332:G1334)</f>
        <v>203.21865799999998</v>
      </c>
      <c r="I1332" s="39"/>
      <c r="J1332" s="148">
        <v>80</v>
      </c>
      <c r="K1332" s="222" t="s">
        <v>8074</v>
      </c>
    </row>
    <row r="1333" spans="1:11" hidden="1" x14ac:dyDescent="0.25">
      <c r="A1333" s="203"/>
      <c r="B1333" s="205"/>
      <c r="C1333" s="35" t="s">
        <v>39</v>
      </c>
      <c r="D1333" s="46" t="s">
        <v>12</v>
      </c>
      <c r="E1333" s="36">
        <v>0.31619999999999998</v>
      </c>
      <c r="F1333" s="30">
        <v>24.300999999999998</v>
      </c>
      <c r="G1333" s="33">
        <f t="shared" si="21"/>
        <v>7.6839761999999991</v>
      </c>
      <c r="H1333" s="34"/>
      <c r="I1333" s="30"/>
      <c r="J1333" s="148">
        <v>80</v>
      </c>
      <c r="K1333" s="222" t="s">
        <v>8074</v>
      </c>
    </row>
    <row r="1334" spans="1:11" hidden="1" x14ac:dyDescent="0.25">
      <c r="A1334" s="203"/>
      <c r="B1334" s="205"/>
      <c r="C1334" s="35" t="s">
        <v>23</v>
      </c>
      <c r="D1334" s="46" t="s">
        <v>12</v>
      </c>
      <c r="E1334" s="36">
        <v>9.9599999999999994E-2</v>
      </c>
      <c r="F1334" s="30">
        <v>18.420500000000001</v>
      </c>
      <c r="G1334" s="33">
        <f t="shared" si="21"/>
        <v>1.8346818</v>
      </c>
      <c r="H1334" s="34"/>
      <c r="I1334" s="30"/>
      <c r="J1334" s="148">
        <v>80</v>
      </c>
      <c r="K1334" s="222" t="s">
        <v>8074</v>
      </c>
    </row>
    <row r="1335" spans="1:11" ht="15.75" hidden="1" thickBot="1" x14ac:dyDescent="0.3">
      <c r="A1335" s="209"/>
      <c r="B1335" s="206"/>
      <c r="C1335" s="35"/>
      <c r="D1335" s="35"/>
      <c r="E1335" s="36"/>
      <c r="F1335" s="30" t="s">
        <v>514</v>
      </c>
      <c r="G1335" s="30" t="str">
        <f t="shared" si="21"/>
        <v/>
      </c>
      <c r="H1335" s="34"/>
      <c r="I1335" s="30"/>
      <c r="J1335" s="148">
        <v>80</v>
      </c>
      <c r="K1335" s="222" t="s">
        <v>8074</v>
      </c>
    </row>
    <row r="1336" spans="1:11" ht="15.75" hidden="1" thickBot="1" x14ac:dyDescent="0.3">
      <c r="A1336" s="202" t="s">
        <v>408</v>
      </c>
      <c r="B1336" s="204" t="str">
        <f>INDEX(Orçamentária!A:B,MATCH(Composições!A1336,Orçamentária!A:A,0),2)</f>
        <v>Porta toalha barra</v>
      </c>
      <c r="C1336" s="40"/>
      <c r="D1336" s="25" t="str">
        <f>TRIM(INDEX(Orçamentária!C:C,MATCH(Composições!A1336,Orçamentária!A:A,0),1))</f>
        <v>un</v>
      </c>
      <c r="E1336" s="26"/>
      <c r="F1336" s="41" t="s">
        <v>514</v>
      </c>
      <c r="G1336" s="27" t="str">
        <f t="shared" si="21"/>
        <v/>
      </c>
      <c r="H1336" s="28"/>
      <c r="I1336" s="29"/>
      <c r="J1336" s="148">
        <v>70</v>
      </c>
      <c r="K1336" s="222" t="s">
        <v>8074</v>
      </c>
    </row>
    <row r="1337" spans="1:11" hidden="1" x14ac:dyDescent="0.25">
      <c r="A1337" s="203"/>
      <c r="B1337" s="205"/>
      <c r="C1337" s="31"/>
      <c r="D1337" s="31"/>
      <c r="E1337" s="32"/>
      <c r="F1337" s="42" t="s">
        <v>514</v>
      </c>
      <c r="G1337" s="30" t="str">
        <f t="shared" si="21"/>
        <v/>
      </c>
      <c r="H1337" s="34"/>
      <c r="I1337" s="30"/>
      <c r="J1337" s="148">
        <v>70</v>
      </c>
      <c r="K1337" s="222" t="s">
        <v>8074</v>
      </c>
    </row>
    <row r="1338" spans="1:11" ht="25.5" hidden="1" x14ac:dyDescent="0.25">
      <c r="A1338" s="203"/>
      <c r="B1338" s="205"/>
      <c r="C1338" s="35" t="s">
        <v>409</v>
      </c>
      <c r="D1338" s="46" t="s">
        <v>143</v>
      </c>
      <c r="E1338" s="36">
        <v>1</v>
      </c>
      <c r="F1338" s="33">
        <v>239.23</v>
      </c>
      <c r="G1338" s="33">
        <f t="shared" si="21"/>
        <v>239.23</v>
      </c>
      <c r="H1338" s="38">
        <f>SUM(G1338:G1340)</f>
        <v>258.26488590000002</v>
      </c>
      <c r="I1338" s="39"/>
      <c r="J1338" s="148">
        <v>70</v>
      </c>
      <c r="K1338" s="222" t="s">
        <v>8074</v>
      </c>
    </row>
    <row r="1339" spans="1:11" hidden="1" x14ac:dyDescent="0.25">
      <c r="A1339" s="203"/>
      <c r="B1339" s="205"/>
      <c r="C1339" s="35" t="s">
        <v>39</v>
      </c>
      <c r="D1339" s="46" t="s">
        <v>12</v>
      </c>
      <c r="E1339" s="36">
        <v>0.63229999999999997</v>
      </c>
      <c r="F1339" s="30">
        <v>24.300999999999998</v>
      </c>
      <c r="G1339" s="33">
        <f t="shared" si="21"/>
        <v>15.365522299999999</v>
      </c>
      <c r="H1339" s="34"/>
      <c r="I1339" s="30"/>
      <c r="J1339" s="148">
        <v>70</v>
      </c>
      <c r="K1339" s="222" t="s">
        <v>8074</v>
      </c>
    </row>
    <row r="1340" spans="1:11" hidden="1" x14ac:dyDescent="0.25">
      <c r="A1340" s="203"/>
      <c r="B1340" s="205"/>
      <c r="C1340" s="35" t="s">
        <v>23</v>
      </c>
      <c r="D1340" s="46" t="s">
        <v>12</v>
      </c>
      <c r="E1340" s="36">
        <v>0.19919999999999999</v>
      </c>
      <c r="F1340" s="30">
        <v>18.420500000000001</v>
      </c>
      <c r="G1340" s="33">
        <f t="shared" si="21"/>
        <v>3.6693636000000001</v>
      </c>
      <c r="H1340" s="34"/>
      <c r="I1340" s="30"/>
      <c r="J1340" s="148">
        <v>70</v>
      </c>
      <c r="K1340" s="222" t="s">
        <v>8074</v>
      </c>
    </row>
    <row r="1341" spans="1:11" ht="15.75" hidden="1" thickBot="1" x14ac:dyDescent="0.3">
      <c r="A1341" s="209"/>
      <c r="B1341" s="206"/>
      <c r="C1341" s="35"/>
      <c r="D1341" s="35"/>
      <c r="E1341" s="36"/>
      <c r="F1341" s="30" t="s">
        <v>514</v>
      </c>
      <c r="G1341" s="30" t="str">
        <f t="shared" si="21"/>
        <v/>
      </c>
      <c r="H1341" s="34"/>
      <c r="I1341" s="30"/>
      <c r="J1341" s="148">
        <v>70</v>
      </c>
      <c r="K1341" s="222" t="s">
        <v>8074</v>
      </c>
    </row>
    <row r="1342" spans="1:11" ht="15.75" hidden="1" thickBot="1" x14ac:dyDescent="0.3">
      <c r="A1342" s="202" t="s">
        <v>410</v>
      </c>
      <c r="B1342" s="204" t="str">
        <f>INDEX(Orçamentária!A:B,MATCH(Composições!A1342,Orçamentária!A:A,0),2)</f>
        <v>Caixa 4x2 de embutir para alvenaria</v>
      </c>
      <c r="C1342" s="40"/>
      <c r="D1342" s="25" t="str">
        <f>TRIM(INDEX(Orçamentária!C:C,MATCH(Composições!A1342,Orçamentária!A:A,0),1))</f>
        <v>un</v>
      </c>
      <c r="E1342" s="26"/>
      <c r="F1342" s="41" t="s">
        <v>514</v>
      </c>
      <c r="G1342" s="27" t="str">
        <f t="shared" si="21"/>
        <v/>
      </c>
      <c r="H1342" s="28"/>
      <c r="I1342" s="29"/>
      <c r="J1342" s="148">
        <v>1000</v>
      </c>
      <c r="K1342" s="222" t="s">
        <v>8074</v>
      </c>
    </row>
    <row r="1343" spans="1:11" hidden="1" x14ac:dyDescent="0.25">
      <c r="A1343" s="203"/>
      <c r="B1343" s="205"/>
      <c r="C1343" s="31"/>
      <c r="D1343" s="31"/>
      <c r="E1343" s="32"/>
      <c r="F1343" s="42" t="s">
        <v>514</v>
      </c>
      <c r="G1343" s="30" t="str">
        <f t="shared" si="21"/>
        <v/>
      </c>
      <c r="H1343" s="34"/>
      <c r="I1343" s="30"/>
      <c r="J1343" s="148">
        <v>1000</v>
      </c>
      <c r="K1343" s="222" t="s">
        <v>8074</v>
      </c>
    </row>
    <row r="1344" spans="1:11" hidden="1" x14ac:dyDescent="0.25">
      <c r="A1344" s="203"/>
      <c r="B1344" s="205"/>
      <c r="C1344" s="35" t="s">
        <v>74</v>
      </c>
      <c r="D1344" s="35" t="s">
        <v>12</v>
      </c>
      <c r="E1344" s="36">
        <v>0.14499999999999999</v>
      </c>
      <c r="F1344" s="30">
        <v>19.4085</v>
      </c>
      <c r="G1344" s="33">
        <f t="shared" si="21"/>
        <v>2.8142324999999997</v>
      </c>
      <c r="H1344" s="38">
        <f>SUM(G1344:G1347)</f>
        <v>10.047526066693099</v>
      </c>
      <c r="I1344" s="39"/>
      <c r="J1344" s="148">
        <v>1000</v>
      </c>
      <c r="K1344" s="222" t="s">
        <v>8074</v>
      </c>
    </row>
    <row r="1345" spans="1:11" hidden="1" x14ac:dyDescent="0.25">
      <c r="A1345" s="203"/>
      <c r="B1345" s="205"/>
      <c r="C1345" s="35" t="s">
        <v>30</v>
      </c>
      <c r="D1345" s="35" t="s">
        <v>12</v>
      </c>
      <c r="E1345" s="36">
        <v>0.14499999999999999</v>
      </c>
      <c r="F1345" s="30">
        <v>25.146499999999996</v>
      </c>
      <c r="G1345" s="33">
        <f t="shared" si="21"/>
        <v>3.6462424999999992</v>
      </c>
      <c r="H1345" s="34"/>
      <c r="I1345" s="30"/>
      <c r="J1345" s="148">
        <v>1000</v>
      </c>
      <c r="K1345" s="222" t="s">
        <v>8074</v>
      </c>
    </row>
    <row r="1346" spans="1:11" ht="25.5" hidden="1" x14ac:dyDescent="0.25">
      <c r="A1346" s="203"/>
      <c r="B1346" s="205"/>
      <c r="C1346" s="35" t="s">
        <v>107</v>
      </c>
      <c r="D1346" s="35" t="s">
        <v>108</v>
      </c>
      <c r="E1346" s="36">
        <v>8.9999999999999998E-4</v>
      </c>
      <c r="F1346" s="33">
        <v>723.94562965900002</v>
      </c>
      <c r="G1346" s="33">
        <f t="shared" si="21"/>
        <v>0.65155106669310003</v>
      </c>
      <c r="H1346" s="34"/>
      <c r="I1346" s="30"/>
      <c r="J1346" s="148">
        <v>1000</v>
      </c>
      <c r="K1346" s="222" t="s">
        <v>8074</v>
      </c>
    </row>
    <row r="1347" spans="1:11" hidden="1" x14ac:dyDescent="0.25">
      <c r="A1347" s="203"/>
      <c r="B1347" s="205"/>
      <c r="C1347" s="35" t="s">
        <v>411</v>
      </c>
      <c r="D1347" s="35" t="s">
        <v>20</v>
      </c>
      <c r="E1347" s="36">
        <v>1</v>
      </c>
      <c r="F1347" s="33">
        <v>2.9354999999999998</v>
      </c>
      <c r="G1347" s="30">
        <f t="shared" si="21"/>
        <v>2.9354999999999998</v>
      </c>
      <c r="H1347" s="34"/>
      <c r="I1347" s="30"/>
      <c r="J1347" s="148">
        <v>1000</v>
      </c>
      <c r="K1347" s="222" t="s">
        <v>8074</v>
      </c>
    </row>
    <row r="1348" spans="1:11" ht="15.75" hidden="1" thickBot="1" x14ac:dyDescent="0.3">
      <c r="A1348" s="209"/>
      <c r="B1348" s="206"/>
      <c r="C1348" s="35"/>
      <c r="D1348" s="35"/>
      <c r="E1348" s="36"/>
      <c r="F1348" s="30" t="s">
        <v>514</v>
      </c>
      <c r="G1348" s="30" t="str">
        <f t="shared" si="21"/>
        <v/>
      </c>
      <c r="H1348" s="34"/>
      <c r="I1348" s="30"/>
      <c r="J1348" s="148">
        <v>1000</v>
      </c>
      <c r="K1348" s="222" t="s">
        <v>8074</v>
      </c>
    </row>
    <row r="1349" spans="1:11" ht="15.75" hidden="1" thickBot="1" x14ac:dyDescent="0.3">
      <c r="A1349" s="202" t="s">
        <v>412</v>
      </c>
      <c r="B1349" s="204" t="str">
        <f>INDEX(Orçamentária!A:B,MATCH(Composições!A1349,Orçamentária!A:A,0),2)</f>
        <v>Caixa 4x2 para drywall</v>
      </c>
      <c r="C1349" s="40"/>
      <c r="D1349" s="25" t="str">
        <f>TRIM(INDEX(Orçamentária!C:C,MATCH(Composições!A1349,Orçamentária!A:A,0),1))</f>
        <v>un</v>
      </c>
      <c r="E1349" s="26"/>
      <c r="F1349" s="41" t="s">
        <v>514</v>
      </c>
      <c r="G1349" s="27" t="str">
        <f t="shared" si="21"/>
        <v/>
      </c>
      <c r="H1349" s="28"/>
      <c r="I1349" s="29"/>
      <c r="J1349" s="148">
        <v>360</v>
      </c>
      <c r="K1349" s="222" t="s">
        <v>8074</v>
      </c>
    </row>
    <row r="1350" spans="1:11" hidden="1" x14ac:dyDescent="0.25">
      <c r="A1350" s="203"/>
      <c r="B1350" s="205"/>
      <c r="C1350" s="31"/>
      <c r="D1350" s="31"/>
      <c r="E1350" s="32"/>
      <c r="F1350" s="42" t="s">
        <v>514</v>
      </c>
      <c r="G1350" s="30" t="str">
        <f t="shared" si="21"/>
        <v/>
      </c>
      <c r="H1350" s="34"/>
      <c r="I1350" s="30"/>
      <c r="J1350" s="148">
        <v>360</v>
      </c>
      <c r="K1350" s="222" t="s">
        <v>8074</v>
      </c>
    </row>
    <row r="1351" spans="1:11" hidden="1" x14ac:dyDescent="0.25">
      <c r="A1351" s="203"/>
      <c r="B1351" s="205"/>
      <c r="C1351" s="35" t="s">
        <v>74</v>
      </c>
      <c r="D1351" s="35" t="s">
        <v>12</v>
      </c>
      <c r="E1351" s="36">
        <v>0.14499999999999999</v>
      </c>
      <c r="F1351" s="30">
        <v>19.4085</v>
      </c>
      <c r="G1351" s="33">
        <f t="shared" si="21"/>
        <v>2.8142324999999997</v>
      </c>
      <c r="H1351" s="38">
        <f>SUM(G1351:G1353)</f>
        <v>15.390474999999999</v>
      </c>
      <c r="I1351" s="39"/>
      <c r="J1351" s="148">
        <v>360</v>
      </c>
      <c r="K1351" s="222" t="s">
        <v>8074</v>
      </c>
    </row>
    <row r="1352" spans="1:11" hidden="1" x14ac:dyDescent="0.25">
      <c r="A1352" s="203"/>
      <c r="B1352" s="205"/>
      <c r="C1352" s="35" t="s">
        <v>30</v>
      </c>
      <c r="D1352" s="35" t="s">
        <v>12</v>
      </c>
      <c r="E1352" s="36">
        <v>0.14499999999999999</v>
      </c>
      <c r="F1352" s="30">
        <v>25.146499999999996</v>
      </c>
      <c r="G1352" s="33">
        <f t="shared" si="21"/>
        <v>3.6462424999999992</v>
      </c>
      <c r="H1352" s="34"/>
      <c r="I1352" s="30"/>
      <c r="J1352" s="148">
        <v>360</v>
      </c>
      <c r="K1352" s="222" t="s">
        <v>8074</v>
      </c>
    </row>
    <row r="1353" spans="1:11" hidden="1" x14ac:dyDescent="0.25">
      <c r="A1353" s="203"/>
      <c r="B1353" s="205"/>
      <c r="C1353" s="35" t="s">
        <v>413</v>
      </c>
      <c r="D1353" s="35" t="s">
        <v>20</v>
      </c>
      <c r="E1353" s="36">
        <v>1</v>
      </c>
      <c r="F1353" s="33">
        <v>8.93</v>
      </c>
      <c r="G1353" s="30">
        <f t="shared" si="21"/>
        <v>8.93</v>
      </c>
      <c r="H1353" s="34"/>
      <c r="I1353" s="30"/>
      <c r="J1353" s="148">
        <v>360</v>
      </c>
      <c r="K1353" s="222" t="s">
        <v>8074</v>
      </c>
    </row>
    <row r="1354" spans="1:11" ht="15.75" hidden="1" thickBot="1" x14ac:dyDescent="0.3">
      <c r="A1354" s="209"/>
      <c r="B1354" s="206"/>
      <c r="C1354" s="35"/>
      <c r="D1354" s="35"/>
      <c r="E1354" s="36"/>
      <c r="F1354" s="30" t="s">
        <v>514</v>
      </c>
      <c r="G1354" s="30" t="str">
        <f t="shared" si="21"/>
        <v/>
      </c>
      <c r="H1354" s="34"/>
      <c r="I1354" s="30"/>
      <c r="J1354" s="148">
        <v>360</v>
      </c>
      <c r="K1354" s="222" t="s">
        <v>8074</v>
      </c>
    </row>
    <row r="1355" spans="1:11" ht="15.75" hidden="1" thickBot="1" x14ac:dyDescent="0.3">
      <c r="A1355" s="202" t="s">
        <v>414</v>
      </c>
      <c r="B1355" s="204" t="str">
        <f>INDEX(Orçamentária!A:B,MATCH(Composições!A1355,Orçamentária!A:A,0),2)</f>
        <v>Caixa 4x4 de embutir para alvenaria</v>
      </c>
      <c r="C1355" s="40"/>
      <c r="D1355" s="25" t="str">
        <f>TRIM(INDEX(Orçamentária!C:C,MATCH(Composições!A1355,Orçamentária!A:A,0),1))</f>
        <v>un</v>
      </c>
      <c r="E1355" s="26"/>
      <c r="F1355" s="41" t="s">
        <v>514</v>
      </c>
      <c r="G1355" s="27" t="str">
        <f t="shared" si="21"/>
        <v/>
      </c>
      <c r="H1355" s="28"/>
      <c r="I1355" s="29"/>
      <c r="J1355" s="148">
        <v>320</v>
      </c>
      <c r="K1355" s="222" t="s">
        <v>8074</v>
      </c>
    </row>
    <row r="1356" spans="1:11" hidden="1" x14ac:dyDescent="0.25">
      <c r="A1356" s="203"/>
      <c r="B1356" s="205"/>
      <c r="C1356" s="31"/>
      <c r="D1356" s="31"/>
      <c r="E1356" s="32"/>
      <c r="F1356" s="42" t="s">
        <v>514</v>
      </c>
      <c r="G1356" s="30" t="str">
        <f t="shared" si="21"/>
        <v/>
      </c>
      <c r="H1356" s="34"/>
      <c r="I1356" s="30"/>
      <c r="J1356" s="148">
        <v>320</v>
      </c>
      <c r="K1356" s="222" t="s">
        <v>8074</v>
      </c>
    </row>
    <row r="1357" spans="1:11" hidden="1" x14ac:dyDescent="0.25">
      <c r="A1357" s="203"/>
      <c r="B1357" s="205"/>
      <c r="C1357" s="35" t="s">
        <v>74</v>
      </c>
      <c r="D1357" s="35" t="s">
        <v>12</v>
      </c>
      <c r="E1357" s="36">
        <v>0.16600000000000001</v>
      </c>
      <c r="F1357" s="30">
        <v>19.4085</v>
      </c>
      <c r="G1357" s="33">
        <f t="shared" si="21"/>
        <v>3.2218110000000002</v>
      </c>
      <c r="H1357" s="38">
        <f>SUM(G1357:G1360)</f>
        <v>14.088364755590799</v>
      </c>
      <c r="I1357" s="39"/>
      <c r="J1357" s="148">
        <v>320</v>
      </c>
      <c r="K1357" s="222" t="s">
        <v>8074</v>
      </c>
    </row>
    <row r="1358" spans="1:11" hidden="1" x14ac:dyDescent="0.25">
      <c r="A1358" s="203"/>
      <c r="B1358" s="205"/>
      <c r="C1358" s="35" t="s">
        <v>30</v>
      </c>
      <c r="D1358" s="35" t="s">
        <v>12</v>
      </c>
      <c r="E1358" s="36">
        <v>0.16600000000000001</v>
      </c>
      <c r="F1358" s="30">
        <v>25.146499999999996</v>
      </c>
      <c r="G1358" s="33">
        <f t="shared" si="21"/>
        <v>4.1743189999999997</v>
      </c>
      <c r="H1358" s="34"/>
      <c r="I1358" s="30"/>
      <c r="J1358" s="148">
        <v>320</v>
      </c>
      <c r="K1358" s="222" t="s">
        <v>8074</v>
      </c>
    </row>
    <row r="1359" spans="1:11" ht="25.5" hidden="1" x14ac:dyDescent="0.25">
      <c r="A1359" s="203"/>
      <c r="B1359" s="205"/>
      <c r="C1359" s="35" t="s">
        <v>107</v>
      </c>
      <c r="D1359" s="35" t="s">
        <v>108</v>
      </c>
      <c r="E1359" s="36">
        <v>1.1999999999999999E-3</v>
      </c>
      <c r="F1359" s="33">
        <v>723.94562965900002</v>
      </c>
      <c r="G1359" s="33">
        <f t="shared" si="21"/>
        <v>0.86873475559079993</v>
      </c>
      <c r="H1359" s="34"/>
      <c r="I1359" s="30"/>
      <c r="J1359" s="148">
        <v>320</v>
      </c>
      <c r="K1359" s="222" t="s">
        <v>8074</v>
      </c>
    </row>
    <row r="1360" spans="1:11" hidden="1" x14ac:dyDescent="0.25">
      <c r="A1360" s="203"/>
      <c r="B1360" s="205"/>
      <c r="C1360" s="35" t="s">
        <v>415</v>
      </c>
      <c r="D1360" s="35" t="s">
        <v>20</v>
      </c>
      <c r="E1360" s="36">
        <v>1</v>
      </c>
      <c r="F1360" s="33">
        <v>5.8234999999999992</v>
      </c>
      <c r="G1360" s="30">
        <f t="shared" si="21"/>
        <v>5.8234999999999992</v>
      </c>
      <c r="H1360" s="34"/>
      <c r="I1360" s="30"/>
      <c r="J1360" s="148">
        <v>320</v>
      </c>
      <c r="K1360" s="222" t="s">
        <v>8074</v>
      </c>
    </row>
    <row r="1361" spans="1:11" ht="15.75" hidden="1" thickBot="1" x14ac:dyDescent="0.3">
      <c r="A1361" s="209"/>
      <c r="B1361" s="206"/>
      <c r="C1361" s="35"/>
      <c r="D1361" s="35"/>
      <c r="E1361" s="36"/>
      <c r="F1361" s="30" t="s">
        <v>514</v>
      </c>
      <c r="G1361" s="30" t="str">
        <f t="shared" si="21"/>
        <v/>
      </c>
      <c r="H1361" s="34"/>
      <c r="I1361" s="30"/>
      <c r="J1361" s="148">
        <v>320</v>
      </c>
      <c r="K1361" s="222" t="s">
        <v>8074</v>
      </c>
    </row>
    <row r="1362" spans="1:11" ht="15.75" hidden="1" thickBot="1" x14ac:dyDescent="0.3">
      <c r="A1362" s="202" t="s">
        <v>416</v>
      </c>
      <c r="B1362" s="204" t="str">
        <f>INDEX(Orçamentária!A:B,MATCH(Composições!A1362,Orçamentária!A:A,0),2)</f>
        <v>Caixa 4x4 para drywall</v>
      </c>
      <c r="C1362" s="40"/>
      <c r="D1362" s="25" t="str">
        <f>TRIM(INDEX(Orçamentária!C:C,MATCH(Composições!A1362,Orçamentária!A:A,0),1))</f>
        <v>un</v>
      </c>
      <c r="E1362" s="26"/>
      <c r="F1362" s="41" t="s">
        <v>514</v>
      </c>
      <c r="G1362" s="27" t="str">
        <f t="shared" si="21"/>
        <v/>
      </c>
      <c r="H1362" s="28"/>
      <c r="I1362" s="29"/>
      <c r="J1362" s="148">
        <v>80</v>
      </c>
      <c r="K1362" s="222" t="s">
        <v>8074</v>
      </c>
    </row>
    <row r="1363" spans="1:11" hidden="1" x14ac:dyDescent="0.25">
      <c r="A1363" s="203"/>
      <c r="B1363" s="205"/>
      <c r="C1363" s="31"/>
      <c r="D1363" s="31"/>
      <c r="E1363" s="32"/>
      <c r="F1363" s="42" t="s">
        <v>514</v>
      </c>
      <c r="G1363" s="30" t="str">
        <f t="shared" ref="G1363:G1426" si="22">IF(ISNUMBER(F1363),E1363*F1363,"")</f>
        <v/>
      </c>
      <c r="H1363" s="34"/>
      <c r="I1363" s="30"/>
      <c r="J1363" s="148">
        <v>80</v>
      </c>
      <c r="K1363" s="222" t="s">
        <v>8074</v>
      </c>
    </row>
    <row r="1364" spans="1:11" hidden="1" x14ac:dyDescent="0.25">
      <c r="A1364" s="203"/>
      <c r="B1364" s="205"/>
      <c r="C1364" s="35" t="s">
        <v>74</v>
      </c>
      <c r="D1364" s="35" t="s">
        <v>12</v>
      </c>
      <c r="E1364" s="36">
        <v>0.16600000000000001</v>
      </c>
      <c r="F1364" s="30">
        <v>19.4085</v>
      </c>
      <c r="G1364" s="33">
        <f t="shared" si="22"/>
        <v>3.2218110000000002</v>
      </c>
      <c r="H1364" s="38">
        <f>SUM(G1364:G1366)</f>
        <v>27.526129999999998</v>
      </c>
      <c r="I1364" s="39"/>
      <c r="J1364" s="148">
        <v>80</v>
      </c>
      <c r="K1364" s="222" t="s">
        <v>8074</v>
      </c>
    </row>
    <row r="1365" spans="1:11" hidden="1" x14ac:dyDescent="0.25">
      <c r="A1365" s="203"/>
      <c r="B1365" s="205"/>
      <c r="C1365" s="35" t="s">
        <v>30</v>
      </c>
      <c r="D1365" s="35" t="s">
        <v>12</v>
      </c>
      <c r="E1365" s="36">
        <v>0.16600000000000001</v>
      </c>
      <c r="F1365" s="30">
        <v>25.146499999999996</v>
      </c>
      <c r="G1365" s="33">
        <f t="shared" si="22"/>
        <v>4.1743189999999997</v>
      </c>
      <c r="H1365" s="34"/>
      <c r="I1365" s="30"/>
      <c r="J1365" s="148">
        <v>80</v>
      </c>
      <c r="K1365" s="222" t="s">
        <v>8074</v>
      </c>
    </row>
    <row r="1366" spans="1:11" hidden="1" x14ac:dyDescent="0.25">
      <c r="A1366" s="203"/>
      <c r="B1366" s="205"/>
      <c r="C1366" s="35" t="s">
        <v>417</v>
      </c>
      <c r="D1366" s="35" t="s">
        <v>20</v>
      </c>
      <c r="E1366" s="36">
        <v>1</v>
      </c>
      <c r="F1366" s="33">
        <v>20.13</v>
      </c>
      <c r="G1366" s="30">
        <f t="shared" si="22"/>
        <v>20.13</v>
      </c>
      <c r="H1366" s="34"/>
      <c r="I1366" s="30"/>
      <c r="J1366" s="148">
        <v>80</v>
      </c>
      <c r="K1366" s="222" t="s">
        <v>8074</v>
      </c>
    </row>
    <row r="1367" spans="1:11" ht="15.75" hidden="1" thickBot="1" x14ac:dyDescent="0.3">
      <c r="A1367" s="209"/>
      <c r="B1367" s="206"/>
      <c r="C1367" s="35"/>
      <c r="D1367" s="35"/>
      <c r="E1367" s="36"/>
      <c r="F1367" s="30" t="s">
        <v>514</v>
      </c>
      <c r="G1367" s="30" t="str">
        <f t="shared" si="22"/>
        <v/>
      </c>
      <c r="H1367" s="34"/>
      <c r="I1367" s="30"/>
      <c r="J1367" s="148">
        <v>80</v>
      </c>
      <c r="K1367" s="222" t="s">
        <v>8074</v>
      </c>
    </row>
    <row r="1368" spans="1:11" ht="15.75" hidden="1" thickBot="1" x14ac:dyDescent="0.3">
      <c r="A1368" s="202" t="s">
        <v>418</v>
      </c>
      <c r="B1368" s="204" t="str">
        <f>INDEX(Orçamentária!A:B,MATCH(Composições!A1368,Orçamentária!A:A,0),2)</f>
        <v>Caixa de passagem em alumínio 100x100x50mm</v>
      </c>
      <c r="C1368" s="40"/>
      <c r="D1368" s="25" t="str">
        <f>TRIM(INDEX(Orçamentária!C:C,MATCH(Composições!A1368,Orçamentária!A:A,0),1))</f>
        <v>un</v>
      </c>
      <c r="E1368" s="26"/>
      <c r="F1368" s="41" t="s">
        <v>514</v>
      </c>
      <c r="G1368" s="27" t="str">
        <f t="shared" si="22"/>
        <v/>
      </c>
      <c r="H1368" s="28"/>
      <c r="I1368" s="29"/>
      <c r="J1368" s="148">
        <v>1000</v>
      </c>
      <c r="K1368" s="222" t="s">
        <v>8074</v>
      </c>
    </row>
    <row r="1369" spans="1:11" hidden="1" x14ac:dyDescent="0.25">
      <c r="A1369" s="203"/>
      <c r="B1369" s="205"/>
      <c r="C1369" s="31"/>
      <c r="D1369" s="31"/>
      <c r="E1369" s="32"/>
      <c r="F1369" s="42" t="s">
        <v>514</v>
      </c>
      <c r="G1369" s="30" t="str">
        <f t="shared" si="22"/>
        <v/>
      </c>
      <c r="H1369" s="34"/>
      <c r="I1369" s="30"/>
      <c r="J1369" s="148">
        <v>1000</v>
      </c>
      <c r="K1369" s="222" t="s">
        <v>8074</v>
      </c>
    </row>
    <row r="1370" spans="1:11" hidden="1" x14ac:dyDescent="0.25">
      <c r="A1370" s="203"/>
      <c r="B1370" s="205"/>
      <c r="C1370" s="35" t="s">
        <v>74</v>
      </c>
      <c r="D1370" s="35" t="s">
        <v>12</v>
      </c>
      <c r="E1370" s="36">
        <v>0.34599999999999997</v>
      </c>
      <c r="F1370" s="30">
        <v>19.4085</v>
      </c>
      <c r="G1370" s="33">
        <f t="shared" si="22"/>
        <v>6.7153409999999996</v>
      </c>
      <c r="H1370" s="38">
        <f>SUM(G1370:G1372)</f>
        <v>46.576030000000003</v>
      </c>
      <c r="I1370" s="39"/>
      <c r="J1370" s="148">
        <v>1000</v>
      </c>
      <c r="K1370" s="222" t="s">
        <v>8074</v>
      </c>
    </row>
    <row r="1371" spans="1:11" hidden="1" x14ac:dyDescent="0.25">
      <c r="A1371" s="203"/>
      <c r="B1371" s="205"/>
      <c r="C1371" s="35" t="s">
        <v>30</v>
      </c>
      <c r="D1371" s="35" t="s">
        <v>12</v>
      </c>
      <c r="E1371" s="36">
        <v>0.34599999999999997</v>
      </c>
      <c r="F1371" s="30">
        <v>25.146499999999996</v>
      </c>
      <c r="G1371" s="33">
        <f t="shared" si="22"/>
        <v>8.7006889999999988</v>
      </c>
      <c r="H1371" s="34"/>
      <c r="I1371" s="30"/>
      <c r="J1371" s="148">
        <v>1000</v>
      </c>
      <c r="K1371" s="222" t="s">
        <v>8074</v>
      </c>
    </row>
    <row r="1372" spans="1:11" hidden="1" x14ac:dyDescent="0.25">
      <c r="A1372" s="203"/>
      <c r="B1372" s="205"/>
      <c r="C1372" s="35" t="s">
        <v>419</v>
      </c>
      <c r="D1372" s="35" t="s">
        <v>92</v>
      </c>
      <c r="E1372" s="36">
        <v>1</v>
      </c>
      <c r="F1372" s="33">
        <v>31.16</v>
      </c>
      <c r="G1372" s="33">
        <f t="shared" si="22"/>
        <v>31.16</v>
      </c>
      <c r="H1372" s="34"/>
      <c r="I1372" s="30"/>
      <c r="J1372" s="148">
        <v>1000</v>
      </c>
      <c r="K1372" s="222" t="s">
        <v>8074</v>
      </c>
    </row>
    <row r="1373" spans="1:11" ht="15.75" hidden="1" thickBot="1" x14ac:dyDescent="0.3">
      <c r="A1373" s="209"/>
      <c r="B1373" s="206"/>
      <c r="C1373" s="35"/>
      <c r="D1373" s="35"/>
      <c r="E1373" s="36"/>
      <c r="F1373" s="30" t="s">
        <v>514</v>
      </c>
      <c r="G1373" s="30" t="str">
        <f t="shared" si="22"/>
        <v/>
      </c>
      <c r="H1373" s="34"/>
      <c r="I1373" s="30"/>
      <c r="J1373" s="148">
        <v>1000</v>
      </c>
      <c r="K1373" s="222" t="s">
        <v>8074</v>
      </c>
    </row>
    <row r="1374" spans="1:11" ht="15.75" hidden="1" thickBot="1" x14ac:dyDescent="0.3">
      <c r="A1374" s="202" t="s">
        <v>420</v>
      </c>
      <c r="B1374" s="204" t="str">
        <f>INDEX(Orçamentária!A:B,MATCH(Composições!A1374,Orçamentária!A:A,0),2)</f>
        <v>Caixa de passagem em alumínio 200x200x100mm</v>
      </c>
      <c r="C1374" s="40"/>
      <c r="D1374" s="25" t="str">
        <f>TRIM(INDEX(Orçamentária!C:C,MATCH(Composições!A1374,Orçamentária!A:A,0),1))</f>
        <v>un</v>
      </c>
      <c r="E1374" s="26"/>
      <c r="F1374" s="41" t="s">
        <v>514</v>
      </c>
      <c r="G1374" s="27" t="str">
        <f t="shared" si="22"/>
        <v/>
      </c>
      <c r="H1374" s="28"/>
      <c r="I1374" s="29"/>
      <c r="J1374" s="148">
        <v>400</v>
      </c>
      <c r="K1374" s="222" t="s">
        <v>8074</v>
      </c>
    </row>
    <row r="1375" spans="1:11" hidden="1" x14ac:dyDescent="0.25">
      <c r="A1375" s="203"/>
      <c r="B1375" s="205"/>
      <c r="C1375" s="31"/>
      <c r="D1375" s="31"/>
      <c r="E1375" s="32"/>
      <c r="F1375" s="42" t="s">
        <v>514</v>
      </c>
      <c r="G1375" s="30" t="str">
        <f t="shared" si="22"/>
        <v/>
      </c>
      <c r="H1375" s="34"/>
      <c r="I1375" s="30"/>
      <c r="J1375" s="148">
        <v>400</v>
      </c>
      <c r="K1375" s="222" t="s">
        <v>8074</v>
      </c>
    </row>
    <row r="1376" spans="1:11" hidden="1" x14ac:dyDescent="0.25">
      <c r="A1376" s="203"/>
      <c r="B1376" s="205"/>
      <c r="C1376" s="35" t="s">
        <v>74</v>
      </c>
      <c r="D1376" s="35" t="s">
        <v>12</v>
      </c>
      <c r="E1376" s="36">
        <v>0.34599999999999997</v>
      </c>
      <c r="F1376" s="30">
        <v>19.4085</v>
      </c>
      <c r="G1376" s="33">
        <f t="shared" si="22"/>
        <v>6.7153409999999996</v>
      </c>
      <c r="H1376" s="38">
        <f>SUM(G1376:G1379)</f>
        <v>137.47602999999998</v>
      </c>
      <c r="I1376" s="39"/>
      <c r="J1376" s="148">
        <v>400</v>
      </c>
      <c r="K1376" s="222" t="s">
        <v>8074</v>
      </c>
    </row>
    <row r="1377" spans="1:11" hidden="1" x14ac:dyDescent="0.25">
      <c r="A1377" s="203"/>
      <c r="B1377" s="205"/>
      <c r="C1377" s="35" t="s">
        <v>30</v>
      </c>
      <c r="D1377" s="35" t="s">
        <v>12</v>
      </c>
      <c r="E1377" s="36">
        <v>0.34599999999999997</v>
      </c>
      <c r="F1377" s="30">
        <v>25.146499999999996</v>
      </c>
      <c r="G1377" s="33">
        <f t="shared" si="22"/>
        <v>8.7006889999999988</v>
      </c>
      <c r="H1377" s="34"/>
      <c r="I1377" s="30"/>
      <c r="J1377" s="148">
        <v>400</v>
      </c>
      <c r="K1377" s="222" t="s">
        <v>8074</v>
      </c>
    </row>
    <row r="1378" spans="1:11" hidden="1" x14ac:dyDescent="0.25">
      <c r="A1378" s="203"/>
      <c r="B1378" s="205"/>
      <c r="C1378" s="35" t="s">
        <v>421</v>
      </c>
      <c r="D1378" s="35" t="s">
        <v>92</v>
      </c>
      <c r="E1378" s="36">
        <v>1</v>
      </c>
      <c r="F1378" s="33">
        <v>106.02</v>
      </c>
      <c r="G1378" s="33">
        <f t="shared" si="22"/>
        <v>106.02</v>
      </c>
      <c r="H1378" s="34"/>
      <c r="I1378" s="30"/>
      <c r="J1378" s="148">
        <v>400</v>
      </c>
      <c r="K1378" s="222" t="s">
        <v>8074</v>
      </c>
    </row>
    <row r="1379" spans="1:11" hidden="1" x14ac:dyDescent="0.25">
      <c r="A1379" s="203"/>
      <c r="B1379" s="205"/>
      <c r="C1379" s="35" t="s">
        <v>6691</v>
      </c>
      <c r="D1379" s="35" t="s">
        <v>20</v>
      </c>
      <c r="E1379" s="36">
        <v>2</v>
      </c>
      <c r="F1379" s="33">
        <v>8.02</v>
      </c>
      <c r="G1379" s="33">
        <f t="shared" si="22"/>
        <v>16.04</v>
      </c>
      <c r="H1379" s="34"/>
      <c r="I1379" s="30"/>
      <c r="J1379" s="148">
        <v>400</v>
      </c>
      <c r="K1379" s="222" t="s">
        <v>8074</v>
      </c>
    </row>
    <row r="1380" spans="1:11" ht="15.75" hidden="1" thickBot="1" x14ac:dyDescent="0.3">
      <c r="A1380" s="209"/>
      <c r="B1380" s="206"/>
      <c r="C1380" s="35"/>
      <c r="D1380" s="35"/>
      <c r="E1380" s="36"/>
      <c r="F1380" s="30" t="s">
        <v>514</v>
      </c>
      <c r="G1380" s="30" t="str">
        <f t="shared" si="22"/>
        <v/>
      </c>
      <c r="H1380" s="34"/>
      <c r="I1380" s="30"/>
      <c r="J1380" s="148">
        <v>400</v>
      </c>
      <c r="K1380" s="222" t="s">
        <v>8074</v>
      </c>
    </row>
    <row r="1381" spans="1:11" ht="15.75" hidden="1" thickBot="1" x14ac:dyDescent="0.3">
      <c r="A1381" s="202" t="s">
        <v>422</v>
      </c>
      <c r="B1381" s="204" t="str">
        <f>INDEX(Orçamentária!A:B,MATCH(Composições!A1381,Orçamentária!A:A,0),2)</f>
        <v>Caixa de passagem em PVC 150x150x75mm</v>
      </c>
      <c r="C1381" s="40"/>
      <c r="D1381" s="25" t="str">
        <f>TRIM(INDEX(Orçamentária!C:C,MATCH(Composições!A1381,Orçamentária!A:A,0),1))</f>
        <v>un</v>
      </c>
      <c r="E1381" s="26"/>
      <c r="F1381" s="41" t="s">
        <v>514</v>
      </c>
      <c r="G1381" s="27" t="str">
        <f t="shared" si="22"/>
        <v/>
      </c>
      <c r="H1381" s="28"/>
      <c r="I1381" s="29"/>
      <c r="J1381" s="148">
        <v>1300</v>
      </c>
      <c r="K1381" s="222" t="s">
        <v>8074</v>
      </c>
    </row>
    <row r="1382" spans="1:11" hidden="1" x14ac:dyDescent="0.25">
      <c r="A1382" s="203"/>
      <c r="B1382" s="205"/>
      <c r="C1382" s="31"/>
      <c r="D1382" s="31"/>
      <c r="E1382" s="32"/>
      <c r="F1382" s="42" t="s">
        <v>514</v>
      </c>
      <c r="G1382" s="30" t="str">
        <f t="shared" si="22"/>
        <v/>
      </c>
      <c r="H1382" s="34"/>
      <c r="I1382" s="30"/>
      <c r="J1382" s="148">
        <v>1300</v>
      </c>
      <c r="K1382" s="222" t="s">
        <v>8074</v>
      </c>
    </row>
    <row r="1383" spans="1:11" hidden="1" x14ac:dyDescent="0.25">
      <c r="A1383" s="203"/>
      <c r="B1383" s="205"/>
      <c r="C1383" s="35" t="s">
        <v>30</v>
      </c>
      <c r="D1383" s="35" t="s">
        <v>12</v>
      </c>
      <c r="E1383" s="36">
        <v>0.34599999999999997</v>
      </c>
      <c r="F1383" s="30">
        <v>25.146499999999996</v>
      </c>
      <c r="G1383" s="33">
        <f t="shared" si="22"/>
        <v>8.7006889999999988</v>
      </c>
      <c r="H1383" s="38">
        <f>SUM(G1383:G1385)</f>
        <v>61.700181999999998</v>
      </c>
      <c r="I1383" s="39"/>
      <c r="J1383" s="148">
        <v>1300</v>
      </c>
      <c r="K1383" s="222" t="s">
        <v>8074</v>
      </c>
    </row>
    <row r="1384" spans="1:11" hidden="1" x14ac:dyDescent="0.25">
      <c r="A1384" s="203"/>
      <c r="B1384" s="205"/>
      <c r="C1384" s="35" t="s">
        <v>23</v>
      </c>
      <c r="D1384" s="35" t="s">
        <v>12</v>
      </c>
      <c r="E1384" s="36">
        <v>0.34599999999999997</v>
      </c>
      <c r="F1384" s="30">
        <v>18.420500000000001</v>
      </c>
      <c r="G1384" s="33">
        <f t="shared" si="22"/>
        <v>6.3734929999999999</v>
      </c>
      <c r="H1384" s="34"/>
      <c r="I1384" s="30"/>
      <c r="J1384" s="148">
        <v>1300</v>
      </c>
      <c r="K1384" s="222" t="s">
        <v>8074</v>
      </c>
    </row>
    <row r="1385" spans="1:11" ht="25.5" hidden="1" x14ac:dyDescent="0.25">
      <c r="A1385" s="203"/>
      <c r="B1385" s="205"/>
      <c r="C1385" s="35" t="s">
        <v>423</v>
      </c>
      <c r="D1385" s="35" t="s">
        <v>20</v>
      </c>
      <c r="E1385" s="36">
        <v>1</v>
      </c>
      <c r="F1385" s="33">
        <v>46.625999999999998</v>
      </c>
      <c r="G1385" s="30">
        <f t="shared" si="22"/>
        <v>46.625999999999998</v>
      </c>
      <c r="H1385" s="34"/>
      <c r="I1385" s="30"/>
      <c r="J1385" s="148">
        <v>1300</v>
      </c>
      <c r="K1385" s="222" t="s">
        <v>8074</v>
      </c>
    </row>
    <row r="1386" spans="1:11" ht="15.75" hidden="1" thickBot="1" x14ac:dyDescent="0.3">
      <c r="A1386" s="209"/>
      <c r="B1386" s="206"/>
      <c r="C1386" s="35"/>
      <c r="D1386" s="35"/>
      <c r="E1386" s="36"/>
      <c r="F1386" s="30" t="s">
        <v>514</v>
      </c>
      <c r="G1386" s="30" t="str">
        <f t="shared" si="22"/>
        <v/>
      </c>
      <c r="H1386" s="34"/>
      <c r="I1386" s="30"/>
      <c r="J1386" s="148">
        <v>1300</v>
      </c>
      <c r="K1386" s="222" t="s">
        <v>8074</v>
      </c>
    </row>
    <row r="1387" spans="1:11" ht="15.75" hidden="1" thickBot="1" x14ac:dyDescent="0.3">
      <c r="A1387" s="202" t="s">
        <v>424</v>
      </c>
      <c r="B1387" s="204" t="str">
        <f>INDEX(Orçamentária!A:B,MATCH(Composições!A1387,Orçamentária!A:A,0),2)</f>
        <v>Caixa para piso elevado</v>
      </c>
      <c r="C1387" s="40"/>
      <c r="D1387" s="25" t="str">
        <f>TRIM(INDEX(Orçamentária!C:C,MATCH(Composições!A1387,Orçamentária!A:A,0),1))</f>
        <v>un</v>
      </c>
      <c r="E1387" s="26"/>
      <c r="F1387" s="41" t="s">
        <v>514</v>
      </c>
      <c r="G1387" s="27" t="str">
        <f t="shared" si="22"/>
        <v/>
      </c>
      <c r="H1387" s="28"/>
      <c r="I1387" s="29"/>
      <c r="J1387" s="148">
        <v>150</v>
      </c>
      <c r="K1387" s="222" t="s">
        <v>8074</v>
      </c>
    </row>
    <row r="1388" spans="1:11" hidden="1" x14ac:dyDescent="0.25">
      <c r="A1388" s="203"/>
      <c r="B1388" s="205"/>
      <c r="C1388" s="31"/>
      <c r="D1388" s="31"/>
      <c r="E1388" s="32"/>
      <c r="F1388" s="42" t="s">
        <v>514</v>
      </c>
      <c r="G1388" s="30" t="str">
        <f t="shared" si="22"/>
        <v/>
      </c>
      <c r="H1388" s="34"/>
      <c r="I1388" s="30"/>
      <c r="J1388" s="148">
        <v>150</v>
      </c>
      <c r="K1388" s="222" t="s">
        <v>8074</v>
      </c>
    </row>
    <row r="1389" spans="1:11" hidden="1" x14ac:dyDescent="0.25">
      <c r="A1389" s="203"/>
      <c r="B1389" s="205"/>
      <c r="C1389" s="35" t="s">
        <v>30</v>
      </c>
      <c r="D1389" s="35" t="s">
        <v>12</v>
      </c>
      <c r="E1389" s="36">
        <v>0.34599999999999997</v>
      </c>
      <c r="F1389" s="30">
        <v>25.146499999999996</v>
      </c>
      <c r="G1389" s="30">
        <f t="shared" si="22"/>
        <v>8.7006889999999988</v>
      </c>
      <c r="H1389" s="38">
        <f>SUM(G1389:G1391)</f>
        <v>325.93602999999996</v>
      </c>
      <c r="I1389" s="39"/>
      <c r="J1389" s="148">
        <v>150</v>
      </c>
      <c r="K1389" s="222" t="s">
        <v>8074</v>
      </c>
    </row>
    <row r="1390" spans="1:11" hidden="1" x14ac:dyDescent="0.25">
      <c r="A1390" s="203"/>
      <c r="B1390" s="205"/>
      <c r="C1390" s="35" t="s">
        <v>74</v>
      </c>
      <c r="D1390" s="35" t="s">
        <v>12</v>
      </c>
      <c r="E1390" s="36">
        <v>0.34599999999999997</v>
      </c>
      <c r="F1390" s="30">
        <v>19.4085</v>
      </c>
      <c r="G1390" s="30">
        <f t="shared" si="22"/>
        <v>6.7153409999999996</v>
      </c>
      <c r="H1390" s="34"/>
      <c r="I1390" s="30"/>
      <c r="J1390" s="148">
        <v>150</v>
      </c>
      <c r="K1390" s="222" t="s">
        <v>8074</v>
      </c>
    </row>
    <row r="1391" spans="1:11" ht="25.5" hidden="1" x14ac:dyDescent="0.25">
      <c r="A1391" s="203"/>
      <c r="B1391" s="205"/>
      <c r="C1391" s="35" t="s">
        <v>425</v>
      </c>
      <c r="D1391" s="46" t="s">
        <v>20</v>
      </c>
      <c r="E1391" s="36">
        <v>1</v>
      </c>
      <c r="F1391" s="33">
        <v>310.52</v>
      </c>
      <c r="G1391" s="30">
        <f t="shared" si="22"/>
        <v>310.52</v>
      </c>
      <c r="H1391" s="34"/>
      <c r="I1391" s="30"/>
      <c r="J1391" s="148">
        <v>150</v>
      </c>
      <c r="K1391" s="222" t="s">
        <v>8074</v>
      </c>
    </row>
    <row r="1392" spans="1:11" hidden="1" x14ac:dyDescent="0.25">
      <c r="A1392" s="203"/>
      <c r="B1392" s="205"/>
      <c r="C1392" s="35"/>
      <c r="D1392" s="46"/>
      <c r="E1392" s="36"/>
      <c r="F1392" s="33" t="s">
        <v>514</v>
      </c>
      <c r="G1392" s="30" t="str">
        <f t="shared" si="22"/>
        <v/>
      </c>
      <c r="H1392" s="34"/>
      <c r="I1392" s="30"/>
      <c r="J1392" s="148">
        <v>150</v>
      </c>
      <c r="K1392" s="222" t="s">
        <v>8074</v>
      </c>
    </row>
    <row r="1393" spans="1:11" ht="15.75" hidden="1" thickBot="1" x14ac:dyDescent="0.3">
      <c r="A1393" s="202" t="s">
        <v>426</v>
      </c>
      <c r="B1393" s="204" t="str">
        <f>INDEX(Orçamentária!A:B,MATCH(Composições!A1393,Orçamentária!A:A,0),2)</f>
        <v>Canaleta em alumínio aparente 73mmx25mm</v>
      </c>
      <c r="C1393" s="40"/>
      <c r="D1393" s="25" t="str">
        <f>TRIM(INDEX(Orçamentária!C:C,MATCH(Composições!A1393,Orçamentária!A:A,0),1))</f>
        <v>m</v>
      </c>
      <c r="E1393" s="26"/>
      <c r="F1393" s="41" t="s">
        <v>514</v>
      </c>
      <c r="G1393" s="27" t="str">
        <f t="shared" si="22"/>
        <v/>
      </c>
      <c r="H1393" s="28"/>
      <c r="I1393" s="29"/>
      <c r="J1393" s="148">
        <v>540</v>
      </c>
      <c r="K1393" s="222" t="s">
        <v>8074</v>
      </c>
    </row>
    <row r="1394" spans="1:11" hidden="1" x14ac:dyDescent="0.25">
      <c r="A1394" s="203"/>
      <c r="B1394" s="205"/>
      <c r="C1394" s="31"/>
      <c r="D1394" s="31"/>
      <c r="E1394" s="32"/>
      <c r="F1394" s="42" t="s">
        <v>514</v>
      </c>
      <c r="G1394" s="30" t="str">
        <f t="shared" si="22"/>
        <v/>
      </c>
      <c r="H1394" s="34"/>
      <c r="I1394" s="30"/>
      <c r="J1394" s="148">
        <v>540</v>
      </c>
      <c r="K1394" s="222" t="s">
        <v>8074</v>
      </c>
    </row>
    <row r="1395" spans="1:11" ht="25.5" hidden="1" x14ac:dyDescent="0.25">
      <c r="A1395" s="203"/>
      <c r="B1395" s="205"/>
      <c r="C1395" s="35" t="s">
        <v>427</v>
      </c>
      <c r="D1395" s="35" t="s">
        <v>92</v>
      </c>
      <c r="E1395" s="36">
        <v>1.1499999999999999</v>
      </c>
      <c r="F1395" s="33">
        <v>97.52</v>
      </c>
      <c r="G1395" s="33">
        <f t="shared" si="22"/>
        <v>112.14799999999998</v>
      </c>
      <c r="H1395" s="38">
        <f>SUM(G1395:G1397)</f>
        <v>120.16789999999999</v>
      </c>
      <c r="I1395" s="39"/>
      <c r="J1395" s="148">
        <v>540</v>
      </c>
      <c r="K1395" s="222" t="s">
        <v>8074</v>
      </c>
    </row>
    <row r="1396" spans="1:11" hidden="1" x14ac:dyDescent="0.25">
      <c r="A1396" s="203"/>
      <c r="B1396" s="205"/>
      <c r="C1396" s="35" t="s">
        <v>74</v>
      </c>
      <c r="D1396" s="46" t="s">
        <v>12</v>
      </c>
      <c r="E1396" s="36">
        <v>0.18</v>
      </c>
      <c r="F1396" s="30">
        <v>19.4085</v>
      </c>
      <c r="G1396" s="33">
        <f t="shared" si="22"/>
        <v>3.4935299999999998</v>
      </c>
      <c r="H1396" s="34"/>
      <c r="I1396" s="30"/>
      <c r="J1396" s="148">
        <v>540</v>
      </c>
      <c r="K1396" s="222" t="s">
        <v>8074</v>
      </c>
    </row>
    <row r="1397" spans="1:11" hidden="1" x14ac:dyDescent="0.25">
      <c r="A1397" s="203"/>
      <c r="B1397" s="205"/>
      <c r="C1397" s="35" t="s">
        <v>30</v>
      </c>
      <c r="D1397" s="35" t="s">
        <v>12</v>
      </c>
      <c r="E1397" s="36">
        <v>0.18</v>
      </c>
      <c r="F1397" s="30">
        <v>25.146499999999996</v>
      </c>
      <c r="G1397" s="33">
        <f t="shared" si="22"/>
        <v>4.5263699999999991</v>
      </c>
      <c r="H1397" s="34"/>
      <c r="I1397" s="30"/>
      <c r="J1397" s="148">
        <v>540</v>
      </c>
      <c r="K1397" s="222" t="s">
        <v>8074</v>
      </c>
    </row>
    <row r="1398" spans="1:11" ht="15.75" hidden="1" thickBot="1" x14ac:dyDescent="0.3">
      <c r="A1398" s="209"/>
      <c r="B1398" s="206"/>
      <c r="C1398" s="35"/>
      <c r="D1398" s="35"/>
      <c r="E1398" s="36"/>
      <c r="F1398" s="30" t="s">
        <v>514</v>
      </c>
      <c r="G1398" s="30" t="str">
        <f t="shared" si="22"/>
        <v/>
      </c>
      <c r="H1398" s="34"/>
      <c r="I1398" s="30"/>
      <c r="J1398" s="148">
        <v>540</v>
      </c>
      <c r="K1398" s="222" t="s">
        <v>8074</v>
      </c>
    </row>
    <row r="1399" spans="1:11" ht="15.75" hidden="1" thickBot="1" x14ac:dyDescent="0.3">
      <c r="A1399" s="202" t="s">
        <v>428</v>
      </c>
      <c r="B1399" s="204" t="str">
        <f>INDEX(Orçamentária!A:B,MATCH(Composições!A1399,Orçamentária!A:A,0),2)</f>
        <v>Condulete de alumínio de 1"</v>
      </c>
      <c r="C1399" s="40"/>
      <c r="D1399" s="25" t="str">
        <f>TRIM(INDEX(Orçamentária!C:C,MATCH(Composições!A1399,Orçamentária!A:A,0),1))</f>
        <v>un</v>
      </c>
      <c r="E1399" s="26"/>
      <c r="F1399" s="41" t="s">
        <v>514</v>
      </c>
      <c r="G1399" s="27" t="str">
        <f t="shared" si="22"/>
        <v/>
      </c>
      <c r="H1399" s="28"/>
      <c r="I1399" s="29"/>
      <c r="J1399" s="148">
        <v>700</v>
      </c>
      <c r="K1399" s="222" t="s">
        <v>8074</v>
      </c>
    </row>
    <row r="1400" spans="1:11" hidden="1" x14ac:dyDescent="0.25">
      <c r="A1400" s="203"/>
      <c r="B1400" s="205"/>
      <c r="C1400" s="31"/>
      <c r="D1400" s="31"/>
      <c r="E1400" s="32"/>
      <c r="F1400" s="42" t="s">
        <v>514</v>
      </c>
      <c r="G1400" s="30" t="str">
        <f t="shared" si="22"/>
        <v/>
      </c>
      <c r="H1400" s="34"/>
      <c r="I1400" s="30"/>
      <c r="J1400" s="148">
        <v>700</v>
      </c>
      <c r="K1400" s="222" t="s">
        <v>8074</v>
      </c>
    </row>
    <row r="1401" spans="1:11" hidden="1" x14ac:dyDescent="0.25">
      <c r="A1401" s="203"/>
      <c r="B1401" s="205"/>
      <c r="C1401" s="35" t="s">
        <v>74</v>
      </c>
      <c r="D1401" s="35" t="s">
        <v>12</v>
      </c>
      <c r="E1401" s="36">
        <v>0.53849999999999998</v>
      </c>
      <c r="F1401" s="30">
        <v>19.4085</v>
      </c>
      <c r="G1401" s="33">
        <f t="shared" si="22"/>
        <v>10.45147725</v>
      </c>
      <c r="H1401" s="38">
        <f>SUM(G1401:G1404)</f>
        <v>44.417867499999993</v>
      </c>
      <c r="I1401" s="39"/>
      <c r="J1401" s="148">
        <v>700</v>
      </c>
      <c r="K1401" s="222" t="s">
        <v>8074</v>
      </c>
    </row>
    <row r="1402" spans="1:11" hidden="1" x14ac:dyDescent="0.25">
      <c r="A1402" s="203"/>
      <c r="B1402" s="205"/>
      <c r="C1402" s="35" t="s">
        <v>30</v>
      </c>
      <c r="D1402" s="35" t="s">
        <v>12</v>
      </c>
      <c r="E1402" s="36">
        <v>0.53849999999999998</v>
      </c>
      <c r="F1402" s="30">
        <v>25.146499999999996</v>
      </c>
      <c r="G1402" s="33">
        <f t="shared" si="22"/>
        <v>13.541390249999997</v>
      </c>
      <c r="H1402" s="34"/>
      <c r="I1402" s="30"/>
      <c r="J1402" s="148">
        <v>700</v>
      </c>
      <c r="K1402" s="222" t="s">
        <v>8074</v>
      </c>
    </row>
    <row r="1403" spans="1:11" ht="25.5" hidden="1" x14ac:dyDescent="0.25">
      <c r="A1403" s="203"/>
      <c r="B1403" s="205"/>
      <c r="C1403" s="35" t="s">
        <v>429</v>
      </c>
      <c r="D1403" s="35" t="s">
        <v>20</v>
      </c>
      <c r="E1403" s="36">
        <v>2</v>
      </c>
      <c r="F1403" s="33">
        <v>0.38949999999999996</v>
      </c>
      <c r="G1403" s="33">
        <f t="shared" si="22"/>
        <v>0.77899999999999991</v>
      </c>
      <c r="H1403" s="34"/>
      <c r="I1403" s="30"/>
      <c r="J1403" s="148">
        <v>700</v>
      </c>
      <c r="K1403" s="222" t="s">
        <v>8074</v>
      </c>
    </row>
    <row r="1404" spans="1:11" ht="25.5" hidden="1" x14ac:dyDescent="0.25">
      <c r="A1404" s="203"/>
      <c r="B1404" s="205"/>
      <c r="C1404" s="35" t="s">
        <v>430</v>
      </c>
      <c r="D1404" s="35" t="s">
        <v>20</v>
      </c>
      <c r="E1404" s="36">
        <v>1</v>
      </c>
      <c r="F1404" s="33">
        <v>19.645999999999997</v>
      </c>
      <c r="G1404" s="30">
        <f t="shared" si="22"/>
        <v>19.645999999999997</v>
      </c>
      <c r="H1404" s="34"/>
      <c r="I1404" s="30"/>
      <c r="J1404" s="148">
        <v>700</v>
      </c>
      <c r="K1404" s="222" t="s">
        <v>8074</v>
      </c>
    </row>
    <row r="1405" spans="1:11" ht="15.75" hidden="1" thickBot="1" x14ac:dyDescent="0.3">
      <c r="A1405" s="209"/>
      <c r="B1405" s="206"/>
      <c r="C1405" s="35"/>
      <c r="D1405" s="35"/>
      <c r="E1405" s="36"/>
      <c r="F1405" s="30" t="s">
        <v>514</v>
      </c>
      <c r="G1405" s="30" t="str">
        <f t="shared" si="22"/>
        <v/>
      </c>
      <c r="H1405" s="34"/>
      <c r="I1405" s="30"/>
      <c r="J1405" s="148">
        <v>700</v>
      </c>
      <c r="K1405" s="222" t="s">
        <v>8074</v>
      </c>
    </row>
    <row r="1406" spans="1:11" ht="15.75" hidden="1" thickBot="1" x14ac:dyDescent="0.3">
      <c r="A1406" s="202" t="s">
        <v>431</v>
      </c>
      <c r="B1406" s="204" t="str">
        <f>INDEX(Orçamentária!A:B,MATCH(Composições!A1406,Orçamentária!A:A,0),2)</f>
        <v>Eletrocalha 100x50 mm</v>
      </c>
      <c r="C1406" s="40"/>
      <c r="D1406" s="25" t="str">
        <f>TRIM(INDEX(Orçamentária!C:C,MATCH(Composições!A1406,Orçamentária!A:A,0),1))</f>
        <v>m</v>
      </c>
      <c r="E1406" s="26"/>
      <c r="F1406" s="41" t="s">
        <v>514</v>
      </c>
      <c r="G1406" s="27" t="str">
        <f t="shared" si="22"/>
        <v/>
      </c>
      <c r="H1406" s="28"/>
      <c r="I1406" s="29"/>
      <c r="J1406" s="148">
        <v>950</v>
      </c>
      <c r="K1406" s="222" t="s">
        <v>8074</v>
      </c>
    </row>
    <row r="1407" spans="1:11" hidden="1" x14ac:dyDescent="0.25">
      <c r="A1407" s="203"/>
      <c r="B1407" s="205"/>
      <c r="C1407" s="31"/>
      <c r="D1407" s="31"/>
      <c r="E1407" s="32"/>
      <c r="F1407" s="42" t="s">
        <v>514</v>
      </c>
      <c r="G1407" s="30" t="str">
        <f t="shared" si="22"/>
        <v/>
      </c>
      <c r="H1407" s="34"/>
      <c r="I1407" s="30"/>
      <c r="J1407" s="148">
        <v>950</v>
      </c>
      <c r="K1407" s="222" t="s">
        <v>8074</v>
      </c>
    </row>
    <row r="1408" spans="1:11" hidden="1" x14ac:dyDescent="0.25">
      <c r="A1408" s="203"/>
      <c r="B1408" s="205"/>
      <c r="C1408" s="35" t="s">
        <v>30</v>
      </c>
      <c r="D1408" s="35" t="s">
        <v>12</v>
      </c>
      <c r="E1408" s="36">
        <v>0.45</v>
      </c>
      <c r="F1408" s="30">
        <v>25.146499999999996</v>
      </c>
      <c r="G1408" s="30">
        <f t="shared" si="22"/>
        <v>11.315924999999998</v>
      </c>
      <c r="H1408" s="38">
        <f>SUM(G1408:G1419)</f>
        <v>69.713823999999988</v>
      </c>
      <c r="I1408" s="39"/>
      <c r="J1408" s="148">
        <v>950</v>
      </c>
      <c r="K1408" s="222" t="s">
        <v>8074</v>
      </c>
    </row>
    <row r="1409" spans="1:11" hidden="1" x14ac:dyDescent="0.25">
      <c r="A1409" s="203"/>
      <c r="B1409" s="205"/>
      <c r="C1409" s="35" t="s">
        <v>74</v>
      </c>
      <c r="D1409" s="46" t="s">
        <v>12</v>
      </c>
      <c r="E1409" s="36">
        <v>0.45</v>
      </c>
      <c r="F1409" s="30">
        <v>19.4085</v>
      </c>
      <c r="G1409" s="30">
        <f t="shared" si="22"/>
        <v>8.7338249999999995</v>
      </c>
      <c r="H1409" s="34"/>
      <c r="I1409" s="30"/>
      <c r="J1409" s="148">
        <v>950</v>
      </c>
      <c r="K1409" s="222" t="s">
        <v>8074</v>
      </c>
    </row>
    <row r="1410" spans="1:11" ht="25.5" hidden="1" x14ac:dyDescent="0.25">
      <c r="A1410" s="203"/>
      <c r="B1410" s="205"/>
      <c r="C1410" s="35" t="s">
        <v>432</v>
      </c>
      <c r="D1410" s="35" t="s">
        <v>143</v>
      </c>
      <c r="E1410" s="36">
        <v>0.67</v>
      </c>
      <c r="F1410" s="30">
        <v>9.7374999999999989</v>
      </c>
      <c r="G1410" s="30">
        <f t="shared" si="22"/>
        <v>6.5241249999999997</v>
      </c>
      <c r="H1410" s="61"/>
      <c r="I1410" s="1"/>
      <c r="J1410" s="148">
        <v>950</v>
      </c>
      <c r="K1410" s="222" t="s">
        <v>8074</v>
      </c>
    </row>
    <row r="1411" spans="1:11" ht="25.5" hidden="1" x14ac:dyDescent="0.25">
      <c r="A1411" s="203"/>
      <c r="B1411" s="205"/>
      <c r="C1411" s="35" t="s">
        <v>433</v>
      </c>
      <c r="D1411" s="35" t="s">
        <v>92</v>
      </c>
      <c r="E1411" s="36">
        <v>1.05</v>
      </c>
      <c r="F1411" s="33">
        <v>18.47</v>
      </c>
      <c r="G1411" s="30">
        <f t="shared" si="22"/>
        <v>19.3935</v>
      </c>
      <c r="H1411" s="34"/>
      <c r="I1411" s="30"/>
      <c r="J1411" s="148">
        <v>950</v>
      </c>
      <c r="K1411" s="222" t="s">
        <v>8074</v>
      </c>
    </row>
    <row r="1412" spans="1:11" hidden="1" x14ac:dyDescent="0.25">
      <c r="A1412" s="203"/>
      <c r="B1412" s="205"/>
      <c r="C1412" s="35" t="s">
        <v>434</v>
      </c>
      <c r="D1412" s="35" t="s">
        <v>92</v>
      </c>
      <c r="E1412" s="36">
        <v>0.8</v>
      </c>
      <c r="F1412" s="30">
        <v>5.681</v>
      </c>
      <c r="G1412" s="30">
        <f t="shared" si="22"/>
        <v>4.5448000000000004</v>
      </c>
      <c r="H1412" s="34"/>
      <c r="I1412" s="30"/>
      <c r="J1412" s="148">
        <v>950</v>
      </c>
      <c r="K1412" s="222" t="s">
        <v>8074</v>
      </c>
    </row>
    <row r="1413" spans="1:11" hidden="1" x14ac:dyDescent="0.25">
      <c r="A1413" s="203"/>
      <c r="B1413" s="205"/>
      <c r="C1413" s="35" t="s">
        <v>435</v>
      </c>
      <c r="D1413" s="35" t="s">
        <v>278</v>
      </c>
      <c r="E1413" s="36">
        <v>4.0033000000000003</v>
      </c>
      <c r="F1413" s="33">
        <v>0.29449999999999998</v>
      </c>
      <c r="G1413" s="30">
        <f t="shared" si="22"/>
        <v>1.1789718499999999</v>
      </c>
      <c r="H1413" s="34"/>
      <c r="I1413" s="30"/>
      <c r="J1413" s="148">
        <v>950</v>
      </c>
      <c r="K1413" s="222" t="s">
        <v>8074</v>
      </c>
    </row>
    <row r="1414" spans="1:11" hidden="1" x14ac:dyDescent="0.25">
      <c r="A1414" s="203"/>
      <c r="B1414" s="205"/>
      <c r="C1414" s="35" t="s">
        <v>436</v>
      </c>
      <c r="D1414" s="35" t="s">
        <v>143</v>
      </c>
      <c r="E1414" s="36">
        <v>4.0033000000000003</v>
      </c>
      <c r="F1414" s="30">
        <v>6.6500000000000004E-2</v>
      </c>
      <c r="G1414" s="30">
        <f t="shared" si="22"/>
        <v>0.26621945000000002</v>
      </c>
      <c r="H1414" s="34"/>
      <c r="I1414" s="30"/>
      <c r="J1414" s="148">
        <v>950</v>
      </c>
      <c r="K1414" s="222" t="s">
        <v>8074</v>
      </c>
    </row>
    <row r="1415" spans="1:11" hidden="1" x14ac:dyDescent="0.25">
      <c r="A1415" s="203"/>
      <c r="B1415" s="205"/>
      <c r="C1415" s="35" t="s">
        <v>437</v>
      </c>
      <c r="D1415" s="35" t="s">
        <v>143</v>
      </c>
      <c r="E1415" s="36">
        <v>0.67</v>
      </c>
      <c r="F1415" s="30">
        <v>5.4055</v>
      </c>
      <c r="G1415" s="30">
        <f t="shared" si="22"/>
        <v>3.6216850000000003</v>
      </c>
      <c r="H1415" s="34"/>
      <c r="I1415" s="30"/>
      <c r="J1415" s="148">
        <v>950</v>
      </c>
      <c r="K1415" s="222" t="s">
        <v>8074</v>
      </c>
    </row>
    <row r="1416" spans="1:11" hidden="1" x14ac:dyDescent="0.25">
      <c r="A1416" s="203"/>
      <c r="B1416" s="205"/>
      <c r="C1416" s="35" t="s">
        <v>438</v>
      </c>
      <c r="D1416" s="35" t="s">
        <v>143</v>
      </c>
      <c r="E1416" s="36">
        <v>1.05</v>
      </c>
      <c r="F1416" s="30">
        <v>1.7859999999999998</v>
      </c>
      <c r="G1416" s="30">
        <f t="shared" si="22"/>
        <v>1.8753</v>
      </c>
      <c r="H1416" s="34"/>
      <c r="I1416" s="30"/>
      <c r="J1416" s="148">
        <v>950</v>
      </c>
      <c r="K1416" s="222" t="s">
        <v>8074</v>
      </c>
    </row>
    <row r="1417" spans="1:11" hidden="1" x14ac:dyDescent="0.25">
      <c r="A1417" s="203"/>
      <c r="B1417" s="205"/>
      <c r="C1417" s="35" t="s">
        <v>439</v>
      </c>
      <c r="D1417" s="35" t="s">
        <v>20</v>
      </c>
      <c r="E1417" s="36">
        <v>2.67</v>
      </c>
      <c r="F1417" s="30">
        <v>0.32300000000000001</v>
      </c>
      <c r="G1417" s="30">
        <f t="shared" si="22"/>
        <v>0.86241000000000001</v>
      </c>
      <c r="H1417" s="34"/>
      <c r="I1417" s="30"/>
      <c r="J1417" s="148">
        <v>950</v>
      </c>
      <c r="K1417" s="222" t="s">
        <v>8074</v>
      </c>
    </row>
    <row r="1418" spans="1:11" hidden="1" x14ac:dyDescent="0.25">
      <c r="A1418" s="203"/>
      <c r="B1418" s="205"/>
      <c r="C1418" s="35" t="s">
        <v>440</v>
      </c>
      <c r="D1418" s="35" t="s">
        <v>143</v>
      </c>
      <c r="E1418" s="36">
        <v>0.66669999999999996</v>
      </c>
      <c r="F1418" s="30">
        <v>1.881</v>
      </c>
      <c r="G1418" s="30">
        <f t="shared" si="22"/>
        <v>1.2540627</v>
      </c>
      <c r="H1418" s="34"/>
      <c r="I1418" s="30"/>
      <c r="J1418" s="148">
        <v>950</v>
      </c>
      <c r="K1418" s="222" t="s">
        <v>8074</v>
      </c>
    </row>
    <row r="1419" spans="1:11" ht="25.5" hidden="1" x14ac:dyDescent="0.25">
      <c r="A1419" s="203"/>
      <c r="B1419" s="205"/>
      <c r="C1419" s="35" t="s">
        <v>441</v>
      </c>
      <c r="D1419" s="35" t="s">
        <v>92</v>
      </c>
      <c r="E1419" s="36">
        <v>1.05</v>
      </c>
      <c r="F1419" s="33">
        <v>9.66</v>
      </c>
      <c r="G1419" s="30">
        <f t="shared" si="22"/>
        <v>10.143000000000001</v>
      </c>
      <c r="H1419" s="34"/>
      <c r="I1419" s="30"/>
      <c r="J1419" s="148">
        <v>950</v>
      </c>
      <c r="K1419" s="222" t="s">
        <v>8074</v>
      </c>
    </row>
    <row r="1420" spans="1:11" ht="15.75" hidden="1" thickBot="1" x14ac:dyDescent="0.3">
      <c r="A1420" s="209"/>
      <c r="B1420" s="206"/>
      <c r="C1420" s="35"/>
      <c r="D1420" s="35"/>
      <c r="E1420" s="36"/>
      <c r="F1420" s="30" t="s">
        <v>514</v>
      </c>
      <c r="G1420" s="30" t="str">
        <f t="shared" si="22"/>
        <v/>
      </c>
      <c r="H1420" s="34"/>
      <c r="I1420" s="30"/>
      <c r="J1420" s="148">
        <v>950</v>
      </c>
      <c r="K1420" s="222" t="s">
        <v>8074</v>
      </c>
    </row>
    <row r="1421" spans="1:11" ht="15.75" hidden="1" thickBot="1" x14ac:dyDescent="0.3">
      <c r="A1421" s="202" t="s">
        <v>442</v>
      </c>
      <c r="B1421" s="204" t="str">
        <f>INDEX(Orçamentária!A:B,MATCH(Composições!A1421,Orçamentária!A:A,0),2)</f>
        <v>Eletrocalha 200x100 mm</v>
      </c>
      <c r="C1421" s="40"/>
      <c r="D1421" s="25" t="str">
        <f>TRIM(INDEX(Orçamentária!C:C,MATCH(Composições!A1421,Orçamentária!A:A,0),1))</f>
        <v>m</v>
      </c>
      <c r="E1421" s="26"/>
      <c r="F1421" s="41" t="s">
        <v>514</v>
      </c>
      <c r="G1421" s="27" t="str">
        <f t="shared" si="22"/>
        <v/>
      </c>
      <c r="H1421" s="28"/>
      <c r="I1421" s="29"/>
      <c r="J1421" s="148">
        <v>950</v>
      </c>
      <c r="K1421" s="222" t="s">
        <v>8074</v>
      </c>
    </row>
    <row r="1422" spans="1:11" hidden="1" x14ac:dyDescent="0.25">
      <c r="A1422" s="203"/>
      <c r="B1422" s="205"/>
      <c r="C1422" s="31"/>
      <c r="D1422" s="31"/>
      <c r="E1422" s="32"/>
      <c r="F1422" s="42" t="s">
        <v>514</v>
      </c>
      <c r="G1422" s="30" t="str">
        <f t="shared" si="22"/>
        <v/>
      </c>
      <c r="H1422" s="34"/>
      <c r="I1422" s="30"/>
      <c r="J1422" s="148">
        <v>950</v>
      </c>
      <c r="K1422" s="222" t="s">
        <v>8074</v>
      </c>
    </row>
    <row r="1423" spans="1:11" hidden="1" x14ac:dyDescent="0.25">
      <c r="A1423" s="203"/>
      <c r="B1423" s="205"/>
      <c r="C1423" s="35" t="s">
        <v>30</v>
      </c>
      <c r="D1423" s="35" t="s">
        <v>12</v>
      </c>
      <c r="E1423" s="36">
        <v>0.6</v>
      </c>
      <c r="F1423" s="30">
        <v>25.146499999999996</v>
      </c>
      <c r="G1423" s="30">
        <f t="shared" si="22"/>
        <v>15.087899999999998</v>
      </c>
      <c r="H1423" s="38">
        <f>SUM(G1423:G1434)</f>
        <v>130.05240069999999</v>
      </c>
      <c r="I1423" s="39"/>
      <c r="J1423" s="148">
        <v>950</v>
      </c>
      <c r="K1423" s="222" t="s">
        <v>8074</v>
      </c>
    </row>
    <row r="1424" spans="1:11" hidden="1" x14ac:dyDescent="0.25">
      <c r="A1424" s="203"/>
      <c r="B1424" s="205"/>
      <c r="C1424" s="35" t="s">
        <v>74</v>
      </c>
      <c r="D1424" s="46" t="s">
        <v>12</v>
      </c>
      <c r="E1424" s="36">
        <v>0.6</v>
      </c>
      <c r="F1424" s="30">
        <v>19.4085</v>
      </c>
      <c r="G1424" s="30">
        <f t="shared" si="22"/>
        <v>11.645099999999999</v>
      </c>
      <c r="H1424" s="34"/>
      <c r="I1424" s="30"/>
      <c r="J1424" s="148">
        <v>950</v>
      </c>
      <c r="K1424" s="222" t="s">
        <v>8074</v>
      </c>
    </row>
    <row r="1425" spans="1:11" ht="25.5" hidden="1" x14ac:dyDescent="0.25">
      <c r="A1425" s="203"/>
      <c r="B1425" s="205"/>
      <c r="C1425" s="35" t="s">
        <v>432</v>
      </c>
      <c r="D1425" s="35" t="s">
        <v>143</v>
      </c>
      <c r="E1425" s="36">
        <v>1.3332999999999999</v>
      </c>
      <c r="F1425" s="30">
        <v>9.7374999999999989</v>
      </c>
      <c r="G1425" s="30">
        <f t="shared" si="22"/>
        <v>12.983008749999998</v>
      </c>
      <c r="H1425" s="61"/>
      <c r="I1425" s="1"/>
      <c r="J1425" s="148">
        <v>950</v>
      </c>
      <c r="K1425" s="222" t="s">
        <v>8074</v>
      </c>
    </row>
    <row r="1426" spans="1:11" ht="25.5" hidden="1" x14ac:dyDescent="0.25">
      <c r="A1426" s="203"/>
      <c r="B1426" s="205"/>
      <c r="C1426" s="35" t="s">
        <v>443</v>
      </c>
      <c r="D1426" s="35" t="s">
        <v>92</v>
      </c>
      <c r="E1426" s="36">
        <v>1.05</v>
      </c>
      <c r="F1426" s="33">
        <v>45.76</v>
      </c>
      <c r="G1426" s="30">
        <f t="shared" si="22"/>
        <v>48.048000000000002</v>
      </c>
      <c r="H1426" s="34"/>
      <c r="I1426" s="30"/>
      <c r="J1426" s="148">
        <v>950</v>
      </c>
      <c r="K1426" s="222" t="s">
        <v>8074</v>
      </c>
    </row>
    <row r="1427" spans="1:11" hidden="1" x14ac:dyDescent="0.25">
      <c r="A1427" s="203"/>
      <c r="B1427" s="205"/>
      <c r="C1427" s="35" t="s">
        <v>434</v>
      </c>
      <c r="D1427" s="35" t="s">
        <v>92</v>
      </c>
      <c r="E1427" s="36">
        <v>1.6</v>
      </c>
      <c r="F1427" s="30">
        <v>5.681</v>
      </c>
      <c r="G1427" s="30">
        <f t="shared" ref="G1427:G1490" si="23">IF(ISNUMBER(F1427),E1427*F1427,"")</f>
        <v>9.0896000000000008</v>
      </c>
      <c r="H1427" s="34"/>
      <c r="I1427" s="30"/>
      <c r="J1427" s="148">
        <v>950</v>
      </c>
      <c r="K1427" s="222" t="s">
        <v>8074</v>
      </c>
    </row>
    <row r="1428" spans="1:11" hidden="1" x14ac:dyDescent="0.25">
      <c r="A1428" s="203"/>
      <c r="B1428" s="205"/>
      <c r="C1428" s="35" t="s">
        <v>435</v>
      </c>
      <c r="D1428" s="35" t="s">
        <v>278</v>
      </c>
      <c r="E1428" s="36">
        <v>5.3367000000000004</v>
      </c>
      <c r="F1428" s="33">
        <v>0.29449999999999998</v>
      </c>
      <c r="G1428" s="30">
        <f t="shared" si="23"/>
        <v>1.57165815</v>
      </c>
      <c r="H1428" s="34"/>
      <c r="I1428" s="30"/>
      <c r="J1428" s="148">
        <v>950</v>
      </c>
      <c r="K1428" s="222" t="s">
        <v>8074</v>
      </c>
    </row>
    <row r="1429" spans="1:11" hidden="1" x14ac:dyDescent="0.25">
      <c r="A1429" s="203"/>
      <c r="B1429" s="205"/>
      <c r="C1429" s="35" t="s">
        <v>436</v>
      </c>
      <c r="D1429" s="35" t="s">
        <v>143</v>
      </c>
      <c r="E1429" s="36">
        <v>5.34</v>
      </c>
      <c r="F1429" s="30">
        <v>6.6500000000000004E-2</v>
      </c>
      <c r="G1429" s="30">
        <f t="shared" si="23"/>
        <v>0.35511000000000004</v>
      </c>
      <c r="H1429" s="34"/>
      <c r="I1429" s="30"/>
      <c r="J1429" s="148">
        <v>950</v>
      </c>
      <c r="K1429" s="222" t="s">
        <v>8074</v>
      </c>
    </row>
    <row r="1430" spans="1:11" hidden="1" x14ac:dyDescent="0.25">
      <c r="A1430" s="203"/>
      <c r="B1430" s="205"/>
      <c r="C1430" s="35" t="s">
        <v>444</v>
      </c>
      <c r="D1430" s="35" t="s">
        <v>143</v>
      </c>
      <c r="E1430" s="36">
        <v>0.67</v>
      </c>
      <c r="F1430" s="30">
        <v>10.088999999999999</v>
      </c>
      <c r="G1430" s="30">
        <f t="shared" si="23"/>
        <v>6.7596299999999996</v>
      </c>
      <c r="H1430" s="34"/>
      <c r="I1430" s="30"/>
      <c r="J1430" s="148">
        <v>950</v>
      </c>
      <c r="K1430" s="222" t="s">
        <v>8074</v>
      </c>
    </row>
    <row r="1431" spans="1:11" hidden="1" x14ac:dyDescent="0.25">
      <c r="A1431" s="203"/>
      <c r="B1431" s="205"/>
      <c r="C1431" s="35" t="s">
        <v>438</v>
      </c>
      <c r="D1431" s="35" t="s">
        <v>143</v>
      </c>
      <c r="E1431" s="36">
        <v>1.3332999999999999</v>
      </c>
      <c r="F1431" s="30">
        <v>1.7859999999999998</v>
      </c>
      <c r="G1431" s="30">
        <f t="shared" si="23"/>
        <v>2.3812737999999998</v>
      </c>
      <c r="H1431" s="34"/>
      <c r="I1431" s="30"/>
      <c r="J1431" s="148">
        <v>950</v>
      </c>
      <c r="K1431" s="222" t="s">
        <v>8074</v>
      </c>
    </row>
    <row r="1432" spans="1:11" hidden="1" x14ac:dyDescent="0.25">
      <c r="A1432" s="203"/>
      <c r="B1432" s="205"/>
      <c r="C1432" s="35" t="s">
        <v>439</v>
      </c>
      <c r="D1432" s="35" t="s">
        <v>20</v>
      </c>
      <c r="E1432" s="36">
        <v>2.67</v>
      </c>
      <c r="F1432" s="30">
        <v>0.32300000000000001</v>
      </c>
      <c r="G1432" s="30">
        <f t="shared" si="23"/>
        <v>0.86241000000000001</v>
      </c>
      <c r="H1432" s="34"/>
      <c r="I1432" s="30"/>
      <c r="J1432" s="148">
        <v>950</v>
      </c>
      <c r="K1432" s="222" t="s">
        <v>8074</v>
      </c>
    </row>
    <row r="1433" spans="1:11" hidden="1" x14ac:dyDescent="0.25">
      <c r="A1433" s="203"/>
      <c r="B1433" s="205"/>
      <c r="C1433" s="35" t="s">
        <v>445</v>
      </c>
      <c r="D1433" s="35" t="s">
        <v>143</v>
      </c>
      <c r="E1433" s="36">
        <v>0.67</v>
      </c>
      <c r="F1433" s="30">
        <v>3.363</v>
      </c>
      <c r="G1433" s="30">
        <f t="shared" si="23"/>
        <v>2.2532100000000002</v>
      </c>
      <c r="H1433" s="34"/>
      <c r="I1433" s="30"/>
      <c r="J1433" s="148">
        <v>950</v>
      </c>
      <c r="K1433" s="222" t="s">
        <v>8074</v>
      </c>
    </row>
    <row r="1434" spans="1:11" ht="25.5" hidden="1" x14ac:dyDescent="0.25">
      <c r="A1434" s="203"/>
      <c r="B1434" s="205"/>
      <c r="C1434" s="35" t="s">
        <v>446</v>
      </c>
      <c r="D1434" s="35" t="s">
        <v>92</v>
      </c>
      <c r="E1434" s="36">
        <v>1.05</v>
      </c>
      <c r="F1434" s="33">
        <v>18.11</v>
      </c>
      <c r="G1434" s="30">
        <f t="shared" si="23"/>
        <v>19.015499999999999</v>
      </c>
      <c r="H1434" s="34"/>
      <c r="I1434" s="30"/>
      <c r="J1434" s="148">
        <v>950</v>
      </c>
      <c r="K1434" s="222" t="s">
        <v>8074</v>
      </c>
    </row>
    <row r="1435" spans="1:11" ht="15.75" hidden="1" thickBot="1" x14ac:dyDescent="0.3">
      <c r="A1435" s="209"/>
      <c r="B1435" s="206"/>
      <c r="C1435" s="35"/>
      <c r="D1435" s="35"/>
      <c r="E1435" s="36"/>
      <c r="F1435" s="30" t="s">
        <v>514</v>
      </c>
      <c r="G1435" s="30" t="str">
        <f t="shared" si="23"/>
        <v/>
      </c>
      <c r="H1435" s="34"/>
      <c r="I1435" s="30"/>
      <c r="J1435" s="148">
        <v>950</v>
      </c>
      <c r="K1435" s="222" t="s">
        <v>8074</v>
      </c>
    </row>
    <row r="1436" spans="1:11" ht="15.75" hidden="1" thickBot="1" x14ac:dyDescent="0.3">
      <c r="A1436" s="202" t="s">
        <v>447</v>
      </c>
      <c r="B1436" s="204" t="str">
        <f>INDEX(Orçamentária!A:B,MATCH(Composições!A1436,Orçamentária!A:A,0),2)</f>
        <v>Eletrocalha 200x50 mm</v>
      </c>
      <c r="C1436" s="40"/>
      <c r="D1436" s="25" t="str">
        <f>TRIM(INDEX(Orçamentária!C:C,MATCH(Composições!A1436,Orçamentária!A:A,0),1))</f>
        <v>m</v>
      </c>
      <c r="E1436" s="26"/>
      <c r="F1436" s="41" t="s">
        <v>514</v>
      </c>
      <c r="G1436" s="27" t="str">
        <f t="shared" si="23"/>
        <v/>
      </c>
      <c r="H1436" s="28"/>
      <c r="I1436" s="29"/>
      <c r="J1436" s="148">
        <v>875</v>
      </c>
      <c r="K1436" s="222" t="s">
        <v>8074</v>
      </c>
    </row>
    <row r="1437" spans="1:11" hidden="1" x14ac:dyDescent="0.25">
      <c r="A1437" s="203"/>
      <c r="B1437" s="205"/>
      <c r="C1437" s="31"/>
      <c r="D1437" s="31"/>
      <c r="E1437" s="32"/>
      <c r="F1437" s="42" t="s">
        <v>514</v>
      </c>
      <c r="G1437" s="30" t="str">
        <f t="shared" si="23"/>
        <v/>
      </c>
      <c r="H1437" s="34"/>
      <c r="I1437" s="30"/>
      <c r="J1437" s="148">
        <v>875</v>
      </c>
      <c r="K1437" s="222" t="s">
        <v>8074</v>
      </c>
    </row>
    <row r="1438" spans="1:11" hidden="1" x14ac:dyDescent="0.25">
      <c r="A1438" s="203"/>
      <c r="B1438" s="205"/>
      <c r="C1438" s="35" t="s">
        <v>30</v>
      </c>
      <c r="D1438" s="35" t="s">
        <v>12</v>
      </c>
      <c r="E1438" s="36">
        <v>0.5</v>
      </c>
      <c r="F1438" s="30">
        <v>25.146499999999996</v>
      </c>
      <c r="G1438" s="30">
        <f t="shared" si="23"/>
        <v>12.573249999999998</v>
      </c>
      <c r="H1438" s="38">
        <f>SUM(G1438:G1449)</f>
        <v>111.66388070000001</v>
      </c>
      <c r="I1438" s="39"/>
      <c r="J1438" s="148">
        <v>875</v>
      </c>
      <c r="K1438" s="222" t="s">
        <v>8074</v>
      </c>
    </row>
    <row r="1439" spans="1:11" hidden="1" x14ac:dyDescent="0.25">
      <c r="A1439" s="203"/>
      <c r="B1439" s="205"/>
      <c r="C1439" s="35" t="s">
        <v>74</v>
      </c>
      <c r="D1439" s="46" t="s">
        <v>12</v>
      </c>
      <c r="E1439" s="36">
        <v>0.5</v>
      </c>
      <c r="F1439" s="30">
        <v>19.4085</v>
      </c>
      <c r="G1439" s="30">
        <f t="shared" si="23"/>
        <v>9.70425</v>
      </c>
      <c r="H1439" s="34"/>
      <c r="I1439" s="30"/>
      <c r="J1439" s="148">
        <v>875</v>
      </c>
      <c r="K1439" s="222" t="s">
        <v>8074</v>
      </c>
    </row>
    <row r="1440" spans="1:11" ht="25.5" hidden="1" x14ac:dyDescent="0.25">
      <c r="A1440" s="203"/>
      <c r="B1440" s="205"/>
      <c r="C1440" s="35" t="s">
        <v>432</v>
      </c>
      <c r="D1440" s="35" t="s">
        <v>143</v>
      </c>
      <c r="E1440" s="36">
        <v>1.3332999999999999</v>
      </c>
      <c r="F1440" s="30">
        <v>9.7374999999999989</v>
      </c>
      <c r="G1440" s="30">
        <f t="shared" si="23"/>
        <v>12.983008749999998</v>
      </c>
      <c r="H1440" s="61"/>
      <c r="I1440" s="1"/>
      <c r="J1440" s="148">
        <v>875</v>
      </c>
      <c r="K1440" s="222" t="s">
        <v>8074</v>
      </c>
    </row>
    <row r="1441" spans="1:11" ht="25.5" hidden="1" x14ac:dyDescent="0.25">
      <c r="A1441" s="203"/>
      <c r="B1441" s="205"/>
      <c r="C1441" s="35" t="s">
        <v>448</v>
      </c>
      <c r="D1441" s="35" t="s">
        <v>92</v>
      </c>
      <c r="E1441" s="36">
        <v>1.05</v>
      </c>
      <c r="F1441" s="33">
        <v>34.6</v>
      </c>
      <c r="G1441" s="30">
        <f t="shared" si="23"/>
        <v>36.330000000000005</v>
      </c>
      <c r="H1441" s="34"/>
      <c r="I1441" s="30"/>
      <c r="J1441" s="148">
        <v>875</v>
      </c>
      <c r="K1441" s="222" t="s">
        <v>8074</v>
      </c>
    </row>
    <row r="1442" spans="1:11" hidden="1" x14ac:dyDescent="0.25">
      <c r="A1442" s="203"/>
      <c r="B1442" s="205"/>
      <c r="C1442" s="35" t="s">
        <v>434</v>
      </c>
      <c r="D1442" s="35" t="s">
        <v>92</v>
      </c>
      <c r="E1442" s="36">
        <v>1.6</v>
      </c>
      <c r="F1442" s="30">
        <v>5.681</v>
      </c>
      <c r="G1442" s="30">
        <f t="shared" si="23"/>
        <v>9.0896000000000008</v>
      </c>
      <c r="H1442" s="34"/>
      <c r="I1442" s="30"/>
      <c r="J1442" s="148">
        <v>875</v>
      </c>
      <c r="K1442" s="222" t="s">
        <v>8074</v>
      </c>
    </row>
    <row r="1443" spans="1:11" hidden="1" x14ac:dyDescent="0.25">
      <c r="A1443" s="203"/>
      <c r="B1443" s="205"/>
      <c r="C1443" s="35" t="s">
        <v>435</v>
      </c>
      <c r="D1443" s="35" t="s">
        <v>278</v>
      </c>
      <c r="E1443" s="36">
        <v>5.3367000000000004</v>
      </c>
      <c r="F1443" s="33">
        <v>0.29449999999999998</v>
      </c>
      <c r="G1443" s="30">
        <f t="shared" si="23"/>
        <v>1.57165815</v>
      </c>
      <c r="H1443" s="34"/>
      <c r="I1443" s="30"/>
      <c r="J1443" s="148">
        <v>875</v>
      </c>
      <c r="K1443" s="222" t="s">
        <v>8074</v>
      </c>
    </row>
    <row r="1444" spans="1:11" hidden="1" x14ac:dyDescent="0.25">
      <c r="A1444" s="203"/>
      <c r="B1444" s="205"/>
      <c r="C1444" s="35" t="s">
        <v>436</v>
      </c>
      <c r="D1444" s="35" t="s">
        <v>143</v>
      </c>
      <c r="E1444" s="36">
        <v>5.34</v>
      </c>
      <c r="F1444" s="30">
        <v>6.6500000000000004E-2</v>
      </c>
      <c r="G1444" s="30">
        <f t="shared" si="23"/>
        <v>0.35511000000000004</v>
      </c>
      <c r="H1444" s="34"/>
      <c r="I1444" s="30"/>
      <c r="J1444" s="148">
        <v>875</v>
      </c>
      <c r="K1444" s="222" t="s">
        <v>8074</v>
      </c>
    </row>
    <row r="1445" spans="1:11" hidden="1" x14ac:dyDescent="0.25">
      <c r="A1445" s="203"/>
      <c r="B1445" s="205"/>
      <c r="C1445" s="35" t="s">
        <v>449</v>
      </c>
      <c r="D1445" s="35" t="s">
        <v>143</v>
      </c>
      <c r="E1445" s="36">
        <v>0.67</v>
      </c>
      <c r="F1445" s="30">
        <v>8.2649999999999988</v>
      </c>
      <c r="G1445" s="30">
        <f t="shared" si="23"/>
        <v>5.5375499999999995</v>
      </c>
      <c r="H1445" s="34"/>
      <c r="I1445" s="30"/>
      <c r="J1445" s="148">
        <v>875</v>
      </c>
      <c r="K1445" s="222" t="s">
        <v>8074</v>
      </c>
    </row>
    <row r="1446" spans="1:11" hidden="1" x14ac:dyDescent="0.25">
      <c r="A1446" s="203"/>
      <c r="B1446" s="205"/>
      <c r="C1446" s="35" t="s">
        <v>438</v>
      </c>
      <c r="D1446" s="35" t="s">
        <v>143</v>
      </c>
      <c r="E1446" s="36">
        <v>1.3332999999999999</v>
      </c>
      <c r="F1446" s="30">
        <v>1.7859999999999998</v>
      </c>
      <c r="G1446" s="30">
        <f t="shared" si="23"/>
        <v>2.3812737999999998</v>
      </c>
      <c r="H1446" s="34"/>
      <c r="I1446" s="30"/>
      <c r="J1446" s="148">
        <v>875</v>
      </c>
      <c r="K1446" s="222" t="s">
        <v>8074</v>
      </c>
    </row>
    <row r="1447" spans="1:11" hidden="1" x14ac:dyDescent="0.25">
      <c r="A1447" s="203"/>
      <c r="B1447" s="205"/>
      <c r="C1447" s="35" t="s">
        <v>439</v>
      </c>
      <c r="D1447" s="35" t="s">
        <v>20</v>
      </c>
      <c r="E1447" s="36">
        <v>2.67</v>
      </c>
      <c r="F1447" s="30">
        <v>0.32300000000000001</v>
      </c>
      <c r="G1447" s="30">
        <f t="shared" si="23"/>
        <v>0.86241000000000001</v>
      </c>
      <c r="H1447" s="34"/>
      <c r="I1447" s="30"/>
      <c r="J1447" s="148">
        <v>875</v>
      </c>
      <c r="K1447" s="222" t="s">
        <v>8074</v>
      </c>
    </row>
    <row r="1448" spans="1:11" hidden="1" x14ac:dyDescent="0.25">
      <c r="A1448" s="203"/>
      <c r="B1448" s="205"/>
      <c r="C1448" s="35" t="s">
        <v>440</v>
      </c>
      <c r="D1448" s="35" t="s">
        <v>143</v>
      </c>
      <c r="E1448" s="36">
        <v>0.67</v>
      </c>
      <c r="F1448" s="30">
        <v>1.881</v>
      </c>
      <c r="G1448" s="30">
        <f t="shared" si="23"/>
        <v>1.26027</v>
      </c>
      <c r="H1448" s="34"/>
      <c r="I1448" s="30"/>
      <c r="J1448" s="148">
        <v>875</v>
      </c>
      <c r="K1448" s="222" t="s">
        <v>8074</v>
      </c>
    </row>
    <row r="1449" spans="1:11" ht="25.5" hidden="1" x14ac:dyDescent="0.25">
      <c r="A1449" s="203"/>
      <c r="B1449" s="205"/>
      <c r="C1449" s="35" t="s">
        <v>446</v>
      </c>
      <c r="D1449" s="35" t="s">
        <v>92</v>
      </c>
      <c r="E1449" s="36">
        <v>1.05</v>
      </c>
      <c r="F1449" s="33">
        <v>18.11</v>
      </c>
      <c r="G1449" s="30">
        <f t="shared" si="23"/>
        <v>19.015499999999999</v>
      </c>
      <c r="H1449" s="34"/>
      <c r="I1449" s="30"/>
      <c r="J1449" s="148">
        <v>875</v>
      </c>
      <c r="K1449" s="222" t="s">
        <v>8074</v>
      </c>
    </row>
    <row r="1450" spans="1:11" ht="15.75" hidden="1" thickBot="1" x14ac:dyDescent="0.3">
      <c r="A1450" s="209"/>
      <c r="B1450" s="206"/>
      <c r="C1450" s="35"/>
      <c r="D1450" s="35"/>
      <c r="E1450" s="36"/>
      <c r="F1450" s="30" t="s">
        <v>514</v>
      </c>
      <c r="G1450" s="30" t="str">
        <f t="shared" si="23"/>
        <v/>
      </c>
      <c r="H1450" s="34"/>
      <c r="I1450" s="30"/>
      <c r="J1450" s="148">
        <v>875</v>
      </c>
      <c r="K1450" s="222" t="s">
        <v>8074</v>
      </c>
    </row>
    <row r="1451" spans="1:11" ht="15.75" hidden="1" thickBot="1" x14ac:dyDescent="0.3">
      <c r="A1451" s="202" t="s">
        <v>450</v>
      </c>
      <c r="B1451" s="204" t="str">
        <f>INDEX(Orçamentária!A:B,MATCH(Composições!A1451,Orçamentária!A:A,0),2)</f>
        <v>Eletrocalha 300x100 mm</v>
      </c>
      <c r="C1451" s="40"/>
      <c r="D1451" s="25" t="str">
        <f>TRIM(INDEX(Orçamentária!C:C,MATCH(Composições!A1451,Orçamentária!A:A,0),1))</f>
        <v>m</v>
      </c>
      <c r="E1451" s="26"/>
      <c r="F1451" s="41" t="s">
        <v>514</v>
      </c>
      <c r="G1451" s="27" t="str">
        <f t="shared" si="23"/>
        <v/>
      </c>
      <c r="H1451" s="28"/>
      <c r="I1451" s="29"/>
      <c r="J1451" s="148">
        <v>875</v>
      </c>
      <c r="K1451" s="222" t="s">
        <v>8074</v>
      </c>
    </row>
    <row r="1452" spans="1:11" hidden="1" x14ac:dyDescent="0.25">
      <c r="A1452" s="203"/>
      <c r="B1452" s="205"/>
      <c r="C1452" s="31"/>
      <c r="D1452" s="31"/>
      <c r="E1452" s="32"/>
      <c r="F1452" s="42" t="s">
        <v>514</v>
      </c>
      <c r="G1452" s="30" t="str">
        <f t="shared" si="23"/>
        <v/>
      </c>
      <c r="H1452" s="34"/>
      <c r="I1452" s="30"/>
      <c r="J1452" s="148">
        <v>875</v>
      </c>
      <c r="K1452" s="222" t="s">
        <v>8074</v>
      </c>
    </row>
    <row r="1453" spans="1:11" hidden="1" x14ac:dyDescent="0.25">
      <c r="A1453" s="203"/>
      <c r="B1453" s="205"/>
      <c r="C1453" s="35" t="s">
        <v>30</v>
      </c>
      <c r="D1453" s="35" t="s">
        <v>12</v>
      </c>
      <c r="E1453" s="36">
        <v>0.65</v>
      </c>
      <c r="F1453" s="30">
        <v>25.146499999999996</v>
      </c>
      <c r="G1453" s="30">
        <f t="shared" si="23"/>
        <v>16.345224999999999</v>
      </c>
      <c r="H1453" s="38">
        <f>SUM(G1453:G1464)</f>
        <v>166.22226069999999</v>
      </c>
      <c r="I1453" s="39"/>
      <c r="J1453" s="148">
        <v>875</v>
      </c>
      <c r="K1453" s="222" t="s">
        <v>8074</v>
      </c>
    </row>
    <row r="1454" spans="1:11" hidden="1" x14ac:dyDescent="0.25">
      <c r="A1454" s="203"/>
      <c r="B1454" s="205"/>
      <c r="C1454" s="35" t="s">
        <v>74</v>
      </c>
      <c r="D1454" s="46" t="s">
        <v>12</v>
      </c>
      <c r="E1454" s="36">
        <v>0.65</v>
      </c>
      <c r="F1454" s="30">
        <v>19.4085</v>
      </c>
      <c r="G1454" s="30">
        <f t="shared" si="23"/>
        <v>12.615525</v>
      </c>
      <c r="H1454" s="34"/>
      <c r="I1454" s="30"/>
      <c r="J1454" s="148">
        <v>875</v>
      </c>
      <c r="K1454" s="222" t="s">
        <v>8074</v>
      </c>
    </row>
    <row r="1455" spans="1:11" ht="25.5" hidden="1" x14ac:dyDescent="0.25">
      <c r="A1455" s="203"/>
      <c r="B1455" s="205"/>
      <c r="C1455" s="35" t="s">
        <v>432</v>
      </c>
      <c r="D1455" s="35" t="s">
        <v>143</v>
      </c>
      <c r="E1455" s="36">
        <v>1.3332999999999999</v>
      </c>
      <c r="F1455" s="30">
        <v>9.7374999999999989</v>
      </c>
      <c r="G1455" s="30">
        <f t="shared" si="23"/>
        <v>12.983008749999998</v>
      </c>
      <c r="H1455" s="61"/>
      <c r="I1455" s="1"/>
      <c r="J1455" s="148">
        <v>875</v>
      </c>
      <c r="K1455" s="222" t="s">
        <v>8074</v>
      </c>
    </row>
    <row r="1456" spans="1:11" ht="25.5" hidden="1" x14ac:dyDescent="0.25">
      <c r="A1456" s="203"/>
      <c r="B1456" s="205"/>
      <c r="C1456" s="35" t="s">
        <v>451</v>
      </c>
      <c r="D1456" s="35" t="s">
        <v>92</v>
      </c>
      <c r="E1456" s="36">
        <v>1.05</v>
      </c>
      <c r="F1456" s="33">
        <v>58.78</v>
      </c>
      <c r="G1456" s="30">
        <f t="shared" si="23"/>
        <v>61.719000000000001</v>
      </c>
      <c r="H1456" s="34"/>
      <c r="I1456" s="30"/>
      <c r="J1456" s="148">
        <v>875</v>
      </c>
      <c r="K1456" s="222" t="s">
        <v>8074</v>
      </c>
    </row>
    <row r="1457" spans="1:11" hidden="1" x14ac:dyDescent="0.25">
      <c r="A1457" s="203"/>
      <c r="B1457" s="205"/>
      <c r="C1457" s="35" t="s">
        <v>434</v>
      </c>
      <c r="D1457" s="35" t="s">
        <v>92</v>
      </c>
      <c r="E1457" s="36">
        <v>1.6</v>
      </c>
      <c r="F1457" s="30">
        <v>5.681</v>
      </c>
      <c r="G1457" s="30">
        <f t="shared" si="23"/>
        <v>9.0896000000000008</v>
      </c>
      <c r="H1457" s="34"/>
      <c r="I1457" s="30"/>
      <c r="J1457" s="148">
        <v>875</v>
      </c>
      <c r="K1457" s="222" t="s">
        <v>8074</v>
      </c>
    </row>
    <row r="1458" spans="1:11" hidden="1" x14ac:dyDescent="0.25">
      <c r="A1458" s="203"/>
      <c r="B1458" s="205"/>
      <c r="C1458" s="35" t="s">
        <v>435</v>
      </c>
      <c r="D1458" s="35" t="s">
        <v>278</v>
      </c>
      <c r="E1458" s="36">
        <v>5.3367000000000004</v>
      </c>
      <c r="F1458" s="33">
        <v>0.29449999999999998</v>
      </c>
      <c r="G1458" s="30">
        <f t="shared" si="23"/>
        <v>1.57165815</v>
      </c>
      <c r="H1458" s="34"/>
      <c r="I1458" s="30"/>
      <c r="J1458" s="148">
        <v>875</v>
      </c>
      <c r="K1458" s="222" t="s">
        <v>8074</v>
      </c>
    </row>
    <row r="1459" spans="1:11" hidden="1" x14ac:dyDescent="0.25">
      <c r="A1459" s="203"/>
      <c r="B1459" s="205"/>
      <c r="C1459" s="35" t="s">
        <v>436</v>
      </c>
      <c r="D1459" s="35" t="s">
        <v>143</v>
      </c>
      <c r="E1459" s="36">
        <v>5.34</v>
      </c>
      <c r="F1459" s="30">
        <v>6.6500000000000004E-2</v>
      </c>
      <c r="G1459" s="30">
        <f t="shared" si="23"/>
        <v>0.35511000000000004</v>
      </c>
      <c r="H1459" s="34"/>
      <c r="I1459" s="30"/>
      <c r="J1459" s="148">
        <v>875</v>
      </c>
      <c r="K1459" s="222" t="s">
        <v>8074</v>
      </c>
    </row>
    <row r="1460" spans="1:11" hidden="1" x14ac:dyDescent="0.25">
      <c r="A1460" s="203"/>
      <c r="B1460" s="205"/>
      <c r="C1460" s="35" t="s">
        <v>452</v>
      </c>
      <c r="D1460" s="35" t="s">
        <v>143</v>
      </c>
      <c r="E1460" s="36">
        <v>0.67</v>
      </c>
      <c r="F1460" s="30">
        <v>14.972</v>
      </c>
      <c r="G1460" s="30">
        <f t="shared" si="23"/>
        <v>10.03124</v>
      </c>
      <c r="H1460" s="34"/>
      <c r="I1460" s="30"/>
      <c r="J1460" s="148">
        <v>875</v>
      </c>
      <c r="K1460" s="222" t="s">
        <v>8074</v>
      </c>
    </row>
    <row r="1461" spans="1:11" hidden="1" x14ac:dyDescent="0.25">
      <c r="A1461" s="203"/>
      <c r="B1461" s="205"/>
      <c r="C1461" s="35" t="s">
        <v>438</v>
      </c>
      <c r="D1461" s="35" t="s">
        <v>143</v>
      </c>
      <c r="E1461" s="36">
        <v>1.3332999999999999</v>
      </c>
      <c r="F1461" s="30">
        <v>1.7859999999999998</v>
      </c>
      <c r="G1461" s="30">
        <f t="shared" si="23"/>
        <v>2.3812737999999998</v>
      </c>
      <c r="H1461" s="34"/>
      <c r="I1461" s="30"/>
      <c r="J1461" s="148">
        <v>875</v>
      </c>
      <c r="K1461" s="222" t="s">
        <v>8074</v>
      </c>
    </row>
    <row r="1462" spans="1:11" hidden="1" x14ac:dyDescent="0.25">
      <c r="A1462" s="203"/>
      <c r="B1462" s="205"/>
      <c r="C1462" s="35" t="s">
        <v>439</v>
      </c>
      <c r="D1462" s="35" t="s">
        <v>20</v>
      </c>
      <c r="E1462" s="36">
        <v>2.67</v>
      </c>
      <c r="F1462" s="30">
        <v>0.32300000000000001</v>
      </c>
      <c r="G1462" s="30">
        <f t="shared" si="23"/>
        <v>0.86241000000000001</v>
      </c>
      <c r="H1462" s="34"/>
      <c r="I1462" s="30"/>
      <c r="J1462" s="148">
        <v>875</v>
      </c>
      <c r="K1462" s="222" t="s">
        <v>8074</v>
      </c>
    </row>
    <row r="1463" spans="1:11" hidden="1" x14ac:dyDescent="0.25">
      <c r="A1463" s="203"/>
      <c r="B1463" s="205"/>
      <c r="C1463" s="35" t="s">
        <v>445</v>
      </c>
      <c r="D1463" s="35" t="s">
        <v>143</v>
      </c>
      <c r="E1463" s="36">
        <v>0.67</v>
      </c>
      <c r="F1463" s="30">
        <v>3.363</v>
      </c>
      <c r="G1463" s="30">
        <f t="shared" si="23"/>
        <v>2.2532100000000002</v>
      </c>
      <c r="H1463" s="34"/>
      <c r="I1463" s="30"/>
      <c r="J1463" s="148">
        <v>875</v>
      </c>
      <c r="K1463" s="222" t="s">
        <v>8074</v>
      </c>
    </row>
    <row r="1464" spans="1:11" ht="25.5" hidden="1" x14ac:dyDescent="0.25">
      <c r="A1464" s="203"/>
      <c r="B1464" s="205"/>
      <c r="C1464" s="35" t="s">
        <v>453</v>
      </c>
      <c r="D1464" s="35" t="s">
        <v>92</v>
      </c>
      <c r="E1464" s="36">
        <v>1.05</v>
      </c>
      <c r="F1464" s="33">
        <v>34.299999999999997</v>
      </c>
      <c r="G1464" s="30">
        <f t="shared" si="23"/>
        <v>36.015000000000001</v>
      </c>
      <c r="H1464" s="34"/>
      <c r="I1464" s="30"/>
      <c r="J1464" s="148">
        <v>875</v>
      </c>
      <c r="K1464" s="222" t="s">
        <v>8074</v>
      </c>
    </row>
    <row r="1465" spans="1:11" ht="15.75" hidden="1" thickBot="1" x14ac:dyDescent="0.3">
      <c r="A1465" s="209"/>
      <c r="B1465" s="206"/>
      <c r="C1465" s="35"/>
      <c r="D1465" s="35"/>
      <c r="E1465" s="36"/>
      <c r="F1465" s="30" t="s">
        <v>514</v>
      </c>
      <c r="G1465" s="30" t="str">
        <f t="shared" si="23"/>
        <v/>
      </c>
      <c r="H1465" s="34"/>
      <c r="I1465" s="30"/>
      <c r="J1465" s="148">
        <v>875</v>
      </c>
      <c r="K1465" s="222" t="s">
        <v>8074</v>
      </c>
    </row>
    <row r="1466" spans="1:11" ht="15.75" hidden="1" thickBot="1" x14ac:dyDescent="0.3">
      <c r="A1466" s="202" t="s">
        <v>454</v>
      </c>
      <c r="B1466" s="204" t="str">
        <f>INDEX(Orçamentária!A:B,MATCH(Composições!A1466,Orçamentária!A:A,0),2)</f>
        <v>Eletrocalha 300x50 mm</v>
      </c>
      <c r="C1466" s="40"/>
      <c r="D1466" s="25" t="str">
        <f>TRIM(INDEX(Orçamentária!C:C,MATCH(Composições!A1466,Orçamentária!A:A,0),1))</f>
        <v>m</v>
      </c>
      <c r="E1466" s="26"/>
      <c r="F1466" s="41" t="s">
        <v>514</v>
      </c>
      <c r="G1466" s="27" t="str">
        <f t="shared" si="23"/>
        <v/>
      </c>
      <c r="H1466" s="28"/>
      <c r="I1466" s="29"/>
      <c r="J1466" s="148">
        <v>875</v>
      </c>
      <c r="K1466" s="222" t="s">
        <v>8074</v>
      </c>
    </row>
    <row r="1467" spans="1:11" hidden="1" x14ac:dyDescent="0.25">
      <c r="A1467" s="203"/>
      <c r="B1467" s="205"/>
      <c r="C1467" s="31"/>
      <c r="D1467" s="31"/>
      <c r="E1467" s="32"/>
      <c r="F1467" s="42" t="s">
        <v>514</v>
      </c>
      <c r="G1467" s="30" t="str">
        <f t="shared" si="23"/>
        <v/>
      </c>
      <c r="H1467" s="34"/>
      <c r="I1467" s="30"/>
      <c r="J1467" s="148">
        <v>875</v>
      </c>
      <c r="K1467" s="222" t="s">
        <v>8074</v>
      </c>
    </row>
    <row r="1468" spans="1:11" hidden="1" x14ac:dyDescent="0.25">
      <c r="A1468" s="203"/>
      <c r="B1468" s="205"/>
      <c r="C1468" s="35" t="s">
        <v>30</v>
      </c>
      <c r="D1468" s="35" t="s">
        <v>12</v>
      </c>
      <c r="E1468" s="36">
        <v>0.55000000000000004</v>
      </c>
      <c r="F1468" s="30">
        <v>25.146499999999996</v>
      </c>
      <c r="G1468" s="30">
        <f t="shared" si="23"/>
        <v>13.830575</v>
      </c>
      <c r="H1468" s="38">
        <f>SUM(G1468:G1479)</f>
        <v>145.1280557</v>
      </c>
      <c r="I1468" s="39"/>
      <c r="J1468" s="148">
        <v>875</v>
      </c>
      <c r="K1468" s="222" t="s">
        <v>8074</v>
      </c>
    </row>
    <row r="1469" spans="1:11" hidden="1" x14ac:dyDescent="0.25">
      <c r="A1469" s="203"/>
      <c r="B1469" s="205"/>
      <c r="C1469" s="35" t="s">
        <v>74</v>
      </c>
      <c r="D1469" s="46" t="s">
        <v>12</v>
      </c>
      <c r="E1469" s="36">
        <v>0.55000000000000004</v>
      </c>
      <c r="F1469" s="30">
        <v>19.4085</v>
      </c>
      <c r="G1469" s="30">
        <f t="shared" si="23"/>
        <v>10.674675000000001</v>
      </c>
      <c r="H1469" s="34"/>
      <c r="I1469" s="30"/>
      <c r="J1469" s="148">
        <v>875</v>
      </c>
      <c r="K1469" s="222" t="s">
        <v>8074</v>
      </c>
    </row>
    <row r="1470" spans="1:11" ht="25.5" hidden="1" x14ac:dyDescent="0.25">
      <c r="A1470" s="203"/>
      <c r="B1470" s="205"/>
      <c r="C1470" s="35" t="s">
        <v>432</v>
      </c>
      <c r="D1470" s="35" t="s">
        <v>143</v>
      </c>
      <c r="E1470" s="36">
        <v>1.3332999999999999</v>
      </c>
      <c r="F1470" s="30">
        <v>9.7374999999999989</v>
      </c>
      <c r="G1470" s="30">
        <f t="shared" si="23"/>
        <v>12.983008749999998</v>
      </c>
      <c r="H1470" s="61"/>
      <c r="I1470" s="1"/>
      <c r="J1470" s="148">
        <v>875</v>
      </c>
      <c r="K1470" s="222" t="s">
        <v>8074</v>
      </c>
    </row>
    <row r="1471" spans="1:11" ht="25.5" hidden="1" x14ac:dyDescent="0.25">
      <c r="A1471" s="203"/>
      <c r="B1471" s="205"/>
      <c r="C1471" s="35" t="s">
        <v>455</v>
      </c>
      <c r="D1471" s="35" t="s">
        <v>92</v>
      </c>
      <c r="E1471" s="36">
        <v>1.05</v>
      </c>
      <c r="F1471" s="33">
        <v>47.28</v>
      </c>
      <c r="G1471" s="30">
        <f t="shared" si="23"/>
        <v>49.644000000000005</v>
      </c>
      <c r="H1471" s="34"/>
      <c r="I1471" s="30"/>
      <c r="J1471" s="148">
        <v>875</v>
      </c>
      <c r="K1471" s="222" t="s">
        <v>8074</v>
      </c>
    </row>
    <row r="1472" spans="1:11" hidden="1" x14ac:dyDescent="0.25">
      <c r="A1472" s="203"/>
      <c r="B1472" s="205"/>
      <c r="C1472" s="35" t="s">
        <v>434</v>
      </c>
      <c r="D1472" s="35" t="s">
        <v>92</v>
      </c>
      <c r="E1472" s="36">
        <v>1.6</v>
      </c>
      <c r="F1472" s="30">
        <v>5.681</v>
      </c>
      <c r="G1472" s="30">
        <f t="shared" si="23"/>
        <v>9.0896000000000008</v>
      </c>
      <c r="H1472" s="34"/>
      <c r="I1472" s="30"/>
      <c r="J1472" s="148">
        <v>875</v>
      </c>
      <c r="K1472" s="222" t="s">
        <v>8074</v>
      </c>
    </row>
    <row r="1473" spans="1:11" hidden="1" x14ac:dyDescent="0.25">
      <c r="A1473" s="203"/>
      <c r="B1473" s="205"/>
      <c r="C1473" s="35" t="s">
        <v>435</v>
      </c>
      <c r="D1473" s="35" t="s">
        <v>278</v>
      </c>
      <c r="E1473" s="36">
        <v>5.3367000000000004</v>
      </c>
      <c r="F1473" s="33">
        <v>0.29449999999999998</v>
      </c>
      <c r="G1473" s="30">
        <f t="shared" si="23"/>
        <v>1.57165815</v>
      </c>
      <c r="H1473" s="34"/>
      <c r="I1473" s="30"/>
      <c r="J1473" s="148">
        <v>875</v>
      </c>
      <c r="K1473" s="222" t="s">
        <v>8074</v>
      </c>
    </row>
    <row r="1474" spans="1:11" hidden="1" x14ac:dyDescent="0.25">
      <c r="A1474" s="203"/>
      <c r="B1474" s="205"/>
      <c r="C1474" s="35" t="s">
        <v>436</v>
      </c>
      <c r="D1474" s="35" t="s">
        <v>143</v>
      </c>
      <c r="E1474" s="36">
        <v>5.34</v>
      </c>
      <c r="F1474" s="30">
        <v>6.6500000000000004E-2</v>
      </c>
      <c r="G1474" s="30">
        <f t="shared" si="23"/>
        <v>0.35511000000000004</v>
      </c>
      <c r="H1474" s="34"/>
      <c r="I1474" s="30"/>
      <c r="J1474" s="148">
        <v>875</v>
      </c>
      <c r="K1474" s="222" t="s">
        <v>8074</v>
      </c>
    </row>
    <row r="1475" spans="1:11" hidden="1" x14ac:dyDescent="0.25">
      <c r="A1475" s="203"/>
      <c r="B1475" s="205"/>
      <c r="C1475" s="35" t="s">
        <v>456</v>
      </c>
      <c r="D1475" s="35" t="s">
        <v>143</v>
      </c>
      <c r="E1475" s="36">
        <v>0.67</v>
      </c>
      <c r="F1475" s="30">
        <v>9.6425000000000001</v>
      </c>
      <c r="G1475" s="30">
        <f t="shared" si="23"/>
        <v>6.4604750000000006</v>
      </c>
      <c r="H1475" s="34"/>
      <c r="I1475" s="30"/>
      <c r="J1475" s="148">
        <v>875</v>
      </c>
      <c r="K1475" s="222" t="s">
        <v>8074</v>
      </c>
    </row>
    <row r="1476" spans="1:11" hidden="1" x14ac:dyDescent="0.25">
      <c r="A1476" s="203"/>
      <c r="B1476" s="205"/>
      <c r="C1476" s="35" t="s">
        <v>438</v>
      </c>
      <c r="D1476" s="35" t="s">
        <v>143</v>
      </c>
      <c r="E1476" s="36">
        <v>1.3332999999999999</v>
      </c>
      <c r="F1476" s="30">
        <v>1.7859999999999998</v>
      </c>
      <c r="G1476" s="30">
        <f t="shared" si="23"/>
        <v>2.3812737999999998</v>
      </c>
      <c r="H1476" s="34"/>
      <c r="I1476" s="30"/>
      <c r="J1476" s="148">
        <v>875</v>
      </c>
      <c r="K1476" s="222" t="s">
        <v>8074</v>
      </c>
    </row>
    <row r="1477" spans="1:11" hidden="1" x14ac:dyDescent="0.25">
      <c r="A1477" s="203"/>
      <c r="B1477" s="205"/>
      <c r="C1477" s="35" t="s">
        <v>439</v>
      </c>
      <c r="D1477" s="35" t="s">
        <v>20</v>
      </c>
      <c r="E1477" s="36">
        <v>2.67</v>
      </c>
      <c r="F1477" s="30">
        <v>0.32300000000000001</v>
      </c>
      <c r="G1477" s="30">
        <f t="shared" si="23"/>
        <v>0.86241000000000001</v>
      </c>
      <c r="H1477" s="34"/>
      <c r="I1477" s="30"/>
      <c r="J1477" s="148">
        <v>875</v>
      </c>
      <c r="K1477" s="222" t="s">
        <v>8074</v>
      </c>
    </row>
    <row r="1478" spans="1:11" hidden="1" x14ac:dyDescent="0.25">
      <c r="A1478" s="203"/>
      <c r="B1478" s="205"/>
      <c r="C1478" s="35" t="s">
        <v>440</v>
      </c>
      <c r="D1478" s="35" t="s">
        <v>143</v>
      </c>
      <c r="E1478" s="36">
        <v>0.67</v>
      </c>
      <c r="F1478" s="30">
        <v>1.881</v>
      </c>
      <c r="G1478" s="30">
        <f t="shared" si="23"/>
        <v>1.26027</v>
      </c>
      <c r="H1478" s="34"/>
      <c r="I1478" s="30"/>
      <c r="J1478" s="148">
        <v>875</v>
      </c>
      <c r="K1478" s="222" t="s">
        <v>8074</v>
      </c>
    </row>
    <row r="1479" spans="1:11" ht="25.5" hidden="1" x14ac:dyDescent="0.25">
      <c r="A1479" s="203"/>
      <c r="B1479" s="205"/>
      <c r="C1479" s="35" t="s">
        <v>453</v>
      </c>
      <c r="D1479" s="35" t="s">
        <v>92</v>
      </c>
      <c r="E1479" s="36">
        <v>1.05</v>
      </c>
      <c r="F1479" s="33">
        <v>34.299999999999997</v>
      </c>
      <c r="G1479" s="30">
        <f t="shared" si="23"/>
        <v>36.015000000000001</v>
      </c>
      <c r="H1479" s="34"/>
      <c r="I1479" s="30"/>
      <c r="J1479" s="148">
        <v>875</v>
      </c>
      <c r="K1479" s="222" t="s">
        <v>8074</v>
      </c>
    </row>
    <row r="1480" spans="1:11" ht="15.75" hidden="1" thickBot="1" x14ac:dyDescent="0.3">
      <c r="A1480" s="209"/>
      <c r="B1480" s="206"/>
      <c r="C1480" s="35"/>
      <c r="D1480" s="35"/>
      <c r="E1480" s="36"/>
      <c r="F1480" s="30" t="s">
        <v>514</v>
      </c>
      <c r="G1480" s="30" t="str">
        <f t="shared" si="23"/>
        <v/>
      </c>
      <c r="H1480" s="34"/>
      <c r="I1480" s="30"/>
      <c r="J1480" s="148">
        <v>875</v>
      </c>
      <c r="K1480" s="222" t="s">
        <v>8074</v>
      </c>
    </row>
    <row r="1481" spans="1:11" ht="15.75" hidden="1" thickBot="1" x14ac:dyDescent="0.3">
      <c r="A1481" s="202" t="s">
        <v>457</v>
      </c>
      <c r="B1481" s="204" t="str">
        <f>INDEX(Orçamentária!A:B,MATCH(Composições!A1481,Orçamentária!A:A,0),2)</f>
        <v>Eletrocalha 400x50 mm</v>
      </c>
      <c r="C1481" s="40"/>
      <c r="D1481" s="25" t="str">
        <f>TRIM(INDEX(Orçamentária!C:C,MATCH(Composições!A1481,Orçamentária!A:A,0),1))</f>
        <v>m</v>
      </c>
      <c r="E1481" s="26"/>
      <c r="F1481" s="41" t="s">
        <v>514</v>
      </c>
      <c r="G1481" s="27" t="str">
        <f t="shared" si="23"/>
        <v/>
      </c>
      <c r="H1481" s="28"/>
      <c r="I1481" s="29"/>
      <c r="J1481" s="148">
        <v>875</v>
      </c>
      <c r="K1481" s="222" t="s">
        <v>8074</v>
      </c>
    </row>
    <row r="1482" spans="1:11" hidden="1" x14ac:dyDescent="0.25">
      <c r="A1482" s="203"/>
      <c r="B1482" s="205"/>
      <c r="C1482" s="31"/>
      <c r="D1482" s="31"/>
      <c r="E1482" s="32"/>
      <c r="F1482" s="42" t="s">
        <v>514</v>
      </c>
      <c r="G1482" s="30" t="str">
        <f t="shared" si="23"/>
        <v/>
      </c>
      <c r="H1482" s="34"/>
      <c r="I1482" s="30"/>
      <c r="J1482" s="148">
        <v>875</v>
      </c>
      <c r="K1482" s="222" t="s">
        <v>8074</v>
      </c>
    </row>
    <row r="1483" spans="1:11" hidden="1" x14ac:dyDescent="0.25">
      <c r="A1483" s="203"/>
      <c r="B1483" s="205"/>
      <c r="C1483" s="35" t="s">
        <v>30</v>
      </c>
      <c r="D1483" s="35" t="s">
        <v>12</v>
      </c>
      <c r="E1483" s="36">
        <v>0.55000000000000004</v>
      </c>
      <c r="F1483" s="30">
        <v>25.146499999999996</v>
      </c>
      <c r="G1483" s="30">
        <f t="shared" si="23"/>
        <v>13.830575</v>
      </c>
      <c r="H1483" s="38">
        <f>SUM(G1483:G1494)</f>
        <v>228.3177657</v>
      </c>
      <c r="I1483" s="39"/>
      <c r="J1483" s="148">
        <v>875</v>
      </c>
      <c r="K1483" s="222" t="s">
        <v>8074</v>
      </c>
    </row>
    <row r="1484" spans="1:11" hidden="1" x14ac:dyDescent="0.25">
      <c r="A1484" s="203"/>
      <c r="B1484" s="205"/>
      <c r="C1484" s="35" t="s">
        <v>74</v>
      </c>
      <c r="D1484" s="46" t="s">
        <v>12</v>
      </c>
      <c r="E1484" s="36">
        <v>0.55000000000000004</v>
      </c>
      <c r="F1484" s="30">
        <v>19.4085</v>
      </c>
      <c r="G1484" s="30">
        <f t="shared" si="23"/>
        <v>10.674675000000001</v>
      </c>
      <c r="H1484" s="34"/>
      <c r="I1484" s="30"/>
      <c r="J1484" s="148">
        <v>875</v>
      </c>
      <c r="K1484" s="222" t="s">
        <v>8074</v>
      </c>
    </row>
    <row r="1485" spans="1:11" ht="25.5" hidden="1" x14ac:dyDescent="0.25">
      <c r="A1485" s="203"/>
      <c r="B1485" s="205"/>
      <c r="C1485" s="35" t="s">
        <v>432</v>
      </c>
      <c r="D1485" s="35" t="s">
        <v>143</v>
      </c>
      <c r="E1485" s="36">
        <v>1.3332999999999999</v>
      </c>
      <c r="F1485" s="30">
        <v>9.7374999999999989</v>
      </c>
      <c r="G1485" s="30">
        <f t="shared" si="23"/>
        <v>12.983008749999998</v>
      </c>
      <c r="H1485" s="61"/>
      <c r="I1485" s="1"/>
      <c r="J1485" s="148">
        <v>875</v>
      </c>
      <c r="K1485" s="222" t="s">
        <v>8074</v>
      </c>
    </row>
    <row r="1486" spans="1:11" ht="25.5" hidden="1" x14ac:dyDescent="0.25">
      <c r="A1486" s="203"/>
      <c r="B1486" s="205"/>
      <c r="C1486" s="35" t="s">
        <v>458</v>
      </c>
      <c r="D1486" s="35" t="s">
        <v>92</v>
      </c>
      <c r="E1486" s="36">
        <v>1.05</v>
      </c>
      <c r="F1486" s="33">
        <v>74.58</v>
      </c>
      <c r="G1486" s="30">
        <f t="shared" si="23"/>
        <v>78.308999999999997</v>
      </c>
      <c r="H1486" s="34"/>
      <c r="I1486" s="30"/>
      <c r="J1486" s="148">
        <v>875</v>
      </c>
      <c r="K1486" s="222" t="s">
        <v>8074</v>
      </c>
    </row>
    <row r="1487" spans="1:11" hidden="1" x14ac:dyDescent="0.25">
      <c r="A1487" s="203"/>
      <c r="B1487" s="205"/>
      <c r="C1487" s="35" t="s">
        <v>434</v>
      </c>
      <c r="D1487" s="35" t="s">
        <v>92</v>
      </c>
      <c r="E1487" s="36">
        <v>1.6</v>
      </c>
      <c r="F1487" s="30">
        <v>5.681</v>
      </c>
      <c r="G1487" s="30">
        <f t="shared" si="23"/>
        <v>9.0896000000000008</v>
      </c>
      <c r="H1487" s="34"/>
      <c r="I1487" s="30"/>
      <c r="J1487" s="148">
        <v>875</v>
      </c>
      <c r="K1487" s="222" t="s">
        <v>8074</v>
      </c>
    </row>
    <row r="1488" spans="1:11" hidden="1" x14ac:dyDescent="0.25">
      <c r="A1488" s="203"/>
      <c r="B1488" s="205"/>
      <c r="C1488" s="35" t="s">
        <v>435</v>
      </c>
      <c r="D1488" s="35" t="s">
        <v>278</v>
      </c>
      <c r="E1488" s="36">
        <v>5.3367000000000004</v>
      </c>
      <c r="F1488" s="33">
        <v>0.29449999999999998</v>
      </c>
      <c r="G1488" s="30">
        <f t="shared" si="23"/>
        <v>1.57165815</v>
      </c>
      <c r="H1488" s="34"/>
      <c r="I1488" s="30"/>
      <c r="J1488" s="148">
        <v>875</v>
      </c>
      <c r="K1488" s="222" t="s">
        <v>8074</v>
      </c>
    </row>
    <row r="1489" spans="1:11" hidden="1" x14ac:dyDescent="0.25">
      <c r="A1489" s="203"/>
      <c r="B1489" s="205"/>
      <c r="C1489" s="35" t="s">
        <v>436</v>
      </c>
      <c r="D1489" s="35" t="s">
        <v>143</v>
      </c>
      <c r="E1489" s="36">
        <v>5.34</v>
      </c>
      <c r="F1489" s="30">
        <v>6.6500000000000004E-2</v>
      </c>
      <c r="G1489" s="30">
        <f t="shared" si="23"/>
        <v>0.35511000000000004</v>
      </c>
      <c r="H1489" s="34"/>
      <c r="I1489" s="30"/>
      <c r="J1489" s="148">
        <v>875</v>
      </c>
      <c r="K1489" s="222" t="s">
        <v>8074</v>
      </c>
    </row>
    <row r="1490" spans="1:11" hidden="1" x14ac:dyDescent="0.25">
      <c r="A1490" s="203"/>
      <c r="B1490" s="205"/>
      <c r="C1490" s="35" t="s">
        <v>459</v>
      </c>
      <c r="D1490" s="35" t="s">
        <v>143</v>
      </c>
      <c r="E1490" s="36">
        <v>0.67</v>
      </c>
      <c r="F1490" s="30">
        <v>74.755499999999998</v>
      </c>
      <c r="G1490" s="30">
        <f t="shared" si="23"/>
        <v>50.086185</v>
      </c>
      <c r="H1490" s="34"/>
      <c r="I1490" s="30"/>
      <c r="J1490" s="148">
        <v>875</v>
      </c>
      <c r="K1490" s="222" t="s">
        <v>8074</v>
      </c>
    </row>
    <row r="1491" spans="1:11" hidden="1" x14ac:dyDescent="0.25">
      <c r="A1491" s="203"/>
      <c r="B1491" s="205"/>
      <c r="C1491" s="35" t="s">
        <v>438</v>
      </c>
      <c r="D1491" s="35" t="s">
        <v>143</v>
      </c>
      <c r="E1491" s="36">
        <v>1.3332999999999999</v>
      </c>
      <c r="F1491" s="30">
        <v>1.7859999999999998</v>
      </c>
      <c r="G1491" s="30">
        <f t="shared" ref="G1491:G1554" si="24">IF(ISNUMBER(F1491),E1491*F1491,"")</f>
        <v>2.3812737999999998</v>
      </c>
      <c r="H1491" s="34"/>
      <c r="I1491" s="30"/>
      <c r="J1491" s="148">
        <v>875</v>
      </c>
      <c r="K1491" s="222" t="s">
        <v>8074</v>
      </c>
    </row>
    <row r="1492" spans="1:11" hidden="1" x14ac:dyDescent="0.25">
      <c r="A1492" s="203"/>
      <c r="B1492" s="205"/>
      <c r="C1492" s="35" t="s">
        <v>439</v>
      </c>
      <c r="D1492" s="35" t="s">
        <v>20</v>
      </c>
      <c r="E1492" s="36">
        <v>2.67</v>
      </c>
      <c r="F1492" s="30">
        <v>0.32300000000000001</v>
      </c>
      <c r="G1492" s="30">
        <f t="shared" si="24"/>
        <v>0.86241000000000001</v>
      </c>
      <c r="H1492" s="34"/>
      <c r="I1492" s="30"/>
      <c r="J1492" s="148">
        <v>875</v>
      </c>
      <c r="K1492" s="222" t="s">
        <v>8074</v>
      </c>
    </row>
    <row r="1493" spans="1:11" hidden="1" x14ac:dyDescent="0.25">
      <c r="A1493" s="203"/>
      <c r="B1493" s="205"/>
      <c r="C1493" s="35" t="s">
        <v>440</v>
      </c>
      <c r="D1493" s="35" t="s">
        <v>143</v>
      </c>
      <c r="E1493" s="36">
        <v>0.67</v>
      </c>
      <c r="F1493" s="30">
        <v>1.881</v>
      </c>
      <c r="G1493" s="30">
        <f t="shared" si="24"/>
        <v>1.26027</v>
      </c>
      <c r="H1493" s="34"/>
      <c r="I1493" s="30"/>
      <c r="J1493" s="148">
        <v>875</v>
      </c>
      <c r="K1493" s="222" t="s">
        <v>8074</v>
      </c>
    </row>
    <row r="1494" spans="1:11" ht="25.5" hidden="1" x14ac:dyDescent="0.25">
      <c r="A1494" s="203"/>
      <c r="B1494" s="205"/>
      <c r="C1494" s="35" t="s">
        <v>460</v>
      </c>
      <c r="D1494" s="35" t="s">
        <v>92</v>
      </c>
      <c r="E1494" s="36">
        <v>1.05</v>
      </c>
      <c r="F1494" s="33">
        <v>44.68</v>
      </c>
      <c r="G1494" s="30">
        <f t="shared" si="24"/>
        <v>46.914000000000001</v>
      </c>
      <c r="H1494" s="34"/>
      <c r="I1494" s="30"/>
      <c r="J1494" s="148">
        <v>875</v>
      </c>
      <c r="K1494" s="222" t="s">
        <v>8074</v>
      </c>
    </row>
    <row r="1495" spans="1:11" ht="15.75" hidden="1" thickBot="1" x14ac:dyDescent="0.3">
      <c r="A1495" s="209"/>
      <c r="B1495" s="206"/>
      <c r="C1495" s="35"/>
      <c r="D1495" s="35"/>
      <c r="E1495" s="36"/>
      <c r="F1495" s="30" t="s">
        <v>514</v>
      </c>
      <c r="G1495" s="30" t="str">
        <f t="shared" si="24"/>
        <v/>
      </c>
      <c r="H1495" s="34"/>
      <c r="I1495" s="30"/>
      <c r="J1495" s="148">
        <v>875</v>
      </c>
      <c r="K1495" s="222" t="s">
        <v>8074</v>
      </c>
    </row>
    <row r="1496" spans="1:11" ht="15.75" hidden="1" thickBot="1" x14ac:dyDescent="0.3">
      <c r="A1496" s="202" t="s">
        <v>461</v>
      </c>
      <c r="B1496" s="204" t="str">
        <f>INDEX(Orçamentária!A:B,MATCH(Composições!A1496,Orçamentária!A:A,0),2)</f>
        <v>Eletrocalha 50x50 mm</v>
      </c>
      <c r="C1496" s="40"/>
      <c r="D1496" s="25" t="str">
        <f>TRIM(INDEX(Orçamentária!C:C,MATCH(Composições!A1496,Orçamentária!A:A,0),1))</f>
        <v>m</v>
      </c>
      <c r="E1496" s="26"/>
      <c r="F1496" s="41" t="s">
        <v>514</v>
      </c>
      <c r="G1496" s="27" t="str">
        <f t="shared" si="24"/>
        <v/>
      </c>
      <c r="H1496" s="28"/>
      <c r="I1496" s="29"/>
      <c r="J1496" s="148">
        <v>1200</v>
      </c>
      <c r="K1496" s="222" t="s">
        <v>8074</v>
      </c>
    </row>
    <row r="1497" spans="1:11" hidden="1" x14ac:dyDescent="0.25">
      <c r="A1497" s="207"/>
      <c r="B1497" s="205"/>
      <c r="C1497" s="31"/>
      <c r="D1497" s="31"/>
      <c r="E1497" s="32"/>
      <c r="F1497" s="42" t="s">
        <v>514</v>
      </c>
      <c r="G1497" s="30" t="str">
        <f t="shared" si="24"/>
        <v/>
      </c>
      <c r="H1497" s="34"/>
      <c r="I1497" s="30"/>
      <c r="J1497" s="148">
        <v>1200</v>
      </c>
      <c r="K1497" s="222" t="s">
        <v>8074</v>
      </c>
    </row>
    <row r="1498" spans="1:11" hidden="1" x14ac:dyDescent="0.25">
      <c r="A1498" s="207"/>
      <c r="B1498" s="205"/>
      <c r="C1498" s="35" t="s">
        <v>30</v>
      </c>
      <c r="D1498" s="35" t="s">
        <v>12</v>
      </c>
      <c r="E1498" s="36">
        <v>0.45</v>
      </c>
      <c r="F1498" s="30">
        <v>25.146499999999996</v>
      </c>
      <c r="G1498" s="30">
        <f t="shared" si="24"/>
        <v>11.315924999999998</v>
      </c>
      <c r="H1498" s="38">
        <f>SUM(G1498:G1509)</f>
        <v>59.322868999999997</v>
      </c>
      <c r="I1498" s="39"/>
      <c r="J1498" s="148">
        <v>1200</v>
      </c>
      <c r="K1498" s="222" t="s">
        <v>8074</v>
      </c>
    </row>
    <row r="1499" spans="1:11" hidden="1" x14ac:dyDescent="0.25">
      <c r="A1499" s="207"/>
      <c r="B1499" s="205"/>
      <c r="C1499" s="35" t="s">
        <v>74</v>
      </c>
      <c r="D1499" s="46" t="s">
        <v>12</v>
      </c>
      <c r="E1499" s="36">
        <v>0.45</v>
      </c>
      <c r="F1499" s="30">
        <v>19.4085</v>
      </c>
      <c r="G1499" s="30">
        <f t="shared" si="24"/>
        <v>8.7338249999999995</v>
      </c>
      <c r="H1499" s="34"/>
      <c r="I1499" s="30"/>
      <c r="J1499" s="148">
        <v>1200</v>
      </c>
      <c r="K1499" s="222" t="s">
        <v>8074</v>
      </c>
    </row>
    <row r="1500" spans="1:11" ht="25.5" hidden="1" x14ac:dyDescent="0.25">
      <c r="A1500" s="207"/>
      <c r="B1500" s="205"/>
      <c r="C1500" s="35" t="s">
        <v>432</v>
      </c>
      <c r="D1500" s="35" t="s">
        <v>143</v>
      </c>
      <c r="E1500" s="36">
        <v>0.67</v>
      </c>
      <c r="F1500" s="30">
        <v>9.7374999999999989</v>
      </c>
      <c r="G1500" s="30">
        <f t="shared" si="24"/>
        <v>6.5241249999999997</v>
      </c>
      <c r="H1500" s="61"/>
      <c r="I1500" s="1"/>
      <c r="J1500" s="148">
        <v>1200</v>
      </c>
      <c r="K1500" s="222" t="s">
        <v>8074</v>
      </c>
    </row>
    <row r="1501" spans="1:11" ht="25.5" hidden="1" x14ac:dyDescent="0.25">
      <c r="A1501" s="207"/>
      <c r="B1501" s="205"/>
      <c r="C1501" s="35" t="s">
        <v>462</v>
      </c>
      <c r="D1501" s="35" t="s">
        <v>92</v>
      </c>
      <c r="E1501" s="36">
        <v>1.05</v>
      </c>
      <c r="F1501" s="33">
        <v>12.62</v>
      </c>
      <c r="G1501" s="30">
        <f t="shared" si="24"/>
        <v>13.250999999999999</v>
      </c>
      <c r="H1501" s="34"/>
      <c r="I1501" s="30"/>
      <c r="J1501" s="148">
        <v>1200</v>
      </c>
      <c r="K1501" s="222" t="s">
        <v>8074</v>
      </c>
    </row>
    <row r="1502" spans="1:11" hidden="1" x14ac:dyDescent="0.25">
      <c r="A1502" s="207"/>
      <c r="B1502" s="205"/>
      <c r="C1502" s="35" t="s">
        <v>434</v>
      </c>
      <c r="D1502" s="35" t="s">
        <v>92</v>
      </c>
      <c r="E1502" s="36">
        <v>0.8</v>
      </c>
      <c r="F1502" s="30">
        <v>5.681</v>
      </c>
      <c r="G1502" s="30">
        <f t="shared" si="24"/>
        <v>4.5448000000000004</v>
      </c>
      <c r="H1502" s="34"/>
      <c r="I1502" s="30"/>
      <c r="J1502" s="148">
        <v>1200</v>
      </c>
      <c r="K1502" s="222" t="s">
        <v>8074</v>
      </c>
    </row>
    <row r="1503" spans="1:11" hidden="1" x14ac:dyDescent="0.25">
      <c r="A1503" s="207"/>
      <c r="B1503" s="205"/>
      <c r="C1503" s="35" t="s">
        <v>435</v>
      </c>
      <c r="D1503" s="35" t="s">
        <v>278</v>
      </c>
      <c r="E1503" s="36">
        <v>4.0033000000000003</v>
      </c>
      <c r="F1503" s="33">
        <v>0.29449999999999998</v>
      </c>
      <c r="G1503" s="30">
        <f t="shared" si="24"/>
        <v>1.1789718499999999</v>
      </c>
      <c r="H1503" s="34"/>
      <c r="I1503" s="30"/>
      <c r="J1503" s="148">
        <v>1200</v>
      </c>
      <c r="K1503" s="222" t="s">
        <v>8074</v>
      </c>
    </row>
    <row r="1504" spans="1:11" hidden="1" x14ac:dyDescent="0.25">
      <c r="A1504" s="207"/>
      <c r="B1504" s="205"/>
      <c r="C1504" s="35" t="s">
        <v>436</v>
      </c>
      <c r="D1504" s="35" t="s">
        <v>143</v>
      </c>
      <c r="E1504" s="36">
        <v>4.0033000000000003</v>
      </c>
      <c r="F1504" s="30">
        <v>6.6500000000000004E-2</v>
      </c>
      <c r="G1504" s="30">
        <f t="shared" si="24"/>
        <v>0.26621945000000002</v>
      </c>
      <c r="H1504" s="34"/>
      <c r="I1504" s="30"/>
      <c r="J1504" s="148">
        <v>1200</v>
      </c>
      <c r="K1504" s="222" t="s">
        <v>8074</v>
      </c>
    </row>
    <row r="1505" spans="1:11" hidden="1" x14ac:dyDescent="0.25">
      <c r="A1505" s="207"/>
      <c r="B1505" s="205"/>
      <c r="C1505" s="35" t="s">
        <v>463</v>
      </c>
      <c r="D1505" s="35" t="s">
        <v>143</v>
      </c>
      <c r="E1505" s="36">
        <v>0.67</v>
      </c>
      <c r="F1505" s="30">
        <v>4.7689999999999992</v>
      </c>
      <c r="G1505" s="30">
        <f t="shared" si="24"/>
        <v>3.1952299999999996</v>
      </c>
      <c r="H1505" s="34"/>
      <c r="I1505" s="30"/>
      <c r="J1505" s="148">
        <v>1200</v>
      </c>
      <c r="K1505" s="222" t="s">
        <v>8074</v>
      </c>
    </row>
    <row r="1506" spans="1:11" hidden="1" x14ac:dyDescent="0.25">
      <c r="A1506" s="207"/>
      <c r="B1506" s="205"/>
      <c r="C1506" s="35" t="s">
        <v>438</v>
      </c>
      <c r="D1506" s="35" t="s">
        <v>143</v>
      </c>
      <c r="E1506" s="36">
        <v>1.05</v>
      </c>
      <c r="F1506" s="30">
        <v>1.7859999999999998</v>
      </c>
      <c r="G1506" s="30">
        <f t="shared" si="24"/>
        <v>1.8753</v>
      </c>
      <c r="H1506" s="34"/>
      <c r="I1506" s="30"/>
      <c r="J1506" s="148">
        <v>1200</v>
      </c>
      <c r="K1506" s="222" t="s">
        <v>8074</v>
      </c>
    </row>
    <row r="1507" spans="1:11" hidden="1" x14ac:dyDescent="0.25">
      <c r="A1507" s="207"/>
      <c r="B1507" s="205"/>
      <c r="C1507" s="35" t="s">
        <v>439</v>
      </c>
      <c r="D1507" s="35" t="s">
        <v>20</v>
      </c>
      <c r="E1507" s="36">
        <v>2.67</v>
      </c>
      <c r="F1507" s="30">
        <v>0.32300000000000001</v>
      </c>
      <c r="G1507" s="30">
        <f t="shared" si="24"/>
        <v>0.86241000000000001</v>
      </c>
      <c r="H1507" s="34"/>
      <c r="I1507" s="30"/>
      <c r="J1507" s="148">
        <v>1200</v>
      </c>
      <c r="K1507" s="222" t="s">
        <v>8074</v>
      </c>
    </row>
    <row r="1508" spans="1:11" hidden="1" x14ac:dyDescent="0.25">
      <c r="A1508" s="207"/>
      <c r="B1508" s="205"/>
      <c r="C1508" s="35" t="s">
        <v>440</v>
      </c>
      <c r="D1508" s="35" t="s">
        <v>143</v>
      </c>
      <c r="E1508" s="36">
        <v>0.66669999999999996</v>
      </c>
      <c r="F1508" s="30">
        <v>1.881</v>
      </c>
      <c r="G1508" s="30">
        <f t="shared" si="24"/>
        <v>1.2540627</v>
      </c>
      <c r="H1508" s="34"/>
      <c r="I1508" s="30"/>
      <c r="J1508" s="148">
        <v>1200</v>
      </c>
      <c r="K1508" s="222" t="s">
        <v>8074</v>
      </c>
    </row>
    <row r="1509" spans="1:11" ht="25.5" hidden="1" x14ac:dyDescent="0.25">
      <c r="A1509" s="207"/>
      <c r="B1509" s="205"/>
      <c r="C1509" s="35" t="s">
        <v>464</v>
      </c>
      <c r="D1509" s="35" t="s">
        <v>92</v>
      </c>
      <c r="E1509" s="36">
        <v>1.05</v>
      </c>
      <c r="F1509" s="33">
        <v>6.02</v>
      </c>
      <c r="G1509" s="30">
        <f t="shared" si="24"/>
        <v>6.3209999999999997</v>
      </c>
      <c r="H1509" s="34"/>
      <c r="I1509" s="30"/>
      <c r="J1509" s="148">
        <v>1200</v>
      </c>
      <c r="K1509" s="222" t="s">
        <v>8074</v>
      </c>
    </row>
    <row r="1510" spans="1:11" ht="15.75" hidden="1" thickBot="1" x14ac:dyDescent="0.3">
      <c r="A1510" s="208"/>
      <c r="B1510" s="206"/>
      <c r="C1510" s="35"/>
      <c r="D1510" s="35"/>
      <c r="E1510" s="36"/>
      <c r="F1510" s="30" t="s">
        <v>514</v>
      </c>
      <c r="G1510" s="30" t="str">
        <f t="shared" si="24"/>
        <v/>
      </c>
      <c r="H1510" s="34"/>
      <c r="I1510" s="30"/>
      <c r="J1510" s="148">
        <v>1200</v>
      </c>
      <c r="K1510" s="222" t="s">
        <v>8074</v>
      </c>
    </row>
    <row r="1511" spans="1:11" ht="15.75" hidden="1" thickBot="1" x14ac:dyDescent="0.3">
      <c r="A1511" s="202" t="s">
        <v>465</v>
      </c>
      <c r="B1511" s="204" t="str">
        <f>INDEX(Orçamentária!A:B,MATCH(Composições!A1511,Orçamentária!A:A,0),2)</f>
        <v>Eletroduto de aço galvanizado de 1 1/2"</v>
      </c>
      <c r="C1511" s="40"/>
      <c r="D1511" s="25" t="str">
        <f>TRIM(INDEX(Orçamentária!C:C,MATCH(Composições!A1511,Orçamentária!A:A,0),1))</f>
        <v>m</v>
      </c>
      <c r="E1511" s="26"/>
      <c r="F1511" s="41" t="s">
        <v>514</v>
      </c>
      <c r="G1511" s="27" t="str">
        <f t="shared" si="24"/>
        <v/>
      </c>
      <c r="H1511" s="28"/>
      <c r="I1511" s="29"/>
      <c r="J1511" s="148">
        <v>3000</v>
      </c>
      <c r="K1511" s="222" t="s">
        <v>8074</v>
      </c>
    </row>
    <row r="1512" spans="1:11" hidden="1" x14ac:dyDescent="0.25">
      <c r="A1512" s="203"/>
      <c r="B1512" s="205"/>
      <c r="C1512" s="31"/>
      <c r="D1512" s="31"/>
      <c r="E1512" s="32"/>
      <c r="F1512" s="42" t="s">
        <v>514</v>
      </c>
      <c r="G1512" s="30" t="str">
        <f t="shared" si="24"/>
        <v/>
      </c>
      <c r="H1512" s="34"/>
      <c r="I1512" s="30"/>
      <c r="J1512" s="148">
        <v>3000</v>
      </c>
      <c r="K1512" s="222" t="s">
        <v>8074</v>
      </c>
    </row>
    <row r="1513" spans="1:11" hidden="1" x14ac:dyDescent="0.25">
      <c r="A1513" s="203"/>
      <c r="B1513" s="205"/>
      <c r="C1513" s="35" t="s">
        <v>466</v>
      </c>
      <c r="D1513" s="35" t="s">
        <v>92</v>
      </c>
      <c r="E1513" s="36">
        <v>1.05</v>
      </c>
      <c r="F1513" s="30">
        <v>28.423999999999999</v>
      </c>
      <c r="G1513" s="33">
        <f t="shared" si="24"/>
        <v>29.845200000000002</v>
      </c>
      <c r="H1513" s="38">
        <f>SUM(G1513:G1515)</f>
        <v>63.261449999999996</v>
      </c>
      <c r="I1513" s="39"/>
      <c r="J1513" s="148">
        <v>3000</v>
      </c>
      <c r="K1513" s="222" t="s">
        <v>8074</v>
      </c>
    </row>
    <row r="1514" spans="1:11" hidden="1" x14ac:dyDescent="0.25">
      <c r="A1514" s="203"/>
      <c r="B1514" s="205"/>
      <c r="C1514" s="35" t="s">
        <v>30</v>
      </c>
      <c r="D1514" s="35" t="s">
        <v>12</v>
      </c>
      <c r="E1514" s="36">
        <v>0.75</v>
      </c>
      <c r="F1514" s="30">
        <v>25.146499999999996</v>
      </c>
      <c r="G1514" s="33">
        <f t="shared" si="24"/>
        <v>18.859874999999995</v>
      </c>
      <c r="H1514" s="34"/>
      <c r="I1514" s="30"/>
      <c r="J1514" s="148">
        <v>3000</v>
      </c>
      <c r="K1514" s="222" t="s">
        <v>8074</v>
      </c>
    </row>
    <row r="1515" spans="1:11" hidden="1" x14ac:dyDescent="0.25">
      <c r="A1515" s="203"/>
      <c r="B1515" s="205"/>
      <c r="C1515" s="35" t="s">
        <v>74</v>
      </c>
      <c r="D1515" s="35" t="s">
        <v>12</v>
      </c>
      <c r="E1515" s="36">
        <v>0.75</v>
      </c>
      <c r="F1515" s="30">
        <v>19.4085</v>
      </c>
      <c r="G1515" s="33">
        <f t="shared" si="24"/>
        <v>14.556374999999999</v>
      </c>
      <c r="H1515" s="34"/>
      <c r="I1515" s="30"/>
      <c r="J1515" s="148">
        <v>3000</v>
      </c>
      <c r="K1515" s="222" t="s">
        <v>8074</v>
      </c>
    </row>
    <row r="1516" spans="1:11" ht="15.75" hidden="1" thickBot="1" x14ac:dyDescent="0.3">
      <c r="A1516" s="209"/>
      <c r="B1516" s="206"/>
      <c r="C1516" s="35"/>
      <c r="D1516" s="35"/>
      <c r="E1516" s="36"/>
      <c r="F1516" s="30" t="s">
        <v>514</v>
      </c>
      <c r="G1516" s="30" t="str">
        <f t="shared" si="24"/>
        <v/>
      </c>
      <c r="H1516" s="34"/>
      <c r="I1516" s="30"/>
      <c r="J1516" s="148">
        <v>3000</v>
      </c>
      <c r="K1516" s="222" t="s">
        <v>8074</v>
      </c>
    </row>
    <row r="1517" spans="1:11" ht="15.75" hidden="1" thickBot="1" x14ac:dyDescent="0.3">
      <c r="A1517" s="202" t="s">
        <v>467</v>
      </c>
      <c r="B1517" s="204" t="str">
        <f>INDEX(Orçamentária!A:B,MATCH(Composições!A1517,Orçamentária!A:A,0),2)</f>
        <v>Eletroduto de aço galvanizado de 1 1/4"</v>
      </c>
      <c r="C1517" s="40"/>
      <c r="D1517" s="25" t="str">
        <f>TRIM(INDEX(Orçamentária!C:C,MATCH(Composições!A1517,Orçamentária!A:A,0),1))</f>
        <v>m</v>
      </c>
      <c r="E1517" s="26"/>
      <c r="F1517" s="41" t="s">
        <v>514</v>
      </c>
      <c r="G1517" s="27" t="str">
        <f t="shared" si="24"/>
        <v/>
      </c>
      <c r="H1517" s="28"/>
      <c r="I1517" s="29"/>
      <c r="J1517" s="148">
        <v>3000</v>
      </c>
      <c r="K1517" s="222" t="s">
        <v>8074</v>
      </c>
    </row>
    <row r="1518" spans="1:11" hidden="1" x14ac:dyDescent="0.25">
      <c r="A1518" s="203"/>
      <c r="B1518" s="205"/>
      <c r="C1518" s="31"/>
      <c r="D1518" s="31"/>
      <c r="E1518" s="32"/>
      <c r="F1518" s="42" t="s">
        <v>514</v>
      </c>
      <c r="G1518" s="30" t="str">
        <f t="shared" si="24"/>
        <v/>
      </c>
      <c r="H1518" s="34"/>
      <c r="I1518" s="30"/>
      <c r="J1518" s="148">
        <v>3000</v>
      </c>
      <c r="K1518" s="222" t="s">
        <v>8074</v>
      </c>
    </row>
    <row r="1519" spans="1:11" hidden="1" x14ac:dyDescent="0.25">
      <c r="A1519" s="203"/>
      <c r="B1519" s="205"/>
      <c r="C1519" s="35" t="s">
        <v>468</v>
      </c>
      <c r="D1519" s="35" t="s">
        <v>92</v>
      </c>
      <c r="E1519" s="36">
        <v>1.05</v>
      </c>
      <c r="F1519" s="30">
        <v>25.526499999999999</v>
      </c>
      <c r="G1519" s="33">
        <f t="shared" si="24"/>
        <v>26.802824999999999</v>
      </c>
      <c r="H1519" s="38">
        <f>SUM(G1519:G1521)</f>
        <v>60.219074999999989</v>
      </c>
      <c r="I1519" s="39"/>
      <c r="J1519" s="148">
        <v>3000</v>
      </c>
      <c r="K1519" s="222" t="s">
        <v>8074</v>
      </c>
    </row>
    <row r="1520" spans="1:11" hidden="1" x14ac:dyDescent="0.25">
      <c r="A1520" s="203"/>
      <c r="B1520" s="205"/>
      <c r="C1520" s="35" t="s">
        <v>30</v>
      </c>
      <c r="D1520" s="35" t="s">
        <v>12</v>
      </c>
      <c r="E1520" s="36">
        <v>0.75</v>
      </c>
      <c r="F1520" s="30">
        <v>25.146499999999996</v>
      </c>
      <c r="G1520" s="33">
        <f t="shared" si="24"/>
        <v>18.859874999999995</v>
      </c>
      <c r="H1520" s="34"/>
      <c r="I1520" s="30"/>
      <c r="J1520" s="148">
        <v>3000</v>
      </c>
      <c r="K1520" s="222" t="s">
        <v>8074</v>
      </c>
    </row>
    <row r="1521" spans="1:11" hidden="1" x14ac:dyDescent="0.25">
      <c r="A1521" s="203"/>
      <c r="B1521" s="205"/>
      <c r="C1521" s="35" t="s">
        <v>74</v>
      </c>
      <c r="D1521" s="35" t="s">
        <v>12</v>
      </c>
      <c r="E1521" s="36">
        <v>0.75</v>
      </c>
      <c r="F1521" s="30">
        <v>19.4085</v>
      </c>
      <c r="G1521" s="33">
        <f t="shared" si="24"/>
        <v>14.556374999999999</v>
      </c>
      <c r="H1521" s="34"/>
      <c r="I1521" s="30"/>
      <c r="J1521" s="148">
        <v>3000</v>
      </c>
      <c r="K1521" s="222" t="s">
        <v>8074</v>
      </c>
    </row>
    <row r="1522" spans="1:11" ht="15.75" hidden="1" thickBot="1" x14ac:dyDescent="0.3">
      <c r="A1522" s="209"/>
      <c r="B1522" s="206"/>
      <c r="C1522" s="35"/>
      <c r="D1522" s="35"/>
      <c r="E1522" s="36"/>
      <c r="F1522" s="30" t="s">
        <v>514</v>
      </c>
      <c r="G1522" s="30" t="str">
        <f t="shared" si="24"/>
        <v/>
      </c>
      <c r="H1522" s="34"/>
      <c r="I1522" s="30"/>
      <c r="J1522" s="148">
        <v>3000</v>
      </c>
      <c r="K1522" s="222" t="s">
        <v>8074</v>
      </c>
    </row>
    <row r="1523" spans="1:11" ht="15.75" hidden="1" thickBot="1" x14ac:dyDescent="0.3">
      <c r="A1523" s="202" t="s">
        <v>469</v>
      </c>
      <c r="B1523" s="204" t="str">
        <f>INDEX(Orçamentária!A:B,MATCH(Composições!A1523,Orçamentária!A:A,0),2)</f>
        <v>Eletroduto de aço galvanizado de 1"</v>
      </c>
      <c r="C1523" s="40"/>
      <c r="D1523" s="25" t="str">
        <f>TRIM(INDEX(Orçamentária!C:C,MATCH(Composições!A1523,Orçamentária!A:A,0),1))</f>
        <v>m</v>
      </c>
      <c r="E1523" s="26"/>
      <c r="F1523" s="41" t="s">
        <v>514</v>
      </c>
      <c r="G1523" s="27" t="str">
        <f t="shared" si="24"/>
        <v/>
      </c>
      <c r="H1523" s="28"/>
      <c r="I1523" s="29"/>
      <c r="J1523" s="148">
        <v>2000</v>
      </c>
      <c r="K1523" s="222" t="s">
        <v>8074</v>
      </c>
    </row>
    <row r="1524" spans="1:11" hidden="1" x14ac:dyDescent="0.25">
      <c r="A1524" s="203"/>
      <c r="B1524" s="205"/>
      <c r="C1524" s="31"/>
      <c r="D1524" s="31"/>
      <c r="E1524" s="32"/>
      <c r="F1524" s="42" t="s">
        <v>514</v>
      </c>
      <c r="G1524" s="30" t="str">
        <f t="shared" si="24"/>
        <v/>
      </c>
      <c r="H1524" s="34"/>
      <c r="I1524" s="30"/>
      <c r="J1524" s="148">
        <v>2000</v>
      </c>
      <c r="K1524" s="222" t="s">
        <v>8074</v>
      </c>
    </row>
    <row r="1525" spans="1:11" hidden="1" x14ac:dyDescent="0.25">
      <c r="A1525" s="203"/>
      <c r="B1525" s="205"/>
      <c r="C1525" s="35" t="s">
        <v>470</v>
      </c>
      <c r="D1525" s="35" t="s">
        <v>92</v>
      </c>
      <c r="E1525" s="36">
        <v>1.05</v>
      </c>
      <c r="F1525" s="30">
        <v>14.544499999999999</v>
      </c>
      <c r="G1525" s="33">
        <f t="shared" si="24"/>
        <v>15.271725</v>
      </c>
      <c r="H1525" s="38">
        <f>SUM(G1525:G1527)</f>
        <v>37.549225</v>
      </c>
      <c r="I1525" s="39"/>
      <c r="J1525" s="148">
        <v>2000</v>
      </c>
      <c r="K1525" s="222" t="s">
        <v>8074</v>
      </c>
    </row>
    <row r="1526" spans="1:11" hidden="1" x14ac:dyDescent="0.25">
      <c r="A1526" s="203"/>
      <c r="B1526" s="205"/>
      <c r="C1526" s="35" t="s">
        <v>30</v>
      </c>
      <c r="D1526" s="35" t="s">
        <v>12</v>
      </c>
      <c r="E1526" s="36">
        <v>0.5</v>
      </c>
      <c r="F1526" s="30">
        <v>25.146499999999996</v>
      </c>
      <c r="G1526" s="33">
        <f t="shared" si="24"/>
        <v>12.573249999999998</v>
      </c>
      <c r="H1526" s="34"/>
      <c r="I1526" s="30"/>
      <c r="J1526" s="148">
        <v>2000</v>
      </c>
      <c r="K1526" s="222" t="s">
        <v>8074</v>
      </c>
    </row>
    <row r="1527" spans="1:11" hidden="1" x14ac:dyDescent="0.25">
      <c r="A1527" s="203"/>
      <c r="B1527" s="205"/>
      <c r="C1527" s="35" t="s">
        <v>74</v>
      </c>
      <c r="D1527" s="35" t="s">
        <v>12</v>
      </c>
      <c r="E1527" s="36">
        <v>0.5</v>
      </c>
      <c r="F1527" s="30">
        <v>19.4085</v>
      </c>
      <c r="G1527" s="33">
        <f t="shared" si="24"/>
        <v>9.70425</v>
      </c>
      <c r="H1527" s="34"/>
      <c r="I1527" s="30"/>
      <c r="J1527" s="148">
        <v>2000</v>
      </c>
      <c r="K1527" s="222" t="s">
        <v>8074</v>
      </c>
    </row>
    <row r="1528" spans="1:11" ht="15.75" hidden="1" thickBot="1" x14ac:dyDescent="0.3">
      <c r="A1528" s="209"/>
      <c r="B1528" s="206"/>
      <c r="C1528" s="35"/>
      <c r="D1528" s="35"/>
      <c r="E1528" s="36"/>
      <c r="F1528" s="30" t="s">
        <v>514</v>
      </c>
      <c r="G1528" s="30" t="str">
        <f t="shared" si="24"/>
        <v/>
      </c>
      <c r="H1528" s="34"/>
      <c r="I1528" s="30"/>
      <c r="J1528" s="148">
        <v>2000</v>
      </c>
      <c r="K1528" s="222" t="s">
        <v>8074</v>
      </c>
    </row>
    <row r="1529" spans="1:11" ht="15.75" hidden="1" thickBot="1" x14ac:dyDescent="0.3">
      <c r="A1529" s="202" t="s">
        <v>471</v>
      </c>
      <c r="B1529" s="204" t="str">
        <f>INDEX(Orçamentária!A:B,MATCH(Composições!A1529,Orçamentária!A:A,0),2)</f>
        <v>Eletroduto de aço galvanizado de 2"</v>
      </c>
      <c r="C1529" s="40"/>
      <c r="D1529" s="25" t="str">
        <f>TRIM(INDEX(Orçamentária!C:C,MATCH(Composições!A1529,Orçamentária!A:A,0),1))</f>
        <v>m</v>
      </c>
      <c r="E1529" s="26"/>
      <c r="F1529" s="41" t="s">
        <v>514</v>
      </c>
      <c r="G1529" s="27" t="str">
        <f t="shared" si="24"/>
        <v/>
      </c>
      <c r="H1529" s="28"/>
      <c r="I1529" s="29"/>
      <c r="J1529" s="148">
        <v>2000</v>
      </c>
      <c r="K1529" s="222" t="s">
        <v>8074</v>
      </c>
    </row>
    <row r="1530" spans="1:11" hidden="1" x14ac:dyDescent="0.25">
      <c r="A1530" s="203"/>
      <c r="B1530" s="205"/>
      <c r="C1530" s="31"/>
      <c r="D1530" s="31"/>
      <c r="E1530" s="32"/>
      <c r="F1530" s="42" t="s">
        <v>514</v>
      </c>
      <c r="G1530" s="30" t="str">
        <f t="shared" si="24"/>
        <v/>
      </c>
      <c r="H1530" s="34"/>
      <c r="I1530" s="30"/>
      <c r="J1530" s="148">
        <v>2000</v>
      </c>
      <c r="K1530" s="222" t="s">
        <v>8074</v>
      </c>
    </row>
    <row r="1531" spans="1:11" hidden="1" x14ac:dyDescent="0.25">
      <c r="A1531" s="203"/>
      <c r="B1531" s="205"/>
      <c r="C1531" s="35" t="s">
        <v>472</v>
      </c>
      <c r="D1531" s="35" t="s">
        <v>92</v>
      </c>
      <c r="E1531" s="36">
        <v>1.05</v>
      </c>
      <c r="F1531" s="30">
        <v>44.773499999999999</v>
      </c>
      <c r="G1531" s="33">
        <f t="shared" si="24"/>
        <v>47.012174999999999</v>
      </c>
      <c r="H1531" s="38">
        <f>SUM(G1531:G1533)</f>
        <v>80.428425000000004</v>
      </c>
      <c r="I1531" s="39"/>
      <c r="J1531" s="148">
        <v>2000</v>
      </c>
      <c r="K1531" s="222" t="s">
        <v>8074</v>
      </c>
    </row>
    <row r="1532" spans="1:11" hidden="1" x14ac:dyDescent="0.25">
      <c r="A1532" s="203"/>
      <c r="B1532" s="205"/>
      <c r="C1532" s="35" t="s">
        <v>30</v>
      </c>
      <c r="D1532" s="35" t="s">
        <v>12</v>
      </c>
      <c r="E1532" s="36">
        <v>0.75</v>
      </c>
      <c r="F1532" s="30">
        <v>25.146499999999996</v>
      </c>
      <c r="G1532" s="33">
        <f t="shared" si="24"/>
        <v>18.859874999999995</v>
      </c>
      <c r="H1532" s="34"/>
      <c r="I1532" s="30"/>
      <c r="J1532" s="148">
        <v>2000</v>
      </c>
      <c r="K1532" s="222" t="s">
        <v>8074</v>
      </c>
    </row>
    <row r="1533" spans="1:11" hidden="1" x14ac:dyDescent="0.25">
      <c r="A1533" s="203"/>
      <c r="B1533" s="205"/>
      <c r="C1533" s="35" t="s">
        <v>74</v>
      </c>
      <c r="D1533" s="35" t="s">
        <v>12</v>
      </c>
      <c r="E1533" s="36">
        <v>0.75</v>
      </c>
      <c r="F1533" s="30">
        <v>19.4085</v>
      </c>
      <c r="G1533" s="33">
        <f t="shared" si="24"/>
        <v>14.556374999999999</v>
      </c>
      <c r="H1533" s="34"/>
      <c r="I1533" s="30"/>
      <c r="J1533" s="148">
        <v>2000</v>
      </c>
      <c r="K1533" s="222" t="s">
        <v>8074</v>
      </c>
    </row>
    <row r="1534" spans="1:11" ht="15.75" hidden="1" thickBot="1" x14ac:dyDescent="0.3">
      <c r="A1534" s="209"/>
      <c r="B1534" s="206"/>
      <c r="C1534" s="35"/>
      <c r="D1534" s="35"/>
      <c r="E1534" s="36"/>
      <c r="F1534" s="30" t="s">
        <v>514</v>
      </c>
      <c r="G1534" s="30" t="str">
        <f t="shared" si="24"/>
        <v/>
      </c>
      <c r="H1534" s="34"/>
      <c r="I1534" s="30"/>
      <c r="J1534" s="148">
        <v>2000</v>
      </c>
      <c r="K1534" s="222" t="s">
        <v>8074</v>
      </c>
    </row>
    <row r="1535" spans="1:11" ht="15.75" hidden="1" thickBot="1" x14ac:dyDescent="0.3">
      <c r="A1535" s="202" t="s">
        <v>474</v>
      </c>
      <c r="B1535" s="204" t="str">
        <f>INDEX(Orçamentária!A:B,MATCH(Composições!A1535,Orçamentária!A:A,0),2)</f>
        <v>Eletroduto de aço galvanizado de 3/4"</v>
      </c>
      <c r="C1535" s="40"/>
      <c r="D1535" s="25" t="str">
        <f>TRIM(INDEX(Orçamentária!C:C,MATCH(Composições!A1535,Orçamentária!A:A,0),1))</f>
        <v>m</v>
      </c>
      <c r="E1535" s="26"/>
      <c r="F1535" s="41" t="s">
        <v>514</v>
      </c>
      <c r="G1535" s="27" t="str">
        <f t="shared" si="24"/>
        <v/>
      </c>
      <c r="H1535" s="28"/>
      <c r="I1535" s="29"/>
      <c r="J1535" s="148">
        <v>2000</v>
      </c>
      <c r="K1535" s="222" t="s">
        <v>8074</v>
      </c>
    </row>
    <row r="1536" spans="1:11" hidden="1" x14ac:dyDescent="0.25">
      <c r="A1536" s="203"/>
      <c r="B1536" s="205"/>
      <c r="C1536" s="31"/>
      <c r="D1536" s="31"/>
      <c r="E1536" s="32"/>
      <c r="F1536" s="42" t="s">
        <v>514</v>
      </c>
      <c r="G1536" s="30" t="str">
        <f t="shared" si="24"/>
        <v/>
      </c>
      <c r="H1536" s="34"/>
      <c r="I1536" s="30"/>
      <c r="J1536" s="148">
        <v>2000</v>
      </c>
      <c r="K1536" s="222" t="s">
        <v>8074</v>
      </c>
    </row>
    <row r="1537" spans="1:11" hidden="1" x14ac:dyDescent="0.25">
      <c r="A1537" s="203"/>
      <c r="B1537" s="205"/>
      <c r="C1537" s="35" t="s">
        <v>475</v>
      </c>
      <c r="D1537" s="35" t="s">
        <v>92</v>
      </c>
      <c r="E1537" s="36">
        <v>1.05</v>
      </c>
      <c r="F1537" s="30">
        <v>11.846500000000001</v>
      </c>
      <c r="G1537" s="33">
        <f t="shared" si="24"/>
        <v>12.438825000000001</v>
      </c>
      <c r="H1537" s="38">
        <f>SUM(G1537:G1539)</f>
        <v>34.716324999999998</v>
      </c>
      <c r="I1537" s="39"/>
      <c r="J1537" s="148">
        <v>2000</v>
      </c>
      <c r="K1537" s="222" t="s">
        <v>8074</v>
      </c>
    </row>
    <row r="1538" spans="1:11" hidden="1" x14ac:dyDescent="0.25">
      <c r="A1538" s="203"/>
      <c r="B1538" s="205"/>
      <c r="C1538" s="35" t="s">
        <v>30</v>
      </c>
      <c r="D1538" s="35" t="s">
        <v>12</v>
      </c>
      <c r="E1538" s="36">
        <v>0.5</v>
      </c>
      <c r="F1538" s="30">
        <v>25.146499999999996</v>
      </c>
      <c r="G1538" s="33">
        <f t="shared" si="24"/>
        <v>12.573249999999998</v>
      </c>
      <c r="H1538" s="34"/>
      <c r="I1538" s="30"/>
      <c r="J1538" s="148">
        <v>2000</v>
      </c>
      <c r="K1538" s="222" t="s">
        <v>8074</v>
      </c>
    </row>
    <row r="1539" spans="1:11" hidden="1" x14ac:dyDescent="0.25">
      <c r="A1539" s="203"/>
      <c r="B1539" s="205"/>
      <c r="C1539" s="35" t="s">
        <v>74</v>
      </c>
      <c r="D1539" s="35" t="s">
        <v>12</v>
      </c>
      <c r="E1539" s="36">
        <v>0.5</v>
      </c>
      <c r="F1539" s="30">
        <v>19.4085</v>
      </c>
      <c r="G1539" s="33">
        <f t="shared" si="24"/>
        <v>9.70425</v>
      </c>
      <c r="H1539" s="34"/>
      <c r="I1539" s="30"/>
      <c r="J1539" s="148">
        <v>2000</v>
      </c>
      <c r="K1539" s="222" t="s">
        <v>8074</v>
      </c>
    </row>
    <row r="1540" spans="1:11" ht="15.75" hidden="1" thickBot="1" x14ac:dyDescent="0.3">
      <c r="A1540" s="209"/>
      <c r="B1540" s="206"/>
      <c r="C1540" s="35"/>
      <c r="D1540" s="35"/>
      <c r="E1540" s="36"/>
      <c r="F1540" s="30" t="s">
        <v>514</v>
      </c>
      <c r="G1540" s="30" t="str">
        <f t="shared" si="24"/>
        <v/>
      </c>
      <c r="H1540" s="34"/>
      <c r="I1540" s="30"/>
      <c r="J1540" s="148">
        <v>2000</v>
      </c>
      <c r="K1540" s="222" t="s">
        <v>8074</v>
      </c>
    </row>
    <row r="1541" spans="1:11" ht="15.75" hidden="1" thickBot="1" x14ac:dyDescent="0.3">
      <c r="A1541" s="202" t="s">
        <v>476</v>
      </c>
      <c r="B1541" s="204" t="str">
        <f>INDEX(Orçamentária!A:B,MATCH(Composições!A1541,Orçamentária!A:A,0),2)</f>
        <v>Eletroduto de PVC Corrugado Reforçado 1'' (DE 32mm)</v>
      </c>
      <c r="C1541" s="40"/>
      <c r="D1541" s="25" t="str">
        <f>TRIM(INDEX(Orçamentária!C:C,MATCH(Composições!A1541,Orçamentária!A:A,0),1))</f>
        <v>m</v>
      </c>
      <c r="E1541" s="26"/>
      <c r="F1541" s="41" t="s">
        <v>514</v>
      </c>
      <c r="G1541" s="27" t="str">
        <f t="shared" si="24"/>
        <v/>
      </c>
      <c r="H1541" s="28"/>
      <c r="I1541" s="29"/>
      <c r="J1541" s="148">
        <v>1000</v>
      </c>
      <c r="K1541" s="222" t="s">
        <v>8074</v>
      </c>
    </row>
    <row r="1542" spans="1:11" hidden="1" x14ac:dyDescent="0.25">
      <c r="A1542" s="203"/>
      <c r="B1542" s="205"/>
      <c r="C1542" s="31"/>
      <c r="D1542" s="31"/>
      <c r="E1542" s="32"/>
      <c r="F1542" s="42" t="s">
        <v>514</v>
      </c>
      <c r="G1542" s="30" t="str">
        <f t="shared" si="24"/>
        <v/>
      </c>
      <c r="H1542" s="34"/>
      <c r="I1542" s="30"/>
      <c r="J1542" s="148">
        <v>1000</v>
      </c>
      <c r="K1542" s="222" t="s">
        <v>8074</v>
      </c>
    </row>
    <row r="1543" spans="1:11" ht="25.5" hidden="1" x14ac:dyDescent="0.25">
      <c r="A1543" s="203"/>
      <c r="B1543" s="205"/>
      <c r="C1543" s="35" t="s">
        <v>477</v>
      </c>
      <c r="D1543" s="35" t="s">
        <v>92</v>
      </c>
      <c r="E1543" s="36">
        <v>1.1000000000000001</v>
      </c>
      <c r="F1543" s="33">
        <v>7.9514999999999985</v>
      </c>
      <c r="G1543" s="33">
        <f t="shared" si="24"/>
        <v>8.7466499999999989</v>
      </c>
      <c r="H1543" s="38">
        <f>SUM(G1543:G1546)</f>
        <v>15.711119</v>
      </c>
      <c r="I1543" s="39"/>
      <c r="J1543" s="148">
        <v>1000</v>
      </c>
      <c r="K1543" s="222" t="s">
        <v>8074</v>
      </c>
    </row>
    <row r="1544" spans="1:11" hidden="1" x14ac:dyDescent="0.25">
      <c r="A1544" s="203"/>
      <c r="B1544" s="205"/>
      <c r="C1544" s="35" t="s">
        <v>30</v>
      </c>
      <c r="D1544" s="35" t="s">
        <v>12</v>
      </c>
      <c r="E1544" s="36">
        <v>0.09</v>
      </c>
      <c r="F1544" s="30">
        <v>25.146499999999996</v>
      </c>
      <c r="G1544" s="33">
        <f t="shared" si="24"/>
        <v>2.2631849999999996</v>
      </c>
      <c r="H1544" s="34"/>
      <c r="I1544" s="30"/>
      <c r="J1544" s="148">
        <v>1000</v>
      </c>
      <c r="K1544" s="222" t="s">
        <v>8074</v>
      </c>
    </row>
    <row r="1545" spans="1:11" hidden="1" x14ac:dyDescent="0.25">
      <c r="A1545" s="203"/>
      <c r="B1545" s="205"/>
      <c r="C1545" s="35" t="s">
        <v>74</v>
      </c>
      <c r="D1545" s="35" t="s">
        <v>12</v>
      </c>
      <c r="E1545" s="36">
        <v>0.09</v>
      </c>
      <c r="F1545" s="30">
        <v>19.4085</v>
      </c>
      <c r="G1545" s="33">
        <f t="shared" si="24"/>
        <v>1.7467649999999999</v>
      </c>
      <c r="H1545" s="34"/>
      <c r="I1545" s="30"/>
      <c r="J1545" s="148">
        <v>1000</v>
      </c>
      <c r="K1545" s="222" t="s">
        <v>8074</v>
      </c>
    </row>
    <row r="1546" spans="1:11" ht="38.25" hidden="1" x14ac:dyDescent="0.25">
      <c r="A1546" s="203"/>
      <c r="B1546" s="205"/>
      <c r="C1546" s="35" t="s">
        <v>478</v>
      </c>
      <c r="D1546" s="35" t="s">
        <v>92</v>
      </c>
      <c r="E1546" s="36">
        <v>1</v>
      </c>
      <c r="F1546" s="33">
        <v>2.9545190000000003</v>
      </c>
      <c r="G1546" s="30">
        <f t="shared" si="24"/>
        <v>2.9545190000000003</v>
      </c>
      <c r="H1546" s="34"/>
      <c r="I1546" s="30"/>
      <c r="J1546" s="148">
        <v>1000</v>
      </c>
      <c r="K1546" s="222" t="s">
        <v>8074</v>
      </c>
    </row>
    <row r="1547" spans="1:11" ht="15.75" hidden="1" thickBot="1" x14ac:dyDescent="0.3">
      <c r="A1547" s="209"/>
      <c r="B1547" s="206"/>
      <c r="C1547" s="35"/>
      <c r="D1547" s="35"/>
      <c r="E1547" s="36"/>
      <c r="F1547" s="30" t="s">
        <v>514</v>
      </c>
      <c r="G1547" s="30" t="str">
        <f t="shared" si="24"/>
        <v/>
      </c>
      <c r="H1547" s="34"/>
      <c r="I1547" s="30"/>
      <c r="J1547" s="148">
        <v>1000</v>
      </c>
      <c r="K1547" s="222" t="s">
        <v>8074</v>
      </c>
    </row>
    <row r="1548" spans="1:11" ht="15.75" hidden="1" thickBot="1" x14ac:dyDescent="0.3">
      <c r="A1548" s="202" t="s">
        <v>479</v>
      </c>
      <c r="B1548" s="204" t="str">
        <f>INDEX(Orçamentária!A:B,MATCH(Composições!A1548,Orçamentária!A:A,0),2)</f>
        <v>Eletroduto de PVC Corrugado Reforçado 3/4'' (DE 25mm)</v>
      </c>
      <c r="C1548" s="40"/>
      <c r="D1548" s="25" t="str">
        <f>TRIM(INDEX(Orçamentária!C:C,MATCH(Composições!A1548,Orçamentária!A:A,0),1))</f>
        <v>m</v>
      </c>
      <c r="E1548" s="26"/>
      <c r="F1548" s="41" t="s">
        <v>514</v>
      </c>
      <c r="G1548" s="27" t="str">
        <f t="shared" si="24"/>
        <v/>
      </c>
      <c r="H1548" s="28"/>
      <c r="I1548" s="29"/>
      <c r="J1548" s="148">
        <v>1000</v>
      </c>
      <c r="K1548" s="222" t="s">
        <v>8074</v>
      </c>
    </row>
    <row r="1549" spans="1:11" hidden="1" x14ac:dyDescent="0.25">
      <c r="A1549" s="203"/>
      <c r="B1549" s="205"/>
      <c r="C1549" s="31"/>
      <c r="D1549" s="31"/>
      <c r="E1549" s="32"/>
      <c r="F1549" s="42" t="s">
        <v>514</v>
      </c>
      <c r="G1549" s="30" t="str">
        <f t="shared" si="24"/>
        <v/>
      </c>
      <c r="H1549" s="34"/>
      <c r="I1549" s="30"/>
      <c r="J1549" s="148">
        <v>1000</v>
      </c>
      <c r="K1549" s="222" t="s">
        <v>8074</v>
      </c>
    </row>
    <row r="1550" spans="1:11" hidden="1" x14ac:dyDescent="0.25">
      <c r="A1550" s="203"/>
      <c r="B1550" s="205"/>
      <c r="C1550" s="35" t="s">
        <v>30</v>
      </c>
      <c r="D1550" s="35" t="s">
        <v>12</v>
      </c>
      <c r="E1550" s="36">
        <v>7.0000000000000007E-2</v>
      </c>
      <c r="F1550" s="30">
        <v>25.146499999999996</v>
      </c>
      <c r="G1550" s="30">
        <f t="shared" si="24"/>
        <v>1.7602549999999999</v>
      </c>
      <c r="H1550" s="38">
        <f>SUM(G1550:G1553)</f>
        <v>10.619119000000001</v>
      </c>
      <c r="I1550" s="39"/>
      <c r="J1550" s="148">
        <v>1000</v>
      </c>
      <c r="K1550" s="222" t="s">
        <v>8074</v>
      </c>
    </row>
    <row r="1551" spans="1:11" hidden="1" x14ac:dyDescent="0.25">
      <c r="A1551" s="203"/>
      <c r="B1551" s="205"/>
      <c r="C1551" s="35" t="s">
        <v>74</v>
      </c>
      <c r="D1551" s="35" t="s">
        <v>12</v>
      </c>
      <c r="E1551" s="36">
        <v>7.0000000000000007E-2</v>
      </c>
      <c r="F1551" s="30">
        <v>19.4085</v>
      </c>
      <c r="G1551" s="30">
        <f t="shared" si="24"/>
        <v>1.3585950000000002</v>
      </c>
      <c r="H1551" s="34"/>
      <c r="I1551" s="30"/>
      <c r="J1551" s="148">
        <v>1000</v>
      </c>
      <c r="K1551" s="222" t="s">
        <v>8074</v>
      </c>
    </row>
    <row r="1552" spans="1:11" ht="25.5" hidden="1" x14ac:dyDescent="0.25">
      <c r="A1552" s="203"/>
      <c r="B1552" s="205"/>
      <c r="C1552" s="35" t="s">
        <v>480</v>
      </c>
      <c r="D1552" s="35" t="s">
        <v>92</v>
      </c>
      <c r="E1552" s="36">
        <v>1.1000000000000001</v>
      </c>
      <c r="F1552" s="33">
        <v>4.1324999999999994</v>
      </c>
      <c r="G1552" s="30">
        <f t="shared" si="24"/>
        <v>4.54575</v>
      </c>
      <c r="H1552" s="34"/>
      <c r="I1552" s="30"/>
      <c r="J1552" s="148">
        <v>1000</v>
      </c>
      <c r="K1552" s="222" t="s">
        <v>8074</v>
      </c>
    </row>
    <row r="1553" spans="1:11" ht="38.25" hidden="1" x14ac:dyDescent="0.25">
      <c r="A1553" s="203"/>
      <c r="B1553" s="205"/>
      <c r="C1553" s="35" t="s">
        <v>478</v>
      </c>
      <c r="D1553" s="35" t="s">
        <v>92</v>
      </c>
      <c r="E1553" s="36">
        <v>1</v>
      </c>
      <c r="F1553" s="33">
        <v>2.9545190000000003</v>
      </c>
      <c r="G1553" s="30">
        <f t="shared" si="24"/>
        <v>2.9545190000000003</v>
      </c>
      <c r="H1553" s="34"/>
      <c r="I1553" s="30"/>
      <c r="J1553" s="148">
        <v>1000</v>
      </c>
      <c r="K1553" s="222" t="s">
        <v>8074</v>
      </c>
    </row>
    <row r="1554" spans="1:11" ht="15.75" hidden="1" thickBot="1" x14ac:dyDescent="0.3">
      <c r="A1554" s="209"/>
      <c r="B1554" s="206"/>
      <c r="C1554" s="35"/>
      <c r="D1554" s="35"/>
      <c r="E1554" s="36"/>
      <c r="F1554" s="30" t="s">
        <v>514</v>
      </c>
      <c r="G1554" s="30" t="str">
        <f t="shared" si="24"/>
        <v/>
      </c>
      <c r="H1554" s="34"/>
      <c r="I1554" s="30"/>
      <c r="J1554" s="148">
        <v>1000</v>
      </c>
      <c r="K1554" s="222" t="s">
        <v>8074</v>
      </c>
    </row>
    <row r="1555" spans="1:11" ht="15.75" hidden="1" thickBot="1" x14ac:dyDescent="0.3">
      <c r="A1555" s="202" t="s">
        <v>481</v>
      </c>
      <c r="B1555" s="204" t="str">
        <f>INDEX(Orçamentária!A:B,MATCH(Composições!A1555,Orçamentária!A:A,0),2)</f>
        <v>Eletroduto flexível metálico com capa de PVC 1’’</v>
      </c>
      <c r="C1555" s="40"/>
      <c r="D1555" s="25" t="str">
        <f>TRIM(INDEX(Orçamentária!C:C,MATCH(Composições!A1555,Orçamentária!A:A,0),1))</f>
        <v>m</v>
      </c>
      <c r="E1555" s="26"/>
      <c r="F1555" s="41" t="s">
        <v>514</v>
      </c>
      <c r="G1555" s="27" t="str">
        <f t="shared" ref="G1555:G1618" si="25">IF(ISNUMBER(F1555),E1555*F1555,"")</f>
        <v/>
      </c>
      <c r="H1555" s="28"/>
      <c r="I1555" s="29"/>
      <c r="J1555" s="148">
        <v>2000</v>
      </c>
      <c r="K1555" s="222" t="s">
        <v>8074</v>
      </c>
    </row>
    <row r="1556" spans="1:11" hidden="1" x14ac:dyDescent="0.25">
      <c r="A1556" s="203"/>
      <c r="B1556" s="205"/>
      <c r="C1556" s="31"/>
      <c r="D1556" s="31"/>
      <c r="E1556" s="32"/>
      <c r="F1556" s="42" t="s">
        <v>514</v>
      </c>
      <c r="G1556" s="30" t="str">
        <f t="shared" si="25"/>
        <v/>
      </c>
      <c r="H1556" s="34"/>
      <c r="I1556" s="30"/>
      <c r="J1556" s="148">
        <v>2000</v>
      </c>
      <c r="K1556" s="222" t="s">
        <v>8074</v>
      </c>
    </row>
    <row r="1557" spans="1:11" ht="25.5" hidden="1" x14ac:dyDescent="0.25">
      <c r="A1557" s="203"/>
      <c r="B1557" s="205"/>
      <c r="C1557" s="35" t="s">
        <v>482</v>
      </c>
      <c r="D1557" s="35" t="s">
        <v>92</v>
      </c>
      <c r="E1557" s="36">
        <v>1.1000000000000001</v>
      </c>
      <c r="F1557" s="33">
        <v>18.838499999999996</v>
      </c>
      <c r="G1557" s="30">
        <f t="shared" si="25"/>
        <v>20.722349999999999</v>
      </c>
      <c r="H1557" s="38">
        <f>SUM(G1557:G1560)</f>
        <v>25.534461</v>
      </c>
      <c r="I1557" s="39"/>
      <c r="J1557" s="148">
        <v>2000</v>
      </c>
      <c r="K1557" s="222" t="s">
        <v>8074</v>
      </c>
    </row>
    <row r="1558" spans="1:11" ht="25.5" hidden="1" x14ac:dyDescent="0.25">
      <c r="A1558" s="203"/>
      <c r="B1558" s="205"/>
      <c r="C1558" s="35" t="s">
        <v>3489</v>
      </c>
      <c r="D1558" s="35" t="s">
        <v>42</v>
      </c>
      <c r="E1558" s="36">
        <v>2E-3</v>
      </c>
      <c r="F1558" s="33">
        <v>22.363</v>
      </c>
      <c r="G1558" s="30">
        <f t="shared" si="25"/>
        <v>4.4726000000000002E-2</v>
      </c>
      <c r="H1558" s="34"/>
      <c r="I1558" s="30"/>
      <c r="J1558" s="148">
        <v>2000</v>
      </c>
      <c r="K1558" s="222" t="s">
        <v>8074</v>
      </c>
    </row>
    <row r="1559" spans="1:11" hidden="1" x14ac:dyDescent="0.25">
      <c r="A1559" s="203"/>
      <c r="B1559" s="205"/>
      <c r="C1559" s="35" t="s">
        <v>74</v>
      </c>
      <c r="D1559" s="46" t="s">
        <v>12</v>
      </c>
      <c r="E1559" s="36">
        <v>0.107</v>
      </c>
      <c r="F1559" s="30">
        <v>19.4085</v>
      </c>
      <c r="G1559" s="30">
        <f t="shared" si="25"/>
        <v>2.0767094999999998</v>
      </c>
      <c r="H1559" s="34"/>
      <c r="I1559" s="30"/>
      <c r="J1559" s="148">
        <v>2000</v>
      </c>
      <c r="K1559" s="222" t="s">
        <v>8074</v>
      </c>
    </row>
    <row r="1560" spans="1:11" hidden="1" x14ac:dyDescent="0.25">
      <c r="A1560" s="203"/>
      <c r="B1560" s="205"/>
      <c r="C1560" s="35" t="s">
        <v>30</v>
      </c>
      <c r="D1560" s="35" t="s">
        <v>12</v>
      </c>
      <c r="E1560" s="36">
        <v>0.107</v>
      </c>
      <c r="F1560" s="30">
        <v>25.146499999999996</v>
      </c>
      <c r="G1560" s="30">
        <f t="shared" si="25"/>
        <v>2.6906754999999993</v>
      </c>
      <c r="H1560" s="34"/>
      <c r="I1560" s="30"/>
      <c r="J1560" s="148">
        <v>2000</v>
      </c>
      <c r="K1560" s="222" t="s">
        <v>8074</v>
      </c>
    </row>
    <row r="1561" spans="1:11" ht="15.75" hidden="1" thickBot="1" x14ac:dyDescent="0.3">
      <c r="A1561" s="209"/>
      <c r="B1561" s="206"/>
      <c r="C1561" s="35"/>
      <c r="D1561" s="35"/>
      <c r="E1561" s="36"/>
      <c r="F1561" s="30" t="s">
        <v>514</v>
      </c>
      <c r="G1561" s="30" t="str">
        <f t="shared" si="25"/>
        <v/>
      </c>
      <c r="H1561" s="34"/>
      <c r="I1561" s="30"/>
      <c r="J1561" s="148">
        <v>2000</v>
      </c>
      <c r="K1561" s="222" t="s">
        <v>8074</v>
      </c>
    </row>
    <row r="1562" spans="1:11" ht="15.75" hidden="1" thickBot="1" x14ac:dyDescent="0.3">
      <c r="A1562" s="202" t="s">
        <v>483</v>
      </c>
      <c r="B1562" s="204" t="str">
        <f>INDEX(Orçamentária!A:B,MATCH(Composições!A1562,Orçamentária!A:A,0),2)</f>
        <v>Eletroduto flexível metálico com capa de PVC 3/4"</v>
      </c>
      <c r="C1562" s="40"/>
      <c r="D1562" s="25" t="str">
        <f>TRIM(INDEX(Orçamentária!C:C,MATCH(Composições!A1562,Orçamentária!A:A,0),1))</f>
        <v>m</v>
      </c>
      <c r="E1562" s="26"/>
      <c r="F1562" s="41" t="s">
        <v>514</v>
      </c>
      <c r="G1562" s="27" t="str">
        <f t="shared" si="25"/>
        <v/>
      </c>
      <c r="H1562" s="28"/>
      <c r="I1562" s="29"/>
      <c r="J1562" s="148">
        <v>2000</v>
      </c>
      <c r="K1562" s="222" t="s">
        <v>8074</v>
      </c>
    </row>
    <row r="1563" spans="1:11" hidden="1" x14ac:dyDescent="0.25">
      <c r="A1563" s="203"/>
      <c r="B1563" s="205"/>
      <c r="C1563" s="31"/>
      <c r="D1563" s="31"/>
      <c r="E1563" s="32"/>
      <c r="F1563" s="42" t="s">
        <v>514</v>
      </c>
      <c r="G1563" s="30" t="str">
        <f t="shared" si="25"/>
        <v/>
      </c>
      <c r="H1563" s="34"/>
      <c r="I1563" s="30"/>
      <c r="J1563" s="148">
        <v>2000</v>
      </c>
      <c r="K1563" s="222" t="s">
        <v>8074</v>
      </c>
    </row>
    <row r="1564" spans="1:11" ht="25.5" hidden="1" x14ac:dyDescent="0.25">
      <c r="A1564" s="203"/>
      <c r="B1564" s="205"/>
      <c r="C1564" s="35" t="s">
        <v>484</v>
      </c>
      <c r="D1564" s="35" t="s">
        <v>92</v>
      </c>
      <c r="E1564" s="36">
        <v>1.1000000000000001</v>
      </c>
      <c r="F1564" s="33">
        <v>14.363999999999999</v>
      </c>
      <c r="G1564" s="33">
        <f t="shared" si="25"/>
        <v>15.8004</v>
      </c>
      <c r="H1564" s="38">
        <f>SUM(G1564:G1567)</f>
        <v>19.716938399999997</v>
      </c>
      <c r="I1564" s="39"/>
      <c r="J1564" s="148">
        <v>2000</v>
      </c>
      <c r="K1564" s="222" t="s">
        <v>8074</v>
      </c>
    </row>
    <row r="1565" spans="1:11" ht="25.5" hidden="1" x14ac:dyDescent="0.25">
      <c r="A1565" s="203"/>
      <c r="B1565" s="205"/>
      <c r="C1565" s="35" t="s">
        <v>3489</v>
      </c>
      <c r="D1565" s="35" t="s">
        <v>42</v>
      </c>
      <c r="E1565" s="36">
        <v>1.8E-3</v>
      </c>
      <c r="F1565" s="33">
        <v>22.363</v>
      </c>
      <c r="G1565" s="33">
        <f t="shared" si="25"/>
        <v>4.0253399999999995E-2</v>
      </c>
      <c r="H1565" s="34"/>
      <c r="I1565" s="30"/>
      <c r="J1565" s="148">
        <v>2000</v>
      </c>
      <c r="K1565" s="222" t="s">
        <v>8074</v>
      </c>
    </row>
    <row r="1566" spans="1:11" hidden="1" x14ac:dyDescent="0.25">
      <c r="A1566" s="203"/>
      <c r="B1566" s="205"/>
      <c r="C1566" s="35" t="s">
        <v>74</v>
      </c>
      <c r="D1566" s="46" t="s">
        <v>12</v>
      </c>
      <c r="E1566" s="36">
        <v>8.6999999999999994E-2</v>
      </c>
      <c r="F1566" s="30">
        <v>19.4085</v>
      </c>
      <c r="G1566" s="33">
        <f t="shared" si="25"/>
        <v>1.6885394999999999</v>
      </c>
      <c r="H1566" s="34"/>
      <c r="I1566" s="30"/>
      <c r="J1566" s="148">
        <v>2000</v>
      </c>
      <c r="K1566" s="222" t="s">
        <v>8074</v>
      </c>
    </row>
    <row r="1567" spans="1:11" hidden="1" x14ac:dyDescent="0.25">
      <c r="A1567" s="203"/>
      <c r="B1567" s="205"/>
      <c r="C1567" s="35" t="s">
        <v>30</v>
      </c>
      <c r="D1567" s="35" t="s">
        <v>12</v>
      </c>
      <c r="E1567" s="36">
        <v>8.6999999999999994E-2</v>
      </c>
      <c r="F1567" s="30">
        <v>25.146499999999996</v>
      </c>
      <c r="G1567" s="33">
        <f t="shared" si="25"/>
        <v>2.1877454999999997</v>
      </c>
      <c r="H1567" s="34"/>
      <c r="I1567" s="30"/>
      <c r="J1567" s="148">
        <v>2000</v>
      </c>
      <c r="K1567" s="222" t="s">
        <v>8074</v>
      </c>
    </row>
    <row r="1568" spans="1:11" ht="15.75" hidden="1" thickBot="1" x14ac:dyDescent="0.3">
      <c r="A1568" s="209"/>
      <c r="B1568" s="206"/>
      <c r="C1568" s="35"/>
      <c r="D1568" s="35"/>
      <c r="E1568" s="36"/>
      <c r="F1568" s="30" t="s">
        <v>514</v>
      </c>
      <c r="G1568" s="30" t="str">
        <f t="shared" si="25"/>
        <v/>
      </c>
      <c r="H1568" s="34"/>
      <c r="I1568" s="30"/>
      <c r="J1568" s="148">
        <v>2000</v>
      </c>
      <c r="K1568" s="222" t="s">
        <v>8074</v>
      </c>
    </row>
    <row r="1569" spans="1:11" ht="15.75" hidden="1" thickBot="1" x14ac:dyDescent="0.3">
      <c r="A1569" s="202" t="s">
        <v>485</v>
      </c>
      <c r="B1569" s="204" t="str">
        <f>INDEX(Orçamentária!A:B,MATCH(Composições!A1569,Orçamentária!A:A,0),2)</f>
        <v>Perfilado 38x38mm</v>
      </c>
      <c r="C1569" s="40"/>
      <c r="D1569" s="25" t="str">
        <f>TRIM(INDEX(Orçamentária!C:C,MATCH(Composições!A1569,Orçamentária!A:A,0),1))</f>
        <v>m</v>
      </c>
      <c r="E1569" s="26"/>
      <c r="F1569" s="41" t="s">
        <v>514</v>
      </c>
      <c r="G1569" s="27" t="str">
        <f t="shared" si="25"/>
        <v/>
      </c>
      <c r="H1569" s="28"/>
      <c r="I1569" s="29"/>
      <c r="J1569" s="148">
        <v>650</v>
      </c>
      <c r="K1569" s="222" t="s">
        <v>8074</v>
      </c>
    </row>
    <row r="1570" spans="1:11" hidden="1" x14ac:dyDescent="0.25">
      <c r="A1570" s="203"/>
      <c r="B1570" s="205"/>
      <c r="C1570" s="31"/>
      <c r="D1570" s="31"/>
      <c r="E1570" s="32"/>
      <c r="F1570" s="42" t="s">
        <v>514</v>
      </c>
      <c r="G1570" s="30" t="str">
        <f t="shared" si="25"/>
        <v/>
      </c>
      <c r="H1570" s="34"/>
      <c r="I1570" s="30"/>
      <c r="J1570" s="148">
        <v>650</v>
      </c>
      <c r="K1570" s="222" t="s">
        <v>8074</v>
      </c>
    </row>
    <row r="1571" spans="1:11" hidden="1" x14ac:dyDescent="0.25">
      <c r="A1571" s="203"/>
      <c r="B1571" s="205"/>
      <c r="C1571" s="35" t="s">
        <v>486</v>
      </c>
      <c r="D1571" s="35" t="s">
        <v>92</v>
      </c>
      <c r="E1571" s="36">
        <v>1.05</v>
      </c>
      <c r="F1571" s="33">
        <v>20.190000000000001</v>
      </c>
      <c r="G1571" s="33">
        <f t="shared" si="25"/>
        <v>21.199500000000004</v>
      </c>
      <c r="H1571" s="38">
        <f>SUM(G1571:G1582)</f>
        <v>78.463678850000008</v>
      </c>
      <c r="I1571" s="39"/>
      <c r="J1571" s="148">
        <v>650</v>
      </c>
      <c r="K1571" s="222" t="s">
        <v>8074</v>
      </c>
    </row>
    <row r="1572" spans="1:11" hidden="1" x14ac:dyDescent="0.25">
      <c r="A1572" s="203"/>
      <c r="B1572" s="205"/>
      <c r="C1572" s="35" t="s">
        <v>74</v>
      </c>
      <c r="D1572" s="35" t="s">
        <v>12</v>
      </c>
      <c r="E1572" s="36">
        <v>0.45</v>
      </c>
      <c r="F1572" s="30">
        <v>19.4085</v>
      </c>
      <c r="G1572" s="33">
        <f t="shared" si="25"/>
        <v>8.7338249999999995</v>
      </c>
      <c r="H1572" s="34"/>
      <c r="I1572" s="30"/>
      <c r="J1572" s="148">
        <v>650</v>
      </c>
      <c r="K1572" s="222" t="s">
        <v>8074</v>
      </c>
    </row>
    <row r="1573" spans="1:11" hidden="1" x14ac:dyDescent="0.25">
      <c r="A1573" s="203"/>
      <c r="B1573" s="205"/>
      <c r="C1573" s="35" t="s">
        <v>30</v>
      </c>
      <c r="D1573" s="35" t="s">
        <v>12</v>
      </c>
      <c r="E1573" s="36">
        <v>0.45</v>
      </c>
      <c r="F1573" s="30">
        <v>25.146499999999996</v>
      </c>
      <c r="G1573" s="33">
        <f t="shared" si="25"/>
        <v>11.315924999999998</v>
      </c>
      <c r="H1573" s="34"/>
      <c r="I1573" s="30"/>
      <c r="J1573" s="148">
        <v>650</v>
      </c>
      <c r="K1573" s="222" t="s">
        <v>8074</v>
      </c>
    </row>
    <row r="1574" spans="1:11" ht="25.5" hidden="1" x14ac:dyDescent="0.25">
      <c r="A1574" s="203"/>
      <c r="B1574" s="205"/>
      <c r="C1574" s="35" t="s">
        <v>432</v>
      </c>
      <c r="D1574" s="35" t="s">
        <v>143</v>
      </c>
      <c r="E1574" s="36">
        <v>0.67</v>
      </c>
      <c r="F1574" s="30">
        <v>9.7374999999999989</v>
      </c>
      <c r="G1574" s="33">
        <f t="shared" si="25"/>
        <v>6.5241249999999997</v>
      </c>
      <c r="H1574" s="34"/>
      <c r="I1574" s="30"/>
      <c r="J1574" s="148">
        <v>650</v>
      </c>
      <c r="K1574" s="222" t="s">
        <v>8074</v>
      </c>
    </row>
    <row r="1575" spans="1:11" hidden="1" x14ac:dyDescent="0.25">
      <c r="A1575" s="203"/>
      <c r="B1575" s="205"/>
      <c r="C1575" s="35" t="s">
        <v>487</v>
      </c>
      <c r="D1575" s="35" t="s">
        <v>143</v>
      </c>
      <c r="E1575" s="36">
        <v>0.67</v>
      </c>
      <c r="F1575" s="30">
        <v>3.2395</v>
      </c>
      <c r="G1575" s="33">
        <f t="shared" si="25"/>
        <v>2.1704650000000001</v>
      </c>
      <c r="H1575" s="34"/>
      <c r="I1575" s="30"/>
      <c r="J1575" s="148">
        <v>650</v>
      </c>
      <c r="K1575" s="222" t="s">
        <v>8074</v>
      </c>
    </row>
    <row r="1576" spans="1:11" hidden="1" x14ac:dyDescent="0.25">
      <c r="A1576" s="203"/>
      <c r="B1576" s="205"/>
      <c r="C1576" s="35" t="s">
        <v>434</v>
      </c>
      <c r="D1576" s="35" t="s">
        <v>92</v>
      </c>
      <c r="E1576" s="36">
        <v>0.8</v>
      </c>
      <c r="F1576" s="30">
        <v>5.681</v>
      </c>
      <c r="G1576" s="33">
        <f t="shared" si="25"/>
        <v>4.5448000000000004</v>
      </c>
      <c r="H1576" s="34"/>
      <c r="I1576" s="30"/>
      <c r="J1576" s="148">
        <v>650</v>
      </c>
      <c r="K1576" s="222" t="s">
        <v>8074</v>
      </c>
    </row>
    <row r="1577" spans="1:11" hidden="1" x14ac:dyDescent="0.25">
      <c r="A1577" s="203"/>
      <c r="B1577" s="205"/>
      <c r="C1577" s="35" t="s">
        <v>435</v>
      </c>
      <c r="D1577" s="35" t="s">
        <v>278</v>
      </c>
      <c r="E1577" s="36">
        <v>2.6633</v>
      </c>
      <c r="F1577" s="33">
        <v>0.29449999999999998</v>
      </c>
      <c r="G1577" s="33">
        <f t="shared" si="25"/>
        <v>0.78434185000000001</v>
      </c>
      <c r="H1577" s="34"/>
      <c r="I1577" s="30"/>
      <c r="J1577" s="148">
        <v>650</v>
      </c>
      <c r="K1577" s="222" t="s">
        <v>8074</v>
      </c>
    </row>
    <row r="1578" spans="1:11" hidden="1" x14ac:dyDescent="0.25">
      <c r="A1578" s="203"/>
      <c r="B1578" s="205"/>
      <c r="C1578" s="35" t="s">
        <v>436</v>
      </c>
      <c r="D1578" s="35" t="s">
        <v>143</v>
      </c>
      <c r="E1578" s="36">
        <v>2.6633</v>
      </c>
      <c r="F1578" s="30">
        <v>6.6500000000000004E-2</v>
      </c>
      <c r="G1578" s="33">
        <f t="shared" si="25"/>
        <v>0.17710945</v>
      </c>
      <c r="H1578" s="34"/>
      <c r="I1578" s="30"/>
      <c r="J1578" s="148">
        <v>650</v>
      </c>
      <c r="K1578" s="222" t="s">
        <v>8074</v>
      </c>
    </row>
    <row r="1579" spans="1:11" hidden="1" x14ac:dyDescent="0.25">
      <c r="A1579" s="203"/>
      <c r="B1579" s="205"/>
      <c r="C1579" s="35" t="s">
        <v>438</v>
      </c>
      <c r="D1579" s="35" t="s">
        <v>143</v>
      </c>
      <c r="E1579" s="36">
        <v>0.67</v>
      </c>
      <c r="F1579" s="30">
        <v>1.7859999999999998</v>
      </c>
      <c r="G1579" s="33">
        <f t="shared" si="25"/>
        <v>1.19662</v>
      </c>
      <c r="H1579" s="34"/>
      <c r="I1579" s="30"/>
      <c r="J1579" s="148">
        <v>650</v>
      </c>
      <c r="K1579" s="222" t="s">
        <v>8074</v>
      </c>
    </row>
    <row r="1580" spans="1:11" hidden="1" x14ac:dyDescent="0.25">
      <c r="A1580" s="203"/>
      <c r="B1580" s="205"/>
      <c r="C1580" s="35" t="s">
        <v>439</v>
      </c>
      <c r="D1580" s="35" t="s">
        <v>20</v>
      </c>
      <c r="E1580" s="36">
        <v>1.33</v>
      </c>
      <c r="F1580" s="30">
        <v>0.32300000000000001</v>
      </c>
      <c r="G1580" s="33">
        <f t="shared" si="25"/>
        <v>0.42959000000000003</v>
      </c>
      <c r="H1580" s="34"/>
      <c r="I1580" s="30"/>
      <c r="J1580" s="148">
        <v>650</v>
      </c>
      <c r="K1580" s="222" t="s">
        <v>8074</v>
      </c>
    </row>
    <row r="1581" spans="1:11" hidden="1" x14ac:dyDescent="0.25">
      <c r="A1581" s="203"/>
      <c r="B1581" s="205"/>
      <c r="C1581" s="35" t="s">
        <v>488</v>
      </c>
      <c r="D1581" s="35" t="s">
        <v>143</v>
      </c>
      <c r="E1581" s="36">
        <v>0.33329999999999999</v>
      </c>
      <c r="F1581" s="30">
        <v>3.9234999999999998</v>
      </c>
      <c r="G1581" s="33">
        <f t="shared" si="25"/>
        <v>1.3077025499999999</v>
      </c>
      <c r="H1581" s="34"/>
      <c r="I1581" s="30"/>
      <c r="J1581" s="148">
        <v>650</v>
      </c>
      <c r="K1581" s="222" t="s">
        <v>8074</v>
      </c>
    </row>
    <row r="1582" spans="1:11" hidden="1" x14ac:dyDescent="0.25">
      <c r="A1582" s="203"/>
      <c r="B1582" s="205"/>
      <c r="C1582" s="35" t="s">
        <v>489</v>
      </c>
      <c r="D1582" s="35" t="s">
        <v>92</v>
      </c>
      <c r="E1582" s="36">
        <v>1.05</v>
      </c>
      <c r="F1582" s="30">
        <v>19.123499999999996</v>
      </c>
      <c r="G1582" s="33">
        <f t="shared" si="25"/>
        <v>20.079674999999998</v>
      </c>
      <c r="H1582" s="34"/>
      <c r="I1582" s="30"/>
      <c r="J1582" s="148">
        <v>650</v>
      </c>
      <c r="K1582" s="222" t="s">
        <v>8074</v>
      </c>
    </row>
    <row r="1583" spans="1:11" ht="15.75" hidden="1" thickBot="1" x14ac:dyDescent="0.3">
      <c r="A1583" s="209"/>
      <c r="B1583" s="206"/>
      <c r="C1583" s="35"/>
      <c r="D1583" s="35"/>
      <c r="E1583" s="36"/>
      <c r="F1583" s="30" t="s">
        <v>514</v>
      </c>
      <c r="G1583" s="30" t="str">
        <f t="shared" si="25"/>
        <v/>
      </c>
      <c r="H1583" s="34"/>
      <c r="I1583" s="30"/>
      <c r="J1583" s="148">
        <v>650</v>
      </c>
      <c r="K1583" s="222" t="s">
        <v>8074</v>
      </c>
    </row>
    <row r="1584" spans="1:11" ht="15.75" hidden="1" thickBot="1" x14ac:dyDescent="0.3">
      <c r="A1584" s="202" t="s">
        <v>490</v>
      </c>
      <c r="B1584" s="204" t="str">
        <f>INDEX(Orçamentária!A:B,MATCH(Composições!A1584,Orçamentária!A:A,0),2)</f>
        <v>Espelho 4x2</v>
      </c>
      <c r="C1584" s="40"/>
      <c r="D1584" s="25" t="str">
        <f>TRIM(INDEX(Orçamentária!C:C,MATCH(Composições!A1584,Orçamentária!A:A,0),1))</f>
        <v>un</v>
      </c>
      <c r="E1584" s="26"/>
      <c r="F1584" s="41" t="s">
        <v>514</v>
      </c>
      <c r="G1584" s="27" t="str">
        <f t="shared" si="25"/>
        <v/>
      </c>
      <c r="H1584" s="28"/>
      <c r="I1584" s="29"/>
      <c r="J1584" s="148">
        <v>2000</v>
      </c>
      <c r="K1584" s="222" t="s">
        <v>8074</v>
      </c>
    </row>
    <row r="1585" spans="1:11" hidden="1" x14ac:dyDescent="0.25">
      <c r="A1585" s="203"/>
      <c r="B1585" s="205"/>
      <c r="C1585" s="31"/>
      <c r="D1585" s="31"/>
      <c r="E1585" s="32"/>
      <c r="F1585" s="42" t="s">
        <v>514</v>
      </c>
      <c r="G1585" s="30" t="str">
        <f t="shared" si="25"/>
        <v/>
      </c>
      <c r="H1585" s="34"/>
      <c r="I1585" s="30"/>
      <c r="J1585" s="148">
        <v>2000</v>
      </c>
      <c r="K1585" s="222" t="s">
        <v>8074</v>
      </c>
    </row>
    <row r="1586" spans="1:11" ht="25.5" hidden="1" x14ac:dyDescent="0.25">
      <c r="A1586" s="203"/>
      <c r="B1586" s="205"/>
      <c r="C1586" s="35" t="s">
        <v>491</v>
      </c>
      <c r="D1586" s="35" t="s">
        <v>20</v>
      </c>
      <c r="E1586" s="36">
        <v>1</v>
      </c>
      <c r="F1586" s="33">
        <v>3.2774999999999999</v>
      </c>
      <c r="G1586" s="33">
        <f t="shared" si="25"/>
        <v>3.2774999999999999</v>
      </c>
      <c r="H1586" s="38">
        <f>SUM(G1586:G1588)</f>
        <v>7.1908919999999998</v>
      </c>
      <c r="I1586" s="39"/>
      <c r="J1586" s="148">
        <v>2000</v>
      </c>
      <c r="K1586" s="222" t="s">
        <v>8074</v>
      </c>
    </row>
    <row r="1587" spans="1:11" ht="25.5" hidden="1" x14ac:dyDescent="0.25">
      <c r="A1587" s="203"/>
      <c r="B1587" s="205"/>
      <c r="C1587" s="35" t="s">
        <v>492</v>
      </c>
      <c r="D1587" s="35" t="s">
        <v>20</v>
      </c>
      <c r="E1587" s="36">
        <v>1</v>
      </c>
      <c r="F1587" s="33">
        <v>1.7004999999999999</v>
      </c>
      <c r="G1587" s="33">
        <f t="shared" si="25"/>
        <v>1.7004999999999999</v>
      </c>
      <c r="H1587" s="34"/>
      <c r="I1587" s="30"/>
      <c r="J1587" s="148">
        <v>2000</v>
      </c>
      <c r="K1587" s="222" t="s">
        <v>8074</v>
      </c>
    </row>
    <row r="1588" spans="1:11" hidden="1" x14ac:dyDescent="0.25">
      <c r="A1588" s="203"/>
      <c r="B1588" s="205"/>
      <c r="C1588" s="35" t="s">
        <v>30</v>
      </c>
      <c r="D1588" s="35" t="s">
        <v>12</v>
      </c>
      <c r="E1588" s="36">
        <v>8.7999999999999995E-2</v>
      </c>
      <c r="F1588" s="30">
        <v>25.146499999999996</v>
      </c>
      <c r="G1588" s="33">
        <f t="shared" si="25"/>
        <v>2.2128919999999996</v>
      </c>
      <c r="H1588" s="34"/>
      <c r="I1588" s="30"/>
      <c r="J1588" s="148">
        <v>2000</v>
      </c>
      <c r="K1588" s="222" t="s">
        <v>8074</v>
      </c>
    </row>
    <row r="1589" spans="1:11" ht="15.75" hidden="1" thickBot="1" x14ac:dyDescent="0.3">
      <c r="A1589" s="209"/>
      <c r="B1589" s="206"/>
      <c r="C1589" s="35"/>
      <c r="D1589" s="35"/>
      <c r="E1589" s="36"/>
      <c r="F1589" s="30" t="s">
        <v>514</v>
      </c>
      <c r="G1589" s="30" t="str">
        <f t="shared" si="25"/>
        <v/>
      </c>
      <c r="H1589" s="34"/>
      <c r="I1589" s="30"/>
      <c r="J1589" s="148">
        <v>2000</v>
      </c>
      <c r="K1589" s="222" t="s">
        <v>8074</v>
      </c>
    </row>
    <row r="1590" spans="1:11" ht="15.75" hidden="1" thickBot="1" x14ac:dyDescent="0.3">
      <c r="A1590" s="202" t="s">
        <v>493</v>
      </c>
      <c r="B1590" s="204" t="str">
        <f>INDEX(Orçamentária!A:B,MATCH(Composições!A1590,Orçamentária!A:A,0),2)</f>
        <v>Espelho 4x4</v>
      </c>
      <c r="C1590" s="40"/>
      <c r="D1590" s="25" t="str">
        <f>TRIM(INDEX(Orçamentária!C:C,MATCH(Composições!A1590,Orçamentária!A:A,0),1))</f>
        <v>un</v>
      </c>
      <c r="E1590" s="26"/>
      <c r="F1590" s="41" t="s">
        <v>514</v>
      </c>
      <c r="G1590" s="27" t="str">
        <f t="shared" si="25"/>
        <v/>
      </c>
      <c r="H1590" s="28"/>
      <c r="I1590" s="29"/>
      <c r="J1590" s="148">
        <v>400</v>
      </c>
      <c r="K1590" s="222" t="s">
        <v>8074</v>
      </c>
    </row>
    <row r="1591" spans="1:11" hidden="1" x14ac:dyDescent="0.25">
      <c r="A1591" s="203"/>
      <c r="B1591" s="205"/>
      <c r="C1591" s="31"/>
      <c r="D1591" s="31"/>
      <c r="E1591" s="32"/>
      <c r="F1591" s="42" t="s">
        <v>514</v>
      </c>
      <c r="G1591" s="30" t="str">
        <f t="shared" si="25"/>
        <v/>
      </c>
      <c r="H1591" s="34"/>
      <c r="I1591" s="30"/>
      <c r="J1591" s="148">
        <v>400</v>
      </c>
      <c r="K1591" s="222" t="s">
        <v>8074</v>
      </c>
    </row>
    <row r="1592" spans="1:11" ht="25.5" hidden="1" x14ac:dyDescent="0.25">
      <c r="A1592" s="203"/>
      <c r="B1592" s="205"/>
      <c r="C1592" s="35" t="s">
        <v>494</v>
      </c>
      <c r="D1592" s="35" t="s">
        <v>20</v>
      </c>
      <c r="E1592" s="36">
        <v>1</v>
      </c>
      <c r="F1592" s="33">
        <v>6.6594999999999995</v>
      </c>
      <c r="G1592" s="30">
        <f t="shared" si="25"/>
        <v>6.6594999999999995</v>
      </c>
      <c r="H1592" s="38">
        <f>SUM(G1592:G1594)</f>
        <v>12.058235999999999</v>
      </c>
      <c r="I1592" s="39"/>
      <c r="J1592" s="148">
        <v>400</v>
      </c>
      <c r="K1592" s="222" t="s">
        <v>8074</v>
      </c>
    </row>
    <row r="1593" spans="1:11" ht="25.5" hidden="1" x14ac:dyDescent="0.25">
      <c r="A1593" s="203"/>
      <c r="B1593" s="205"/>
      <c r="C1593" s="35" t="s">
        <v>495</v>
      </c>
      <c r="D1593" s="46" t="s">
        <v>20</v>
      </c>
      <c r="E1593" s="36">
        <v>1</v>
      </c>
      <c r="F1593" s="33">
        <v>2.7835000000000001</v>
      </c>
      <c r="G1593" s="33">
        <f t="shared" si="25"/>
        <v>2.7835000000000001</v>
      </c>
      <c r="H1593" s="34"/>
      <c r="I1593" s="30"/>
      <c r="J1593" s="148">
        <v>400</v>
      </c>
      <c r="K1593" s="222" t="s">
        <v>8074</v>
      </c>
    </row>
    <row r="1594" spans="1:11" hidden="1" x14ac:dyDescent="0.25">
      <c r="A1594" s="203"/>
      <c r="B1594" s="205"/>
      <c r="C1594" s="35" t="s">
        <v>30</v>
      </c>
      <c r="D1594" s="35" t="s">
        <v>12</v>
      </c>
      <c r="E1594" s="36">
        <v>0.104</v>
      </c>
      <c r="F1594" s="30">
        <v>25.146499999999996</v>
      </c>
      <c r="G1594" s="33">
        <f t="shared" si="25"/>
        <v>2.6152359999999994</v>
      </c>
      <c r="H1594" s="34"/>
      <c r="I1594" s="30"/>
      <c r="J1594" s="148">
        <v>400</v>
      </c>
      <c r="K1594" s="222" t="s">
        <v>8074</v>
      </c>
    </row>
    <row r="1595" spans="1:11" ht="15.75" hidden="1" thickBot="1" x14ac:dyDescent="0.3">
      <c r="A1595" s="209"/>
      <c r="B1595" s="206"/>
      <c r="C1595" s="35"/>
      <c r="D1595" s="35"/>
      <c r="E1595" s="36"/>
      <c r="F1595" s="30" t="s">
        <v>514</v>
      </c>
      <c r="G1595" s="30" t="str">
        <f t="shared" si="25"/>
        <v/>
      </c>
      <c r="H1595" s="34"/>
      <c r="I1595" s="30"/>
      <c r="J1595" s="148">
        <v>400</v>
      </c>
      <c r="K1595" s="222" t="s">
        <v>8074</v>
      </c>
    </row>
    <row r="1596" spans="1:11" ht="15.75" hidden="1" thickBot="1" x14ac:dyDescent="0.3">
      <c r="A1596" s="202" t="s">
        <v>496</v>
      </c>
      <c r="B1596" s="204" t="str">
        <f>INDEX(Orçamentária!A:B,MATCH(Composições!A1596,Orçamentária!A:A,0),2)</f>
        <v>Espelho cego redondo</v>
      </c>
      <c r="C1596" s="40"/>
      <c r="D1596" s="25" t="str">
        <f>TRIM(INDEX(Orçamentária!C:C,MATCH(Composições!A1596,Orçamentária!A:A,0),1))</f>
        <v>un</v>
      </c>
      <c r="E1596" s="26"/>
      <c r="F1596" s="41" t="s">
        <v>514</v>
      </c>
      <c r="G1596" s="27" t="str">
        <f t="shared" si="25"/>
        <v/>
      </c>
      <c r="H1596" s="28"/>
      <c r="I1596" s="29"/>
      <c r="J1596" s="148">
        <v>10</v>
      </c>
      <c r="K1596" s="222" t="s">
        <v>8074</v>
      </c>
    </row>
    <row r="1597" spans="1:11" hidden="1" x14ac:dyDescent="0.25">
      <c r="A1597" s="203"/>
      <c r="B1597" s="205"/>
      <c r="C1597" s="31"/>
      <c r="D1597" s="31"/>
      <c r="E1597" s="32"/>
      <c r="F1597" s="42" t="s">
        <v>514</v>
      </c>
      <c r="G1597" s="30" t="str">
        <f t="shared" si="25"/>
        <v/>
      </c>
      <c r="H1597" s="34"/>
      <c r="I1597" s="30"/>
      <c r="J1597" s="148">
        <v>10</v>
      </c>
      <c r="K1597" s="222" t="s">
        <v>8074</v>
      </c>
    </row>
    <row r="1598" spans="1:11" hidden="1" x14ac:dyDescent="0.25">
      <c r="A1598" s="203"/>
      <c r="B1598" s="205"/>
      <c r="C1598" s="35" t="s">
        <v>497</v>
      </c>
      <c r="D1598" s="35" t="s">
        <v>20</v>
      </c>
      <c r="E1598" s="36">
        <v>1</v>
      </c>
      <c r="F1598" s="33">
        <v>4.6500000000000004</v>
      </c>
      <c r="G1598" s="30">
        <f t="shared" si="25"/>
        <v>4.6500000000000004</v>
      </c>
      <c r="H1598" s="38">
        <f>SUM(G1598:G1600)</f>
        <v>10.048736</v>
      </c>
      <c r="I1598" s="39"/>
      <c r="J1598" s="148">
        <v>10</v>
      </c>
      <c r="K1598" s="222" t="s">
        <v>8074</v>
      </c>
    </row>
    <row r="1599" spans="1:11" ht="25.5" hidden="1" x14ac:dyDescent="0.25">
      <c r="A1599" s="203"/>
      <c r="B1599" s="205"/>
      <c r="C1599" s="35" t="s">
        <v>495</v>
      </c>
      <c r="D1599" s="46" t="s">
        <v>20</v>
      </c>
      <c r="E1599" s="36">
        <v>1</v>
      </c>
      <c r="F1599" s="33">
        <v>2.7835000000000001</v>
      </c>
      <c r="G1599" s="33">
        <f t="shared" si="25"/>
        <v>2.7835000000000001</v>
      </c>
      <c r="H1599" s="34"/>
      <c r="I1599" s="30"/>
      <c r="J1599" s="148">
        <v>10</v>
      </c>
      <c r="K1599" s="222" t="s">
        <v>8074</v>
      </c>
    </row>
    <row r="1600" spans="1:11" hidden="1" x14ac:dyDescent="0.25">
      <c r="A1600" s="203"/>
      <c r="B1600" s="205"/>
      <c r="C1600" s="35" t="s">
        <v>30</v>
      </c>
      <c r="D1600" s="35" t="s">
        <v>12</v>
      </c>
      <c r="E1600" s="36">
        <v>0.104</v>
      </c>
      <c r="F1600" s="30">
        <v>25.146499999999996</v>
      </c>
      <c r="G1600" s="33">
        <f t="shared" si="25"/>
        <v>2.6152359999999994</v>
      </c>
      <c r="H1600" s="34"/>
      <c r="I1600" s="30"/>
      <c r="J1600" s="148">
        <v>10</v>
      </c>
      <c r="K1600" s="222" t="s">
        <v>8074</v>
      </c>
    </row>
    <row r="1601" spans="1:11" ht="15.75" hidden="1" thickBot="1" x14ac:dyDescent="0.3">
      <c r="A1601" s="209"/>
      <c r="B1601" s="206"/>
      <c r="C1601" s="35"/>
      <c r="D1601" s="35"/>
      <c r="E1601" s="36"/>
      <c r="F1601" s="30" t="s">
        <v>514</v>
      </c>
      <c r="G1601" s="30" t="str">
        <f t="shared" si="25"/>
        <v/>
      </c>
      <c r="H1601" s="34"/>
      <c r="I1601" s="30"/>
      <c r="J1601" s="148">
        <v>10</v>
      </c>
      <c r="K1601" s="222" t="s">
        <v>8074</v>
      </c>
    </row>
    <row r="1602" spans="1:11" ht="15.75" hidden="1" thickBot="1" x14ac:dyDescent="0.3">
      <c r="A1602" s="202" t="s">
        <v>498</v>
      </c>
      <c r="B1602" s="204" t="str">
        <f>INDEX(Orçamentária!A:B,MATCH(Composições!A1602,Orçamentária!A:A,0),2)</f>
        <v>Interruptor para condulete</v>
      </c>
      <c r="C1602" s="40"/>
      <c r="D1602" s="25" t="str">
        <f>TRIM(INDEX(Orçamentária!C:C,MATCH(Composições!A1602,Orçamentária!A:A,0),1))</f>
        <v>un</v>
      </c>
      <c r="E1602" s="26"/>
      <c r="F1602" s="41" t="s">
        <v>514</v>
      </c>
      <c r="G1602" s="27" t="str">
        <f t="shared" si="25"/>
        <v/>
      </c>
      <c r="H1602" s="28"/>
      <c r="I1602" s="29"/>
      <c r="J1602" s="148">
        <v>75</v>
      </c>
      <c r="K1602" s="222" t="s">
        <v>8074</v>
      </c>
    </row>
    <row r="1603" spans="1:11" hidden="1" x14ac:dyDescent="0.25">
      <c r="A1603" s="203"/>
      <c r="B1603" s="205"/>
      <c r="C1603" s="31"/>
      <c r="D1603" s="31"/>
      <c r="E1603" s="32"/>
      <c r="F1603" s="42" t="s">
        <v>514</v>
      </c>
      <c r="G1603" s="30" t="str">
        <f t="shared" si="25"/>
        <v/>
      </c>
      <c r="H1603" s="34"/>
      <c r="I1603" s="30"/>
      <c r="J1603" s="148">
        <v>75</v>
      </c>
      <c r="K1603" s="222" t="s">
        <v>8074</v>
      </c>
    </row>
    <row r="1604" spans="1:11" hidden="1" x14ac:dyDescent="0.25">
      <c r="A1604" s="203"/>
      <c r="B1604" s="205"/>
      <c r="C1604" s="35" t="s">
        <v>30</v>
      </c>
      <c r="D1604" s="35" t="s">
        <v>12</v>
      </c>
      <c r="E1604" s="36">
        <f>0.3/2</f>
        <v>0.15</v>
      </c>
      <c r="F1604" s="30">
        <v>25.146499999999996</v>
      </c>
      <c r="G1604" s="33">
        <f t="shared" si="25"/>
        <v>3.7719749999999994</v>
      </c>
      <c r="H1604" s="38">
        <f>SUM(G1604:G1607)</f>
        <v>26.443249999999999</v>
      </c>
      <c r="I1604" s="39"/>
      <c r="J1604" s="148">
        <v>75</v>
      </c>
      <c r="K1604" s="222" t="s">
        <v>8074</v>
      </c>
    </row>
    <row r="1605" spans="1:11" hidden="1" x14ac:dyDescent="0.25">
      <c r="A1605" s="203"/>
      <c r="B1605" s="205"/>
      <c r="C1605" s="35" t="s">
        <v>74</v>
      </c>
      <c r="D1605" s="35" t="s">
        <v>12</v>
      </c>
      <c r="E1605" s="36">
        <f>0.3/2</f>
        <v>0.15</v>
      </c>
      <c r="F1605" s="30">
        <v>19.4085</v>
      </c>
      <c r="G1605" s="33">
        <f t="shared" si="25"/>
        <v>2.9112749999999998</v>
      </c>
      <c r="H1605" s="34"/>
      <c r="I1605" s="30"/>
      <c r="J1605" s="148">
        <v>75</v>
      </c>
      <c r="K1605" s="222" t="s">
        <v>8074</v>
      </c>
    </row>
    <row r="1606" spans="1:11" ht="25.5" hidden="1" x14ac:dyDescent="0.25">
      <c r="A1606" s="203"/>
      <c r="B1606" s="205"/>
      <c r="C1606" s="35" t="s">
        <v>499</v>
      </c>
      <c r="D1606" s="35" t="s">
        <v>20</v>
      </c>
      <c r="E1606" s="36">
        <v>1</v>
      </c>
      <c r="F1606" s="33">
        <v>4.9000000000000004</v>
      </c>
      <c r="G1606" s="33">
        <f t="shared" si="25"/>
        <v>4.9000000000000004</v>
      </c>
      <c r="H1606" s="34"/>
      <c r="I1606" s="30"/>
      <c r="J1606" s="148">
        <v>75</v>
      </c>
      <c r="K1606" s="222" t="s">
        <v>8074</v>
      </c>
    </row>
    <row r="1607" spans="1:11" ht="25.5" hidden="1" x14ac:dyDescent="0.25">
      <c r="A1607" s="203"/>
      <c r="B1607" s="205"/>
      <c r="C1607" s="35" t="s">
        <v>500</v>
      </c>
      <c r="D1607" s="35" t="s">
        <v>20</v>
      </c>
      <c r="E1607" s="36">
        <v>1</v>
      </c>
      <c r="F1607" s="33">
        <v>14.86</v>
      </c>
      <c r="G1607" s="30">
        <f t="shared" si="25"/>
        <v>14.86</v>
      </c>
      <c r="H1607" s="34"/>
      <c r="I1607" s="30"/>
      <c r="J1607" s="148">
        <v>75</v>
      </c>
      <c r="K1607" s="222" t="s">
        <v>8074</v>
      </c>
    </row>
    <row r="1608" spans="1:11" ht="15.75" hidden="1" thickBot="1" x14ac:dyDescent="0.3">
      <c r="A1608" s="209"/>
      <c r="B1608" s="206"/>
      <c r="C1608" s="35"/>
      <c r="D1608" s="35"/>
      <c r="E1608" s="36"/>
      <c r="F1608" s="30" t="s">
        <v>514</v>
      </c>
      <c r="G1608" s="30" t="str">
        <f t="shared" si="25"/>
        <v/>
      </c>
      <c r="H1608" s="34"/>
      <c r="I1608" s="30"/>
      <c r="J1608" s="148">
        <v>75</v>
      </c>
      <c r="K1608" s="222" t="s">
        <v>8074</v>
      </c>
    </row>
    <row r="1609" spans="1:11" ht="15.75" hidden="1" thickBot="1" x14ac:dyDescent="0.3">
      <c r="A1609" s="202" t="s">
        <v>501</v>
      </c>
      <c r="B1609" s="204" t="str">
        <f>INDEX(Orçamentária!A:B,MATCH(Composições!A1609,Orçamentária!A:A,0),2)</f>
        <v>Módulo cego</v>
      </c>
      <c r="C1609" s="40"/>
      <c r="D1609" s="25" t="str">
        <f>TRIM(INDEX(Orçamentária!C:C,MATCH(Composições!A1609,Orçamentária!A:A,0),1))</f>
        <v>un</v>
      </c>
      <c r="E1609" s="26"/>
      <c r="F1609" s="41" t="s">
        <v>514</v>
      </c>
      <c r="G1609" s="27" t="str">
        <f t="shared" si="25"/>
        <v/>
      </c>
      <c r="H1609" s="28"/>
      <c r="I1609" s="29"/>
      <c r="J1609" s="148">
        <v>1000</v>
      </c>
      <c r="K1609" s="222" t="s">
        <v>8074</v>
      </c>
    </row>
    <row r="1610" spans="1:11" hidden="1" x14ac:dyDescent="0.25">
      <c r="A1610" s="203"/>
      <c r="B1610" s="205"/>
      <c r="C1610" s="31"/>
      <c r="D1610" s="31"/>
      <c r="E1610" s="32"/>
      <c r="F1610" s="42" t="s">
        <v>514</v>
      </c>
      <c r="G1610" s="30" t="str">
        <f t="shared" si="25"/>
        <v/>
      </c>
      <c r="H1610" s="34"/>
      <c r="I1610" s="30"/>
      <c r="J1610" s="148">
        <v>1000</v>
      </c>
      <c r="K1610" s="222" t="s">
        <v>8074</v>
      </c>
    </row>
    <row r="1611" spans="1:11" hidden="1" x14ac:dyDescent="0.25">
      <c r="A1611" s="203"/>
      <c r="B1611" s="205"/>
      <c r="C1611" s="35" t="s">
        <v>30</v>
      </c>
      <c r="D1611" s="35" t="s">
        <v>12</v>
      </c>
      <c r="E1611" s="36">
        <v>0.1</v>
      </c>
      <c r="F1611" s="30">
        <v>25.146499999999996</v>
      </c>
      <c r="G1611" s="33">
        <f t="shared" si="25"/>
        <v>2.5146499999999996</v>
      </c>
      <c r="H1611" s="38">
        <f>SUM(G1611:G1612)</f>
        <v>4.624649999999999</v>
      </c>
      <c r="I1611" s="39"/>
      <c r="J1611" s="148">
        <v>1000</v>
      </c>
      <c r="K1611" s="222" t="s">
        <v>8074</v>
      </c>
    </row>
    <row r="1612" spans="1:11" hidden="1" x14ac:dyDescent="0.25">
      <c r="A1612" s="203"/>
      <c r="B1612" s="205"/>
      <c r="C1612" s="35" t="s">
        <v>502</v>
      </c>
      <c r="D1612" s="35" t="s">
        <v>20</v>
      </c>
      <c r="E1612" s="36">
        <v>1</v>
      </c>
      <c r="F1612" s="33">
        <v>2.11</v>
      </c>
      <c r="G1612" s="30">
        <f t="shared" si="25"/>
        <v>2.11</v>
      </c>
      <c r="H1612" s="34"/>
      <c r="I1612" s="30"/>
      <c r="J1612" s="148">
        <v>1000</v>
      </c>
      <c r="K1612" s="222" t="s">
        <v>8074</v>
      </c>
    </row>
    <row r="1613" spans="1:11" ht="15.75" hidden="1" thickBot="1" x14ac:dyDescent="0.3">
      <c r="A1613" s="209"/>
      <c r="B1613" s="206"/>
      <c r="C1613" s="35"/>
      <c r="D1613" s="35"/>
      <c r="E1613" s="36"/>
      <c r="F1613" s="30" t="s">
        <v>514</v>
      </c>
      <c r="G1613" s="30" t="str">
        <f t="shared" si="25"/>
        <v/>
      </c>
      <c r="H1613" s="34"/>
      <c r="I1613" s="30"/>
      <c r="J1613" s="148">
        <v>1000</v>
      </c>
      <c r="K1613" s="222" t="s">
        <v>8074</v>
      </c>
    </row>
    <row r="1614" spans="1:11" ht="15.75" hidden="1" thickBot="1" x14ac:dyDescent="0.3">
      <c r="A1614" s="202" t="s">
        <v>503</v>
      </c>
      <c r="B1614" s="204" t="str">
        <f>INDEX(Orçamentária!A:B,MATCH(Composições!A1614,Orçamentária!A:A,0),2)</f>
        <v>Módulo interruptor paralelo</v>
      </c>
      <c r="C1614" s="40"/>
      <c r="D1614" s="25" t="str">
        <f>TRIM(INDEX(Orçamentária!C:C,MATCH(Composições!A1614,Orçamentária!A:A,0),1))</f>
        <v>un</v>
      </c>
      <c r="E1614" s="26"/>
      <c r="F1614" s="41" t="s">
        <v>514</v>
      </c>
      <c r="G1614" s="27" t="str">
        <f t="shared" si="25"/>
        <v/>
      </c>
      <c r="H1614" s="28"/>
      <c r="I1614" s="29"/>
      <c r="J1614" s="148">
        <v>80</v>
      </c>
      <c r="K1614" s="222" t="s">
        <v>8074</v>
      </c>
    </row>
    <row r="1615" spans="1:11" hidden="1" x14ac:dyDescent="0.25">
      <c r="A1615" s="203"/>
      <c r="B1615" s="205"/>
      <c r="C1615" s="31"/>
      <c r="D1615" s="31"/>
      <c r="E1615" s="32"/>
      <c r="F1615" s="42" t="s">
        <v>514</v>
      </c>
      <c r="G1615" s="30" t="str">
        <f t="shared" si="25"/>
        <v/>
      </c>
      <c r="H1615" s="34"/>
      <c r="I1615" s="30"/>
      <c r="J1615" s="148">
        <v>80</v>
      </c>
      <c r="K1615" s="222" t="s">
        <v>8074</v>
      </c>
    </row>
    <row r="1616" spans="1:11" hidden="1" x14ac:dyDescent="0.25">
      <c r="A1616" s="203"/>
      <c r="B1616" s="205"/>
      <c r="C1616" s="35" t="s">
        <v>504</v>
      </c>
      <c r="D1616" s="35" t="s">
        <v>20</v>
      </c>
      <c r="E1616" s="36">
        <v>1</v>
      </c>
      <c r="F1616" s="33">
        <v>10.088999999999999</v>
      </c>
      <c r="G1616" s="30">
        <f t="shared" si="25"/>
        <v>10.088999999999999</v>
      </c>
      <c r="H1616" s="38">
        <f>SUM(G1616:G1618)</f>
        <v>23.811939999999996</v>
      </c>
      <c r="I1616" s="39"/>
      <c r="J1616" s="148">
        <v>80</v>
      </c>
      <c r="K1616" s="222" t="s">
        <v>8074</v>
      </c>
    </row>
    <row r="1617" spans="1:11" hidden="1" x14ac:dyDescent="0.25">
      <c r="A1617" s="203"/>
      <c r="B1617" s="205"/>
      <c r="C1617" s="35" t="s">
        <v>74</v>
      </c>
      <c r="D1617" s="35" t="s">
        <v>12</v>
      </c>
      <c r="E1617" s="36">
        <v>0.308</v>
      </c>
      <c r="F1617" s="30">
        <v>19.4085</v>
      </c>
      <c r="G1617" s="33">
        <f t="shared" si="25"/>
        <v>5.9778180000000001</v>
      </c>
      <c r="H1617" s="34"/>
      <c r="I1617" s="30"/>
      <c r="J1617" s="148">
        <v>80</v>
      </c>
      <c r="K1617" s="222" t="s">
        <v>8074</v>
      </c>
    </row>
    <row r="1618" spans="1:11" hidden="1" x14ac:dyDescent="0.25">
      <c r="A1618" s="203"/>
      <c r="B1618" s="205"/>
      <c r="C1618" s="35" t="s">
        <v>30</v>
      </c>
      <c r="D1618" s="35" t="s">
        <v>12</v>
      </c>
      <c r="E1618" s="36">
        <v>0.308</v>
      </c>
      <c r="F1618" s="30">
        <v>25.146499999999996</v>
      </c>
      <c r="G1618" s="33">
        <f t="shared" si="25"/>
        <v>7.7451219999999985</v>
      </c>
      <c r="H1618" s="34"/>
      <c r="I1618" s="30"/>
      <c r="J1618" s="148">
        <v>80</v>
      </c>
      <c r="K1618" s="222" t="s">
        <v>8074</v>
      </c>
    </row>
    <row r="1619" spans="1:11" ht="15.75" hidden="1" thickBot="1" x14ac:dyDescent="0.3">
      <c r="A1619" s="209"/>
      <c r="B1619" s="206"/>
      <c r="C1619" s="35"/>
      <c r="D1619" s="35"/>
      <c r="E1619" s="36"/>
      <c r="F1619" s="30" t="s">
        <v>514</v>
      </c>
      <c r="G1619" s="30" t="str">
        <f t="shared" ref="G1619:G1682" si="26">IF(ISNUMBER(F1619),E1619*F1619,"")</f>
        <v/>
      </c>
      <c r="H1619" s="34"/>
      <c r="I1619" s="30"/>
      <c r="J1619" s="148">
        <v>80</v>
      </c>
      <c r="K1619" s="222" t="s">
        <v>8074</v>
      </c>
    </row>
    <row r="1620" spans="1:11" ht="15.75" hidden="1" thickBot="1" x14ac:dyDescent="0.3">
      <c r="A1620" s="202" t="s">
        <v>505</v>
      </c>
      <c r="B1620" s="204" t="str">
        <f>INDEX(Orçamentária!A:B,MATCH(Composições!A1620,Orçamentária!A:A,0),2)</f>
        <v>Módulo interruptor simples</v>
      </c>
      <c r="C1620" s="40"/>
      <c r="D1620" s="25" t="str">
        <f>TRIM(INDEX(Orçamentária!C:C,MATCH(Composições!A1620,Orçamentária!A:A,0),1))</f>
        <v>un</v>
      </c>
      <c r="E1620" s="26"/>
      <c r="F1620" s="41" t="s">
        <v>514</v>
      </c>
      <c r="G1620" s="27" t="str">
        <f t="shared" si="26"/>
        <v/>
      </c>
      <c r="H1620" s="28"/>
      <c r="I1620" s="29"/>
      <c r="J1620" s="148">
        <v>450</v>
      </c>
      <c r="K1620" s="222" t="s">
        <v>8074</v>
      </c>
    </row>
    <row r="1621" spans="1:11" hidden="1" x14ac:dyDescent="0.25">
      <c r="A1621" s="203"/>
      <c r="B1621" s="205"/>
      <c r="C1621" s="31"/>
      <c r="D1621" s="31"/>
      <c r="E1621" s="32"/>
      <c r="F1621" s="42" t="s">
        <v>514</v>
      </c>
      <c r="G1621" s="30" t="str">
        <f t="shared" si="26"/>
        <v/>
      </c>
      <c r="H1621" s="34"/>
      <c r="I1621" s="30"/>
      <c r="J1621" s="148">
        <v>450</v>
      </c>
      <c r="K1621" s="222" t="s">
        <v>8074</v>
      </c>
    </row>
    <row r="1622" spans="1:11" hidden="1" x14ac:dyDescent="0.25">
      <c r="A1622" s="203"/>
      <c r="B1622" s="205"/>
      <c r="C1622" s="35" t="s">
        <v>506</v>
      </c>
      <c r="D1622" s="35" t="s">
        <v>20</v>
      </c>
      <c r="E1622" s="36">
        <v>1</v>
      </c>
      <c r="F1622" s="33">
        <v>7.7424999999999997</v>
      </c>
      <c r="G1622" s="30">
        <f t="shared" si="26"/>
        <v>7.7424999999999997</v>
      </c>
      <c r="H1622" s="38">
        <f>SUM(G1622:G1624)</f>
        <v>17.767374999999998</v>
      </c>
      <c r="I1622" s="39"/>
      <c r="J1622" s="148">
        <v>450</v>
      </c>
      <c r="K1622" s="222" t="s">
        <v>8074</v>
      </c>
    </row>
    <row r="1623" spans="1:11" hidden="1" x14ac:dyDescent="0.25">
      <c r="A1623" s="203"/>
      <c r="B1623" s="205"/>
      <c r="C1623" s="35" t="s">
        <v>74</v>
      </c>
      <c r="D1623" s="35" t="s">
        <v>12</v>
      </c>
      <c r="E1623" s="36">
        <v>0.22500000000000001</v>
      </c>
      <c r="F1623" s="30">
        <v>19.4085</v>
      </c>
      <c r="G1623" s="33">
        <f t="shared" si="26"/>
        <v>4.3669124999999998</v>
      </c>
      <c r="H1623" s="34"/>
      <c r="I1623" s="30"/>
      <c r="J1623" s="148">
        <v>450</v>
      </c>
      <c r="K1623" s="222" t="s">
        <v>8074</v>
      </c>
    </row>
    <row r="1624" spans="1:11" hidden="1" x14ac:dyDescent="0.25">
      <c r="A1624" s="203"/>
      <c r="B1624" s="205"/>
      <c r="C1624" s="35" t="s">
        <v>30</v>
      </c>
      <c r="D1624" s="35" t="s">
        <v>12</v>
      </c>
      <c r="E1624" s="36">
        <v>0.22500000000000001</v>
      </c>
      <c r="F1624" s="30">
        <v>25.146499999999996</v>
      </c>
      <c r="G1624" s="33">
        <f t="shared" si="26"/>
        <v>5.6579624999999991</v>
      </c>
      <c r="H1624" s="34"/>
      <c r="I1624" s="30"/>
      <c r="J1624" s="148">
        <v>450</v>
      </c>
      <c r="K1624" s="222" t="s">
        <v>8074</v>
      </c>
    </row>
    <row r="1625" spans="1:11" ht="15.75" hidden="1" thickBot="1" x14ac:dyDescent="0.3">
      <c r="A1625" s="209"/>
      <c r="B1625" s="206"/>
      <c r="C1625" s="35"/>
      <c r="D1625" s="35"/>
      <c r="E1625" s="36"/>
      <c r="F1625" s="30" t="s">
        <v>514</v>
      </c>
      <c r="G1625" s="30" t="str">
        <f t="shared" si="26"/>
        <v/>
      </c>
      <c r="H1625" s="34"/>
      <c r="I1625" s="30"/>
      <c r="J1625" s="148">
        <v>450</v>
      </c>
      <c r="K1625" s="222" t="s">
        <v>8074</v>
      </c>
    </row>
    <row r="1626" spans="1:11" ht="15.75" hidden="1" thickBot="1" x14ac:dyDescent="0.3">
      <c r="A1626" s="202" t="s">
        <v>507</v>
      </c>
      <c r="B1626" s="204" t="str">
        <f>INDEX(Orçamentária!A:B,MATCH(Composições!A1626,Orçamentária!A:A,0),2)</f>
        <v>Módulo para saída de fio</v>
      </c>
      <c r="C1626" s="40"/>
      <c r="D1626" s="25" t="str">
        <f>TRIM(INDEX(Orçamentária!C:C,MATCH(Composições!A1626,Orçamentária!A:A,0),1))</f>
        <v>un</v>
      </c>
      <c r="E1626" s="26"/>
      <c r="F1626" s="41" t="s">
        <v>514</v>
      </c>
      <c r="G1626" s="27" t="str">
        <f t="shared" si="26"/>
        <v/>
      </c>
      <c r="H1626" s="28"/>
      <c r="I1626" s="29"/>
      <c r="J1626" s="148">
        <v>90</v>
      </c>
      <c r="K1626" s="222" t="s">
        <v>8074</v>
      </c>
    </row>
    <row r="1627" spans="1:11" hidden="1" x14ac:dyDescent="0.25">
      <c r="A1627" s="203"/>
      <c r="B1627" s="205"/>
      <c r="C1627" s="31"/>
      <c r="D1627" s="31"/>
      <c r="E1627" s="32"/>
      <c r="F1627" s="42" t="s">
        <v>514</v>
      </c>
      <c r="G1627" s="30" t="str">
        <f t="shared" si="26"/>
        <v/>
      </c>
      <c r="H1627" s="34"/>
      <c r="I1627" s="30"/>
      <c r="J1627" s="148">
        <v>90</v>
      </c>
      <c r="K1627" s="222" t="s">
        <v>8074</v>
      </c>
    </row>
    <row r="1628" spans="1:11" hidden="1" x14ac:dyDescent="0.25">
      <c r="A1628" s="203"/>
      <c r="B1628" s="205"/>
      <c r="C1628" s="35" t="s">
        <v>30</v>
      </c>
      <c r="D1628" s="35" t="s">
        <v>12</v>
      </c>
      <c r="E1628" s="36">
        <v>0.1</v>
      </c>
      <c r="F1628" s="30">
        <v>25.146499999999996</v>
      </c>
      <c r="G1628" s="33">
        <f t="shared" si="26"/>
        <v>2.5146499999999996</v>
      </c>
      <c r="H1628" s="38">
        <f>SUM(G1628:G1629)</f>
        <v>4.5846499999999999</v>
      </c>
      <c r="I1628" s="39"/>
      <c r="J1628" s="148">
        <v>90</v>
      </c>
      <c r="K1628" s="222" t="s">
        <v>8074</v>
      </c>
    </row>
    <row r="1629" spans="1:11" hidden="1" x14ac:dyDescent="0.25">
      <c r="A1629" s="203"/>
      <c r="B1629" s="205"/>
      <c r="C1629" s="35" t="s">
        <v>508</v>
      </c>
      <c r="D1629" s="35" t="s">
        <v>20</v>
      </c>
      <c r="E1629" s="36">
        <v>1</v>
      </c>
      <c r="F1629" s="33">
        <v>2.0699999999999998</v>
      </c>
      <c r="G1629" s="30">
        <f t="shared" si="26"/>
        <v>2.0699999999999998</v>
      </c>
      <c r="H1629" s="34"/>
      <c r="I1629" s="30"/>
      <c r="J1629" s="148">
        <v>90</v>
      </c>
      <c r="K1629" s="222" t="s">
        <v>8074</v>
      </c>
    </row>
    <row r="1630" spans="1:11" ht="15.75" hidden="1" thickBot="1" x14ac:dyDescent="0.3">
      <c r="A1630" s="209"/>
      <c r="B1630" s="206"/>
      <c r="C1630" s="35"/>
      <c r="D1630" s="35"/>
      <c r="E1630" s="36"/>
      <c r="F1630" s="30" t="s">
        <v>514</v>
      </c>
      <c r="G1630" s="30" t="str">
        <f t="shared" si="26"/>
        <v/>
      </c>
      <c r="H1630" s="34"/>
      <c r="I1630" s="30"/>
      <c r="J1630" s="148">
        <v>90</v>
      </c>
      <c r="K1630" s="222" t="s">
        <v>8074</v>
      </c>
    </row>
    <row r="1631" spans="1:11" ht="15.75" hidden="1" thickBot="1" x14ac:dyDescent="0.3">
      <c r="A1631" s="202" t="s">
        <v>509</v>
      </c>
      <c r="B1631" s="204" t="str">
        <f>INDEX(Orçamentária!A:B,MATCH(Composições!A1631,Orçamentária!A:A,0),2)</f>
        <v>Módulo sensor de presença</v>
      </c>
      <c r="C1631" s="40"/>
      <c r="D1631" s="25" t="str">
        <f>TRIM(INDEX(Orçamentária!C:C,MATCH(Composições!A1631,Orçamentária!A:A,0),1))</f>
        <v>un</v>
      </c>
      <c r="E1631" s="26"/>
      <c r="F1631" s="41" t="s">
        <v>514</v>
      </c>
      <c r="G1631" s="27" t="str">
        <f t="shared" si="26"/>
        <v/>
      </c>
      <c r="H1631" s="28"/>
      <c r="I1631" s="29"/>
      <c r="J1631" s="148">
        <v>50</v>
      </c>
      <c r="K1631" s="222" t="s">
        <v>8074</v>
      </c>
    </row>
    <row r="1632" spans="1:11" hidden="1" x14ac:dyDescent="0.25">
      <c r="A1632" s="203"/>
      <c r="B1632" s="205"/>
      <c r="C1632" s="31"/>
      <c r="D1632" s="31"/>
      <c r="E1632" s="32"/>
      <c r="F1632" s="42" t="s">
        <v>514</v>
      </c>
      <c r="G1632" s="30" t="str">
        <f t="shared" si="26"/>
        <v/>
      </c>
      <c r="H1632" s="34"/>
      <c r="I1632" s="30"/>
      <c r="J1632" s="148">
        <v>50</v>
      </c>
      <c r="K1632" s="222" t="s">
        <v>8074</v>
      </c>
    </row>
    <row r="1633" spans="1:11" hidden="1" x14ac:dyDescent="0.25">
      <c r="A1633" s="203"/>
      <c r="B1633" s="205"/>
      <c r="C1633" s="35" t="s">
        <v>30</v>
      </c>
      <c r="D1633" s="35" t="s">
        <v>12</v>
      </c>
      <c r="E1633" s="36">
        <v>0.308</v>
      </c>
      <c r="F1633" s="30">
        <v>25.146499999999996</v>
      </c>
      <c r="G1633" s="33">
        <f t="shared" si="26"/>
        <v>7.7451219999999985</v>
      </c>
      <c r="H1633" s="38">
        <f>SUM(G1633:G1635)</f>
        <v>185.09294</v>
      </c>
      <c r="I1633" s="39"/>
      <c r="J1633" s="148">
        <v>50</v>
      </c>
      <c r="K1633" s="222" t="s">
        <v>8074</v>
      </c>
    </row>
    <row r="1634" spans="1:11" hidden="1" x14ac:dyDescent="0.25">
      <c r="A1634" s="203"/>
      <c r="B1634" s="205"/>
      <c r="C1634" s="35" t="s">
        <v>74</v>
      </c>
      <c r="D1634" s="35" t="s">
        <v>12</v>
      </c>
      <c r="E1634" s="36">
        <v>0.308</v>
      </c>
      <c r="F1634" s="30">
        <v>19.4085</v>
      </c>
      <c r="G1634" s="33">
        <f t="shared" si="26"/>
        <v>5.9778180000000001</v>
      </c>
      <c r="H1634" s="44"/>
      <c r="I1634" s="45"/>
      <c r="J1634" s="148">
        <v>50</v>
      </c>
      <c r="K1634" s="222" t="s">
        <v>8074</v>
      </c>
    </row>
    <row r="1635" spans="1:11" hidden="1" x14ac:dyDescent="0.25">
      <c r="A1635" s="203"/>
      <c r="B1635" s="205"/>
      <c r="C1635" s="35" t="s">
        <v>510</v>
      </c>
      <c r="D1635" s="35" t="s">
        <v>20</v>
      </c>
      <c r="E1635" s="36">
        <v>1</v>
      </c>
      <c r="F1635" s="33">
        <v>171.37</v>
      </c>
      <c r="G1635" s="30">
        <f t="shared" si="26"/>
        <v>171.37</v>
      </c>
      <c r="H1635" s="34"/>
      <c r="I1635" s="30"/>
      <c r="J1635" s="148">
        <v>50</v>
      </c>
      <c r="K1635" s="222" t="s">
        <v>8074</v>
      </c>
    </row>
    <row r="1636" spans="1:11" ht="15.75" hidden="1" thickBot="1" x14ac:dyDescent="0.3">
      <c r="A1636" s="209"/>
      <c r="B1636" s="206"/>
      <c r="C1636" s="51"/>
      <c r="D1636" s="35"/>
      <c r="E1636" s="36"/>
      <c r="F1636" s="30" t="s">
        <v>514</v>
      </c>
      <c r="G1636" s="30" t="str">
        <f t="shared" si="26"/>
        <v/>
      </c>
      <c r="H1636" s="34"/>
      <c r="I1636" s="30"/>
      <c r="J1636" s="148">
        <v>50</v>
      </c>
      <c r="K1636" s="222" t="s">
        <v>8074</v>
      </c>
    </row>
    <row r="1637" spans="1:11" ht="15.75" hidden="1" thickBot="1" x14ac:dyDescent="0.3">
      <c r="A1637" s="202" t="s">
        <v>511</v>
      </c>
      <c r="B1637" s="204" t="str">
        <f>INDEX(Orçamentária!A:B,MATCH(Composições!A1637,Orçamentária!A:A,0),2)</f>
        <v>Módulo tomada 10 A</v>
      </c>
      <c r="C1637" s="40"/>
      <c r="D1637" s="25" t="str">
        <f>TRIM(INDEX(Orçamentária!C:C,MATCH(Composições!A1637,Orçamentária!A:A,0),1))</f>
        <v>un</v>
      </c>
      <c r="E1637" s="26"/>
      <c r="F1637" s="41" t="s">
        <v>514</v>
      </c>
      <c r="G1637" s="27" t="str">
        <f t="shared" si="26"/>
        <v/>
      </c>
      <c r="H1637" s="28"/>
      <c r="I1637" s="29"/>
      <c r="J1637" s="148">
        <v>1500</v>
      </c>
      <c r="K1637" s="222" t="s">
        <v>8074</v>
      </c>
    </row>
    <row r="1638" spans="1:11" hidden="1" x14ac:dyDescent="0.25">
      <c r="A1638" s="203"/>
      <c r="B1638" s="205"/>
      <c r="C1638" s="31"/>
      <c r="D1638" s="31"/>
      <c r="E1638" s="32"/>
      <c r="F1638" s="42" t="s">
        <v>514</v>
      </c>
      <c r="G1638" s="30" t="str">
        <f t="shared" si="26"/>
        <v/>
      </c>
      <c r="H1638" s="34"/>
      <c r="I1638" s="30"/>
      <c r="J1638" s="148">
        <v>1500</v>
      </c>
      <c r="K1638" s="222" t="s">
        <v>8074</v>
      </c>
    </row>
    <row r="1639" spans="1:11" hidden="1" x14ac:dyDescent="0.25">
      <c r="A1639" s="203"/>
      <c r="B1639" s="205"/>
      <c r="C1639" s="35" t="s">
        <v>6608</v>
      </c>
      <c r="D1639" s="35" t="s">
        <v>20</v>
      </c>
      <c r="E1639" s="36">
        <v>1</v>
      </c>
      <c r="F1639" s="33">
        <v>8.8064999999999998</v>
      </c>
      <c r="G1639" s="30">
        <f t="shared" si="26"/>
        <v>8.8064999999999998</v>
      </c>
      <c r="H1639" s="38">
        <f>SUM(G1639:G1641)</f>
        <v>19.276924999999999</v>
      </c>
      <c r="I1639" s="39"/>
      <c r="J1639" s="148">
        <v>1500</v>
      </c>
      <c r="K1639" s="222" t="s">
        <v>8074</v>
      </c>
    </row>
    <row r="1640" spans="1:11" hidden="1" x14ac:dyDescent="0.25">
      <c r="A1640" s="203"/>
      <c r="B1640" s="205"/>
      <c r="C1640" s="35" t="s">
        <v>74</v>
      </c>
      <c r="D1640" s="35" t="s">
        <v>12</v>
      </c>
      <c r="E1640" s="36">
        <v>0.23499999999999999</v>
      </c>
      <c r="F1640" s="30">
        <v>19.4085</v>
      </c>
      <c r="G1640" s="33">
        <f t="shared" si="26"/>
        <v>4.5609975</v>
      </c>
      <c r="H1640" s="34"/>
      <c r="I1640" s="30"/>
      <c r="J1640" s="148">
        <v>1500</v>
      </c>
      <c r="K1640" s="222" t="s">
        <v>8074</v>
      </c>
    </row>
    <row r="1641" spans="1:11" hidden="1" x14ac:dyDescent="0.25">
      <c r="A1641" s="203"/>
      <c r="B1641" s="205"/>
      <c r="C1641" s="35" t="s">
        <v>30</v>
      </c>
      <c r="D1641" s="35" t="s">
        <v>12</v>
      </c>
      <c r="E1641" s="36">
        <v>0.23499999999999999</v>
      </c>
      <c r="F1641" s="30">
        <v>25.146499999999996</v>
      </c>
      <c r="G1641" s="33">
        <f t="shared" si="26"/>
        <v>5.9094274999999987</v>
      </c>
      <c r="H1641" s="34"/>
      <c r="I1641" s="30"/>
      <c r="J1641" s="148">
        <v>1500</v>
      </c>
      <c r="K1641" s="222" t="s">
        <v>8074</v>
      </c>
    </row>
    <row r="1642" spans="1:11" ht="15.75" hidden="1" thickBot="1" x14ac:dyDescent="0.3">
      <c r="A1642" s="209"/>
      <c r="B1642" s="206"/>
      <c r="C1642" s="35"/>
      <c r="D1642" s="35"/>
      <c r="E1642" s="36"/>
      <c r="F1642" s="30" t="s">
        <v>514</v>
      </c>
      <c r="G1642" s="30" t="str">
        <f t="shared" si="26"/>
        <v/>
      </c>
      <c r="H1642" s="34"/>
      <c r="I1642" s="30"/>
      <c r="J1642" s="148">
        <v>1500</v>
      </c>
      <c r="K1642" s="222" t="s">
        <v>8074</v>
      </c>
    </row>
    <row r="1643" spans="1:11" ht="15.75" hidden="1" thickBot="1" x14ac:dyDescent="0.3">
      <c r="A1643" s="202" t="s">
        <v>512</v>
      </c>
      <c r="B1643" s="204" t="str">
        <f>INDEX(Orçamentária!A:B,MATCH(Composições!A1643,Orçamentária!A:A,0),2)</f>
        <v>Módulo tomada 20 A</v>
      </c>
      <c r="C1643" s="40"/>
      <c r="D1643" s="25" t="str">
        <f>TRIM(INDEX(Orçamentária!C:C,MATCH(Composições!A1643,Orçamentária!A:A,0),1))</f>
        <v>un</v>
      </c>
      <c r="E1643" s="26"/>
      <c r="F1643" s="41" t="s">
        <v>514</v>
      </c>
      <c r="G1643" s="27" t="str">
        <f t="shared" si="26"/>
        <v/>
      </c>
      <c r="H1643" s="28"/>
      <c r="I1643" s="29"/>
      <c r="J1643" s="148">
        <v>325</v>
      </c>
      <c r="K1643" s="222" t="s">
        <v>8074</v>
      </c>
    </row>
    <row r="1644" spans="1:11" hidden="1" x14ac:dyDescent="0.25">
      <c r="A1644" s="203"/>
      <c r="B1644" s="205"/>
      <c r="C1644" s="31"/>
      <c r="D1644" s="31"/>
      <c r="E1644" s="32"/>
      <c r="F1644" s="42" t="s">
        <v>514</v>
      </c>
      <c r="G1644" s="30" t="str">
        <f t="shared" si="26"/>
        <v/>
      </c>
      <c r="H1644" s="34"/>
      <c r="I1644" s="30"/>
      <c r="J1644" s="148">
        <v>325</v>
      </c>
      <c r="K1644" s="222" t="s">
        <v>8074</v>
      </c>
    </row>
    <row r="1645" spans="1:11" hidden="1" x14ac:dyDescent="0.25">
      <c r="A1645" s="203"/>
      <c r="B1645" s="205"/>
      <c r="C1645" s="35" t="s">
        <v>6609</v>
      </c>
      <c r="D1645" s="35" t="s">
        <v>20</v>
      </c>
      <c r="E1645" s="36">
        <v>1</v>
      </c>
      <c r="F1645" s="33">
        <v>11.276499999999999</v>
      </c>
      <c r="G1645" s="30">
        <f t="shared" si="26"/>
        <v>11.276499999999999</v>
      </c>
      <c r="H1645" s="38">
        <f>SUM(G1645:G1647)</f>
        <v>21.746924999999997</v>
      </c>
      <c r="I1645" s="39"/>
      <c r="J1645" s="148">
        <v>325</v>
      </c>
      <c r="K1645" s="222" t="s">
        <v>8074</v>
      </c>
    </row>
    <row r="1646" spans="1:11" hidden="1" x14ac:dyDescent="0.25">
      <c r="A1646" s="203"/>
      <c r="B1646" s="205"/>
      <c r="C1646" s="35" t="s">
        <v>74</v>
      </c>
      <c r="D1646" s="35" t="s">
        <v>12</v>
      </c>
      <c r="E1646" s="36">
        <v>0.23499999999999999</v>
      </c>
      <c r="F1646" s="30">
        <v>19.4085</v>
      </c>
      <c r="G1646" s="33">
        <f t="shared" si="26"/>
        <v>4.5609975</v>
      </c>
      <c r="H1646" s="34"/>
      <c r="I1646" s="30"/>
      <c r="J1646" s="148">
        <v>325</v>
      </c>
      <c r="K1646" s="222" t="s">
        <v>8074</v>
      </c>
    </row>
    <row r="1647" spans="1:11" hidden="1" x14ac:dyDescent="0.25">
      <c r="A1647" s="203"/>
      <c r="B1647" s="205"/>
      <c r="C1647" s="35" t="s">
        <v>30</v>
      </c>
      <c r="D1647" s="35" t="s">
        <v>12</v>
      </c>
      <c r="E1647" s="36">
        <v>0.23499999999999999</v>
      </c>
      <c r="F1647" s="30">
        <v>25.146499999999996</v>
      </c>
      <c r="G1647" s="33">
        <f t="shared" si="26"/>
        <v>5.9094274999999987</v>
      </c>
      <c r="H1647" s="34"/>
      <c r="I1647" s="30"/>
      <c r="J1647" s="148">
        <v>325</v>
      </c>
      <c r="K1647" s="222" t="s">
        <v>8074</v>
      </c>
    </row>
    <row r="1648" spans="1:11" ht="15.75" hidden="1" thickBot="1" x14ac:dyDescent="0.3">
      <c r="A1648" s="209"/>
      <c r="B1648" s="206"/>
      <c r="C1648" s="35"/>
      <c r="D1648" s="35"/>
      <c r="E1648" s="36"/>
      <c r="F1648" s="30" t="s">
        <v>514</v>
      </c>
      <c r="G1648" s="30" t="str">
        <f t="shared" si="26"/>
        <v/>
      </c>
      <c r="H1648" s="34"/>
      <c r="I1648" s="30"/>
      <c r="J1648" s="148">
        <v>325</v>
      </c>
      <c r="K1648" s="222" t="s">
        <v>8074</v>
      </c>
    </row>
    <row r="1649" spans="1:11" ht="15.75" hidden="1" thickBot="1" x14ac:dyDescent="0.3">
      <c r="A1649" s="202" t="s">
        <v>513</v>
      </c>
      <c r="B1649" s="204" t="str">
        <f>INDEX(Orçamentária!A:B,MATCH(Composições!A1649,Orçamentária!A:A,0),2)</f>
        <v>Porta equipamentos para canaleta de alumínio aparente</v>
      </c>
      <c r="C1649" s="40"/>
      <c r="D1649" s="25" t="str">
        <f>TRIM(INDEX(Orçamentária!C:C,MATCH(Composições!A1649,Orçamentária!A:A,0),1))</f>
        <v>un</v>
      </c>
      <c r="E1649" s="26"/>
      <c r="F1649" s="41" t="s">
        <v>514</v>
      </c>
      <c r="G1649" s="27" t="str">
        <f t="shared" si="26"/>
        <v/>
      </c>
      <c r="H1649" s="28"/>
      <c r="I1649" s="29"/>
      <c r="J1649" s="148">
        <v>80</v>
      </c>
      <c r="K1649" s="222" t="s">
        <v>8074</v>
      </c>
    </row>
    <row r="1650" spans="1:11" hidden="1" x14ac:dyDescent="0.25">
      <c r="A1650" s="203"/>
      <c r="B1650" s="205"/>
      <c r="C1650" s="31"/>
      <c r="D1650" s="31"/>
      <c r="E1650" s="32"/>
      <c r="F1650" s="42" t="s">
        <v>514</v>
      </c>
      <c r="G1650" s="30" t="str">
        <f t="shared" si="26"/>
        <v/>
      </c>
      <c r="H1650" s="34"/>
      <c r="I1650" s="30"/>
      <c r="J1650" s="148">
        <v>80</v>
      </c>
      <c r="K1650" s="222" t="s">
        <v>8074</v>
      </c>
    </row>
    <row r="1651" spans="1:11" hidden="1" x14ac:dyDescent="0.25">
      <c r="A1651" s="203"/>
      <c r="B1651" s="205"/>
      <c r="C1651" s="35" t="s">
        <v>74</v>
      </c>
      <c r="D1651" s="35" t="s">
        <v>12</v>
      </c>
      <c r="E1651" s="36">
        <f>0.35/2</f>
        <v>0.17499999999999999</v>
      </c>
      <c r="F1651" s="30">
        <v>19.4085</v>
      </c>
      <c r="G1651" s="33">
        <f t="shared" si="26"/>
        <v>3.3964874999999997</v>
      </c>
      <c r="H1651" s="38">
        <f>SUM(G1651:G1653)</f>
        <v>45.157125000000001</v>
      </c>
      <c r="I1651" s="39"/>
      <c r="J1651" s="148">
        <v>80</v>
      </c>
      <c r="K1651" s="222" t="s">
        <v>8074</v>
      </c>
    </row>
    <row r="1652" spans="1:11" hidden="1" x14ac:dyDescent="0.25">
      <c r="A1652" s="203"/>
      <c r="B1652" s="205"/>
      <c r="C1652" s="35" t="s">
        <v>30</v>
      </c>
      <c r="D1652" s="35" t="s">
        <v>12</v>
      </c>
      <c r="E1652" s="36">
        <f>0.35/2</f>
        <v>0.17499999999999999</v>
      </c>
      <c r="F1652" s="30">
        <v>25.146499999999996</v>
      </c>
      <c r="G1652" s="33">
        <f t="shared" si="26"/>
        <v>4.4006374999999993</v>
      </c>
      <c r="H1652" s="62" t="s">
        <v>514</v>
      </c>
      <c r="I1652" s="63"/>
      <c r="J1652" s="148">
        <v>80</v>
      </c>
      <c r="K1652" s="222" t="s">
        <v>8074</v>
      </c>
    </row>
    <row r="1653" spans="1:11" hidden="1" x14ac:dyDescent="0.25">
      <c r="A1653" s="203"/>
      <c r="B1653" s="205"/>
      <c r="C1653" s="35" t="s">
        <v>515</v>
      </c>
      <c r="D1653" s="35" t="s">
        <v>20</v>
      </c>
      <c r="E1653" s="36">
        <v>1</v>
      </c>
      <c r="F1653" s="33">
        <v>37.36</v>
      </c>
      <c r="G1653" s="33">
        <f t="shared" si="26"/>
        <v>37.36</v>
      </c>
      <c r="H1653" s="34"/>
      <c r="I1653" s="30"/>
      <c r="J1653" s="148">
        <v>80</v>
      </c>
      <c r="K1653" s="222" t="s">
        <v>8074</v>
      </c>
    </row>
    <row r="1654" spans="1:11" ht="15.75" hidden="1" thickBot="1" x14ac:dyDescent="0.3">
      <c r="A1654" s="209"/>
      <c r="B1654" s="206"/>
      <c r="C1654" s="35"/>
      <c r="D1654" s="35"/>
      <c r="E1654" s="36"/>
      <c r="F1654" s="30" t="s">
        <v>514</v>
      </c>
      <c r="G1654" s="30" t="str">
        <f t="shared" si="26"/>
        <v/>
      </c>
      <c r="H1654" s="34"/>
      <c r="I1654" s="30"/>
      <c r="J1654" s="148">
        <v>80</v>
      </c>
      <c r="K1654" s="222" t="s">
        <v>8074</v>
      </c>
    </row>
    <row r="1655" spans="1:11" ht="15.75" hidden="1" thickBot="1" x14ac:dyDescent="0.3">
      <c r="A1655" s="202" t="s">
        <v>516</v>
      </c>
      <c r="B1655" s="204" t="str">
        <f>INDEX(Orçamentária!A:B,MATCH(Composições!A1655,Orçamentária!A:A,0),2)</f>
        <v>Tampa cega metálica para caixas de piso 4x2</v>
      </c>
      <c r="C1655" s="40"/>
      <c r="D1655" s="25" t="str">
        <f>TRIM(INDEX(Orçamentária!C:C,MATCH(Composições!A1655,Orçamentária!A:A,0),1))</f>
        <v>un</v>
      </c>
      <c r="E1655" s="26"/>
      <c r="F1655" s="41" t="s">
        <v>514</v>
      </c>
      <c r="G1655" s="27" t="str">
        <f t="shared" si="26"/>
        <v/>
      </c>
      <c r="H1655" s="28"/>
      <c r="I1655" s="29"/>
      <c r="J1655" s="148">
        <v>40</v>
      </c>
      <c r="K1655" s="222" t="s">
        <v>8074</v>
      </c>
    </row>
    <row r="1656" spans="1:11" hidden="1" x14ac:dyDescent="0.25">
      <c r="A1656" s="203"/>
      <c r="B1656" s="205"/>
      <c r="C1656" s="31"/>
      <c r="D1656" s="31"/>
      <c r="E1656" s="32"/>
      <c r="F1656" s="42" t="s">
        <v>514</v>
      </c>
      <c r="G1656" s="30" t="str">
        <f t="shared" si="26"/>
        <v/>
      </c>
      <c r="H1656" s="34"/>
      <c r="I1656" s="30"/>
      <c r="J1656" s="148">
        <v>40</v>
      </c>
      <c r="K1656" s="222" t="s">
        <v>8074</v>
      </c>
    </row>
    <row r="1657" spans="1:11" hidden="1" x14ac:dyDescent="0.25">
      <c r="A1657" s="203"/>
      <c r="B1657" s="205"/>
      <c r="C1657" s="35" t="s">
        <v>74</v>
      </c>
      <c r="D1657" s="35" t="s">
        <v>12</v>
      </c>
      <c r="E1657" s="36">
        <v>0.1</v>
      </c>
      <c r="F1657" s="30">
        <v>19.4085</v>
      </c>
      <c r="G1657" s="30">
        <f t="shared" si="26"/>
        <v>1.9408500000000002</v>
      </c>
      <c r="H1657" s="38">
        <f>SUM(G1657:G1658)</f>
        <v>16.900850000000002</v>
      </c>
      <c r="I1657" s="39"/>
      <c r="J1657" s="148">
        <v>40</v>
      </c>
      <c r="K1657" s="222" t="s">
        <v>8074</v>
      </c>
    </row>
    <row r="1658" spans="1:11" hidden="1" x14ac:dyDescent="0.25">
      <c r="A1658" s="203"/>
      <c r="B1658" s="205"/>
      <c r="C1658" s="35" t="s">
        <v>517</v>
      </c>
      <c r="D1658" s="35" t="s">
        <v>20</v>
      </c>
      <c r="E1658" s="36">
        <v>1</v>
      </c>
      <c r="F1658" s="33">
        <v>14.96</v>
      </c>
      <c r="G1658" s="30">
        <f t="shared" si="26"/>
        <v>14.96</v>
      </c>
      <c r="H1658" s="34"/>
      <c r="I1658" s="30"/>
      <c r="J1658" s="148">
        <v>40</v>
      </c>
      <c r="K1658" s="222" t="s">
        <v>8074</v>
      </c>
    </row>
    <row r="1659" spans="1:11" ht="15.75" hidden="1" thickBot="1" x14ac:dyDescent="0.3">
      <c r="A1659" s="209"/>
      <c r="B1659" s="206"/>
      <c r="C1659" s="35"/>
      <c r="D1659" s="35"/>
      <c r="E1659" s="36"/>
      <c r="F1659" s="30" t="s">
        <v>514</v>
      </c>
      <c r="G1659" s="30" t="str">
        <f t="shared" si="26"/>
        <v/>
      </c>
      <c r="H1659" s="34"/>
      <c r="I1659" s="30"/>
      <c r="J1659" s="148">
        <v>40</v>
      </c>
      <c r="K1659" s="222" t="s">
        <v>8074</v>
      </c>
    </row>
    <row r="1660" spans="1:11" ht="15.75" hidden="1" thickBot="1" x14ac:dyDescent="0.3">
      <c r="A1660" s="202" t="s">
        <v>518</v>
      </c>
      <c r="B1660" s="204" t="str">
        <f>INDEX(Orçamentária!A:B,MATCH(Composições!A1660,Orçamentária!A:A,0),2)</f>
        <v>Tampa cega metálica para caixas de piso 4x4</v>
      </c>
      <c r="C1660" s="40"/>
      <c r="D1660" s="25" t="str">
        <f>TRIM(INDEX(Orçamentária!C:C,MATCH(Composições!A1660,Orçamentária!A:A,0),1))</f>
        <v>un</v>
      </c>
      <c r="E1660" s="26"/>
      <c r="F1660" s="41" t="s">
        <v>514</v>
      </c>
      <c r="G1660" s="27" t="str">
        <f t="shared" si="26"/>
        <v/>
      </c>
      <c r="H1660" s="28"/>
      <c r="I1660" s="29"/>
      <c r="J1660" s="148">
        <v>40</v>
      </c>
      <c r="K1660" s="222" t="s">
        <v>8074</v>
      </c>
    </row>
    <row r="1661" spans="1:11" hidden="1" x14ac:dyDescent="0.25">
      <c r="A1661" s="203"/>
      <c r="B1661" s="205"/>
      <c r="C1661" s="31"/>
      <c r="D1661" s="31"/>
      <c r="E1661" s="32"/>
      <c r="F1661" s="42" t="s">
        <v>514</v>
      </c>
      <c r="G1661" s="30" t="str">
        <f t="shared" si="26"/>
        <v/>
      </c>
      <c r="H1661" s="34"/>
      <c r="I1661" s="30"/>
      <c r="J1661" s="148">
        <v>40</v>
      </c>
      <c r="K1661" s="222" t="s">
        <v>8074</v>
      </c>
    </row>
    <row r="1662" spans="1:11" hidden="1" x14ac:dyDescent="0.25">
      <c r="A1662" s="203"/>
      <c r="B1662" s="205"/>
      <c r="C1662" s="35" t="s">
        <v>74</v>
      </c>
      <c r="D1662" s="35" t="s">
        <v>12</v>
      </c>
      <c r="E1662" s="36">
        <v>0.1</v>
      </c>
      <c r="F1662" s="30">
        <v>19.4085</v>
      </c>
      <c r="G1662" s="30">
        <f t="shared" si="26"/>
        <v>1.9408500000000002</v>
      </c>
      <c r="H1662" s="38">
        <f>SUM(G1662:G1663)</f>
        <v>21.010850000000001</v>
      </c>
      <c r="I1662" s="39"/>
      <c r="J1662" s="148">
        <v>40</v>
      </c>
      <c r="K1662" s="222" t="s">
        <v>8074</v>
      </c>
    </row>
    <row r="1663" spans="1:11" hidden="1" x14ac:dyDescent="0.25">
      <c r="A1663" s="203"/>
      <c r="B1663" s="205"/>
      <c r="C1663" s="35" t="s">
        <v>519</v>
      </c>
      <c r="D1663" s="35" t="s">
        <v>20</v>
      </c>
      <c r="E1663" s="36">
        <v>1</v>
      </c>
      <c r="F1663" s="33">
        <v>19.07</v>
      </c>
      <c r="G1663" s="30">
        <f t="shared" si="26"/>
        <v>19.07</v>
      </c>
      <c r="H1663" s="34"/>
      <c r="I1663" s="30"/>
      <c r="J1663" s="148">
        <v>40</v>
      </c>
      <c r="K1663" s="222" t="s">
        <v>8074</v>
      </c>
    </row>
    <row r="1664" spans="1:11" ht="15.75" hidden="1" thickBot="1" x14ac:dyDescent="0.3">
      <c r="A1664" s="209"/>
      <c r="B1664" s="206"/>
      <c r="C1664" s="35"/>
      <c r="D1664" s="35"/>
      <c r="E1664" s="36"/>
      <c r="F1664" s="30" t="s">
        <v>514</v>
      </c>
      <c r="G1664" s="30" t="str">
        <f t="shared" si="26"/>
        <v/>
      </c>
      <c r="H1664" s="34"/>
      <c r="I1664" s="30"/>
      <c r="J1664" s="148">
        <v>40</v>
      </c>
      <c r="K1664" s="222" t="s">
        <v>8074</v>
      </c>
    </row>
    <row r="1665" spans="1:11" ht="15.75" hidden="1" thickBot="1" x14ac:dyDescent="0.3">
      <c r="A1665" s="202" t="s">
        <v>520</v>
      </c>
      <c r="B1665" s="204" t="str">
        <f>INDEX(Orçamentária!A:B,MATCH(Composições!A1665,Orçamentária!A:A,0),2)</f>
        <v>Tampa cega para condulete</v>
      </c>
      <c r="C1665" s="40"/>
      <c r="D1665" s="25" t="str">
        <f>TRIM(INDEX(Orçamentária!C:C,MATCH(Composições!A1665,Orçamentária!A:A,0),1))</f>
        <v>un</v>
      </c>
      <c r="E1665" s="26"/>
      <c r="F1665" s="41" t="s">
        <v>514</v>
      </c>
      <c r="G1665" s="27" t="str">
        <f t="shared" si="26"/>
        <v/>
      </c>
      <c r="H1665" s="28"/>
      <c r="I1665" s="29"/>
      <c r="J1665" s="148">
        <v>75</v>
      </c>
      <c r="K1665" s="222" t="s">
        <v>8074</v>
      </c>
    </row>
    <row r="1666" spans="1:11" hidden="1" x14ac:dyDescent="0.25">
      <c r="A1666" s="203"/>
      <c r="B1666" s="205"/>
      <c r="C1666" s="31"/>
      <c r="D1666" s="31"/>
      <c r="E1666" s="32"/>
      <c r="F1666" s="42" t="s">
        <v>514</v>
      </c>
      <c r="G1666" s="30" t="str">
        <f t="shared" si="26"/>
        <v/>
      </c>
      <c r="H1666" s="34"/>
      <c r="I1666" s="30"/>
      <c r="J1666" s="148">
        <v>75</v>
      </c>
      <c r="K1666" s="222" t="s">
        <v>8074</v>
      </c>
    </row>
    <row r="1667" spans="1:11" hidden="1" x14ac:dyDescent="0.25">
      <c r="A1667" s="203"/>
      <c r="B1667" s="205"/>
      <c r="C1667" s="35" t="s">
        <v>74</v>
      </c>
      <c r="D1667" s="35" t="s">
        <v>12</v>
      </c>
      <c r="E1667" s="36">
        <v>0.15</v>
      </c>
      <c r="F1667" s="30">
        <v>19.4085</v>
      </c>
      <c r="G1667" s="33">
        <f t="shared" si="26"/>
        <v>2.9112749999999998</v>
      </c>
      <c r="H1667" s="38">
        <f>SUM(G1667:G1668)</f>
        <v>9.1612749999999998</v>
      </c>
      <c r="I1667" s="39"/>
      <c r="J1667" s="148">
        <v>75</v>
      </c>
      <c r="K1667" s="222" t="s">
        <v>8074</v>
      </c>
    </row>
    <row r="1668" spans="1:11" ht="25.5" hidden="1" x14ac:dyDescent="0.25">
      <c r="A1668" s="203"/>
      <c r="B1668" s="205"/>
      <c r="C1668" s="35" t="s">
        <v>521</v>
      </c>
      <c r="D1668" s="35" t="s">
        <v>20</v>
      </c>
      <c r="E1668" s="36">
        <v>1</v>
      </c>
      <c r="F1668" s="33">
        <v>6.25</v>
      </c>
      <c r="G1668" s="30">
        <f t="shared" si="26"/>
        <v>6.25</v>
      </c>
      <c r="H1668" s="34"/>
      <c r="I1668" s="30"/>
      <c r="J1668" s="148">
        <v>75</v>
      </c>
      <c r="K1668" s="222" t="s">
        <v>8074</v>
      </c>
    </row>
    <row r="1669" spans="1:11" hidden="1" x14ac:dyDescent="0.25">
      <c r="A1669" s="203"/>
      <c r="B1669" s="205"/>
      <c r="C1669" s="35"/>
      <c r="D1669" s="35"/>
      <c r="E1669" s="36"/>
      <c r="F1669" s="33" t="s">
        <v>514</v>
      </c>
      <c r="G1669" s="30" t="str">
        <f t="shared" si="26"/>
        <v/>
      </c>
      <c r="H1669" s="34"/>
      <c r="I1669" s="30"/>
      <c r="J1669" s="148">
        <v>75</v>
      </c>
      <c r="K1669" s="222" t="s">
        <v>8074</v>
      </c>
    </row>
    <row r="1670" spans="1:11" ht="15.75" hidden="1" thickBot="1" x14ac:dyDescent="0.3">
      <c r="A1670" s="202" t="s">
        <v>522</v>
      </c>
      <c r="B1670" s="204" t="str">
        <f>INDEX(Orçamentária!A:B,MATCH(Composições!A1670,Orçamentária!A:A,0),2)</f>
        <v>Tampa RJ45 dupla para condulete</v>
      </c>
      <c r="C1670" s="40"/>
      <c r="D1670" s="25" t="str">
        <f>TRIM(INDEX(Orçamentária!C:C,MATCH(Composições!A1670,Orçamentária!A:A,0),1))</f>
        <v>un</v>
      </c>
      <c r="E1670" s="26"/>
      <c r="F1670" s="41" t="s">
        <v>514</v>
      </c>
      <c r="G1670" s="27" t="str">
        <f t="shared" si="26"/>
        <v/>
      </c>
      <c r="H1670" s="28"/>
      <c r="I1670" s="29"/>
      <c r="J1670" s="148">
        <v>400</v>
      </c>
      <c r="K1670" s="222" t="s">
        <v>8074</v>
      </c>
    </row>
    <row r="1671" spans="1:11" hidden="1" x14ac:dyDescent="0.25">
      <c r="A1671" s="203"/>
      <c r="B1671" s="205"/>
      <c r="C1671" s="31"/>
      <c r="D1671" s="31"/>
      <c r="E1671" s="32"/>
      <c r="F1671" s="42" t="s">
        <v>514</v>
      </c>
      <c r="G1671" s="30" t="str">
        <f t="shared" si="26"/>
        <v/>
      </c>
      <c r="H1671" s="34"/>
      <c r="I1671" s="30"/>
      <c r="J1671" s="148">
        <v>400</v>
      </c>
      <c r="K1671" s="222" t="s">
        <v>8074</v>
      </c>
    </row>
    <row r="1672" spans="1:11" hidden="1" x14ac:dyDescent="0.25">
      <c r="A1672" s="203"/>
      <c r="B1672" s="205"/>
      <c r="C1672" s="35" t="s">
        <v>74</v>
      </c>
      <c r="D1672" s="35" t="s">
        <v>12</v>
      </c>
      <c r="E1672" s="36">
        <v>0.15</v>
      </c>
      <c r="F1672" s="30">
        <v>19.4085</v>
      </c>
      <c r="G1672" s="33">
        <f t="shared" si="26"/>
        <v>2.9112749999999998</v>
      </c>
      <c r="H1672" s="38">
        <f>SUM(G1672:G1674)</f>
        <v>17.08325</v>
      </c>
      <c r="I1672" s="39"/>
      <c r="J1672" s="148">
        <v>400</v>
      </c>
      <c r="K1672" s="222" t="s">
        <v>8074</v>
      </c>
    </row>
    <row r="1673" spans="1:11" hidden="1" x14ac:dyDescent="0.25">
      <c r="A1673" s="203"/>
      <c r="B1673" s="205"/>
      <c r="C1673" s="35" t="s">
        <v>30</v>
      </c>
      <c r="D1673" s="35" t="s">
        <v>12</v>
      </c>
      <c r="E1673" s="36">
        <v>0.15</v>
      </c>
      <c r="F1673" s="30">
        <v>25.146499999999996</v>
      </c>
      <c r="G1673" s="33">
        <f t="shared" si="26"/>
        <v>3.7719749999999994</v>
      </c>
      <c r="H1673" s="61"/>
      <c r="I1673" s="1"/>
      <c r="J1673" s="148">
        <v>400</v>
      </c>
      <c r="K1673" s="222" t="s">
        <v>8074</v>
      </c>
    </row>
    <row r="1674" spans="1:11" ht="25.5" hidden="1" x14ac:dyDescent="0.25">
      <c r="A1674" s="203"/>
      <c r="B1674" s="205"/>
      <c r="C1674" s="35" t="s">
        <v>523</v>
      </c>
      <c r="D1674" s="35" t="s">
        <v>20</v>
      </c>
      <c r="E1674" s="36">
        <v>1</v>
      </c>
      <c r="F1674" s="33">
        <v>10.4</v>
      </c>
      <c r="G1674" s="30">
        <f t="shared" si="26"/>
        <v>10.4</v>
      </c>
      <c r="H1674" s="34"/>
      <c r="I1674" s="30"/>
      <c r="J1674" s="148">
        <v>400</v>
      </c>
      <c r="K1674" s="222" t="s">
        <v>8074</v>
      </c>
    </row>
    <row r="1675" spans="1:11" ht="15.75" hidden="1" thickBot="1" x14ac:dyDescent="0.3">
      <c r="A1675" s="209"/>
      <c r="B1675" s="206"/>
      <c r="C1675" s="35"/>
      <c r="D1675" s="35"/>
      <c r="E1675" s="36"/>
      <c r="F1675" s="30" t="s">
        <v>514</v>
      </c>
      <c r="G1675" s="30" t="str">
        <f t="shared" si="26"/>
        <v/>
      </c>
      <c r="H1675" s="34"/>
      <c r="I1675" s="30"/>
      <c r="J1675" s="148">
        <v>400</v>
      </c>
      <c r="K1675" s="222" t="s">
        <v>8074</v>
      </c>
    </row>
    <row r="1676" spans="1:11" ht="15.75" hidden="1" thickBot="1" x14ac:dyDescent="0.3">
      <c r="A1676" s="202" t="s">
        <v>524</v>
      </c>
      <c r="B1676" s="204" t="str">
        <f>INDEX(Orçamentária!A:B,MATCH(Composições!A1676,Orçamentária!A:A,0),2)</f>
        <v>Tomada para condulete</v>
      </c>
      <c r="C1676" s="40"/>
      <c r="D1676" s="25" t="str">
        <f>TRIM(INDEX(Orçamentária!C:C,MATCH(Composições!A1676,Orçamentária!A:A,0),1))</f>
        <v>un</v>
      </c>
      <c r="E1676" s="26"/>
      <c r="F1676" s="41" t="s">
        <v>514</v>
      </c>
      <c r="G1676" s="27" t="str">
        <f t="shared" si="26"/>
        <v/>
      </c>
      <c r="H1676" s="28"/>
      <c r="I1676" s="29"/>
      <c r="J1676" s="148">
        <v>500</v>
      </c>
      <c r="K1676" s="222" t="s">
        <v>8074</v>
      </c>
    </row>
    <row r="1677" spans="1:11" hidden="1" x14ac:dyDescent="0.25">
      <c r="A1677" s="203"/>
      <c r="B1677" s="205"/>
      <c r="C1677" s="31"/>
      <c r="D1677" s="31"/>
      <c r="E1677" s="32"/>
      <c r="F1677" s="42" t="s">
        <v>514</v>
      </c>
      <c r="G1677" s="30" t="str">
        <f t="shared" si="26"/>
        <v/>
      </c>
      <c r="H1677" s="34"/>
      <c r="I1677" s="30"/>
      <c r="J1677" s="148">
        <v>500</v>
      </c>
      <c r="K1677" s="222" t="s">
        <v>8074</v>
      </c>
    </row>
    <row r="1678" spans="1:11" hidden="1" x14ac:dyDescent="0.25">
      <c r="A1678" s="203"/>
      <c r="B1678" s="205"/>
      <c r="C1678" s="35" t="s">
        <v>30</v>
      </c>
      <c r="D1678" s="35" t="s">
        <v>12</v>
      </c>
      <c r="E1678" s="36">
        <v>0.308</v>
      </c>
      <c r="F1678" s="30">
        <v>25.146499999999996</v>
      </c>
      <c r="G1678" s="33">
        <f t="shared" si="26"/>
        <v>7.7451219999999985</v>
      </c>
      <c r="H1678" s="38">
        <f>SUM(G1678:G1681)</f>
        <v>28.342939999999999</v>
      </c>
      <c r="I1678" s="39"/>
      <c r="J1678" s="148">
        <v>500</v>
      </c>
      <c r="K1678" s="222" t="s">
        <v>8074</v>
      </c>
    </row>
    <row r="1679" spans="1:11" hidden="1" x14ac:dyDescent="0.25">
      <c r="A1679" s="203"/>
      <c r="B1679" s="205"/>
      <c r="C1679" s="35" t="s">
        <v>74</v>
      </c>
      <c r="D1679" s="35" t="s">
        <v>12</v>
      </c>
      <c r="E1679" s="36">
        <v>0.308</v>
      </c>
      <c r="F1679" s="30">
        <v>19.4085</v>
      </c>
      <c r="G1679" s="33">
        <f t="shared" si="26"/>
        <v>5.9778180000000001</v>
      </c>
      <c r="H1679" s="34"/>
      <c r="I1679" s="30"/>
      <c r="J1679" s="148">
        <v>500</v>
      </c>
      <c r="K1679" s="222" t="s">
        <v>8074</v>
      </c>
    </row>
    <row r="1680" spans="1:11" ht="25.5" hidden="1" x14ac:dyDescent="0.25">
      <c r="A1680" s="203"/>
      <c r="B1680" s="205"/>
      <c r="C1680" s="35" t="s">
        <v>499</v>
      </c>
      <c r="D1680" s="35" t="s">
        <v>20</v>
      </c>
      <c r="E1680" s="36">
        <v>1</v>
      </c>
      <c r="F1680" s="33">
        <v>4.9000000000000004</v>
      </c>
      <c r="G1680" s="33">
        <f t="shared" si="26"/>
        <v>4.9000000000000004</v>
      </c>
      <c r="H1680" s="34"/>
      <c r="I1680" s="30"/>
      <c r="J1680" s="148">
        <v>500</v>
      </c>
      <c r="K1680" s="222" t="s">
        <v>8074</v>
      </c>
    </row>
    <row r="1681" spans="1:11" ht="25.5" hidden="1" x14ac:dyDescent="0.25">
      <c r="A1681" s="203"/>
      <c r="B1681" s="205"/>
      <c r="C1681" s="35" t="s">
        <v>6386</v>
      </c>
      <c r="D1681" s="35" t="s">
        <v>20</v>
      </c>
      <c r="E1681" s="36">
        <v>1</v>
      </c>
      <c r="F1681" s="33">
        <v>9.7200000000000006</v>
      </c>
      <c r="G1681" s="30">
        <f t="shared" si="26"/>
        <v>9.7200000000000006</v>
      </c>
      <c r="H1681" s="34"/>
      <c r="I1681" s="30"/>
      <c r="J1681" s="148">
        <v>500</v>
      </c>
      <c r="K1681" s="222" t="s">
        <v>8074</v>
      </c>
    </row>
    <row r="1682" spans="1:11" ht="15.75" hidden="1" thickBot="1" x14ac:dyDescent="0.3">
      <c r="A1682" s="209"/>
      <c r="B1682" s="206"/>
      <c r="C1682" s="35"/>
      <c r="D1682" s="35"/>
      <c r="E1682" s="36"/>
      <c r="F1682" s="30" t="s">
        <v>514</v>
      </c>
      <c r="G1682" s="30" t="str">
        <f t="shared" si="26"/>
        <v/>
      </c>
      <c r="H1682" s="34"/>
      <c r="I1682" s="30"/>
      <c r="J1682" s="148">
        <v>500</v>
      </c>
      <c r="K1682" s="222" t="s">
        <v>8074</v>
      </c>
    </row>
    <row r="1683" spans="1:11" ht="15.75" hidden="1" thickBot="1" x14ac:dyDescent="0.3">
      <c r="A1683" s="202" t="s">
        <v>525</v>
      </c>
      <c r="B1683" s="204" t="str">
        <f>INDEX(Orçamentária!A:B,MATCH(Composições!A1683,Orçamentária!A:A,0),2)</f>
        <v>Tomada para perfilado e eletrocalha</v>
      </c>
      <c r="C1683" s="40"/>
      <c r="D1683" s="25" t="str">
        <f>TRIM(INDEX(Orçamentária!C:C,MATCH(Composições!A1683,Orçamentária!A:A,0),1))</f>
        <v>un</v>
      </c>
      <c r="E1683" s="26"/>
      <c r="F1683" s="41" t="s">
        <v>514</v>
      </c>
      <c r="G1683" s="27" t="str">
        <f t="shared" ref="G1683:G1746" si="27">IF(ISNUMBER(F1683),E1683*F1683,"")</f>
        <v/>
      </c>
      <c r="H1683" s="28"/>
      <c r="I1683" s="29"/>
      <c r="J1683" s="148">
        <v>75</v>
      </c>
      <c r="K1683" s="222" t="s">
        <v>8074</v>
      </c>
    </row>
    <row r="1684" spans="1:11" hidden="1" x14ac:dyDescent="0.25">
      <c r="A1684" s="203"/>
      <c r="B1684" s="205"/>
      <c r="C1684" s="31"/>
      <c r="D1684" s="31"/>
      <c r="E1684" s="32"/>
      <c r="F1684" s="42" t="s">
        <v>514</v>
      </c>
      <c r="G1684" s="30" t="str">
        <f t="shared" si="27"/>
        <v/>
      </c>
      <c r="H1684" s="34"/>
      <c r="I1684" s="30"/>
      <c r="J1684" s="148">
        <v>75</v>
      </c>
      <c r="K1684" s="222" t="s">
        <v>8074</v>
      </c>
    </row>
    <row r="1685" spans="1:11" hidden="1" x14ac:dyDescent="0.25">
      <c r="A1685" s="203"/>
      <c r="B1685" s="205"/>
      <c r="C1685" s="35" t="s">
        <v>74</v>
      </c>
      <c r="D1685" s="35" t="s">
        <v>12</v>
      </c>
      <c r="E1685" s="36">
        <v>0.65</v>
      </c>
      <c r="F1685" s="30">
        <v>19.4085</v>
      </c>
      <c r="G1685" s="33">
        <f t="shared" si="27"/>
        <v>12.615525</v>
      </c>
      <c r="H1685" s="38">
        <f>SUM(G1685:G1688)</f>
        <v>48.388249999999992</v>
      </c>
      <c r="I1685" s="39"/>
      <c r="J1685" s="148">
        <v>75</v>
      </c>
      <c r="K1685" s="222" t="s">
        <v>8074</v>
      </c>
    </row>
    <row r="1686" spans="1:11" hidden="1" x14ac:dyDescent="0.25">
      <c r="A1686" s="203"/>
      <c r="B1686" s="205"/>
      <c r="C1686" s="35" t="s">
        <v>30</v>
      </c>
      <c r="D1686" s="35" t="s">
        <v>12</v>
      </c>
      <c r="E1686" s="36">
        <v>0.65</v>
      </c>
      <c r="F1686" s="30">
        <v>25.146499999999996</v>
      </c>
      <c r="G1686" s="33">
        <f t="shared" si="27"/>
        <v>16.345224999999999</v>
      </c>
      <c r="H1686" s="34"/>
      <c r="I1686" s="30"/>
      <c r="J1686" s="148">
        <v>75</v>
      </c>
      <c r="K1686" s="222" t="s">
        <v>8074</v>
      </c>
    </row>
    <row r="1687" spans="1:11" hidden="1" x14ac:dyDescent="0.25">
      <c r="A1687" s="203"/>
      <c r="B1687" s="205"/>
      <c r="C1687" s="35" t="s">
        <v>526</v>
      </c>
      <c r="D1687" s="35" t="s">
        <v>20</v>
      </c>
      <c r="E1687" s="36">
        <v>1</v>
      </c>
      <c r="F1687" s="30">
        <v>11.1435</v>
      </c>
      <c r="G1687" s="30">
        <f t="shared" si="27"/>
        <v>11.1435</v>
      </c>
      <c r="H1687" s="34"/>
      <c r="I1687" s="30"/>
      <c r="J1687" s="148">
        <v>75</v>
      </c>
      <c r="K1687" s="222" t="s">
        <v>8074</v>
      </c>
    </row>
    <row r="1688" spans="1:11" hidden="1" x14ac:dyDescent="0.25">
      <c r="A1688" s="203"/>
      <c r="B1688" s="205"/>
      <c r="C1688" s="35" t="s">
        <v>527</v>
      </c>
      <c r="D1688" s="35" t="s">
        <v>20</v>
      </c>
      <c r="E1688" s="36">
        <v>1</v>
      </c>
      <c r="F1688" s="30">
        <v>8.2840000000000007</v>
      </c>
      <c r="G1688" s="30">
        <f t="shared" si="27"/>
        <v>8.2840000000000007</v>
      </c>
      <c r="H1688" s="34"/>
      <c r="I1688" s="30"/>
      <c r="J1688" s="148">
        <v>75</v>
      </c>
      <c r="K1688" s="222" t="s">
        <v>8074</v>
      </c>
    </row>
    <row r="1689" spans="1:11" ht="15.75" hidden="1" thickBot="1" x14ac:dyDescent="0.3">
      <c r="A1689" s="209"/>
      <c r="B1689" s="206"/>
      <c r="C1689" s="35"/>
      <c r="D1689" s="35"/>
      <c r="E1689" s="36"/>
      <c r="F1689" s="30" t="s">
        <v>514</v>
      </c>
      <c r="G1689" s="30" t="str">
        <f t="shared" si="27"/>
        <v/>
      </c>
      <c r="H1689" s="34"/>
      <c r="I1689" s="30"/>
      <c r="J1689" s="148">
        <v>75</v>
      </c>
      <c r="K1689" s="222" t="s">
        <v>8074</v>
      </c>
    </row>
    <row r="1690" spans="1:11" ht="15.75" hidden="1" thickBot="1" x14ac:dyDescent="0.3">
      <c r="A1690" s="202" t="s">
        <v>528</v>
      </c>
      <c r="B1690" s="204" t="str">
        <f>INDEX(Orçamentária!A:B,MATCH(Composições!A1690,Orçamentária!A:A,0),2)</f>
        <v>Bloco autônomo de emergência</v>
      </c>
      <c r="C1690" s="40"/>
      <c r="D1690" s="25" t="str">
        <f>TRIM(INDEX(Orçamentária!C:C,MATCH(Composições!A1690,Orçamentária!A:A,0),1))</f>
        <v>un</v>
      </c>
      <c r="E1690" s="26"/>
      <c r="F1690" s="41" t="s">
        <v>514</v>
      </c>
      <c r="G1690" s="27" t="str">
        <f t="shared" si="27"/>
        <v/>
      </c>
      <c r="H1690" s="28"/>
      <c r="I1690" s="29"/>
      <c r="J1690" s="148">
        <v>80</v>
      </c>
      <c r="K1690" s="222" t="s">
        <v>8074</v>
      </c>
    </row>
    <row r="1691" spans="1:11" hidden="1" x14ac:dyDescent="0.25">
      <c r="A1691" s="203"/>
      <c r="B1691" s="205"/>
      <c r="C1691" s="31"/>
      <c r="D1691" s="31"/>
      <c r="E1691" s="32"/>
      <c r="F1691" s="42" t="s">
        <v>514</v>
      </c>
      <c r="G1691" s="30" t="str">
        <f t="shared" si="27"/>
        <v/>
      </c>
      <c r="H1691" s="34"/>
      <c r="I1691" s="30"/>
      <c r="J1691" s="148">
        <v>80</v>
      </c>
      <c r="K1691" s="222" t="s">
        <v>8074</v>
      </c>
    </row>
    <row r="1692" spans="1:11" ht="38.25" hidden="1" x14ac:dyDescent="0.25">
      <c r="A1692" s="203"/>
      <c r="B1692" s="205"/>
      <c r="C1692" s="35" t="s">
        <v>529</v>
      </c>
      <c r="D1692" s="35" t="s">
        <v>143</v>
      </c>
      <c r="E1692" s="36">
        <v>1</v>
      </c>
      <c r="F1692" s="33">
        <v>227.27</v>
      </c>
      <c r="G1692" s="30">
        <f t="shared" si="27"/>
        <v>227.27</v>
      </c>
      <c r="H1692" s="38">
        <f>SUM(G1692:G1694)</f>
        <v>233.23555255000002</v>
      </c>
      <c r="I1692" s="39"/>
      <c r="J1692" s="148">
        <v>80</v>
      </c>
      <c r="K1692" s="222" t="s">
        <v>8074</v>
      </c>
    </row>
    <row r="1693" spans="1:11" hidden="1" x14ac:dyDescent="0.25">
      <c r="A1693" s="203"/>
      <c r="B1693" s="205"/>
      <c r="C1693" s="35" t="s">
        <v>74</v>
      </c>
      <c r="D1693" s="46" t="s">
        <v>12</v>
      </c>
      <c r="E1693" s="36">
        <v>7.4800000000000005E-2</v>
      </c>
      <c r="F1693" s="30">
        <v>19.4085</v>
      </c>
      <c r="G1693" s="30">
        <f t="shared" si="27"/>
        <v>1.4517558000000002</v>
      </c>
      <c r="H1693" s="34"/>
      <c r="I1693" s="30"/>
      <c r="J1693" s="148">
        <v>80</v>
      </c>
      <c r="K1693" s="222" t="s">
        <v>8074</v>
      </c>
    </row>
    <row r="1694" spans="1:11" hidden="1" x14ac:dyDescent="0.25">
      <c r="A1694" s="203"/>
      <c r="B1694" s="205"/>
      <c r="C1694" s="35" t="s">
        <v>30</v>
      </c>
      <c r="D1694" s="35" t="s">
        <v>12</v>
      </c>
      <c r="E1694" s="36">
        <v>0.17949999999999999</v>
      </c>
      <c r="F1694" s="30">
        <v>25.146499999999996</v>
      </c>
      <c r="G1694" s="30">
        <f t="shared" si="27"/>
        <v>4.5137967499999991</v>
      </c>
      <c r="H1694" s="34"/>
      <c r="I1694" s="30"/>
      <c r="J1694" s="148">
        <v>80</v>
      </c>
      <c r="K1694" s="222" t="s">
        <v>8074</v>
      </c>
    </row>
    <row r="1695" spans="1:11" ht="15.75" hidden="1" thickBot="1" x14ac:dyDescent="0.3">
      <c r="A1695" s="209"/>
      <c r="B1695" s="206"/>
      <c r="C1695" s="35"/>
      <c r="D1695" s="35"/>
      <c r="E1695" s="36"/>
      <c r="F1695" s="30" t="s">
        <v>514</v>
      </c>
      <c r="G1695" s="30" t="str">
        <f t="shared" si="27"/>
        <v/>
      </c>
      <c r="H1695" s="34"/>
      <c r="I1695" s="30"/>
      <c r="J1695" s="148">
        <v>80</v>
      </c>
      <c r="K1695" s="222" t="s">
        <v>8074</v>
      </c>
    </row>
    <row r="1696" spans="1:11" ht="15.75" hidden="1" thickBot="1" x14ac:dyDescent="0.3">
      <c r="A1696" s="202" t="s">
        <v>530</v>
      </c>
      <c r="B1696" s="204" t="str">
        <f>INDEX(Orçamentária!A:B,MATCH(Composições!A1696,Orçamentária!A:A,0),2)</f>
        <v>Instalação de luminária reaproveitada</v>
      </c>
      <c r="C1696" s="40"/>
      <c r="D1696" s="25" t="str">
        <f>TRIM(INDEX(Orçamentária!C:C,MATCH(Composições!A1696,Orçamentária!A:A,0),1))</f>
        <v>un</v>
      </c>
      <c r="E1696" s="26"/>
      <c r="F1696" s="41" t="s">
        <v>514</v>
      </c>
      <c r="G1696" s="27" t="str">
        <f t="shared" si="27"/>
        <v/>
      </c>
      <c r="H1696" s="28"/>
      <c r="I1696" s="29"/>
      <c r="J1696" s="148">
        <v>400</v>
      </c>
      <c r="K1696" s="222" t="s">
        <v>8074</v>
      </c>
    </row>
    <row r="1697" spans="1:11" hidden="1" x14ac:dyDescent="0.25">
      <c r="A1697" s="203"/>
      <c r="B1697" s="205"/>
      <c r="C1697" s="31"/>
      <c r="D1697" s="31"/>
      <c r="E1697" s="32"/>
      <c r="F1697" s="42" t="s">
        <v>514</v>
      </c>
      <c r="G1697" s="30" t="str">
        <f t="shared" si="27"/>
        <v/>
      </c>
      <c r="H1697" s="34"/>
      <c r="I1697" s="30"/>
      <c r="J1697" s="148">
        <v>400</v>
      </c>
      <c r="K1697" s="222" t="s">
        <v>8074</v>
      </c>
    </row>
    <row r="1698" spans="1:11" hidden="1" x14ac:dyDescent="0.25">
      <c r="A1698" s="203"/>
      <c r="B1698" s="205"/>
      <c r="C1698" s="35" t="s">
        <v>74</v>
      </c>
      <c r="D1698" s="46" t="s">
        <v>12</v>
      </c>
      <c r="E1698" s="36">
        <v>0.14799999999999999</v>
      </c>
      <c r="F1698" s="30">
        <v>19.4085</v>
      </c>
      <c r="G1698" s="30">
        <f t="shared" si="27"/>
        <v>2.872458</v>
      </c>
      <c r="H1698" s="38">
        <f>SUM(G1698:G1702)</f>
        <v>36.72198015</v>
      </c>
      <c r="I1698" s="39"/>
      <c r="J1698" s="148">
        <v>400</v>
      </c>
      <c r="K1698" s="222" t="s">
        <v>8074</v>
      </c>
    </row>
    <row r="1699" spans="1:11" hidden="1" x14ac:dyDescent="0.25">
      <c r="A1699" s="203"/>
      <c r="B1699" s="205"/>
      <c r="C1699" s="35" t="s">
        <v>30</v>
      </c>
      <c r="D1699" s="35" t="s">
        <v>12</v>
      </c>
      <c r="E1699" s="36">
        <v>0.35510000000000003</v>
      </c>
      <c r="F1699" s="30">
        <v>25.146499999999996</v>
      </c>
      <c r="G1699" s="30">
        <f t="shared" si="27"/>
        <v>8.9295221499999986</v>
      </c>
      <c r="H1699" s="44"/>
      <c r="I1699" s="45"/>
      <c r="J1699" s="148">
        <v>400</v>
      </c>
      <c r="K1699" s="222" t="s">
        <v>8074</v>
      </c>
    </row>
    <row r="1700" spans="1:11" ht="25.5" hidden="1" x14ac:dyDescent="0.25">
      <c r="A1700" s="203"/>
      <c r="B1700" s="205"/>
      <c r="C1700" s="35" t="s">
        <v>531</v>
      </c>
      <c r="D1700" s="35" t="s">
        <v>92</v>
      </c>
      <c r="E1700" s="36">
        <v>1.5</v>
      </c>
      <c r="F1700" s="33">
        <v>8.26</v>
      </c>
      <c r="G1700" s="30">
        <f t="shared" si="27"/>
        <v>12.39</v>
      </c>
      <c r="H1700" s="34"/>
      <c r="I1700" s="30"/>
      <c r="J1700" s="148">
        <v>400</v>
      </c>
      <c r="K1700" s="222" t="s">
        <v>8074</v>
      </c>
    </row>
    <row r="1701" spans="1:11" hidden="1" x14ac:dyDescent="0.25">
      <c r="A1701" s="203"/>
      <c r="B1701" s="205"/>
      <c r="C1701" s="35" t="s">
        <v>532</v>
      </c>
      <c r="D1701" s="35" t="s">
        <v>143</v>
      </c>
      <c r="E1701" s="36">
        <v>1</v>
      </c>
      <c r="F1701" s="33">
        <v>6.23</v>
      </c>
      <c r="G1701" s="30">
        <f t="shared" si="27"/>
        <v>6.23</v>
      </c>
      <c r="H1701" s="34"/>
      <c r="I1701" s="30"/>
      <c r="J1701" s="148">
        <v>400</v>
      </c>
      <c r="K1701" s="222" t="s">
        <v>8074</v>
      </c>
    </row>
    <row r="1702" spans="1:11" hidden="1" x14ac:dyDescent="0.25">
      <c r="A1702" s="203"/>
      <c r="B1702" s="205"/>
      <c r="C1702" s="35" t="s">
        <v>533</v>
      </c>
      <c r="D1702" s="35" t="s">
        <v>143</v>
      </c>
      <c r="E1702" s="36">
        <v>1</v>
      </c>
      <c r="F1702" s="33">
        <v>6.3</v>
      </c>
      <c r="G1702" s="30">
        <f t="shared" si="27"/>
        <v>6.3</v>
      </c>
      <c r="H1702" s="34"/>
      <c r="I1702" s="30"/>
      <c r="J1702" s="148">
        <v>400</v>
      </c>
      <c r="K1702" s="222" t="s">
        <v>8074</v>
      </c>
    </row>
    <row r="1703" spans="1:11" ht="15.75" hidden="1" thickBot="1" x14ac:dyDescent="0.3">
      <c r="A1703" s="209"/>
      <c r="B1703" s="206"/>
      <c r="C1703" s="35"/>
      <c r="D1703" s="35"/>
      <c r="E1703" s="36"/>
      <c r="F1703" s="30" t="s">
        <v>514</v>
      </c>
      <c r="G1703" s="30" t="str">
        <f t="shared" si="27"/>
        <v/>
      </c>
      <c r="H1703" s="34"/>
      <c r="I1703" s="30"/>
      <c r="J1703" s="148">
        <v>400</v>
      </c>
      <c r="K1703" s="222" t="s">
        <v>8074</v>
      </c>
    </row>
    <row r="1704" spans="1:11" ht="15.75" hidden="1" thickBot="1" x14ac:dyDescent="0.3">
      <c r="A1704" s="202" t="s">
        <v>534</v>
      </c>
      <c r="B1704" s="204" t="str">
        <f>INDEX(Orçamentária!A:B,MATCH(Composições!A1704,Orçamentária!A:A,0),2)</f>
        <v>Luminária 2x14 W de embutir</v>
      </c>
      <c r="C1704" s="40"/>
      <c r="D1704" s="25" t="str">
        <f>TRIM(INDEX(Orçamentária!C:C,MATCH(Composições!A1704,Orçamentária!A:A,0),1))</f>
        <v>un</v>
      </c>
      <c r="E1704" s="26"/>
      <c r="F1704" s="41" t="s">
        <v>514</v>
      </c>
      <c r="G1704" s="27" t="str">
        <f t="shared" si="27"/>
        <v/>
      </c>
      <c r="H1704" s="28"/>
      <c r="I1704" s="29"/>
      <c r="J1704" s="148">
        <v>45</v>
      </c>
      <c r="K1704" s="222" t="s">
        <v>8074</v>
      </c>
    </row>
    <row r="1705" spans="1:11" hidden="1" x14ac:dyDescent="0.25">
      <c r="A1705" s="203"/>
      <c r="B1705" s="205"/>
      <c r="C1705" s="31"/>
      <c r="D1705" s="31"/>
      <c r="E1705" s="32"/>
      <c r="F1705" s="42" t="s">
        <v>514</v>
      </c>
      <c r="G1705" s="30" t="str">
        <f t="shared" si="27"/>
        <v/>
      </c>
      <c r="H1705" s="34"/>
      <c r="I1705" s="30"/>
      <c r="J1705" s="148">
        <v>45</v>
      </c>
      <c r="K1705" s="222" t="s">
        <v>8074</v>
      </c>
    </row>
    <row r="1706" spans="1:11" ht="25.5" hidden="1" x14ac:dyDescent="0.25">
      <c r="A1706" s="203"/>
      <c r="B1706" s="205"/>
      <c r="C1706" s="35" t="s">
        <v>535</v>
      </c>
      <c r="D1706" s="35" t="s">
        <v>143</v>
      </c>
      <c r="E1706" s="36">
        <v>1</v>
      </c>
      <c r="F1706" s="33">
        <v>106.06</v>
      </c>
      <c r="G1706" s="33">
        <f t="shared" si="27"/>
        <v>106.06</v>
      </c>
      <c r="H1706" s="38">
        <f>SUM(G1706:G1713)</f>
        <v>379.86198015000002</v>
      </c>
      <c r="I1706" s="39"/>
      <c r="J1706" s="148">
        <v>45</v>
      </c>
      <c r="K1706" s="222" t="s">
        <v>8074</v>
      </c>
    </row>
    <row r="1707" spans="1:11" ht="25.5" hidden="1" x14ac:dyDescent="0.25">
      <c r="A1707" s="203"/>
      <c r="B1707" s="205"/>
      <c r="C1707" s="35" t="s">
        <v>6385</v>
      </c>
      <c r="D1707" s="35" t="s">
        <v>143</v>
      </c>
      <c r="E1707" s="36">
        <v>1</v>
      </c>
      <c r="F1707" s="33">
        <v>117.36</v>
      </c>
      <c r="G1707" s="33">
        <f t="shared" si="27"/>
        <v>117.36</v>
      </c>
      <c r="H1707" s="44"/>
      <c r="I1707" s="45"/>
      <c r="J1707" s="148">
        <v>45</v>
      </c>
      <c r="K1707" s="222" t="s">
        <v>8074</v>
      </c>
    </row>
    <row r="1708" spans="1:11" ht="25.5" hidden="1" x14ac:dyDescent="0.25">
      <c r="A1708" s="203"/>
      <c r="B1708" s="205"/>
      <c r="C1708" s="35" t="s">
        <v>536</v>
      </c>
      <c r="D1708" s="35" t="s">
        <v>143</v>
      </c>
      <c r="E1708" s="36">
        <v>2</v>
      </c>
      <c r="F1708" s="33">
        <v>59.86</v>
      </c>
      <c r="G1708" s="33">
        <f t="shared" si="27"/>
        <v>119.72</v>
      </c>
      <c r="H1708" s="44"/>
      <c r="I1708" s="45"/>
      <c r="J1708" s="148">
        <v>45</v>
      </c>
      <c r="K1708" s="222" t="s">
        <v>8074</v>
      </c>
    </row>
    <row r="1709" spans="1:11" ht="25.5" hidden="1" x14ac:dyDescent="0.25">
      <c r="A1709" s="203"/>
      <c r="B1709" s="205"/>
      <c r="C1709" s="35" t="s">
        <v>531</v>
      </c>
      <c r="D1709" s="35" t="s">
        <v>92</v>
      </c>
      <c r="E1709" s="36">
        <v>1.5</v>
      </c>
      <c r="F1709" s="33">
        <v>8.26</v>
      </c>
      <c r="G1709" s="30">
        <f t="shared" si="27"/>
        <v>12.39</v>
      </c>
      <c r="H1709" s="34"/>
      <c r="I1709" s="30"/>
      <c r="J1709" s="148">
        <v>45</v>
      </c>
      <c r="K1709" s="222" t="s">
        <v>8074</v>
      </c>
    </row>
    <row r="1710" spans="1:11" hidden="1" x14ac:dyDescent="0.25">
      <c r="A1710" s="203"/>
      <c r="B1710" s="205"/>
      <c r="C1710" s="35" t="s">
        <v>532</v>
      </c>
      <c r="D1710" s="35" t="s">
        <v>143</v>
      </c>
      <c r="E1710" s="36">
        <v>1</v>
      </c>
      <c r="F1710" s="33">
        <v>6.23</v>
      </c>
      <c r="G1710" s="30">
        <f t="shared" si="27"/>
        <v>6.23</v>
      </c>
      <c r="H1710" s="34"/>
      <c r="I1710" s="30"/>
      <c r="J1710" s="148">
        <v>45</v>
      </c>
      <c r="K1710" s="222" t="s">
        <v>8074</v>
      </c>
    </row>
    <row r="1711" spans="1:11" hidden="1" x14ac:dyDescent="0.25">
      <c r="A1711" s="203"/>
      <c r="B1711" s="205"/>
      <c r="C1711" s="35" t="s">
        <v>533</v>
      </c>
      <c r="D1711" s="35" t="s">
        <v>143</v>
      </c>
      <c r="E1711" s="36">
        <v>1</v>
      </c>
      <c r="F1711" s="33">
        <v>6.3</v>
      </c>
      <c r="G1711" s="30">
        <f t="shared" si="27"/>
        <v>6.3</v>
      </c>
      <c r="H1711" s="34"/>
      <c r="I1711" s="30"/>
      <c r="J1711" s="148">
        <v>45</v>
      </c>
      <c r="K1711" s="222" t="s">
        <v>8074</v>
      </c>
    </row>
    <row r="1712" spans="1:11" hidden="1" x14ac:dyDescent="0.25">
      <c r="A1712" s="203"/>
      <c r="B1712" s="205"/>
      <c r="C1712" s="35" t="s">
        <v>74</v>
      </c>
      <c r="D1712" s="35" t="s">
        <v>12</v>
      </c>
      <c r="E1712" s="36">
        <v>0.14799999999999999</v>
      </c>
      <c r="F1712" s="30">
        <v>19.4085</v>
      </c>
      <c r="G1712" s="33">
        <f t="shared" si="27"/>
        <v>2.872458</v>
      </c>
      <c r="H1712" s="34"/>
      <c r="I1712" s="30"/>
      <c r="J1712" s="148">
        <v>45</v>
      </c>
      <c r="K1712" s="222" t="s">
        <v>8074</v>
      </c>
    </row>
    <row r="1713" spans="1:11" hidden="1" x14ac:dyDescent="0.25">
      <c r="A1713" s="203"/>
      <c r="B1713" s="205"/>
      <c r="C1713" s="35" t="s">
        <v>30</v>
      </c>
      <c r="D1713" s="35" t="s">
        <v>12</v>
      </c>
      <c r="E1713" s="36">
        <v>0.35510000000000003</v>
      </c>
      <c r="F1713" s="30">
        <v>25.146499999999996</v>
      </c>
      <c r="G1713" s="30">
        <f t="shared" si="27"/>
        <v>8.9295221499999986</v>
      </c>
      <c r="H1713" s="34"/>
      <c r="I1713" s="30"/>
      <c r="J1713" s="148">
        <v>45</v>
      </c>
      <c r="K1713" s="222" t="s">
        <v>8074</v>
      </c>
    </row>
    <row r="1714" spans="1:11" ht="15.75" hidden="1" thickBot="1" x14ac:dyDescent="0.3">
      <c r="A1714" s="209"/>
      <c r="B1714" s="206"/>
      <c r="C1714" s="35"/>
      <c r="D1714" s="35"/>
      <c r="E1714" s="36"/>
      <c r="F1714" s="30" t="s">
        <v>514</v>
      </c>
      <c r="G1714" s="30" t="str">
        <f t="shared" si="27"/>
        <v/>
      </c>
      <c r="H1714" s="34"/>
      <c r="I1714" s="30"/>
      <c r="J1714" s="148">
        <v>45</v>
      </c>
      <c r="K1714" s="222" t="s">
        <v>8074</v>
      </c>
    </row>
    <row r="1715" spans="1:11" ht="15.75" hidden="1" thickBot="1" x14ac:dyDescent="0.3">
      <c r="A1715" s="202" t="s">
        <v>537</v>
      </c>
      <c r="B1715" s="204" t="str">
        <f>INDEX(Orçamentária!A:B,MATCH(Composições!A1715,Orçamentária!A:A,0),2)</f>
        <v>Luminária 2x14 W de sobrepor</v>
      </c>
      <c r="C1715" s="40"/>
      <c r="D1715" s="25" t="str">
        <f>TRIM(INDEX(Orçamentária!C:C,MATCH(Composições!A1715,Orçamentária!A:A,0),1))</f>
        <v>un</v>
      </c>
      <c r="E1715" s="26"/>
      <c r="F1715" s="41" t="s">
        <v>514</v>
      </c>
      <c r="G1715" s="27" t="str">
        <f t="shared" si="27"/>
        <v/>
      </c>
      <c r="H1715" s="28"/>
      <c r="I1715" s="29"/>
      <c r="J1715" s="148">
        <v>20</v>
      </c>
      <c r="K1715" s="222" t="s">
        <v>8074</v>
      </c>
    </row>
    <row r="1716" spans="1:11" hidden="1" x14ac:dyDescent="0.25">
      <c r="A1716" s="203"/>
      <c r="B1716" s="205"/>
      <c r="C1716" s="31"/>
      <c r="D1716" s="31"/>
      <c r="E1716" s="32"/>
      <c r="F1716" s="42" t="s">
        <v>514</v>
      </c>
      <c r="G1716" s="30" t="str">
        <f t="shared" si="27"/>
        <v/>
      </c>
      <c r="H1716" s="34"/>
      <c r="I1716" s="30"/>
      <c r="J1716" s="148">
        <v>20</v>
      </c>
      <c r="K1716" s="222" t="s">
        <v>8074</v>
      </c>
    </row>
    <row r="1717" spans="1:11" ht="25.5" hidden="1" x14ac:dyDescent="0.25">
      <c r="A1717" s="203"/>
      <c r="B1717" s="205"/>
      <c r="C1717" s="35" t="s">
        <v>538</v>
      </c>
      <c r="D1717" s="35" t="s">
        <v>143</v>
      </c>
      <c r="E1717" s="36">
        <v>1</v>
      </c>
      <c r="F1717" s="33">
        <v>133.85</v>
      </c>
      <c r="G1717" s="33">
        <f t="shared" si="27"/>
        <v>133.85</v>
      </c>
      <c r="H1717" s="38">
        <f>SUM(G1717:G1724)</f>
        <v>409.62255754999995</v>
      </c>
      <c r="I1717" s="39"/>
      <c r="J1717" s="148">
        <v>20</v>
      </c>
      <c r="K1717" s="222" t="s">
        <v>8074</v>
      </c>
    </row>
    <row r="1718" spans="1:11" ht="25.5" hidden="1" x14ac:dyDescent="0.25">
      <c r="A1718" s="203"/>
      <c r="B1718" s="205"/>
      <c r="C1718" s="35" t="s">
        <v>6385</v>
      </c>
      <c r="D1718" s="35" t="s">
        <v>143</v>
      </c>
      <c r="E1718" s="36">
        <v>1</v>
      </c>
      <c r="F1718" s="33">
        <v>117.36</v>
      </c>
      <c r="G1718" s="33">
        <f t="shared" si="27"/>
        <v>117.36</v>
      </c>
      <c r="H1718" s="44"/>
      <c r="I1718" s="45"/>
      <c r="J1718" s="148">
        <v>20</v>
      </c>
      <c r="K1718" s="222" t="s">
        <v>8074</v>
      </c>
    </row>
    <row r="1719" spans="1:11" ht="25.5" hidden="1" x14ac:dyDescent="0.25">
      <c r="A1719" s="203"/>
      <c r="B1719" s="205"/>
      <c r="C1719" s="35" t="s">
        <v>536</v>
      </c>
      <c r="D1719" s="35" t="s">
        <v>143</v>
      </c>
      <c r="E1719" s="36">
        <v>2</v>
      </c>
      <c r="F1719" s="33">
        <v>59.86</v>
      </c>
      <c r="G1719" s="33">
        <f t="shared" si="27"/>
        <v>119.72</v>
      </c>
      <c r="H1719" s="44"/>
      <c r="I1719" s="45"/>
      <c r="J1719" s="148">
        <v>20</v>
      </c>
      <c r="K1719" s="222" t="s">
        <v>8074</v>
      </c>
    </row>
    <row r="1720" spans="1:11" ht="25.5" hidden="1" x14ac:dyDescent="0.25">
      <c r="A1720" s="203"/>
      <c r="B1720" s="205"/>
      <c r="C1720" s="35" t="s">
        <v>531</v>
      </c>
      <c r="D1720" s="35" t="s">
        <v>92</v>
      </c>
      <c r="E1720" s="36">
        <v>1.5</v>
      </c>
      <c r="F1720" s="33">
        <v>8.26</v>
      </c>
      <c r="G1720" s="30">
        <f t="shared" si="27"/>
        <v>12.39</v>
      </c>
      <c r="H1720" s="34"/>
      <c r="I1720" s="30"/>
      <c r="J1720" s="148">
        <v>20</v>
      </c>
      <c r="K1720" s="222" t="s">
        <v>8074</v>
      </c>
    </row>
    <row r="1721" spans="1:11" hidden="1" x14ac:dyDescent="0.25">
      <c r="A1721" s="203"/>
      <c r="B1721" s="205"/>
      <c r="C1721" s="35" t="s">
        <v>532</v>
      </c>
      <c r="D1721" s="35" t="s">
        <v>143</v>
      </c>
      <c r="E1721" s="36">
        <v>1</v>
      </c>
      <c r="F1721" s="33">
        <v>6.23</v>
      </c>
      <c r="G1721" s="30">
        <f t="shared" si="27"/>
        <v>6.23</v>
      </c>
      <c r="H1721" s="34"/>
      <c r="I1721" s="30"/>
      <c r="J1721" s="148">
        <v>20</v>
      </c>
      <c r="K1721" s="222" t="s">
        <v>8074</v>
      </c>
    </row>
    <row r="1722" spans="1:11" hidden="1" x14ac:dyDescent="0.25">
      <c r="A1722" s="203"/>
      <c r="B1722" s="205"/>
      <c r="C1722" s="35" t="s">
        <v>533</v>
      </c>
      <c r="D1722" s="35" t="s">
        <v>143</v>
      </c>
      <c r="E1722" s="36">
        <v>1</v>
      </c>
      <c r="F1722" s="33">
        <v>6.3</v>
      </c>
      <c r="G1722" s="30">
        <f t="shared" si="27"/>
        <v>6.3</v>
      </c>
      <c r="H1722" s="34"/>
      <c r="I1722" s="30"/>
      <c r="J1722" s="148">
        <v>20</v>
      </c>
      <c r="K1722" s="222" t="s">
        <v>8074</v>
      </c>
    </row>
    <row r="1723" spans="1:11" hidden="1" x14ac:dyDescent="0.25">
      <c r="A1723" s="203"/>
      <c r="B1723" s="205"/>
      <c r="C1723" s="35" t="s">
        <v>74</v>
      </c>
      <c r="D1723" s="46" t="s">
        <v>12</v>
      </c>
      <c r="E1723" s="36">
        <v>0.17269999999999999</v>
      </c>
      <c r="F1723" s="30">
        <v>19.4085</v>
      </c>
      <c r="G1723" s="30">
        <f t="shared" si="27"/>
        <v>3.3518479499999998</v>
      </c>
      <c r="H1723" s="34"/>
      <c r="I1723" s="30"/>
      <c r="J1723" s="148">
        <v>20</v>
      </c>
      <c r="K1723" s="222" t="s">
        <v>8074</v>
      </c>
    </row>
    <row r="1724" spans="1:11" hidden="1" x14ac:dyDescent="0.25">
      <c r="A1724" s="203"/>
      <c r="B1724" s="205"/>
      <c r="C1724" s="35" t="s">
        <v>30</v>
      </c>
      <c r="D1724" s="35" t="s">
        <v>12</v>
      </c>
      <c r="E1724" s="36">
        <v>0.41439999999999999</v>
      </c>
      <c r="F1724" s="30">
        <v>25.146499999999996</v>
      </c>
      <c r="G1724" s="30">
        <f t="shared" si="27"/>
        <v>10.420709599999999</v>
      </c>
      <c r="H1724" s="34"/>
      <c r="I1724" s="30"/>
      <c r="J1724" s="148">
        <v>20</v>
      </c>
      <c r="K1724" s="222" t="s">
        <v>8074</v>
      </c>
    </row>
    <row r="1725" spans="1:11" ht="15.75" hidden="1" thickBot="1" x14ac:dyDescent="0.3">
      <c r="A1725" s="209"/>
      <c r="B1725" s="206"/>
      <c r="C1725" s="35"/>
      <c r="D1725" s="35"/>
      <c r="E1725" s="36"/>
      <c r="F1725" s="30" t="s">
        <v>514</v>
      </c>
      <c r="G1725" s="30" t="str">
        <f t="shared" si="27"/>
        <v/>
      </c>
      <c r="H1725" s="34"/>
      <c r="I1725" s="30"/>
      <c r="J1725" s="148">
        <v>20</v>
      </c>
      <c r="K1725" s="222" t="s">
        <v>8074</v>
      </c>
    </row>
    <row r="1726" spans="1:11" ht="15.75" hidden="1" thickBot="1" x14ac:dyDescent="0.3">
      <c r="A1726" s="202" t="s">
        <v>539</v>
      </c>
      <c r="B1726" s="204" t="str">
        <f>INDEX(Orçamentária!A:B,MATCH(Composições!A1726,Orçamentária!A:A,0),2)</f>
        <v>Luminária 2x28 W de embutir</v>
      </c>
      <c r="C1726" s="40"/>
      <c r="D1726" s="25" t="str">
        <f>TRIM(INDEX(Orçamentária!C:C,MATCH(Composições!A1726,Orçamentária!A:A,0),1))</f>
        <v>un</v>
      </c>
      <c r="E1726" s="26"/>
      <c r="F1726" s="41" t="s">
        <v>514</v>
      </c>
      <c r="G1726" s="27" t="str">
        <f t="shared" si="27"/>
        <v/>
      </c>
      <c r="H1726" s="28"/>
      <c r="I1726" s="29"/>
      <c r="J1726" s="148">
        <v>450</v>
      </c>
      <c r="K1726" s="222" t="s">
        <v>8074</v>
      </c>
    </row>
    <row r="1727" spans="1:11" hidden="1" x14ac:dyDescent="0.25">
      <c r="A1727" s="203"/>
      <c r="B1727" s="205"/>
      <c r="C1727" s="31"/>
      <c r="D1727" s="31"/>
      <c r="E1727" s="32"/>
      <c r="F1727" s="42" t="s">
        <v>514</v>
      </c>
      <c r="G1727" s="30" t="str">
        <f t="shared" si="27"/>
        <v/>
      </c>
      <c r="H1727" s="34"/>
      <c r="I1727" s="30"/>
      <c r="J1727" s="148">
        <v>450</v>
      </c>
      <c r="K1727" s="222" t="s">
        <v>8074</v>
      </c>
    </row>
    <row r="1728" spans="1:11" ht="25.5" hidden="1" x14ac:dyDescent="0.25">
      <c r="A1728" s="203"/>
      <c r="B1728" s="205"/>
      <c r="C1728" s="35" t="s">
        <v>540</v>
      </c>
      <c r="D1728" s="35" t="s">
        <v>143</v>
      </c>
      <c r="E1728" s="36">
        <v>1</v>
      </c>
      <c r="F1728" s="33">
        <v>185.25</v>
      </c>
      <c r="G1728" s="30">
        <f t="shared" si="27"/>
        <v>185.25</v>
      </c>
      <c r="H1728" s="38">
        <f>SUM(G1728:G1735)</f>
        <v>510.89198014999999</v>
      </c>
      <c r="I1728" s="39"/>
      <c r="J1728" s="148">
        <v>450</v>
      </c>
      <c r="K1728" s="222" t="s">
        <v>8074</v>
      </c>
    </row>
    <row r="1729" spans="1:11" ht="25.5" hidden="1" x14ac:dyDescent="0.25">
      <c r="A1729" s="203"/>
      <c r="B1729" s="205"/>
      <c r="C1729" s="35" t="s">
        <v>6384</v>
      </c>
      <c r="D1729" s="35" t="s">
        <v>143</v>
      </c>
      <c r="E1729" s="36">
        <v>1</v>
      </c>
      <c r="F1729" s="33">
        <v>127.16</v>
      </c>
      <c r="G1729" s="30">
        <f t="shared" si="27"/>
        <v>127.16</v>
      </c>
      <c r="H1729" s="44"/>
      <c r="I1729" s="45"/>
      <c r="J1729" s="148">
        <v>450</v>
      </c>
      <c r="K1729" s="222" t="s">
        <v>8074</v>
      </c>
    </row>
    <row r="1730" spans="1:11" ht="25.5" hidden="1" x14ac:dyDescent="0.25">
      <c r="A1730" s="203"/>
      <c r="B1730" s="205"/>
      <c r="C1730" s="35" t="s">
        <v>541</v>
      </c>
      <c r="D1730" s="35" t="s">
        <v>143</v>
      </c>
      <c r="E1730" s="36">
        <v>2</v>
      </c>
      <c r="F1730" s="33">
        <v>80.88</v>
      </c>
      <c r="G1730" s="30">
        <f t="shared" si="27"/>
        <v>161.76</v>
      </c>
      <c r="H1730" s="44"/>
      <c r="I1730" s="45"/>
      <c r="J1730" s="148">
        <v>450</v>
      </c>
      <c r="K1730" s="222" t="s">
        <v>8074</v>
      </c>
    </row>
    <row r="1731" spans="1:11" ht="25.5" hidden="1" x14ac:dyDescent="0.25">
      <c r="A1731" s="203"/>
      <c r="B1731" s="205"/>
      <c r="C1731" s="35" t="s">
        <v>531</v>
      </c>
      <c r="D1731" s="35" t="s">
        <v>92</v>
      </c>
      <c r="E1731" s="36">
        <v>1.5</v>
      </c>
      <c r="F1731" s="33">
        <v>8.26</v>
      </c>
      <c r="G1731" s="30">
        <f t="shared" si="27"/>
        <v>12.39</v>
      </c>
      <c r="H1731" s="34"/>
      <c r="I1731" s="30"/>
      <c r="J1731" s="148">
        <v>450</v>
      </c>
      <c r="K1731" s="222" t="s">
        <v>8074</v>
      </c>
    </row>
    <row r="1732" spans="1:11" hidden="1" x14ac:dyDescent="0.25">
      <c r="A1732" s="203"/>
      <c r="B1732" s="205"/>
      <c r="C1732" s="35" t="s">
        <v>532</v>
      </c>
      <c r="D1732" s="35" t="s">
        <v>143</v>
      </c>
      <c r="E1732" s="36">
        <v>1</v>
      </c>
      <c r="F1732" s="33">
        <v>6.23</v>
      </c>
      <c r="G1732" s="30">
        <f t="shared" si="27"/>
        <v>6.23</v>
      </c>
      <c r="H1732" s="34"/>
      <c r="I1732" s="30"/>
      <c r="J1732" s="148">
        <v>450</v>
      </c>
      <c r="K1732" s="222" t="s">
        <v>8074</v>
      </c>
    </row>
    <row r="1733" spans="1:11" hidden="1" x14ac:dyDescent="0.25">
      <c r="A1733" s="203"/>
      <c r="B1733" s="205"/>
      <c r="C1733" s="35" t="s">
        <v>533</v>
      </c>
      <c r="D1733" s="35" t="s">
        <v>143</v>
      </c>
      <c r="E1733" s="36">
        <v>1</v>
      </c>
      <c r="F1733" s="33">
        <v>6.3</v>
      </c>
      <c r="G1733" s="30">
        <f t="shared" si="27"/>
        <v>6.3</v>
      </c>
      <c r="H1733" s="34"/>
      <c r="I1733" s="30"/>
      <c r="J1733" s="148">
        <v>450</v>
      </c>
      <c r="K1733" s="222" t="s">
        <v>8074</v>
      </c>
    </row>
    <row r="1734" spans="1:11" hidden="1" x14ac:dyDescent="0.25">
      <c r="A1734" s="203"/>
      <c r="B1734" s="205"/>
      <c r="C1734" s="35" t="s">
        <v>74</v>
      </c>
      <c r="D1734" s="35" t="s">
        <v>12</v>
      </c>
      <c r="E1734" s="36">
        <v>0.14799999999999999</v>
      </c>
      <c r="F1734" s="30">
        <v>19.4085</v>
      </c>
      <c r="G1734" s="33">
        <f t="shared" si="27"/>
        <v>2.872458</v>
      </c>
      <c r="H1734" s="34"/>
      <c r="I1734" s="30"/>
      <c r="J1734" s="148">
        <v>450</v>
      </c>
      <c r="K1734" s="222" t="s">
        <v>8074</v>
      </c>
    </row>
    <row r="1735" spans="1:11" hidden="1" x14ac:dyDescent="0.25">
      <c r="A1735" s="203"/>
      <c r="B1735" s="205"/>
      <c r="C1735" s="35" t="s">
        <v>30</v>
      </c>
      <c r="D1735" s="35" t="s">
        <v>12</v>
      </c>
      <c r="E1735" s="36">
        <v>0.35510000000000003</v>
      </c>
      <c r="F1735" s="30">
        <v>25.146499999999996</v>
      </c>
      <c r="G1735" s="30">
        <f t="shared" si="27"/>
        <v>8.9295221499999986</v>
      </c>
      <c r="H1735" s="34"/>
      <c r="I1735" s="30"/>
      <c r="J1735" s="148">
        <v>450</v>
      </c>
      <c r="K1735" s="222" t="s">
        <v>8074</v>
      </c>
    </row>
    <row r="1736" spans="1:11" ht="15.75" hidden="1" thickBot="1" x14ac:dyDescent="0.3">
      <c r="A1736" s="209"/>
      <c r="B1736" s="206"/>
      <c r="C1736" s="35"/>
      <c r="D1736" s="35"/>
      <c r="E1736" s="36"/>
      <c r="F1736" s="30" t="s">
        <v>514</v>
      </c>
      <c r="G1736" s="30" t="str">
        <f t="shared" si="27"/>
        <v/>
      </c>
      <c r="H1736" s="34"/>
      <c r="I1736" s="30"/>
      <c r="J1736" s="148">
        <v>450</v>
      </c>
      <c r="K1736" s="222" t="s">
        <v>8074</v>
      </c>
    </row>
    <row r="1737" spans="1:11" ht="15.75" hidden="1" thickBot="1" x14ac:dyDescent="0.3">
      <c r="A1737" s="202" t="s">
        <v>542</v>
      </c>
      <c r="B1737" s="204" t="str">
        <f>INDEX(Orçamentária!A:B,MATCH(Composições!A1737,Orçamentária!A:A,0),2)</f>
        <v>Luminária 2x28 W de sobrepor</v>
      </c>
      <c r="C1737" s="40"/>
      <c r="D1737" s="25" t="str">
        <f>TRIM(INDEX(Orçamentária!C:C,MATCH(Composições!A1737,Orçamentária!A:A,0),1))</f>
        <v>un</v>
      </c>
      <c r="E1737" s="26"/>
      <c r="F1737" s="41" t="s">
        <v>514</v>
      </c>
      <c r="G1737" s="27" t="str">
        <f t="shared" si="27"/>
        <v/>
      </c>
      <c r="H1737" s="28"/>
      <c r="I1737" s="29"/>
      <c r="J1737" s="148">
        <v>75</v>
      </c>
      <c r="K1737" s="222" t="s">
        <v>8074</v>
      </c>
    </row>
    <row r="1738" spans="1:11" hidden="1" x14ac:dyDescent="0.25">
      <c r="A1738" s="203"/>
      <c r="B1738" s="205"/>
      <c r="C1738" s="31"/>
      <c r="D1738" s="31"/>
      <c r="E1738" s="32"/>
      <c r="F1738" s="42" t="s">
        <v>514</v>
      </c>
      <c r="G1738" s="30" t="str">
        <f t="shared" si="27"/>
        <v/>
      </c>
      <c r="H1738" s="34"/>
      <c r="I1738" s="30"/>
      <c r="J1738" s="148">
        <v>75</v>
      </c>
      <c r="K1738" s="222" t="s">
        <v>8074</v>
      </c>
    </row>
    <row r="1739" spans="1:11" ht="25.5" hidden="1" x14ac:dyDescent="0.25">
      <c r="A1739" s="203"/>
      <c r="B1739" s="205"/>
      <c r="C1739" s="35" t="s">
        <v>543</v>
      </c>
      <c r="D1739" s="35" t="s">
        <v>143</v>
      </c>
      <c r="E1739" s="36">
        <v>1</v>
      </c>
      <c r="F1739" s="33">
        <v>129.93</v>
      </c>
      <c r="G1739" s="30">
        <f t="shared" si="27"/>
        <v>129.93</v>
      </c>
      <c r="H1739" s="38">
        <f>SUM(G1739:G1746)</f>
        <v>457.54255755000003</v>
      </c>
      <c r="I1739" s="39"/>
      <c r="J1739" s="148">
        <v>75</v>
      </c>
      <c r="K1739" s="222" t="s">
        <v>8074</v>
      </c>
    </row>
    <row r="1740" spans="1:11" ht="25.5" hidden="1" x14ac:dyDescent="0.25">
      <c r="A1740" s="203"/>
      <c r="B1740" s="205"/>
      <c r="C1740" s="35" t="s">
        <v>6384</v>
      </c>
      <c r="D1740" s="35" t="s">
        <v>143</v>
      </c>
      <c r="E1740" s="36">
        <v>1</v>
      </c>
      <c r="F1740" s="33">
        <v>127.16</v>
      </c>
      <c r="G1740" s="30">
        <f t="shared" si="27"/>
        <v>127.16</v>
      </c>
      <c r="H1740" s="44"/>
      <c r="I1740" s="45"/>
      <c r="J1740" s="148">
        <v>75</v>
      </c>
      <c r="K1740" s="222" t="s">
        <v>8074</v>
      </c>
    </row>
    <row r="1741" spans="1:11" ht="25.5" hidden="1" x14ac:dyDescent="0.25">
      <c r="A1741" s="203"/>
      <c r="B1741" s="205"/>
      <c r="C1741" s="35" t="s">
        <v>541</v>
      </c>
      <c r="D1741" s="35" t="s">
        <v>143</v>
      </c>
      <c r="E1741" s="36">
        <v>2</v>
      </c>
      <c r="F1741" s="33">
        <v>80.88</v>
      </c>
      <c r="G1741" s="30">
        <f t="shared" si="27"/>
        <v>161.76</v>
      </c>
      <c r="H1741" s="44"/>
      <c r="I1741" s="45"/>
      <c r="J1741" s="148">
        <v>75</v>
      </c>
      <c r="K1741" s="222" t="s">
        <v>8074</v>
      </c>
    </row>
    <row r="1742" spans="1:11" ht="25.5" hidden="1" x14ac:dyDescent="0.25">
      <c r="A1742" s="203"/>
      <c r="B1742" s="205"/>
      <c r="C1742" s="35" t="s">
        <v>531</v>
      </c>
      <c r="D1742" s="35" t="s">
        <v>92</v>
      </c>
      <c r="E1742" s="36">
        <v>1.5</v>
      </c>
      <c r="F1742" s="33">
        <v>8.26</v>
      </c>
      <c r="G1742" s="30">
        <f t="shared" si="27"/>
        <v>12.39</v>
      </c>
      <c r="H1742" s="34"/>
      <c r="I1742" s="30"/>
      <c r="J1742" s="148">
        <v>75</v>
      </c>
      <c r="K1742" s="222" t="s">
        <v>8074</v>
      </c>
    </row>
    <row r="1743" spans="1:11" hidden="1" x14ac:dyDescent="0.25">
      <c r="A1743" s="203"/>
      <c r="B1743" s="205"/>
      <c r="C1743" s="35" t="s">
        <v>532</v>
      </c>
      <c r="D1743" s="35" t="s">
        <v>143</v>
      </c>
      <c r="E1743" s="36">
        <v>1</v>
      </c>
      <c r="F1743" s="33">
        <v>6.23</v>
      </c>
      <c r="G1743" s="30">
        <f t="shared" si="27"/>
        <v>6.23</v>
      </c>
      <c r="H1743" s="34"/>
      <c r="I1743" s="30"/>
      <c r="J1743" s="148">
        <v>75</v>
      </c>
      <c r="K1743" s="222" t="s">
        <v>8074</v>
      </c>
    </row>
    <row r="1744" spans="1:11" hidden="1" x14ac:dyDescent="0.25">
      <c r="A1744" s="203"/>
      <c r="B1744" s="205"/>
      <c r="C1744" s="35" t="s">
        <v>533</v>
      </c>
      <c r="D1744" s="35" t="s">
        <v>143</v>
      </c>
      <c r="E1744" s="36">
        <v>1</v>
      </c>
      <c r="F1744" s="33">
        <v>6.3</v>
      </c>
      <c r="G1744" s="30">
        <f t="shared" si="27"/>
        <v>6.3</v>
      </c>
      <c r="H1744" s="34"/>
      <c r="I1744" s="30"/>
      <c r="J1744" s="148">
        <v>75</v>
      </c>
      <c r="K1744" s="222" t="s">
        <v>8074</v>
      </c>
    </row>
    <row r="1745" spans="1:11" hidden="1" x14ac:dyDescent="0.25">
      <c r="A1745" s="203"/>
      <c r="B1745" s="205"/>
      <c r="C1745" s="35" t="s">
        <v>74</v>
      </c>
      <c r="D1745" s="35" t="s">
        <v>12</v>
      </c>
      <c r="E1745" s="36">
        <v>0.17269999999999999</v>
      </c>
      <c r="F1745" s="30">
        <v>19.4085</v>
      </c>
      <c r="G1745" s="30">
        <f t="shared" si="27"/>
        <v>3.3518479499999998</v>
      </c>
      <c r="H1745" s="34"/>
      <c r="I1745" s="30"/>
      <c r="J1745" s="148">
        <v>75</v>
      </c>
      <c r="K1745" s="222" t="s">
        <v>8074</v>
      </c>
    </row>
    <row r="1746" spans="1:11" hidden="1" x14ac:dyDescent="0.25">
      <c r="A1746" s="203"/>
      <c r="B1746" s="205"/>
      <c r="C1746" s="35" t="s">
        <v>30</v>
      </c>
      <c r="D1746" s="35" t="s">
        <v>12</v>
      </c>
      <c r="E1746" s="36">
        <v>0.41439999999999999</v>
      </c>
      <c r="F1746" s="30">
        <v>25.146499999999996</v>
      </c>
      <c r="G1746" s="30">
        <f t="shared" si="27"/>
        <v>10.420709599999999</v>
      </c>
      <c r="H1746" s="34"/>
      <c r="I1746" s="30"/>
      <c r="J1746" s="148">
        <v>75</v>
      </c>
      <c r="K1746" s="222" t="s">
        <v>8074</v>
      </c>
    </row>
    <row r="1747" spans="1:11" ht="15.75" hidden="1" thickBot="1" x14ac:dyDescent="0.3">
      <c r="A1747" s="209"/>
      <c r="B1747" s="206"/>
      <c r="C1747" s="35"/>
      <c r="D1747" s="35"/>
      <c r="E1747" s="36"/>
      <c r="F1747" s="30" t="s">
        <v>514</v>
      </c>
      <c r="G1747" s="30" t="str">
        <f t="shared" ref="G1747:G1810" si="28">IF(ISNUMBER(F1747),E1747*F1747,"")</f>
        <v/>
      </c>
      <c r="H1747" s="34"/>
      <c r="I1747" s="30"/>
      <c r="J1747" s="148">
        <v>75</v>
      </c>
      <c r="K1747" s="222" t="s">
        <v>8074</v>
      </c>
    </row>
    <row r="1748" spans="1:11" ht="15.75" hidden="1" thickBot="1" x14ac:dyDescent="0.3">
      <c r="A1748" s="202" t="s">
        <v>544</v>
      </c>
      <c r="B1748" s="204" t="str">
        <f>INDEX(Orçamentária!A:B,MATCH(Composições!A1748,Orçamentária!A:A,0),2)</f>
        <v>Condutor 10 mm²</v>
      </c>
      <c r="C1748" s="40"/>
      <c r="D1748" s="25" t="str">
        <f>TRIM(INDEX(Orçamentária!C:C,MATCH(Composições!A1748,Orçamentária!A:A,0),1))</f>
        <v>m</v>
      </c>
      <c r="E1748" s="26"/>
      <c r="F1748" s="41" t="s">
        <v>514</v>
      </c>
      <c r="G1748" s="27" t="str">
        <f t="shared" si="28"/>
        <v/>
      </c>
      <c r="H1748" s="28"/>
      <c r="I1748" s="29"/>
      <c r="J1748" s="148">
        <v>1500</v>
      </c>
      <c r="K1748" s="222" t="s">
        <v>8074</v>
      </c>
    </row>
    <row r="1749" spans="1:11" hidden="1" x14ac:dyDescent="0.25">
      <c r="A1749" s="203"/>
      <c r="B1749" s="205"/>
      <c r="C1749" s="31"/>
      <c r="D1749" s="31"/>
      <c r="E1749" s="32"/>
      <c r="F1749" s="42" t="s">
        <v>514</v>
      </c>
      <c r="G1749" s="30" t="str">
        <f t="shared" si="28"/>
        <v/>
      </c>
      <c r="H1749" s="34"/>
      <c r="I1749" s="30"/>
      <c r="J1749" s="148">
        <v>1500</v>
      </c>
      <c r="K1749" s="222" t="s">
        <v>8074</v>
      </c>
    </row>
    <row r="1750" spans="1:11" hidden="1" x14ac:dyDescent="0.25">
      <c r="A1750" s="203"/>
      <c r="B1750" s="205"/>
      <c r="C1750" s="35" t="s">
        <v>74</v>
      </c>
      <c r="D1750" s="35" t="s">
        <v>12</v>
      </c>
      <c r="E1750" s="36">
        <v>8.9999999999999993E-3</v>
      </c>
      <c r="F1750" s="30">
        <v>19.4085</v>
      </c>
      <c r="G1750" s="33">
        <f t="shared" si="28"/>
        <v>0.17467649999999998</v>
      </c>
      <c r="H1750" s="38">
        <f>SUM(G1750:G1753)</f>
        <v>15.751693499999996</v>
      </c>
      <c r="I1750" s="39"/>
      <c r="J1750" s="148">
        <v>1500</v>
      </c>
      <c r="K1750" s="222" t="s">
        <v>8074</v>
      </c>
    </row>
    <row r="1751" spans="1:11" hidden="1" x14ac:dyDescent="0.25">
      <c r="A1751" s="203"/>
      <c r="B1751" s="205"/>
      <c r="C1751" s="35" t="s">
        <v>30</v>
      </c>
      <c r="D1751" s="35" t="s">
        <v>12</v>
      </c>
      <c r="E1751" s="36">
        <v>8.9999999999999993E-3</v>
      </c>
      <c r="F1751" s="30">
        <v>25.146499999999996</v>
      </c>
      <c r="G1751" s="33">
        <f t="shared" si="28"/>
        <v>0.22631849999999995</v>
      </c>
      <c r="H1751" s="34"/>
      <c r="I1751" s="30"/>
      <c r="J1751" s="148">
        <v>1500</v>
      </c>
      <c r="K1751" s="222" t="s">
        <v>8074</v>
      </c>
    </row>
    <row r="1752" spans="1:11" hidden="1" x14ac:dyDescent="0.25">
      <c r="A1752" s="203"/>
      <c r="B1752" s="205"/>
      <c r="C1752" s="35" t="s">
        <v>545</v>
      </c>
      <c r="D1752" s="35" t="s">
        <v>92</v>
      </c>
      <c r="E1752" s="36">
        <v>1.0269999999999999</v>
      </c>
      <c r="F1752" s="33">
        <v>14.905499999999998</v>
      </c>
      <c r="G1752" s="33">
        <f t="shared" si="28"/>
        <v>15.307948499999997</v>
      </c>
      <c r="H1752" s="34"/>
      <c r="I1752" s="30"/>
      <c r="J1752" s="148">
        <v>1500</v>
      </c>
      <c r="K1752" s="222" t="s">
        <v>8074</v>
      </c>
    </row>
    <row r="1753" spans="1:11" hidden="1" x14ac:dyDescent="0.25">
      <c r="A1753" s="203"/>
      <c r="B1753" s="205"/>
      <c r="C1753" s="35" t="s">
        <v>546</v>
      </c>
      <c r="D1753" s="35" t="s">
        <v>20</v>
      </c>
      <c r="E1753" s="36">
        <v>0.01</v>
      </c>
      <c r="F1753" s="33">
        <v>4.2749999999999995</v>
      </c>
      <c r="G1753" s="33">
        <f t="shared" si="28"/>
        <v>4.2749999999999996E-2</v>
      </c>
      <c r="H1753" s="34"/>
      <c r="I1753" s="30"/>
      <c r="J1753" s="148">
        <v>1500</v>
      </c>
      <c r="K1753" s="222" t="s">
        <v>8074</v>
      </c>
    </row>
    <row r="1754" spans="1:11" ht="15.75" hidden="1" thickBot="1" x14ac:dyDescent="0.3">
      <c r="A1754" s="209"/>
      <c r="B1754" s="206"/>
      <c r="C1754" s="35"/>
      <c r="D1754" s="35"/>
      <c r="E1754" s="36"/>
      <c r="F1754" s="30" t="s">
        <v>514</v>
      </c>
      <c r="G1754" s="30" t="str">
        <f t="shared" si="28"/>
        <v/>
      </c>
      <c r="H1754" s="34"/>
      <c r="I1754" s="30"/>
      <c r="J1754" s="148">
        <v>1500</v>
      </c>
      <c r="K1754" s="222" t="s">
        <v>8074</v>
      </c>
    </row>
    <row r="1755" spans="1:11" ht="15.75" hidden="1" thickBot="1" x14ac:dyDescent="0.3">
      <c r="A1755" s="202" t="s">
        <v>547</v>
      </c>
      <c r="B1755" s="204" t="str">
        <f>INDEX(Orçamentária!A:B,MATCH(Composições!A1755,Orçamentária!A:A,0),2)</f>
        <v>Condutor 16 mm²</v>
      </c>
      <c r="C1755" s="40"/>
      <c r="D1755" s="25" t="str">
        <f>TRIM(INDEX(Orçamentária!C:C,MATCH(Composições!A1755,Orçamentária!A:A,0),1))</f>
        <v>m</v>
      </c>
      <c r="E1755" s="26"/>
      <c r="F1755" s="41" t="s">
        <v>514</v>
      </c>
      <c r="G1755" s="27" t="str">
        <f t="shared" si="28"/>
        <v/>
      </c>
      <c r="H1755" s="28"/>
      <c r="I1755" s="29"/>
      <c r="J1755" s="148">
        <v>1720</v>
      </c>
      <c r="K1755" s="222" t="s">
        <v>8074</v>
      </c>
    </row>
    <row r="1756" spans="1:11" hidden="1" x14ac:dyDescent="0.25">
      <c r="A1756" s="203"/>
      <c r="B1756" s="205"/>
      <c r="C1756" s="31"/>
      <c r="D1756" s="31"/>
      <c r="E1756" s="32"/>
      <c r="F1756" s="42" t="s">
        <v>514</v>
      </c>
      <c r="G1756" s="30" t="str">
        <f t="shared" si="28"/>
        <v/>
      </c>
      <c r="H1756" s="34"/>
      <c r="I1756" s="30"/>
      <c r="J1756" s="148">
        <v>1720</v>
      </c>
      <c r="K1756" s="222" t="s">
        <v>8074</v>
      </c>
    </row>
    <row r="1757" spans="1:11" hidden="1" x14ac:dyDescent="0.25">
      <c r="A1757" s="203"/>
      <c r="B1757" s="205"/>
      <c r="C1757" s="35" t="s">
        <v>74</v>
      </c>
      <c r="D1757" s="35" t="s">
        <v>12</v>
      </c>
      <c r="E1757" s="36">
        <v>1.2999999999999999E-2</v>
      </c>
      <c r="F1757" s="30">
        <v>19.4085</v>
      </c>
      <c r="G1757" s="33">
        <f t="shared" si="28"/>
        <v>0.25231049999999999</v>
      </c>
      <c r="H1757" s="38">
        <f>SUM(G1757:G1760)</f>
        <v>23.393636000000001</v>
      </c>
      <c r="I1757" s="39"/>
      <c r="J1757" s="148">
        <v>1720</v>
      </c>
      <c r="K1757" s="222" t="s">
        <v>8074</v>
      </c>
    </row>
    <row r="1758" spans="1:11" hidden="1" x14ac:dyDescent="0.25">
      <c r="A1758" s="203"/>
      <c r="B1758" s="205"/>
      <c r="C1758" s="35" t="s">
        <v>30</v>
      </c>
      <c r="D1758" s="35" t="s">
        <v>12</v>
      </c>
      <c r="E1758" s="36">
        <v>1.2999999999999999E-2</v>
      </c>
      <c r="F1758" s="30">
        <v>25.146499999999996</v>
      </c>
      <c r="G1758" s="33">
        <f t="shared" si="28"/>
        <v>0.32690449999999993</v>
      </c>
      <c r="H1758" s="34"/>
      <c r="I1758" s="30"/>
      <c r="J1758" s="148">
        <v>1720</v>
      </c>
      <c r="K1758" s="222" t="s">
        <v>8074</v>
      </c>
    </row>
    <row r="1759" spans="1:11" hidden="1" x14ac:dyDescent="0.25">
      <c r="A1759" s="203"/>
      <c r="B1759" s="205"/>
      <c r="C1759" s="35" t="s">
        <v>548</v>
      </c>
      <c r="D1759" s="35" t="s">
        <v>92</v>
      </c>
      <c r="E1759" s="36">
        <v>1.0269999999999999</v>
      </c>
      <c r="F1759" s="33">
        <v>22.172999999999998</v>
      </c>
      <c r="G1759" s="33">
        <f t="shared" si="28"/>
        <v>22.771670999999998</v>
      </c>
      <c r="H1759" s="34"/>
      <c r="I1759" s="30"/>
      <c r="J1759" s="148">
        <v>1720</v>
      </c>
      <c r="K1759" s="222" t="s">
        <v>8074</v>
      </c>
    </row>
    <row r="1760" spans="1:11" hidden="1" x14ac:dyDescent="0.25">
      <c r="A1760" s="203"/>
      <c r="B1760" s="205"/>
      <c r="C1760" s="35" t="s">
        <v>546</v>
      </c>
      <c r="D1760" s="35" t="s">
        <v>20</v>
      </c>
      <c r="E1760" s="36">
        <v>0.01</v>
      </c>
      <c r="F1760" s="33">
        <v>4.2749999999999995</v>
      </c>
      <c r="G1760" s="33">
        <f t="shared" si="28"/>
        <v>4.2749999999999996E-2</v>
      </c>
      <c r="H1760" s="34"/>
      <c r="I1760" s="30"/>
      <c r="J1760" s="148">
        <v>1720</v>
      </c>
      <c r="K1760" s="222" t="s">
        <v>8074</v>
      </c>
    </row>
    <row r="1761" spans="1:11" ht="15.75" hidden="1" thickBot="1" x14ac:dyDescent="0.3">
      <c r="A1761" s="209"/>
      <c r="B1761" s="206"/>
      <c r="C1761" s="35"/>
      <c r="D1761" s="35"/>
      <c r="E1761" s="36"/>
      <c r="F1761" s="30" t="s">
        <v>514</v>
      </c>
      <c r="G1761" s="30" t="str">
        <f t="shared" si="28"/>
        <v/>
      </c>
      <c r="H1761" s="34"/>
      <c r="I1761" s="30"/>
      <c r="J1761" s="148">
        <v>1720</v>
      </c>
      <c r="K1761" s="222" t="s">
        <v>8074</v>
      </c>
    </row>
    <row r="1762" spans="1:11" ht="15.75" hidden="1" thickBot="1" x14ac:dyDescent="0.3">
      <c r="A1762" s="202" t="s">
        <v>549</v>
      </c>
      <c r="B1762" s="204" t="str">
        <f>INDEX(Orçamentária!A:B,MATCH(Composições!A1762,Orçamentária!A:A,0),2)</f>
        <v>Condutor 2,5 mm²</v>
      </c>
      <c r="C1762" s="40"/>
      <c r="D1762" s="25" t="str">
        <f>TRIM(INDEX(Orçamentária!C:C,MATCH(Composições!A1762,Orçamentária!A:A,0),1))</f>
        <v>m</v>
      </c>
      <c r="E1762" s="26"/>
      <c r="F1762" s="41" t="s">
        <v>514</v>
      </c>
      <c r="G1762" s="27" t="str">
        <f t="shared" si="28"/>
        <v/>
      </c>
      <c r="H1762" s="28"/>
      <c r="I1762" s="29"/>
      <c r="J1762" s="148">
        <v>22800</v>
      </c>
      <c r="K1762" s="222" t="s">
        <v>8074</v>
      </c>
    </row>
    <row r="1763" spans="1:11" hidden="1" x14ac:dyDescent="0.25">
      <c r="A1763" s="203"/>
      <c r="B1763" s="205"/>
      <c r="C1763" s="31"/>
      <c r="D1763" s="31"/>
      <c r="E1763" s="32"/>
      <c r="F1763" s="42" t="s">
        <v>514</v>
      </c>
      <c r="G1763" s="30" t="str">
        <f t="shared" si="28"/>
        <v/>
      </c>
      <c r="H1763" s="34"/>
      <c r="I1763" s="30"/>
      <c r="J1763" s="148">
        <v>22800</v>
      </c>
      <c r="K1763" s="222" t="s">
        <v>8074</v>
      </c>
    </row>
    <row r="1764" spans="1:11" hidden="1" x14ac:dyDescent="0.25">
      <c r="A1764" s="203"/>
      <c r="B1764" s="205"/>
      <c r="C1764" s="35" t="s">
        <v>74</v>
      </c>
      <c r="D1764" s="35" t="s">
        <v>12</v>
      </c>
      <c r="E1764" s="36">
        <v>0.03</v>
      </c>
      <c r="F1764" s="30">
        <v>19.4085</v>
      </c>
      <c r="G1764" s="33">
        <f t="shared" si="28"/>
        <v>0.58225499999999997</v>
      </c>
      <c r="H1764" s="38">
        <f>SUM(G1764:G1767)</f>
        <v>4.5643250000000002</v>
      </c>
      <c r="I1764" s="39"/>
      <c r="J1764" s="148">
        <v>22800</v>
      </c>
      <c r="K1764" s="222" t="s">
        <v>8074</v>
      </c>
    </row>
    <row r="1765" spans="1:11" hidden="1" x14ac:dyDescent="0.25">
      <c r="A1765" s="203"/>
      <c r="B1765" s="205"/>
      <c r="C1765" s="35" t="s">
        <v>30</v>
      </c>
      <c r="D1765" s="35" t="s">
        <v>12</v>
      </c>
      <c r="E1765" s="36">
        <v>0.03</v>
      </c>
      <c r="F1765" s="30">
        <v>25.146499999999996</v>
      </c>
      <c r="G1765" s="33">
        <f t="shared" si="28"/>
        <v>0.75439499999999982</v>
      </c>
      <c r="H1765" s="34"/>
      <c r="I1765" s="30"/>
      <c r="J1765" s="148">
        <v>22800</v>
      </c>
      <c r="K1765" s="222" t="s">
        <v>8074</v>
      </c>
    </row>
    <row r="1766" spans="1:11" ht="25.5" hidden="1" x14ac:dyDescent="0.25">
      <c r="A1766" s="203"/>
      <c r="B1766" s="205"/>
      <c r="C1766" s="35" t="s">
        <v>550</v>
      </c>
      <c r="D1766" s="35" t="s">
        <v>92</v>
      </c>
      <c r="E1766" s="36">
        <v>1.19</v>
      </c>
      <c r="F1766" s="33">
        <v>2.68</v>
      </c>
      <c r="G1766" s="33">
        <f t="shared" si="28"/>
        <v>3.1892</v>
      </c>
      <c r="H1766" s="34"/>
      <c r="I1766" s="30"/>
      <c r="J1766" s="148">
        <v>22800</v>
      </c>
      <c r="K1766" s="222" t="s">
        <v>8074</v>
      </c>
    </row>
    <row r="1767" spans="1:11" hidden="1" x14ac:dyDescent="0.25">
      <c r="A1767" s="203"/>
      <c r="B1767" s="205"/>
      <c r="C1767" s="35" t="s">
        <v>546</v>
      </c>
      <c r="D1767" s="35" t="s">
        <v>20</v>
      </c>
      <c r="E1767" s="36">
        <v>8.9999999999999993E-3</v>
      </c>
      <c r="F1767" s="33">
        <v>4.2749999999999995</v>
      </c>
      <c r="G1767" s="33">
        <f t="shared" si="28"/>
        <v>3.8474999999999995E-2</v>
      </c>
      <c r="H1767" s="34"/>
      <c r="I1767" s="30"/>
      <c r="J1767" s="148">
        <v>22800</v>
      </c>
      <c r="K1767" s="222" t="s">
        <v>8074</v>
      </c>
    </row>
    <row r="1768" spans="1:11" ht="15.75" hidden="1" thickBot="1" x14ac:dyDescent="0.3">
      <c r="A1768" s="209"/>
      <c r="B1768" s="206"/>
      <c r="C1768" s="35"/>
      <c r="D1768" s="35"/>
      <c r="E1768" s="36"/>
      <c r="F1768" s="30" t="s">
        <v>514</v>
      </c>
      <c r="G1768" s="30" t="str">
        <f t="shared" si="28"/>
        <v/>
      </c>
      <c r="H1768" s="34"/>
      <c r="I1768" s="30"/>
      <c r="J1768" s="148">
        <v>22800</v>
      </c>
      <c r="K1768" s="222" t="s">
        <v>8074</v>
      </c>
    </row>
    <row r="1769" spans="1:11" ht="15.75" hidden="1" thickBot="1" x14ac:dyDescent="0.3">
      <c r="A1769" s="202" t="s">
        <v>551</v>
      </c>
      <c r="B1769" s="204" t="str">
        <f>INDEX(Orçamentária!A:B,MATCH(Composições!A1769,Orçamentária!A:A,0),2)</f>
        <v>Condutor 3x2,5 mm²</v>
      </c>
      <c r="C1769" s="40"/>
      <c r="D1769" s="25" t="str">
        <f>TRIM(INDEX(Orçamentária!C:C,MATCH(Composições!A1769,Orçamentária!A:A,0),1))</f>
        <v>m</v>
      </c>
      <c r="E1769" s="26"/>
      <c r="F1769" s="41" t="s">
        <v>514</v>
      </c>
      <c r="G1769" s="27" t="str">
        <f t="shared" si="28"/>
        <v/>
      </c>
      <c r="H1769" s="28"/>
      <c r="I1769" s="29"/>
      <c r="J1769" s="148">
        <v>4000</v>
      </c>
      <c r="K1769" s="222" t="s">
        <v>8074</v>
      </c>
    </row>
    <row r="1770" spans="1:11" hidden="1" x14ac:dyDescent="0.25">
      <c r="A1770" s="203"/>
      <c r="B1770" s="205"/>
      <c r="C1770" s="31"/>
      <c r="D1770" s="31"/>
      <c r="E1770" s="32"/>
      <c r="F1770" s="42" t="s">
        <v>514</v>
      </c>
      <c r="G1770" s="30" t="str">
        <f t="shared" si="28"/>
        <v/>
      </c>
      <c r="H1770" s="34"/>
      <c r="I1770" s="30"/>
      <c r="J1770" s="148">
        <v>4000</v>
      </c>
      <c r="K1770" s="222" t="s">
        <v>8074</v>
      </c>
    </row>
    <row r="1771" spans="1:11" hidden="1" x14ac:dyDescent="0.25">
      <c r="A1771" s="203"/>
      <c r="B1771" s="205"/>
      <c r="C1771" s="35" t="s">
        <v>74</v>
      </c>
      <c r="D1771" s="35" t="s">
        <v>12</v>
      </c>
      <c r="E1771" s="36">
        <v>5.1999999999999998E-2</v>
      </c>
      <c r="F1771" s="30">
        <v>19.4085</v>
      </c>
      <c r="G1771" s="33">
        <f t="shared" si="28"/>
        <v>1.009242</v>
      </c>
      <c r="H1771" s="38">
        <f>SUM(G1771:G1774)</f>
        <v>11.649234999999999</v>
      </c>
      <c r="I1771" s="39"/>
      <c r="J1771" s="148">
        <v>4000</v>
      </c>
      <c r="K1771" s="222" t="s">
        <v>8074</v>
      </c>
    </row>
    <row r="1772" spans="1:11" hidden="1" x14ac:dyDescent="0.25">
      <c r="A1772" s="203"/>
      <c r="B1772" s="205"/>
      <c r="C1772" s="35" t="s">
        <v>30</v>
      </c>
      <c r="D1772" s="35" t="s">
        <v>12</v>
      </c>
      <c r="E1772" s="36">
        <v>5.1999999999999998E-2</v>
      </c>
      <c r="F1772" s="30">
        <v>25.146499999999996</v>
      </c>
      <c r="G1772" s="33">
        <f t="shared" si="28"/>
        <v>1.3076179999999997</v>
      </c>
      <c r="H1772" s="34"/>
      <c r="I1772" s="30"/>
      <c r="J1772" s="148">
        <v>4000</v>
      </c>
      <c r="K1772" s="222" t="s">
        <v>8074</v>
      </c>
    </row>
    <row r="1773" spans="1:11" ht="25.5" hidden="1" x14ac:dyDescent="0.25">
      <c r="A1773" s="203"/>
      <c r="B1773" s="205"/>
      <c r="C1773" s="35" t="s">
        <v>552</v>
      </c>
      <c r="D1773" s="35" t="s">
        <v>92</v>
      </c>
      <c r="E1773" s="36">
        <v>1.19</v>
      </c>
      <c r="F1773" s="33">
        <v>7.81</v>
      </c>
      <c r="G1773" s="33">
        <f t="shared" si="28"/>
        <v>9.2938999999999989</v>
      </c>
      <c r="H1773" s="34"/>
      <c r="I1773" s="30"/>
      <c r="J1773" s="148">
        <v>4000</v>
      </c>
      <c r="K1773" s="222" t="s">
        <v>8074</v>
      </c>
    </row>
    <row r="1774" spans="1:11" hidden="1" x14ac:dyDescent="0.25">
      <c r="A1774" s="203"/>
      <c r="B1774" s="205"/>
      <c r="C1774" s="35" t="s">
        <v>546</v>
      </c>
      <c r="D1774" s="35" t="s">
        <v>20</v>
      </c>
      <c r="E1774" s="36">
        <v>8.9999999999999993E-3</v>
      </c>
      <c r="F1774" s="33">
        <v>4.2749999999999995</v>
      </c>
      <c r="G1774" s="33">
        <f t="shared" si="28"/>
        <v>3.8474999999999995E-2</v>
      </c>
      <c r="H1774" s="34"/>
      <c r="I1774" s="30"/>
      <c r="J1774" s="148">
        <v>4000</v>
      </c>
      <c r="K1774" s="222" t="s">
        <v>8074</v>
      </c>
    </row>
    <row r="1775" spans="1:11" ht="15.75" hidden="1" thickBot="1" x14ac:dyDescent="0.3">
      <c r="A1775" s="209"/>
      <c r="B1775" s="206"/>
      <c r="C1775" s="35"/>
      <c r="D1775" s="35"/>
      <c r="E1775" s="36"/>
      <c r="F1775" s="30" t="s">
        <v>514</v>
      </c>
      <c r="G1775" s="30" t="str">
        <f t="shared" si="28"/>
        <v/>
      </c>
      <c r="H1775" s="34"/>
      <c r="I1775" s="30"/>
      <c r="J1775" s="148">
        <v>4000</v>
      </c>
      <c r="K1775" s="222" t="s">
        <v>8074</v>
      </c>
    </row>
    <row r="1776" spans="1:11" ht="15.75" hidden="1" thickBot="1" x14ac:dyDescent="0.3">
      <c r="A1776" s="202" t="s">
        <v>553</v>
      </c>
      <c r="B1776" s="204" t="str">
        <f>INDEX(Orçamentária!A:B,MATCH(Composições!A1776,Orçamentária!A:A,0),2)</f>
        <v>Condutor 4 mm²</v>
      </c>
      <c r="C1776" s="40"/>
      <c r="D1776" s="25" t="str">
        <f>TRIM(INDEX(Orçamentária!C:C,MATCH(Composições!A1776,Orçamentária!A:A,0),1))</f>
        <v>m</v>
      </c>
      <c r="E1776" s="26"/>
      <c r="F1776" s="41" t="s">
        <v>514</v>
      </c>
      <c r="G1776" s="27" t="str">
        <f t="shared" si="28"/>
        <v/>
      </c>
      <c r="H1776" s="28"/>
      <c r="I1776" s="29"/>
      <c r="J1776" s="148">
        <v>7125</v>
      </c>
      <c r="K1776" s="222" t="s">
        <v>8074</v>
      </c>
    </row>
    <row r="1777" spans="1:11" hidden="1" x14ac:dyDescent="0.25">
      <c r="A1777" s="203"/>
      <c r="B1777" s="205"/>
      <c r="C1777" s="31"/>
      <c r="D1777" s="31"/>
      <c r="E1777" s="32"/>
      <c r="F1777" s="42" t="s">
        <v>514</v>
      </c>
      <c r="G1777" s="30" t="str">
        <f t="shared" si="28"/>
        <v/>
      </c>
      <c r="H1777" s="34"/>
      <c r="I1777" s="30"/>
      <c r="J1777" s="148">
        <v>7125</v>
      </c>
      <c r="K1777" s="222" t="s">
        <v>8074</v>
      </c>
    </row>
    <row r="1778" spans="1:11" hidden="1" x14ac:dyDescent="0.25">
      <c r="A1778" s="203"/>
      <c r="B1778" s="205"/>
      <c r="C1778" s="35" t="s">
        <v>74</v>
      </c>
      <c r="D1778" s="35" t="s">
        <v>12</v>
      </c>
      <c r="E1778" s="36">
        <v>0.04</v>
      </c>
      <c r="F1778" s="30">
        <v>19.4085</v>
      </c>
      <c r="G1778" s="33">
        <f t="shared" si="28"/>
        <v>0.77634000000000003</v>
      </c>
      <c r="H1778" s="38">
        <f>SUM(G1778:G1781)</f>
        <v>6.604474999999999</v>
      </c>
      <c r="I1778" s="39"/>
      <c r="J1778" s="148">
        <v>7125</v>
      </c>
      <c r="K1778" s="222" t="s">
        <v>8074</v>
      </c>
    </row>
    <row r="1779" spans="1:11" hidden="1" x14ac:dyDescent="0.25">
      <c r="A1779" s="203"/>
      <c r="B1779" s="205"/>
      <c r="C1779" s="35" t="s">
        <v>30</v>
      </c>
      <c r="D1779" s="35" t="s">
        <v>12</v>
      </c>
      <c r="E1779" s="36">
        <v>0.04</v>
      </c>
      <c r="F1779" s="30">
        <v>25.146499999999996</v>
      </c>
      <c r="G1779" s="33">
        <f t="shared" si="28"/>
        <v>1.0058599999999998</v>
      </c>
      <c r="H1779" s="34"/>
      <c r="I1779" s="30"/>
      <c r="J1779" s="148">
        <v>7125</v>
      </c>
      <c r="K1779" s="222" t="s">
        <v>8074</v>
      </c>
    </row>
    <row r="1780" spans="1:11" ht="25.5" hidden="1" x14ac:dyDescent="0.25">
      <c r="A1780" s="203"/>
      <c r="B1780" s="205"/>
      <c r="C1780" s="35" t="s">
        <v>554</v>
      </c>
      <c r="D1780" s="35" t="s">
        <v>92</v>
      </c>
      <c r="E1780" s="36">
        <v>1.19</v>
      </c>
      <c r="F1780" s="33">
        <v>4.0199999999999996</v>
      </c>
      <c r="G1780" s="33">
        <f t="shared" si="28"/>
        <v>4.7837999999999994</v>
      </c>
      <c r="H1780" s="34"/>
      <c r="I1780" s="30"/>
      <c r="J1780" s="148">
        <v>7125</v>
      </c>
      <c r="K1780" s="222" t="s">
        <v>8074</v>
      </c>
    </row>
    <row r="1781" spans="1:11" hidden="1" x14ac:dyDescent="0.25">
      <c r="A1781" s="203"/>
      <c r="B1781" s="205"/>
      <c r="C1781" s="35" t="s">
        <v>546</v>
      </c>
      <c r="D1781" s="35" t="s">
        <v>20</v>
      </c>
      <c r="E1781" s="36">
        <v>8.9999999999999993E-3</v>
      </c>
      <c r="F1781" s="33">
        <v>4.2749999999999995</v>
      </c>
      <c r="G1781" s="33">
        <f t="shared" si="28"/>
        <v>3.8474999999999995E-2</v>
      </c>
      <c r="H1781" s="34"/>
      <c r="I1781" s="30"/>
      <c r="J1781" s="148">
        <v>7125</v>
      </c>
      <c r="K1781" s="222" t="s">
        <v>8074</v>
      </c>
    </row>
    <row r="1782" spans="1:11" ht="15.75" hidden="1" thickBot="1" x14ac:dyDescent="0.3">
      <c r="A1782" s="209"/>
      <c r="B1782" s="206"/>
      <c r="C1782" s="35"/>
      <c r="D1782" s="35"/>
      <c r="E1782" s="36"/>
      <c r="F1782" s="30" t="s">
        <v>514</v>
      </c>
      <c r="G1782" s="30" t="str">
        <f t="shared" si="28"/>
        <v/>
      </c>
      <c r="H1782" s="34"/>
      <c r="I1782" s="30"/>
      <c r="J1782" s="148">
        <v>7125</v>
      </c>
      <c r="K1782" s="222" t="s">
        <v>8074</v>
      </c>
    </row>
    <row r="1783" spans="1:11" ht="15.75" hidden="1" thickBot="1" x14ac:dyDescent="0.3">
      <c r="A1783" s="202" t="s">
        <v>555</v>
      </c>
      <c r="B1783" s="204" t="str">
        <f>INDEX(Orçamentária!A:B,MATCH(Composições!A1783,Orçamentária!A:A,0),2)</f>
        <v>Condutor 4x2,5 mm²</v>
      </c>
      <c r="C1783" s="40"/>
      <c r="D1783" s="25" t="str">
        <f>TRIM(INDEX(Orçamentária!C:C,MATCH(Composições!A1783,Orçamentária!A:A,0),1))</f>
        <v>m</v>
      </c>
      <c r="E1783" s="26"/>
      <c r="F1783" s="41" t="s">
        <v>514</v>
      </c>
      <c r="G1783" s="27" t="str">
        <f t="shared" si="28"/>
        <v/>
      </c>
      <c r="H1783" s="28"/>
      <c r="I1783" s="29"/>
      <c r="J1783" s="148">
        <v>4000</v>
      </c>
      <c r="K1783" s="222" t="s">
        <v>8074</v>
      </c>
    </row>
    <row r="1784" spans="1:11" hidden="1" x14ac:dyDescent="0.25">
      <c r="A1784" s="203"/>
      <c r="B1784" s="205"/>
      <c r="C1784" s="31"/>
      <c r="D1784" s="31"/>
      <c r="E1784" s="32"/>
      <c r="F1784" s="42" t="s">
        <v>514</v>
      </c>
      <c r="G1784" s="30" t="str">
        <f t="shared" si="28"/>
        <v/>
      </c>
      <c r="H1784" s="34"/>
      <c r="I1784" s="30"/>
      <c r="J1784" s="148">
        <v>4000</v>
      </c>
      <c r="K1784" s="222" t="s">
        <v>8074</v>
      </c>
    </row>
    <row r="1785" spans="1:11" hidden="1" x14ac:dyDescent="0.25">
      <c r="A1785" s="203"/>
      <c r="B1785" s="205"/>
      <c r="C1785" s="35" t="s">
        <v>74</v>
      </c>
      <c r="D1785" s="35" t="s">
        <v>12</v>
      </c>
      <c r="E1785" s="36">
        <v>8.9999999999999993E-3</v>
      </c>
      <c r="F1785" s="30">
        <v>19.4085</v>
      </c>
      <c r="G1785" s="33">
        <f t="shared" si="28"/>
        <v>0.17467649999999998</v>
      </c>
      <c r="H1785" s="38">
        <f>SUM(G1785:G1788)</f>
        <v>10.652124999999998</v>
      </c>
      <c r="I1785" s="39"/>
      <c r="J1785" s="148">
        <v>4000</v>
      </c>
      <c r="K1785" s="222" t="s">
        <v>8074</v>
      </c>
    </row>
    <row r="1786" spans="1:11" hidden="1" x14ac:dyDescent="0.25">
      <c r="A1786" s="203"/>
      <c r="B1786" s="205"/>
      <c r="C1786" s="35" t="s">
        <v>30</v>
      </c>
      <c r="D1786" s="35" t="s">
        <v>12</v>
      </c>
      <c r="E1786" s="36">
        <v>8.9999999999999993E-3</v>
      </c>
      <c r="F1786" s="30">
        <v>25.146499999999996</v>
      </c>
      <c r="G1786" s="33">
        <f t="shared" si="28"/>
        <v>0.22631849999999995</v>
      </c>
      <c r="H1786" s="34"/>
      <c r="I1786" s="30"/>
      <c r="J1786" s="148">
        <v>4000</v>
      </c>
      <c r="K1786" s="222" t="s">
        <v>8074</v>
      </c>
    </row>
    <row r="1787" spans="1:11" ht="25.5" hidden="1" x14ac:dyDescent="0.25">
      <c r="A1787" s="203"/>
      <c r="B1787" s="205"/>
      <c r="C1787" s="35" t="s">
        <v>556</v>
      </c>
      <c r="D1787" s="35" t="s">
        <v>92</v>
      </c>
      <c r="E1787" s="36">
        <v>1.0269999999999999</v>
      </c>
      <c r="F1787" s="33">
        <v>9.94</v>
      </c>
      <c r="G1787" s="33">
        <f t="shared" si="28"/>
        <v>10.208379999999998</v>
      </c>
      <c r="H1787" s="34"/>
      <c r="I1787" s="30"/>
      <c r="J1787" s="148">
        <v>4000</v>
      </c>
      <c r="K1787" s="222" t="s">
        <v>8074</v>
      </c>
    </row>
    <row r="1788" spans="1:11" hidden="1" x14ac:dyDescent="0.25">
      <c r="A1788" s="203"/>
      <c r="B1788" s="205"/>
      <c r="C1788" s="35" t="s">
        <v>546</v>
      </c>
      <c r="D1788" s="35" t="s">
        <v>20</v>
      </c>
      <c r="E1788" s="36">
        <v>0.01</v>
      </c>
      <c r="F1788" s="33">
        <v>4.2749999999999995</v>
      </c>
      <c r="G1788" s="33">
        <f t="shared" si="28"/>
        <v>4.2749999999999996E-2</v>
      </c>
      <c r="H1788" s="34"/>
      <c r="I1788" s="30"/>
      <c r="J1788" s="148">
        <v>4000</v>
      </c>
      <c r="K1788" s="222" t="s">
        <v>8074</v>
      </c>
    </row>
    <row r="1789" spans="1:11" ht="15.75" hidden="1" thickBot="1" x14ac:dyDescent="0.3">
      <c r="A1789" s="209"/>
      <c r="B1789" s="206"/>
      <c r="C1789" s="35"/>
      <c r="D1789" s="35"/>
      <c r="E1789" s="36"/>
      <c r="F1789" s="30" t="s">
        <v>514</v>
      </c>
      <c r="G1789" s="30" t="str">
        <f t="shared" si="28"/>
        <v/>
      </c>
      <c r="H1789" s="34"/>
      <c r="I1789" s="30"/>
      <c r="J1789" s="148">
        <v>4000</v>
      </c>
      <c r="K1789" s="222" t="s">
        <v>8074</v>
      </c>
    </row>
    <row r="1790" spans="1:11" ht="15.75" hidden="1" thickBot="1" x14ac:dyDescent="0.3">
      <c r="A1790" s="202" t="s">
        <v>557</v>
      </c>
      <c r="B1790" s="204" t="str">
        <f>INDEX(Orçamentária!A:B,MATCH(Composições!A1790,Orçamentária!A:A,0),2)</f>
        <v>Condutor 6 mm²</v>
      </c>
      <c r="C1790" s="40"/>
      <c r="D1790" s="25" t="str">
        <f>TRIM(INDEX(Orçamentária!C:C,MATCH(Composições!A1790,Orçamentária!A:A,0),1))</f>
        <v>m</v>
      </c>
      <c r="E1790" s="26"/>
      <c r="F1790" s="41" t="s">
        <v>514</v>
      </c>
      <c r="G1790" s="27" t="str">
        <f t="shared" si="28"/>
        <v/>
      </c>
      <c r="H1790" s="28"/>
      <c r="I1790" s="29"/>
      <c r="J1790" s="148">
        <v>4500</v>
      </c>
      <c r="K1790" s="222" t="s">
        <v>8074</v>
      </c>
    </row>
    <row r="1791" spans="1:11" hidden="1" x14ac:dyDescent="0.25">
      <c r="A1791" s="203"/>
      <c r="B1791" s="205"/>
      <c r="C1791" s="31"/>
      <c r="D1791" s="31"/>
      <c r="E1791" s="32"/>
      <c r="F1791" s="42" t="s">
        <v>514</v>
      </c>
      <c r="G1791" s="30" t="str">
        <f t="shared" si="28"/>
        <v/>
      </c>
      <c r="H1791" s="34"/>
      <c r="I1791" s="30"/>
      <c r="J1791" s="148">
        <v>4500</v>
      </c>
      <c r="K1791" s="222" t="s">
        <v>8074</v>
      </c>
    </row>
    <row r="1792" spans="1:11" hidden="1" x14ac:dyDescent="0.25">
      <c r="A1792" s="203"/>
      <c r="B1792" s="205"/>
      <c r="C1792" s="35" t="s">
        <v>74</v>
      </c>
      <c r="D1792" s="35" t="s">
        <v>12</v>
      </c>
      <c r="E1792" s="36">
        <v>5.1999999999999998E-2</v>
      </c>
      <c r="F1792" s="30">
        <v>19.4085</v>
      </c>
      <c r="G1792" s="30">
        <f t="shared" si="28"/>
        <v>1.009242</v>
      </c>
      <c r="H1792" s="38">
        <f>SUM(G1792:G1795)</f>
        <v>9.495334999999999</v>
      </c>
      <c r="I1792" s="39"/>
      <c r="J1792" s="148">
        <v>4500</v>
      </c>
      <c r="K1792" s="222" t="s">
        <v>8074</v>
      </c>
    </row>
    <row r="1793" spans="1:11" hidden="1" x14ac:dyDescent="0.25">
      <c r="A1793" s="203"/>
      <c r="B1793" s="205"/>
      <c r="C1793" s="35" t="s">
        <v>30</v>
      </c>
      <c r="D1793" s="35" t="s">
        <v>12</v>
      </c>
      <c r="E1793" s="36">
        <v>5.1999999999999998E-2</v>
      </c>
      <c r="F1793" s="30">
        <v>25.146499999999996</v>
      </c>
      <c r="G1793" s="30">
        <f t="shared" si="28"/>
        <v>1.3076179999999997</v>
      </c>
      <c r="H1793" s="34"/>
      <c r="I1793" s="30"/>
      <c r="J1793" s="148">
        <v>4500</v>
      </c>
      <c r="K1793" s="222" t="s">
        <v>8074</v>
      </c>
    </row>
    <row r="1794" spans="1:11" ht="25.5" hidden="1" x14ac:dyDescent="0.25">
      <c r="A1794" s="203"/>
      <c r="B1794" s="205"/>
      <c r="C1794" s="35" t="s">
        <v>558</v>
      </c>
      <c r="D1794" s="35" t="s">
        <v>92</v>
      </c>
      <c r="E1794" s="36">
        <v>1.19</v>
      </c>
      <c r="F1794" s="33">
        <v>6</v>
      </c>
      <c r="G1794" s="30">
        <f t="shared" si="28"/>
        <v>7.14</v>
      </c>
      <c r="H1794" s="34"/>
      <c r="I1794" s="30"/>
      <c r="J1794" s="148">
        <v>4500</v>
      </c>
      <c r="K1794" s="222" t="s">
        <v>8074</v>
      </c>
    </row>
    <row r="1795" spans="1:11" hidden="1" x14ac:dyDescent="0.25">
      <c r="A1795" s="203"/>
      <c r="B1795" s="205"/>
      <c r="C1795" s="35" t="s">
        <v>546</v>
      </c>
      <c r="D1795" s="35" t="s">
        <v>20</v>
      </c>
      <c r="E1795" s="36">
        <v>8.9999999999999993E-3</v>
      </c>
      <c r="F1795" s="33">
        <v>4.2749999999999995</v>
      </c>
      <c r="G1795" s="30">
        <f t="shared" si="28"/>
        <v>3.8474999999999995E-2</v>
      </c>
      <c r="H1795" s="34"/>
      <c r="I1795" s="30"/>
      <c r="J1795" s="148">
        <v>4500</v>
      </c>
      <c r="K1795" s="222" t="s">
        <v>8074</v>
      </c>
    </row>
    <row r="1796" spans="1:11" ht="15.75" hidden="1" thickBot="1" x14ac:dyDescent="0.3">
      <c r="A1796" s="209"/>
      <c r="B1796" s="206"/>
      <c r="C1796" s="35"/>
      <c r="D1796" s="35"/>
      <c r="E1796" s="36"/>
      <c r="F1796" s="30" t="s">
        <v>514</v>
      </c>
      <c r="G1796" s="30" t="str">
        <f t="shared" si="28"/>
        <v/>
      </c>
      <c r="H1796" s="34"/>
      <c r="I1796" s="30"/>
      <c r="J1796" s="148">
        <v>4500</v>
      </c>
      <c r="K1796" s="222" t="s">
        <v>8074</v>
      </c>
    </row>
    <row r="1797" spans="1:11" ht="15.75" hidden="1" thickBot="1" x14ac:dyDescent="0.3">
      <c r="A1797" s="202" t="s">
        <v>559</v>
      </c>
      <c r="B1797" s="204" t="str">
        <f>INDEX(Orçamentária!A:B,MATCH(Composições!A1797,Orçamentária!A:A,0),2)</f>
        <v>Quadro elétrico TTA</v>
      </c>
      <c r="C1797" s="40"/>
      <c r="D1797" s="25" t="str">
        <f>TRIM(INDEX(Orçamentária!C:C,MATCH(Composições!A1797,Orçamentária!A:A,0),1))</f>
        <v>un</v>
      </c>
      <c r="E1797" s="26"/>
      <c r="F1797" s="41" t="s">
        <v>514</v>
      </c>
      <c r="G1797" s="27" t="str">
        <f t="shared" si="28"/>
        <v/>
      </c>
      <c r="H1797" s="28"/>
      <c r="I1797" s="29"/>
      <c r="J1797" s="148">
        <v>6</v>
      </c>
      <c r="K1797" s="222" t="s">
        <v>8074</v>
      </c>
    </row>
    <row r="1798" spans="1:11" hidden="1" x14ac:dyDescent="0.25">
      <c r="A1798" s="203"/>
      <c r="B1798" s="205"/>
      <c r="C1798" s="31"/>
      <c r="D1798" s="31"/>
      <c r="E1798" s="32"/>
      <c r="F1798" s="42" t="s">
        <v>514</v>
      </c>
      <c r="G1798" s="30" t="str">
        <f t="shared" si="28"/>
        <v/>
      </c>
      <c r="H1798" s="34"/>
      <c r="I1798" s="30"/>
      <c r="J1798" s="148">
        <v>6</v>
      </c>
      <c r="K1798" s="222" t="s">
        <v>8074</v>
      </c>
    </row>
    <row r="1799" spans="1:11" ht="25.5" hidden="1" x14ac:dyDescent="0.25">
      <c r="A1799" s="203"/>
      <c r="B1799" s="205"/>
      <c r="C1799" s="35" t="s">
        <v>8036</v>
      </c>
      <c r="D1799" s="46" t="s">
        <v>20</v>
      </c>
      <c r="E1799" s="36">
        <v>1</v>
      </c>
      <c r="F1799" s="33">
        <v>7913.12</v>
      </c>
      <c r="G1799" s="30">
        <f t="shared" si="28"/>
        <v>7913.12</v>
      </c>
      <c r="H1799" s="38">
        <f>SUM(G1799:G1802)</f>
        <v>7956.5066278051263</v>
      </c>
      <c r="I1799" s="39"/>
      <c r="J1799" s="148">
        <v>6</v>
      </c>
      <c r="K1799" s="222" t="s">
        <v>8074</v>
      </c>
    </row>
    <row r="1800" spans="1:11" ht="38.25" hidden="1" x14ac:dyDescent="0.25">
      <c r="A1800" s="203"/>
      <c r="B1800" s="205"/>
      <c r="C1800" s="35" t="s">
        <v>3211</v>
      </c>
      <c r="D1800" s="46" t="s">
        <v>119</v>
      </c>
      <c r="E1800" s="36">
        <v>1.9199999999999998E-2</v>
      </c>
      <c r="F1800" s="30">
        <v>789.17314089199988</v>
      </c>
      <c r="G1800" s="30">
        <f t="shared" si="28"/>
        <v>15.152124305126396</v>
      </c>
      <c r="H1800" s="34"/>
      <c r="I1800" s="30"/>
      <c r="J1800" s="148">
        <v>6</v>
      </c>
      <c r="K1800" s="222" t="s">
        <v>8074</v>
      </c>
    </row>
    <row r="1801" spans="1:11" hidden="1" x14ac:dyDescent="0.25">
      <c r="A1801" s="203"/>
      <c r="B1801" s="205"/>
      <c r="C1801" s="35" t="s">
        <v>74</v>
      </c>
      <c r="D1801" s="46" t="s">
        <v>12</v>
      </c>
      <c r="E1801" s="36">
        <v>0.63370000000000004</v>
      </c>
      <c r="F1801" s="30">
        <v>19.4085</v>
      </c>
      <c r="G1801" s="30">
        <f t="shared" si="28"/>
        <v>12.299166450000001</v>
      </c>
      <c r="H1801" s="34"/>
      <c r="I1801" s="30"/>
      <c r="J1801" s="148">
        <v>6</v>
      </c>
      <c r="K1801" s="222" t="s">
        <v>8074</v>
      </c>
    </row>
    <row r="1802" spans="1:11" hidden="1" x14ac:dyDescent="0.25">
      <c r="A1802" s="203"/>
      <c r="B1802" s="205"/>
      <c r="C1802" s="35" t="s">
        <v>30</v>
      </c>
      <c r="D1802" s="46" t="s">
        <v>12</v>
      </c>
      <c r="E1802" s="36">
        <v>0.63370000000000004</v>
      </c>
      <c r="F1802" s="30">
        <v>25.146499999999996</v>
      </c>
      <c r="G1802" s="33">
        <f t="shared" si="28"/>
        <v>15.935337049999999</v>
      </c>
      <c r="H1802" s="34"/>
      <c r="I1802" s="30"/>
      <c r="J1802" s="148">
        <v>6</v>
      </c>
      <c r="K1802" s="222" t="s">
        <v>8074</v>
      </c>
    </row>
    <row r="1803" spans="1:11" ht="15.75" hidden="1" thickBot="1" x14ac:dyDescent="0.3">
      <c r="A1803" s="203"/>
      <c r="B1803" s="206"/>
      <c r="C1803" s="35"/>
      <c r="D1803" s="35"/>
      <c r="E1803" s="36"/>
      <c r="F1803" s="30" t="s">
        <v>514</v>
      </c>
      <c r="G1803" s="30" t="str">
        <f t="shared" si="28"/>
        <v/>
      </c>
      <c r="H1803" s="34"/>
      <c r="I1803" s="30"/>
      <c r="J1803" s="148">
        <v>6</v>
      </c>
      <c r="K1803" s="222" t="s">
        <v>8074</v>
      </c>
    </row>
    <row r="1804" spans="1:11" ht="15.75" hidden="1" thickBot="1" x14ac:dyDescent="0.3">
      <c r="A1804" s="202" t="s">
        <v>560</v>
      </c>
      <c r="B1804" s="204" t="str">
        <f>INDEX(Orçamentária!A:B,MATCH(Composições!A1804,Orçamentária!A:A,0),2)</f>
        <v>Instalação de fancolete reaproveitado</v>
      </c>
      <c r="C1804" s="40"/>
      <c r="D1804" s="25" t="str">
        <f>TRIM(INDEX(Orçamentária!C:C,MATCH(Composições!A1804,Orçamentária!A:A,0),1))</f>
        <v>un</v>
      </c>
      <c r="E1804" s="26"/>
      <c r="F1804" s="41" t="s">
        <v>514</v>
      </c>
      <c r="G1804" s="27" t="str">
        <f t="shared" si="28"/>
        <v/>
      </c>
      <c r="H1804" s="28"/>
      <c r="I1804" s="29"/>
      <c r="J1804" s="148">
        <v>25</v>
      </c>
      <c r="K1804" s="222" t="s">
        <v>8074</v>
      </c>
    </row>
    <row r="1805" spans="1:11" hidden="1" x14ac:dyDescent="0.25">
      <c r="A1805" s="203"/>
      <c r="B1805" s="205"/>
      <c r="C1805" s="31"/>
      <c r="D1805" s="31"/>
      <c r="E1805" s="32"/>
      <c r="F1805" s="42" t="s">
        <v>514</v>
      </c>
      <c r="G1805" s="30" t="str">
        <f t="shared" si="28"/>
        <v/>
      </c>
      <c r="H1805" s="34"/>
      <c r="I1805" s="30"/>
      <c r="J1805" s="148">
        <v>25</v>
      </c>
      <c r="K1805" s="222" t="s">
        <v>8074</v>
      </c>
    </row>
    <row r="1806" spans="1:11" hidden="1" x14ac:dyDescent="0.25">
      <c r="A1806" s="203"/>
      <c r="B1806" s="205"/>
      <c r="C1806" s="35" t="s">
        <v>52</v>
      </c>
      <c r="D1806" s="46" t="s">
        <v>12</v>
      </c>
      <c r="E1806" s="36">
        <v>2</v>
      </c>
      <c r="F1806" s="30">
        <v>21.184999999999999</v>
      </c>
      <c r="G1806" s="33">
        <f t="shared" si="28"/>
        <v>42.37</v>
      </c>
      <c r="H1806" s="38">
        <f>SUM(G1806:G1807)</f>
        <v>95.209000000000003</v>
      </c>
      <c r="I1806" s="39"/>
      <c r="J1806" s="148">
        <v>25</v>
      </c>
      <c r="K1806" s="222" t="s">
        <v>8074</v>
      </c>
    </row>
    <row r="1807" spans="1:11" ht="25.5" hidden="1" x14ac:dyDescent="0.25">
      <c r="A1807" s="203"/>
      <c r="B1807" s="205"/>
      <c r="C1807" s="35" t="s">
        <v>561</v>
      </c>
      <c r="D1807" s="46" t="s">
        <v>12</v>
      </c>
      <c r="E1807" s="36">
        <v>2</v>
      </c>
      <c r="F1807" s="30">
        <v>26.419499999999999</v>
      </c>
      <c r="G1807" s="30">
        <f t="shared" si="28"/>
        <v>52.838999999999999</v>
      </c>
      <c r="H1807" s="34"/>
      <c r="I1807" s="30"/>
      <c r="J1807" s="148">
        <v>25</v>
      </c>
      <c r="K1807" s="222" t="s">
        <v>8074</v>
      </c>
    </row>
    <row r="1808" spans="1:11" ht="15.75" hidden="1" thickBot="1" x14ac:dyDescent="0.3">
      <c r="A1808" s="209"/>
      <c r="B1808" s="206"/>
      <c r="C1808" s="35"/>
      <c r="D1808" s="35"/>
      <c r="E1808" s="36"/>
      <c r="F1808" s="30" t="s">
        <v>514</v>
      </c>
      <c r="G1808" s="30" t="str">
        <f t="shared" si="28"/>
        <v/>
      </c>
      <c r="H1808" s="34"/>
      <c r="I1808" s="30"/>
      <c r="J1808" s="148">
        <v>25</v>
      </c>
      <c r="K1808" s="222" t="s">
        <v>8074</v>
      </c>
    </row>
    <row r="1809" spans="1:11" ht="15.75" hidden="1" thickBot="1" x14ac:dyDescent="0.3">
      <c r="A1809" s="202" t="s">
        <v>562</v>
      </c>
      <c r="B1809" s="204" t="str">
        <f>INDEX(Orçamentária!A:B,MATCH(Composições!A1809,Orçamentária!A:A,0),2)</f>
        <v>Instalação de split reaproveitado</v>
      </c>
      <c r="C1809" s="40"/>
      <c r="D1809" s="25" t="str">
        <f>TRIM(INDEX(Orçamentária!C:C,MATCH(Composições!A1809,Orçamentária!A:A,0),1))</f>
        <v>un</v>
      </c>
      <c r="E1809" s="26"/>
      <c r="F1809" s="41" t="s">
        <v>514</v>
      </c>
      <c r="G1809" s="27" t="str">
        <f t="shared" si="28"/>
        <v/>
      </c>
      <c r="H1809" s="28"/>
      <c r="I1809" s="29"/>
      <c r="J1809" s="148">
        <v>40</v>
      </c>
      <c r="K1809" s="222" t="s">
        <v>8074</v>
      </c>
    </row>
    <row r="1810" spans="1:11" hidden="1" x14ac:dyDescent="0.25">
      <c r="A1810" s="203"/>
      <c r="B1810" s="205"/>
      <c r="C1810" s="31"/>
      <c r="D1810" s="31"/>
      <c r="E1810" s="32"/>
      <c r="F1810" s="42" t="s">
        <v>514</v>
      </c>
      <c r="G1810" s="30" t="str">
        <f t="shared" si="28"/>
        <v/>
      </c>
      <c r="H1810" s="34"/>
      <c r="I1810" s="30"/>
      <c r="J1810" s="148">
        <v>40</v>
      </c>
      <c r="K1810" s="222" t="s">
        <v>8074</v>
      </c>
    </row>
    <row r="1811" spans="1:11" hidden="1" x14ac:dyDescent="0.25">
      <c r="A1811" s="203"/>
      <c r="B1811" s="205"/>
      <c r="C1811" s="35" t="s">
        <v>52</v>
      </c>
      <c r="D1811" s="46" t="s">
        <v>12</v>
      </c>
      <c r="E1811" s="36">
        <v>3</v>
      </c>
      <c r="F1811" s="30">
        <v>21.184999999999999</v>
      </c>
      <c r="G1811" s="33">
        <f t="shared" ref="G1811:G1874" si="29">IF(ISNUMBER(F1811),E1811*F1811,"")</f>
        <v>63.554999999999993</v>
      </c>
      <c r="H1811" s="38">
        <f>SUM(G1811:G1812)</f>
        <v>142.81349999999998</v>
      </c>
      <c r="I1811" s="39"/>
      <c r="J1811" s="148">
        <v>40</v>
      </c>
      <c r="K1811" s="222" t="s">
        <v>8074</v>
      </c>
    </row>
    <row r="1812" spans="1:11" ht="25.5" hidden="1" x14ac:dyDescent="0.25">
      <c r="A1812" s="203"/>
      <c r="B1812" s="205"/>
      <c r="C1812" s="35" t="s">
        <v>561</v>
      </c>
      <c r="D1812" s="46" t="s">
        <v>12</v>
      </c>
      <c r="E1812" s="36">
        <v>3</v>
      </c>
      <c r="F1812" s="30">
        <v>26.419499999999999</v>
      </c>
      <c r="G1812" s="30">
        <f t="shared" si="29"/>
        <v>79.258499999999998</v>
      </c>
      <c r="H1812" s="34"/>
      <c r="I1812" s="30"/>
      <c r="J1812" s="148">
        <v>40</v>
      </c>
      <c r="K1812" s="222" t="s">
        <v>8074</v>
      </c>
    </row>
    <row r="1813" spans="1:11" ht="15.75" hidden="1" thickBot="1" x14ac:dyDescent="0.3">
      <c r="A1813" s="209"/>
      <c r="B1813" s="206"/>
      <c r="C1813" s="35"/>
      <c r="D1813" s="35"/>
      <c r="E1813" s="36"/>
      <c r="F1813" s="30" t="s">
        <v>514</v>
      </c>
      <c r="G1813" s="30" t="str">
        <f t="shared" si="29"/>
        <v/>
      </c>
      <c r="H1813" s="34"/>
      <c r="I1813" s="30"/>
      <c r="J1813" s="148">
        <v>40</v>
      </c>
      <c r="K1813" s="222" t="s">
        <v>8074</v>
      </c>
    </row>
    <row r="1814" spans="1:11" ht="15.75" hidden="1" thickBot="1" x14ac:dyDescent="0.3">
      <c r="A1814" s="202" t="s">
        <v>563</v>
      </c>
      <c r="B1814" s="204" t="str">
        <f>INDEX(Orçamentária!A:B,MATCH(Composições!A1814,Orçamentária!A:A,0),2)</f>
        <v>Exaustor axial 340 m3/h</v>
      </c>
      <c r="C1814" s="40"/>
      <c r="D1814" s="25" t="str">
        <f>TRIM(INDEX(Orçamentária!C:C,MATCH(Composições!A1814,Orçamentária!A:A,0),1))</f>
        <v>un</v>
      </c>
      <c r="E1814" s="26"/>
      <c r="F1814" s="41" t="s">
        <v>514</v>
      </c>
      <c r="G1814" s="27" t="str">
        <f t="shared" si="29"/>
        <v/>
      </c>
      <c r="H1814" s="28"/>
      <c r="I1814" s="29"/>
      <c r="J1814" s="148">
        <v>45</v>
      </c>
      <c r="K1814" s="222" t="s">
        <v>8074</v>
      </c>
    </row>
    <row r="1815" spans="1:11" hidden="1" x14ac:dyDescent="0.25">
      <c r="A1815" s="203"/>
      <c r="B1815" s="205"/>
      <c r="C1815" s="31"/>
      <c r="D1815" s="31"/>
      <c r="E1815" s="32"/>
      <c r="F1815" s="42" t="s">
        <v>514</v>
      </c>
      <c r="G1815" s="30" t="str">
        <f t="shared" si="29"/>
        <v/>
      </c>
      <c r="H1815" s="34"/>
      <c r="I1815" s="30"/>
      <c r="J1815" s="148">
        <v>45</v>
      </c>
      <c r="K1815" s="222" t="s">
        <v>8074</v>
      </c>
    </row>
    <row r="1816" spans="1:11" hidden="1" x14ac:dyDescent="0.25">
      <c r="A1816" s="203"/>
      <c r="B1816" s="205"/>
      <c r="C1816" s="35" t="s">
        <v>30</v>
      </c>
      <c r="D1816" s="35" t="s">
        <v>12</v>
      </c>
      <c r="E1816" s="36">
        <v>1</v>
      </c>
      <c r="F1816" s="30">
        <v>25.146499999999996</v>
      </c>
      <c r="G1816" s="33">
        <f t="shared" si="29"/>
        <v>25.146499999999996</v>
      </c>
      <c r="H1816" s="38">
        <f>SUM(G1816:G1818)</f>
        <v>243.78499999999997</v>
      </c>
      <c r="I1816" s="39"/>
      <c r="J1816" s="148">
        <v>45</v>
      </c>
      <c r="K1816" s="222" t="s">
        <v>8074</v>
      </c>
    </row>
    <row r="1817" spans="1:11" hidden="1" x14ac:dyDescent="0.25">
      <c r="A1817" s="203"/>
      <c r="B1817" s="205"/>
      <c r="C1817" s="35" t="s">
        <v>74</v>
      </c>
      <c r="D1817" s="46" t="s">
        <v>12</v>
      </c>
      <c r="E1817" s="36">
        <v>1</v>
      </c>
      <c r="F1817" s="30">
        <v>19.4085</v>
      </c>
      <c r="G1817" s="33">
        <f t="shared" si="29"/>
        <v>19.4085</v>
      </c>
      <c r="H1817" s="34"/>
      <c r="I1817" s="30"/>
      <c r="J1817" s="148">
        <v>45</v>
      </c>
      <c r="K1817" s="222" t="s">
        <v>8074</v>
      </c>
    </row>
    <row r="1818" spans="1:11" ht="25.5" hidden="1" x14ac:dyDescent="0.25">
      <c r="A1818" s="203"/>
      <c r="B1818" s="205"/>
      <c r="C1818" s="35" t="s">
        <v>564</v>
      </c>
      <c r="D1818" s="35" t="s">
        <v>143</v>
      </c>
      <c r="E1818" s="36">
        <v>1</v>
      </c>
      <c r="F1818" s="33">
        <v>199.23</v>
      </c>
      <c r="G1818" s="33">
        <f t="shared" si="29"/>
        <v>199.23</v>
      </c>
      <c r="H1818" s="34"/>
      <c r="I1818" s="30"/>
      <c r="J1818" s="148">
        <v>45</v>
      </c>
      <c r="K1818" s="222" t="s">
        <v>8074</v>
      </c>
    </row>
    <row r="1819" spans="1:11" ht="15.75" hidden="1" thickBot="1" x14ac:dyDescent="0.3">
      <c r="A1819" s="209"/>
      <c r="B1819" s="206"/>
      <c r="C1819" s="35"/>
      <c r="D1819" s="35"/>
      <c r="E1819" s="36"/>
      <c r="F1819" s="30" t="s">
        <v>514</v>
      </c>
      <c r="G1819" s="30" t="str">
        <f t="shared" si="29"/>
        <v/>
      </c>
      <c r="H1819" s="34"/>
      <c r="I1819" s="30"/>
      <c r="J1819" s="148">
        <v>45</v>
      </c>
      <c r="K1819" s="222" t="s">
        <v>8074</v>
      </c>
    </row>
    <row r="1820" spans="1:11" ht="15.75" hidden="1" thickBot="1" x14ac:dyDescent="0.3">
      <c r="A1820" s="202" t="s">
        <v>565</v>
      </c>
      <c r="B1820" s="204" t="str">
        <f>INDEX(Orçamentária!A:B,MATCH(Composições!A1820,Orçamentária!A:A,0),2)</f>
        <v>Exaustor axial 865 m3/h</v>
      </c>
      <c r="C1820" s="40"/>
      <c r="D1820" s="25" t="str">
        <f>TRIM(INDEX(Orçamentária!C:C,MATCH(Composições!A1820,Orçamentária!A:A,0),1))</f>
        <v>un</v>
      </c>
      <c r="E1820" s="26"/>
      <c r="F1820" s="41" t="s">
        <v>514</v>
      </c>
      <c r="G1820" s="27" t="str">
        <f t="shared" si="29"/>
        <v/>
      </c>
      <c r="H1820" s="28"/>
      <c r="I1820" s="29"/>
      <c r="J1820" s="148">
        <v>4</v>
      </c>
      <c r="K1820" s="222" t="s">
        <v>8074</v>
      </c>
    </row>
    <row r="1821" spans="1:11" hidden="1" x14ac:dyDescent="0.25">
      <c r="A1821" s="203"/>
      <c r="B1821" s="205"/>
      <c r="C1821" s="31"/>
      <c r="D1821" s="31"/>
      <c r="E1821" s="32"/>
      <c r="F1821" s="42" t="s">
        <v>514</v>
      </c>
      <c r="G1821" s="30" t="str">
        <f t="shared" si="29"/>
        <v/>
      </c>
      <c r="H1821" s="34"/>
      <c r="I1821" s="30"/>
      <c r="J1821" s="148">
        <v>4</v>
      </c>
      <c r="K1821" s="222" t="s">
        <v>8074</v>
      </c>
    </row>
    <row r="1822" spans="1:11" hidden="1" x14ac:dyDescent="0.25">
      <c r="A1822" s="203"/>
      <c r="B1822" s="205"/>
      <c r="C1822" s="35" t="s">
        <v>30</v>
      </c>
      <c r="D1822" s="35" t="s">
        <v>12</v>
      </c>
      <c r="E1822" s="36">
        <v>1</v>
      </c>
      <c r="F1822" s="30">
        <v>25.146499999999996</v>
      </c>
      <c r="G1822" s="33">
        <f t="shared" si="29"/>
        <v>25.146499999999996</v>
      </c>
      <c r="H1822" s="38">
        <f>SUM(G1822:G1824)</f>
        <v>1133.7750000000001</v>
      </c>
      <c r="I1822" s="39"/>
      <c r="J1822" s="148">
        <v>4</v>
      </c>
      <c r="K1822" s="222" t="s">
        <v>8074</v>
      </c>
    </row>
    <row r="1823" spans="1:11" hidden="1" x14ac:dyDescent="0.25">
      <c r="A1823" s="203"/>
      <c r="B1823" s="205"/>
      <c r="C1823" s="35" t="s">
        <v>74</v>
      </c>
      <c r="D1823" s="46" t="s">
        <v>12</v>
      </c>
      <c r="E1823" s="36">
        <v>1</v>
      </c>
      <c r="F1823" s="30">
        <v>19.4085</v>
      </c>
      <c r="G1823" s="33">
        <f t="shared" si="29"/>
        <v>19.4085</v>
      </c>
      <c r="H1823" s="34"/>
      <c r="I1823" s="30"/>
      <c r="J1823" s="148">
        <v>4</v>
      </c>
      <c r="K1823" s="222" t="s">
        <v>8074</v>
      </c>
    </row>
    <row r="1824" spans="1:11" ht="25.5" hidden="1" x14ac:dyDescent="0.25">
      <c r="A1824" s="203"/>
      <c r="B1824" s="205"/>
      <c r="C1824" s="35" t="s">
        <v>566</v>
      </c>
      <c r="D1824" s="35" t="s">
        <v>143</v>
      </c>
      <c r="E1824" s="36">
        <v>1</v>
      </c>
      <c r="F1824" s="33">
        <v>1089.22</v>
      </c>
      <c r="G1824" s="33">
        <f t="shared" si="29"/>
        <v>1089.22</v>
      </c>
      <c r="H1824" s="34"/>
      <c r="I1824" s="30"/>
      <c r="J1824" s="148">
        <v>4</v>
      </c>
      <c r="K1824" s="222" t="s">
        <v>8074</v>
      </c>
    </row>
    <row r="1825" spans="1:11" ht="15.75" hidden="1" thickBot="1" x14ac:dyDescent="0.3">
      <c r="A1825" s="209"/>
      <c r="B1825" s="206"/>
      <c r="C1825" s="35"/>
      <c r="D1825" s="35"/>
      <c r="E1825" s="36"/>
      <c r="F1825" s="30" t="s">
        <v>514</v>
      </c>
      <c r="G1825" s="30" t="str">
        <f t="shared" si="29"/>
        <v/>
      </c>
      <c r="H1825" s="34"/>
      <c r="I1825" s="30"/>
      <c r="J1825" s="148">
        <v>4</v>
      </c>
      <c r="K1825" s="222" t="s">
        <v>8074</v>
      </c>
    </row>
    <row r="1826" spans="1:11" ht="15.75" hidden="1" thickBot="1" x14ac:dyDescent="0.3">
      <c r="A1826" s="202" t="s">
        <v>567</v>
      </c>
      <c r="B1826" s="204" t="str">
        <f>INDEX(Orçamentária!A:B,MATCH(Composições!A1826,Orçamentária!A:A,0),2)</f>
        <v>Duto chapa galvanizada # 22</v>
      </c>
      <c r="C1826" s="40"/>
      <c r="D1826" s="25" t="str">
        <f>TRIM(INDEX(Orçamentária!C:C,MATCH(Composições!A1826,Orçamentária!A:A,0),1))</f>
        <v>m2</v>
      </c>
      <c r="E1826" s="26"/>
      <c r="F1826" s="41" t="s">
        <v>514</v>
      </c>
      <c r="G1826" s="27" t="str">
        <f t="shared" si="29"/>
        <v/>
      </c>
      <c r="H1826" s="28"/>
      <c r="I1826" s="29"/>
      <c r="J1826" s="148">
        <v>660</v>
      </c>
      <c r="K1826" s="222" t="s">
        <v>8074</v>
      </c>
    </row>
    <row r="1827" spans="1:11" hidden="1" x14ac:dyDescent="0.25">
      <c r="A1827" s="203"/>
      <c r="B1827" s="205"/>
      <c r="C1827" s="31"/>
      <c r="D1827" s="31"/>
      <c r="E1827" s="32"/>
      <c r="F1827" s="42" t="s">
        <v>514</v>
      </c>
      <c r="G1827" s="30" t="str">
        <f t="shared" si="29"/>
        <v/>
      </c>
      <c r="H1827" s="34"/>
      <c r="I1827" s="30"/>
      <c r="J1827" s="148">
        <v>660</v>
      </c>
      <c r="K1827" s="222" t="s">
        <v>8074</v>
      </c>
    </row>
    <row r="1828" spans="1:11" hidden="1" x14ac:dyDescent="0.25">
      <c r="A1828" s="203"/>
      <c r="B1828" s="205"/>
      <c r="C1828" s="35" t="s">
        <v>568</v>
      </c>
      <c r="D1828" s="46" t="s">
        <v>42</v>
      </c>
      <c r="E1828" s="36">
        <v>6.6559999999999997</v>
      </c>
      <c r="F1828" s="33">
        <v>14.677499999999998</v>
      </c>
      <c r="G1828" s="33">
        <f t="shared" si="29"/>
        <v>97.693439999999981</v>
      </c>
      <c r="H1828" s="38">
        <f>SUM(G1828:G1831)</f>
        <v>279.12253999999996</v>
      </c>
      <c r="I1828" s="39"/>
      <c r="J1828" s="148">
        <v>660</v>
      </c>
      <c r="K1828" s="222" t="s">
        <v>8074</v>
      </c>
    </row>
    <row r="1829" spans="1:11" hidden="1" x14ac:dyDescent="0.25">
      <c r="A1829" s="203"/>
      <c r="B1829" s="205"/>
      <c r="C1829" s="35" t="s">
        <v>569</v>
      </c>
      <c r="D1829" s="46" t="s">
        <v>570</v>
      </c>
      <c r="E1829" s="36">
        <v>1</v>
      </c>
      <c r="F1829" s="30">
        <v>9.2434999999999992</v>
      </c>
      <c r="G1829" s="33">
        <f t="shared" si="29"/>
        <v>9.2434999999999992</v>
      </c>
      <c r="H1829" s="44"/>
      <c r="I1829" s="45"/>
      <c r="J1829" s="148">
        <v>660</v>
      </c>
      <c r="K1829" s="222" t="s">
        <v>8074</v>
      </c>
    </row>
    <row r="1830" spans="1:11" hidden="1" x14ac:dyDescent="0.25">
      <c r="A1830" s="203"/>
      <c r="B1830" s="205"/>
      <c r="C1830" s="35" t="s">
        <v>23</v>
      </c>
      <c r="D1830" s="46" t="s">
        <v>12</v>
      </c>
      <c r="E1830" s="36">
        <v>3.84</v>
      </c>
      <c r="F1830" s="30">
        <v>18.420500000000001</v>
      </c>
      <c r="G1830" s="33">
        <f t="shared" si="29"/>
        <v>70.734719999999996</v>
      </c>
      <c r="H1830" s="34"/>
      <c r="I1830" s="30"/>
      <c r="J1830" s="148">
        <v>660</v>
      </c>
      <c r="K1830" s="222" t="s">
        <v>8074</v>
      </c>
    </row>
    <row r="1831" spans="1:11" ht="25.5" hidden="1" x14ac:dyDescent="0.25">
      <c r="A1831" s="203"/>
      <c r="B1831" s="205"/>
      <c r="C1831" s="35" t="s">
        <v>561</v>
      </c>
      <c r="D1831" s="46" t="s">
        <v>12</v>
      </c>
      <c r="E1831" s="36">
        <v>3.84</v>
      </c>
      <c r="F1831" s="30">
        <v>26.419499999999999</v>
      </c>
      <c r="G1831" s="33">
        <f t="shared" si="29"/>
        <v>101.45088</v>
      </c>
      <c r="H1831" s="34"/>
      <c r="I1831" s="30"/>
      <c r="J1831" s="148">
        <v>660</v>
      </c>
      <c r="K1831" s="222" t="s">
        <v>8074</v>
      </c>
    </row>
    <row r="1832" spans="1:11" ht="15.75" hidden="1" thickBot="1" x14ac:dyDescent="0.3">
      <c r="A1832" s="209"/>
      <c r="B1832" s="206"/>
      <c r="C1832" s="35"/>
      <c r="D1832" s="35"/>
      <c r="E1832" s="36"/>
      <c r="F1832" s="30" t="s">
        <v>514</v>
      </c>
      <c r="G1832" s="30" t="str">
        <f t="shared" si="29"/>
        <v/>
      </c>
      <c r="H1832" s="34"/>
      <c r="I1832" s="30"/>
      <c r="J1832" s="148">
        <v>660</v>
      </c>
      <c r="K1832" s="222" t="s">
        <v>8074</v>
      </c>
    </row>
    <row r="1833" spans="1:11" ht="15.75" hidden="1" thickBot="1" x14ac:dyDescent="0.3">
      <c r="A1833" s="202" t="s">
        <v>571</v>
      </c>
      <c r="B1833" s="204" t="str">
        <f>INDEX(Orçamentária!A:B,MATCH(Composições!A1833,Orçamentária!A:A,0),2)</f>
        <v>Duto flexível 6”</v>
      </c>
      <c r="C1833" s="40"/>
      <c r="D1833" s="25" t="str">
        <f>TRIM(INDEX(Orçamentária!C:C,MATCH(Composições!A1833,Orçamentária!A:A,0),1))</f>
        <v>m</v>
      </c>
      <c r="E1833" s="26"/>
      <c r="F1833" s="41" t="s">
        <v>514</v>
      </c>
      <c r="G1833" s="27" t="str">
        <f t="shared" si="29"/>
        <v/>
      </c>
      <c r="H1833" s="28"/>
      <c r="I1833" s="29"/>
      <c r="J1833" s="148">
        <v>30</v>
      </c>
      <c r="K1833" s="222" t="s">
        <v>8074</v>
      </c>
    </row>
    <row r="1834" spans="1:11" hidden="1" x14ac:dyDescent="0.25">
      <c r="A1834" s="203"/>
      <c r="B1834" s="205"/>
      <c r="C1834" s="31"/>
      <c r="D1834" s="31"/>
      <c r="E1834" s="32"/>
      <c r="F1834" s="42" t="s">
        <v>514</v>
      </c>
      <c r="G1834" s="30" t="str">
        <f t="shared" si="29"/>
        <v/>
      </c>
      <c r="H1834" s="34"/>
      <c r="I1834" s="30"/>
      <c r="J1834" s="148">
        <v>30</v>
      </c>
      <c r="K1834" s="222" t="s">
        <v>8074</v>
      </c>
    </row>
    <row r="1835" spans="1:11" hidden="1" x14ac:dyDescent="0.25">
      <c r="A1835" s="203"/>
      <c r="B1835" s="205"/>
      <c r="C1835" s="35" t="s">
        <v>23</v>
      </c>
      <c r="D1835" s="46" t="s">
        <v>12</v>
      </c>
      <c r="E1835" s="36">
        <v>0.4</v>
      </c>
      <c r="F1835" s="30">
        <v>18.420500000000001</v>
      </c>
      <c r="G1835" s="30">
        <f t="shared" si="29"/>
        <v>7.3682000000000007</v>
      </c>
      <c r="H1835" s="38">
        <f>SUM(G1835:G1837)</f>
        <v>41.277500000000003</v>
      </c>
      <c r="I1835" s="39"/>
      <c r="J1835" s="148">
        <v>30</v>
      </c>
      <c r="K1835" s="222" t="s">
        <v>8074</v>
      </c>
    </row>
    <row r="1836" spans="1:11" ht="25.5" hidden="1" x14ac:dyDescent="0.25">
      <c r="A1836" s="203"/>
      <c r="B1836" s="205"/>
      <c r="C1836" s="35" t="s">
        <v>561</v>
      </c>
      <c r="D1836" s="46" t="s">
        <v>12</v>
      </c>
      <c r="E1836" s="36">
        <v>0.4</v>
      </c>
      <c r="F1836" s="30">
        <v>26.419499999999999</v>
      </c>
      <c r="G1836" s="30">
        <f t="shared" si="29"/>
        <v>10.5678</v>
      </c>
      <c r="H1836" s="34"/>
      <c r="I1836" s="30"/>
      <c r="J1836" s="148">
        <v>30</v>
      </c>
      <c r="K1836" s="222" t="s">
        <v>8074</v>
      </c>
    </row>
    <row r="1837" spans="1:11" ht="25.5" hidden="1" x14ac:dyDescent="0.25">
      <c r="A1837" s="203"/>
      <c r="B1837" s="205"/>
      <c r="C1837" s="35" t="s">
        <v>572</v>
      </c>
      <c r="D1837" s="35" t="s">
        <v>92</v>
      </c>
      <c r="E1837" s="36">
        <v>1.05</v>
      </c>
      <c r="F1837" s="33">
        <v>22.23</v>
      </c>
      <c r="G1837" s="30">
        <f t="shared" si="29"/>
        <v>23.3415</v>
      </c>
      <c r="H1837" s="34"/>
      <c r="I1837" s="30"/>
      <c r="J1837" s="148">
        <v>30</v>
      </c>
      <c r="K1837" s="222" t="s">
        <v>8074</v>
      </c>
    </row>
    <row r="1838" spans="1:11" ht="15.75" hidden="1" thickBot="1" x14ac:dyDescent="0.3">
      <c r="A1838" s="209"/>
      <c r="B1838" s="206"/>
      <c r="C1838" s="35"/>
      <c r="D1838" s="35"/>
      <c r="E1838" s="36"/>
      <c r="F1838" s="30" t="s">
        <v>514</v>
      </c>
      <c r="G1838" s="30" t="str">
        <f t="shared" si="29"/>
        <v/>
      </c>
      <c r="H1838" s="34"/>
      <c r="I1838" s="30"/>
      <c r="J1838" s="148">
        <v>30</v>
      </c>
      <c r="K1838" s="222" t="s">
        <v>8074</v>
      </c>
    </row>
    <row r="1839" spans="1:11" ht="15.75" hidden="1" thickBot="1" x14ac:dyDescent="0.3">
      <c r="A1839" s="202" t="s">
        <v>573</v>
      </c>
      <c r="B1839" s="204" t="str">
        <f>INDEX(Orçamentária!A:B,MATCH(Composições!A1839,Orçamentária!A:A,0),2)</f>
        <v>Duto flexível 8”</v>
      </c>
      <c r="C1839" s="40"/>
      <c r="D1839" s="25" t="str">
        <f>TRIM(INDEX(Orçamentária!C:C,MATCH(Composições!A1839,Orçamentária!A:A,0),1))</f>
        <v>m</v>
      </c>
      <c r="E1839" s="26"/>
      <c r="F1839" s="41" t="s">
        <v>514</v>
      </c>
      <c r="G1839" s="27" t="str">
        <f t="shared" si="29"/>
        <v/>
      </c>
      <c r="H1839" s="28"/>
      <c r="I1839" s="29"/>
      <c r="J1839" s="148">
        <v>20</v>
      </c>
      <c r="K1839" s="222" t="s">
        <v>8074</v>
      </c>
    </row>
    <row r="1840" spans="1:11" hidden="1" x14ac:dyDescent="0.25">
      <c r="A1840" s="203"/>
      <c r="B1840" s="205"/>
      <c r="C1840" s="31"/>
      <c r="D1840" s="31"/>
      <c r="E1840" s="32"/>
      <c r="F1840" s="42" t="s">
        <v>514</v>
      </c>
      <c r="G1840" s="30" t="str">
        <f t="shared" si="29"/>
        <v/>
      </c>
      <c r="H1840" s="34"/>
      <c r="I1840" s="30"/>
      <c r="J1840" s="148">
        <v>20</v>
      </c>
      <c r="K1840" s="222" t="s">
        <v>8074</v>
      </c>
    </row>
    <row r="1841" spans="1:11" hidden="1" x14ac:dyDescent="0.25">
      <c r="A1841" s="203"/>
      <c r="B1841" s="205"/>
      <c r="C1841" s="35" t="s">
        <v>23</v>
      </c>
      <c r="D1841" s="46" t="s">
        <v>12</v>
      </c>
      <c r="E1841" s="36">
        <v>0.4</v>
      </c>
      <c r="F1841" s="30">
        <v>18.420500000000001</v>
      </c>
      <c r="G1841" s="30">
        <f t="shared" si="29"/>
        <v>7.3682000000000007</v>
      </c>
      <c r="H1841" s="38">
        <f>SUM(G1841:G1843)</f>
        <v>49.058000000000007</v>
      </c>
      <c r="I1841" s="39"/>
      <c r="J1841" s="148">
        <v>20</v>
      </c>
      <c r="K1841" s="222" t="s">
        <v>8074</v>
      </c>
    </row>
    <row r="1842" spans="1:11" ht="25.5" hidden="1" x14ac:dyDescent="0.25">
      <c r="A1842" s="203"/>
      <c r="B1842" s="205"/>
      <c r="C1842" s="35" t="s">
        <v>561</v>
      </c>
      <c r="D1842" s="46" t="s">
        <v>12</v>
      </c>
      <c r="E1842" s="36">
        <v>0.4</v>
      </c>
      <c r="F1842" s="30">
        <v>26.419499999999999</v>
      </c>
      <c r="G1842" s="30">
        <f t="shared" si="29"/>
        <v>10.5678</v>
      </c>
      <c r="H1842" s="34"/>
      <c r="I1842" s="30"/>
      <c r="J1842" s="148">
        <v>20</v>
      </c>
      <c r="K1842" s="222" t="s">
        <v>8074</v>
      </c>
    </row>
    <row r="1843" spans="1:11" ht="25.5" hidden="1" x14ac:dyDescent="0.25">
      <c r="A1843" s="203"/>
      <c r="B1843" s="205"/>
      <c r="C1843" s="35" t="s">
        <v>574</v>
      </c>
      <c r="D1843" s="35" t="s">
        <v>92</v>
      </c>
      <c r="E1843" s="36">
        <v>1.05</v>
      </c>
      <c r="F1843" s="33">
        <v>29.64</v>
      </c>
      <c r="G1843" s="30">
        <f t="shared" si="29"/>
        <v>31.122000000000003</v>
      </c>
      <c r="H1843" s="34"/>
      <c r="I1843" s="30"/>
      <c r="J1843" s="148">
        <v>20</v>
      </c>
      <c r="K1843" s="222" t="s">
        <v>8074</v>
      </c>
    </row>
    <row r="1844" spans="1:11" ht="15.75" hidden="1" thickBot="1" x14ac:dyDescent="0.3">
      <c r="A1844" s="209"/>
      <c r="B1844" s="206"/>
      <c r="C1844" s="35"/>
      <c r="D1844" s="35"/>
      <c r="E1844" s="36"/>
      <c r="F1844" s="30" t="s">
        <v>514</v>
      </c>
      <c r="G1844" s="30" t="str">
        <f t="shared" si="29"/>
        <v/>
      </c>
      <c r="H1844" s="34"/>
      <c r="I1844" s="30"/>
      <c r="J1844" s="148">
        <v>20</v>
      </c>
      <c r="K1844" s="222" t="s">
        <v>8074</v>
      </c>
    </row>
    <row r="1845" spans="1:11" ht="15.75" hidden="1" thickBot="1" x14ac:dyDescent="0.3">
      <c r="A1845" s="202" t="s">
        <v>575</v>
      </c>
      <c r="B1845" s="204" t="str">
        <f>INDEX(Orçamentária!A:B,MATCH(Composições!A1845,Orçamentária!A:A,0),2)</f>
        <v>Difusor de ar quadrado 360x360 mm</v>
      </c>
      <c r="C1845" s="40"/>
      <c r="D1845" s="25" t="str">
        <f>TRIM(INDEX(Orçamentária!C:C,MATCH(Composições!A1845,Orçamentária!A:A,0),1))</f>
        <v>un</v>
      </c>
      <c r="E1845" s="26"/>
      <c r="F1845" s="41" t="s">
        <v>514</v>
      </c>
      <c r="G1845" s="27" t="str">
        <f t="shared" si="29"/>
        <v/>
      </c>
      <c r="H1845" s="28"/>
      <c r="I1845" s="29"/>
      <c r="J1845" s="148">
        <v>135</v>
      </c>
      <c r="K1845" s="222" t="s">
        <v>8074</v>
      </c>
    </row>
    <row r="1846" spans="1:11" hidden="1" x14ac:dyDescent="0.25">
      <c r="A1846" s="203"/>
      <c r="B1846" s="205"/>
      <c r="C1846" s="31"/>
      <c r="D1846" s="31"/>
      <c r="E1846" s="32"/>
      <c r="F1846" s="42" t="s">
        <v>514</v>
      </c>
      <c r="G1846" s="30" t="str">
        <f t="shared" si="29"/>
        <v/>
      </c>
      <c r="H1846" s="34"/>
      <c r="I1846" s="30"/>
      <c r="J1846" s="148">
        <v>135</v>
      </c>
      <c r="K1846" s="222" t="s">
        <v>8074</v>
      </c>
    </row>
    <row r="1847" spans="1:11" hidden="1" x14ac:dyDescent="0.25">
      <c r="A1847" s="203"/>
      <c r="B1847" s="205"/>
      <c r="C1847" s="35" t="s">
        <v>52</v>
      </c>
      <c r="D1847" s="46" t="s">
        <v>12</v>
      </c>
      <c r="E1847" s="36">
        <v>2.5</v>
      </c>
      <c r="F1847" s="30">
        <v>21.184999999999999</v>
      </c>
      <c r="G1847" s="33">
        <f t="shared" si="29"/>
        <v>52.962499999999999</v>
      </c>
      <c r="H1847" s="38">
        <f>SUM(G1847:G1849)</f>
        <v>362.28125</v>
      </c>
      <c r="I1847" s="39"/>
      <c r="J1847" s="148">
        <v>135</v>
      </c>
      <c r="K1847" s="222" t="s">
        <v>8074</v>
      </c>
    </row>
    <row r="1848" spans="1:11" ht="25.5" hidden="1" x14ac:dyDescent="0.25">
      <c r="A1848" s="203"/>
      <c r="B1848" s="205"/>
      <c r="C1848" s="35" t="s">
        <v>561</v>
      </c>
      <c r="D1848" s="46" t="s">
        <v>12</v>
      </c>
      <c r="E1848" s="36">
        <v>2.5</v>
      </c>
      <c r="F1848" s="30">
        <v>26.419499999999999</v>
      </c>
      <c r="G1848" s="33">
        <f t="shared" si="29"/>
        <v>66.048749999999998</v>
      </c>
      <c r="H1848" s="34"/>
      <c r="I1848" s="30"/>
      <c r="J1848" s="148">
        <v>135</v>
      </c>
      <c r="K1848" s="222" t="s">
        <v>8074</v>
      </c>
    </row>
    <row r="1849" spans="1:11" ht="25.5" hidden="1" x14ac:dyDescent="0.25">
      <c r="A1849" s="203"/>
      <c r="B1849" s="205"/>
      <c r="C1849" s="35" t="s">
        <v>576</v>
      </c>
      <c r="D1849" s="35" t="s">
        <v>143</v>
      </c>
      <c r="E1849" s="36">
        <v>1</v>
      </c>
      <c r="F1849" s="33">
        <v>243.27</v>
      </c>
      <c r="G1849" s="33">
        <f t="shared" si="29"/>
        <v>243.27</v>
      </c>
      <c r="H1849" s="34"/>
      <c r="I1849" s="30"/>
      <c r="J1849" s="148">
        <v>135</v>
      </c>
      <c r="K1849" s="222" t="s">
        <v>8074</v>
      </c>
    </row>
    <row r="1850" spans="1:11" ht="15.75" hidden="1" thickBot="1" x14ac:dyDescent="0.3">
      <c r="A1850" s="209"/>
      <c r="B1850" s="206"/>
      <c r="C1850" s="35"/>
      <c r="D1850" s="35"/>
      <c r="E1850" s="36"/>
      <c r="F1850" s="30" t="s">
        <v>514</v>
      </c>
      <c r="G1850" s="30" t="str">
        <f t="shared" si="29"/>
        <v/>
      </c>
      <c r="H1850" s="34"/>
      <c r="I1850" s="30"/>
      <c r="J1850" s="148">
        <v>135</v>
      </c>
      <c r="K1850" s="222" t="s">
        <v>8074</v>
      </c>
    </row>
    <row r="1851" spans="1:11" ht="15.75" hidden="1" thickBot="1" x14ac:dyDescent="0.3">
      <c r="A1851" s="202" t="s">
        <v>577</v>
      </c>
      <c r="B1851" s="204" t="str">
        <f>INDEX(Orçamentária!A:B,MATCH(Composições!A1851,Orçamentária!A:A,0),2)</f>
        <v>Difusor de ar quadrado com caixa plenum AK6 360x360 mm</v>
      </c>
      <c r="C1851" s="40"/>
      <c r="D1851" s="25" t="str">
        <f>TRIM(INDEX(Orçamentária!C:C,MATCH(Composições!A1851,Orçamentária!A:A,0),1))</f>
        <v>un</v>
      </c>
      <c r="E1851" s="26"/>
      <c r="F1851" s="41" t="s">
        <v>514</v>
      </c>
      <c r="G1851" s="27" t="str">
        <f t="shared" si="29"/>
        <v/>
      </c>
      <c r="H1851" s="28"/>
      <c r="I1851" s="29"/>
      <c r="J1851" s="148">
        <v>10</v>
      </c>
      <c r="K1851" s="222" t="s">
        <v>8074</v>
      </c>
    </row>
    <row r="1852" spans="1:11" hidden="1" x14ac:dyDescent="0.25">
      <c r="A1852" s="203"/>
      <c r="B1852" s="205"/>
      <c r="C1852" s="31"/>
      <c r="D1852" s="31"/>
      <c r="E1852" s="32"/>
      <c r="F1852" s="42" t="s">
        <v>514</v>
      </c>
      <c r="G1852" s="30" t="str">
        <f t="shared" si="29"/>
        <v/>
      </c>
      <c r="H1852" s="34"/>
      <c r="I1852" s="30"/>
      <c r="J1852" s="148">
        <v>10</v>
      </c>
      <c r="K1852" s="222" t="s">
        <v>8074</v>
      </c>
    </row>
    <row r="1853" spans="1:11" hidden="1" x14ac:dyDescent="0.25">
      <c r="A1853" s="203"/>
      <c r="B1853" s="205"/>
      <c r="C1853" s="35" t="s">
        <v>52</v>
      </c>
      <c r="D1853" s="46" t="s">
        <v>12</v>
      </c>
      <c r="E1853" s="36">
        <v>2.5</v>
      </c>
      <c r="F1853" s="30">
        <v>21.184999999999999</v>
      </c>
      <c r="G1853" s="33">
        <f t="shared" si="29"/>
        <v>52.962499999999999</v>
      </c>
      <c r="H1853" s="38">
        <f>SUM(G1853:G1855)</f>
        <v>515.92124999999999</v>
      </c>
      <c r="I1853" s="39"/>
      <c r="J1853" s="148">
        <v>10</v>
      </c>
      <c r="K1853" s="222" t="s">
        <v>8074</v>
      </c>
    </row>
    <row r="1854" spans="1:11" ht="25.5" hidden="1" x14ac:dyDescent="0.25">
      <c r="A1854" s="203"/>
      <c r="B1854" s="205"/>
      <c r="C1854" s="35" t="s">
        <v>561</v>
      </c>
      <c r="D1854" s="46" t="s">
        <v>12</v>
      </c>
      <c r="E1854" s="36">
        <v>2.5</v>
      </c>
      <c r="F1854" s="30">
        <v>26.419499999999999</v>
      </c>
      <c r="G1854" s="33">
        <f t="shared" si="29"/>
        <v>66.048749999999998</v>
      </c>
      <c r="H1854" s="34"/>
      <c r="I1854" s="30"/>
      <c r="J1854" s="148">
        <v>10</v>
      </c>
      <c r="K1854" s="222" t="s">
        <v>8074</v>
      </c>
    </row>
    <row r="1855" spans="1:11" ht="25.5" hidden="1" x14ac:dyDescent="0.25">
      <c r="A1855" s="203"/>
      <c r="B1855" s="205"/>
      <c r="C1855" s="35" t="s">
        <v>578</v>
      </c>
      <c r="D1855" s="35" t="s">
        <v>143</v>
      </c>
      <c r="E1855" s="36">
        <v>1</v>
      </c>
      <c r="F1855" s="33">
        <v>396.91</v>
      </c>
      <c r="G1855" s="33">
        <f t="shared" si="29"/>
        <v>396.91</v>
      </c>
      <c r="H1855" s="34"/>
      <c r="I1855" s="30"/>
      <c r="J1855" s="148">
        <v>10</v>
      </c>
      <c r="K1855" s="222" t="s">
        <v>8074</v>
      </c>
    </row>
    <row r="1856" spans="1:11" ht="15.75" hidden="1" thickBot="1" x14ac:dyDescent="0.3">
      <c r="A1856" s="209"/>
      <c r="B1856" s="206"/>
      <c r="C1856" s="35"/>
      <c r="D1856" s="35"/>
      <c r="E1856" s="36"/>
      <c r="F1856" s="30" t="s">
        <v>514</v>
      </c>
      <c r="G1856" s="30" t="str">
        <f t="shared" si="29"/>
        <v/>
      </c>
      <c r="H1856" s="34"/>
      <c r="I1856" s="30"/>
      <c r="J1856" s="148">
        <v>10</v>
      </c>
      <c r="K1856" s="222" t="s">
        <v>8074</v>
      </c>
    </row>
    <row r="1857" spans="1:11" ht="15.75" hidden="1" thickBot="1" x14ac:dyDescent="0.3">
      <c r="A1857" s="202" t="s">
        <v>579</v>
      </c>
      <c r="B1857" s="204" t="str">
        <f>INDEX(Orçamentária!A:B,MATCH(Composições!A1857,Orçamentária!A:A,0),2)</f>
        <v>Difusor de ar quadrado para insuflamento em duas direções perpendiculares 376x376 mm</v>
      </c>
      <c r="C1857" s="40"/>
      <c r="D1857" s="25" t="str">
        <f>TRIM(INDEX(Orçamentária!C:C,MATCH(Composições!A1857,Orçamentária!A:A,0),1))</f>
        <v>un</v>
      </c>
      <c r="E1857" s="26"/>
      <c r="F1857" s="41" t="s">
        <v>514</v>
      </c>
      <c r="G1857" s="27" t="str">
        <f t="shared" si="29"/>
        <v/>
      </c>
      <c r="H1857" s="28"/>
      <c r="I1857" s="29"/>
      <c r="J1857" s="148">
        <v>10</v>
      </c>
      <c r="K1857" s="222" t="s">
        <v>8074</v>
      </c>
    </row>
    <row r="1858" spans="1:11" hidden="1" x14ac:dyDescent="0.25">
      <c r="A1858" s="203"/>
      <c r="B1858" s="205"/>
      <c r="C1858" s="31"/>
      <c r="D1858" s="31"/>
      <c r="E1858" s="32"/>
      <c r="F1858" s="42" t="s">
        <v>514</v>
      </c>
      <c r="G1858" s="30" t="str">
        <f t="shared" si="29"/>
        <v/>
      </c>
      <c r="H1858" s="34"/>
      <c r="I1858" s="30"/>
      <c r="J1858" s="148">
        <v>10</v>
      </c>
      <c r="K1858" s="222" t="s">
        <v>8074</v>
      </c>
    </row>
    <row r="1859" spans="1:11" hidden="1" x14ac:dyDescent="0.25">
      <c r="A1859" s="203"/>
      <c r="B1859" s="205"/>
      <c r="C1859" s="35" t="s">
        <v>52</v>
      </c>
      <c r="D1859" s="46" t="s">
        <v>12</v>
      </c>
      <c r="E1859" s="36">
        <v>2.5</v>
      </c>
      <c r="F1859" s="30">
        <v>21.184999999999999</v>
      </c>
      <c r="G1859" s="33">
        <f t="shared" si="29"/>
        <v>52.962499999999999</v>
      </c>
      <c r="H1859" s="38">
        <f>SUM(G1859:G1861)</f>
        <v>386.13125000000002</v>
      </c>
      <c r="I1859" s="39"/>
      <c r="J1859" s="148">
        <v>10</v>
      </c>
      <c r="K1859" s="222" t="s">
        <v>8074</v>
      </c>
    </row>
    <row r="1860" spans="1:11" ht="25.5" hidden="1" x14ac:dyDescent="0.25">
      <c r="A1860" s="203"/>
      <c r="B1860" s="205"/>
      <c r="C1860" s="35" t="s">
        <v>561</v>
      </c>
      <c r="D1860" s="46" t="s">
        <v>12</v>
      </c>
      <c r="E1860" s="36">
        <v>2.5</v>
      </c>
      <c r="F1860" s="30">
        <v>26.419499999999999</v>
      </c>
      <c r="G1860" s="33">
        <f t="shared" si="29"/>
        <v>66.048749999999998</v>
      </c>
      <c r="H1860" s="34"/>
      <c r="I1860" s="30"/>
      <c r="J1860" s="148">
        <v>10</v>
      </c>
      <c r="K1860" s="222" t="s">
        <v>8074</v>
      </c>
    </row>
    <row r="1861" spans="1:11" ht="25.5" hidden="1" x14ac:dyDescent="0.25">
      <c r="A1861" s="203"/>
      <c r="B1861" s="205"/>
      <c r="C1861" s="35" t="s">
        <v>580</v>
      </c>
      <c r="D1861" s="35" t="s">
        <v>143</v>
      </c>
      <c r="E1861" s="36">
        <v>1</v>
      </c>
      <c r="F1861" s="33">
        <v>267.12</v>
      </c>
      <c r="G1861" s="33">
        <f t="shared" si="29"/>
        <v>267.12</v>
      </c>
      <c r="H1861" s="34"/>
      <c r="I1861" s="30"/>
      <c r="J1861" s="148">
        <v>10</v>
      </c>
      <c r="K1861" s="222" t="s">
        <v>8074</v>
      </c>
    </row>
    <row r="1862" spans="1:11" ht="15.75" hidden="1" thickBot="1" x14ac:dyDescent="0.3">
      <c r="A1862" s="209"/>
      <c r="B1862" s="206"/>
      <c r="C1862" s="35"/>
      <c r="D1862" s="35"/>
      <c r="E1862" s="36"/>
      <c r="F1862" s="30" t="s">
        <v>514</v>
      </c>
      <c r="G1862" s="30" t="str">
        <f t="shared" si="29"/>
        <v/>
      </c>
      <c r="H1862" s="34"/>
      <c r="I1862" s="30"/>
      <c r="J1862" s="148">
        <v>10</v>
      </c>
      <c r="K1862" s="222" t="s">
        <v>8074</v>
      </c>
    </row>
    <row r="1863" spans="1:11" ht="15.75" hidden="1" thickBot="1" x14ac:dyDescent="0.3">
      <c r="A1863" s="202" t="s">
        <v>581</v>
      </c>
      <c r="B1863" s="204" t="str">
        <f>INDEX(Orçamentária!A:B,MATCH(Composições!A1863,Orçamentária!A:A,0),2)</f>
        <v>Difusor de ar retangular para insuflamento em duas direções 371x208 mm</v>
      </c>
      <c r="C1863" s="40"/>
      <c r="D1863" s="25" t="str">
        <f>TRIM(INDEX(Orçamentária!C:C,MATCH(Composições!A1863,Orçamentária!A:A,0),1))</f>
        <v>un</v>
      </c>
      <c r="E1863" s="26"/>
      <c r="F1863" s="41" t="s">
        <v>514</v>
      </c>
      <c r="G1863" s="27" t="str">
        <f t="shared" si="29"/>
        <v/>
      </c>
      <c r="H1863" s="28"/>
      <c r="I1863" s="29"/>
      <c r="J1863" s="148">
        <v>4</v>
      </c>
      <c r="K1863" s="222" t="s">
        <v>8074</v>
      </c>
    </row>
    <row r="1864" spans="1:11" hidden="1" x14ac:dyDescent="0.25">
      <c r="A1864" s="203"/>
      <c r="B1864" s="205"/>
      <c r="C1864" s="31"/>
      <c r="D1864" s="31"/>
      <c r="E1864" s="32"/>
      <c r="F1864" s="42" t="s">
        <v>514</v>
      </c>
      <c r="G1864" s="30" t="str">
        <f t="shared" si="29"/>
        <v/>
      </c>
      <c r="H1864" s="34"/>
      <c r="I1864" s="30"/>
      <c r="J1864" s="148">
        <v>4</v>
      </c>
      <c r="K1864" s="222" t="s">
        <v>8074</v>
      </c>
    </row>
    <row r="1865" spans="1:11" hidden="1" x14ac:dyDescent="0.25">
      <c r="A1865" s="203"/>
      <c r="B1865" s="205"/>
      <c r="C1865" s="35" t="s">
        <v>52</v>
      </c>
      <c r="D1865" s="46" t="s">
        <v>12</v>
      </c>
      <c r="E1865" s="36">
        <v>2.5</v>
      </c>
      <c r="F1865" s="30">
        <v>21.184999999999999</v>
      </c>
      <c r="G1865" s="33">
        <f t="shared" si="29"/>
        <v>52.962499999999999</v>
      </c>
      <c r="H1865" s="38">
        <f>SUM(G1865:G1867)</f>
        <v>272.86124999999998</v>
      </c>
      <c r="I1865" s="39"/>
      <c r="J1865" s="148">
        <v>4</v>
      </c>
      <c r="K1865" s="222" t="s">
        <v>8074</v>
      </c>
    </row>
    <row r="1866" spans="1:11" ht="25.5" hidden="1" x14ac:dyDescent="0.25">
      <c r="A1866" s="203"/>
      <c r="B1866" s="205"/>
      <c r="C1866" s="35" t="s">
        <v>561</v>
      </c>
      <c r="D1866" s="46" t="s">
        <v>12</v>
      </c>
      <c r="E1866" s="36">
        <v>2.5</v>
      </c>
      <c r="F1866" s="30">
        <v>26.419499999999999</v>
      </c>
      <c r="G1866" s="33">
        <f t="shared" si="29"/>
        <v>66.048749999999998</v>
      </c>
      <c r="H1866" s="34"/>
      <c r="I1866" s="30"/>
      <c r="J1866" s="148">
        <v>4</v>
      </c>
      <c r="K1866" s="222" t="s">
        <v>8074</v>
      </c>
    </row>
    <row r="1867" spans="1:11" ht="38.25" hidden="1" x14ac:dyDescent="0.25">
      <c r="A1867" s="203"/>
      <c r="B1867" s="205"/>
      <c r="C1867" s="35" t="s">
        <v>582</v>
      </c>
      <c r="D1867" s="35" t="s">
        <v>143</v>
      </c>
      <c r="E1867" s="36">
        <v>1</v>
      </c>
      <c r="F1867" s="33">
        <v>153.85</v>
      </c>
      <c r="G1867" s="33">
        <f t="shared" si="29"/>
        <v>153.85</v>
      </c>
      <c r="H1867" s="34"/>
      <c r="I1867" s="30"/>
      <c r="J1867" s="148">
        <v>4</v>
      </c>
      <c r="K1867" s="222" t="s">
        <v>8074</v>
      </c>
    </row>
    <row r="1868" spans="1:11" ht="15.75" hidden="1" thickBot="1" x14ac:dyDescent="0.3">
      <c r="A1868" s="209"/>
      <c r="B1868" s="206"/>
      <c r="C1868" s="35"/>
      <c r="D1868" s="35"/>
      <c r="E1868" s="36"/>
      <c r="F1868" s="30" t="s">
        <v>514</v>
      </c>
      <c r="G1868" s="30" t="str">
        <f t="shared" si="29"/>
        <v/>
      </c>
      <c r="H1868" s="34"/>
      <c r="I1868" s="30"/>
      <c r="J1868" s="148">
        <v>4</v>
      </c>
      <c r="K1868" s="222" t="s">
        <v>8074</v>
      </c>
    </row>
    <row r="1869" spans="1:11" ht="15.75" hidden="1" thickBot="1" x14ac:dyDescent="0.3">
      <c r="A1869" s="202" t="s">
        <v>583</v>
      </c>
      <c r="B1869" s="204" t="str">
        <f>INDEX(Orçamentária!A:B,MATCH(Composições!A1869,Orçamentária!A:A,0),2)</f>
        <v>Difusor de ar retangular para insuflamento em três direções 264x432 mm</v>
      </c>
      <c r="C1869" s="40"/>
      <c r="D1869" s="25" t="str">
        <f>TRIM(INDEX(Orçamentária!C:C,MATCH(Composições!A1869,Orçamentária!A:A,0),1))</f>
        <v>un</v>
      </c>
      <c r="E1869" s="26"/>
      <c r="F1869" s="41" t="s">
        <v>514</v>
      </c>
      <c r="G1869" s="27" t="str">
        <f t="shared" si="29"/>
        <v/>
      </c>
      <c r="H1869" s="28"/>
      <c r="I1869" s="29"/>
      <c r="J1869" s="148">
        <v>4</v>
      </c>
      <c r="K1869" s="222" t="s">
        <v>8074</v>
      </c>
    </row>
    <row r="1870" spans="1:11" hidden="1" x14ac:dyDescent="0.25">
      <c r="A1870" s="203"/>
      <c r="B1870" s="205"/>
      <c r="C1870" s="31"/>
      <c r="D1870" s="31"/>
      <c r="E1870" s="32"/>
      <c r="F1870" s="42" t="s">
        <v>514</v>
      </c>
      <c r="G1870" s="30" t="str">
        <f t="shared" si="29"/>
        <v/>
      </c>
      <c r="H1870" s="34"/>
      <c r="I1870" s="30"/>
      <c r="J1870" s="148">
        <v>4</v>
      </c>
      <c r="K1870" s="222" t="s">
        <v>8074</v>
      </c>
    </row>
    <row r="1871" spans="1:11" hidden="1" x14ac:dyDescent="0.25">
      <c r="A1871" s="203"/>
      <c r="B1871" s="205"/>
      <c r="C1871" s="35" t="s">
        <v>52</v>
      </c>
      <c r="D1871" s="46" t="s">
        <v>12</v>
      </c>
      <c r="E1871" s="36">
        <v>2.5</v>
      </c>
      <c r="F1871" s="30">
        <v>21.184999999999999</v>
      </c>
      <c r="G1871" s="33">
        <f t="shared" si="29"/>
        <v>52.962499999999999</v>
      </c>
      <c r="H1871" s="38">
        <f>SUM(G1871:G1873)</f>
        <v>323.25125000000003</v>
      </c>
      <c r="I1871" s="39"/>
      <c r="J1871" s="148">
        <v>4</v>
      </c>
      <c r="K1871" s="222" t="s">
        <v>8074</v>
      </c>
    </row>
    <row r="1872" spans="1:11" ht="25.5" hidden="1" x14ac:dyDescent="0.25">
      <c r="A1872" s="203"/>
      <c r="B1872" s="205"/>
      <c r="C1872" s="35" t="s">
        <v>561</v>
      </c>
      <c r="D1872" s="46" t="s">
        <v>12</v>
      </c>
      <c r="E1872" s="36">
        <v>2.5</v>
      </c>
      <c r="F1872" s="30">
        <v>26.419499999999999</v>
      </c>
      <c r="G1872" s="33">
        <f t="shared" si="29"/>
        <v>66.048749999999998</v>
      </c>
      <c r="H1872" s="34"/>
      <c r="I1872" s="30"/>
      <c r="J1872" s="148">
        <v>4</v>
      </c>
      <c r="K1872" s="222" t="s">
        <v>8074</v>
      </c>
    </row>
    <row r="1873" spans="1:11" ht="51" hidden="1" x14ac:dyDescent="0.25">
      <c r="A1873" s="203"/>
      <c r="B1873" s="205"/>
      <c r="C1873" s="35" t="s">
        <v>584</v>
      </c>
      <c r="D1873" s="35" t="s">
        <v>143</v>
      </c>
      <c r="E1873" s="36">
        <v>1</v>
      </c>
      <c r="F1873" s="33">
        <v>204.24</v>
      </c>
      <c r="G1873" s="33">
        <f t="shared" si="29"/>
        <v>204.24</v>
      </c>
      <c r="H1873" s="34"/>
      <c r="I1873" s="30"/>
      <c r="J1873" s="148">
        <v>4</v>
      </c>
      <c r="K1873" s="222" t="s">
        <v>8074</v>
      </c>
    </row>
    <row r="1874" spans="1:11" ht="15.75" hidden="1" thickBot="1" x14ac:dyDescent="0.3">
      <c r="A1874" s="209"/>
      <c r="B1874" s="206"/>
      <c r="C1874" s="35"/>
      <c r="D1874" s="35"/>
      <c r="E1874" s="36"/>
      <c r="F1874" s="30" t="s">
        <v>514</v>
      </c>
      <c r="G1874" s="30" t="str">
        <f t="shared" si="29"/>
        <v/>
      </c>
      <c r="H1874" s="34"/>
      <c r="I1874" s="30"/>
      <c r="J1874" s="148">
        <v>4</v>
      </c>
      <c r="K1874" s="222" t="s">
        <v>8074</v>
      </c>
    </row>
    <row r="1875" spans="1:11" ht="15.75" hidden="1" thickBot="1" x14ac:dyDescent="0.3">
      <c r="A1875" s="202" t="s">
        <v>585</v>
      </c>
      <c r="B1875" s="204" t="str">
        <f>INDEX(Orçamentária!A:B,MATCH(Composições!A1875,Orçamentária!A:A,0),2)</f>
        <v>Difusor de ar retangular para insuflamento em três direções 320x562 mm</v>
      </c>
      <c r="C1875" s="40"/>
      <c r="D1875" s="25" t="str">
        <f>TRIM(INDEX(Orçamentária!C:C,MATCH(Composições!A1875,Orçamentária!A:A,0),1))</f>
        <v>un</v>
      </c>
      <c r="E1875" s="26"/>
      <c r="F1875" s="41" t="s">
        <v>514</v>
      </c>
      <c r="G1875" s="27" t="str">
        <f t="shared" ref="G1875:G1938" si="30">IF(ISNUMBER(F1875),E1875*F1875,"")</f>
        <v/>
      </c>
      <c r="H1875" s="28"/>
      <c r="I1875" s="29"/>
      <c r="J1875" s="148">
        <v>4</v>
      </c>
      <c r="K1875" s="222" t="s">
        <v>8074</v>
      </c>
    </row>
    <row r="1876" spans="1:11" hidden="1" x14ac:dyDescent="0.25">
      <c r="A1876" s="203"/>
      <c r="B1876" s="205"/>
      <c r="C1876" s="31"/>
      <c r="D1876" s="31"/>
      <c r="E1876" s="32"/>
      <c r="F1876" s="42" t="s">
        <v>514</v>
      </c>
      <c r="G1876" s="30" t="str">
        <f t="shared" si="30"/>
        <v/>
      </c>
      <c r="H1876" s="34"/>
      <c r="I1876" s="30"/>
      <c r="J1876" s="148">
        <v>4</v>
      </c>
      <c r="K1876" s="222" t="s">
        <v>8074</v>
      </c>
    </row>
    <row r="1877" spans="1:11" hidden="1" x14ac:dyDescent="0.25">
      <c r="A1877" s="203"/>
      <c r="B1877" s="205"/>
      <c r="C1877" s="35" t="s">
        <v>52</v>
      </c>
      <c r="D1877" s="46" t="s">
        <v>12</v>
      </c>
      <c r="E1877" s="36">
        <v>2.5</v>
      </c>
      <c r="F1877" s="30">
        <v>21.184999999999999</v>
      </c>
      <c r="G1877" s="33">
        <f t="shared" si="30"/>
        <v>52.962499999999999</v>
      </c>
      <c r="H1877" s="38">
        <f>SUM(G1877:G1879)</f>
        <v>413.71124999999995</v>
      </c>
      <c r="I1877" s="39"/>
      <c r="J1877" s="148">
        <v>4</v>
      </c>
      <c r="K1877" s="222" t="s">
        <v>8074</v>
      </c>
    </row>
    <row r="1878" spans="1:11" ht="25.5" hidden="1" x14ac:dyDescent="0.25">
      <c r="A1878" s="203"/>
      <c r="B1878" s="205"/>
      <c r="C1878" s="35" t="s">
        <v>561</v>
      </c>
      <c r="D1878" s="46" t="s">
        <v>12</v>
      </c>
      <c r="E1878" s="36">
        <v>2.5</v>
      </c>
      <c r="F1878" s="30">
        <v>26.419499999999999</v>
      </c>
      <c r="G1878" s="33">
        <f t="shared" si="30"/>
        <v>66.048749999999998</v>
      </c>
      <c r="H1878" s="34"/>
      <c r="I1878" s="30"/>
      <c r="J1878" s="148">
        <v>4</v>
      </c>
      <c r="K1878" s="222" t="s">
        <v>8074</v>
      </c>
    </row>
    <row r="1879" spans="1:11" ht="25.5" hidden="1" x14ac:dyDescent="0.25">
      <c r="A1879" s="203"/>
      <c r="B1879" s="205"/>
      <c r="C1879" s="35" t="s">
        <v>586</v>
      </c>
      <c r="D1879" s="35" t="s">
        <v>143</v>
      </c>
      <c r="E1879" s="36">
        <v>1</v>
      </c>
      <c r="F1879" s="33">
        <v>294.7</v>
      </c>
      <c r="G1879" s="33">
        <f t="shared" si="30"/>
        <v>294.7</v>
      </c>
      <c r="H1879" s="34"/>
      <c r="I1879" s="30"/>
      <c r="J1879" s="148">
        <v>4</v>
      </c>
      <c r="K1879" s="222" t="s">
        <v>8074</v>
      </c>
    </row>
    <row r="1880" spans="1:11" ht="15.75" hidden="1" thickBot="1" x14ac:dyDescent="0.3">
      <c r="A1880" s="209"/>
      <c r="B1880" s="206"/>
      <c r="C1880" s="35"/>
      <c r="D1880" s="35"/>
      <c r="E1880" s="36"/>
      <c r="F1880" s="30" t="s">
        <v>514</v>
      </c>
      <c r="G1880" s="30" t="str">
        <f t="shared" si="30"/>
        <v/>
      </c>
      <c r="H1880" s="34"/>
      <c r="I1880" s="30"/>
      <c r="J1880" s="148">
        <v>4</v>
      </c>
      <c r="K1880" s="222" t="s">
        <v>8074</v>
      </c>
    </row>
    <row r="1881" spans="1:11" ht="15.75" hidden="1" thickBot="1" x14ac:dyDescent="0.3">
      <c r="A1881" s="202" t="s">
        <v>587</v>
      </c>
      <c r="B1881" s="204" t="str">
        <f>INDEX(Orçamentária!A:B,MATCH(Composições!A1881,Orçamentária!A:A,0),2)</f>
        <v>Difusor de ar retangular para insuflamento em três direções 371x208 mm</v>
      </c>
      <c r="C1881" s="40"/>
      <c r="D1881" s="25" t="str">
        <f>TRIM(INDEX(Orçamentária!C:C,MATCH(Composições!A1881,Orçamentária!A:A,0),1))</f>
        <v>un</v>
      </c>
      <c r="E1881" s="26"/>
      <c r="F1881" s="41" t="s">
        <v>514</v>
      </c>
      <c r="G1881" s="27" t="str">
        <f t="shared" si="30"/>
        <v/>
      </c>
      <c r="H1881" s="28"/>
      <c r="I1881" s="29"/>
      <c r="J1881" s="148">
        <v>4</v>
      </c>
      <c r="K1881" s="222" t="s">
        <v>8074</v>
      </c>
    </row>
    <row r="1882" spans="1:11" hidden="1" x14ac:dyDescent="0.25">
      <c r="A1882" s="203"/>
      <c r="B1882" s="205"/>
      <c r="C1882" s="31"/>
      <c r="D1882" s="31"/>
      <c r="E1882" s="32"/>
      <c r="F1882" s="42" t="s">
        <v>514</v>
      </c>
      <c r="G1882" s="30" t="str">
        <f t="shared" si="30"/>
        <v/>
      </c>
      <c r="H1882" s="34"/>
      <c r="I1882" s="30"/>
      <c r="J1882" s="148">
        <v>4</v>
      </c>
      <c r="K1882" s="222" t="s">
        <v>8074</v>
      </c>
    </row>
    <row r="1883" spans="1:11" hidden="1" x14ac:dyDescent="0.25">
      <c r="A1883" s="203"/>
      <c r="B1883" s="205"/>
      <c r="C1883" s="35" t="s">
        <v>52</v>
      </c>
      <c r="D1883" s="46" t="s">
        <v>12</v>
      </c>
      <c r="E1883" s="36">
        <v>2.5</v>
      </c>
      <c r="F1883" s="30">
        <v>21.184999999999999</v>
      </c>
      <c r="G1883" s="33">
        <f t="shared" si="30"/>
        <v>52.962499999999999</v>
      </c>
      <c r="H1883" s="38">
        <f>SUM(G1883:G1885)</f>
        <v>260.98124999999999</v>
      </c>
      <c r="I1883" s="39"/>
      <c r="J1883" s="148">
        <v>4</v>
      </c>
      <c r="K1883" s="222" t="s">
        <v>8074</v>
      </c>
    </row>
    <row r="1884" spans="1:11" ht="25.5" hidden="1" x14ac:dyDescent="0.25">
      <c r="A1884" s="203"/>
      <c r="B1884" s="205"/>
      <c r="C1884" s="35" t="s">
        <v>561</v>
      </c>
      <c r="D1884" s="46" t="s">
        <v>12</v>
      </c>
      <c r="E1884" s="36">
        <v>2.5</v>
      </c>
      <c r="F1884" s="30">
        <v>26.419499999999999</v>
      </c>
      <c r="G1884" s="33">
        <f t="shared" si="30"/>
        <v>66.048749999999998</v>
      </c>
      <c r="H1884" s="34"/>
      <c r="I1884" s="30"/>
      <c r="J1884" s="148">
        <v>4</v>
      </c>
      <c r="K1884" s="222" t="s">
        <v>8074</v>
      </c>
    </row>
    <row r="1885" spans="1:11" ht="38.25" hidden="1" x14ac:dyDescent="0.25">
      <c r="A1885" s="203"/>
      <c r="B1885" s="205"/>
      <c r="C1885" s="35" t="s">
        <v>588</v>
      </c>
      <c r="D1885" s="35" t="s">
        <v>143</v>
      </c>
      <c r="E1885" s="36">
        <v>1</v>
      </c>
      <c r="F1885" s="33">
        <v>141.97</v>
      </c>
      <c r="G1885" s="33">
        <f t="shared" si="30"/>
        <v>141.97</v>
      </c>
      <c r="H1885" s="34"/>
      <c r="I1885" s="30"/>
      <c r="J1885" s="148">
        <v>4</v>
      </c>
      <c r="K1885" s="222" t="s">
        <v>8074</v>
      </c>
    </row>
    <row r="1886" spans="1:11" ht="15.75" hidden="1" thickBot="1" x14ac:dyDescent="0.3">
      <c r="A1886" s="209"/>
      <c r="B1886" s="206"/>
      <c r="C1886" s="35"/>
      <c r="D1886" s="35"/>
      <c r="E1886" s="36"/>
      <c r="F1886" s="30" t="s">
        <v>514</v>
      </c>
      <c r="G1886" s="30" t="str">
        <f t="shared" si="30"/>
        <v/>
      </c>
      <c r="H1886" s="34"/>
      <c r="I1886" s="30"/>
      <c r="J1886" s="148">
        <v>4</v>
      </c>
      <c r="K1886" s="222" t="s">
        <v>8074</v>
      </c>
    </row>
    <row r="1887" spans="1:11" ht="15.75" hidden="1" thickBot="1" x14ac:dyDescent="0.3">
      <c r="A1887" s="202" t="s">
        <v>589</v>
      </c>
      <c r="B1887" s="204" t="str">
        <f>INDEX(Orçamentária!A:B,MATCH(Composições!A1887,Orçamentária!A:A,0),2)</f>
        <v>Difusor de ar retangular para insuflamento em uma direção 371x208 mm</v>
      </c>
      <c r="C1887" s="40"/>
      <c r="D1887" s="25" t="str">
        <f>TRIM(INDEX(Orçamentária!C:C,MATCH(Composições!A1887,Orçamentária!A:A,0),1))</f>
        <v>un</v>
      </c>
      <c r="E1887" s="26"/>
      <c r="F1887" s="41" t="s">
        <v>514</v>
      </c>
      <c r="G1887" s="27" t="str">
        <f t="shared" si="30"/>
        <v/>
      </c>
      <c r="H1887" s="28"/>
      <c r="I1887" s="29"/>
      <c r="J1887" s="148">
        <v>10</v>
      </c>
      <c r="K1887" s="222" t="s">
        <v>8074</v>
      </c>
    </row>
    <row r="1888" spans="1:11" hidden="1" x14ac:dyDescent="0.25">
      <c r="A1888" s="203"/>
      <c r="B1888" s="205"/>
      <c r="C1888" s="31"/>
      <c r="D1888" s="31"/>
      <c r="E1888" s="32"/>
      <c r="F1888" s="42" t="s">
        <v>514</v>
      </c>
      <c r="G1888" s="30" t="str">
        <f t="shared" si="30"/>
        <v/>
      </c>
      <c r="H1888" s="34"/>
      <c r="I1888" s="30"/>
      <c r="J1888" s="148">
        <v>10</v>
      </c>
      <c r="K1888" s="222" t="s">
        <v>8074</v>
      </c>
    </row>
    <row r="1889" spans="1:11" hidden="1" x14ac:dyDescent="0.25">
      <c r="A1889" s="203"/>
      <c r="B1889" s="205"/>
      <c r="C1889" s="35" t="s">
        <v>52</v>
      </c>
      <c r="D1889" s="46" t="s">
        <v>12</v>
      </c>
      <c r="E1889" s="36">
        <v>2.5</v>
      </c>
      <c r="F1889" s="30">
        <v>21.184999999999999</v>
      </c>
      <c r="G1889" s="30">
        <f t="shared" si="30"/>
        <v>52.962499999999999</v>
      </c>
      <c r="H1889" s="38">
        <f>SUM(G1889:G1891)</f>
        <v>262.61124999999998</v>
      </c>
      <c r="I1889" s="39"/>
      <c r="J1889" s="148">
        <v>10</v>
      </c>
      <c r="K1889" s="222" t="s">
        <v>8074</v>
      </c>
    </row>
    <row r="1890" spans="1:11" ht="25.5" hidden="1" x14ac:dyDescent="0.25">
      <c r="A1890" s="203"/>
      <c r="B1890" s="205"/>
      <c r="C1890" s="35" t="s">
        <v>561</v>
      </c>
      <c r="D1890" s="46" t="s">
        <v>12</v>
      </c>
      <c r="E1890" s="36">
        <v>2.5</v>
      </c>
      <c r="F1890" s="30">
        <v>26.419499999999999</v>
      </c>
      <c r="G1890" s="30">
        <f t="shared" si="30"/>
        <v>66.048749999999998</v>
      </c>
      <c r="H1890" s="34"/>
      <c r="I1890" s="30"/>
      <c r="J1890" s="148">
        <v>10</v>
      </c>
      <c r="K1890" s="222" t="s">
        <v>8074</v>
      </c>
    </row>
    <row r="1891" spans="1:11" ht="38.25" hidden="1" x14ac:dyDescent="0.25">
      <c r="A1891" s="203"/>
      <c r="B1891" s="205"/>
      <c r="C1891" s="35" t="s">
        <v>590</v>
      </c>
      <c r="D1891" s="35" t="s">
        <v>143</v>
      </c>
      <c r="E1891" s="36">
        <v>1</v>
      </c>
      <c r="F1891" s="33">
        <v>143.6</v>
      </c>
      <c r="G1891" s="30">
        <f t="shared" si="30"/>
        <v>143.6</v>
      </c>
      <c r="H1891" s="34"/>
      <c r="I1891" s="30"/>
      <c r="J1891" s="148">
        <v>10</v>
      </c>
      <c r="K1891" s="222" t="s">
        <v>8074</v>
      </c>
    </row>
    <row r="1892" spans="1:11" ht="15.75" hidden="1" thickBot="1" x14ac:dyDescent="0.3">
      <c r="A1892" s="209"/>
      <c r="B1892" s="206"/>
      <c r="C1892" s="35"/>
      <c r="D1892" s="35"/>
      <c r="E1892" s="36"/>
      <c r="F1892" s="30" t="s">
        <v>514</v>
      </c>
      <c r="G1892" s="30" t="str">
        <f t="shared" si="30"/>
        <v/>
      </c>
      <c r="H1892" s="34"/>
      <c r="I1892" s="30"/>
      <c r="J1892" s="148">
        <v>10</v>
      </c>
      <c r="K1892" s="222" t="s">
        <v>8074</v>
      </c>
    </row>
    <row r="1893" spans="1:11" ht="15.75" hidden="1" thickBot="1" x14ac:dyDescent="0.3">
      <c r="A1893" s="202" t="s">
        <v>591</v>
      </c>
      <c r="B1893" s="204" t="str">
        <f>INDEX(Orçamentária!A:B,MATCH(Composições!A1893,Orçamentária!A:A,0),2)</f>
        <v>Grelha para retorno retangular 425x225 mm</v>
      </c>
      <c r="C1893" s="40"/>
      <c r="D1893" s="25" t="str">
        <f>TRIM(INDEX(Orçamentária!C:C,MATCH(Composições!A1893,Orçamentária!A:A,0),1))</f>
        <v>un</v>
      </c>
      <c r="E1893" s="26"/>
      <c r="F1893" s="41" t="s">
        <v>514</v>
      </c>
      <c r="G1893" s="27" t="str">
        <f t="shared" si="30"/>
        <v/>
      </c>
      <c r="H1893" s="28"/>
      <c r="I1893" s="29"/>
      <c r="J1893" s="148">
        <v>135</v>
      </c>
      <c r="K1893" s="222" t="s">
        <v>8074</v>
      </c>
    </row>
    <row r="1894" spans="1:11" hidden="1" x14ac:dyDescent="0.25">
      <c r="A1894" s="203"/>
      <c r="B1894" s="205"/>
      <c r="C1894" s="31"/>
      <c r="D1894" s="31"/>
      <c r="E1894" s="32"/>
      <c r="F1894" s="42" t="s">
        <v>514</v>
      </c>
      <c r="G1894" s="30" t="str">
        <f t="shared" si="30"/>
        <v/>
      </c>
      <c r="H1894" s="34"/>
      <c r="I1894" s="30"/>
      <c r="J1894" s="148">
        <v>135</v>
      </c>
      <c r="K1894" s="222" t="s">
        <v>8074</v>
      </c>
    </row>
    <row r="1895" spans="1:11" hidden="1" x14ac:dyDescent="0.25">
      <c r="A1895" s="203"/>
      <c r="B1895" s="205"/>
      <c r="C1895" s="35" t="s">
        <v>52</v>
      </c>
      <c r="D1895" s="46" t="s">
        <v>12</v>
      </c>
      <c r="E1895" s="36">
        <v>3.5</v>
      </c>
      <c r="F1895" s="30">
        <v>21.184999999999999</v>
      </c>
      <c r="G1895" s="33">
        <f t="shared" si="30"/>
        <v>74.147499999999994</v>
      </c>
      <c r="H1895" s="38">
        <f>SUM(G1895:G1897)</f>
        <v>206.57274999999998</v>
      </c>
      <c r="I1895" s="39"/>
      <c r="J1895" s="148">
        <v>135</v>
      </c>
      <c r="K1895" s="222" t="s">
        <v>8074</v>
      </c>
    </row>
    <row r="1896" spans="1:11" ht="25.5" hidden="1" x14ac:dyDescent="0.25">
      <c r="A1896" s="203"/>
      <c r="B1896" s="205"/>
      <c r="C1896" s="35" t="s">
        <v>561</v>
      </c>
      <c r="D1896" s="46" t="s">
        <v>12</v>
      </c>
      <c r="E1896" s="36">
        <v>3.5</v>
      </c>
      <c r="F1896" s="30">
        <v>26.419499999999999</v>
      </c>
      <c r="G1896" s="33">
        <f t="shared" si="30"/>
        <v>92.468249999999998</v>
      </c>
      <c r="H1896" s="34"/>
      <c r="I1896" s="30"/>
      <c r="J1896" s="148">
        <v>135</v>
      </c>
      <c r="K1896" s="222" t="s">
        <v>8074</v>
      </c>
    </row>
    <row r="1897" spans="1:11" hidden="1" x14ac:dyDescent="0.25">
      <c r="A1897" s="203"/>
      <c r="B1897" s="205"/>
      <c r="C1897" s="35" t="s">
        <v>592</v>
      </c>
      <c r="D1897" s="35" t="s">
        <v>143</v>
      </c>
      <c r="E1897" s="36">
        <v>1</v>
      </c>
      <c r="F1897" s="33">
        <v>39.957000000000001</v>
      </c>
      <c r="G1897" s="33">
        <f t="shared" si="30"/>
        <v>39.957000000000001</v>
      </c>
      <c r="H1897" s="34"/>
      <c r="I1897" s="30"/>
      <c r="J1897" s="148">
        <v>135</v>
      </c>
      <c r="K1897" s="222" t="s">
        <v>8074</v>
      </c>
    </row>
    <row r="1898" spans="1:11" ht="15.75" hidden="1" thickBot="1" x14ac:dyDescent="0.3">
      <c r="A1898" s="209"/>
      <c r="B1898" s="206"/>
      <c r="C1898" s="35"/>
      <c r="D1898" s="35"/>
      <c r="E1898" s="36"/>
      <c r="F1898" s="30" t="s">
        <v>514</v>
      </c>
      <c r="G1898" s="30" t="str">
        <f t="shared" si="30"/>
        <v/>
      </c>
      <c r="H1898" s="34"/>
      <c r="I1898" s="30"/>
      <c r="J1898" s="148">
        <v>135</v>
      </c>
      <c r="K1898" s="222" t="s">
        <v>8074</v>
      </c>
    </row>
    <row r="1899" spans="1:11" ht="15.75" hidden="1" thickBot="1" x14ac:dyDescent="0.3">
      <c r="A1899" s="202" t="s">
        <v>593</v>
      </c>
      <c r="B1899" s="204" t="str">
        <f>INDEX(Orçamentária!A:B,MATCH(Composições!A1899,Orçamentária!A:A,0),2)</f>
        <v>Grelha para retorno retangular 525x325 mm</v>
      </c>
      <c r="C1899" s="40"/>
      <c r="D1899" s="25" t="str">
        <f>TRIM(INDEX(Orçamentária!C:C,MATCH(Composições!A1899,Orçamentária!A:A,0),1))</f>
        <v>un</v>
      </c>
      <c r="E1899" s="26"/>
      <c r="F1899" s="41" t="s">
        <v>514</v>
      </c>
      <c r="G1899" s="27" t="str">
        <f t="shared" si="30"/>
        <v/>
      </c>
      <c r="H1899" s="28"/>
      <c r="I1899" s="29"/>
      <c r="J1899" s="148">
        <v>10</v>
      </c>
      <c r="K1899" s="222" t="s">
        <v>8074</v>
      </c>
    </row>
    <row r="1900" spans="1:11" hidden="1" x14ac:dyDescent="0.25">
      <c r="A1900" s="203"/>
      <c r="B1900" s="205"/>
      <c r="C1900" s="31"/>
      <c r="D1900" s="31"/>
      <c r="E1900" s="32"/>
      <c r="F1900" s="42" t="s">
        <v>514</v>
      </c>
      <c r="G1900" s="30" t="str">
        <f t="shared" si="30"/>
        <v/>
      </c>
      <c r="H1900" s="34"/>
      <c r="I1900" s="30"/>
      <c r="J1900" s="148">
        <v>10</v>
      </c>
      <c r="K1900" s="222" t="s">
        <v>8074</v>
      </c>
    </row>
    <row r="1901" spans="1:11" hidden="1" x14ac:dyDescent="0.25">
      <c r="A1901" s="203"/>
      <c r="B1901" s="205"/>
      <c r="C1901" s="35" t="s">
        <v>52</v>
      </c>
      <c r="D1901" s="46" t="s">
        <v>12</v>
      </c>
      <c r="E1901" s="36">
        <v>3.5</v>
      </c>
      <c r="F1901" s="30">
        <v>21.184999999999999</v>
      </c>
      <c r="G1901" s="30">
        <f t="shared" si="30"/>
        <v>74.147499999999994</v>
      </c>
      <c r="H1901" s="38">
        <f>SUM(G1901:G1903)</f>
        <v>225.64875000000001</v>
      </c>
      <c r="I1901" s="39"/>
      <c r="J1901" s="148">
        <v>10</v>
      </c>
      <c r="K1901" s="222" t="s">
        <v>8074</v>
      </c>
    </row>
    <row r="1902" spans="1:11" ht="25.5" hidden="1" x14ac:dyDescent="0.25">
      <c r="A1902" s="203"/>
      <c r="B1902" s="205"/>
      <c r="C1902" s="35" t="s">
        <v>561</v>
      </c>
      <c r="D1902" s="46" t="s">
        <v>12</v>
      </c>
      <c r="E1902" s="36">
        <v>3.5</v>
      </c>
      <c r="F1902" s="30">
        <v>26.419499999999999</v>
      </c>
      <c r="G1902" s="30">
        <f t="shared" si="30"/>
        <v>92.468249999999998</v>
      </c>
      <c r="H1902" s="34"/>
      <c r="I1902" s="30"/>
      <c r="J1902" s="148">
        <v>10</v>
      </c>
      <c r="K1902" s="222" t="s">
        <v>8074</v>
      </c>
    </row>
    <row r="1903" spans="1:11" hidden="1" x14ac:dyDescent="0.25">
      <c r="A1903" s="203"/>
      <c r="B1903" s="205"/>
      <c r="C1903" s="35" t="s">
        <v>594</v>
      </c>
      <c r="D1903" s="35" t="s">
        <v>143</v>
      </c>
      <c r="E1903" s="36">
        <v>1</v>
      </c>
      <c r="F1903" s="30">
        <v>59.033000000000001</v>
      </c>
      <c r="G1903" s="30">
        <f t="shared" si="30"/>
        <v>59.033000000000001</v>
      </c>
      <c r="H1903" s="34"/>
      <c r="I1903" s="30"/>
      <c r="J1903" s="148">
        <v>10</v>
      </c>
      <c r="K1903" s="222" t="s">
        <v>8074</v>
      </c>
    </row>
    <row r="1904" spans="1:11" ht="15.75" hidden="1" thickBot="1" x14ac:dyDescent="0.3">
      <c r="A1904" s="209"/>
      <c r="B1904" s="206"/>
      <c r="C1904" s="35"/>
      <c r="D1904" s="35"/>
      <c r="E1904" s="36"/>
      <c r="F1904" s="30" t="s">
        <v>514</v>
      </c>
      <c r="G1904" s="30" t="str">
        <f t="shared" si="30"/>
        <v/>
      </c>
      <c r="H1904" s="34"/>
      <c r="I1904" s="30"/>
      <c r="J1904" s="148">
        <v>10</v>
      </c>
      <c r="K1904" s="222" t="s">
        <v>8074</v>
      </c>
    </row>
    <row r="1905" spans="1:11" ht="15.75" hidden="1" thickBot="1" x14ac:dyDescent="0.3">
      <c r="A1905" s="202" t="s">
        <v>595</v>
      </c>
      <c r="B1905" s="204" t="str">
        <f>INDEX(Orçamentária!A:B,MATCH(Composições!A1905,Orçamentária!A:A,0),2)</f>
        <v>Instalação de difusores, grelhas e acessórios de climatização reaproveitados</v>
      </c>
      <c r="C1905" s="40"/>
      <c r="D1905" s="25" t="str">
        <f>TRIM(INDEX(Orçamentária!C:C,MATCH(Composições!A1905,Orçamentária!A:A,0),1))</f>
        <v>un</v>
      </c>
      <c r="E1905" s="26"/>
      <c r="F1905" s="41" t="s">
        <v>514</v>
      </c>
      <c r="G1905" s="27" t="str">
        <f t="shared" si="30"/>
        <v/>
      </c>
      <c r="H1905" s="28"/>
      <c r="I1905" s="29"/>
      <c r="J1905" s="148">
        <v>110</v>
      </c>
      <c r="K1905" s="222" t="s">
        <v>8074</v>
      </c>
    </row>
    <row r="1906" spans="1:11" hidden="1" x14ac:dyDescent="0.25">
      <c r="A1906" s="203"/>
      <c r="B1906" s="205"/>
      <c r="C1906" s="31"/>
      <c r="D1906" s="31"/>
      <c r="E1906" s="32"/>
      <c r="F1906" s="42" t="s">
        <v>514</v>
      </c>
      <c r="G1906" s="30" t="str">
        <f t="shared" si="30"/>
        <v/>
      </c>
      <c r="H1906" s="34"/>
      <c r="I1906" s="30"/>
      <c r="J1906" s="148">
        <v>110</v>
      </c>
      <c r="K1906" s="222" t="s">
        <v>8074</v>
      </c>
    </row>
    <row r="1907" spans="1:11" hidden="1" x14ac:dyDescent="0.25">
      <c r="A1907" s="203"/>
      <c r="B1907" s="205"/>
      <c r="C1907" s="35" t="s">
        <v>52</v>
      </c>
      <c r="D1907" s="46" t="s">
        <v>12</v>
      </c>
      <c r="E1907" s="36">
        <v>2.5</v>
      </c>
      <c r="F1907" s="30">
        <v>21.184999999999999</v>
      </c>
      <c r="G1907" s="30">
        <f t="shared" si="30"/>
        <v>52.962499999999999</v>
      </c>
      <c r="H1907" s="38">
        <f>SUM(G1907:G1908)</f>
        <v>119.01124999999999</v>
      </c>
      <c r="I1907" s="39"/>
      <c r="J1907" s="148">
        <v>110</v>
      </c>
      <c r="K1907" s="222" t="s">
        <v>8074</v>
      </c>
    </row>
    <row r="1908" spans="1:11" ht="25.5" hidden="1" x14ac:dyDescent="0.25">
      <c r="A1908" s="203"/>
      <c r="B1908" s="205"/>
      <c r="C1908" s="35" t="s">
        <v>561</v>
      </c>
      <c r="D1908" s="46" t="s">
        <v>12</v>
      </c>
      <c r="E1908" s="36">
        <v>2.5</v>
      </c>
      <c r="F1908" s="30">
        <v>26.419499999999999</v>
      </c>
      <c r="G1908" s="30">
        <f t="shared" si="30"/>
        <v>66.048749999999998</v>
      </c>
      <c r="H1908" s="34"/>
      <c r="I1908" s="30"/>
      <c r="J1908" s="148">
        <v>110</v>
      </c>
      <c r="K1908" s="222" t="s">
        <v>8074</v>
      </c>
    </row>
    <row r="1909" spans="1:11" ht="15.75" hidden="1" thickBot="1" x14ac:dyDescent="0.3">
      <c r="A1909" s="209"/>
      <c r="B1909" s="206"/>
      <c r="C1909" s="35"/>
      <c r="D1909" s="35"/>
      <c r="E1909" s="36"/>
      <c r="F1909" s="30" t="s">
        <v>514</v>
      </c>
      <c r="G1909" s="30" t="str">
        <f t="shared" si="30"/>
        <v/>
      </c>
      <c r="H1909" s="34"/>
      <c r="I1909" s="30"/>
      <c r="J1909" s="148">
        <v>110</v>
      </c>
      <c r="K1909" s="222" t="s">
        <v>8074</v>
      </c>
    </row>
    <row r="1910" spans="1:11" ht="15.75" hidden="1" thickBot="1" x14ac:dyDescent="0.3">
      <c r="A1910" s="202" t="s">
        <v>596</v>
      </c>
      <c r="B1910" s="204" t="str">
        <f>INDEX(Orçamentária!A:B,MATCH(Composições!A1910,Orçamentária!A:A,0),2)</f>
        <v>Instalação de exaustor reaproveitado</v>
      </c>
      <c r="C1910" s="40"/>
      <c r="D1910" s="25" t="str">
        <f>TRIM(INDEX(Orçamentária!C:C,MATCH(Composições!A1910,Orçamentária!A:A,0),1))</f>
        <v>un</v>
      </c>
      <c r="E1910" s="26"/>
      <c r="F1910" s="41" t="s">
        <v>514</v>
      </c>
      <c r="G1910" s="27" t="str">
        <f t="shared" si="30"/>
        <v/>
      </c>
      <c r="H1910" s="28"/>
      <c r="I1910" s="29"/>
      <c r="J1910" s="148">
        <v>15</v>
      </c>
      <c r="K1910" s="222" t="s">
        <v>8074</v>
      </c>
    </row>
    <row r="1911" spans="1:11" hidden="1" x14ac:dyDescent="0.25">
      <c r="A1911" s="203"/>
      <c r="B1911" s="205"/>
      <c r="C1911" s="31"/>
      <c r="D1911" s="31"/>
      <c r="E1911" s="32"/>
      <c r="F1911" s="42" t="s">
        <v>514</v>
      </c>
      <c r="G1911" s="30" t="str">
        <f t="shared" si="30"/>
        <v/>
      </c>
      <c r="H1911" s="34"/>
      <c r="I1911" s="30"/>
      <c r="J1911" s="148">
        <v>15</v>
      </c>
      <c r="K1911" s="222" t="s">
        <v>8074</v>
      </c>
    </row>
    <row r="1912" spans="1:11" hidden="1" x14ac:dyDescent="0.25">
      <c r="A1912" s="203"/>
      <c r="B1912" s="205"/>
      <c r="C1912" s="35" t="s">
        <v>30</v>
      </c>
      <c r="D1912" s="35" t="s">
        <v>12</v>
      </c>
      <c r="E1912" s="36">
        <v>1</v>
      </c>
      <c r="F1912" s="30">
        <v>25.146499999999996</v>
      </c>
      <c r="G1912" s="33">
        <f t="shared" si="30"/>
        <v>25.146499999999996</v>
      </c>
      <c r="H1912" s="38">
        <f>SUM(G1912:G1913)</f>
        <v>44.554999999999993</v>
      </c>
      <c r="I1912" s="39"/>
      <c r="J1912" s="148">
        <v>15</v>
      </c>
      <c r="K1912" s="222" t="s">
        <v>8074</v>
      </c>
    </row>
    <row r="1913" spans="1:11" hidden="1" x14ac:dyDescent="0.25">
      <c r="A1913" s="203"/>
      <c r="B1913" s="205"/>
      <c r="C1913" s="35" t="s">
        <v>74</v>
      </c>
      <c r="D1913" s="46" t="s">
        <v>12</v>
      </c>
      <c r="E1913" s="36">
        <v>1</v>
      </c>
      <c r="F1913" s="30">
        <v>19.4085</v>
      </c>
      <c r="G1913" s="33">
        <f t="shared" si="30"/>
        <v>19.4085</v>
      </c>
      <c r="H1913" s="34"/>
      <c r="I1913" s="30"/>
      <c r="J1913" s="148">
        <v>15</v>
      </c>
      <c r="K1913" s="222" t="s">
        <v>8074</v>
      </c>
    </row>
    <row r="1914" spans="1:11" ht="15.75" hidden="1" thickBot="1" x14ac:dyDescent="0.3">
      <c r="A1914" s="209"/>
      <c r="B1914" s="206"/>
      <c r="C1914" s="35"/>
      <c r="D1914" s="35"/>
      <c r="E1914" s="36"/>
      <c r="F1914" s="30" t="s">
        <v>514</v>
      </c>
      <c r="G1914" s="30" t="str">
        <f t="shared" si="30"/>
        <v/>
      </c>
      <c r="H1914" s="34"/>
      <c r="I1914" s="30"/>
      <c r="J1914" s="148">
        <v>15</v>
      </c>
      <c r="K1914" s="222" t="s">
        <v>8074</v>
      </c>
    </row>
    <row r="1915" spans="1:11" ht="15.75" hidden="1" thickBot="1" x14ac:dyDescent="0.3">
      <c r="A1915" s="202" t="s">
        <v>597</v>
      </c>
      <c r="B1915" s="204" t="str">
        <f>INDEX(Orçamentária!A:B,MATCH(Composições!A1915,Orçamentária!A:A,0),2)</f>
        <v>Preparação para instalação de difusores/grelhas de ar em portas</v>
      </c>
      <c r="C1915" s="40"/>
      <c r="D1915" s="25" t="str">
        <f>TRIM(INDEX(Orçamentária!C:C,MATCH(Composições!A1915,Orçamentária!A:A,0),1))</f>
        <v>un</v>
      </c>
      <c r="E1915" s="26"/>
      <c r="F1915" s="41" t="s">
        <v>514</v>
      </c>
      <c r="G1915" s="27" t="str">
        <f t="shared" si="30"/>
        <v/>
      </c>
      <c r="H1915" s="28"/>
      <c r="I1915" s="29"/>
      <c r="J1915" s="148">
        <v>15</v>
      </c>
      <c r="K1915" s="222" t="s">
        <v>8074</v>
      </c>
    </row>
    <row r="1916" spans="1:11" hidden="1" x14ac:dyDescent="0.25">
      <c r="A1916" s="203"/>
      <c r="B1916" s="205"/>
      <c r="C1916" s="31"/>
      <c r="D1916" s="31"/>
      <c r="E1916" s="32"/>
      <c r="F1916" s="42" t="s">
        <v>514</v>
      </c>
      <c r="G1916" s="30" t="str">
        <f t="shared" si="30"/>
        <v/>
      </c>
      <c r="H1916" s="34"/>
      <c r="I1916" s="30"/>
      <c r="J1916" s="148">
        <v>15</v>
      </c>
      <c r="K1916" s="222" t="s">
        <v>8074</v>
      </c>
    </row>
    <row r="1917" spans="1:11" hidden="1" x14ac:dyDescent="0.25">
      <c r="A1917" s="203"/>
      <c r="B1917" s="205"/>
      <c r="C1917" s="35" t="s">
        <v>598</v>
      </c>
      <c r="D1917" s="35" t="s">
        <v>12</v>
      </c>
      <c r="E1917" s="36">
        <v>0.75</v>
      </c>
      <c r="F1917" s="30">
        <v>23.331999999999997</v>
      </c>
      <c r="G1917" s="33">
        <f t="shared" si="30"/>
        <v>17.498999999999999</v>
      </c>
      <c r="H1917" s="38">
        <f>SUM(G1917:G1918)</f>
        <v>32.119500000000002</v>
      </c>
      <c r="I1917" s="39"/>
      <c r="J1917" s="148">
        <v>15</v>
      </c>
      <c r="K1917" s="222" t="s">
        <v>8074</v>
      </c>
    </row>
    <row r="1918" spans="1:11" hidden="1" x14ac:dyDescent="0.25">
      <c r="A1918" s="203"/>
      <c r="B1918" s="205"/>
      <c r="C1918" s="35" t="s">
        <v>127</v>
      </c>
      <c r="D1918" s="46" t="s">
        <v>12</v>
      </c>
      <c r="E1918" s="36">
        <v>0.75</v>
      </c>
      <c r="F1918" s="30">
        <v>19.494</v>
      </c>
      <c r="G1918" s="33">
        <f t="shared" si="30"/>
        <v>14.6205</v>
      </c>
      <c r="H1918" s="34"/>
      <c r="I1918" s="30"/>
      <c r="J1918" s="148">
        <v>15</v>
      </c>
      <c r="K1918" s="222" t="s">
        <v>8074</v>
      </c>
    </row>
    <row r="1919" spans="1:11" ht="15.75" hidden="1" thickBot="1" x14ac:dyDescent="0.3">
      <c r="A1919" s="209"/>
      <c r="B1919" s="206"/>
      <c r="C1919" s="35"/>
      <c r="D1919" s="35"/>
      <c r="E1919" s="36"/>
      <c r="F1919" s="30" t="s">
        <v>514</v>
      </c>
      <c r="G1919" s="30" t="str">
        <f t="shared" si="30"/>
        <v/>
      </c>
      <c r="H1919" s="34"/>
      <c r="I1919" s="30"/>
      <c r="J1919" s="148">
        <v>15</v>
      </c>
      <c r="K1919" s="222" t="s">
        <v>8074</v>
      </c>
    </row>
    <row r="1920" spans="1:11" ht="15.75" hidden="1" thickBot="1" x14ac:dyDescent="0.3">
      <c r="A1920" s="202" t="s">
        <v>599</v>
      </c>
      <c r="B1920" s="204" t="str">
        <f>INDEX(Orçamentária!A:B,MATCH(Composições!A1920,Orçamentária!A:A,0),2)</f>
        <v>Bomba para condensado de ar-condicionado para instalação oculta</v>
      </c>
      <c r="C1920" s="40"/>
      <c r="D1920" s="25" t="str">
        <f>TRIM(INDEX(Orçamentária!C:C,MATCH(Composições!A1920,Orçamentária!A:A,0),1))</f>
        <v>un</v>
      </c>
      <c r="E1920" s="26"/>
      <c r="F1920" s="41" t="s">
        <v>514</v>
      </c>
      <c r="G1920" s="27" t="str">
        <f t="shared" si="30"/>
        <v/>
      </c>
      <c r="H1920" s="28"/>
      <c r="I1920" s="29"/>
      <c r="J1920" s="148">
        <v>10</v>
      </c>
      <c r="K1920" s="222" t="s">
        <v>8074</v>
      </c>
    </row>
    <row r="1921" spans="1:11" hidden="1" x14ac:dyDescent="0.25">
      <c r="A1921" s="203"/>
      <c r="B1921" s="205"/>
      <c r="C1921" s="31"/>
      <c r="D1921" s="31"/>
      <c r="E1921" s="32"/>
      <c r="F1921" s="42" t="s">
        <v>514</v>
      </c>
      <c r="G1921" s="30" t="str">
        <f t="shared" si="30"/>
        <v/>
      </c>
      <c r="H1921" s="34"/>
      <c r="I1921" s="30"/>
      <c r="J1921" s="148">
        <v>10</v>
      </c>
      <c r="K1921" s="222" t="s">
        <v>8074</v>
      </c>
    </row>
    <row r="1922" spans="1:11" ht="25.5" hidden="1" x14ac:dyDescent="0.25">
      <c r="A1922" s="203"/>
      <c r="B1922" s="205"/>
      <c r="C1922" s="35" t="s">
        <v>106</v>
      </c>
      <c r="D1922" s="35" t="s">
        <v>12</v>
      </c>
      <c r="E1922" s="36">
        <v>0.5</v>
      </c>
      <c r="F1922" s="30">
        <v>19.094999999999999</v>
      </c>
      <c r="G1922" s="33">
        <f t="shared" si="30"/>
        <v>9.5474999999999994</v>
      </c>
      <c r="H1922" s="38">
        <f>SUM(G1922:G1924)</f>
        <v>623.71799999999996</v>
      </c>
      <c r="I1922" s="39"/>
      <c r="J1922" s="148">
        <v>10</v>
      </c>
      <c r="K1922" s="222" t="s">
        <v>8074</v>
      </c>
    </row>
    <row r="1923" spans="1:11" hidden="1" x14ac:dyDescent="0.25">
      <c r="A1923" s="203"/>
      <c r="B1923" s="205"/>
      <c r="C1923" s="35" t="s">
        <v>39</v>
      </c>
      <c r="D1923" s="35" t="s">
        <v>12</v>
      </c>
      <c r="E1923" s="36">
        <v>0.5</v>
      </c>
      <c r="F1923" s="30">
        <v>24.300999999999998</v>
      </c>
      <c r="G1923" s="33">
        <f t="shared" si="30"/>
        <v>12.150499999999999</v>
      </c>
      <c r="H1923" s="34"/>
      <c r="I1923" s="30"/>
      <c r="J1923" s="148">
        <v>10</v>
      </c>
      <c r="K1923" s="222" t="s">
        <v>8074</v>
      </c>
    </row>
    <row r="1924" spans="1:11" ht="25.5" hidden="1" x14ac:dyDescent="0.25">
      <c r="A1924" s="203"/>
      <c r="B1924" s="205"/>
      <c r="C1924" s="35" t="s">
        <v>600</v>
      </c>
      <c r="D1924" s="35" t="s">
        <v>20</v>
      </c>
      <c r="E1924" s="36">
        <v>1</v>
      </c>
      <c r="F1924" s="33">
        <v>602.02</v>
      </c>
      <c r="G1924" s="30">
        <f t="shared" si="30"/>
        <v>602.02</v>
      </c>
      <c r="H1924" s="34"/>
      <c r="I1924" s="30"/>
      <c r="J1924" s="148">
        <v>10</v>
      </c>
      <c r="K1924" s="222" t="s">
        <v>8074</v>
      </c>
    </row>
    <row r="1925" spans="1:11" ht="15.75" hidden="1" thickBot="1" x14ac:dyDescent="0.3">
      <c r="A1925" s="209"/>
      <c r="B1925" s="206"/>
      <c r="C1925" s="35"/>
      <c r="D1925" s="35"/>
      <c r="E1925" s="36"/>
      <c r="F1925" s="30" t="s">
        <v>514</v>
      </c>
      <c r="G1925" s="30" t="str">
        <f t="shared" si="30"/>
        <v/>
      </c>
      <c r="H1925" s="34"/>
      <c r="I1925" s="30"/>
      <c r="J1925" s="148">
        <v>10</v>
      </c>
      <c r="K1925" s="222" t="s">
        <v>8074</v>
      </c>
    </row>
    <row r="1926" spans="1:11" ht="15.75" hidden="1" thickBot="1" x14ac:dyDescent="0.3">
      <c r="A1926" s="202" t="s">
        <v>601</v>
      </c>
      <c r="B1926" s="204" t="str">
        <f>INDEX(Orçamentária!A:B,MATCH(Composições!A1926,Orçamentária!A:A,0),2)</f>
        <v>Fita aluminizada para refrigeração 48 mm</v>
      </c>
      <c r="C1926" s="40"/>
      <c r="D1926" s="25" t="str">
        <f>TRIM(INDEX(Orçamentária!C:C,MATCH(Composições!A1926,Orçamentária!A:A,0),1))</f>
        <v>m</v>
      </c>
      <c r="E1926" s="26"/>
      <c r="F1926" s="41" t="s">
        <v>514</v>
      </c>
      <c r="G1926" s="27" t="str">
        <f t="shared" si="30"/>
        <v/>
      </c>
      <c r="H1926" s="28"/>
      <c r="I1926" s="29"/>
      <c r="J1926" s="148">
        <v>450</v>
      </c>
      <c r="K1926" s="222" t="s">
        <v>8074</v>
      </c>
    </row>
    <row r="1927" spans="1:11" hidden="1" x14ac:dyDescent="0.25">
      <c r="A1927" s="203"/>
      <c r="B1927" s="205"/>
      <c r="C1927" s="31"/>
      <c r="D1927" s="31"/>
      <c r="E1927" s="32"/>
      <c r="F1927" s="42" t="s">
        <v>514</v>
      </c>
      <c r="G1927" s="30" t="str">
        <f t="shared" si="30"/>
        <v/>
      </c>
      <c r="H1927" s="34"/>
      <c r="I1927" s="30"/>
      <c r="J1927" s="148">
        <v>450</v>
      </c>
      <c r="K1927" s="222" t="s">
        <v>8074</v>
      </c>
    </row>
    <row r="1928" spans="1:11" hidden="1" x14ac:dyDescent="0.25">
      <c r="A1928" s="203"/>
      <c r="B1928" s="205"/>
      <c r="C1928" s="35" t="s">
        <v>52</v>
      </c>
      <c r="D1928" s="46" t="s">
        <v>12</v>
      </c>
      <c r="E1928" s="36">
        <v>0.05</v>
      </c>
      <c r="F1928" s="30">
        <v>21.184999999999999</v>
      </c>
      <c r="G1928" s="30">
        <f t="shared" si="30"/>
        <v>1.05925</v>
      </c>
      <c r="H1928" s="38">
        <f>SUM(G1928:G1929)</f>
        <v>1.2192499999999999</v>
      </c>
      <c r="I1928" s="39"/>
      <c r="J1928" s="148">
        <v>450</v>
      </c>
      <c r="K1928" s="222" t="s">
        <v>8074</v>
      </c>
    </row>
    <row r="1929" spans="1:11" hidden="1" x14ac:dyDescent="0.25">
      <c r="A1929" s="203"/>
      <c r="B1929" s="205"/>
      <c r="C1929" s="35" t="s">
        <v>602</v>
      </c>
      <c r="D1929" s="46" t="s">
        <v>92</v>
      </c>
      <c r="E1929" s="36">
        <v>1</v>
      </c>
      <c r="F1929" s="30">
        <v>0.16</v>
      </c>
      <c r="G1929" s="30">
        <f t="shared" si="30"/>
        <v>0.16</v>
      </c>
      <c r="H1929" s="34"/>
      <c r="I1929" s="30"/>
      <c r="J1929" s="148">
        <v>450</v>
      </c>
      <c r="K1929" s="222" t="s">
        <v>8074</v>
      </c>
    </row>
    <row r="1930" spans="1:11" ht="15.75" hidden="1" thickBot="1" x14ac:dyDescent="0.3">
      <c r="A1930" s="209"/>
      <c r="B1930" s="206"/>
      <c r="C1930" s="35"/>
      <c r="D1930" s="35"/>
      <c r="E1930" s="36"/>
      <c r="F1930" s="30" t="s">
        <v>514</v>
      </c>
      <c r="G1930" s="30" t="str">
        <f t="shared" si="30"/>
        <v/>
      </c>
      <c r="H1930" s="34"/>
      <c r="I1930" s="30"/>
      <c r="J1930" s="148">
        <v>450</v>
      </c>
      <c r="K1930" s="222" t="s">
        <v>8074</v>
      </c>
    </row>
    <row r="1931" spans="1:11" ht="15.75" hidden="1" thickBot="1" x14ac:dyDescent="0.3">
      <c r="A1931" s="202" t="s">
        <v>603</v>
      </c>
      <c r="B1931" s="204" t="str">
        <f>INDEX(Orçamentária!A:B,MATCH(Composições!A1931,Orçamentária!A:A,0),2)</f>
        <v>Fita PVC 100 mm para acabamento em refrigeração</v>
      </c>
      <c r="C1931" s="40"/>
      <c r="D1931" s="25" t="str">
        <f>TRIM(INDEX(Orçamentária!C:C,MATCH(Composições!A1931,Orçamentária!A:A,0),1))</f>
        <v>m</v>
      </c>
      <c r="E1931" s="26"/>
      <c r="F1931" s="41" t="s">
        <v>514</v>
      </c>
      <c r="G1931" s="27" t="str">
        <f t="shared" si="30"/>
        <v/>
      </c>
      <c r="H1931" s="28"/>
      <c r="I1931" s="29"/>
      <c r="J1931" s="148">
        <v>7680</v>
      </c>
      <c r="K1931" s="222" t="s">
        <v>8074</v>
      </c>
    </row>
    <row r="1932" spans="1:11" hidden="1" x14ac:dyDescent="0.25">
      <c r="A1932" s="203"/>
      <c r="B1932" s="205"/>
      <c r="C1932" s="31"/>
      <c r="D1932" s="31"/>
      <c r="E1932" s="32"/>
      <c r="F1932" s="42" t="s">
        <v>514</v>
      </c>
      <c r="G1932" s="30" t="str">
        <f t="shared" si="30"/>
        <v/>
      </c>
      <c r="H1932" s="34"/>
      <c r="I1932" s="30"/>
      <c r="J1932" s="148">
        <v>7680</v>
      </c>
      <c r="K1932" s="222" t="s">
        <v>8074</v>
      </c>
    </row>
    <row r="1933" spans="1:11" hidden="1" x14ac:dyDescent="0.25">
      <c r="A1933" s="203"/>
      <c r="B1933" s="205"/>
      <c r="C1933" s="35" t="s">
        <v>52</v>
      </c>
      <c r="D1933" s="46" t="s">
        <v>12</v>
      </c>
      <c r="E1933" s="36">
        <v>0.05</v>
      </c>
      <c r="F1933" s="30">
        <v>21.184999999999999</v>
      </c>
      <c r="G1933" s="30">
        <f t="shared" si="30"/>
        <v>1.05925</v>
      </c>
      <c r="H1933" s="38">
        <f>SUM(G1933:G1934)</f>
        <v>1.6192500000000001</v>
      </c>
      <c r="I1933" s="39"/>
      <c r="J1933" s="148">
        <v>7680</v>
      </c>
      <c r="K1933" s="222" t="s">
        <v>8074</v>
      </c>
    </row>
    <row r="1934" spans="1:11" hidden="1" x14ac:dyDescent="0.25">
      <c r="A1934" s="203"/>
      <c r="B1934" s="205"/>
      <c r="C1934" s="35" t="s">
        <v>604</v>
      </c>
      <c r="D1934" s="46" t="s">
        <v>92</v>
      </c>
      <c r="E1934" s="36">
        <v>1</v>
      </c>
      <c r="F1934" s="30">
        <v>0.56000000000000005</v>
      </c>
      <c r="G1934" s="30">
        <f t="shared" si="30"/>
        <v>0.56000000000000005</v>
      </c>
      <c r="H1934" s="34"/>
      <c r="I1934" s="30"/>
      <c r="J1934" s="148">
        <v>7680</v>
      </c>
      <c r="K1934" s="222" t="s">
        <v>8074</v>
      </c>
    </row>
    <row r="1935" spans="1:11" ht="15.75" hidden="1" thickBot="1" x14ac:dyDescent="0.3">
      <c r="A1935" s="209"/>
      <c r="B1935" s="206"/>
      <c r="C1935" s="35"/>
      <c r="D1935" s="35"/>
      <c r="E1935" s="36"/>
      <c r="F1935" s="30" t="s">
        <v>514</v>
      </c>
      <c r="G1935" s="30" t="str">
        <f t="shared" si="30"/>
        <v/>
      </c>
      <c r="H1935" s="34"/>
      <c r="I1935" s="30"/>
      <c r="J1935" s="148">
        <v>7680</v>
      </c>
      <c r="K1935" s="222" t="s">
        <v>8074</v>
      </c>
    </row>
    <row r="1936" spans="1:11" ht="15.75" hidden="1" thickBot="1" x14ac:dyDescent="0.3">
      <c r="A1936" s="202" t="s">
        <v>605</v>
      </c>
      <c r="B1936" s="204" t="str">
        <f>INDEX(Orçamentária!A:B,MATCH(Composições!A1936,Orçamentária!A:A,0),2)</f>
        <v>Mangueira emborrachada 3/4" para água gelada</v>
      </c>
      <c r="C1936" s="40"/>
      <c r="D1936" s="25" t="str">
        <f>TRIM(INDEX(Orçamentária!C:C,MATCH(Composições!A1936,Orçamentária!A:A,0),1))</f>
        <v>m</v>
      </c>
      <c r="E1936" s="26"/>
      <c r="F1936" s="41" t="s">
        <v>514</v>
      </c>
      <c r="G1936" s="27" t="str">
        <f t="shared" si="30"/>
        <v/>
      </c>
      <c r="H1936" s="28"/>
      <c r="I1936" s="29"/>
      <c r="J1936" s="148">
        <v>60</v>
      </c>
      <c r="K1936" s="222" t="s">
        <v>8074</v>
      </c>
    </row>
    <row r="1937" spans="1:11" hidden="1" x14ac:dyDescent="0.25">
      <c r="A1937" s="203"/>
      <c r="B1937" s="205"/>
      <c r="C1937" s="31"/>
      <c r="D1937" s="31"/>
      <c r="E1937" s="32"/>
      <c r="F1937" s="42" t="s">
        <v>514</v>
      </c>
      <c r="G1937" s="30" t="str">
        <f t="shared" si="30"/>
        <v/>
      </c>
      <c r="H1937" s="34"/>
      <c r="I1937" s="30"/>
      <c r="J1937" s="148">
        <v>60</v>
      </c>
      <c r="K1937" s="222" t="s">
        <v>8074</v>
      </c>
    </row>
    <row r="1938" spans="1:11" hidden="1" x14ac:dyDescent="0.25">
      <c r="A1938" s="203"/>
      <c r="B1938" s="205"/>
      <c r="C1938" s="35" t="s">
        <v>52</v>
      </c>
      <c r="D1938" s="46" t="s">
        <v>12</v>
      </c>
      <c r="E1938" s="36">
        <v>0.05</v>
      </c>
      <c r="F1938" s="30">
        <v>21.184999999999999</v>
      </c>
      <c r="G1938" s="30">
        <f t="shared" si="30"/>
        <v>1.05925</v>
      </c>
      <c r="H1938" s="38">
        <f>SUM(G1938:G1941)</f>
        <v>163.57925</v>
      </c>
      <c r="I1938" s="39"/>
      <c r="J1938" s="148">
        <v>60</v>
      </c>
      <c r="K1938" s="222" t="s">
        <v>8074</v>
      </c>
    </row>
    <row r="1939" spans="1:11" hidden="1" x14ac:dyDescent="0.25">
      <c r="A1939" s="203"/>
      <c r="B1939" s="205"/>
      <c r="C1939" s="35" t="s">
        <v>6692</v>
      </c>
      <c r="D1939" s="35" t="s">
        <v>20</v>
      </c>
      <c r="E1939" s="36">
        <v>1</v>
      </c>
      <c r="F1939" s="30">
        <v>47.6</v>
      </c>
      <c r="G1939" s="30">
        <f t="shared" ref="G1939:G2002" si="31">IF(ISNUMBER(F1939),E1939*F1939,"")</f>
        <v>47.6</v>
      </c>
      <c r="H1939" s="34"/>
      <c r="I1939" s="30"/>
      <c r="J1939" s="148">
        <v>60</v>
      </c>
      <c r="K1939" s="222" t="s">
        <v>8074</v>
      </c>
    </row>
    <row r="1940" spans="1:11" hidden="1" x14ac:dyDescent="0.25">
      <c r="A1940" s="203"/>
      <c r="B1940" s="205"/>
      <c r="C1940" s="35" t="s">
        <v>6693</v>
      </c>
      <c r="D1940" s="35" t="s">
        <v>20</v>
      </c>
      <c r="E1940" s="36">
        <v>1</v>
      </c>
      <c r="F1940" s="30">
        <v>77.87</v>
      </c>
      <c r="G1940" s="30">
        <f t="shared" si="31"/>
        <v>77.87</v>
      </c>
      <c r="H1940" s="34"/>
      <c r="I1940" s="30"/>
      <c r="J1940" s="148">
        <v>60</v>
      </c>
      <c r="K1940" s="222" t="s">
        <v>8074</v>
      </c>
    </row>
    <row r="1941" spans="1:11" hidden="1" x14ac:dyDescent="0.25">
      <c r="A1941" s="203"/>
      <c r="B1941" s="205"/>
      <c r="C1941" s="35" t="s">
        <v>606</v>
      </c>
      <c r="D1941" s="46" t="s">
        <v>92</v>
      </c>
      <c r="E1941" s="36">
        <v>1</v>
      </c>
      <c r="F1941" s="30">
        <v>37.049999999999997</v>
      </c>
      <c r="G1941" s="30">
        <f t="shared" si="31"/>
        <v>37.049999999999997</v>
      </c>
      <c r="H1941" s="34"/>
      <c r="I1941" s="30"/>
      <c r="J1941" s="148">
        <v>60</v>
      </c>
      <c r="K1941" s="222" t="s">
        <v>8074</v>
      </c>
    </row>
    <row r="1942" spans="1:11" ht="15.75" hidden="1" thickBot="1" x14ac:dyDescent="0.3">
      <c r="A1942" s="209"/>
      <c r="B1942" s="206"/>
      <c r="C1942" s="35"/>
      <c r="D1942" s="35"/>
      <c r="E1942" s="36"/>
      <c r="F1942" s="30" t="s">
        <v>514</v>
      </c>
      <c r="G1942" s="30" t="str">
        <f t="shared" si="31"/>
        <v/>
      </c>
      <c r="H1942" s="34"/>
      <c r="I1942" s="30"/>
      <c r="J1942" s="148">
        <v>60</v>
      </c>
      <c r="K1942" s="222" t="s">
        <v>8074</v>
      </c>
    </row>
    <row r="1943" spans="1:11" ht="15.75" hidden="1" thickBot="1" x14ac:dyDescent="0.3">
      <c r="A1943" s="202" t="s">
        <v>607</v>
      </c>
      <c r="B1943" s="204" t="str">
        <f>INDEX(Orçamentária!A:B,MATCH(Composições!A1943,Orçamentária!A:A,0),2)</f>
        <v>Suporte para unidade condensadora de aparelho split</v>
      </c>
      <c r="C1943" s="40"/>
      <c r="D1943" s="25" t="str">
        <f>TRIM(INDEX(Orçamentária!C:C,MATCH(Composições!A1943,Orçamentária!A:A,0),1))</f>
        <v>un</v>
      </c>
      <c r="E1943" s="26"/>
      <c r="F1943" s="41" t="s">
        <v>514</v>
      </c>
      <c r="G1943" s="27" t="str">
        <f t="shared" si="31"/>
        <v/>
      </c>
      <c r="H1943" s="28"/>
      <c r="I1943" s="29"/>
      <c r="J1943" s="148">
        <v>115</v>
      </c>
      <c r="K1943" s="222" t="s">
        <v>8074</v>
      </c>
    </row>
    <row r="1944" spans="1:11" hidden="1" x14ac:dyDescent="0.25">
      <c r="A1944" s="203"/>
      <c r="B1944" s="205"/>
      <c r="C1944" s="31"/>
      <c r="D1944" s="31"/>
      <c r="E1944" s="32"/>
      <c r="F1944" s="42" t="s">
        <v>514</v>
      </c>
      <c r="G1944" s="30" t="str">
        <f t="shared" si="31"/>
        <v/>
      </c>
      <c r="H1944" s="34"/>
      <c r="I1944" s="30"/>
      <c r="J1944" s="148">
        <v>115</v>
      </c>
      <c r="K1944" s="222" t="s">
        <v>8074</v>
      </c>
    </row>
    <row r="1945" spans="1:11" ht="25.5" hidden="1" x14ac:dyDescent="0.25">
      <c r="A1945" s="203"/>
      <c r="B1945" s="205"/>
      <c r="C1945" s="35" t="s">
        <v>106</v>
      </c>
      <c r="D1945" s="46" t="s">
        <v>12</v>
      </c>
      <c r="E1945" s="36">
        <v>0.5</v>
      </c>
      <c r="F1945" s="30">
        <v>19.094999999999999</v>
      </c>
      <c r="G1945" s="33">
        <f t="shared" si="31"/>
        <v>9.5474999999999994</v>
      </c>
      <c r="H1945" s="38">
        <f>SUM(G1945:G1947)</f>
        <v>148.398</v>
      </c>
      <c r="I1945" s="39"/>
      <c r="J1945" s="148">
        <v>115</v>
      </c>
      <c r="K1945" s="222" t="s">
        <v>8074</v>
      </c>
    </row>
    <row r="1946" spans="1:11" hidden="1" x14ac:dyDescent="0.25">
      <c r="A1946" s="203"/>
      <c r="B1946" s="205"/>
      <c r="C1946" s="35" t="s">
        <v>39</v>
      </c>
      <c r="D1946" s="46" t="s">
        <v>12</v>
      </c>
      <c r="E1946" s="36">
        <v>0.5</v>
      </c>
      <c r="F1946" s="30">
        <v>24.300999999999998</v>
      </c>
      <c r="G1946" s="33">
        <f t="shared" si="31"/>
        <v>12.150499999999999</v>
      </c>
      <c r="H1946" s="34"/>
      <c r="I1946" s="30"/>
      <c r="J1946" s="148">
        <v>115</v>
      </c>
      <c r="K1946" s="222" t="s">
        <v>8074</v>
      </c>
    </row>
    <row r="1947" spans="1:11" hidden="1" x14ac:dyDescent="0.25">
      <c r="A1947" s="203"/>
      <c r="B1947" s="205"/>
      <c r="C1947" s="35" t="s">
        <v>610</v>
      </c>
      <c r="D1947" s="35" t="s">
        <v>143</v>
      </c>
      <c r="E1947" s="36">
        <v>1</v>
      </c>
      <c r="F1947" s="33">
        <v>126.7</v>
      </c>
      <c r="G1947" s="33">
        <f t="shared" si="31"/>
        <v>126.7</v>
      </c>
      <c r="H1947" s="34"/>
      <c r="I1947" s="30"/>
      <c r="J1947" s="148">
        <v>115</v>
      </c>
      <c r="K1947" s="222" t="s">
        <v>8074</v>
      </c>
    </row>
    <row r="1948" spans="1:11" ht="15.75" hidden="1" thickBot="1" x14ac:dyDescent="0.3">
      <c r="A1948" s="209"/>
      <c r="B1948" s="206"/>
      <c r="C1948" s="35"/>
      <c r="D1948" s="35"/>
      <c r="E1948" s="36"/>
      <c r="F1948" s="30" t="s">
        <v>514</v>
      </c>
      <c r="G1948" s="30" t="str">
        <f t="shared" si="31"/>
        <v/>
      </c>
      <c r="H1948" s="34"/>
      <c r="I1948" s="30"/>
      <c r="J1948" s="148">
        <v>115</v>
      </c>
      <c r="K1948" s="222" t="s">
        <v>8074</v>
      </c>
    </row>
    <row r="1949" spans="1:11" ht="15.75" hidden="1" thickBot="1" x14ac:dyDescent="0.3">
      <c r="A1949" s="202" t="s">
        <v>611</v>
      </c>
      <c r="B1949" s="204" t="str">
        <f>INDEX(Orçamentária!A:B,MATCH(Composições!A1949,Orçamentária!A:A,0),2)</f>
        <v>Suporte para unidade evaporadora de aparelho split ou fancolete</v>
      </c>
      <c r="C1949" s="40"/>
      <c r="D1949" s="25" t="str">
        <f>TRIM(INDEX(Orçamentária!C:C,MATCH(Composições!A1949,Orçamentária!A:A,0),1))</f>
        <v>un</v>
      </c>
      <c r="E1949" s="26"/>
      <c r="F1949" s="41" t="s">
        <v>514</v>
      </c>
      <c r="G1949" s="27" t="str">
        <f t="shared" si="31"/>
        <v/>
      </c>
      <c r="H1949" s="28"/>
      <c r="I1949" s="29"/>
      <c r="J1949" s="148">
        <v>180</v>
      </c>
      <c r="K1949" s="222" t="s">
        <v>8074</v>
      </c>
    </row>
    <row r="1950" spans="1:11" hidden="1" x14ac:dyDescent="0.25">
      <c r="A1950" s="203"/>
      <c r="B1950" s="205"/>
      <c r="C1950" s="31"/>
      <c r="D1950" s="31"/>
      <c r="E1950" s="32"/>
      <c r="F1950" s="42" t="s">
        <v>514</v>
      </c>
      <c r="G1950" s="30" t="str">
        <f t="shared" si="31"/>
        <v/>
      </c>
      <c r="H1950" s="34"/>
      <c r="I1950" s="30"/>
      <c r="J1950" s="148">
        <v>180</v>
      </c>
      <c r="K1950" s="222" t="s">
        <v>8074</v>
      </c>
    </row>
    <row r="1951" spans="1:11" ht="25.5" hidden="1" x14ac:dyDescent="0.25">
      <c r="A1951" s="203"/>
      <c r="B1951" s="205"/>
      <c r="C1951" s="35" t="s">
        <v>106</v>
      </c>
      <c r="D1951" s="46" t="s">
        <v>12</v>
      </c>
      <c r="E1951" s="36">
        <v>0.5</v>
      </c>
      <c r="F1951" s="30">
        <v>19.094999999999999</v>
      </c>
      <c r="G1951" s="33">
        <f t="shared" si="31"/>
        <v>9.5474999999999994</v>
      </c>
      <c r="H1951" s="38">
        <f>SUM(G1951:G1953)</f>
        <v>134.428</v>
      </c>
      <c r="I1951" s="39"/>
      <c r="J1951" s="148">
        <v>180</v>
      </c>
      <c r="K1951" s="222" t="s">
        <v>8074</v>
      </c>
    </row>
    <row r="1952" spans="1:11" hidden="1" x14ac:dyDescent="0.25">
      <c r="A1952" s="203"/>
      <c r="B1952" s="205"/>
      <c r="C1952" s="35" t="s">
        <v>39</v>
      </c>
      <c r="D1952" s="46" t="s">
        <v>12</v>
      </c>
      <c r="E1952" s="36">
        <v>0.5</v>
      </c>
      <c r="F1952" s="30">
        <v>24.300999999999998</v>
      </c>
      <c r="G1952" s="33">
        <f t="shared" si="31"/>
        <v>12.150499999999999</v>
      </c>
      <c r="H1952" s="34"/>
      <c r="I1952" s="30"/>
      <c r="J1952" s="148">
        <v>180</v>
      </c>
      <c r="K1952" s="222" t="s">
        <v>8074</v>
      </c>
    </row>
    <row r="1953" spans="1:11" hidden="1" x14ac:dyDescent="0.25">
      <c r="A1953" s="203"/>
      <c r="B1953" s="205"/>
      <c r="C1953" s="35" t="s">
        <v>612</v>
      </c>
      <c r="D1953" s="35" t="s">
        <v>143</v>
      </c>
      <c r="E1953" s="36">
        <v>1</v>
      </c>
      <c r="F1953" s="33">
        <v>112.73</v>
      </c>
      <c r="G1953" s="33">
        <f t="shared" si="31"/>
        <v>112.73</v>
      </c>
      <c r="H1953" s="34"/>
      <c r="I1953" s="30"/>
      <c r="J1953" s="148">
        <v>180</v>
      </c>
      <c r="K1953" s="222" t="s">
        <v>8074</v>
      </c>
    </row>
    <row r="1954" spans="1:11" ht="15.75" hidden="1" thickBot="1" x14ac:dyDescent="0.3">
      <c r="A1954" s="209"/>
      <c r="B1954" s="206"/>
      <c r="C1954" s="35"/>
      <c r="D1954" s="35"/>
      <c r="E1954" s="36"/>
      <c r="F1954" s="30" t="s">
        <v>514</v>
      </c>
      <c r="G1954" s="30" t="str">
        <f t="shared" si="31"/>
        <v/>
      </c>
      <c r="H1954" s="34"/>
      <c r="I1954" s="30"/>
      <c r="J1954" s="148">
        <v>180</v>
      </c>
      <c r="K1954" s="222" t="s">
        <v>8074</v>
      </c>
    </row>
    <row r="1955" spans="1:11" ht="15.75" hidden="1" thickBot="1" x14ac:dyDescent="0.3">
      <c r="A1955" s="202" t="s">
        <v>613</v>
      </c>
      <c r="B1955" s="204" t="str">
        <f>INDEX(Orçamentária!A:B,MATCH(Composições!A1955,Orçamentária!A:A,0),2)</f>
        <v>Filtro em Y 1"</v>
      </c>
      <c r="C1955" s="40"/>
      <c r="D1955" s="25" t="str">
        <f>TRIM(INDEX(Orçamentária!C:C,MATCH(Composições!A1955,Orçamentária!A:A,0),1))</f>
        <v>un</v>
      </c>
      <c r="E1955" s="26"/>
      <c r="F1955" s="41" t="s">
        <v>514</v>
      </c>
      <c r="G1955" s="27" t="str">
        <f t="shared" si="31"/>
        <v/>
      </c>
      <c r="H1955" s="28"/>
      <c r="I1955" s="29"/>
      <c r="J1955" s="148">
        <v>10</v>
      </c>
      <c r="K1955" s="222" t="s">
        <v>8074</v>
      </c>
    </row>
    <row r="1956" spans="1:11" hidden="1" x14ac:dyDescent="0.25">
      <c r="A1956" s="203"/>
      <c r="B1956" s="205"/>
      <c r="C1956" s="31"/>
      <c r="D1956" s="31"/>
      <c r="E1956" s="32"/>
      <c r="F1956" s="42" t="s">
        <v>514</v>
      </c>
      <c r="G1956" s="30" t="str">
        <f t="shared" si="31"/>
        <v/>
      </c>
      <c r="H1956" s="34"/>
      <c r="I1956" s="30"/>
      <c r="J1956" s="148">
        <v>10</v>
      </c>
      <c r="K1956" s="222" t="s">
        <v>8074</v>
      </c>
    </row>
    <row r="1957" spans="1:11" ht="25.5" hidden="1" x14ac:dyDescent="0.25">
      <c r="A1957" s="203"/>
      <c r="B1957" s="205"/>
      <c r="C1957" s="35" t="s">
        <v>106</v>
      </c>
      <c r="D1957" s="46" t="s">
        <v>12</v>
      </c>
      <c r="E1957" s="36">
        <v>0.14849999999999999</v>
      </c>
      <c r="F1957" s="30">
        <v>19.094999999999999</v>
      </c>
      <c r="G1957" s="30">
        <f t="shared" si="31"/>
        <v>2.8356074999999996</v>
      </c>
      <c r="H1957" s="38">
        <f>SUM(G1957:G1960)</f>
        <v>135.10080780000001</v>
      </c>
      <c r="I1957" s="39"/>
      <c r="J1957" s="148">
        <v>10</v>
      </c>
      <c r="K1957" s="222" t="s">
        <v>8074</v>
      </c>
    </row>
    <row r="1958" spans="1:11" hidden="1" x14ac:dyDescent="0.25">
      <c r="A1958" s="203"/>
      <c r="B1958" s="205"/>
      <c r="C1958" s="35" t="s">
        <v>39</v>
      </c>
      <c r="D1958" s="46" t="s">
        <v>12</v>
      </c>
      <c r="E1958" s="36">
        <v>0.14849999999999999</v>
      </c>
      <c r="F1958" s="30">
        <v>24.300999999999998</v>
      </c>
      <c r="G1958" s="30">
        <f t="shared" si="31"/>
        <v>3.6086984999999996</v>
      </c>
      <c r="H1958" s="34"/>
      <c r="I1958" s="30"/>
      <c r="J1958" s="148">
        <v>10</v>
      </c>
      <c r="K1958" s="222" t="s">
        <v>8074</v>
      </c>
    </row>
    <row r="1959" spans="1:11" ht="38.25" hidden="1" x14ac:dyDescent="0.25">
      <c r="A1959" s="203"/>
      <c r="B1959" s="205"/>
      <c r="C1959" s="35" t="s">
        <v>614</v>
      </c>
      <c r="D1959" s="35" t="s">
        <v>143</v>
      </c>
      <c r="E1959" s="36">
        <v>1</v>
      </c>
      <c r="F1959" s="33">
        <v>128.46</v>
      </c>
      <c r="G1959" s="30">
        <f t="shared" si="31"/>
        <v>128.46</v>
      </c>
      <c r="H1959" s="34"/>
      <c r="I1959" s="30"/>
      <c r="J1959" s="148">
        <v>10</v>
      </c>
      <c r="K1959" s="222" t="s">
        <v>8074</v>
      </c>
    </row>
    <row r="1960" spans="1:11" hidden="1" x14ac:dyDescent="0.25">
      <c r="A1960" s="203"/>
      <c r="B1960" s="205"/>
      <c r="C1960" s="35" t="s">
        <v>378</v>
      </c>
      <c r="D1960" s="46" t="s">
        <v>278</v>
      </c>
      <c r="E1960" s="36">
        <v>1.32E-2</v>
      </c>
      <c r="F1960" s="33">
        <v>14.8865</v>
      </c>
      <c r="G1960" s="30">
        <f t="shared" si="31"/>
        <v>0.1965018</v>
      </c>
      <c r="H1960" s="34"/>
      <c r="I1960" s="30"/>
      <c r="J1960" s="148">
        <v>10</v>
      </c>
      <c r="K1960" s="222" t="s">
        <v>8074</v>
      </c>
    </row>
    <row r="1961" spans="1:11" ht="15.75" hidden="1" thickBot="1" x14ac:dyDescent="0.3">
      <c r="A1961" s="209"/>
      <c r="B1961" s="206"/>
      <c r="C1961" s="35"/>
      <c r="D1961" s="35"/>
      <c r="E1961" s="36"/>
      <c r="F1961" s="30" t="s">
        <v>514</v>
      </c>
      <c r="G1961" s="30" t="str">
        <f t="shared" si="31"/>
        <v/>
      </c>
      <c r="H1961" s="34"/>
      <c r="I1961" s="30"/>
      <c r="J1961" s="148">
        <v>10</v>
      </c>
      <c r="K1961" s="222" t="s">
        <v>8074</v>
      </c>
    </row>
    <row r="1962" spans="1:11" ht="15.75" hidden="1" thickBot="1" x14ac:dyDescent="0.3">
      <c r="A1962" s="202" t="s">
        <v>615</v>
      </c>
      <c r="B1962" s="204" t="str">
        <f>INDEX(Orçamentária!A:B,MATCH(Composições!A1962,Orçamentária!A:A,0),2)</f>
        <v>Filtro em Y 3/4"</v>
      </c>
      <c r="C1962" s="40"/>
      <c r="D1962" s="25" t="str">
        <f>TRIM(INDEX(Orçamentária!C:C,MATCH(Composições!A1962,Orçamentária!A:A,0),1))</f>
        <v>un</v>
      </c>
      <c r="E1962" s="26"/>
      <c r="F1962" s="41" t="s">
        <v>514</v>
      </c>
      <c r="G1962" s="27" t="str">
        <f t="shared" si="31"/>
        <v/>
      </c>
      <c r="H1962" s="28"/>
      <c r="I1962" s="29"/>
      <c r="J1962" s="148">
        <v>50</v>
      </c>
      <c r="K1962" s="222" t="s">
        <v>8074</v>
      </c>
    </row>
    <row r="1963" spans="1:11" hidden="1" x14ac:dyDescent="0.25">
      <c r="A1963" s="203"/>
      <c r="B1963" s="205"/>
      <c r="C1963" s="31"/>
      <c r="D1963" s="31"/>
      <c r="E1963" s="32"/>
      <c r="F1963" s="42" t="s">
        <v>514</v>
      </c>
      <c r="G1963" s="30" t="str">
        <f t="shared" si="31"/>
        <v/>
      </c>
      <c r="H1963" s="34"/>
      <c r="I1963" s="30"/>
      <c r="J1963" s="148">
        <v>50</v>
      </c>
      <c r="K1963" s="222" t="s">
        <v>8074</v>
      </c>
    </row>
    <row r="1964" spans="1:11" ht="25.5" hidden="1" x14ac:dyDescent="0.25">
      <c r="A1964" s="203"/>
      <c r="B1964" s="205"/>
      <c r="C1964" s="35" t="s">
        <v>106</v>
      </c>
      <c r="D1964" s="46" t="s">
        <v>12</v>
      </c>
      <c r="E1964" s="36">
        <v>0.11020000000000001</v>
      </c>
      <c r="F1964" s="30">
        <v>19.094999999999999</v>
      </c>
      <c r="G1964" s="30">
        <f t="shared" si="31"/>
        <v>2.1042689999999999</v>
      </c>
      <c r="H1964" s="38">
        <f>SUM(G1964:G1967)</f>
        <v>102.9300361</v>
      </c>
      <c r="I1964" s="39"/>
      <c r="J1964" s="148">
        <v>50</v>
      </c>
      <c r="K1964" s="222" t="s">
        <v>8074</v>
      </c>
    </row>
    <row r="1965" spans="1:11" hidden="1" x14ac:dyDescent="0.25">
      <c r="A1965" s="203"/>
      <c r="B1965" s="205"/>
      <c r="C1965" s="35" t="s">
        <v>39</v>
      </c>
      <c r="D1965" s="46" t="s">
        <v>12</v>
      </c>
      <c r="E1965" s="36">
        <v>0.11020000000000001</v>
      </c>
      <c r="F1965" s="30">
        <v>24.300999999999998</v>
      </c>
      <c r="G1965" s="30">
        <f t="shared" si="31"/>
        <v>2.6779701999999999</v>
      </c>
      <c r="H1965" s="34"/>
      <c r="I1965" s="30"/>
      <c r="J1965" s="148">
        <v>50</v>
      </c>
      <c r="K1965" s="222" t="s">
        <v>8074</v>
      </c>
    </row>
    <row r="1966" spans="1:11" ht="38.25" hidden="1" x14ac:dyDescent="0.25">
      <c r="A1966" s="203"/>
      <c r="B1966" s="205"/>
      <c r="C1966" s="35" t="s">
        <v>616</v>
      </c>
      <c r="D1966" s="35" t="s">
        <v>143</v>
      </c>
      <c r="E1966" s="36">
        <v>1</v>
      </c>
      <c r="F1966" s="33">
        <v>97.99</v>
      </c>
      <c r="G1966" s="30">
        <f t="shared" si="31"/>
        <v>97.99</v>
      </c>
      <c r="H1966" s="34"/>
      <c r="I1966" s="30"/>
      <c r="J1966" s="148">
        <v>50</v>
      </c>
      <c r="K1966" s="222" t="s">
        <v>8074</v>
      </c>
    </row>
    <row r="1967" spans="1:11" hidden="1" x14ac:dyDescent="0.25">
      <c r="A1967" s="203"/>
      <c r="B1967" s="205"/>
      <c r="C1967" s="35" t="s">
        <v>378</v>
      </c>
      <c r="D1967" s="46" t="s">
        <v>278</v>
      </c>
      <c r="E1967" s="36">
        <v>1.06E-2</v>
      </c>
      <c r="F1967" s="33">
        <v>14.8865</v>
      </c>
      <c r="G1967" s="30">
        <f t="shared" si="31"/>
        <v>0.15779689999999999</v>
      </c>
      <c r="H1967" s="34"/>
      <c r="I1967" s="30"/>
      <c r="J1967" s="148">
        <v>50</v>
      </c>
      <c r="K1967" s="222" t="s">
        <v>8074</v>
      </c>
    </row>
    <row r="1968" spans="1:11" ht="15.75" hidden="1" thickBot="1" x14ac:dyDescent="0.3">
      <c r="A1968" s="209"/>
      <c r="B1968" s="206"/>
      <c r="C1968" s="35"/>
      <c r="D1968" s="35"/>
      <c r="E1968" s="36"/>
      <c r="F1968" s="30" t="s">
        <v>514</v>
      </c>
      <c r="G1968" s="30" t="str">
        <f t="shared" si="31"/>
        <v/>
      </c>
      <c r="H1968" s="34"/>
      <c r="I1968" s="30"/>
      <c r="J1968" s="148">
        <v>50</v>
      </c>
      <c r="K1968" s="222" t="s">
        <v>8074</v>
      </c>
    </row>
    <row r="1969" spans="1:11" ht="15.75" hidden="1" thickBot="1" x14ac:dyDescent="0.3">
      <c r="A1969" s="202" t="s">
        <v>617</v>
      </c>
      <c r="B1969" s="204" t="str">
        <f>INDEX(Orçamentária!A:B,MATCH(Composições!A1969,Orçamentária!A:A,0),2)</f>
        <v>Válvula de balanceamento e controle independente da pressão (PIBCV) 2 vias 1"</v>
      </c>
      <c r="C1969" s="40"/>
      <c r="D1969" s="25" t="str">
        <f>TRIM(INDEX(Orçamentária!C:C,MATCH(Composições!A1969,Orçamentária!A:A,0),1))</f>
        <v>un</v>
      </c>
      <c r="E1969" s="26"/>
      <c r="F1969" s="41" t="s">
        <v>514</v>
      </c>
      <c r="G1969" s="27" t="str">
        <f t="shared" si="31"/>
        <v/>
      </c>
      <c r="H1969" s="28"/>
      <c r="I1969" s="29"/>
      <c r="J1969" s="148">
        <v>10</v>
      </c>
      <c r="K1969" s="222" t="s">
        <v>8074</v>
      </c>
    </row>
    <row r="1970" spans="1:11" hidden="1" x14ac:dyDescent="0.25">
      <c r="A1970" s="203"/>
      <c r="B1970" s="205"/>
      <c r="C1970" s="31"/>
      <c r="D1970" s="31"/>
      <c r="E1970" s="32"/>
      <c r="F1970" s="42" t="s">
        <v>514</v>
      </c>
      <c r="G1970" s="30" t="str">
        <f t="shared" si="31"/>
        <v/>
      </c>
      <c r="H1970" s="34"/>
      <c r="I1970" s="30"/>
      <c r="J1970" s="148">
        <v>10</v>
      </c>
      <c r="K1970" s="222" t="s">
        <v>8074</v>
      </c>
    </row>
    <row r="1971" spans="1:11" ht="25.5" hidden="1" x14ac:dyDescent="0.25">
      <c r="A1971" s="203"/>
      <c r="B1971" s="205"/>
      <c r="C1971" s="35" t="s">
        <v>106</v>
      </c>
      <c r="D1971" s="46" t="s">
        <v>12</v>
      </c>
      <c r="E1971" s="36">
        <v>0.14849999999999999</v>
      </c>
      <c r="F1971" s="30">
        <v>19.094999999999999</v>
      </c>
      <c r="G1971" s="30">
        <f t="shared" si="31"/>
        <v>2.8356074999999996</v>
      </c>
      <c r="H1971" s="38">
        <f>SUM(G1971:G1975)</f>
        <v>806.80080780000003</v>
      </c>
      <c r="I1971" s="39"/>
      <c r="J1971" s="148">
        <v>10</v>
      </c>
      <c r="K1971" s="222" t="s">
        <v>8074</v>
      </c>
    </row>
    <row r="1972" spans="1:11" hidden="1" x14ac:dyDescent="0.25">
      <c r="A1972" s="203"/>
      <c r="B1972" s="205"/>
      <c r="C1972" s="35" t="s">
        <v>39</v>
      </c>
      <c r="D1972" s="46" t="s">
        <v>12</v>
      </c>
      <c r="E1972" s="36">
        <v>0.14849999999999999</v>
      </c>
      <c r="F1972" s="30">
        <v>24.300999999999998</v>
      </c>
      <c r="G1972" s="30">
        <f t="shared" si="31"/>
        <v>3.6086984999999996</v>
      </c>
      <c r="H1972" s="34"/>
      <c r="I1972" s="30"/>
      <c r="J1972" s="148">
        <v>10</v>
      </c>
      <c r="K1972" s="222" t="s">
        <v>8074</v>
      </c>
    </row>
    <row r="1973" spans="1:11" hidden="1" x14ac:dyDescent="0.25">
      <c r="A1973" s="203"/>
      <c r="B1973" s="205"/>
      <c r="C1973" s="35" t="s">
        <v>378</v>
      </c>
      <c r="D1973" s="46" t="s">
        <v>278</v>
      </c>
      <c r="E1973" s="36">
        <v>1.32E-2</v>
      </c>
      <c r="F1973" s="33">
        <v>14.8865</v>
      </c>
      <c r="G1973" s="30">
        <f t="shared" si="31"/>
        <v>0.1965018</v>
      </c>
      <c r="H1973" s="34"/>
      <c r="I1973" s="30"/>
      <c r="J1973" s="148">
        <v>10</v>
      </c>
      <c r="K1973" s="222" t="s">
        <v>8074</v>
      </c>
    </row>
    <row r="1974" spans="1:11" ht="38.25" hidden="1" x14ac:dyDescent="0.25">
      <c r="A1974" s="203"/>
      <c r="B1974" s="205"/>
      <c r="C1974" s="35" t="s">
        <v>618</v>
      </c>
      <c r="D1974" s="35" t="s">
        <v>143</v>
      </c>
      <c r="E1974" s="36">
        <v>1</v>
      </c>
      <c r="F1974" s="33">
        <v>175.91</v>
      </c>
      <c r="G1974" s="30">
        <f t="shared" si="31"/>
        <v>175.91</v>
      </c>
      <c r="H1974" s="34"/>
      <c r="I1974" s="30"/>
      <c r="J1974" s="148">
        <v>10</v>
      </c>
      <c r="K1974" s="222" t="s">
        <v>8074</v>
      </c>
    </row>
    <row r="1975" spans="1:11" ht="38.25" hidden="1" x14ac:dyDescent="0.25">
      <c r="A1975" s="203"/>
      <c r="B1975" s="205"/>
      <c r="C1975" s="35" t="s">
        <v>619</v>
      </c>
      <c r="D1975" s="35" t="s">
        <v>143</v>
      </c>
      <c r="E1975" s="36">
        <v>1</v>
      </c>
      <c r="F1975" s="33">
        <v>624.25</v>
      </c>
      <c r="G1975" s="30">
        <f t="shared" si="31"/>
        <v>624.25</v>
      </c>
      <c r="H1975" s="34"/>
      <c r="I1975" s="30"/>
      <c r="J1975" s="148">
        <v>10</v>
      </c>
      <c r="K1975" s="222" t="s">
        <v>8074</v>
      </c>
    </row>
    <row r="1976" spans="1:11" ht="15.75" hidden="1" thickBot="1" x14ac:dyDescent="0.3">
      <c r="A1976" s="209"/>
      <c r="B1976" s="206"/>
      <c r="C1976" s="35"/>
      <c r="D1976" s="35"/>
      <c r="E1976" s="36"/>
      <c r="F1976" s="30" t="s">
        <v>514</v>
      </c>
      <c r="G1976" s="30" t="str">
        <f t="shared" si="31"/>
        <v/>
      </c>
      <c r="H1976" s="34"/>
      <c r="I1976" s="30"/>
      <c r="J1976" s="148">
        <v>10</v>
      </c>
      <c r="K1976" s="222" t="s">
        <v>8074</v>
      </c>
    </row>
    <row r="1977" spans="1:11" ht="15.75" hidden="1" thickBot="1" x14ac:dyDescent="0.3">
      <c r="A1977" s="202" t="s">
        <v>620</v>
      </c>
      <c r="B1977" s="204" t="str">
        <f>INDEX(Orçamentária!A:B,MATCH(Composições!A1977,Orçamentária!A:A,0),2)</f>
        <v>Válvula de balanceamento e controle independente da pressão (PIBCV) 2 vias 3/4"</v>
      </c>
      <c r="C1977" s="40"/>
      <c r="D1977" s="25" t="str">
        <f>TRIM(INDEX(Orçamentária!C:C,MATCH(Composições!A1977,Orçamentária!A:A,0),1))</f>
        <v>un</v>
      </c>
      <c r="E1977" s="26"/>
      <c r="F1977" s="41" t="s">
        <v>514</v>
      </c>
      <c r="G1977" s="27" t="str">
        <f t="shared" si="31"/>
        <v/>
      </c>
      <c r="H1977" s="28"/>
      <c r="I1977" s="29"/>
      <c r="J1977" s="148">
        <v>50</v>
      </c>
      <c r="K1977" s="222" t="s">
        <v>8074</v>
      </c>
    </row>
    <row r="1978" spans="1:11" hidden="1" x14ac:dyDescent="0.25">
      <c r="A1978" s="203"/>
      <c r="B1978" s="205"/>
      <c r="C1978" s="31"/>
      <c r="D1978" s="31"/>
      <c r="E1978" s="32"/>
      <c r="F1978" s="42" t="s">
        <v>514</v>
      </c>
      <c r="G1978" s="30" t="str">
        <f t="shared" si="31"/>
        <v/>
      </c>
      <c r="H1978" s="34"/>
      <c r="I1978" s="30"/>
      <c r="J1978" s="148">
        <v>50</v>
      </c>
      <c r="K1978" s="222" t="s">
        <v>8074</v>
      </c>
    </row>
    <row r="1979" spans="1:11" ht="25.5" hidden="1" x14ac:dyDescent="0.25">
      <c r="A1979" s="203"/>
      <c r="B1979" s="205"/>
      <c r="C1979" s="35" t="s">
        <v>106</v>
      </c>
      <c r="D1979" s="46" t="s">
        <v>12</v>
      </c>
      <c r="E1979" s="36">
        <v>0.11020000000000001</v>
      </c>
      <c r="F1979" s="30">
        <v>19.094999999999999</v>
      </c>
      <c r="G1979" s="30">
        <f t="shared" si="31"/>
        <v>2.1042689999999999</v>
      </c>
      <c r="H1979" s="38">
        <f>SUM(G1979:G1983)</f>
        <v>703.69003610000004</v>
      </c>
      <c r="I1979" s="39"/>
      <c r="J1979" s="148">
        <v>50</v>
      </c>
      <c r="K1979" s="222" t="s">
        <v>8074</v>
      </c>
    </row>
    <row r="1980" spans="1:11" hidden="1" x14ac:dyDescent="0.25">
      <c r="A1980" s="203"/>
      <c r="B1980" s="205"/>
      <c r="C1980" s="35" t="s">
        <v>39</v>
      </c>
      <c r="D1980" s="46" t="s">
        <v>12</v>
      </c>
      <c r="E1980" s="36">
        <v>0.11020000000000001</v>
      </c>
      <c r="F1980" s="30">
        <v>24.300999999999998</v>
      </c>
      <c r="G1980" s="30">
        <f t="shared" si="31"/>
        <v>2.6779701999999999</v>
      </c>
      <c r="H1980" s="34"/>
      <c r="I1980" s="30"/>
      <c r="J1980" s="148">
        <v>50</v>
      </c>
      <c r="K1980" s="222" t="s">
        <v>8074</v>
      </c>
    </row>
    <row r="1981" spans="1:11" hidden="1" x14ac:dyDescent="0.25">
      <c r="A1981" s="203"/>
      <c r="B1981" s="205"/>
      <c r="C1981" s="35" t="s">
        <v>378</v>
      </c>
      <c r="D1981" s="46" t="s">
        <v>278</v>
      </c>
      <c r="E1981" s="36">
        <v>1.06E-2</v>
      </c>
      <c r="F1981" s="33">
        <v>14.8865</v>
      </c>
      <c r="G1981" s="30">
        <f t="shared" si="31"/>
        <v>0.15779689999999999</v>
      </c>
      <c r="H1981" s="34"/>
      <c r="I1981" s="30"/>
      <c r="J1981" s="148">
        <v>50</v>
      </c>
      <c r="K1981" s="222" t="s">
        <v>8074</v>
      </c>
    </row>
    <row r="1982" spans="1:11" ht="38.25" hidden="1" x14ac:dyDescent="0.25">
      <c r="A1982" s="203"/>
      <c r="B1982" s="205"/>
      <c r="C1982" s="35" t="s">
        <v>618</v>
      </c>
      <c r="D1982" s="35" t="s">
        <v>143</v>
      </c>
      <c r="E1982" s="36">
        <v>1</v>
      </c>
      <c r="F1982" s="33">
        <v>175.91</v>
      </c>
      <c r="G1982" s="30">
        <f t="shared" si="31"/>
        <v>175.91</v>
      </c>
      <c r="H1982" s="34"/>
      <c r="I1982" s="30"/>
      <c r="J1982" s="148">
        <v>50</v>
      </c>
      <c r="K1982" s="222" t="s">
        <v>8074</v>
      </c>
    </row>
    <row r="1983" spans="1:11" ht="38.25" hidden="1" x14ac:dyDescent="0.25">
      <c r="A1983" s="203"/>
      <c r="B1983" s="205"/>
      <c r="C1983" s="35" t="s">
        <v>621</v>
      </c>
      <c r="D1983" s="35" t="s">
        <v>143</v>
      </c>
      <c r="E1983" s="36">
        <v>1</v>
      </c>
      <c r="F1983" s="33">
        <v>522.84</v>
      </c>
      <c r="G1983" s="30">
        <f t="shared" si="31"/>
        <v>522.84</v>
      </c>
      <c r="H1983" s="34"/>
      <c r="I1983" s="30"/>
      <c r="J1983" s="148">
        <v>50</v>
      </c>
      <c r="K1983" s="222" t="s">
        <v>8074</v>
      </c>
    </row>
    <row r="1984" spans="1:11" ht="15.75" hidden="1" thickBot="1" x14ac:dyDescent="0.3">
      <c r="A1984" s="209"/>
      <c r="B1984" s="206"/>
      <c r="C1984" s="35"/>
      <c r="D1984" s="35"/>
      <c r="E1984" s="36"/>
      <c r="F1984" s="30" t="s">
        <v>514</v>
      </c>
      <c r="G1984" s="30" t="str">
        <f t="shared" si="31"/>
        <v/>
      </c>
      <c r="H1984" s="34"/>
      <c r="I1984" s="30"/>
      <c r="J1984" s="148">
        <v>50</v>
      </c>
      <c r="K1984" s="222" t="s">
        <v>8074</v>
      </c>
    </row>
    <row r="1985" spans="1:11" ht="15.75" hidden="1" thickBot="1" x14ac:dyDescent="0.3">
      <c r="A1985" s="202" t="s">
        <v>622</v>
      </c>
      <c r="B1985" s="204" t="str">
        <f>INDEX(Orçamentária!A:B,MATCH(Composições!A1985,Orçamentária!A:A,0),2)</f>
        <v>Válvula de esfera em bronze 1 1/2"</v>
      </c>
      <c r="C1985" s="40"/>
      <c r="D1985" s="25" t="str">
        <f>TRIM(INDEX(Orçamentária!C:C,MATCH(Composições!A1985,Orçamentária!A:A,0),1))</f>
        <v>un</v>
      </c>
      <c r="E1985" s="26"/>
      <c r="F1985" s="41" t="s">
        <v>514</v>
      </c>
      <c r="G1985" s="27" t="str">
        <f t="shared" si="31"/>
        <v/>
      </c>
      <c r="H1985" s="28"/>
      <c r="I1985" s="29"/>
      <c r="J1985" s="148">
        <v>15</v>
      </c>
      <c r="K1985" s="222" t="s">
        <v>8074</v>
      </c>
    </row>
    <row r="1986" spans="1:11" hidden="1" x14ac:dyDescent="0.25">
      <c r="A1986" s="203"/>
      <c r="B1986" s="205"/>
      <c r="C1986" s="31"/>
      <c r="D1986" s="31"/>
      <c r="E1986" s="32"/>
      <c r="F1986" s="42" t="s">
        <v>514</v>
      </c>
      <c r="G1986" s="30" t="str">
        <f t="shared" si="31"/>
        <v/>
      </c>
      <c r="H1986" s="34"/>
      <c r="I1986" s="30"/>
      <c r="J1986" s="148">
        <v>15</v>
      </c>
      <c r="K1986" s="222" t="s">
        <v>8074</v>
      </c>
    </row>
    <row r="1987" spans="1:11" hidden="1" x14ac:dyDescent="0.25">
      <c r="A1987" s="203"/>
      <c r="B1987" s="205"/>
      <c r="C1987" s="35" t="s">
        <v>378</v>
      </c>
      <c r="D1987" s="46" t="s">
        <v>278</v>
      </c>
      <c r="E1987" s="36">
        <v>1.9E-2</v>
      </c>
      <c r="F1987" s="33">
        <v>14.8865</v>
      </c>
      <c r="G1987" s="30">
        <f t="shared" si="31"/>
        <v>0.28284349999999997</v>
      </c>
      <c r="H1987" s="38">
        <f>SUM(G1987:G1990)</f>
        <v>157.8095103</v>
      </c>
      <c r="I1987" s="39"/>
      <c r="J1987" s="148">
        <v>15</v>
      </c>
      <c r="K1987" s="222" t="s">
        <v>8074</v>
      </c>
    </row>
    <row r="1988" spans="1:11" ht="25.5" hidden="1" x14ac:dyDescent="0.25">
      <c r="A1988" s="203"/>
      <c r="B1988" s="205"/>
      <c r="C1988" s="35" t="s">
        <v>623</v>
      </c>
      <c r="D1988" s="46" t="s">
        <v>20</v>
      </c>
      <c r="E1988" s="36">
        <v>1</v>
      </c>
      <c r="F1988" s="33">
        <v>146.10049999999998</v>
      </c>
      <c r="G1988" s="30">
        <f t="shared" si="31"/>
        <v>146.10049999999998</v>
      </c>
      <c r="H1988" s="34"/>
      <c r="I1988" s="30"/>
      <c r="J1988" s="148">
        <v>15</v>
      </c>
      <c r="K1988" s="222" t="s">
        <v>8074</v>
      </c>
    </row>
    <row r="1989" spans="1:11" ht="25.5" hidden="1" x14ac:dyDescent="0.25">
      <c r="A1989" s="203"/>
      <c r="B1989" s="205"/>
      <c r="C1989" s="35" t="s">
        <v>106</v>
      </c>
      <c r="D1989" s="46" t="s">
        <v>12</v>
      </c>
      <c r="E1989" s="36">
        <v>0.26329999999999998</v>
      </c>
      <c r="F1989" s="30">
        <v>19.094999999999999</v>
      </c>
      <c r="G1989" s="33">
        <f t="shared" si="31"/>
        <v>5.0277134999999991</v>
      </c>
      <c r="H1989" s="34"/>
      <c r="I1989" s="30"/>
      <c r="J1989" s="148">
        <v>15</v>
      </c>
      <c r="K1989" s="222" t="s">
        <v>8074</v>
      </c>
    </row>
    <row r="1990" spans="1:11" hidden="1" x14ac:dyDescent="0.25">
      <c r="A1990" s="203"/>
      <c r="B1990" s="205"/>
      <c r="C1990" s="35" t="s">
        <v>39</v>
      </c>
      <c r="D1990" s="46" t="s">
        <v>12</v>
      </c>
      <c r="E1990" s="36">
        <v>0.26329999999999998</v>
      </c>
      <c r="F1990" s="30">
        <v>24.300999999999998</v>
      </c>
      <c r="G1990" s="33">
        <f t="shared" si="31"/>
        <v>6.398453299999999</v>
      </c>
      <c r="H1990" s="34"/>
      <c r="I1990" s="30"/>
      <c r="J1990" s="148">
        <v>15</v>
      </c>
      <c r="K1990" s="222" t="s">
        <v>8074</v>
      </c>
    </row>
    <row r="1991" spans="1:11" ht="15.75" hidden="1" thickBot="1" x14ac:dyDescent="0.3">
      <c r="A1991" s="209"/>
      <c r="B1991" s="206"/>
      <c r="C1991" s="35"/>
      <c r="D1991" s="35"/>
      <c r="E1991" s="36"/>
      <c r="F1991" s="30" t="s">
        <v>514</v>
      </c>
      <c r="G1991" s="30" t="str">
        <f t="shared" si="31"/>
        <v/>
      </c>
      <c r="H1991" s="34"/>
      <c r="I1991" s="30"/>
      <c r="J1991" s="148">
        <v>15</v>
      </c>
      <c r="K1991" s="222" t="s">
        <v>8074</v>
      </c>
    </row>
    <row r="1992" spans="1:11" ht="15.75" hidden="1" thickBot="1" x14ac:dyDescent="0.3">
      <c r="A1992" s="202" t="s">
        <v>624</v>
      </c>
      <c r="B1992" s="204" t="str">
        <f>INDEX(Orçamentária!A:B,MATCH(Composições!A1992,Orçamentária!A:A,0),2)</f>
        <v>Válvula de esfera em bronze 1 1/4"</v>
      </c>
      <c r="C1992" s="40"/>
      <c r="D1992" s="25" t="str">
        <f>TRIM(INDEX(Orçamentária!C:C,MATCH(Composições!A1992,Orçamentária!A:A,0),1))</f>
        <v>un</v>
      </c>
      <c r="E1992" s="26"/>
      <c r="F1992" s="41" t="s">
        <v>514</v>
      </c>
      <c r="G1992" s="27" t="str">
        <f t="shared" si="31"/>
        <v/>
      </c>
      <c r="H1992" s="28"/>
      <c r="I1992" s="29"/>
      <c r="J1992" s="148">
        <v>15</v>
      </c>
      <c r="K1992" s="222" t="s">
        <v>8074</v>
      </c>
    </row>
    <row r="1993" spans="1:11" hidden="1" x14ac:dyDescent="0.25">
      <c r="A1993" s="203"/>
      <c r="B1993" s="205"/>
      <c r="C1993" s="31"/>
      <c r="D1993" s="31"/>
      <c r="E1993" s="32"/>
      <c r="F1993" s="42" t="s">
        <v>514</v>
      </c>
      <c r="G1993" s="30" t="str">
        <f t="shared" si="31"/>
        <v/>
      </c>
      <c r="H1993" s="34"/>
      <c r="I1993" s="30"/>
      <c r="J1993" s="148">
        <v>15</v>
      </c>
      <c r="K1993" s="222" t="s">
        <v>8074</v>
      </c>
    </row>
    <row r="1994" spans="1:11" hidden="1" x14ac:dyDescent="0.25">
      <c r="A1994" s="203"/>
      <c r="B1994" s="205"/>
      <c r="C1994" s="35" t="s">
        <v>378</v>
      </c>
      <c r="D1994" s="46" t="s">
        <v>278</v>
      </c>
      <c r="E1994" s="36">
        <v>1.6799999999999999E-2</v>
      </c>
      <c r="F1994" s="33">
        <v>14.8865</v>
      </c>
      <c r="G1994" s="30">
        <f t="shared" si="31"/>
        <v>0.25009319999999996</v>
      </c>
      <c r="H1994" s="38">
        <f>SUM(G1994:G1997)</f>
        <v>130.26892479999998</v>
      </c>
      <c r="I1994" s="39"/>
      <c r="J1994" s="148">
        <v>15</v>
      </c>
      <c r="K1994" s="222" t="s">
        <v>8074</v>
      </c>
    </row>
    <row r="1995" spans="1:11" ht="25.5" hidden="1" x14ac:dyDescent="0.25">
      <c r="A1995" s="203"/>
      <c r="B1995" s="205"/>
      <c r="C1995" s="35" t="s">
        <v>625</v>
      </c>
      <c r="D1995" s="46" t="s">
        <v>20</v>
      </c>
      <c r="E1995" s="36">
        <v>1</v>
      </c>
      <c r="F1995" s="33">
        <v>121.24849999999999</v>
      </c>
      <c r="G1995" s="30">
        <f t="shared" si="31"/>
        <v>121.24849999999999</v>
      </c>
      <c r="H1995" s="34"/>
      <c r="I1995" s="30"/>
      <c r="J1995" s="148">
        <v>15</v>
      </c>
      <c r="K1995" s="222" t="s">
        <v>8074</v>
      </c>
    </row>
    <row r="1996" spans="1:11" ht="25.5" hidden="1" x14ac:dyDescent="0.25">
      <c r="A1996" s="203"/>
      <c r="B1996" s="205"/>
      <c r="C1996" s="35" t="s">
        <v>106</v>
      </c>
      <c r="D1996" s="46" t="s">
        <v>12</v>
      </c>
      <c r="E1996" s="36">
        <v>0.2021</v>
      </c>
      <c r="F1996" s="30">
        <v>19.094999999999999</v>
      </c>
      <c r="G1996" s="33">
        <f t="shared" si="31"/>
        <v>3.8590994999999997</v>
      </c>
      <c r="H1996" s="34"/>
      <c r="I1996" s="30"/>
      <c r="J1996" s="148">
        <v>15</v>
      </c>
      <c r="K1996" s="222" t="s">
        <v>8074</v>
      </c>
    </row>
    <row r="1997" spans="1:11" hidden="1" x14ac:dyDescent="0.25">
      <c r="A1997" s="203"/>
      <c r="B1997" s="205"/>
      <c r="C1997" s="35" t="s">
        <v>39</v>
      </c>
      <c r="D1997" s="46" t="s">
        <v>12</v>
      </c>
      <c r="E1997" s="36">
        <v>0.2021</v>
      </c>
      <c r="F1997" s="30">
        <v>24.300999999999998</v>
      </c>
      <c r="G1997" s="33">
        <f t="shared" si="31"/>
        <v>4.9112320999999994</v>
      </c>
      <c r="H1997" s="34"/>
      <c r="I1997" s="30"/>
      <c r="J1997" s="148">
        <v>15</v>
      </c>
      <c r="K1997" s="222" t="s">
        <v>8074</v>
      </c>
    </row>
    <row r="1998" spans="1:11" ht="15.75" hidden="1" thickBot="1" x14ac:dyDescent="0.3">
      <c r="A1998" s="209"/>
      <c r="B1998" s="206"/>
      <c r="C1998" s="35"/>
      <c r="D1998" s="35"/>
      <c r="E1998" s="36"/>
      <c r="F1998" s="30" t="s">
        <v>514</v>
      </c>
      <c r="G1998" s="30" t="str">
        <f t="shared" si="31"/>
        <v/>
      </c>
      <c r="H1998" s="34"/>
      <c r="I1998" s="30"/>
      <c r="J1998" s="148">
        <v>15</v>
      </c>
      <c r="K1998" s="222" t="s">
        <v>8074</v>
      </c>
    </row>
    <row r="1999" spans="1:11" ht="15.75" hidden="1" thickBot="1" x14ac:dyDescent="0.3">
      <c r="A1999" s="202" t="s">
        <v>626</v>
      </c>
      <c r="B1999" s="204" t="str">
        <f>INDEX(Orçamentária!A:B,MATCH(Composições!A1999,Orçamentária!A:A,0),2)</f>
        <v>Válvula de esfera em bronze 1"</v>
      </c>
      <c r="C1999" s="40"/>
      <c r="D1999" s="25" t="str">
        <f>TRIM(INDEX(Orçamentária!C:C,MATCH(Composições!A1999,Orçamentária!A:A,0),1))</f>
        <v>un</v>
      </c>
      <c r="E1999" s="26"/>
      <c r="F1999" s="41" t="s">
        <v>514</v>
      </c>
      <c r="G1999" s="27" t="str">
        <f t="shared" si="31"/>
        <v/>
      </c>
      <c r="H1999" s="28"/>
      <c r="I1999" s="29"/>
      <c r="J1999" s="148">
        <v>15</v>
      </c>
      <c r="K1999" s="222" t="s">
        <v>8074</v>
      </c>
    </row>
    <row r="2000" spans="1:11" hidden="1" x14ac:dyDescent="0.25">
      <c r="A2000" s="203"/>
      <c r="B2000" s="205"/>
      <c r="C2000" s="31"/>
      <c r="D2000" s="31"/>
      <c r="E2000" s="32"/>
      <c r="F2000" s="42" t="s">
        <v>514</v>
      </c>
      <c r="G2000" s="30" t="str">
        <f t="shared" si="31"/>
        <v/>
      </c>
      <c r="H2000" s="34"/>
      <c r="I2000" s="30"/>
      <c r="J2000" s="148">
        <v>15</v>
      </c>
      <c r="K2000" s="222" t="s">
        <v>8074</v>
      </c>
    </row>
    <row r="2001" spans="1:11" hidden="1" x14ac:dyDescent="0.25">
      <c r="A2001" s="203"/>
      <c r="B2001" s="205"/>
      <c r="C2001" s="35" t="s">
        <v>378</v>
      </c>
      <c r="D2001" s="46" t="s">
        <v>278</v>
      </c>
      <c r="E2001" s="36">
        <v>1.32E-2</v>
      </c>
      <c r="F2001" s="33">
        <v>14.8865</v>
      </c>
      <c r="G2001" s="30">
        <f t="shared" si="31"/>
        <v>0.1965018</v>
      </c>
      <c r="H2001" s="38">
        <f>SUM(G2001:G2004)</f>
        <v>87.989307799999978</v>
      </c>
      <c r="I2001" s="39"/>
      <c r="J2001" s="148">
        <v>15</v>
      </c>
      <c r="K2001" s="222" t="s">
        <v>8074</v>
      </c>
    </row>
    <row r="2002" spans="1:11" hidden="1" x14ac:dyDescent="0.25">
      <c r="A2002" s="203"/>
      <c r="B2002" s="205"/>
      <c r="C2002" s="35" t="s">
        <v>627</v>
      </c>
      <c r="D2002" s="46" t="s">
        <v>20</v>
      </c>
      <c r="E2002" s="36">
        <v>1</v>
      </c>
      <c r="F2002" s="33">
        <v>81.348499999999987</v>
      </c>
      <c r="G2002" s="30">
        <f t="shared" si="31"/>
        <v>81.348499999999987</v>
      </c>
      <c r="H2002" s="34"/>
      <c r="I2002" s="30"/>
      <c r="J2002" s="148">
        <v>15</v>
      </c>
      <c r="K2002" s="222" t="s">
        <v>8074</v>
      </c>
    </row>
    <row r="2003" spans="1:11" ht="25.5" hidden="1" x14ac:dyDescent="0.25">
      <c r="A2003" s="203"/>
      <c r="B2003" s="205"/>
      <c r="C2003" s="35" t="s">
        <v>106</v>
      </c>
      <c r="D2003" s="35" t="s">
        <v>12</v>
      </c>
      <c r="E2003" s="36">
        <v>0.14849999999999999</v>
      </c>
      <c r="F2003" s="30">
        <v>19.094999999999999</v>
      </c>
      <c r="G2003" s="33">
        <f t="shared" ref="G2003:G2066" si="32">IF(ISNUMBER(F2003),E2003*F2003,"")</f>
        <v>2.8356074999999996</v>
      </c>
      <c r="H2003" s="34"/>
      <c r="I2003" s="30"/>
      <c r="J2003" s="148">
        <v>15</v>
      </c>
      <c r="K2003" s="222" t="s">
        <v>8074</v>
      </c>
    </row>
    <row r="2004" spans="1:11" hidden="1" x14ac:dyDescent="0.25">
      <c r="A2004" s="203"/>
      <c r="B2004" s="205"/>
      <c r="C2004" s="35" t="s">
        <v>39</v>
      </c>
      <c r="D2004" s="46" t="s">
        <v>12</v>
      </c>
      <c r="E2004" s="36">
        <v>0.14849999999999999</v>
      </c>
      <c r="F2004" s="30">
        <v>24.300999999999998</v>
      </c>
      <c r="G2004" s="33">
        <f t="shared" si="32"/>
        <v>3.6086984999999996</v>
      </c>
      <c r="H2004" s="34"/>
      <c r="I2004" s="30"/>
      <c r="J2004" s="148">
        <v>15</v>
      </c>
      <c r="K2004" s="222" t="s">
        <v>8074</v>
      </c>
    </row>
    <row r="2005" spans="1:11" ht="15.75" hidden="1" thickBot="1" x14ac:dyDescent="0.3">
      <c r="A2005" s="209"/>
      <c r="B2005" s="206"/>
      <c r="C2005" s="35"/>
      <c r="D2005" s="35"/>
      <c r="E2005" s="36"/>
      <c r="F2005" s="30" t="s">
        <v>514</v>
      </c>
      <c r="G2005" s="30" t="str">
        <f t="shared" si="32"/>
        <v/>
      </c>
      <c r="H2005" s="34"/>
      <c r="I2005" s="30"/>
      <c r="J2005" s="148">
        <v>15</v>
      </c>
      <c r="K2005" s="222" t="s">
        <v>8074</v>
      </c>
    </row>
    <row r="2006" spans="1:11" ht="15.75" hidden="1" thickBot="1" x14ac:dyDescent="0.3">
      <c r="A2006" s="202" t="s">
        <v>628</v>
      </c>
      <c r="B2006" s="204" t="str">
        <f>INDEX(Orçamentária!A:B,MATCH(Composições!A2006,Orçamentária!A:A,0),2)</f>
        <v>Válvula de esfera em bronze 3/4"</v>
      </c>
      <c r="C2006" s="40"/>
      <c r="D2006" s="25" t="str">
        <f>TRIM(INDEX(Orçamentária!C:C,MATCH(Composições!A2006,Orçamentária!A:A,0),1))</f>
        <v>un</v>
      </c>
      <c r="E2006" s="26"/>
      <c r="F2006" s="41" t="s">
        <v>514</v>
      </c>
      <c r="G2006" s="27" t="str">
        <f t="shared" si="32"/>
        <v/>
      </c>
      <c r="H2006" s="28"/>
      <c r="I2006" s="29"/>
      <c r="J2006" s="148">
        <v>115</v>
      </c>
      <c r="K2006" s="222" t="s">
        <v>8074</v>
      </c>
    </row>
    <row r="2007" spans="1:11" hidden="1" x14ac:dyDescent="0.25">
      <c r="A2007" s="203"/>
      <c r="B2007" s="205"/>
      <c r="C2007" s="31"/>
      <c r="D2007" s="31"/>
      <c r="E2007" s="32"/>
      <c r="F2007" s="42" t="s">
        <v>514</v>
      </c>
      <c r="G2007" s="30" t="str">
        <f t="shared" si="32"/>
        <v/>
      </c>
      <c r="H2007" s="34"/>
      <c r="I2007" s="30"/>
      <c r="J2007" s="148">
        <v>115</v>
      </c>
      <c r="K2007" s="222" t="s">
        <v>8074</v>
      </c>
    </row>
    <row r="2008" spans="1:11" hidden="1" x14ac:dyDescent="0.25">
      <c r="A2008" s="203"/>
      <c r="B2008" s="205"/>
      <c r="C2008" s="35" t="s">
        <v>378</v>
      </c>
      <c r="D2008" s="46" t="s">
        <v>278</v>
      </c>
      <c r="E2008" s="36">
        <v>1.06E-2</v>
      </c>
      <c r="F2008" s="33">
        <v>14.8865</v>
      </c>
      <c r="G2008" s="30">
        <f t="shared" si="32"/>
        <v>0.15779689999999999</v>
      </c>
      <c r="H2008" s="38">
        <f>SUM(G2008:G2011)</f>
        <v>65.198536099999998</v>
      </c>
      <c r="I2008" s="39"/>
      <c r="J2008" s="148">
        <v>115</v>
      </c>
      <c r="K2008" s="222" t="s">
        <v>8074</v>
      </c>
    </row>
    <row r="2009" spans="1:11" hidden="1" x14ac:dyDescent="0.25">
      <c r="A2009" s="203"/>
      <c r="B2009" s="205"/>
      <c r="C2009" s="35" t="s">
        <v>629</v>
      </c>
      <c r="D2009" s="46" t="s">
        <v>20</v>
      </c>
      <c r="E2009" s="36">
        <v>1</v>
      </c>
      <c r="F2009" s="33">
        <v>60.258499999999998</v>
      </c>
      <c r="G2009" s="30">
        <f t="shared" si="32"/>
        <v>60.258499999999998</v>
      </c>
      <c r="H2009" s="34"/>
      <c r="I2009" s="30"/>
      <c r="J2009" s="148">
        <v>115</v>
      </c>
      <c r="K2009" s="222" t="s">
        <v>8074</v>
      </c>
    </row>
    <row r="2010" spans="1:11" ht="25.5" hidden="1" x14ac:dyDescent="0.25">
      <c r="A2010" s="203"/>
      <c r="B2010" s="205"/>
      <c r="C2010" s="35" t="s">
        <v>106</v>
      </c>
      <c r="D2010" s="35" t="s">
        <v>12</v>
      </c>
      <c r="E2010" s="36">
        <v>0.11020000000000001</v>
      </c>
      <c r="F2010" s="30">
        <v>19.094999999999999</v>
      </c>
      <c r="G2010" s="33">
        <f t="shared" si="32"/>
        <v>2.1042689999999999</v>
      </c>
      <c r="H2010" s="34"/>
      <c r="I2010" s="30"/>
      <c r="J2010" s="148">
        <v>115</v>
      </c>
      <c r="K2010" s="222" t="s">
        <v>8074</v>
      </c>
    </row>
    <row r="2011" spans="1:11" hidden="1" x14ac:dyDescent="0.25">
      <c r="A2011" s="203"/>
      <c r="B2011" s="205"/>
      <c r="C2011" s="35" t="s">
        <v>39</v>
      </c>
      <c r="D2011" s="46" t="s">
        <v>12</v>
      </c>
      <c r="E2011" s="36">
        <v>0.11020000000000001</v>
      </c>
      <c r="F2011" s="30">
        <v>24.300999999999998</v>
      </c>
      <c r="G2011" s="33">
        <f t="shared" si="32"/>
        <v>2.6779701999999999</v>
      </c>
      <c r="H2011" s="34"/>
      <c r="I2011" s="30"/>
      <c r="J2011" s="148">
        <v>115</v>
      </c>
      <c r="K2011" s="222" t="s">
        <v>8074</v>
      </c>
    </row>
    <row r="2012" spans="1:11" ht="15.75" hidden="1" thickBot="1" x14ac:dyDescent="0.3">
      <c r="A2012" s="209"/>
      <c r="B2012" s="206"/>
      <c r="C2012" s="35"/>
      <c r="D2012" s="35"/>
      <c r="E2012" s="36"/>
      <c r="F2012" s="30" t="s">
        <v>514</v>
      </c>
      <c r="G2012" s="30" t="str">
        <f t="shared" si="32"/>
        <v/>
      </c>
      <c r="H2012" s="34"/>
      <c r="I2012" s="30"/>
      <c r="J2012" s="148">
        <v>115</v>
      </c>
      <c r="K2012" s="222" t="s">
        <v>8074</v>
      </c>
    </row>
    <row r="2013" spans="1:11" ht="15.75" hidden="1" thickBot="1" x14ac:dyDescent="0.3">
      <c r="A2013" s="202" t="s">
        <v>630</v>
      </c>
      <c r="B2013" s="204" t="str">
        <f>INDEX(Orçamentária!A:B,MATCH(Composições!A2013,Orçamentária!A:A,0),2)</f>
        <v>Isolamento elastomérico em formato de prancha autoadesiva</v>
      </c>
      <c r="C2013" s="40"/>
      <c r="D2013" s="25" t="str">
        <f>TRIM(INDEX(Orçamentária!C:C,MATCH(Composições!A2013,Orçamentária!A:A,0),1))</f>
        <v>m2</v>
      </c>
      <c r="E2013" s="26"/>
      <c r="F2013" s="41" t="s">
        <v>514</v>
      </c>
      <c r="G2013" s="27" t="str">
        <f t="shared" si="32"/>
        <v/>
      </c>
      <c r="H2013" s="28"/>
      <c r="I2013" s="29"/>
      <c r="J2013" s="148">
        <v>620</v>
      </c>
      <c r="K2013" s="222" t="s">
        <v>8074</v>
      </c>
    </row>
    <row r="2014" spans="1:11" hidden="1" x14ac:dyDescent="0.25">
      <c r="A2014" s="203"/>
      <c r="B2014" s="205"/>
      <c r="C2014" s="31"/>
      <c r="D2014" s="31"/>
      <c r="E2014" s="32"/>
      <c r="F2014" s="42" t="s">
        <v>514</v>
      </c>
      <c r="G2014" s="30" t="str">
        <f t="shared" si="32"/>
        <v/>
      </c>
      <c r="H2014" s="34"/>
      <c r="I2014" s="30"/>
      <c r="J2014" s="148">
        <v>620</v>
      </c>
      <c r="K2014" s="222" t="s">
        <v>8074</v>
      </c>
    </row>
    <row r="2015" spans="1:11" ht="25.5" hidden="1" x14ac:dyDescent="0.25">
      <c r="A2015" s="203"/>
      <c r="B2015" s="205"/>
      <c r="C2015" s="35" t="s">
        <v>106</v>
      </c>
      <c r="D2015" s="46" t="s">
        <v>12</v>
      </c>
      <c r="E2015" s="36">
        <v>0.1</v>
      </c>
      <c r="F2015" s="30">
        <v>19.094999999999999</v>
      </c>
      <c r="G2015" s="33">
        <f t="shared" si="32"/>
        <v>1.9095</v>
      </c>
      <c r="H2015" s="38">
        <f>SUM(G2015:G2017)</f>
        <v>160.45359999999999</v>
      </c>
      <c r="I2015" s="39"/>
      <c r="J2015" s="148">
        <v>620</v>
      </c>
      <c r="K2015" s="222" t="s">
        <v>8074</v>
      </c>
    </row>
    <row r="2016" spans="1:11" hidden="1" x14ac:dyDescent="0.25">
      <c r="A2016" s="203"/>
      <c r="B2016" s="205"/>
      <c r="C2016" s="35" t="s">
        <v>39</v>
      </c>
      <c r="D2016" s="46" t="s">
        <v>12</v>
      </c>
      <c r="E2016" s="36">
        <v>0.1</v>
      </c>
      <c r="F2016" s="30">
        <v>24.300999999999998</v>
      </c>
      <c r="G2016" s="33">
        <f t="shared" si="32"/>
        <v>2.4300999999999999</v>
      </c>
      <c r="H2016" s="34"/>
      <c r="I2016" s="30"/>
      <c r="J2016" s="148">
        <v>620</v>
      </c>
      <c r="K2016" s="222" t="s">
        <v>8074</v>
      </c>
    </row>
    <row r="2017" spans="1:11" ht="25.5" hidden="1" x14ac:dyDescent="0.25">
      <c r="A2017" s="203"/>
      <c r="B2017" s="205"/>
      <c r="C2017" s="35" t="s">
        <v>631</v>
      </c>
      <c r="D2017" s="46" t="s">
        <v>94</v>
      </c>
      <c r="E2017" s="36">
        <v>1.05</v>
      </c>
      <c r="F2017" s="33">
        <v>148.68</v>
      </c>
      <c r="G2017" s="33">
        <f t="shared" si="32"/>
        <v>156.114</v>
      </c>
      <c r="H2017" s="34"/>
      <c r="I2017" s="30"/>
      <c r="J2017" s="148">
        <v>620</v>
      </c>
      <c r="K2017" s="222" t="s">
        <v>8074</v>
      </c>
    </row>
    <row r="2018" spans="1:11" ht="15.75" hidden="1" thickBot="1" x14ac:dyDescent="0.3">
      <c r="A2018" s="209"/>
      <c r="B2018" s="206"/>
      <c r="C2018" s="35"/>
      <c r="D2018" s="35"/>
      <c r="E2018" s="36"/>
      <c r="F2018" s="30" t="s">
        <v>514</v>
      </c>
      <c r="G2018" s="30" t="str">
        <f t="shared" si="32"/>
        <v/>
      </c>
      <c r="H2018" s="34"/>
      <c r="I2018" s="30"/>
      <c r="J2018" s="148">
        <v>620</v>
      </c>
      <c r="K2018" s="222" t="s">
        <v>8074</v>
      </c>
    </row>
    <row r="2019" spans="1:11" ht="15.75" hidden="1" thickBot="1" x14ac:dyDescent="0.3">
      <c r="A2019" s="202" t="s">
        <v>632</v>
      </c>
      <c r="B2019" s="204" t="str">
        <f>INDEX(Orçamentária!A:B,MATCH(Composições!A2019,Orçamentária!A:A,0),2)</f>
        <v>Isolamento elastomérico para tubulações de cobre de 1 1/8" / tubulações de ferro de 3/4"</v>
      </c>
      <c r="C2019" s="40"/>
      <c r="D2019" s="25" t="str">
        <f>TRIM(INDEX(Orçamentária!C:C,MATCH(Composições!A2019,Orçamentária!A:A,0),1))</f>
        <v>m</v>
      </c>
      <c r="E2019" s="26"/>
      <c r="F2019" s="41" t="s">
        <v>514</v>
      </c>
      <c r="G2019" s="27" t="str">
        <f t="shared" si="32"/>
        <v/>
      </c>
      <c r="H2019" s="28"/>
      <c r="I2019" s="29"/>
      <c r="J2019" s="148">
        <v>610</v>
      </c>
      <c r="K2019" s="222" t="s">
        <v>8074</v>
      </c>
    </row>
    <row r="2020" spans="1:11" hidden="1" x14ac:dyDescent="0.25">
      <c r="A2020" s="203"/>
      <c r="B2020" s="205"/>
      <c r="C2020" s="31"/>
      <c r="D2020" s="31"/>
      <c r="E2020" s="32"/>
      <c r="F2020" s="42" t="s">
        <v>514</v>
      </c>
      <c r="G2020" s="30" t="str">
        <f t="shared" si="32"/>
        <v/>
      </c>
      <c r="H2020" s="34"/>
      <c r="I2020" s="30"/>
      <c r="J2020" s="148">
        <v>610</v>
      </c>
      <c r="K2020" s="222" t="s">
        <v>8074</v>
      </c>
    </row>
    <row r="2021" spans="1:11" ht="51" hidden="1" x14ac:dyDescent="0.25">
      <c r="A2021" s="203"/>
      <c r="B2021" s="205"/>
      <c r="C2021" s="35" t="s">
        <v>633</v>
      </c>
      <c r="D2021" s="46" t="s">
        <v>92</v>
      </c>
      <c r="E2021" s="36">
        <v>1.0210999999999999</v>
      </c>
      <c r="F2021" s="33">
        <v>24.67</v>
      </c>
      <c r="G2021" s="33">
        <f t="shared" si="32"/>
        <v>25.190536999999999</v>
      </c>
      <c r="H2021" s="38">
        <f>SUM(G2021:G2023)</f>
        <v>26.023740199999999</v>
      </c>
      <c r="I2021" s="39"/>
      <c r="J2021" s="148">
        <v>610</v>
      </c>
      <c r="K2021" s="222" t="s">
        <v>8074</v>
      </c>
    </row>
    <row r="2022" spans="1:11" ht="25.5" hidden="1" x14ac:dyDescent="0.25">
      <c r="A2022" s="203"/>
      <c r="B2022" s="205"/>
      <c r="C2022" s="35" t="s">
        <v>106</v>
      </c>
      <c r="D2022" s="46" t="s">
        <v>12</v>
      </c>
      <c r="E2022" s="36">
        <f>0.064*0.3</f>
        <v>1.9199999999999998E-2</v>
      </c>
      <c r="F2022" s="30">
        <v>19.094999999999999</v>
      </c>
      <c r="G2022" s="33">
        <f t="shared" si="32"/>
        <v>0.36662399999999995</v>
      </c>
      <c r="H2022" s="34"/>
      <c r="I2022" s="30"/>
      <c r="J2022" s="148">
        <v>610</v>
      </c>
      <c r="K2022" s="222" t="s">
        <v>8074</v>
      </c>
    </row>
    <row r="2023" spans="1:11" hidden="1" x14ac:dyDescent="0.25">
      <c r="A2023" s="203"/>
      <c r="B2023" s="205"/>
      <c r="C2023" s="35" t="s">
        <v>39</v>
      </c>
      <c r="D2023" s="46" t="s">
        <v>12</v>
      </c>
      <c r="E2023" s="36">
        <f>0.064*0.3</f>
        <v>1.9199999999999998E-2</v>
      </c>
      <c r="F2023" s="30">
        <v>24.300999999999998</v>
      </c>
      <c r="G2023" s="33">
        <f t="shared" si="32"/>
        <v>0.46657919999999992</v>
      </c>
      <c r="H2023" s="34"/>
      <c r="I2023" s="30"/>
      <c r="J2023" s="148">
        <v>610</v>
      </c>
      <c r="K2023" s="222" t="s">
        <v>8074</v>
      </c>
    </row>
    <row r="2024" spans="1:11" hidden="1" x14ac:dyDescent="0.25">
      <c r="A2024" s="203"/>
      <c r="B2024" s="205"/>
      <c r="C2024" s="35"/>
      <c r="D2024" s="46"/>
      <c r="E2024" s="36"/>
      <c r="F2024" s="33" t="s">
        <v>514</v>
      </c>
      <c r="G2024" s="33" t="str">
        <f t="shared" si="32"/>
        <v/>
      </c>
      <c r="H2024" s="34"/>
      <c r="I2024" s="30"/>
      <c r="J2024" s="148">
        <v>610</v>
      </c>
      <c r="K2024" s="222" t="s">
        <v>8074</v>
      </c>
    </row>
    <row r="2025" spans="1:11" ht="38.25" hidden="1" x14ac:dyDescent="0.25">
      <c r="A2025" s="203"/>
      <c r="B2025" s="205"/>
      <c r="C2025" s="51" t="s">
        <v>634</v>
      </c>
      <c r="D2025" s="46"/>
      <c r="E2025" s="36"/>
      <c r="F2025" s="33" t="s">
        <v>514</v>
      </c>
      <c r="G2025" s="33" t="str">
        <f t="shared" si="32"/>
        <v/>
      </c>
      <c r="H2025" s="34"/>
      <c r="I2025" s="30"/>
      <c r="J2025" s="148">
        <v>610</v>
      </c>
      <c r="K2025" s="222" t="s">
        <v>8074</v>
      </c>
    </row>
    <row r="2026" spans="1:11" ht="15.75" hidden="1" thickBot="1" x14ac:dyDescent="0.3">
      <c r="A2026" s="209"/>
      <c r="B2026" s="206"/>
      <c r="C2026" s="35"/>
      <c r="D2026" s="35"/>
      <c r="E2026" s="36"/>
      <c r="F2026" s="30" t="s">
        <v>514</v>
      </c>
      <c r="G2026" s="30" t="str">
        <f t="shared" si="32"/>
        <v/>
      </c>
      <c r="H2026" s="34"/>
      <c r="I2026" s="30"/>
      <c r="J2026" s="148">
        <v>610</v>
      </c>
      <c r="K2026" s="222" t="s">
        <v>8074</v>
      </c>
    </row>
    <row r="2027" spans="1:11" ht="15.75" hidden="1" thickBot="1" x14ac:dyDescent="0.3">
      <c r="A2027" s="202" t="s">
        <v>635</v>
      </c>
      <c r="B2027" s="204" t="str">
        <f>INDEX(Orçamentária!A:B,MATCH(Composições!A2027,Orçamentária!A:A,0),2)</f>
        <v>Isolamento elastomérico para tubulações de cobre de 1/2"</v>
      </c>
      <c r="C2027" s="40"/>
      <c r="D2027" s="25" t="str">
        <f>TRIM(INDEX(Orçamentária!C:C,MATCH(Composições!A2027,Orçamentária!A:A,0),1))</f>
        <v>m</v>
      </c>
      <c r="E2027" s="26"/>
      <c r="F2027" s="41" t="s">
        <v>514</v>
      </c>
      <c r="G2027" s="27" t="str">
        <f t="shared" si="32"/>
        <v/>
      </c>
      <c r="H2027" s="28"/>
      <c r="I2027" s="29"/>
      <c r="J2027" s="148">
        <v>380</v>
      </c>
      <c r="K2027" s="222" t="s">
        <v>8074</v>
      </c>
    </row>
    <row r="2028" spans="1:11" hidden="1" x14ac:dyDescent="0.25">
      <c r="A2028" s="203"/>
      <c r="B2028" s="205"/>
      <c r="C2028" s="31"/>
      <c r="D2028" s="31"/>
      <c r="E2028" s="32"/>
      <c r="F2028" s="42" t="s">
        <v>514</v>
      </c>
      <c r="G2028" s="30" t="str">
        <f t="shared" si="32"/>
        <v/>
      </c>
      <c r="H2028" s="34"/>
      <c r="I2028" s="30"/>
      <c r="J2028" s="148">
        <v>380</v>
      </c>
      <c r="K2028" s="222" t="s">
        <v>8074</v>
      </c>
    </row>
    <row r="2029" spans="1:11" ht="38.25" hidden="1" x14ac:dyDescent="0.25">
      <c r="A2029" s="203"/>
      <c r="B2029" s="205"/>
      <c r="C2029" s="35" t="s">
        <v>636</v>
      </c>
      <c r="D2029" s="46" t="s">
        <v>92</v>
      </c>
      <c r="E2029" s="36">
        <v>1.0210999999999999</v>
      </c>
      <c r="F2029" s="33">
        <v>13.77</v>
      </c>
      <c r="G2029" s="33">
        <f t="shared" si="32"/>
        <v>14.060546999999998</v>
      </c>
      <c r="H2029" s="38">
        <f>SUM(G2029:G2031)</f>
        <v>14.854693799999998</v>
      </c>
      <c r="I2029" s="39"/>
      <c r="J2029" s="148">
        <v>380</v>
      </c>
      <c r="K2029" s="222" t="s">
        <v>8074</v>
      </c>
    </row>
    <row r="2030" spans="1:11" ht="25.5" hidden="1" x14ac:dyDescent="0.25">
      <c r="A2030" s="203"/>
      <c r="B2030" s="205"/>
      <c r="C2030" s="35" t="s">
        <v>106</v>
      </c>
      <c r="D2030" s="46" t="s">
        <v>12</v>
      </c>
      <c r="E2030" s="36">
        <f>0.061*0.3</f>
        <v>1.83E-2</v>
      </c>
      <c r="F2030" s="30">
        <v>19.094999999999999</v>
      </c>
      <c r="G2030" s="33">
        <f t="shared" si="32"/>
        <v>0.34943849999999999</v>
      </c>
      <c r="H2030" s="34"/>
      <c r="I2030" s="30"/>
      <c r="J2030" s="148">
        <v>380</v>
      </c>
      <c r="K2030" s="222" t="s">
        <v>8074</v>
      </c>
    </row>
    <row r="2031" spans="1:11" hidden="1" x14ac:dyDescent="0.25">
      <c r="A2031" s="203"/>
      <c r="B2031" s="205"/>
      <c r="C2031" s="35" t="s">
        <v>39</v>
      </c>
      <c r="D2031" s="46" t="s">
        <v>12</v>
      </c>
      <c r="E2031" s="36">
        <f>0.061*0.3</f>
        <v>1.83E-2</v>
      </c>
      <c r="F2031" s="30">
        <v>24.300999999999998</v>
      </c>
      <c r="G2031" s="33">
        <f t="shared" si="32"/>
        <v>0.4447083</v>
      </c>
      <c r="H2031" s="34"/>
      <c r="I2031" s="30"/>
      <c r="J2031" s="148">
        <v>380</v>
      </c>
      <c r="K2031" s="222" t="s">
        <v>8074</v>
      </c>
    </row>
    <row r="2032" spans="1:11" hidden="1" x14ac:dyDescent="0.25">
      <c r="A2032" s="203"/>
      <c r="B2032" s="205"/>
      <c r="C2032" s="35"/>
      <c r="D2032" s="46"/>
      <c r="E2032" s="36"/>
      <c r="F2032" s="33" t="s">
        <v>514</v>
      </c>
      <c r="G2032" s="33" t="str">
        <f t="shared" si="32"/>
        <v/>
      </c>
      <c r="H2032" s="34"/>
      <c r="I2032" s="30"/>
      <c r="J2032" s="148">
        <v>380</v>
      </c>
      <c r="K2032" s="222" t="s">
        <v>8074</v>
      </c>
    </row>
    <row r="2033" spans="1:11" ht="38.25" hidden="1" x14ac:dyDescent="0.25">
      <c r="A2033" s="203"/>
      <c r="B2033" s="205"/>
      <c r="C2033" s="51" t="s">
        <v>634</v>
      </c>
      <c r="D2033" s="46"/>
      <c r="E2033" s="36"/>
      <c r="F2033" s="33" t="s">
        <v>514</v>
      </c>
      <c r="G2033" s="33" t="str">
        <f t="shared" si="32"/>
        <v/>
      </c>
      <c r="H2033" s="34"/>
      <c r="I2033" s="30"/>
      <c r="J2033" s="148">
        <v>380</v>
      </c>
      <c r="K2033" s="222" t="s">
        <v>8074</v>
      </c>
    </row>
    <row r="2034" spans="1:11" ht="15.75" hidden="1" thickBot="1" x14ac:dyDescent="0.3">
      <c r="A2034" s="209"/>
      <c r="B2034" s="206"/>
      <c r="C2034" s="35"/>
      <c r="D2034" s="35"/>
      <c r="E2034" s="36"/>
      <c r="F2034" s="30" t="s">
        <v>514</v>
      </c>
      <c r="G2034" s="30" t="str">
        <f t="shared" si="32"/>
        <v/>
      </c>
      <c r="H2034" s="34"/>
      <c r="I2034" s="30"/>
      <c r="J2034" s="148">
        <v>380</v>
      </c>
      <c r="K2034" s="222" t="s">
        <v>8074</v>
      </c>
    </row>
    <row r="2035" spans="1:11" ht="15.75" hidden="1" thickBot="1" x14ac:dyDescent="0.3">
      <c r="A2035" s="202" t="s">
        <v>637</v>
      </c>
      <c r="B2035" s="204" t="str">
        <f>INDEX(Orçamentária!A:B,MATCH(Composições!A2035,Orçamentária!A:A,0),2)</f>
        <v>Isolamento elastomérico para tubulações de cobre de 1/4"</v>
      </c>
      <c r="C2035" s="40"/>
      <c r="D2035" s="25" t="str">
        <f>TRIM(INDEX(Orçamentária!C:C,MATCH(Composições!A2035,Orçamentária!A:A,0),1))</f>
        <v>m</v>
      </c>
      <c r="E2035" s="26"/>
      <c r="F2035" s="41" t="s">
        <v>514</v>
      </c>
      <c r="G2035" s="27" t="str">
        <f t="shared" si="32"/>
        <v/>
      </c>
      <c r="H2035" s="28"/>
      <c r="I2035" s="29"/>
      <c r="J2035" s="148">
        <v>380</v>
      </c>
      <c r="K2035" s="222" t="s">
        <v>8074</v>
      </c>
    </row>
    <row r="2036" spans="1:11" hidden="1" x14ac:dyDescent="0.25">
      <c r="A2036" s="203"/>
      <c r="B2036" s="205"/>
      <c r="C2036" s="31"/>
      <c r="D2036" s="31"/>
      <c r="E2036" s="32"/>
      <c r="F2036" s="42" t="s">
        <v>514</v>
      </c>
      <c r="G2036" s="30" t="str">
        <f t="shared" si="32"/>
        <v/>
      </c>
      <c r="H2036" s="34"/>
      <c r="I2036" s="30"/>
      <c r="J2036" s="148">
        <v>380</v>
      </c>
      <c r="K2036" s="222" t="s">
        <v>8074</v>
      </c>
    </row>
    <row r="2037" spans="1:11" ht="38.25" hidden="1" x14ac:dyDescent="0.25">
      <c r="A2037" s="203"/>
      <c r="B2037" s="205"/>
      <c r="C2037" s="35" t="s">
        <v>638</v>
      </c>
      <c r="D2037" s="46" t="s">
        <v>92</v>
      </c>
      <c r="E2037" s="36">
        <v>1.0210999999999999</v>
      </c>
      <c r="F2037" s="33">
        <v>10.72</v>
      </c>
      <c r="G2037" s="33">
        <f t="shared" si="32"/>
        <v>10.946192</v>
      </c>
      <c r="H2037" s="38">
        <f>SUM(G2037:G2039)</f>
        <v>11.623169599999999</v>
      </c>
      <c r="I2037" s="39"/>
      <c r="J2037" s="148">
        <v>380</v>
      </c>
      <c r="K2037" s="222" t="s">
        <v>8074</v>
      </c>
    </row>
    <row r="2038" spans="1:11" ht="25.5" hidden="1" x14ac:dyDescent="0.25">
      <c r="A2038" s="203"/>
      <c r="B2038" s="205"/>
      <c r="C2038" s="35" t="s">
        <v>106</v>
      </c>
      <c r="D2038" s="46" t="s">
        <v>12</v>
      </c>
      <c r="E2038" s="36">
        <f>0.052*0.3</f>
        <v>1.5599999999999999E-2</v>
      </c>
      <c r="F2038" s="30">
        <v>19.094999999999999</v>
      </c>
      <c r="G2038" s="33">
        <f t="shared" si="32"/>
        <v>0.29788199999999998</v>
      </c>
      <c r="H2038" s="34"/>
      <c r="I2038" s="30"/>
      <c r="J2038" s="148">
        <v>380</v>
      </c>
      <c r="K2038" s="222" t="s">
        <v>8074</v>
      </c>
    </row>
    <row r="2039" spans="1:11" hidden="1" x14ac:dyDescent="0.25">
      <c r="A2039" s="203"/>
      <c r="B2039" s="205"/>
      <c r="C2039" s="35" t="s">
        <v>39</v>
      </c>
      <c r="D2039" s="46" t="s">
        <v>12</v>
      </c>
      <c r="E2039" s="36">
        <f>0.052*0.3</f>
        <v>1.5599999999999999E-2</v>
      </c>
      <c r="F2039" s="30">
        <v>24.300999999999998</v>
      </c>
      <c r="G2039" s="33">
        <f t="shared" si="32"/>
        <v>0.37909559999999998</v>
      </c>
      <c r="H2039" s="34"/>
      <c r="I2039" s="30"/>
      <c r="J2039" s="148">
        <v>380</v>
      </c>
      <c r="K2039" s="222" t="s">
        <v>8074</v>
      </c>
    </row>
    <row r="2040" spans="1:11" hidden="1" x14ac:dyDescent="0.25">
      <c r="A2040" s="203"/>
      <c r="B2040" s="205"/>
      <c r="C2040" s="35"/>
      <c r="D2040" s="46"/>
      <c r="E2040" s="36"/>
      <c r="F2040" s="33" t="s">
        <v>514</v>
      </c>
      <c r="G2040" s="33" t="str">
        <f t="shared" si="32"/>
        <v/>
      </c>
      <c r="H2040" s="34"/>
      <c r="I2040" s="30"/>
      <c r="J2040" s="148">
        <v>380</v>
      </c>
      <c r="K2040" s="222" t="s">
        <v>8074</v>
      </c>
    </row>
    <row r="2041" spans="1:11" ht="38.25" hidden="1" x14ac:dyDescent="0.25">
      <c r="A2041" s="203"/>
      <c r="B2041" s="205"/>
      <c r="C2041" s="51" t="s">
        <v>634</v>
      </c>
      <c r="D2041" s="46"/>
      <c r="E2041" s="36"/>
      <c r="F2041" s="33" t="s">
        <v>514</v>
      </c>
      <c r="G2041" s="33" t="str">
        <f t="shared" si="32"/>
        <v/>
      </c>
      <c r="H2041" s="34"/>
      <c r="I2041" s="30"/>
      <c r="J2041" s="148">
        <v>380</v>
      </c>
      <c r="K2041" s="222" t="s">
        <v>8074</v>
      </c>
    </row>
    <row r="2042" spans="1:11" ht="15.75" hidden="1" thickBot="1" x14ac:dyDescent="0.3">
      <c r="A2042" s="209"/>
      <c r="B2042" s="206"/>
      <c r="C2042" s="35"/>
      <c r="D2042" s="35"/>
      <c r="E2042" s="36"/>
      <c r="F2042" s="30" t="s">
        <v>514</v>
      </c>
      <c r="G2042" s="30" t="str">
        <f t="shared" si="32"/>
        <v/>
      </c>
      <c r="H2042" s="34"/>
      <c r="I2042" s="30"/>
      <c r="J2042" s="148">
        <v>380</v>
      </c>
      <c r="K2042" s="222" t="s">
        <v>8074</v>
      </c>
    </row>
    <row r="2043" spans="1:11" ht="15.75" hidden="1" thickBot="1" x14ac:dyDescent="0.3">
      <c r="A2043" s="202" t="s">
        <v>639</v>
      </c>
      <c r="B2043" s="204" t="str">
        <f>INDEX(Orçamentária!A:B,MATCH(Composições!A2043,Orçamentária!A:A,0),2)</f>
        <v>Isolamento elastomérico para tubulações de cobre de 3/4"</v>
      </c>
      <c r="C2043" s="40"/>
      <c r="D2043" s="25" t="str">
        <f>TRIM(INDEX(Orçamentária!C:C,MATCH(Composições!A2043,Orçamentária!A:A,0),1))</f>
        <v>m</v>
      </c>
      <c r="E2043" s="26"/>
      <c r="F2043" s="41" t="s">
        <v>514</v>
      </c>
      <c r="G2043" s="27" t="str">
        <f t="shared" si="32"/>
        <v/>
      </c>
      <c r="H2043" s="28"/>
      <c r="I2043" s="29"/>
      <c r="J2043" s="148">
        <v>300</v>
      </c>
      <c r="K2043" s="222" t="s">
        <v>8074</v>
      </c>
    </row>
    <row r="2044" spans="1:11" hidden="1" x14ac:dyDescent="0.25">
      <c r="A2044" s="203"/>
      <c r="B2044" s="205"/>
      <c r="C2044" s="31"/>
      <c r="D2044" s="31"/>
      <c r="E2044" s="32"/>
      <c r="F2044" s="42" t="s">
        <v>514</v>
      </c>
      <c r="G2044" s="30" t="str">
        <f t="shared" si="32"/>
        <v/>
      </c>
      <c r="H2044" s="34"/>
      <c r="I2044" s="30"/>
      <c r="J2044" s="148">
        <v>300</v>
      </c>
      <c r="K2044" s="222" t="s">
        <v>8074</v>
      </c>
    </row>
    <row r="2045" spans="1:11" ht="38.25" hidden="1" x14ac:dyDescent="0.25">
      <c r="A2045" s="203"/>
      <c r="B2045" s="205"/>
      <c r="C2045" s="35" t="s">
        <v>640</v>
      </c>
      <c r="D2045" s="46" t="s">
        <v>92</v>
      </c>
      <c r="E2045" s="36">
        <v>1.0210999999999999</v>
      </c>
      <c r="F2045" s="33">
        <v>18.62</v>
      </c>
      <c r="G2045" s="33">
        <f t="shared" si="32"/>
        <v>19.012881999999998</v>
      </c>
      <c r="H2045" s="38">
        <f>SUM(G2045:G2047)</f>
        <v>19.846085199999997</v>
      </c>
      <c r="I2045" s="39"/>
      <c r="J2045" s="148">
        <v>300</v>
      </c>
      <c r="K2045" s="222" t="s">
        <v>8074</v>
      </c>
    </row>
    <row r="2046" spans="1:11" ht="25.5" hidden="1" x14ac:dyDescent="0.25">
      <c r="A2046" s="203"/>
      <c r="B2046" s="205"/>
      <c r="C2046" s="35" t="s">
        <v>106</v>
      </c>
      <c r="D2046" s="46" t="s">
        <v>12</v>
      </c>
      <c r="E2046" s="36">
        <f>0.064*0.3</f>
        <v>1.9199999999999998E-2</v>
      </c>
      <c r="F2046" s="30">
        <v>19.094999999999999</v>
      </c>
      <c r="G2046" s="33">
        <f t="shared" si="32"/>
        <v>0.36662399999999995</v>
      </c>
      <c r="H2046" s="34"/>
      <c r="I2046" s="30"/>
      <c r="J2046" s="148">
        <v>300</v>
      </c>
      <c r="K2046" s="222" t="s">
        <v>8074</v>
      </c>
    </row>
    <row r="2047" spans="1:11" hidden="1" x14ac:dyDescent="0.25">
      <c r="A2047" s="203"/>
      <c r="B2047" s="205"/>
      <c r="C2047" s="35" t="s">
        <v>39</v>
      </c>
      <c r="D2047" s="46" t="s">
        <v>12</v>
      </c>
      <c r="E2047" s="36">
        <f>0.064*0.3</f>
        <v>1.9199999999999998E-2</v>
      </c>
      <c r="F2047" s="30">
        <v>24.300999999999998</v>
      </c>
      <c r="G2047" s="33">
        <f t="shared" si="32"/>
        <v>0.46657919999999992</v>
      </c>
      <c r="H2047" s="34"/>
      <c r="I2047" s="30"/>
      <c r="J2047" s="148">
        <v>300</v>
      </c>
      <c r="K2047" s="222" t="s">
        <v>8074</v>
      </c>
    </row>
    <row r="2048" spans="1:11" hidden="1" x14ac:dyDescent="0.25">
      <c r="A2048" s="203"/>
      <c r="B2048" s="205"/>
      <c r="C2048" s="35"/>
      <c r="D2048" s="46"/>
      <c r="E2048" s="36"/>
      <c r="F2048" s="33" t="s">
        <v>514</v>
      </c>
      <c r="G2048" s="33" t="str">
        <f t="shared" si="32"/>
        <v/>
      </c>
      <c r="H2048" s="34"/>
      <c r="I2048" s="30"/>
      <c r="J2048" s="148">
        <v>300</v>
      </c>
      <c r="K2048" s="222" t="s">
        <v>8074</v>
      </c>
    </row>
    <row r="2049" spans="1:11" ht="38.25" hidden="1" x14ac:dyDescent="0.25">
      <c r="A2049" s="203"/>
      <c r="B2049" s="205"/>
      <c r="C2049" s="51" t="s">
        <v>634</v>
      </c>
      <c r="D2049" s="46"/>
      <c r="E2049" s="36"/>
      <c r="F2049" s="33" t="s">
        <v>514</v>
      </c>
      <c r="G2049" s="33" t="str">
        <f t="shared" si="32"/>
        <v/>
      </c>
      <c r="H2049" s="34"/>
      <c r="I2049" s="30"/>
      <c r="J2049" s="148">
        <v>300</v>
      </c>
      <c r="K2049" s="222" t="s">
        <v>8074</v>
      </c>
    </row>
    <row r="2050" spans="1:11" ht="15.75" hidden="1" thickBot="1" x14ac:dyDescent="0.3">
      <c r="A2050" s="209"/>
      <c r="B2050" s="206"/>
      <c r="C2050" s="35"/>
      <c r="D2050" s="35"/>
      <c r="E2050" s="36"/>
      <c r="F2050" s="30" t="s">
        <v>514</v>
      </c>
      <c r="G2050" s="30" t="str">
        <f t="shared" si="32"/>
        <v/>
      </c>
      <c r="H2050" s="34"/>
      <c r="I2050" s="30"/>
      <c r="J2050" s="148">
        <v>300</v>
      </c>
      <c r="K2050" s="222" t="s">
        <v>8074</v>
      </c>
    </row>
    <row r="2051" spans="1:11" ht="15.75" hidden="1" thickBot="1" x14ac:dyDescent="0.3">
      <c r="A2051" s="202" t="s">
        <v>641</v>
      </c>
      <c r="B2051" s="204" t="str">
        <f>INDEX(Orçamentária!A:B,MATCH(Composições!A2051,Orçamentária!A:A,0),2)</f>
        <v>Isolamento elastomérico para tubulações de cobre de 3/8"</v>
      </c>
      <c r="C2051" s="40"/>
      <c r="D2051" s="25" t="str">
        <f>TRIM(INDEX(Orçamentária!C:C,MATCH(Composições!A2051,Orçamentária!A:A,0),1))</f>
        <v>m</v>
      </c>
      <c r="E2051" s="26"/>
      <c r="F2051" s="41" t="s">
        <v>514</v>
      </c>
      <c r="G2051" s="27" t="str">
        <f t="shared" si="32"/>
        <v/>
      </c>
      <c r="H2051" s="28"/>
      <c r="I2051" s="29"/>
      <c r="J2051" s="148">
        <v>720</v>
      </c>
      <c r="K2051" s="222" t="s">
        <v>8074</v>
      </c>
    </row>
    <row r="2052" spans="1:11" hidden="1" x14ac:dyDescent="0.25">
      <c r="A2052" s="203"/>
      <c r="B2052" s="205"/>
      <c r="C2052" s="31"/>
      <c r="D2052" s="31"/>
      <c r="E2052" s="32"/>
      <c r="F2052" s="42" t="s">
        <v>514</v>
      </c>
      <c r="G2052" s="30" t="str">
        <f t="shared" si="32"/>
        <v/>
      </c>
      <c r="H2052" s="34"/>
      <c r="I2052" s="30"/>
      <c r="J2052" s="148">
        <v>720</v>
      </c>
      <c r="K2052" s="222" t="s">
        <v>8074</v>
      </c>
    </row>
    <row r="2053" spans="1:11" ht="38.25" hidden="1" x14ac:dyDescent="0.25">
      <c r="A2053" s="203"/>
      <c r="B2053" s="205"/>
      <c r="C2053" s="35" t="s">
        <v>642</v>
      </c>
      <c r="D2053" s="46" t="s">
        <v>92</v>
      </c>
      <c r="E2053" s="36">
        <v>1.0210999999999999</v>
      </c>
      <c r="F2053" s="33">
        <v>12.24</v>
      </c>
      <c r="G2053" s="33">
        <f t="shared" si="32"/>
        <v>12.498263999999999</v>
      </c>
      <c r="H2053" s="38">
        <f>SUM(G2053:G2055)</f>
        <v>13.240335599999998</v>
      </c>
      <c r="I2053" s="39"/>
      <c r="J2053" s="148">
        <v>720</v>
      </c>
      <c r="K2053" s="222" t="s">
        <v>8074</v>
      </c>
    </row>
    <row r="2054" spans="1:11" ht="25.5" hidden="1" x14ac:dyDescent="0.25">
      <c r="A2054" s="203"/>
      <c r="B2054" s="205"/>
      <c r="C2054" s="35" t="s">
        <v>106</v>
      </c>
      <c r="D2054" s="46" t="s">
        <v>12</v>
      </c>
      <c r="E2054" s="36">
        <f>0.057*0.3</f>
        <v>1.7100000000000001E-2</v>
      </c>
      <c r="F2054" s="30">
        <v>19.094999999999999</v>
      </c>
      <c r="G2054" s="33">
        <f t="shared" si="32"/>
        <v>0.3265245</v>
      </c>
      <c r="H2054" s="34"/>
      <c r="I2054" s="30"/>
      <c r="J2054" s="148">
        <v>720</v>
      </c>
      <c r="K2054" s="222" t="s">
        <v>8074</v>
      </c>
    </row>
    <row r="2055" spans="1:11" hidden="1" x14ac:dyDescent="0.25">
      <c r="A2055" s="203"/>
      <c r="B2055" s="205"/>
      <c r="C2055" s="35" t="s">
        <v>39</v>
      </c>
      <c r="D2055" s="46" t="s">
        <v>12</v>
      </c>
      <c r="E2055" s="36">
        <f>0.057*0.3</f>
        <v>1.7100000000000001E-2</v>
      </c>
      <c r="F2055" s="30">
        <v>24.300999999999998</v>
      </c>
      <c r="G2055" s="33">
        <f t="shared" si="32"/>
        <v>0.4155471</v>
      </c>
      <c r="H2055" s="34"/>
      <c r="I2055" s="30"/>
      <c r="J2055" s="148">
        <v>720</v>
      </c>
      <c r="K2055" s="222" t="s">
        <v>8074</v>
      </c>
    </row>
    <row r="2056" spans="1:11" hidden="1" x14ac:dyDescent="0.25">
      <c r="A2056" s="203"/>
      <c r="B2056" s="205"/>
      <c r="C2056" s="35"/>
      <c r="D2056" s="46"/>
      <c r="E2056" s="36"/>
      <c r="F2056" s="33" t="s">
        <v>514</v>
      </c>
      <c r="G2056" s="33" t="str">
        <f t="shared" si="32"/>
        <v/>
      </c>
      <c r="H2056" s="34"/>
      <c r="I2056" s="30"/>
      <c r="J2056" s="148">
        <v>720</v>
      </c>
      <c r="K2056" s="222" t="s">
        <v>8074</v>
      </c>
    </row>
    <row r="2057" spans="1:11" ht="38.25" hidden="1" x14ac:dyDescent="0.25">
      <c r="A2057" s="203"/>
      <c r="B2057" s="205"/>
      <c r="C2057" s="51" t="s">
        <v>634</v>
      </c>
      <c r="D2057" s="46"/>
      <c r="E2057" s="36"/>
      <c r="F2057" s="33" t="s">
        <v>514</v>
      </c>
      <c r="G2057" s="33" t="str">
        <f t="shared" si="32"/>
        <v/>
      </c>
      <c r="H2057" s="34"/>
      <c r="I2057" s="30"/>
      <c r="J2057" s="148">
        <v>720</v>
      </c>
      <c r="K2057" s="222" t="s">
        <v>8074</v>
      </c>
    </row>
    <row r="2058" spans="1:11" ht="15.75" hidden="1" thickBot="1" x14ac:dyDescent="0.3">
      <c r="A2058" s="209"/>
      <c r="B2058" s="206"/>
      <c r="C2058" s="35"/>
      <c r="D2058" s="35"/>
      <c r="E2058" s="36"/>
      <c r="F2058" s="30" t="s">
        <v>514</v>
      </c>
      <c r="G2058" s="30" t="str">
        <f t="shared" si="32"/>
        <v/>
      </c>
      <c r="H2058" s="34"/>
      <c r="I2058" s="30"/>
      <c r="J2058" s="148">
        <v>720</v>
      </c>
      <c r="K2058" s="222" t="s">
        <v>8074</v>
      </c>
    </row>
    <row r="2059" spans="1:11" ht="15.75" hidden="1" thickBot="1" x14ac:dyDescent="0.3">
      <c r="A2059" s="202" t="s">
        <v>643</v>
      </c>
      <c r="B2059" s="204" t="str">
        <f>INDEX(Orçamentária!A:B,MATCH(Composições!A2059,Orçamentária!A:A,0),2)</f>
        <v>Isolamento elastomérico para tubulações de cobre de 5/8"</v>
      </c>
      <c r="C2059" s="40"/>
      <c r="D2059" s="25" t="str">
        <f>TRIM(INDEX(Orçamentária!C:C,MATCH(Composições!A2059,Orçamentária!A:A,0),1))</f>
        <v>m</v>
      </c>
      <c r="E2059" s="26"/>
      <c r="F2059" s="41" t="s">
        <v>514</v>
      </c>
      <c r="G2059" s="27" t="str">
        <f t="shared" si="32"/>
        <v/>
      </c>
      <c r="H2059" s="28"/>
      <c r="I2059" s="29"/>
      <c r="J2059" s="148">
        <v>380</v>
      </c>
      <c r="K2059" s="222" t="s">
        <v>8074</v>
      </c>
    </row>
    <row r="2060" spans="1:11" hidden="1" x14ac:dyDescent="0.25">
      <c r="A2060" s="203"/>
      <c r="B2060" s="205"/>
      <c r="C2060" s="31"/>
      <c r="D2060" s="31"/>
      <c r="E2060" s="32"/>
      <c r="F2060" s="42" t="s">
        <v>514</v>
      </c>
      <c r="G2060" s="30" t="str">
        <f t="shared" si="32"/>
        <v/>
      </c>
      <c r="H2060" s="34"/>
      <c r="I2060" s="30"/>
      <c r="J2060" s="148">
        <v>380</v>
      </c>
      <c r="K2060" s="222" t="s">
        <v>8074</v>
      </c>
    </row>
    <row r="2061" spans="1:11" ht="38.25" hidden="1" x14ac:dyDescent="0.25">
      <c r="A2061" s="203"/>
      <c r="B2061" s="205"/>
      <c r="C2061" s="35" t="s">
        <v>644</v>
      </c>
      <c r="D2061" s="46" t="s">
        <v>92</v>
      </c>
      <c r="E2061" s="36">
        <v>1.0210999999999999</v>
      </c>
      <c r="F2061" s="33">
        <v>17.21</v>
      </c>
      <c r="G2061" s="33">
        <f t="shared" si="32"/>
        <v>17.573131</v>
      </c>
      <c r="H2061" s="38">
        <f>SUM(G2061:G2063)</f>
        <v>18.4063342</v>
      </c>
      <c r="I2061" s="39"/>
      <c r="J2061" s="148">
        <v>380</v>
      </c>
      <c r="K2061" s="222" t="s">
        <v>8074</v>
      </c>
    </row>
    <row r="2062" spans="1:11" ht="25.5" hidden="1" x14ac:dyDescent="0.25">
      <c r="A2062" s="203"/>
      <c r="B2062" s="205"/>
      <c r="C2062" s="35" t="s">
        <v>106</v>
      </c>
      <c r="D2062" s="46" t="s">
        <v>12</v>
      </c>
      <c r="E2062" s="36">
        <f>0.064*0.3</f>
        <v>1.9199999999999998E-2</v>
      </c>
      <c r="F2062" s="30">
        <v>19.094999999999999</v>
      </c>
      <c r="G2062" s="33">
        <f t="shared" si="32"/>
        <v>0.36662399999999995</v>
      </c>
      <c r="H2062" s="34"/>
      <c r="I2062" s="30"/>
      <c r="J2062" s="148">
        <v>380</v>
      </c>
      <c r="K2062" s="222" t="s">
        <v>8074</v>
      </c>
    </row>
    <row r="2063" spans="1:11" hidden="1" x14ac:dyDescent="0.25">
      <c r="A2063" s="203"/>
      <c r="B2063" s="205"/>
      <c r="C2063" s="35" t="s">
        <v>39</v>
      </c>
      <c r="D2063" s="46" t="s">
        <v>12</v>
      </c>
      <c r="E2063" s="36">
        <f>0.064*0.3</f>
        <v>1.9199999999999998E-2</v>
      </c>
      <c r="F2063" s="30">
        <v>24.300999999999998</v>
      </c>
      <c r="G2063" s="33">
        <f t="shared" si="32"/>
        <v>0.46657919999999992</v>
      </c>
      <c r="H2063" s="34"/>
      <c r="I2063" s="30"/>
      <c r="J2063" s="148">
        <v>380</v>
      </c>
      <c r="K2063" s="222" t="s">
        <v>8074</v>
      </c>
    </row>
    <row r="2064" spans="1:11" hidden="1" x14ac:dyDescent="0.25">
      <c r="A2064" s="203"/>
      <c r="B2064" s="205"/>
      <c r="C2064" s="35"/>
      <c r="D2064" s="46"/>
      <c r="E2064" s="36"/>
      <c r="F2064" s="33" t="s">
        <v>514</v>
      </c>
      <c r="G2064" s="33" t="str">
        <f t="shared" si="32"/>
        <v/>
      </c>
      <c r="H2064" s="34"/>
      <c r="I2064" s="30"/>
      <c r="J2064" s="148">
        <v>380</v>
      </c>
      <c r="K2064" s="222" t="s">
        <v>8074</v>
      </c>
    </row>
    <row r="2065" spans="1:11" ht="38.25" hidden="1" x14ac:dyDescent="0.25">
      <c r="A2065" s="203"/>
      <c r="B2065" s="205"/>
      <c r="C2065" s="51" t="s">
        <v>634</v>
      </c>
      <c r="D2065" s="46"/>
      <c r="E2065" s="36"/>
      <c r="F2065" s="33" t="s">
        <v>514</v>
      </c>
      <c r="G2065" s="33" t="str">
        <f t="shared" si="32"/>
        <v/>
      </c>
      <c r="H2065" s="34"/>
      <c r="I2065" s="30"/>
      <c r="J2065" s="148">
        <v>380</v>
      </c>
      <c r="K2065" s="222" t="s">
        <v>8074</v>
      </c>
    </row>
    <row r="2066" spans="1:11" ht="15.75" hidden="1" thickBot="1" x14ac:dyDescent="0.3">
      <c r="A2066" s="209"/>
      <c r="B2066" s="206"/>
      <c r="C2066" s="35"/>
      <c r="D2066" s="35"/>
      <c r="E2066" s="36"/>
      <c r="F2066" s="30" t="s">
        <v>514</v>
      </c>
      <c r="G2066" s="30" t="str">
        <f t="shared" si="32"/>
        <v/>
      </c>
      <c r="H2066" s="34"/>
      <c r="I2066" s="30"/>
      <c r="J2066" s="148">
        <v>380</v>
      </c>
      <c r="K2066" s="222" t="s">
        <v>8074</v>
      </c>
    </row>
    <row r="2067" spans="1:11" ht="15.75" hidden="1" thickBot="1" x14ac:dyDescent="0.3">
      <c r="A2067" s="202" t="s">
        <v>645</v>
      </c>
      <c r="B2067" s="204" t="str">
        <f>INDEX(Orçamentária!A:B,MATCH(Composições!A2067,Orçamentária!A:A,0),2)</f>
        <v>Isolamento elastomérico para tubulações de cobre de 7/8" / tubulações de ferro de 1/2"</v>
      </c>
      <c r="C2067" s="40"/>
      <c r="D2067" s="25" t="str">
        <f>TRIM(INDEX(Orçamentária!C:C,MATCH(Composições!A2067,Orçamentária!A:A,0),1))</f>
        <v>m</v>
      </c>
      <c r="E2067" s="26"/>
      <c r="F2067" s="41" t="s">
        <v>514</v>
      </c>
      <c r="G2067" s="27" t="str">
        <f t="shared" ref="G2067:G2130" si="33">IF(ISNUMBER(F2067),E2067*F2067,"")</f>
        <v/>
      </c>
      <c r="H2067" s="28"/>
      <c r="I2067" s="29"/>
      <c r="J2067" s="148">
        <v>75</v>
      </c>
      <c r="K2067" s="222" t="s">
        <v>8074</v>
      </c>
    </row>
    <row r="2068" spans="1:11" hidden="1" x14ac:dyDescent="0.25">
      <c r="A2068" s="203"/>
      <c r="B2068" s="205"/>
      <c r="C2068" s="31"/>
      <c r="D2068" s="31"/>
      <c r="E2068" s="32"/>
      <c r="F2068" s="42" t="s">
        <v>514</v>
      </c>
      <c r="G2068" s="30" t="str">
        <f t="shared" si="33"/>
        <v/>
      </c>
      <c r="H2068" s="34"/>
      <c r="I2068" s="30"/>
      <c r="J2068" s="148">
        <v>75</v>
      </c>
      <c r="K2068" s="222" t="s">
        <v>8074</v>
      </c>
    </row>
    <row r="2069" spans="1:11" ht="51" hidden="1" x14ac:dyDescent="0.25">
      <c r="A2069" s="203"/>
      <c r="B2069" s="205"/>
      <c r="C2069" s="35" t="s">
        <v>646</v>
      </c>
      <c r="D2069" s="46" t="s">
        <v>92</v>
      </c>
      <c r="E2069" s="36">
        <v>1.0210999999999999</v>
      </c>
      <c r="F2069" s="33">
        <v>21.78</v>
      </c>
      <c r="G2069" s="33">
        <f t="shared" si="33"/>
        <v>22.239557999999999</v>
      </c>
      <c r="H2069" s="38">
        <f>SUM(G2069:G2071)</f>
        <v>23.072761199999999</v>
      </c>
      <c r="I2069" s="39"/>
      <c r="J2069" s="148">
        <v>75</v>
      </c>
      <c r="K2069" s="222" t="s">
        <v>8074</v>
      </c>
    </row>
    <row r="2070" spans="1:11" ht="25.5" hidden="1" x14ac:dyDescent="0.25">
      <c r="A2070" s="203"/>
      <c r="B2070" s="205"/>
      <c r="C2070" s="35" t="s">
        <v>106</v>
      </c>
      <c r="D2070" s="46" t="s">
        <v>12</v>
      </c>
      <c r="E2070" s="36">
        <f>0.064*0.3</f>
        <v>1.9199999999999998E-2</v>
      </c>
      <c r="F2070" s="30">
        <v>19.094999999999999</v>
      </c>
      <c r="G2070" s="33">
        <f t="shared" si="33"/>
        <v>0.36662399999999995</v>
      </c>
      <c r="H2070" s="34"/>
      <c r="I2070" s="30"/>
      <c r="J2070" s="148">
        <v>75</v>
      </c>
      <c r="K2070" s="222" t="s">
        <v>8074</v>
      </c>
    </row>
    <row r="2071" spans="1:11" hidden="1" x14ac:dyDescent="0.25">
      <c r="A2071" s="203"/>
      <c r="B2071" s="205"/>
      <c r="C2071" s="35" t="s">
        <v>39</v>
      </c>
      <c r="D2071" s="46" t="s">
        <v>12</v>
      </c>
      <c r="E2071" s="36">
        <f>0.064*0.3</f>
        <v>1.9199999999999998E-2</v>
      </c>
      <c r="F2071" s="30">
        <v>24.300999999999998</v>
      </c>
      <c r="G2071" s="33">
        <f t="shared" si="33"/>
        <v>0.46657919999999992</v>
      </c>
      <c r="H2071" s="34"/>
      <c r="I2071" s="30"/>
      <c r="J2071" s="148">
        <v>75</v>
      </c>
      <c r="K2071" s="222" t="s">
        <v>8074</v>
      </c>
    </row>
    <row r="2072" spans="1:11" hidden="1" x14ac:dyDescent="0.25">
      <c r="A2072" s="203"/>
      <c r="B2072" s="205"/>
      <c r="C2072" s="35"/>
      <c r="D2072" s="46"/>
      <c r="E2072" s="36"/>
      <c r="F2072" s="33" t="s">
        <v>514</v>
      </c>
      <c r="G2072" s="33" t="str">
        <f t="shared" si="33"/>
        <v/>
      </c>
      <c r="H2072" s="34"/>
      <c r="I2072" s="30"/>
      <c r="J2072" s="148">
        <v>75</v>
      </c>
      <c r="K2072" s="222" t="s">
        <v>8074</v>
      </c>
    </row>
    <row r="2073" spans="1:11" ht="38.25" hidden="1" x14ac:dyDescent="0.25">
      <c r="A2073" s="203"/>
      <c r="B2073" s="205"/>
      <c r="C2073" s="51" t="s">
        <v>634</v>
      </c>
      <c r="D2073" s="46"/>
      <c r="E2073" s="36"/>
      <c r="F2073" s="33" t="s">
        <v>514</v>
      </c>
      <c r="G2073" s="33" t="str">
        <f t="shared" si="33"/>
        <v/>
      </c>
      <c r="H2073" s="34"/>
      <c r="I2073" s="30"/>
      <c r="J2073" s="148">
        <v>75</v>
      </c>
      <c r="K2073" s="222" t="s">
        <v>8074</v>
      </c>
    </row>
    <row r="2074" spans="1:11" ht="15.75" hidden="1" thickBot="1" x14ac:dyDescent="0.3">
      <c r="A2074" s="209"/>
      <c r="B2074" s="206"/>
      <c r="C2074" s="35"/>
      <c r="D2074" s="35"/>
      <c r="E2074" s="36"/>
      <c r="F2074" s="30" t="s">
        <v>514</v>
      </c>
      <c r="G2074" s="30" t="str">
        <f t="shared" si="33"/>
        <v/>
      </c>
      <c r="H2074" s="34"/>
      <c r="I2074" s="30"/>
      <c r="J2074" s="148">
        <v>75</v>
      </c>
      <c r="K2074" s="222" t="s">
        <v>8074</v>
      </c>
    </row>
    <row r="2075" spans="1:11" ht="15.75" hidden="1" thickBot="1" x14ac:dyDescent="0.3">
      <c r="A2075" s="202" t="s">
        <v>647</v>
      </c>
      <c r="B2075" s="204" t="str">
        <f>INDEX(Orçamentária!A:B,MATCH(Composições!A2075,Orçamentária!A:A,0),2)</f>
        <v>Isolamento elastomérico para tubulações de cobre de 1"</v>
      </c>
      <c r="C2075" s="40"/>
      <c r="D2075" s="25" t="str">
        <f>TRIM(INDEX(Orçamentária!C:C,MATCH(Composições!A2075,Orçamentária!A:A,0),1))</f>
        <v>m</v>
      </c>
      <c r="E2075" s="26"/>
      <c r="F2075" s="41" t="s">
        <v>514</v>
      </c>
      <c r="G2075" s="27" t="str">
        <f t="shared" si="33"/>
        <v/>
      </c>
      <c r="H2075" s="28"/>
      <c r="I2075" s="29"/>
      <c r="J2075" s="148">
        <v>25</v>
      </c>
      <c r="K2075" s="222" t="s">
        <v>8074</v>
      </c>
    </row>
    <row r="2076" spans="1:11" hidden="1" x14ac:dyDescent="0.25">
      <c r="A2076" s="203"/>
      <c r="B2076" s="205"/>
      <c r="C2076" s="31"/>
      <c r="D2076" s="31"/>
      <c r="E2076" s="32"/>
      <c r="F2076" s="42" t="s">
        <v>514</v>
      </c>
      <c r="G2076" s="30" t="str">
        <f t="shared" si="33"/>
        <v/>
      </c>
      <c r="H2076" s="34"/>
      <c r="I2076" s="30"/>
      <c r="J2076" s="148">
        <v>25</v>
      </c>
      <c r="K2076" s="222" t="s">
        <v>8074</v>
      </c>
    </row>
    <row r="2077" spans="1:11" ht="38.25" hidden="1" x14ac:dyDescent="0.25">
      <c r="A2077" s="203"/>
      <c r="B2077" s="205"/>
      <c r="C2077" s="35" t="s">
        <v>648</v>
      </c>
      <c r="D2077" s="46" t="s">
        <v>92</v>
      </c>
      <c r="E2077" s="36">
        <v>1.0210999999999999</v>
      </c>
      <c r="F2077" s="33">
        <v>22.59</v>
      </c>
      <c r="G2077" s="33">
        <f t="shared" si="33"/>
        <v>23.066648999999998</v>
      </c>
      <c r="H2077" s="38">
        <f>SUM(G2077:G2079)</f>
        <v>23.899852199999998</v>
      </c>
      <c r="I2077" s="39"/>
      <c r="J2077" s="148">
        <v>25</v>
      </c>
      <c r="K2077" s="222" t="s">
        <v>8074</v>
      </c>
    </row>
    <row r="2078" spans="1:11" ht="25.5" hidden="1" x14ac:dyDescent="0.25">
      <c r="A2078" s="203"/>
      <c r="B2078" s="205"/>
      <c r="C2078" s="35" t="s">
        <v>106</v>
      </c>
      <c r="D2078" s="46" t="s">
        <v>12</v>
      </c>
      <c r="E2078" s="36">
        <f>0.064*0.3</f>
        <v>1.9199999999999998E-2</v>
      </c>
      <c r="F2078" s="30">
        <v>19.094999999999999</v>
      </c>
      <c r="G2078" s="33">
        <f t="shared" si="33"/>
        <v>0.36662399999999995</v>
      </c>
      <c r="H2078" s="34"/>
      <c r="I2078" s="30"/>
      <c r="J2078" s="148">
        <v>25</v>
      </c>
      <c r="K2078" s="222" t="s">
        <v>8074</v>
      </c>
    </row>
    <row r="2079" spans="1:11" hidden="1" x14ac:dyDescent="0.25">
      <c r="A2079" s="203"/>
      <c r="B2079" s="205"/>
      <c r="C2079" s="35" t="s">
        <v>39</v>
      </c>
      <c r="D2079" s="46" t="s">
        <v>12</v>
      </c>
      <c r="E2079" s="36">
        <f>0.064*0.3</f>
        <v>1.9199999999999998E-2</v>
      </c>
      <c r="F2079" s="30">
        <v>24.300999999999998</v>
      </c>
      <c r="G2079" s="33">
        <f t="shared" si="33"/>
        <v>0.46657919999999992</v>
      </c>
      <c r="H2079" s="34"/>
      <c r="I2079" s="30"/>
      <c r="J2079" s="148">
        <v>25</v>
      </c>
      <c r="K2079" s="222" t="s">
        <v>8074</v>
      </c>
    </row>
    <row r="2080" spans="1:11" hidden="1" x14ac:dyDescent="0.25">
      <c r="A2080" s="203"/>
      <c r="B2080" s="205"/>
      <c r="C2080" s="35"/>
      <c r="D2080" s="46"/>
      <c r="E2080" s="36"/>
      <c r="F2080" s="33" t="s">
        <v>514</v>
      </c>
      <c r="G2080" s="33" t="str">
        <f t="shared" si="33"/>
        <v/>
      </c>
      <c r="H2080" s="34"/>
      <c r="I2080" s="30"/>
      <c r="J2080" s="148">
        <v>25</v>
      </c>
      <c r="K2080" s="222" t="s">
        <v>8074</v>
      </c>
    </row>
    <row r="2081" spans="1:11" ht="38.25" hidden="1" x14ac:dyDescent="0.25">
      <c r="A2081" s="203"/>
      <c r="B2081" s="205"/>
      <c r="C2081" s="51" t="s">
        <v>634</v>
      </c>
      <c r="D2081" s="46"/>
      <c r="E2081" s="36"/>
      <c r="F2081" s="33" t="s">
        <v>514</v>
      </c>
      <c r="G2081" s="33" t="str">
        <f t="shared" si="33"/>
        <v/>
      </c>
      <c r="H2081" s="34"/>
      <c r="I2081" s="30"/>
      <c r="J2081" s="148">
        <v>25</v>
      </c>
      <c r="K2081" s="222" t="s">
        <v>8074</v>
      </c>
    </row>
    <row r="2082" spans="1:11" ht="15.75" hidden="1" thickBot="1" x14ac:dyDescent="0.3">
      <c r="A2082" s="209"/>
      <c r="B2082" s="206"/>
      <c r="C2082" s="35"/>
      <c r="D2082" s="35"/>
      <c r="E2082" s="36"/>
      <c r="F2082" s="30" t="s">
        <v>514</v>
      </c>
      <c r="G2082" s="30" t="str">
        <f t="shared" si="33"/>
        <v/>
      </c>
      <c r="H2082" s="34"/>
      <c r="I2082" s="30"/>
      <c r="J2082" s="148">
        <v>25</v>
      </c>
      <c r="K2082" s="222" t="s">
        <v>8074</v>
      </c>
    </row>
    <row r="2083" spans="1:11" ht="15.75" hidden="1" thickBot="1" x14ac:dyDescent="0.3">
      <c r="A2083" s="202" t="s">
        <v>649</v>
      </c>
      <c r="B2083" s="204" t="str">
        <f>INDEX(Orçamentária!A:B,MATCH(Composições!A2083,Orçamentária!A:A,0),2)</f>
        <v>Isolamento elastomérico para tubulações de ferro de 1 1/2"</v>
      </c>
      <c r="C2083" s="40"/>
      <c r="D2083" s="25" t="str">
        <f>TRIM(INDEX(Orçamentária!C:C,MATCH(Composições!A2083,Orçamentária!A:A,0),1))</f>
        <v>m</v>
      </c>
      <c r="E2083" s="26"/>
      <c r="F2083" s="41" t="s">
        <v>514</v>
      </c>
      <c r="G2083" s="27" t="str">
        <f t="shared" si="33"/>
        <v/>
      </c>
      <c r="H2083" s="28"/>
      <c r="I2083" s="29"/>
      <c r="J2083" s="148">
        <v>75</v>
      </c>
      <c r="K2083" s="222" t="s">
        <v>8074</v>
      </c>
    </row>
    <row r="2084" spans="1:11" hidden="1" x14ac:dyDescent="0.25">
      <c r="A2084" s="203"/>
      <c r="B2084" s="205"/>
      <c r="C2084" s="31"/>
      <c r="D2084" s="31"/>
      <c r="E2084" s="32"/>
      <c r="F2084" s="42" t="s">
        <v>514</v>
      </c>
      <c r="G2084" s="30" t="str">
        <f t="shared" si="33"/>
        <v/>
      </c>
      <c r="H2084" s="34"/>
      <c r="I2084" s="30"/>
      <c r="J2084" s="148">
        <v>75</v>
      </c>
      <c r="K2084" s="222" t="s">
        <v>8074</v>
      </c>
    </row>
    <row r="2085" spans="1:11" ht="38.25" hidden="1" x14ac:dyDescent="0.25">
      <c r="A2085" s="203"/>
      <c r="B2085" s="205"/>
      <c r="C2085" s="35" t="s">
        <v>650</v>
      </c>
      <c r="D2085" s="46" t="s">
        <v>92</v>
      </c>
      <c r="E2085" s="36">
        <v>1.0210999999999999</v>
      </c>
      <c r="F2085" s="33">
        <v>39.28</v>
      </c>
      <c r="G2085" s="33">
        <f t="shared" si="33"/>
        <v>40.108807999999996</v>
      </c>
      <c r="H2085" s="38">
        <f>SUM(G2085:G2087)</f>
        <v>40.942011199999996</v>
      </c>
      <c r="I2085" s="39"/>
      <c r="J2085" s="148">
        <v>75</v>
      </c>
      <c r="K2085" s="222" t="s">
        <v>8074</v>
      </c>
    </row>
    <row r="2086" spans="1:11" ht="25.5" hidden="1" x14ac:dyDescent="0.25">
      <c r="A2086" s="203"/>
      <c r="B2086" s="205"/>
      <c r="C2086" s="35" t="s">
        <v>106</v>
      </c>
      <c r="D2086" s="46" t="s">
        <v>12</v>
      </c>
      <c r="E2086" s="36">
        <f>0.064*0.3</f>
        <v>1.9199999999999998E-2</v>
      </c>
      <c r="F2086" s="30">
        <v>19.094999999999999</v>
      </c>
      <c r="G2086" s="33">
        <f t="shared" si="33"/>
        <v>0.36662399999999995</v>
      </c>
      <c r="H2086" s="34"/>
      <c r="I2086" s="30"/>
      <c r="J2086" s="148">
        <v>75</v>
      </c>
      <c r="K2086" s="222" t="s">
        <v>8074</v>
      </c>
    </row>
    <row r="2087" spans="1:11" hidden="1" x14ac:dyDescent="0.25">
      <c r="A2087" s="203"/>
      <c r="B2087" s="205"/>
      <c r="C2087" s="35" t="s">
        <v>39</v>
      </c>
      <c r="D2087" s="46" t="s">
        <v>12</v>
      </c>
      <c r="E2087" s="36">
        <f>0.064*0.3</f>
        <v>1.9199999999999998E-2</v>
      </c>
      <c r="F2087" s="30">
        <v>24.300999999999998</v>
      </c>
      <c r="G2087" s="33">
        <f t="shared" si="33"/>
        <v>0.46657919999999992</v>
      </c>
      <c r="H2087" s="34"/>
      <c r="I2087" s="30"/>
      <c r="J2087" s="148">
        <v>75</v>
      </c>
      <c r="K2087" s="222" t="s">
        <v>8074</v>
      </c>
    </row>
    <row r="2088" spans="1:11" hidden="1" x14ac:dyDescent="0.25">
      <c r="A2088" s="203"/>
      <c r="B2088" s="205"/>
      <c r="C2088" s="35"/>
      <c r="D2088" s="46"/>
      <c r="E2088" s="36"/>
      <c r="F2088" s="33" t="s">
        <v>514</v>
      </c>
      <c r="G2088" s="33" t="str">
        <f t="shared" si="33"/>
        <v/>
      </c>
      <c r="H2088" s="34"/>
      <c r="I2088" s="30"/>
      <c r="J2088" s="148">
        <v>75</v>
      </c>
      <c r="K2088" s="222" t="s">
        <v>8074</v>
      </c>
    </row>
    <row r="2089" spans="1:11" ht="38.25" hidden="1" x14ac:dyDescent="0.25">
      <c r="A2089" s="203"/>
      <c r="B2089" s="205"/>
      <c r="C2089" s="51" t="s">
        <v>634</v>
      </c>
      <c r="D2089" s="46"/>
      <c r="E2089" s="36"/>
      <c r="F2089" s="33" t="s">
        <v>514</v>
      </c>
      <c r="G2089" s="33" t="str">
        <f t="shared" si="33"/>
        <v/>
      </c>
      <c r="H2089" s="34"/>
      <c r="I2089" s="30"/>
      <c r="J2089" s="148">
        <v>75</v>
      </c>
      <c r="K2089" s="222" t="s">
        <v>8074</v>
      </c>
    </row>
    <row r="2090" spans="1:11" ht="15.75" hidden="1" thickBot="1" x14ac:dyDescent="0.3">
      <c r="A2090" s="209"/>
      <c r="B2090" s="206"/>
      <c r="C2090" s="35"/>
      <c r="D2090" s="35"/>
      <c r="E2090" s="36"/>
      <c r="F2090" s="30" t="s">
        <v>514</v>
      </c>
      <c r="G2090" s="30" t="str">
        <f t="shared" si="33"/>
        <v/>
      </c>
      <c r="H2090" s="34"/>
      <c r="I2090" s="30"/>
      <c r="J2090" s="148">
        <v>75</v>
      </c>
      <c r="K2090" s="222" t="s">
        <v>8074</v>
      </c>
    </row>
    <row r="2091" spans="1:11" ht="15.75" hidden="1" thickBot="1" x14ac:dyDescent="0.3">
      <c r="A2091" s="202" t="s">
        <v>651</v>
      </c>
      <c r="B2091" s="204" t="str">
        <f>INDEX(Orçamentária!A:B,MATCH(Composições!A2091,Orçamentária!A:A,0),2)</f>
        <v>Isolamento elastomérico para tubulações de cobre 1 5/8" / tubulações de ferro de 1 1/4"</v>
      </c>
      <c r="C2091" s="40"/>
      <c r="D2091" s="25" t="str">
        <f>TRIM(INDEX(Orçamentária!C:C,MATCH(Composições!A2091,Orçamentária!A:A,0),1))</f>
        <v>m</v>
      </c>
      <c r="E2091" s="26"/>
      <c r="F2091" s="41" t="s">
        <v>514</v>
      </c>
      <c r="G2091" s="27" t="str">
        <f t="shared" si="33"/>
        <v/>
      </c>
      <c r="H2091" s="28"/>
      <c r="I2091" s="29"/>
      <c r="J2091" s="148">
        <v>75</v>
      </c>
      <c r="K2091" s="222" t="s">
        <v>8074</v>
      </c>
    </row>
    <row r="2092" spans="1:11" hidden="1" x14ac:dyDescent="0.25">
      <c r="A2092" s="203"/>
      <c r="B2092" s="205"/>
      <c r="C2092" s="31"/>
      <c r="D2092" s="31"/>
      <c r="E2092" s="32"/>
      <c r="F2092" s="42" t="s">
        <v>514</v>
      </c>
      <c r="G2092" s="30" t="str">
        <f t="shared" si="33"/>
        <v/>
      </c>
      <c r="H2092" s="34"/>
      <c r="I2092" s="30"/>
      <c r="J2092" s="148">
        <v>75</v>
      </c>
      <c r="K2092" s="222" t="s">
        <v>8074</v>
      </c>
    </row>
    <row r="2093" spans="1:11" ht="38.25" hidden="1" x14ac:dyDescent="0.25">
      <c r="A2093" s="203"/>
      <c r="B2093" s="205"/>
      <c r="C2093" s="35" t="s">
        <v>652</v>
      </c>
      <c r="D2093" s="46" t="s">
        <v>92</v>
      </c>
      <c r="E2093" s="36">
        <v>1.0210999999999999</v>
      </c>
      <c r="F2093" s="33">
        <v>34.94</v>
      </c>
      <c r="G2093" s="33">
        <f t="shared" si="33"/>
        <v>35.677233999999991</v>
      </c>
      <c r="H2093" s="38">
        <f>SUM(G2093:G2095)</f>
        <v>36.510437199999991</v>
      </c>
      <c r="I2093" s="39"/>
      <c r="J2093" s="148">
        <v>75</v>
      </c>
      <c r="K2093" s="222" t="s">
        <v>8074</v>
      </c>
    </row>
    <row r="2094" spans="1:11" ht="25.5" hidden="1" x14ac:dyDescent="0.25">
      <c r="A2094" s="203"/>
      <c r="B2094" s="205"/>
      <c r="C2094" s="35" t="s">
        <v>106</v>
      </c>
      <c r="D2094" s="46" t="s">
        <v>12</v>
      </c>
      <c r="E2094" s="36">
        <f>0.064*0.3</f>
        <v>1.9199999999999998E-2</v>
      </c>
      <c r="F2094" s="30">
        <v>19.094999999999999</v>
      </c>
      <c r="G2094" s="33">
        <f t="shared" si="33"/>
        <v>0.36662399999999995</v>
      </c>
      <c r="H2094" s="34"/>
      <c r="I2094" s="30"/>
      <c r="J2094" s="148">
        <v>75</v>
      </c>
      <c r="K2094" s="222" t="s">
        <v>8074</v>
      </c>
    </row>
    <row r="2095" spans="1:11" hidden="1" x14ac:dyDescent="0.25">
      <c r="A2095" s="203"/>
      <c r="B2095" s="205"/>
      <c r="C2095" s="35" t="s">
        <v>39</v>
      </c>
      <c r="D2095" s="46" t="s">
        <v>12</v>
      </c>
      <c r="E2095" s="36">
        <f>0.064*0.3</f>
        <v>1.9199999999999998E-2</v>
      </c>
      <c r="F2095" s="30">
        <v>24.300999999999998</v>
      </c>
      <c r="G2095" s="33">
        <f t="shared" si="33"/>
        <v>0.46657919999999992</v>
      </c>
      <c r="H2095" s="34"/>
      <c r="I2095" s="30"/>
      <c r="J2095" s="148">
        <v>75</v>
      </c>
      <c r="K2095" s="222" t="s">
        <v>8074</v>
      </c>
    </row>
    <row r="2096" spans="1:11" hidden="1" x14ac:dyDescent="0.25">
      <c r="A2096" s="203"/>
      <c r="B2096" s="205"/>
      <c r="C2096" s="35"/>
      <c r="D2096" s="46"/>
      <c r="E2096" s="36"/>
      <c r="F2096" s="33" t="s">
        <v>514</v>
      </c>
      <c r="G2096" s="33" t="str">
        <f t="shared" si="33"/>
        <v/>
      </c>
      <c r="H2096" s="34"/>
      <c r="I2096" s="30"/>
      <c r="J2096" s="148">
        <v>75</v>
      </c>
      <c r="K2096" s="222" t="s">
        <v>8074</v>
      </c>
    </row>
    <row r="2097" spans="1:11" ht="38.25" hidden="1" x14ac:dyDescent="0.25">
      <c r="A2097" s="203"/>
      <c r="B2097" s="205"/>
      <c r="C2097" s="51" t="s">
        <v>634</v>
      </c>
      <c r="D2097" s="46"/>
      <c r="E2097" s="36"/>
      <c r="F2097" s="33" t="s">
        <v>514</v>
      </c>
      <c r="G2097" s="33" t="str">
        <f t="shared" si="33"/>
        <v/>
      </c>
      <c r="H2097" s="34"/>
      <c r="I2097" s="30"/>
      <c r="J2097" s="148">
        <v>75</v>
      </c>
      <c r="K2097" s="222" t="s">
        <v>8074</v>
      </c>
    </row>
    <row r="2098" spans="1:11" ht="15.75" hidden="1" thickBot="1" x14ac:dyDescent="0.3">
      <c r="A2098" s="209"/>
      <c r="B2098" s="206"/>
      <c r="C2098" s="35"/>
      <c r="D2098" s="35"/>
      <c r="E2098" s="36"/>
      <c r="F2098" s="30" t="s">
        <v>514</v>
      </c>
      <c r="G2098" s="30" t="str">
        <f t="shared" si="33"/>
        <v/>
      </c>
      <c r="H2098" s="34"/>
      <c r="I2098" s="30"/>
      <c r="J2098" s="148">
        <v>75</v>
      </c>
      <c r="K2098" s="222" t="s">
        <v>8074</v>
      </c>
    </row>
    <row r="2099" spans="1:11" ht="15.75" hidden="1" thickBot="1" x14ac:dyDescent="0.3">
      <c r="A2099" s="202" t="s">
        <v>653</v>
      </c>
      <c r="B2099" s="204" t="str">
        <f>INDEX(Orçamentária!A:B,MATCH(Composições!A2099,Orçamentária!A:A,0),2)</f>
        <v>Isolamento elastomérico para tubulações de cobre 1 3/8" / tubulações de ferro de 1"</v>
      </c>
      <c r="C2099" s="40"/>
      <c r="D2099" s="25" t="str">
        <f>TRIM(INDEX(Orçamentária!C:C,MATCH(Composições!A2099,Orçamentária!A:A,0),1))</f>
        <v>m</v>
      </c>
      <c r="E2099" s="26"/>
      <c r="F2099" s="41" t="s">
        <v>514</v>
      </c>
      <c r="G2099" s="27" t="str">
        <f t="shared" si="33"/>
        <v/>
      </c>
      <c r="H2099" s="28"/>
      <c r="I2099" s="29"/>
      <c r="J2099" s="148">
        <v>75</v>
      </c>
      <c r="K2099" s="222" t="s">
        <v>8074</v>
      </c>
    </row>
    <row r="2100" spans="1:11" hidden="1" x14ac:dyDescent="0.25">
      <c r="A2100" s="203"/>
      <c r="B2100" s="205"/>
      <c r="C2100" s="31"/>
      <c r="D2100" s="31"/>
      <c r="E2100" s="32"/>
      <c r="F2100" s="42" t="s">
        <v>514</v>
      </c>
      <c r="G2100" s="30" t="str">
        <f t="shared" si="33"/>
        <v/>
      </c>
      <c r="H2100" s="34"/>
      <c r="I2100" s="30"/>
      <c r="J2100" s="148">
        <v>75</v>
      </c>
      <c r="K2100" s="222" t="s">
        <v>8074</v>
      </c>
    </row>
    <row r="2101" spans="1:11" ht="38.25" hidden="1" x14ac:dyDescent="0.25">
      <c r="A2101" s="203"/>
      <c r="B2101" s="205"/>
      <c r="C2101" s="35" t="s">
        <v>654</v>
      </c>
      <c r="D2101" s="46" t="s">
        <v>92</v>
      </c>
      <c r="E2101" s="36">
        <v>1.0210999999999999</v>
      </c>
      <c r="F2101" s="33">
        <v>28.61</v>
      </c>
      <c r="G2101" s="33">
        <f t="shared" si="33"/>
        <v>29.213670999999998</v>
      </c>
      <c r="H2101" s="38">
        <f>SUM(G2101:G2103)</f>
        <v>30.046874199999998</v>
      </c>
      <c r="I2101" s="39"/>
      <c r="J2101" s="148">
        <v>75</v>
      </c>
      <c r="K2101" s="222" t="s">
        <v>8074</v>
      </c>
    </row>
    <row r="2102" spans="1:11" ht="25.5" hidden="1" x14ac:dyDescent="0.25">
      <c r="A2102" s="203"/>
      <c r="B2102" s="205"/>
      <c r="C2102" s="35" t="s">
        <v>106</v>
      </c>
      <c r="D2102" s="46" t="s">
        <v>12</v>
      </c>
      <c r="E2102" s="36">
        <f>0.064*0.3</f>
        <v>1.9199999999999998E-2</v>
      </c>
      <c r="F2102" s="30">
        <v>19.094999999999999</v>
      </c>
      <c r="G2102" s="33">
        <f t="shared" si="33"/>
        <v>0.36662399999999995</v>
      </c>
      <c r="H2102" s="34"/>
      <c r="I2102" s="30"/>
      <c r="J2102" s="148">
        <v>75</v>
      </c>
      <c r="K2102" s="222" t="s">
        <v>8074</v>
      </c>
    </row>
    <row r="2103" spans="1:11" hidden="1" x14ac:dyDescent="0.25">
      <c r="A2103" s="203"/>
      <c r="B2103" s="205"/>
      <c r="C2103" s="35" t="s">
        <v>39</v>
      </c>
      <c r="D2103" s="46" t="s">
        <v>12</v>
      </c>
      <c r="E2103" s="36">
        <f>0.064*0.3</f>
        <v>1.9199999999999998E-2</v>
      </c>
      <c r="F2103" s="30">
        <v>24.300999999999998</v>
      </c>
      <c r="G2103" s="33">
        <f t="shared" si="33"/>
        <v>0.46657919999999992</v>
      </c>
      <c r="H2103" s="34"/>
      <c r="I2103" s="30"/>
      <c r="J2103" s="148">
        <v>75</v>
      </c>
      <c r="K2103" s="222" t="s">
        <v>8074</v>
      </c>
    </row>
    <row r="2104" spans="1:11" hidden="1" x14ac:dyDescent="0.25">
      <c r="A2104" s="203"/>
      <c r="B2104" s="205"/>
      <c r="C2104" s="35"/>
      <c r="D2104" s="46"/>
      <c r="E2104" s="36"/>
      <c r="F2104" s="33" t="s">
        <v>514</v>
      </c>
      <c r="G2104" s="33" t="str">
        <f t="shared" si="33"/>
        <v/>
      </c>
      <c r="H2104" s="34"/>
      <c r="I2104" s="30"/>
      <c r="J2104" s="148">
        <v>75</v>
      </c>
      <c r="K2104" s="222" t="s">
        <v>8074</v>
      </c>
    </row>
    <row r="2105" spans="1:11" ht="38.25" hidden="1" x14ac:dyDescent="0.25">
      <c r="A2105" s="203"/>
      <c r="B2105" s="205"/>
      <c r="C2105" s="51" t="s">
        <v>634</v>
      </c>
      <c r="D2105" s="46"/>
      <c r="E2105" s="36"/>
      <c r="F2105" s="33" t="s">
        <v>514</v>
      </c>
      <c r="G2105" s="33" t="str">
        <f t="shared" si="33"/>
        <v/>
      </c>
      <c r="H2105" s="34"/>
      <c r="I2105" s="30"/>
      <c r="J2105" s="148">
        <v>75</v>
      </c>
      <c r="K2105" s="222" t="s">
        <v>8074</v>
      </c>
    </row>
    <row r="2106" spans="1:11" ht="15.75" hidden="1" thickBot="1" x14ac:dyDescent="0.3">
      <c r="A2106" s="209"/>
      <c r="B2106" s="206"/>
      <c r="C2106" s="35"/>
      <c r="D2106" s="35"/>
      <c r="E2106" s="36"/>
      <c r="F2106" s="30" t="s">
        <v>514</v>
      </c>
      <c r="G2106" s="30" t="str">
        <f t="shared" si="33"/>
        <v/>
      </c>
      <c r="H2106" s="34"/>
      <c r="I2106" s="30"/>
      <c r="J2106" s="148">
        <v>75</v>
      </c>
      <c r="K2106" s="222" t="s">
        <v>8074</v>
      </c>
    </row>
    <row r="2107" spans="1:11" ht="15.75" hidden="1" thickBot="1" x14ac:dyDescent="0.3">
      <c r="A2107" s="202" t="s">
        <v>655</v>
      </c>
      <c r="B2107" s="204" t="str">
        <f>INDEX(Orçamentária!A:B,MATCH(Composições!A2107,Orçamentária!A:A,0),2)</f>
        <v>Proteção mecânica em alumínio</v>
      </c>
      <c r="C2107" s="40"/>
      <c r="D2107" s="25" t="str">
        <f>TRIM(INDEX(Orçamentária!C:C,MATCH(Composições!A2107,Orçamentária!A:A,0),1))</f>
        <v>m2</v>
      </c>
      <c r="E2107" s="26"/>
      <c r="F2107" s="41" t="s">
        <v>514</v>
      </c>
      <c r="G2107" s="27" t="str">
        <f t="shared" si="33"/>
        <v/>
      </c>
      <c r="H2107" s="28"/>
      <c r="I2107" s="29"/>
      <c r="J2107" s="148">
        <v>75</v>
      </c>
      <c r="K2107" s="222" t="s">
        <v>8074</v>
      </c>
    </row>
    <row r="2108" spans="1:11" hidden="1" x14ac:dyDescent="0.25">
      <c r="A2108" s="203"/>
      <c r="B2108" s="205"/>
      <c r="C2108" s="31"/>
      <c r="D2108" s="31"/>
      <c r="E2108" s="32"/>
      <c r="F2108" s="42" t="s">
        <v>514</v>
      </c>
      <c r="G2108" s="30" t="str">
        <f t="shared" si="33"/>
        <v/>
      </c>
      <c r="H2108" s="34"/>
      <c r="I2108" s="30"/>
      <c r="J2108" s="148">
        <v>75</v>
      </c>
      <c r="K2108" s="222" t="s">
        <v>8074</v>
      </c>
    </row>
    <row r="2109" spans="1:11" ht="25.5" hidden="1" x14ac:dyDescent="0.25">
      <c r="A2109" s="203"/>
      <c r="B2109" s="205"/>
      <c r="C2109" s="35" t="s">
        <v>106</v>
      </c>
      <c r="D2109" s="46" t="s">
        <v>12</v>
      </c>
      <c r="E2109" s="36">
        <v>0.2</v>
      </c>
      <c r="F2109" s="30">
        <v>19.094999999999999</v>
      </c>
      <c r="G2109" s="33">
        <f t="shared" si="33"/>
        <v>3.819</v>
      </c>
      <c r="H2109" s="38">
        <f>SUM(G2109:G2111)</f>
        <v>37.050200000000004</v>
      </c>
      <c r="I2109" s="39"/>
      <c r="J2109" s="148">
        <v>75</v>
      </c>
      <c r="K2109" s="222" t="s">
        <v>8074</v>
      </c>
    </row>
    <row r="2110" spans="1:11" hidden="1" x14ac:dyDescent="0.25">
      <c r="A2110" s="203"/>
      <c r="B2110" s="205"/>
      <c r="C2110" s="35" t="s">
        <v>39</v>
      </c>
      <c r="D2110" s="46" t="s">
        <v>12</v>
      </c>
      <c r="E2110" s="36">
        <v>0.2</v>
      </c>
      <c r="F2110" s="30">
        <v>24.300999999999998</v>
      </c>
      <c r="G2110" s="33">
        <f t="shared" si="33"/>
        <v>4.8601999999999999</v>
      </c>
      <c r="H2110" s="34"/>
      <c r="I2110" s="30"/>
      <c r="J2110" s="148">
        <v>75</v>
      </c>
      <c r="K2110" s="222" t="s">
        <v>8074</v>
      </c>
    </row>
    <row r="2111" spans="1:11" hidden="1" x14ac:dyDescent="0.25">
      <c r="A2111" s="203"/>
      <c r="B2111" s="205"/>
      <c r="C2111" s="35" t="s">
        <v>656</v>
      </c>
      <c r="D2111" s="46" t="s">
        <v>94</v>
      </c>
      <c r="E2111" s="36">
        <v>1.05</v>
      </c>
      <c r="F2111" s="33">
        <v>27.02</v>
      </c>
      <c r="G2111" s="33">
        <f t="shared" si="33"/>
        <v>28.371000000000002</v>
      </c>
      <c r="H2111" s="34"/>
      <c r="I2111" s="30"/>
      <c r="J2111" s="148">
        <v>75</v>
      </c>
      <c r="K2111" s="222" t="s">
        <v>8074</v>
      </c>
    </row>
    <row r="2112" spans="1:11" ht="15.75" hidden="1" thickBot="1" x14ac:dyDescent="0.3">
      <c r="A2112" s="209"/>
      <c r="B2112" s="206"/>
      <c r="C2112" s="35"/>
      <c r="D2112" s="35"/>
      <c r="E2112" s="36"/>
      <c r="F2112" s="30" t="s">
        <v>514</v>
      </c>
      <c r="G2112" s="30" t="str">
        <f t="shared" si="33"/>
        <v/>
      </c>
      <c r="H2112" s="34"/>
      <c r="I2112" s="30"/>
      <c r="J2112" s="148">
        <v>75</v>
      </c>
      <c r="K2112" s="222" t="s">
        <v>8074</v>
      </c>
    </row>
    <row r="2113" spans="1:11" ht="15.75" hidden="1" thickBot="1" x14ac:dyDescent="0.3">
      <c r="A2113" s="202" t="s">
        <v>657</v>
      </c>
      <c r="B2113" s="204" t="str">
        <f>INDEX(Orçamentária!A:B,MATCH(Composições!A2113,Orçamentária!A:A,0),2)</f>
        <v>Tubo de aço-carbono galvanizado 1 1/2"</v>
      </c>
      <c r="C2113" s="40"/>
      <c r="D2113" s="25" t="str">
        <f>TRIM(INDEX(Orçamentária!C:C,MATCH(Composições!A2113,Orçamentária!A:A,0),1))</f>
        <v>m</v>
      </c>
      <c r="E2113" s="26"/>
      <c r="F2113" s="41" t="s">
        <v>514</v>
      </c>
      <c r="G2113" s="27" t="str">
        <f t="shared" si="33"/>
        <v/>
      </c>
      <c r="H2113" s="28"/>
      <c r="I2113" s="29"/>
      <c r="J2113" s="148">
        <v>75</v>
      </c>
      <c r="K2113" s="222" t="s">
        <v>8074</v>
      </c>
    </row>
    <row r="2114" spans="1:11" hidden="1" x14ac:dyDescent="0.25">
      <c r="A2114" s="203"/>
      <c r="B2114" s="205"/>
      <c r="C2114" s="31"/>
      <c r="D2114" s="31"/>
      <c r="E2114" s="32"/>
      <c r="F2114" s="42" t="s">
        <v>514</v>
      </c>
      <c r="G2114" s="30" t="str">
        <f t="shared" si="33"/>
        <v/>
      </c>
      <c r="H2114" s="34"/>
      <c r="I2114" s="30"/>
      <c r="J2114" s="148">
        <v>75</v>
      </c>
      <c r="K2114" s="222" t="s">
        <v>8074</v>
      </c>
    </row>
    <row r="2115" spans="1:11" hidden="1" x14ac:dyDescent="0.25">
      <c r="A2115" s="203"/>
      <c r="B2115" s="205"/>
      <c r="C2115" s="35" t="s">
        <v>39</v>
      </c>
      <c r="D2115" s="46" t="s">
        <v>12</v>
      </c>
      <c r="E2115" s="36">
        <v>0.29199999999999998</v>
      </c>
      <c r="F2115" s="30">
        <v>24.300999999999998</v>
      </c>
      <c r="G2115" s="30">
        <f t="shared" si="33"/>
        <v>7.0958919999999992</v>
      </c>
      <c r="H2115" s="38">
        <f>SUM(G2115:G2117)</f>
        <v>105.95772749999999</v>
      </c>
      <c r="I2115" s="39"/>
      <c r="J2115" s="148">
        <v>75</v>
      </c>
      <c r="K2115" s="222" t="s">
        <v>8074</v>
      </c>
    </row>
    <row r="2116" spans="1:11" ht="25.5" hidden="1" x14ac:dyDescent="0.25">
      <c r="A2116" s="203"/>
      <c r="B2116" s="205"/>
      <c r="C2116" s="35" t="s">
        <v>106</v>
      </c>
      <c r="D2116" s="46" t="s">
        <v>12</v>
      </c>
      <c r="E2116" s="36">
        <v>0.29199999999999998</v>
      </c>
      <c r="F2116" s="30">
        <v>19.094999999999999</v>
      </c>
      <c r="G2116" s="30">
        <f t="shared" si="33"/>
        <v>5.5757399999999997</v>
      </c>
      <c r="H2116" s="34"/>
      <c r="I2116" s="30"/>
      <c r="J2116" s="148">
        <v>75</v>
      </c>
      <c r="K2116" s="222" t="s">
        <v>8074</v>
      </c>
    </row>
    <row r="2117" spans="1:11" ht="25.5" hidden="1" x14ac:dyDescent="0.25">
      <c r="A2117" s="203"/>
      <c r="B2117" s="205"/>
      <c r="C2117" s="35" t="s">
        <v>658</v>
      </c>
      <c r="D2117" s="46" t="s">
        <v>92</v>
      </c>
      <c r="E2117" s="36">
        <v>1.0389999999999999</v>
      </c>
      <c r="F2117" s="33">
        <v>89.784499999999994</v>
      </c>
      <c r="G2117" s="30">
        <f t="shared" si="33"/>
        <v>93.286095499999988</v>
      </c>
      <c r="H2117" s="34"/>
      <c r="I2117" s="30"/>
      <c r="J2117" s="148">
        <v>75</v>
      </c>
      <c r="K2117" s="222" t="s">
        <v>8074</v>
      </c>
    </row>
    <row r="2118" spans="1:11" ht="15.75" hidden="1" thickBot="1" x14ac:dyDescent="0.3">
      <c r="A2118" s="209"/>
      <c r="B2118" s="206"/>
      <c r="C2118" s="35"/>
      <c r="D2118" s="35"/>
      <c r="E2118" s="36"/>
      <c r="F2118" s="30" t="s">
        <v>514</v>
      </c>
      <c r="G2118" s="30" t="str">
        <f t="shared" si="33"/>
        <v/>
      </c>
      <c r="H2118" s="34"/>
      <c r="I2118" s="30"/>
      <c r="J2118" s="148">
        <v>75</v>
      </c>
      <c r="K2118" s="222" t="s">
        <v>8074</v>
      </c>
    </row>
    <row r="2119" spans="1:11" ht="15.75" hidden="1" thickBot="1" x14ac:dyDescent="0.3">
      <c r="A2119" s="202" t="s">
        <v>659</v>
      </c>
      <c r="B2119" s="204" t="str">
        <f>INDEX(Orçamentária!A:B,MATCH(Composições!A2119,Orçamentária!A:A,0),2)</f>
        <v>Tubo de aço-carbono galvanizado 1 1/4"</v>
      </c>
      <c r="C2119" s="40"/>
      <c r="D2119" s="25" t="str">
        <f>TRIM(INDEX(Orçamentária!C:C,MATCH(Composições!A2119,Orçamentária!A:A,0),1))</f>
        <v>m</v>
      </c>
      <c r="E2119" s="26"/>
      <c r="F2119" s="41" t="s">
        <v>514</v>
      </c>
      <c r="G2119" s="27" t="str">
        <f t="shared" si="33"/>
        <v/>
      </c>
      <c r="H2119" s="28"/>
      <c r="I2119" s="29"/>
      <c r="J2119" s="148">
        <v>75</v>
      </c>
      <c r="K2119" s="222" t="s">
        <v>8074</v>
      </c>
    </row>
    <row r="2120" spans="1:11" hidden="1" x14ac:dyDescent="0.25">
      <c r="A2120" s="203"/>
      <c r="B2120" s="205"/>
      <c r="C2120" s="31"/>
      <c r="D2120" s="31"/>
      <c r="E2120" s="32"/>
      <c r="F2120" s="42" t="s">
        <v>514</v>
      </c>
      <c r="G2120" s="30" t="str">
        <f t="shared" si="33"/>
        <v/>
      </c>
      <c r="H2120" s="34"/>
      <c r="I2120" s="30"/>
      <c r="J2120" s="148">
        <v>75</v>
      </c>
      <c r="K2120" s="222" t="s">
        <v>8074</v>
      </c>
    </row>
    <row r="2121" spans="1:11" hidden="1" x14ac:dyDescent="0.25">
      <c r="A2121" s="203"/>
      <c r="B2121" s="205"/>
      <c r="C2121" s="35" t="s">
        <v>39</v>
      </c>
      <c r="D2121" s="46" t="s">
        <v>12</v>
      </c>
      <c r="E2121" s="36">
        <v>0.27500000000000002</v>
      </c>
      <c r="F2121" s="30">
        <v>24.300999999999998</v>
      </c>
      <c r="G2121" s="30">
        <f t="shared" si="33"/>
        <v>6.6827750000000004</v>
      </c>
      <c r="H2121" s="38">
        <f>SUM(G2121:G2123)</f>
        <v>97.540746500000012</v>
      </c>
      <c r="I2121" s="39"/>
      <c r="J2121" s="148">
        <v>75</v>
      </c>
      <c r="K2121" s="222" t="s">
        <v>8074</v>
      </c>
    </row>
    <row r="2122" spans="1:11" ht="25.5" hidden="1" x14ac:dyDescent="0.25">
      <c r="A2122" s="203"/>
      <c r="B2122" s="205"/>
      <c r="C2122" s="35" t="s">
        <v>106</v>
      </c>
      <c r="D2122" s="46" t="s">
        <v>12</v>
      </c>
      <c r="E2122" s="36">
        <v>0.27500000000000002</v>
      </c>
      <c r="F2122" s="30">
        <v>19.094999999999999</v>
      </c>
      <c r="G2122" s="30">
        <f t="shared" si="33"/>
        <v>5.251125</v>
      </c>
      <c r="H2122" s="34"/>
      <c r="I2122" s="30"/>
      <c r="J2122" s="148">
        <v>75</v>
      </c>
      <c r="K2122" s="222" t="s">
        <v>8074</v>
      </c>
    </row>
    <row r="2123" spans="1:11" ht="25.5" hidden="1" x14ac:dyDescent="0.25">
      <c r="A2123" s="203"/>
      <c r="B2123" s="205"/>
      <c r="C2123" s="35" t="s">
        <v>3499</v>
      </c>
      <c r="D2123" s="46" t="s">
        <v>92</v>
      </c>
      <c r="E2123" s="36">
        <v>1.0389999999999999</v>
      </c>
      <c r="F2123" s="30">
        <v>82.393500000000003</v>
      </c>
      <c r="G2123" s="30">
        <f t="shared" si="33"/>
        <v>85.606846500000003</v>
      </c>
      <c r="H2123" s="34"/>
      <c r="I2123" s="30"/>
      <c r="J2123" s="148">
        <v>75</v>
      </c>
      <c r="K2123" s="222" t="s">
        <v>8074</v>
      </c>
    </row>
    <row r="2124" spans="1:11" ht="15.75" hidden="1" thickBot="1" x14ac:dyDescent="0.3">
      <c r="A2124" s="209"/>
      <c r="B2124" s="206"/>
      <c r="C2124" s="35"/>
      <c r="D2124" s="35"/>
      <c r="E2124" s="36"/>
      <c r="F2124" s="30" t="s">
        <v>514</v>
      </c>
      <c r="G2124" s="30" t="str">
        <f t="shared" si="33"/>
        <v/>
      </c>
      <c r="H2124" s="34"/>
      <c r="I2124" s="30"/>
      <c r="J2124" s="148">
        <v>75</v>
      </c>
      <c r="K2124" s="222" t="s">
        <v>8074</v>
      </c>
    </row>
    <row r="2125" spans="1:11" ht="15.75" hidden="1" thickBot="1" x14ac:dyDescent="0.3">
      <c r="A2125" s="202" t="s">
        <v>660</v>
      </c>
      <c r="B2125" s="204" t="str">
        <f>INDEX(Orçamentária!A:B,MATCH(Composições!A2125,Orçamentária!A:A,0),2)</f>
        <v>Tubo de aço-carbono galvanizado 1"</v>
      </c>
      <c r="C2125" s="40"/>
      <c r="D2125" s="25" t="str">
        <f>TRIM(INDEX(Orçamentária!C:C,MATCH(Composições!A2125,Orçamentária!A:A,0),1))</f>
        <v>m</v>
      </c>
      <c r="E2125" s="26"/>
      <c r="F2125" s="41" t="s">
        <v>514</v>
      </c>
      <c r="G2125" s="27" t="str">
        <f t="shared" si="33"/>
        <v/>
      </c>
      <c r="H2125" s="28"/>
      <c r="I2125" s="29"/>
      <c r="J2125" s="148">
        <v>75</v>
      </c>
      <c r="K2125" s="222" t="s">
        <v>8074</v>
      </c>
    </row>
    <row r="2126" spans="1:11" hidden="1" x14ac:dyDescent="0.25">
      <c r="A2126" s="203"/>
      <c r="B2126" s="205"/>
      <c r="C2126" s="31"/>
      <c r="D2126" s="31"/>
      <c r="E2126" s="32"/>
      <c r="F2126" s="42" t="s">
        <v>514</v>
      </c>
      <c r="G2126" s="30" t="str">
        <f t="shared" si="33"/>
        <v/>
      </c>
      <c r="H2126" s="34"/>
      <c r="I2126" s="30"/>
      <c r="J2126" s="148">
        <v>75</v>
      </c>
      <c r="K2126" s="222" t="s">
        <v>8074</v>
      </c>
    </row>
    <row r="2127" spans="1:11" hidden="1" x14ac:dyDescent="0.25">
      <c r="A2127" s="203"/>
      <c r="B2127" s="205"/>
      <c r="C2127" s="35" t="s">
        <v>39</v>
      </c>
      <c r="D2127" s="46" t="s">
        <v>12</v>
      </c>
      <c r="E2127" s="36">
        <v>0.29699999999999999</v>
      </c>
      <c r="F2127" s="30">
        <v>24.300999999999998</v>
      </c>
      <c r="G2127" s="33">
        <f t="shared" si="33"/>
        <v>7.2173969999999992</v>
      </c>
      <c r="H2127" s="38">
        <f>SUM(G2127:G2129)</f>
        <v>76.770487999999986</v>
      </c>
      <c r="I2127" s="39"/>
      <c r="J2127" s="148">
        <v>75</v>
      </c>
      <c r="K2127" s="222" t="s">
        <v>8074</v>
      </c>
    </row>
    <row r="2128" spans="1:11" ht="25.5" hidden="1" x14ac:dyDescent="0.25">
      <c r="A2128" s="203"/>
      <c r="B2128" s="205"/>
      <c r="C2128" s="35" t="s">
        <v>106</v>
      </c>
      <c r="D2128" s="46" t="s">
        <v>12</v>
      </c>
      <c r="E2128" s="36">
        <v>0.29699999999999999</v>
      </c>
      <c r="F2128" s="30">
        <v>19.094999999999999</v>
      </c>
      <c r="G2128" s="33">
        <f t="shared" si="33"/>
        <v>5.6712149999999992</v>
      </c>
      <c r="H2128" s="34"/>
      <c r="I2128" s="30"/>
      <c r="J2128" s="148">
        <v>75</v>
      </c>
      <c r="K2128" s="222" t="s">
        <v>8074</v>
      </c>
    </row>
    <row r="2129" spans="1:11" ht="25.5" hidden="1" x14ac:dyDescent="0.25">
      <c r="A2129" s="203"/>
      <c r="B2129" s="205"/>
      <c r="C2129" s="35" t="s">
        <v>3500</v>
      </c>
      <c r="D2129" s="46" t="s">
        <v>92</v>
      </c>
      <c r="E2129" s="36">
        <v>1.0389999999999999</v>
      </c>
      <c r="F2129" s="30">
        <v>61.483999999999995</v>
      </c>
      <c r="G2129" s="33">
        <f t="shared" si="33"/>
        <v>63.881875999999991</v>
      </c>
      <c r="H2129" s="34"/>
      <c r="I2129" s="30"/>
      <c r="J2129" s="148">
        <v>75</v>
      </c>
      <c r="K2129" s="222" t="s">
        <v>8074</v>
      </c>
    </row>
    <row r="2130" spans="1:11" ht="15.75" hidden="1" thickBot="1" x14ac:dyDescent="0.3">
      <c r="A2130" s="209"/>
      <c r="B2130" s="206"/>
      <c r="C2130" s="35"/>
      <c r="D2130" s="35"/>
      <c r="E2130" s="36"/>
      <c r="F2130" s="30" t="s">
        <v>514</v>
      </c>
      <c r="G2130" s="30" t="str">
        <f t="shared" si="33"/>
        <v/>
      </c>
      <c r="H2130" s="34"/>
      <c r="I2130" s="30"/>
      <c r="J2130" s="148">
        <v>75</v>
      </c>
      <c r="K2130" s="222" t="s">
        <v>8074</v>
      </c>
    </row>
    <row r="2131" spans="1:11" ht="15.75" hidden="1" thickBot="1" x14ac:dyDescent="0.3">
      <c r="A2131" s="202" t="s">
        <v>661</v>
      </c>
      <c r="B2131" s="204" t="str">
        <f>INDEX(Orçamentária!A:B,MATCH(Composições!A2131,Orçamentária!A:A,0),2)</f>
        <v>Tubo de aço-carbono galvanizado 3/4"</v>
      </c>
      <c r="C2131" s="40"/>
      <c r="D2131" s="25" t="str">
        <f>TRIM(INDEX(Orçamentária!C:C,MATCH(Composições!A2131,Orçamentária!A:A,0),1))</f>
        <v>m</v>
      </c>
      <c r="E2131" s="26"/>
      <c r="F2131" s="41" t="s">
        <v>514</v>
      </c>
      <c r="G2131" s="27" t="str">
        <f t="shared" ref="G2131:G2194" si="34">IF(ISNUMBER(F2131),E2131*F2131,"")</f>
        <v/>
      </c>
      <c r="H2131" s="28"/>
      <c r="I2131" s="29"/>
      <c r="J2131" s="148">
        <v>565</v>
      </c>
      <c r="K2131" s="222" t="s">
        <v>8074</v>
      </c>
    </row>
    <row r="2132" spans="1:11" hidden="1" x14ac:dyDescent="0.25">
      <c r="A2132" s="203"/>
      <c r="B2132" s="205"/>
      <c r="C2132" s="31"/>
      <c r="D2132" s="31"/>
      <c r="E2132" s="32"/>
      <c r="F2132" s="42" t="s">
        <v>514</v>
      </c>
      <c r="G2132" s="30" t="str">
        <f t="shared" si="34"/>
        <v/>
      </c>
      <c r="H2132" s="34"/>
      <c r="I2132" s="30"/>
      <c r="J2132" s="148">
        <v>565</v>
      </c>
      <c r="K2132" s="222" t="s">
        <v>8074</v>
      </c>
    </row>
    <row r="2133" spans="1:11" hidden="1" x14ac:dyDescent="0.25">
      <c r="A2133" s="203"/>
      <c r="B2133" s="205"/>
      <c r="C2133" s="35" t="s">
        <v>39</v>
      </c>
      <c r="D2133" s="46" t="s">
        <v>12</v>
      </c>
      <c r="E2133" s="36">
        <v>0.29699999999999999</v>
      </c>
      <c r="F2133" s="30">
        <v>24.300999999999998</v>
      </c>
      <c r="G2133" s="30">
        <f t="shared" si="34"/>
        <v>7.2173969999999992</v>
      </c>
      <c r="H2133" s="38">
        <f>SUM(G2133:G2135)</f>
        <v>69.653857499999987</v>
      </c>
      <c r="I2133" s="39"/>
      <c r="J2133" s="148">
        <v>565</v>
      </c>
      <c r="K2133" s="222" t="s">
        <v>8074</v>
      </c>
    </row>
    <row r="2134" spans="1:11" ht="25.5" hidden="1" x14ac:dyDescent="0.25">
      <c r="A2134" s="203"/>
      <c r="B2134" s="205"/>
      <c r="C2134" s="35" t="s">
        <v>106</v>
      </c>
      <c r="D2134" s="46" t="s">
        <v>12</v>
      </c>
      <c r="E2134" s="36">
        <v>0.29699999999999999</v>
      </c>
      <c r="F2134" s="30">
        <v>19.094999999999999</v>
      </c>
      <c r="G2134" s="30">
        <f t="shared" si="34"/>
        <v>5.6712149999999992</v>
      </c>
      <c r="H2134" s="34"/>
      <c r="I2134" s="30"/>
      <c r="J2134" s="148">
        <v>565</v>
      </c>
      <c r="K2134" s="222" t="s">
        <v>8074</v>
      </c>
    </row>
    <row r="2135" spans="1:11" ht="25.5" hidden="1" x14ac:dyDescent="0.25">
      <c r="A2135" s="203"/>
      <c r="B2135" s="205"/>
      <c r="C2135" s="35" t="s">
        <v>662</v>
      </c>
      <c r="D2135" s="46" t="s">
        <v>92</v>
      </c>
      <c r="E2135" s="36">
        <v>1.0389999999999999</v>
      </c>
      <c r="F2135" s="33">
        <v>54.634499999999996</v>
      </c>
      <c r="G2135" s="30">
        <f t="shared" si="34"/>
        <v>56.765245499999992</v>
      </c>
      <c r="H2135" s="34"/>
      <c r="I2135" s="30"/>
      <c r="J2135" s="148">
        <v>565</v>
      </c>
      <c r="K2135" s="222" t="s">
        <v>8074</v>
      </c>
    </row>
    <row r="2136" spans="1:11" ht="15.75" hidden="1" thickBot="1" x14ac:dyDescent="0.3">
      <c r="A2136" s="209"/>
      <c r="B2136" s="206"/>
      <c r="C2136" s="35"/>
      <c r="D2136" s="35"/>
      <c r="E2136" s="36"/>
      <c r="F2136" s="30" t="s">
        <v>514</v>
      </c>
      <c r="G2136" s="30" t="str">
        <f t="shared" si="34"/>
        <v/>
      </c>
      <c r="H2136" s="34"/>
      <c r="I2136" s="30"/>
      <c r="J2136" s="148">
        <v>565</v>
      </c>
      <c r="K2136" s="222" t="s">
        <v>8074</v>
      </c>
    </row>
    <row r="2137" spans="1:11" ht="15.75" hidden="1" thickBot="1" x14ac:dyDescent="0.3">
      <c r="A2137" s="202" t="s">
        <v>663</v>
      </c>
      <c r="B2137" s="204" t="str">
        <f>INDEX(Orçamentária!A:B,MATCH(Composições!A2137,Orçamentária!A:A,0),2)</f>
        <v>Tubo de cobre de 1/2"</v>
      </c>
      <c r="C2137" s="40"/>
      <c r="D2137" s="25" t="str">
        <f>TRIM(INDEX(Orçamentária!C:C,MATCH(Composições!A2137,Orçamentária!A:A,0),1))</f>
        <v>m</v>
      </c>
      <c r="E2137" s="26"/>
      <c r="F2137" s="41" t="s">
        <v>514</v>
      </c>
      <c r="G2137" s="27" t="str">
        <f t="shared" si="34"/>
        <v/>
      </c>
      <c r="H2137" s="28"/>
      <c r="I2137" s="29"/>
      <c r="J2137" s="148">
        <v>380</v>
      </c>
      <c r="K2137" s="222" t="s">
        <v>8074</v>
      </c>
    </row>
    <row r="2138" spans="1:11" hidden="1" x14ac:dyDescent="0.25">
      <c r="A2138" s="203"/>
      <c r="B2138" s="205"/>
      <c r="C2138" s="31"/>
      <c r="D2138" s="31"/>
      <c r="E2138" s="32"/>
      <c r="F2138" s="42" t="s">
        <v>514</v>
      </c>
      <c r="G2138" s="30" t="str">
        <f t="shared" si="34"/>
        <v/>
      </c>
      <c r="H2138" s="34"/>
      <c r="I2138" s="30"/>
      <c r="J2138" s="148">
        <v>380</v>
      </c>
      <c r="K2138" s="222" t="s">
        <v>8074</v>
      </c>
    </row>
    <row r="2139" spans="1:11" ht="25.5" hidden="1" x14ac:dyDescent="0.25">
      <c r="A2139" s="203"/>
      <c r="B2139" s="205"/>
      <c r="C2139" s="35" t="s">
        <v>664</v>
      </c>
      <c r="D2139" s="46" t="s">
        <v>92</v>
      </c>
      <c r="E2139" s="36">
        <v>1.0210999999999999</v>
      </c>
      <c r="F2139" s="33">
        <v>42.958999999999996</v>
      </c>
      <c r="G2139" s="33">
        <f t="shared" si="34"/>
        <v>43.86543489999999</v>
      </c>
      <c r="H2139" s="38">
        <f>SUM(G2139:G2141)</f>
        <v>45.718444099999992</v>
      </c>
      <c r="I2139" s="39"/>
      <c r="J2139" s="148">
        <v>380</v>
      </c>
      <c r="K2139" s="222" t="s">
        <v>8074</v>
      </c>
    </row>
    <row r="2140" spans="1:11" ht="25.5" hidden="1" x14ac:dyDescent="0.25">
      <c r="A2140" s="203"/>
      <c r="B2140" s="205"/>
      <c r="C2140" s="35" t="s">
        <v>106</v>
      </c>
      <c r="D2140" s="46" t="s">
        <v>12</v>
      </c>
      <c r="E2140" s="36">
        <f>0.061*0.7</f>
        <v>4.2699999999999995E-2</v>
      </c>
      <c r="F2140" s="30">
        <v>19.094999999999999</v>
      </c>
      <c r="G2140" s="33">
        <f t="shared" si="34"/>
        <v>0.81535649999999982</v>
      </c>
      <c r="H2140" s="34"/>
      <c r="I2140" s="30"/>
      <c r="J2140" s="148">
        <v>380</v>
      </c>
      <c r="K2140" s="222" t="s">
        <v>8074</v>
      </c>
    </row>
    <row r="2141" spans="1:11" hidden="1" x14ac:dyDescent="0.25">
      <c r="A2141" s="203"/>
      <c r="B2141" s="205"/>
      <c r="C2141" s="35" t="s">
        <v>39</v>
      </c>
      <c r="D2141" s="46" t="s">
        <v>12</v>
      </c>
      <c r="E2141" s="36">
        <f>0.061*0.7</f>
        <v>4.2699999999999995E-2</v>
      </c>
      <c r="F2141" s="30">
        <v>24.300999999999998</v>
      </c>
      <c r="G2141" s="33">
        <f t="shared" si="34"/>
        <v>1.0376526999999998</v>
      </c>
      <c r="H2141" s="34"/>
      <c r="I2141" s="30"/>
      <c r="J2141" s="148">
        <v>380</v>
      </c>
      <c r="K2141" s="222" t="s">
        <v>8074</v>
      </c>
    </row>
    <row r="2142" spans="1:11" hidden="1" x14ac:dyDescent="0.25">
      <c r="A2142" s="203"/>
      <c r="B2142" s="205"/>
      <c r="C2142" s="35"/>
      <c r="D2142" s="46"/>
      <c r="E2142" s="36"/>
      <c r="F2142" s="30" t="s">
        <v>514</v>
      </c>
      <c r="G2142" s="33" t="str">
        <f t="shared" si="34"/>
        <v/>
      </c>
      <c r="H2142" s="34"/>
      <c r="I2142" s="30"/>
      <c r="J2142" s="148">
        <v>380</v>
      </c>
      <c r="K2142" s="222" t="s">
        <v>8074</v>
      </c>
    </row>
    <row r="2143" spans="1:11" ht="38.25" hidden="1" x14ac:dyDescent="0.25">
      <c r="A2143" s="203"/>
      <c r="B2143" s="205"/>
      <c r="C2143" s="51" t="s">
        <v>634</v>
      </c>
      <c r="D2143" s="46"/>
      <c r="E2143" s="36"/>
      <c r="F2143" s="30" t="s">
        <v>514</v>
      </c>
      <c r="G2143" s="33" t="str">
        <f t="shared" si="34"/>
        <v/>
      </c>
      <c r="H2143" s="34"/>
      <c r="I2143" s="30"/>
      <c r="J2143" s="148">
        <v>380</v>
      </c>
      <c r="K2143" s="222" t="s">
        <v>8074</v>
      </c>
    </row>
    <row r="2144" spans="1:11" ht="15.75" hidden="1" thickBot="1" x14ac:dyDescent="0.3">
      <c r="A2144" s="209"/>
      <c r="B2144" s="206"/>
      <c r="C2144" s="35"/>
      <c r="D2144" s="35"/>
      <c r="E2144" s="36"/>
      <c r="F2144" s="30" t="s">
        <v>514</v>
      </c>
      <c r="G2144" s="30" t="str">
        <f t="shared" si="34"/>
        <v/>
      </c>
      <c r="H2144" s="34"/>
      <c r="I2144" s="30"/>
      <c r="J2144" s="148">
        <v>380</v>
      </c>
      <c r="K2144" s="222" t="s">
        <v>8074</v>
      </c>
    </row>
    <row r="2145" spans="1:11" ht="15.75" hidden="1" thickBot="1" x14ac:dyDescent="0.3">
      <c r="A2145" s="202" t="s">
        <v>665</v>
      </c>
      <c r="B2145" s="204" t="str">
        <f>INDEX(Orçamentária!A:B,MATCH(Composições!A2145,Orçamentária!A:A,0),2)</f>
        <v>Tubo de cobre de 1/4"</v>
      </c>
      <c r="C2145" s="40"/>
      <c r="D2145" s="25" t="str">
        <f>TRIM(INDEX(Orçamentária!C:C,MATCH(Composições!A2145,Orçamentária!A:A,0),1))</f>
        <v>m</v>
      </c>
      <c r="E2145" s="26"/>
      <c r="F2145" s="41" t="s">
        <v>514</v>
      </c>
      <c r="G2145" s="27" t="str">
        <f t="shared" si="34"/>
        <v/>
      </c>
      <c r="H2145" s="28"/>
      <c r="I2145" s="29"/>
      <c r="J2145" s="148">
        <v>380</v>
      </c>
      <c r="K2145" s="222" t="s">
        <v>8074</v>
      </c>
    </row>
    <row r="2146" spans="1:11" hidden="1" x14ac:dyDescent="0.25">
      <c r="A2146" s="203"/>
      <c r="B2146" s="205"/>
      <c r="C2146" s="31"/>
      <c r="D2146" s="31"/>
      <c r="E2146" s="32"/>
      <c r="F2146" s="42" t="s">
        <v>514</v>
      </c>
      <c r="G2146" s="30" t="str">
        <f t="shared" si="34"/>
        <v/>
      </c>
      <c r="H2146" s="34"/>
      <c r="I2146" s="30"/>
      <c r="J2146" s="148">
        <v>380</v>
      </c>
      <c r="K2146" s="222" t="s">
        <v>8074</v>
      </c>
    </row>
    <row r="2147" spans="1:11" ht="25.5" hidden="1" x14ac:dyDescent="0.25">
      <c r="A2147" s="203"/>
      <c r="B2147" s="205"/>
      <c r="C2147" s="35" t="s">
        <v>666</v>
      </c>
      <c r="D2147" s="46" t="s">
        <v>92</v>
      </c>
      <c r="E2147" s="36">
        <v>1.0210999999999999</v>
      </c>
      <c r="F2147" s="33">
        <v>20.586500000000001</v>
      </c>
      <c r="G2147" s="33">
        <f t="shared" si="34"/>
        <v>21.020875149999998</v>
      </c>
      <c r="H2147" s="38">
        <f>SUM(G2147:G2149)</f>
        <v>22.600489549999999</v>
      </c>
      <c r="I2147" s="39"/>
      <c r="J2147" s="148">
        <v>380</v>
      </c>
      <c r="K2147" s="222" t="s">
        <v>8074</v>
      </c>
    </row>
    <row r="2148" spans="1:11" ht="25.5" hidden="1" x14ac:dyDescent="0.25">
      <c r="A2148" s="203"/>
      <c r="B2148" s="205"/>
      <c r="C2148" s="35" t="s">
        <v>106</v>
      </c>
      <c r="D2148" s="46" t="s">
        <v>12</v>
      </c>
      <c r="E2148" s="36">
        <f>0.052*0.7</f>
        <v>3.6399999999999995E-2</v>
      </c>
      <c r="F2148" s="30">
        <v>19.094999999999999</v>
      </c>
      <c r="G2148" s="33">
        <f t="shared" si="34"/>
        <v>0.69505799999999984</v>
      </c>
      <c r="H2148" s="34"/>
      <c r="I2148" s="30"/>
      <c r="J2148" s="148">
        <v>380</v>
      </c>
      <c r="K2148" s="222" t="s">
        <v>8074</v>
      </c>
    </row>
    <row r="2149" spans="1:11" hidden="1" x14ac:dyDescent="0.25">
      <c r="A2149" s="203"/>
      <c r="B2149" s="205"/>
      <c r="C2149" s="35" t="s">
        <v>39</v>
      </c>
      <c r="D2149" s="46" t="s">
        <v>12</v>
      </c>
      <c r="E2149" s="36">
        <f>0.052*0.7</f>
        <v>3.6399999999999995E-2</v>
      </c>
      <c r="F2149" s="30">
        <v>24.300999999999998</v>
      </c>
      <c r="G2149" s="33">
        <f t="shared" si="34"/>
        <v>0.8845563999999998</v>
      </c>
      <c r="H2149" s="34"/>
      <c r="I2149" s="30"/>
      <c r="J2149" s="148">
        <v>380</v>
      </c>
      <c r="K2149" s="222" t="s">
        <v>8074</v>
      </c>
    </row>
    <row r="2150" spans="1:11" hidden="1" x14ac:dyDescent="0.25">
      <c r="A2150" s="203"/>
      <c r="B2150" s="205"/>
      <c r="C2150" s="35"/>
      <c r="D2150" s="46"/>
      <c r="E2150" s="36"/>
      <c r="F2150" s="33" t="s">
        <v>514</v>
      </c>
      <c r="G2150" s="33" t="str">
        <f t="shared" si="34"/>
        <v/>
      </c>
      <c r="H2150" s="34"/>
      <c r="I2150" s="30"/>
      <c r="J2150" s="148">
        <v>380</v>
      </c>
      <c r="K2150" s="222" t="s">
        <v>8074</v>
      </c>
    </row>
    <row r="2151" spans="1:11" ht="38.25" hidden="1" x14ac:dyDescent="0.25">
      <c r="A2151" s="203"/>
      <c r="B2151" s="205"/>
      <c r="C2151" s="51" t="s">
        <v>634</v>
      </c>
      <c r="D2151" s="46"/>
      <c r="E2151" s="36"/>
      <c r="F2151" s="33" t="s">
        <v>514</v>
      </c>
      <c r="G2151" s="33" t="str">
        <f t="shared" si="34"/>
        <v/>
      </c>
      <c r="H2151" s="34"/>
      <c r="I2151" s="30"/>
      <c r="J2151" s="148">
        <v>380</v>
      </c>
      <c r="K2151" s="222" t="s">
        <v>8074</v>
      </c>
    </row>
    <row r="2152" spans="1:11" ht="15.75" hidden="1" thickBot="1" x14ac:dyDescent="0.3">
      <c r="A2152" s="209"/>
      <c r="B2152" s="206"/>
      <c r="C2152" s="35"/>
      <c r="D2152" s="35"/>
      <c r="E2152" s="36"/>
      <c r="F2152" s="30" t="s">
        <v>514</v>
      </c>
      <c r="G2152" s="30" t="str">
        <f t="shared" si="34"/>
        <v/>
      </c>
      <c r="H2152" s="34"/>
      <c r="I2152" s="30"/>
      <c r="J2152" s="148">
        <v>380</v>
      </c>
      <c r="K2152" s="222" t="s">
        <v>8074</v>
      </c>
    </row>
    <row r="2153" spans="1:11" ht="15.75" hidden="1" thickBot="1" x14ac:dyDescent="0.3">
      <c r="A2153" s="202" t="s">
        <v>667</v>
      </c>
      <c r="B2153" s="204" t="str">
        <f>INDEX(Orçamentária!A:B,MATCH(Composições!A2153,Orçamentária!A:A,0),2)</f>
        <v>Tubo de cobre de 3/4"</v>
      </c>
      <c r="C2153" s="40"/>
      <c r="D2153" s="25" t="str">
        <f>TRIM(INDEX(Orçamentária!C:C,MATCH(Composições!A2153,Orçamentária!A:A,0),1))</f>
        <v>m</v>
      </c>
      <c r="E2153" s="26"/>
      <c r="F2153" s="41" t="s">
        <v>514</v>
      </c>
      <c r="G2153" s="27" t="str">
        <f t="shared" si="34"/>
        <v/>
      </c>
      <c r="H2153" s="28"/>
      <c r="I2153" s="29"/>
      <c r="J2153" s="148">
        <v>300</v>
      </c>
      <c r="K2153" s="222" t="s">
        <v>8074</v>
      </c>
    </row>
    <row r="2154" spans="1:11" hidden="1" x14ac:dyDescent="0.25">
      <c r="A2154" s="203"/>
      <c r="B2154" s="205"/>
      <c r="C2154" s="31"/>
      <c r="D2154" s="31"/>
      <c r="E2154" s="32"/>
      <c r="F2154" s="42" t="s">
        <v>514</v>
      </c>
      <c r="G2154" s="30" t="str">
        <f t="shared" si="34"/>
        <v/>
      </c>
      <c r="H2154" s="34"/>
      <c r="I2154" s="30"/>
      <c r="J2154" s="148">
        <v>300</v>
      </c>
      <c r="K2154" s="222" t="s">
        <v>8074</v>
      </c>
    </row>
    <row r="2155" spans="1:11" ht="25.5" hidden="1" x14ac:dyDescent="0.25">
      <c r="A2155" s="203"/>
      <c r="B2155" s="205"/>
      <c r="C2155" s="35" t="s">
        <v>668</v>
      </c>
      <c r="D2155" s="46" t="s">
        <v>92</v>
      </c>
      <c r="E2155" s="36">
        <v>1.0210999999999999</v>
      </c>
      <c r="F2155" s="33">
        <v>64.619</v>
      </c>
      <c r="G2155" s="33">
        <f t="shared" si="34"/>
        <v>65.982460899999992</v>
      </c>
      <c r="H2155" s="38">
        <f>SUM(G2155:G2157)</f>
        <v>67.926601699999992</v>
      </c>
      <c r="I2155" s="39"/>
      <c r="J2155" s="148">
        <v>300</v>
      </c>
      <c r="K2155" s="222" t="s">
        <v>8074</v>
      </c>
    </row>
    <row r="2156" spans="1:11" ht="25.5" hidden="1" x14ac:dyDescent="0.25">
      <c r="A2156" s="203"/>
      <c r="B2156" s="205"/>
      <c r="C2156" s="35" t="s">
        <v>106</v>
      </c>
      <c r="D2156" s="46" t="s">
        <v>12</v>
      </c>
      <c r="E2156" s="36">
        <f>0.064*0.7</f>
        <v>4.48E-2</v>
      </c>
      <c r="F2156" s="30">
        <v>19.094999999999999</v>
      </c>
      <c r="G2156" s="33">
        <f t="shared" si="34"/>
        <v>0.85545599999999999</v>
      </c>
      <c r="H2156" s="34"/>
      <c r="I2156" s="30"/>
      <c r="J2156" s="148">
        <v>300</v>
      </c>
      <c r="K2156" s="222" t="s">
        <v>8074</v>
      </c>
    </row>
    <row r="2157" spans="1:11" hidden="1" x14ac:dyDescent="0.25">
      <c r="A2157" s="203"/>
      <c r="B2157" s="205"/>
      <c r="C2157" s="35" t="s">
        <v>39</v>
      </c>
      <c r="D2157" s="46" t="s">
        <v>12</v>
      </c>
      <c r="E2157" s="36">
        <f>0.064*0.7</f>
        <v>4.48E-2</v>
      </c>
      <c r="F2157" s="30">
        <v>24.300999999999998</v>
      </c>
      <c r="G2157" s="33">
        <f t="shared" si="34"/>
        <v>1.0886848</v>
      </c>
      <c r="H2157" s="34"/>
      <c r="I2157" s="30"/>
      <c r="J2157" s="148">
        <v>300</v>
      </c>
      <c r="K2157" s="222" t="s">
        <v>8074</v>
      </c>
    </row>
    <row r="2158" spans="1:11" hidden="1" x14ac:dyDescent="0.25">
      <c r="A2158" s="203"/>
      <c r="B2158" s="205"/>
      <c r="C2158" s="35"/>
      <c r="D2158" s="46"/>
      <c r="E2158" s="36"/>
      <c r="F2158" s="33" t="s">
        <v>514</v>
      </c>
      <c r="G2158" s="33" t="str">
        <f t="shared" si="34"/>
        <v/>
      </c>
      <c r="H2158" s="34"/>
      <c r="I2158" s="30"/>
      <c r="J2158" s="148">
        <v>300</v>
      </c>
      <c r="K2158" s="222" t="s">
        <v>8074</v>
      </c>
    </row>
    <row r="2159" spans="1:11" ht="38.25" hidden="1" x14ac:dyDescent="0.25">
      <c r="A2159" s="203"/>
      <c r="B2159" s="205"/>
      <c r="C2159" s="51" t="s">
        <v>634</v>
      </c>
      <c r="D2159" s="46"/>
      <c r="E2159" s="36"/>
      <c r="F2159" s="33" t="s">
        <v>514</v>
      </c>
      <c r="G2159" s="33" t="str">
        <f t="shared" si="34"/>
        <v/>
      </c>
      <c r="H2159" s="34"/>
      <c r="I2159" s="30"/>
      <c r="J2159" s="148">
        <v>300</v>
      </c>
      <c r="K2159" s="222" t="s">
        <v>8074</v>
      </c>
    </row>
    <row r="2160" spans="1:11" ht="15.75" hidden="1" thickBot="1" x14ac:dyDescent="0.3">
      <c r="A2160" s="209"/>
      <c r="B2160" s="206"/>
      <c r="C2160" s="35"/>
      <c r="D2160" s="35"/>
      <c r="E2160" s="36"/>
      <c r="F2160" s="30" t="s">
        <v>514</v>
      </c>
      <c r="G2160" s="30" t="str">
        <f t="shared" si="34"/>
        <v/>
      </c>
      <c r="H2160" s="34"/>
      <c r="I2160" s="30"/>
      <c r="J2160" s="148">
        <v>300</v>
      </c>
      <c r="K2160" s="222" t="s">
        <v>8074</v>
      </c>
    </row>
    <row r="2161" spans="1:11" ht="15.75" hidden="1" thickBot="1" x14ac:dyDescent="0.3">
      <c r="A2161" s="202" t="s">
        <v>669</v>
      </c>
      <c r="B2161" s="204" t="str">
        <f>INDEX(Orçamentária!A:B,MATCH(Composições!A2161,Orçamentária!A:A,0),2)</f>
        <v>Tubo de cobre de 3/8"</v>
      </c>
      <c r="C2161" s="40"/>
      <c r="D2161" s="25" t="str">
        <f>TRIM(INDEX(Orçamentária!C:C,MATCH(Composições!A2161,Orçamentária!A:A,0),1))</f>
        <v>m</v>
      </c>
      <c r="E2161" s="26"/>
      <c r="F2161" s="41" t="s">
        <v>514</v>
      </c>
      <c r="G2161" s="27" t="str">
        <f t="shared" si="34"/>
        <v/>
      </c>
      <c r="H2161" s="28"/>
      <c r="I2161" s="29"/>
      <c r="J2161" s="148">
        <v>720</v>
      </c>
      <c r="K2161" s="222" t="s">
        <v>8074</v>
      </c>
    </row>
    <row r="2162" spans="1:11" hidden="1" x14ac:dyDescent="0.25">
      <c r="A2162" s="203"/>
      <c r="B2162" s="205"/>
      <c r="C2162" s="31"/>
      <c r="D2162" s="31"/>
      <c r="E2162" s="32"/>
      <c r="F2162" s="42" t="s">
        <v>514</v>
      </c>
      <c r="G2162" s="30" t="str">
        <f t="shared" si="34"/>
        <v/>
      </c>
      <c r="H2162" s="34"/>
      <c r="I2162" s="30"/>
      <c r="J2162" s="148">
        <v>720</v>
      </c>
      <c r="K2162" s="222" t="s">
        <v>8074</v>
      </c>
    </row>
    <row r="2163" spans="1:11" ht="25.5" hidden="1" x14ac:dyDescent="0.25">
      <c r="A2163" s="203"/>
      <c r="B2163" s="205"/>
      <c r="C2163" s="35" t="s">
        <v>670</v>
      </c>
      <c r="D2163" s="46" t="s">
        <v>92</v>
      </c>
      <c r="E2163" s="36">
        <v>1.0210999999999999</v>
      </c>
      <c r="F2163" s="33">
        <v>31.673000000000002</v>
      </c>
      <c r="G2163" s="33">
        <f t="shared" si="34"/>
        <v>32.3413003</v>
      </c>
      <c r="H2163" s="38">
        <f>SUM(G2163:G2165)</f>
        <v>34.072800700000002</v>
      </c>
      <c r="I2163" s="39"/>
      <c r="J2163" s="148">
        <v>720</v>
      </c>
      <c r="K2163" s="222" t="s">
        <v>8074</v>
      </c>
    </row>
    <row r="2164" spans="1:11" ht="25.5" hidden="1" x14ac:dyDescent="0.25">
      <c r="A2164" s="203"/>
      <c r="B2164" s="205"/>
      <c r="C2164" s="35" t="s">
        <v>106</v>
      </c>
      <c r="D2164" s="46" t="s">
        <v>12</v>
      </c>
      <c r="E2164" s="36">
        <f>0.057*0.7</f>
        <v>3.9899999999999998E-2</v>
      </c>
      <c r="F2164" s="30">
        <v>19.094999999999999</v>
      </c>
      <c r="G2164" s="33">
        <f t="shared" si="34"/>
        <v>0.76189049999999992</v>
      </c>
      <c r="H2164" s="34"/>
      <c r="I2164" s="30"/>
      <c r="J2164" s="148">
        <v>720</v>
      </c>
      <c r="K2164" s="222" t="s">
        <v>8074</v>
      </c>
    </row>
    <row r="2165" spans="1:11" hidden="1" x14ac:dyDescent="0.25">
      <c r="A2165" s="203"/>
      <c r="B2165" s="205"/>
      <c r="C2165" s="35" t="s">
        <v>39</v>
      </c>
      <c r="D2165" s="46" t="s">
        <v>12</v>
      </c>
      <c r="E2165" s="36">
        <f>0.057*0.7</f>
        <v>3.9899999999999998E-2</v>
      </c>
      <c r="F2165" s="30">
        <v>24.300999999999998</v>
      </c>
      <c r="G2165" s="33">
        <f t="shared" si="34"/>
        <v>0.96960989999999991</v>
      </c>
      <c r="H2165" s="34"/>
      <c r="I2165" s="30"/>
      <c r="J2165" s="148">
        <v>720</v>
      </c>
      <c r="K2165" s="222" t="s">
        <v>8074</v>
      </c>
    </row>
    <row r="2166" spans="1:11" hidden="1" x14ac:dyDescent="0.25">
      <c r="A2166" s="203"/>
      <c r="B2166" s="205"/>
      <c r="C2166" s="35"/>
      <c r="D2166" s="46"/>
      <c r="E2166" s="36"/>
      <c r="F2166" s="33" t="s">
        <v>514</v>
      </c>
      <c r="G2166" s="33" t="str">
        <f t="shared" si="34"/>
        <v/>
      </c>
      <c r="H2166" s="34"/>
      <c r="I2166" s="30"/>
      <c r="J2166" s="148">
        <v>720</v>
      </c>
      <c r="K2166" s="222" t="s">
        <v>8074</v>
      </c>
    </row>
    <row r="2167" spans="1:11" ht="38.25" hidden="1" x14ac:dyDescent="0.25">
      <c r="A2167" s="203"/>
      <c r="B2167" s="205"/>
      <c r="C2167" s="51" t="s">
        <v>634</v>
      </c>
      <c r="D2167" s="46"/>
      <c r="E2167" s="36"/>
      <c r="F2167" s="33" t="s">
        <v>514</v>
      </c>
      <c r="G2167" s="33" t="str">
        <f t="shared" si="34"/>
        <v/>
      </c>
      <c r="H2167" s="34"/>
      <c r="I2167" s="30"/>
      <c r="J2167" s="148">
        <v>720</v>
      </c>
      <c r="K2167" s="222" t="s">
        <v>8074</v>
      </c>
    </row>
    <row r="2168" spans="1:11" ht="15.75" hidden="1" thickBot="1" x14ac:dyDescent="0.3">
      <c r="A2168" s="209"/>
      <c r="B2168" s="206"/>
      <c r="C2168" s="35"/>
      <c r="D2168" s="35"/>
      <c r="E2168" s="36"/>
      <c r="F2168" s="30" t="s">
        <v>514</v>
      </c>
      <c r="G2168" s="30" t="str">
        <f t="shared" si="34"/>
        <v/>
      </c>
      <c r="H2168" s="34"/>
      <c r="I2168" s="30"/>
      <c r="J2168" s="148">
        <v>720</v>
      </c>
      <c r="K2168" s="222" t="s">
        <v>8074</v>
      </c>
    </row>
    <row r="2169" spans="1:11" ht="15.75" hidden="1" thickBot="1" x14ac:dyDescent="0.3">
      <c r="A2169" s="202" t="s">
        <v>671</v>
      </c>
      <c r="B2169" s="204" t="str">
        <f>INDEX(Orçamentária!A:B,MATCH(Composições!A2169,Orçamentária!A:A,0),2)</f>
        <v>Tubo de cobre de 5/8"</v>
      </c>
      <c r="C2169" s="40"/>
      <c r="D2169" s="25" t="str">
        <f>TRIM(INDEX(Orçamentária!C:C,MATCH(Composições!A2169,Orçamentária!A:A,0),1))</f>
        <v>m</v>
      </c>
      <c r="E2169" s="26"/>
      <c r="F2169" s="41" t="s">
        <v>514</v>
      </c>
      <c r="G2169" s="27" t="str">
        <f t="shared" si="34"/>
        <v/>
      </c>
      <c r="H2169" s="28"/>
      <c r="I2169" s="29"/>
      <c r="J2169" s="148">
        <v>380</v>
      </c>
      <c r="K2169" s="222" t="s">
        <v>8074</v>
      </c>
    </row>
    <row r="2170" spans="1:11" hidden="1" x14ac:dyDescent="0.25">
      <c r="A2170" s="203"/>
      <c r="B2170" s="205"/>
      <c r="C2170" s="31"/>
      <c r="D2170" s="31"/>
      <c r="E2170" s="32"/>
      <c r="F2170" s="42" t="s">
        <v>514</v>
      </c>
      <c r="G2170" s="30" t="str">
        <f t="shared" si="34"/>
        <v/>
      </c>
      <c r="H2170" s="34"/>
      <c r="I2170" s="30"/>
      <c r="J2170" s="148">
        <v>380</v>
      </c>
      <c r="K2170" s="222" t="s">
        <v>8074</v>
      </c>
    </row>
    <row r="2171" spans="1:11" ht="25.5" hidden="1" x14ac:dyDescent="0.25">
      <c r="A2171" s="203"/>
      <c r="B2171" s="205"/>
      <c r="C2171" s="35" t="s">
        <v>672</v>
      </c>
      <c r="D2171" s="46" t="s">
        <v>92</v>
      </c>
      <c r="E2171" s="36">
        <v>1.0210999999999999</v>
      </c>
      <c r="F2171" s="33">
        <v>53.427999999999997</v>
      </c>
      <c r="G2171" s="33">
        <f t="shared" si="34"/>
        <v>54.555330799999993</v>
      </c>
      <c r="H2171" s="38">
        <f>SUM(G2171:G2173)</f>
        <v>56.499471599999993</v>
      </c>
      <c r="I2171" s="39"/>
      <c r="J2171" s="148">
        <v>380</v>
      </c>
      <c r="K2171" s="222" t="s">
        <v>8074</v>
      </c>
    </row>
    <row r="2172" spans="1:11" ht="25.5" hidden="1" x14ac:dyDescent="0.25">
      <c r="A2172" s="203"/>
      <c r="B2172" s="205"/>
      <c r="C2172" s="35" t="s">
        <v>106</v>
      </c>
      <c r="D2172" s="46" t="s">
        <v>12</v>
      </c>
      <c r="E2172" s="36">
        <f>0.064*0.7</f>
        <v>4.48E-2</v>
      </c>
      <c r="F2172" s="30">
        <v>19.094999999999999</v>
      </c>
      <c r="G2172" s="33">
        <f t="shared" si="34"/>
        <v>0.85545599999999999</v>
      </c>
      <c r="H2172" s="34"/>
      <c r="I2172" s="30"/>
      <c r="J2172" s="148">
        <v>380</v>
      </c>
      <c r="K2172" s="222" t="s">
        <v>8074</v>
      </c>
    </row>
    <row r="2173" spans="1:11" hidden="1" x14ac:dyDescent="0.25">
      <c r="A2173" s="203"/>
      <c r="B2173" s="205"/>
      <c r="C2173" s="35" t="s">
        <v>39</v>
      </c>
      <c r="D2173" s="46" t="s">
        <v>12</v>
      </c>
      <c r="E2173" s="36">
        <f>0.064*0.7</f>
        <v>4.48E-2</v>
      </c>
      <c r="F2173" s="30">
        <v>24.300999999999998</v>
      </c>
      <c r="G2173" s="33">
        <f t="shared" si="34"/>
        <v>1.0886848</v>
      </c>
      <c r="H2173" s="34"/>
      <c r="I2173" s="30"/>
      <c r="J2173" s="148">
        <v>380</v>
      </c>
      <c r="K2173" s="222" t="s">
        <v>8074</v>
      </c>
    </row>
    <row r="2174" spans="1:11" hidden="1" x14ac:dyDescent="0.25">
      <c r="A2174" s="203"/>
      <c r="B2174" s="205"/>
      <c r="C2174" s="35"/>
      <c r="D2174" s="46"/>
      <c r="E2174" s="36"/>
      <c r="F2174" s="33" t="s">
        <v>514</v>
      </c>
      <c r="G2174" s="33" t="str">
        <f t="shared" si="34"/>
        <v/>
      </c>
      <c r="H2174" s="34"/>
      <c r="I2174" s="30"/>
      <c r="J2174" s="148">
        <v>380</v>
      </c>
      <c r="K2174" s="222" t="s">
        <v>8074</v>
      </c>
    </row>
    <row r="2175" spans="1:11" ht="38.25" hidden="1" x14ac:dyDescent="0.25">
      <c r="A2175" s="203"/>
      <c r="B2175" s="205"/>
      <c r="C2175" s="51" t="s">
        <v>634</v>
      </c>
      <c r="D2175" s="46"/>
      <c r="E2175" s="36"/>
      <c r="F2175" s="33" t="s">
        <v>514</v>
      </c>
      <c r="G2175" s="33" t="str">
        <f t="shared" si="34"/>
        <v/>
      </c>
      <c r="H2175" s="34"/>
      <c r="I2175" s="30"/>
      <c r="J2175" s="148">
        <v>380</v>
      </c>
      <c r="K2175" s="222" t="s">
        <v>8074</v>
      </c>
    </row>
    <row r="2176" spans="1:11" ht="15.75" hidden="1" thickBot="1" x14ac:dyDescent="0.3">
      <c r="A2176" s="209"/>
      <c r="B2176" s="206"/>
      <c r="C2176" s="35"/>
      <c r="D2176" s="35"/>
      <c r="E2176" s="36"/>
      <c r="F2176" s="30" t="s">
        <v>514</v>
      </c>
      <c r="G2176" s="30" t="str">
        <f t="shared" si="34"/>
        <v/>
      </c>
      <c r="H2176" s="34"/>
      <c r="I2176" s="30"/>
      <c r="J2176" s="148">
        <v>380</v>
      </c>
      <c r="K2176" s="222" t="s">
        <v>8074</v>
      </c>
    </row>
    <row r="2177" spans="1:11" ht="15.75" hidden="1" thickBot="1" x14ac:dyDescent="0.3">
      <c r="A2177" s="202" t="s">
        <v>673</v>
      </c>
      <c r="B2177" s="204" t="str">
        <f>INDEX(Orçamentária!A:B,MATCH(Composições!A2177,Orçamentária!A:A,0),2)</f>
        <v>Tubo de cobre de 7/8"</v>
      </c>
      <c r="C2177" s="40"/>
      <c r="D2177" s="25" t="str">
        <f>TRIM(INDEX(Orçamentária!C:C,MATCH(Composições!A2177,Orçamentária!A:A,0),1))</f>
        <v>m</v>
      </c>
      <c r="E2177" s="26"/>
      <c r="F2177" s="41" t="s">
        <v>514</v>
      </c>
      <c r="G2177" s="27" t="str">
        <f t="shared" si="34"/>
        <v/>
      </c>
      <c r="H2177" s="28"/>
      <c r="I2177" s="29"/>
      <c r="J2177" s="148">
        <v>75</v>
      </c>
      <c r="K2177" s="222" t="s">
        <v>8074</v>
      </c>
    </row>
    <row r="2178" spans="1:11" hidden="1" x14ac:dyDescent="0.25">
      <c r="A2178" s="203"/>
      <c r="B2178" s="205"/>
      <c r="C2178" s="31"/>
      <c r="D2178" s="31"/>
      <c r="E2178" s="32"/>
      <c r="F2178" s="42" t="s">
        <v>514</v>
      </c>
      <c r="G2178" s="30" t="str">
        <f t="shared" si="34"/>
        <v/>
      </c>
      <c r="H2178" s="34"/>
      <c r="I2178" s="30"/>
      <c r="J2178" s="148">
        <v>75</v>
      </c>
      <c r="K2178" s="222" t="s">
        <v>8074</v>
      </c>
    </row>
    <row r="2179" spans="1:11" ht="25.5" hidden="1" x14ac:dyDescent="0.25">
      <c r="A2179" s="203"/>
      <c r="B2179" s="205"/>
      <c r="C2179" s="35" t="s">
        <v>674</v>
      </c>
      <c r="D2179" s="46" t="s">
        <v>92</v>
      </c>
      <c r="E2179" s="36">
        <v>1.0210999999999999</v>
      </c>
      <c r="F2179" s="33">
        <v>46.321999999999996</v>
      </c>
      <c r="G2179" s="33">
        <f t="shared" si="34"/>
        <v>47.299394199999988</v>
      </c>
      <c r="H2179" s="38">
        <f>SUM(G2179:G2181)</f>
        <v>49.243534999999987</v>
      </c>
      <c r="I2179" s="39"/>
      <c r="J2179" s="148">
        <v>75</v>
      </c>
      <c r="K2179" s="222" t="s">
        <v>8074</v>
      </c>
    </row>
    <row r="2180" spans="1:11" ht="25.5" hidden="1" x14ac:dyDescent="0.25">
      <c r="A2180" s="203"/>
      <c r="B2180" s="205"/>
      <c r="C2180" s="35" t="s">
        <v>106</v>
      </c>
      <c r="D2180" s="46" t="s">
        <v>12</v>
      </c>
      <c r="E2180" s="36">
        <f>0.064*0.7</f>
        <v>4.48E-2</v>
      </c>
      <c r="F2180" s="30">
        <v>19.094999999999999</v>
      </c>
      <c r="G2180" s="33">
        <f t="shared" si="34"/>
        <v>0.85545599999999999</v>
      </c>
      <c r="H2180" s="34"/>
      <c r="I2180" s="30"/>
      <c r="J2180" s="148">
        <v>75</v>
      </c>
      <c r="K2180" s="222" t="s">
        <v>8074</v>
      </c>
    </row>
    <row r="2181" spans="1:11" hidden="1" x14ac:dyDescent="0.25">
      <c r="A2181" s="203"/>
      <c r="B2181" s="205"/>
      <c r="C2181" s="35" t="s">
        <v>39</v>
      </c>
      <c r="D2181" s="46" t="s">
        <v>12</v>
      </c>
      <c r="E2181" s="36">
        <f>0.064*0.7</f>
        <v>4.48E-2</v>
      </c>
      <c r="F2181" s="30">
        <v>24.300999999999998</v>
      </c>
      <c r="G2181" s="33">
        <f t="shared" si="34"/>
        <v>1.0886848</v>
      </c>
      <c r="H2181" s="34"/>
      <c r="I2181" s="30"/>
      <c r="J2181" s="148">
        <v>75</v>
      </c>
      <c r="K2181" s="222" t="s">
        <v>8074</v>
      </c>
    </row>
    <row r="2182" spans="1:11" hidden="1" x14ac:dyDescent="0.25">
      <c r="A2182" s="203"/>
      <c r="B2182" s="205"/>
      <c r="C2182" s="35"/>
      <c r="D2182" s="46"/>
      <c r="E2182" s="36"/>
      <c r="F2182" s="33" t="s">
        <v>514</v>
      </c>
      <c r="G2182" s="33" t="str">
        <f t="shared" si="34"/>
        <v/>
      </c>
      <c r="H2182" s="34"/>
      <c r="I2182" s="30"/>
      <c r="J2182" s="148">
        <v>75</v>
      </c>
      <c r="K2182" s="222" t="s">
        <v>8074</v>
      </c>
    </row>
    <row r="2183" spans="1:11" ht="38.25" hidden="1" x14ac:dyDescent="0.25">
      <c r="A2183" s="203"/>
      <c r="B2183" s="205"/>
      <c r="C2183" s="51" t="s">
        <v>634</v>
      </c>
      <c r="D2183" s="46"/>
      <c r="E2183" s="36"/>
      <c r="F2183" s="33" t="s">
        <v>514</v>
      </c>
      <c r="G2183" s="33" t="str">
        <f t="shared" si="34"/>
        <v/>
      </c>
      <c r="H2183" s="34"/>
      <c r="I2183" s="30"/>
      <c r="J2183" s="148">
        <v>75</v>
      </c>
      <c r="K2183" s="222" t="s">
        <v>8074</v>
      </c>
    </row>
    <row r="2184" spans="1:11" ht="15.75" hidden="1" thickBot="1" x14ac:dyDescent="0.3">
      <c r="A2184" s="209"/>
      <c r="B2184" s="206"/>
      <c r="C2184" s="35"/>
      <c r="D2184" s="35"/>
      <c r="E2184" s="36"/>
      <c r="F2184" s="30" t="s">
        <v>514</v>
      </c>
      <c r="G2184" s="30" t="str">
        <f t="shared" si="34"/>
        <v/>
      </c>
      <c r="H2184" s="34"/>
      <c r="I2184" s="30"/>
      <c r="J2184" s="148">
        <v>75</v>
      </c>
      <c r="K2184" s="222" t="s">
        <v>8074</v>
      </c>
    </row>
    <row r="2185" spans="1:11" ht="15.75" hidden="1" thickBot="1" x14ac:dyDescent="0.3">
      <c r="A2185" s="202" t="s">
        <v>675</v>
      </c>
      <c r="B2185" s="204" t="str">
        <f>INDEX(Orçamentária!A:B,MATCH(Composições!A2185,Orçamentária!A:A,0),2)</f>
        <v>Tubo de cobre de 1"</v>
      </c>
      <c r="C2185" s="40"/>
      <c r="D2185" s="25" t="str">
        <f>TRIM(INDEX(Orçamentária!C:C,MATCH(Composições!A2185,Orçamentária!A:A,0),1))</f>
        <v>m</v>
      </c>
      <c r="E2185" s="26"/>
      <c r="F2185" s="41" t="s">
        <v>514</v>
      </c>
      <c r="G2185" s="27" t="str">
        <f t="shared" si="34"/>
        <v/>
      </c>
      <c r="H2185" s="28"/>
      <c r="I2185" s="29"/>
      <c r="J2185" s="148">
        <v>25</v>
      </c>
      <c r="K2185" s="222" t="s">
        <v>8074</v>
      </c>
    </row>
    <row r="2186" spans="1:11" hidden="1" x14ac:dyDescent="0.25">
      <c r="A2186" s="203"/>
      <c r="B2186" s="205"/>
      <c r="C2186" s="31"/>
      <c r="D2186" s="31"/>
      <c r="E2186" s="32"/>
      <c r="F2186" s="42" t="s">
        <v>514</v>
      </c>
      <c r="G2186" s="30" t="str">
        <f t="shared" si="34"/>
        <v/>
      </c>
      <c r="H2186" s="34"/>
      <c r="I2186" s="30"/>
      <c r="J2186" s="148">
        <v>25</v>
      </c>
      <c r="K2186" s="222" t="s">
        <v>8074</v>
      </c>
    </row>
    <row r="2187" spans="1:11" ht="25.5" hidden="1" x14ac:dyDescent="0.25">
      <c r="A2187" s="203"/>
      <c r="B2187" s="205"/>
      <c r="C2187" s="35" t="s">
        <v>676</v>
      </c>
      <c r="D2187" s="46" t="s">
        <v>92</v>
      </c>
      <c r="E2187" s="36">
        <v>1.0210999999999999</v>
      </c>
      <c r="F2187" s="33">
        <v>46.321999999999996</v>
      </c>
      <c r="G2187" s="33">
        <f t="shared" si="34"/>
        <v>47.299394199999988</v>
      </c>
      <c r="H2187" s="38">
        <f>SUM(G2187:G2189)</f>
        <v>49.243534999999987</v>
      </c>
      <c r="I2187" s="39"/>
      <c r="J2187" s="148">
        <v>25</v>
      </c>
      <c r="K2187" s="222" t="s">
        <v>8074</v>
      </c>
    </row>
    <row r="2188" spans="1:11" ht="25.5" hidden="1" x14ac:dyDescent="0.25">
      <c r="A2188" s="203"/>
      <c r="B2188" s="205"/>
      <c r="C2188" s="35" t="s">
        <v>106</v>
      </c>
      <c r="D2188" s="46" t="s">
        <v>12</v>
      </c>
      <c r="E2188" s="36">
        <f>0.064*0.7</f>
        <v>4.48E-2</v>
      </c>
      <c r="F2188" s="30">
        <v>19.094999999999999</v>
      </c>
      <c r="G2188" s="33">
        <f t="shared" si="34"/>
        <v>0.85545599999999999</v>
      </c>
      <c r="H2188" s="34"/>
      <c r="I2188" s="30"/>
      <c r="J2188" s="148">
        <v>25</v>
      </c>
      <c r="K2188" s="222" t="s">
        <v>8074</v>
      </c>
    </row>
    <row r="2189" spans="1:11" hidden="1" x14ac:dyDescent="0.25">
      <c r="A2189" s="203"/>
      <c r="B2189" s="205"/>
      <c r="C2189" s="35" t="s">
        <v>39</v>
      </c>
      <c r="D2189" s="46" t="s">
        <v>12</v>
      </c>
      <c r="E2189" s="36">
        <f>0.064*0.7</f>
        <v>4.48E-2</v>
      </c>
      <c r="F2189" s="30">
        <v>24.300999999999998</v>
      </c>
      <c r="G2189" s="33">
        <f t="shared" si="34"/>
        <v>1.0886848</v>
      </c>
      <c r="H2189" s="34"/>
      <c r="I2189" s="30"/>
      <c r="J2189" s="148">
        <v>25</v>
      </c>
      <c r="K2189" s="222" t="s">
        <v>8074</v>
      </c>
    </row>
    <row r="2190" spans="1:11" hidden="1" x14ac:dyDescent="0.25">
      <c r="A2190" s="203"/>
      <c r="B2190" s="205"/>
      <c r="C2190" s="35"/>
      <c r="D2190" s="46"/>
      <c r="E2190" s="36"/>
      <c r="F2190" s="33" t="s">
        <v>514</v>
      </c>
      <c r="G2190" s="33" t="str">
        <f t="shared" si="34"/>
        <v/>
      </c>
      <c r="H2190" s="34"/>
      <c r="I2190" s="30"/>
      <c r="J2190" s="148">
        <v>25</v>
      </c>
      <c r="K2190" s="222" t="s">
        <v>8074</v>
      </c>
    </row>
    <row r="2191" spans="1:11" ht="38.25" hidden="1" x14ac:dyDescent="0.25">
      <c r="A2191" s="203"/>
      <c r="B2191" s="205"/>
      <c r="C2191" s="51" t="s">
        <v>634</v>
      </c>
      <c r="D2191" s="46"/>
      <c r="E2191" s="36"/>
      <c r="F2191" s="33" t="s">
        <v>514</v>
      </c>
      <c r="G2191" s="33" t="str">
        <f t="shared" si="34"/>
        <v/>
      </c>
      <c r="H2191" s="34"/>
      <c r="I2191" s="30"/>
      <c r="J2191" s="148">
        <v>25</v>
      </c>
      <c r="K2191" s="222" t="s">
        <v>8074</v>
      </c>
    </row>
    <row r="2192" spans="1:11" ht="15.75" hidden="1" thickBot="1" x14ac:dyDescent="0.3">
      <c r="A2192" s="209"/>
      <c r="B2192" s="206"/>
      <c r="C2192" s="35"/>
      <c r="D2192" s="35"/>
      <c r="E2192" s="36"/>
      <c r="F2192" s="30" t="s">
        <v>514</v>
      </c>
      <c r="G2192" s="30" t="str">
        <f t="shared" si="34"/>
        <v/>
      </c>
      <c r="H2192" s="34"/>
      <c r="I2192" s="30"/>
      <c r="J2192" s="148">
        <v>25</v>
      </c>
      <c r="K2192" s="222" t="s">
        <v>8074</v>
      </c>
    </row>
    <row r="2193" spans="1:11" ht="15.75" hidden="1" thickBot="1" x14ac:dyDescent="0.3">
      <c r="A2193" s="202" t="s">
        <v>677</v>
      </c>
      <c r="B2193" s="204" t="str">
        <f>INDEX(Orçamentária!A:B,MATCH(Composições!A2193,Orçamentária!A:A,0),2)</f>
        <v>Tubo de cobre de 1 1/8"</v>
      </c>
      <c r="C2193" s="40"/>
      <c r="D2193" s="25" t="str">
        <f>TRIM(INDEX(Orçamentária!C:C,MATCH(Composições!A2193,Orçamentária!A:A,0),1))</f>
        <v>m</v>
      </c>
      <c r="E2193" s="26"/>
      <c r="F2193" s="41" t="s">
        <v>514</v>
      </c>
      <c r="G2193" s="27" t="str">
        <f t="shared" si="34"/>
        <v/>
      </c>
      <c r="H2193" s="28"/>
      <c r="I2193" s="29"/>
      <c r="J2193" s="148">
        <v>45</v>
      </c>
      <c r="K2193" s="222" t="s">
        <v>8074</v>
      </c>
    </row>
    <row r="2194" spans="1:11" hidden="1" x14ac:dyDescent="0.25">
      <c r="A2194" s="203"/>
      <c r="B2194" s="205"/>
      <c r="C2194" s="31"/>
      <c r="D2194" s="31"/>
      <c r="E2194" s="32"/>
      <c r="F2194" s="42" t="s">
        <v>514</v>
      </c>
      <c r="G2194" s="30" t="str">
        <f t="shared" si="34"/>
        <v/>
      </c>
      <c r="H2194" s="34"/>
      <c r="I2194" s="30"/>
      <c r="J2194" s="148">
        <v>45</v>
      </c>
      <c r="K2194" s="222" t="s">
        <v>8074</v>
      </c>
    </row>
    <row r="2195" spans="1:11" ht="25.5" hidden="1" x14ac:dyDescent="0.25">
      <c r="A2195" s="203"/>
      <c r="B2195" s="205"/>
      <c r="C2195" s="35" t="s">
        <v>678</v>
      </c>
      <c r="D2195" s="46" t="s">
        <v>92</v>
      </c>
      <c r="E2195" s="36">
        <v>1.0210999999999999</v>
      </c>
      <c r="F2195" s="33">
        <v>58.804999999999993</v>
      </c>
      <c r="G2195" s="33">
        <f t="shared" ref="G2195:G2258" si="35">IF(ISNUMBER(F2195),E2195*F2195,"")</f>
        <v>60.045785499999987</v>
      </c>
      <c r="H2195" s="38">
        <f>SUM(G2195:G2197)</f>
        <v>61.989926299999986</v>
      </c>
      <c r="I2195" s="39"/>
      <c r="J2195" s="148">
        <v>45</v>
      </c>
      <c r="K2195" s="222" t="s">
        <v>8074</v>
      </c>
    </row>
    <row r="2196" spans="1:11" ht="25.5" hidden="1" x14ac:dyDescent="0.25">
      <c r="A2196" s="203"/>
      <c r="B2196" s="205"/>
      <c r="C2196" s="35" t="s">
        <v>106</v>
      </c>
      <c r="D2196" s="46" t="s">
        <v>12</v>
      </c>
      <c r="E2196" s="36">
        <f>0.064*0.7</f>
        <v>4.48E-2</v>
      </c>
      <c r="F2196" s="30">
        <v>19.094999999999999</v>
      </c>
      <c r="G2196" s="33">
        <f t="shared" si="35"/>
        <v>0.85545599999999999</v>
      </c>
      <c r="H2196" s="34"/>
      <c r="I2196" s="30"/>
      <c r="J2196" s="148">
        <v>45</v>
      </c>
      <c r="K2196" s="222" t="s">
        <v>8074</v>
      </c>
    </row>
    <row r="2197" spans="1:11" hidden="1" x14ac:dyDescent="0.25">
      <c r="A2197" s="203"/>
      <c r="B2197" s="205"/>
      <c r="C2197" s="35" t="s">
        <v>39</v>
      </c>
      <c r="D2197" s="46" t="s">
        <v>12</v>
      </c>
      <c r="E2197" s="36">
        <f>0.064*0.7</f>
        <v>4.48E-2</v>
      </c>
      <c r="F2197" s="30">
        <v>24.300999999999998</v>
      </c>
      <c r="G2197" s="33">
        <f t="shared" si="35"/>
        <v>1.0886848</v>
      </c>
      <c r="H2197" s="34"/>
      <c r="I2197" s="30"/>
      <c r="J2197" s="148">
        <v>45</v>
      </c>
      <c r="K2197" s="222" t="s">
        <v>8074</v>
      </c>
    </row>
    <row r="2198" spans="1:11" hidden="1" x14ac:dyDescent="0.25">
      <c r="A2198" s="203"/>
      <c r="B2198" s="205"/>
      <c r="C2198" s="35"/>
      <c r="D2198" s="46"/>
      <c r="E2198" s="36"/>
      <c r="F2198" s="33" t="s">
        <v>514</v>
      </c>
      <c r="G2198" s="33" t="str">
        <f t="shared" si="35"/>
        <v/>
      </c>
      <c r="H2198" s="34"/>
      <c r="I2198" s="30"/>
      <c r="J2198" s="148">
        <v>45</v>
      </c>
      <c r="K2198" s="222" t="s">
        <v>8074</v>
      </c>
    </row>
    <row r="2199" spans="1:11" ht="38.25" hidden="1" x14ac:dyDescent="0.25">
      <c r="A2199" s="203"/>
      <c r="B2199" s="205"/>
      <c r="C2199" s="51" t="s">
        <v>634</v>
      </c>
      <c r="D2199" s="46"/>
      <c r="E2199" s="36"/>
      <c r="F2199" s="33" t="s">
        <v>514</v>
      </c>
      <c r="G2199" s="33" t="str">
        <f t="shared" si="35"/>
        <v/>
      </c>
      <c r="H2199" s="34"/>
      <c r="I2199" s="30"/>
      <c r="J2199" s="148">
        <v>45</v>
      </c>
      <c r="K2199" s="222" t="s">
        <v>8074</v>
      </c>
    </row>
    <row r="2200" spans="1:11" ht="15.75" hidden="1" thickBot="1" x14ac:dyDescent="0.3">
      <c r="A2200" s="209"/>
      <c r="B2200" s="206"/>
      <c r="C2200" s="35"/>
      <c r="D2200" s="35"/>
      <c r="E2200" s="36"/>
      <c r="F2200" s="30" t="s">
        <v>514</v>
      </c>
      <c r="G2200" s="30" t="str">
        <f t="shared" si="35"/>
        <v/>
      </c>
      <c r="H2200" s="34"/>
      <c r="I2200" s="30"/>
      <c r="J2200" s="148">
        <v>45</v>
      </c>
      <c r="K2200" s="222" t="s">
        <v>8074</v>
      </c>
    </row>
    <row r="2201" spans="1:11" ht="15.75" hidden="1" thickBot="1" x14ac:dyDescent="0.3">
      <c r="A2201" s="202" t="s">
        <v>679</v>
      </c>
      <c r="B2201" s="204" t="str">
        <f>INDEX(Orçamentária!A:B,MATCH(Composições!A2201,Orçamentária!A:A,0),2)</f>
        <v>Instalação de armários reaproveitados</v>
      </c>
      <c r="C2201" s="40"/>
      <c r="D2201" s="25" t="str">
        <f>TRIM(INDEX(Orçamentária!C:C,MATCH(Composições!A2201,Orçamentária!A:A,0),1))</f>
        <v>m2</v>
      </c>
      <c r="E2201" s="26"/>
      <c r="F2201" s="41" t="s">
        <v>514</v>
      </c>
      <c r="G2201" s="27" t="str">
        <f t="shared" si="35"/>
        <v/>
      </c>
      <c r="H2201" s="28"/>
      <c r="I2201" s="29"/>
      <c r="J2201" s="148">
        <v>180</v>
      </c>
      <c r="K2201" s="222" t="s">
        <v>8074</v>
      </c>
    </row>
    <row r="2202" spans="1:11" hidden="1" x14ac:dyDescent="0.25">
      <c r="A2202" s="203"/>
      <c r="B2202" s="205"/>
      <c r="C2202" s="31"/>
      <c r="D2202" s="31"/>
      <c r="E2202" s="32"/>
      <c r="F2202" s="42" t="s">
        <v>514</v>
      </c>
      <c r="G2202" s="30" t="str">
        <f t="shared" si="35"/>
        <v/>
      </c>
      <c r="H2202" s="34"/>
      <c r="I2202" s="30"/>
      <c r="J2202" s="148">
        <v>180</v>
      </c>
      <c r="K2202" s="222" t="s">
        <v>8074</v>
      </c>
    </row>
    <row r="2203" spans="1:11" hidden="1" x14ac:dyDescent="0.25">
      <c r="A2203" s="203"/>
      <c r="B2203" s="205"/>
      <c r="C2203" s="35" t="s">
        <v>598</v>
      </c>
      <c r="D2203" s="35" t="s">
        <v>12</v>
      </c>
      <c r="E2203" s="36">
        <v>1.8</v>
      </c>
      <c r="F2203" s="30">
        <v>23.331999999999997</v>
      </c>
      <c r="G2203" s="30">
        <f t="shared" si="35"/>
        <v>41.997599999999998</v>
      </c>
      <c r="H2203" s="38">
        <f>SUM(G2203:G2204)</f>
        <v>103.40369999999999</v>
      </c>
      <c r="I2203" s="39"/>
      <c r="J2203" s="148">
        <v>180</v>
      </c>
      <c r="K2203" s="222" t="s">
        <v>8074</v>
      </c>
    </row>
    <row r="2204" spans="1:11" hidden="1" x14ac:dyDescent="0.25">
      <c r="A2204" s="203"/>
      <c r="B2204" s="205"/>
      <c r="C2204" s="35" t="s">
        <v>127</v>
      </c>
      <c r="D2204" s="35" t="s">
        <v>12</v>
      </c>
      <c r="E2204" s="36">
        <v>3.15</v>
      </c>
      <c r="F2204" s="30">
        <v>19.494</v>
      </c>
      <c r="G2204" s="30">
        <f t="shared" si="35"/>
        <v>61.406099999999995</v>
      </c>
      <c r="H2204" s="34"/>
      <c r="I2204" s="30"/>
      <c r="J2204" s="148">
        <v>180</v>
      </c>
      <c r="K2204" s="222" t="s">
        <v>8074</v>
      </c>
    </row>
    <row r="2205" spans="1:11" ht="15.75" hidden="1" thickBot="1" x14ac:dyDescent="0.3">
      <c r="A2205" s="209"/>
      <c r="B2205" s="206"/>
      <c r="C2205" s="35"/>
      <c r="D2205" s="35"/>
      <c r="E2205" s="36"/>
      <c r="F2205" s="30" t="s">
        <v>514</v>
      </c>
      <c r="G2205" s="30" t="str">
        <f t="shared" si="35"/>
        <v/>
      </c>
      <c r="H2205" s="34"/>
      <c r="I2205" s="30"/>
      <c r="J2205" s="148">
        <v>180</v>
      </c>
      <c r="K2205" s="222" t="s">
        <v>8074</v>
      </c>
    </row>
    <row r="2206" spans="1:11" ht="15.75" hidden="1" thickBot="1" x14ac:dyDescent="0.3">
      <c r="A2206" s="202" t="s">
        <v>680</v>
      </c>
      <c r="B2206" s="204" t="str">
        <f>INDEX(Orçamentária!A:B,MATCH(Composições!A2206,Orçamentária!A:A,0),2)</f>
        <v>Mesa/tampo de MDF, fixada em parede com mão-francesa</v>
      </c>
      <c r="C2206" s="40"/>
      <c r="D2206" s="25" t="str">
        <f>TRIM(INDEX(Orçamentária!C:C,MATCH(Composições!A2206,Orçamentária!A:A,0),1))</f>
        <v>m2</v>
      </c>
      <c r="E2206" s="26"/>
      <c r="F2206" s="41" t="s">
        <v>514</v>
      </c>
      <c r="G2206" s="27" t="str">
        <f t="shared" si="35"/>
        <v/>
      </c>
      <c r="H2206" s="28"/>
      <c r="I2206" s="29"/>
      <c r="J2206" s="148">
        <v>20</v>
      </c>
      <c r="K2206" s="222" t="s">
        <v>8077</v>
      </c>
    </row>
    <row r="2207" spans="1:11" hidden="1" x14ac:dyDescent="0.25">
      <c r="A2207" s="203"/>
      <c r="B2207" s="205"/>
      <c r="C2207" s="31"/>
      <c r="D2207" s="31"/>
      <c r="E2207" s="32"/>
      <c r="F2207" s="42" t="s">
        <v>514</v>
      </c>
      <c r="G2207" s="30" t="str">
        <f t="shared" si="35"/>
        <v/>
      </c>
      <c r="H2207" s="34"/>
      <c r="I2207" s="30"/>
      <c r="J2207" s="148">
        <v>20</v>
      </c>
      <c r="K2207" s="222" t="s">
        <v>8077</v>
      </c>
    </row>
    <row r="2208" spans="1:11" hidden="1" x14ac:dyDescent="0.25">
      <c r="A2208" s="203"/>
      <c r="B2208" s="205"/>
      <c r="C2208" s="35" t="s">
        <v>598</v>
      </c>
      <c r="D2208" s="35" t="s">
        <v>12</v>
      </c>
      <c r="E2208" s="36">
        <v>1.8</v>
      </c>
      <c r="F2208" s="30">
        <v>23.331999999999997</v>
      </c>
      <c r="G2208" s="30">
        <f t="shared" si="35"/>
        <v>41.997599999999998</v>
      </c>
      <c r="H2208" s="38">
        <f>SUM(G2208:G2211)</f>
        <v>214.71614999999997</v>
      </c>
      <c r="I2208" s="39"/>
      <c r="J2208" s="148">
        <v>20</v>
      </c>
      <c r="K2208" s="222" t="s">
        <v>8077</v>
      </c>
    </row>
    <row r="2209" spans="1:11" hidden="1" x14ac:dyDescent="0.25">
      <c r="A2209" s="203"/>
      <c r="B2209" s="205"/>
      <c r="C2209" s="35" t="s">
        <v>127</v>
      </c>
      <c r="D2209" s="35" t="s">
        <v>12</v>
      </c>
      <c r="E2209" s="36">
        <f>3.15/2</f>
        <v>1.575</v>
      </c>
      <c r="F2209" s="30">
        <v>19.494</v>
      </c>
      <c r="G2209" s="33">
        <f t="shared" si="35"/>
        <v>30.703049999999998</v>
      </c>
      <c r="H2209" s="43"/>
      <c r="I2209" s="39"/>
      <c r="J2209" s="148">
        <v>20</v>
      </c>
      <c r="K2209" s="222" t="s">
        <v>8077</v>
      </c>
    </row>
    <row r="2210" spans="1:11" ht="25.5" hidden="1" x14ac:dyDescent="0.25">
      <c r="A2210" s="203"/>
      <c r="B2210" s="205"/>
      <c r="C2210" s="35" t="s">
        <v>681</v>
      </c>
      <c r="D2210" s="35" t="s">
        <v>20</v>
      </c>
      <c r="E2210" s="36">
        <v>2</v>
      </c>
      <c r="F2210" s="33">
        <v>27.958499999999997</v>
      </c>
      <c r="G2210" s="30">
        <f t="shared" si="35"/>
        <v>55.916999999999994</v>
      </c>
      <c r="H2210" s="43"/>
      <c r="I2210" s="39"/>
      <c r="J2210" s="148">
        <v>20</v>
      </c>
      <c r="K2210" s="222" t="s">
        <v>8077</v>
      </c>
    </row>
    <row r="2211" spans="1:11" hidden="1" x14ac:dyDescent="0.25">
      <c r="A2211" s="203"/>
      <c r="B2211" s="205"/>
      <c r="C2211" s="35" t="s">
        <v>682</v>
      </c>
      <c r="D2211" s="35" t="s">
        <v>94</v>
      </c>
      <c r="E2211" s="36">
        <v>1</v>
      </c>
      <c r="F2211" s="33">
        <v>86.098499999999987</v>
      </c>
      <c r="G2211" s="30">
        <f t="shared" si="35"/>
        <v>86.098499999999987</v>
      </c>
      <c r="H2211" s="34"/>
      <c r="I2211" s="30"/>
      <c r="J2211" s="148">
        <v>20</v>
      </c>
      <c r="K2211" s="222" t="s">
        <v>8077</v>
      </c>
    </row>
    <row r="2212" spans="1:11" ht="15.75" hidden="1" thickBot="1" x14ac:dyDescent="0.3">
      <c r="A2212" s="209"/>
      <c r="B2212" s="206"/>
      <c r="C2212" s="35"/>
      <c r="D2212" s="35"/>
      <c r="E2212" s="36"/>
      <c r="F2212" s="30" t="s">
        <v>514</v>
      </c>
      <c r="G2212" s="30" t="str">
        <f t="shared" si="35"/>
        <v/>
      </c>
      <c r="H2212" s="34"/>
      <c r="I2212" s="30"/>
      <c r="J2212" s="148">
        <v>20</v>
      </c>
      <c r="K2212" s="222" t="s">
        <v>8077</v>
      </c>
    </row>
    <row r="2213" spans="1:11" ht="15.75" hidden="1" thickBot="1" x14ac:dyDescent="0.3">
      <c r="A2213" s="202" t="s">
        <v>683</v>
      </c>
      <c r="B2213" s="204" t="str">
        <f>INDEX(Orçamentária!A:B,MATCH(Composições!A2213,Orçamentária!A:A,0),2)</f>
        <v>Painel de TV em compensado</v>
      </c>
      <c r="C2213" s="40"/>
      <c r="D2213" s="25" t="str">
        <f>TRIM(INDEX(Orçamentária!C:C,MATCH(Composições!A2213,Orçamentária!A:A,0),1))</f>
        <v>m2</v>
      </c>
      <c r="E2213" s="26"/>
      <c r="F2213" s="41" t="s">
        <v>514</v>
      </c>
      <c r="G2213" s="27" t="str">
        <f t="shared" si="35"/>
        <v/>
      </c>
      <c r="H2213" s="28"/>
      <c r="I2213" s="29"/>
      <c r="J2213" s="148">
        <v>40</v>
      </c>
      <c r="K2213" s="222" t="s">
        <v>8077</v>
      </c>
    </row>
    <row r="2214" spans="1:11" hidden="1" x14ac:dyDescent="0.25">
      <c r="A2214" s="203"/>
      <c r="B2214" s="205"/>
      <c r="C2214" s="31"/>
      <c r="D2214" s="31"/>
      <c r="E2214" s="32"/>
      <c r="F2214" s="42" t="s">
        <v>514</v>
      </c>
      <c r="G2214" s="30" t="str">
        <f t="shared" si="35"/>
        <v/>
      </c>
      <c r="H2214" s="34"/>
      <c r="I2214" s="30"/>
      <c r="J2214" s="148">
        <v>40</v>
      </c>
      <c r="K2214" s="222" t="s">
        <v>8077</v>
      </c>
    </row>
    <row r="2215" spans="1:11" hidden="1" x14ac:dyDescent="0.25">
      <c r="A2215" s="203"/>
      <c r="B2215" s="205"/>
      <c r="C2215" s="35" t="s">
        <v>598</v>
      </c>
      <c r="D2215" s="35" t="s">
        <v>12</v>
      </c>
      <c r="E2215" s="36">
        <v>1.6</v>
      </c>
      <c r="F2215" s="30">
        <v>23.331999999999997</v>
      </c>
      <c r="G2215" s="33">
        <f t="shared" si="35"/>
        <v>37.331199999999995</v>
      </c>
      <c r="H2215" s="38">
        <f>SUM(G2215:G2218)</f>
        <v>267.46980000000002</v>
      </c>
      <c r="I2215" s="39"/>
      <c r="J2215" s="148">
        <v>40</v>
      </c>
      <c r="K2215" s="222" t="s">
        <v>8077</v>
      </c>
    </row>
    <row r="2216" spans="1:11" hidden="1" x14ac:dyDescent="0.25">
      <c r="A2216" s="203"/>
      <c r="B2216" s="205"/>
      <c r="C2216" s="35" t="s">
        <v>127</v>
      </c>
      <c r="D2216" s="35" t="s">
        <v>12</v>
      </c>
      <c r="E2216" s="36">
        <v>1.6</v>
      </c>
      <c r="F2216" s="30">
        <v>19.494</v>
      </c>
      <c r="G2216" s="33">
        <f t="shared" si="35"/>
        <v>31.1904</v>
      </c>
      <c r="H2216" s="43"/>
      <c r="I2216" s="39"/>
      <c r="J2216" s="148">
        <v>40</v>
      </c>
      <c r="K2216" s="222" t="s">
        <v>8077</v>
      </c>
    </row>
    <row r="2217" spans="1:11" ht="25.5" hidden="1" x14ac:dyDescent="0.25">
      <c r="A2217" s="203"/>
      <c r="B2217" s="205"/>
      <c r="C2217" s="35" t="s">
        <v>6694</v>
      </c>
      <c r="D2217" s="35" t="s">
        <v>94</v>
      </c>
      <c r="E2217" s="36">
        <v>1.2</v>
      </c>
      <c r="F2217" s="33">
        <v>143.5735</v>
      </c>
      <c r="G2217" s="30">
        <f t="shared" si="35"/>
        <v>172.28819999999999</v>
      </c>
      <c r="H2217" s="34"/>
      <c r="I2217" s="30"/>
      <c r="J2217" s="148">
        <v>40</v>
      </c>
      <c r="K2217" s="222" t="s">
        <v>8077</v>
      </c>
    </row>
    <row r="2218" spans="1:11" hidden="1" x14ac:dyDescent="0.25">
      <c r="A2218" s="203"/>
      <c r="B2218" s="205"/>
      <c r="C2218" s="35" t="s">
        <v>7995</v>
      </c>
      <c r="D2218" s="35" t="s">
        <v>94</v>
      </c>
      <c r="E2218" s="36">
        <v>1</v>
      </c>
      <c r="F2218" s="33">
        <v>26.66</v>
      </c>
      <c r="G2218" s="30">
        <f t="shared" si="35"/>
        <v>26.66</v>
      </c>
      <c r="H2218" s="34"/>
      <c r="I2218" s="30"/>
      <c r="J2218" s="148">
        <v>40</v>
      </c>
      <c r="K2218" s="222" t="s">
        <v>8077</v>
      </c>
    </row>
    <row r="2219" spans="1:11" ht="15.75" hidden="1" thickBot="1" x14ac:dyDescent="0.3">
      <c r="A2219" s="209"/>
      <c r="B2219" s="206"/>
      <c r="C2219" s="35"/>
      <c r="D2219" s="35"/>
      <c r="E2219" s="36"/>
      <c r="F2219" s="30" t="s">
        <v>514</v>
      </c>
      <c r="G2219" s="30" t="str">
        <f t="shared" si="35"/>
        <v/>
      </c>
      <c r="H2219" s="34"/>
      <c r="I2219" s="30"/>
      <c r="J2219" s="148">
        <v>40</v>
      </c>
      <c r="K2219" s="222" t="s">
        <v>8077</v>
      </c>
    </row>
    <row r="2220" spans="1:11" ht="15.75" hidden="1" thickBot="1" x14ac:dyDescent="0.3">
      <c r="A2220" s="202" t="s">
        <v>684</v>
      </c>
      <c r="B2220" s="204" t="str">
        <f>INDEX(Orçamentária!A:B,MATCH(Composições!A2220,Orçamentária!A:A,0),2)</f>
        <v>Painel de TV em MDF</v>
      </c>
      <c r="C2220" s="40"/>
      <c r="D2220" s="25" t="str">
        <f>TRIM(INDEX(Orçamentária!C:C,MATCH(Composições!A2220,Orçamentária!A:A,0),1))</f>
        <v>m2</v>
      </c>
      <c r="E2220" s="26"/>
      <c r="F2220" s="41" t="s">
        <v>514</v>
      </c>
      <c r="G2220" s="27" t="str">
        <f t="shared" si="35"/>
        <v/>
      </c>
      <c r="H2220" s="28"/>
      <c r="I2220" s="29"/>
      <c r="J2220" s="148">
        <v>45</v>
      </c>
      <c r="K2220" s="222" t="s">
        <v>8077</v>
      </c>
    </row>
    <row r="2221" spans="1:11" hidden="1" x14ac:dyDescent="0.25">
      <c r="A2221" s="203"/>
      <c r="B2221" s="205"/>
      <c r="C2221" s="31"/>
      <c r="D2221" s="31"/>
      <c r="E2221" s="32"/>
      <c r="F2221" s="42" t="s">
        <v>514</v>
      </c>
      <c r="G2221" s="30" t="str">
        <f t="shared" si="35"/>
        <v/>
      </c>
      <c r="H2221" s="34"/>
      <c r="I2221" s="30"/>
      <c r="J2221" s="148">
        <v>45</v>
      </c>
      <c r="K2221" s="222" t="s">
        <v>8077</v>
      </c>
    </row>
    <row r="2222" spans="1:11" hidden="1" x14ac:dyDescent="0.25">
      <c r="A2222" s="203"/>
      <c r="B2222" s="205"/>
      <c r="C2222" s="35" t="s">
        <v>598</v>
      </c>
      <c r="D2222" s="35" t="s">
        <v>12</v>
      </c>
      <c r="E2222" s="36">
        <v>2.4</v>
      </c>
      <c r="F2222" s="30">
        <v>23.331999999999997</v>
      </c>
      <c r="G2222" s="33">
        <f t="shared" si="35"/>
        <v>55.996799999999993</v>
      </c>
      <c r="H2222" s="38">
        <f>SUM(G2222:G2224)</f>
        <v>170.30459999999999</v>
      </c>
      <c r="I2222" s="39"/>
      <c r="J2222" s="148">
        <v>45</v>
      </c>
      <c r="K2222" s="222" t="s">
        <v>8077</v>
      </c>
    </row>
    <row r="2223" spans="1:11" hidden="1" x14ac:dyDescent="0.25">
      <c r="A2223" s="203"/>
      <c r="B2223" s="205"/>
      <c r="C2223" s="35" t="s">
        <v>127</v>
      </c>
      <c r="D2223" s="35" t="s">
        <v>12</v>
      </c>
      <c r="E2223" s="36">
        <v>2.4</v>
      </c>
      <c r="F2223" s="30">
        <v>19.494</v>
      </c>
      <c r="G2223" s="33">
        <f t="shared" si="35"/>
        <v>46.785599999999995</v>
      </c>
      <c r="H2223" s="34"/>
      <c r="I2223" s="30"/>
      <c r="J2223" s="148">
        <v>45</v>
      </c>
      <c r="K2223" s="222" t="s">
        <v>8077</v>
      </c>
    </row>
    <row r="2224" spans="1:11" hidden="1" x14ac:dyDescent="0.25">
      <c r="A2224" s="203"/>
      <c r="B2224" s="205"/>
      <c r="C2224" s="35" t="s">
        <v>6669</v>
      </c>
      <c r="D2224" s="35" t="s">
        <v>94</v>
      </c>
      <c r="E2224" s="36">
        <v>1.2</v>
      </c>
      <c r="F2224" s="33">
        <v>56.268499999999996</v>
      </c>
      <c r="G2224" s="30">
        <f t="shared" si="35"/>
        <v>67.522199999999998</v>
      </c>
      <c r="H2224" s="34"/>
      <c r="I2224" s="30"/>
      <c r="J2224" s="148">
        <v>45</v>
      </c>
      <c r="K2224" s="222" t="s">
        <v>8077</v>
      </c>
    </row>
    <row r="2225" spans="1:11" ht="15.75" hidden="1" thickBot="1" x14ac:dyDescent="0.3">
      <c r="A2225" s="209"/>
      <c r="B2225" s="206"/>
      <c r="C2225" s="35"/>
      <c r="D2225" s="35"/>
      <c r="E2225" s="36"/>
      <c r="F2225" s="30" t="s">
        <v>514</v>
      </c>
      <c r="G2225" s="30" t="str">
        <f t="shared" si="35"/>
        <v/>
      </c>
      <c r="H2225" s="34"/>
      <c r="I2225" s="30"/>
      <c r="J2225" s="148">
        <v>45</v>
      </c>
      <c r="K2225" s="222" t="s">
        <v>8077</v>
      </c>
    </row>
    <row r="2226" spans="1:11" ht="15.75" hidden="1" thickBot="1" x14ac:dyDescent="0.3">
      <c r="A2226" s="202" t="s">
        <v>685</v>
      </c>
      <c r="B2226" s="204" t="str">
        <f>INDEX(Orçamentária!A:B,MATCH(Composições!A2226,Orçamentária!A:A,0),2)</f>
        <v>Painel para TV de 90 x 120 cm</v>
      </c>
      <c r="C2226" s="40"/>
      <c r="D2226" s="25" t="str">
        <f>TRIM(INDEX(Orçamentária!C:C,MATCH(Composições!A2226,Orçamentária!A:A,0),1))</f>
        <v>un</v>
      </c>
      <c r="E2226" s="26"/>
      <c r="F2226" s="41" t="s">
        <v>514</v>
      </c>
      <c r="G2226" s="27" t="str">
        <f t="shared" si="35"/>
        <v/>
      </c>
      <c r="H2226" s="28"/>
      <c r="I2226" s="29"/>
      <c r="J2226" s="148">
        <v>0</v>
      </c>
      <c r="K2226" s="222">
        <v>0</v>
      </c>
    </row>
    <row r="2227" spans="1:11" hidden="1" x14ac:dyDescent="0.25">
      <c r="A2227" s="203"/>
      <c r="B2227" s="205"/>
      <c r="C2227" s="31"/>
      <c r="D2227" s="31"/>
      <c r="E2227" s="32"/>
      <c r="F2227" s="42" t="s">
        <v>514</v>
      </c>
      <c r="G2227" s="30" t="str">
        <f t="shared" si="35"/>
        <v/>
      </c>
      <c r="H2227" s="34"/>
      <c r="I2227" s="30"/>
      <c r="J2227" s="148">
        <v>0</v>
      </c>
      <c r="K2227" s="222">
        <v>0</v>
      </c>
    </row>
    <row r="2228" spans="1:11" hidden="1" x14ac:dyDescent="0.25">
      <c r="A2228" s="203"/>
      <c r="B2228" s="205"/>
      <c r="C2228" s="35" t="s">
        <v>598</v>
      </c>
      <c r="D2228" s="35" t="s">
        <v>12</v>
      </c>
      <c r="E2228" s="36">
        <v>1</v>
      </c>
      <c r="F2228" s="30">
        <v>23.331999999999997</v>
      </c>
      <c r="G2228" s="33">
        <f t="shared" si="35"/>
        <v>23.331999999999997</v>
      </c>
      <c r="H2228" s="38">
        <f>SUM(G2228:G2230)</f>
        <v>42.825999999999993</v>
      </c>
      <c r="I2228" s="39"/>
      <c r="J2228" s="148">
        <v>0</v>
      </c>
      <c r="K2228" s="222">
        <v>0</v>
      </c>
    </row>
    <row r="2229" spans="1:11" hidden="1" x14ac:dyDescent="0.25">
      <c r="A2229" s="203"/>
      <c r="B2229" s="205"/>
      <c r="C2229" s="35" t="s">
        <v>127</v>
      </c>
      <c r="D2229" s="35" t="s">
        <v>12</v>
      </c>
      <c r="E2229" s="36">
        <v>1</v>
      </c>
      <c r="F2229" s="30">
        <v>19.494</v>
      </c>
      <c r="G2229" s="33">
        <f t="shared" si="35"/>
        <v>19.494</v>
      </c>
      <c r="H2229" s="34"/>
      <c r="I2229" s="30"/>
      <c r="J2229" s="148">
        <v>0</v>
      </c>
      <c r="K2229" s="222">
        <v>0</v>
      </c>
    </row>
    <row r="2230" spans="1:11" ht="25.5" hidden="1" x14ac:dyDescent="0.25">
      <c r="A2230" s="203"/>
      <c r="B2230" s="205"/>
      <c r="C2230" s="35" t="s">
        <v>686</v>
      </c>
      <c r="D2230" s="35" t="s">
        <v>20</v>
      </c>
      <c r="E2230" s="36">
        <v>1</v>
      </c>
      <c r="F2230" s="33" t="s">
        <v>514</v>
      </c>
      <c r="G2230" s="30" t="str">
        <f t="shared" si="35"/>
        <v/>
      </c>
      <c r="H2230" s="34"/>
      <c r="I2230" s="30"/>
      <c r="J2230" s="148">
        <v>0</v>
      </c>
      <c r="K2230" s="222">
        <v>0</v>
      </c>
    </row>
    <row r="2231" spans="1:11" ht="15.75" hidden="1" thickBot="1" x14ac:dyDescent="0.3">
      <c r="A2231" s="209"/>
      <c r="B2231" s="206"/>
      <c r="C2231" s="35"/>
      <c r="D2231" s="35"/>
      <c r="E2231" s="36"/>
      <c r="F2231" s="30" t="s">
        <v>514</v>
      </c>
      <c r="G2231" s="30" t="str">
        <f t="shared" si="35"/>
        <v/>
      </c>
      <c r="H2231" s="34"/>
      <c r="I2231" s="30"/>
      <c r="J2231" s="148">
        <v>0</v>
      </c>
      <c r="K2231" s="222">
        <v>0</v>
      </c>
    </row>
    <row r="2232" spans="1:11" ht="15.75" hidden="1" thickBot="1" x14ac:dyDescent="0.3">
      <c r="A2232" s="202" t="s">
        <v>687</v>
      </c>
      <c r="B2232" s="204" t="str">
        <f>INDEX(Orçamentária!A:B,MATCH(Composições!A2232,Orçamentária!A:A,0),2)</f>
        <v>Batentes e guarnições em madeira, com verniz ou esmalte</v>
      </c>
      <c r="C2232" s="40"/>
      <c r="D2232" s="25" t="str">
        <f>TRIM(INDEX(Orçamentária!C:C,MATCH(Composições!A2232,Orçamentária!A:A,0),1))</f>
        <v>un</v>
      </c>
      <c r="E2232" s="26"/>
      <c r="F2232" s="41" t="s">
        <v>514</v>
      </c>
      <c r="G2232" s="27" t="str">
        <f t="shared" si="35"/>
        <v/>
      </c>
      <c r="H2232" s="28"/>
      <c r="I2232" s="29"/>
      <c r="J2232" s="148">
        <v>75</v>
      </c>
      <c r="K2232" s="222" t="s">
        <v>8074</v>
      </c>
    </row>
    <row r="2233" spans="1:11" hidden="1" x14ac:dyDescent="0.25">
      <c r="A2233" s="203"/>
      <c r="B2233" s="205"/>
      <c r="C2233" s="31"/>
      <c r="D2233" s="31"/>
      <c r="E2233" s="32"/>
      <c r="F2233" s="42" t="s">
        <v>514</v>
      </c>
      <c r="G2233" s="30" t="str">
        <f t="shared" si="35"/>
        <v/>
      </c>
      <c r="H2233" s="34"/>
      <c r="I2233" s="30"/>
      <c r="J2233" s="148">
        <v>75</v>
      </c>
      <c r="K2233" s="222" t="s">
        <v>8074</v>
      </c>
    </row>
    <row r="2234" spans="1:11" ht="51" hidden="1" x14ac:dyDescent="0.25">
      <c r="A2234" s="203"/>
      <c r="B2234" s="205"/>
      <c r="C2234" s="35" t="s">
        <v>6610</v>
      </c>
      <c r="D2234" s="46" t="s">
        <v>1430</v>
      </c>
      <c r="E2234" s="36">
        <v>1</v>
      </c>
      <c r="F2234" s="33">
        <v>158.85899999999998</v>
      </c>
      <c r="G2234" s="33">
        <f t="shared" si="35"/>
        <v>158.85899999999998</v>
      </c>
      <c r="H2234" s="38">
        <f>SUM(G2234:G2242)</f>
        <v>323.75482325000002</v>
      </c>
      <c r="I2234" s="39"/>
      <c r="J2234" s="148">
        <v>75</v>
      </c>
      <c r="K2234" s="222" t="s">
        <v>8074</v>
      </c>
    </row>
    <row r="2235" spans="1:11" hidden="1" x14ac:dyDescent="0.25">
      <c r="A2235" s="203"/>
      <c r="B2235" s="205"/>
      <c r="C2235" s="35" t="s">
        <v>1431</v>
      </c>
      <c r="D2235" s="49" t="s">
        <v>891</v>
      </c>
      <c r="E2235" s="36">
        <v>1.0999999999999999E-2</v>
      </c>
      <c r="F2235" s="33">
        <v>29.820499999999999</v>
      </c>
      <c r="G2235" s="33">
        <f t="shared" si="35"/>
        <v>0.32802549999999997</v>
      </c>
      <c r="H2235" s="34"/>
      <c r="I2235" s="30"/>
      <c r="J2235" s="148">
        <v>75</v>
      </c>
      <c r="K2235" s="222" t="s">
        <v>8074</v>
      </c>
    </row>
    <row r="2236" spans="1:11" hidden="1" x14ac:dyDescent="0.25">
      <c r="A2236" s="203"/>
      <c r="B2236" s="205"/>
      <c r="C2236" s="35" t="s">
        <v>97</v>
      </c>
      <c r="D2236" s="46" t="s">
        <v>891</v>
      </c>
      <c r="E2236" s="36">
        <v>2.4E-2</v>
      </c>
      <c r="F2236" s="30">
        <v>22.628999999999998</v>
      </c>
      <c r="G2236" s="33">
        <f t="shared" si="35"/>
        <v>0.54309599999999991</v>
      </c>
      <c r="H2236" s="34"/>
      <c r="I2236" s="30"/>
      <c r="J2236" s="148">
        <v>75</v>
      </c>
      <c r="K2236" s="222" t="s">
        <v>8074</v>
      </c>
    </row>
    <row r="2237" spans="1:11" hidden="1" x14ac:dyDescent="0.25">
      <c r="A2237" s="203"/>
      <c r="B2237" s="205"/>
      <c r="C2237" s="35" t="s">
        <v>694</v>
      </c>
      <c r="D2237" s="46" t="s">
        <v>695</v>
      </c>
      <c r="E2237" s="36">
        <f>2.741+0.068</f>
        <v>2.8090000000000002</v>
      </c>
      <c r="F2237" s="30">
        <v>23.616999999999997</v>
      </c>
      <c r="G2237" s="33">
        <f t="shared" si="35"/>
        <v>66.340153000000001</v>
      </c>
      <c r="H2237" s="34"/>
      <c r="I2237" s="30"/>
      <c r="J2237" s="148">
        <v>75</v>
      </c>
      <c r="K2237" s="222" t="s">
        <v>8074</v>
      </c>
    </row>
    <row r="2238" spans="1:11" hidden="1" x14ac:dyDescent="0.25">
      <c r="A2238" s="203"/>
      <c r="B2238" s="205"/>
      <c r="C2238" s="35" t="s">
        <v>696</v>
      </c>
      <c r="D2238" s="46" t="s">
        <v>695</v>
      </c>
      <c r="E2238" s="36">
        <f>1.375+0.034</f>
        <v>1.409</v>
      </c>
      <c r="F2238" s="30">
        <v>18.420500000000001</v>
      </c>
      <c r="G2238" s="33">
        <f t="shared" si="35"/>
        <v>25.954484500000003</v>
      </c>
      <c r="H2238" s="34"/>
      <c r="I2238" s="30"/>
      <c r="J2238" s="148">
        <v>75</v>
      </c>
      <c r="K2238" s="222" t="s">
        <v>8074</v>
      </c>
    </row>
    <row r="2239" spans="1:11" hidden="1" x14ac:dyDescent="0.25">
      <c r="A2239" s="203"/>
      <c r="B2239" s="205"/>
      <c r="C2239" s="35" t="s">
        <v>3332</v>
      </c>
      <c r="D2239" s="46" t="s">
        <v>891</v>
      </c>
      <c r="E2239" s="36">
        <v>6.0000000000000001E-3</v>
      </c>
      <c r="F2239" s="30">
        <v>25.450499999999998</v>
      </c>
      <c r="G2239" s="33">
        <f t="shared" si="35"/>
        <v>0.15270300000000001</v>
      </c>
      <c r="H2239" s="34"/>
      <c r="I2239" s="30"/>
      <c r="J2239" s="148">
        <v>75</v>
      </c>
      <c r="K2239" s="222" t="s">
        <v>8074</v>
      </c>
    </row>
    <row r="2240" spans="1:11" ht="38.25" hidden="1" x14ac:dyDescent="0.25">
      <c r="A2240" s="203"/>
      <c r="B2240" s="205"/>
      <c r="C2240" s="35" t="s">
        <v>6611</v>
      </c>
      <c r="D2240" s="46" t="s">
        <v>473</v>
      </c>
      <c r="E2240" s="36">
        <f>(2.1*2+0.8)*1.163</f>
        <v>5.8150000000000004</v>
      </c>
      <c r="F2240" s="33">
        <v>9.3290000000000006</v>
      </c>
      <c r="G2240" s="33">
        <f t="shared" si="35"/>
        <v>54.248135000000005</v>
      </c>
      <c r="H2240" s="34"/>
      <c r="I2240" s="30"/>
      <c r="J2240" s="148">
        <v>75</v>
      </c>
      <c r="K2240" s="222" t="s">
        <v>8074</v>
      </c>
    </row>
    <row r="2241" spans="1:11" hidden="1" x14ac:dyDescent="0.25">
      <c r="A2241" s="203"/>
      <c r="B2241" s="205"/>
      <c r="C2241" s="35" t="s">
        <v>201</v>
      </c>
      <c r="D2241" s="49" t="s">
        <v>101</v>
      </c>
      <c r="E2241" s="36">
        <f>ROUND(0.108*0.15*(2*2.1+0.8),4)</f>
        <v>8.1000000000000003E-2</v>
      </c>
      <c r="F2241" s="33">
        <v>44.33</v>
      </c>
      <c r="G2241" s="30">
        <f t="shared" si="35"/>
        <v>3.5907299999999998</v>
      </c>
      <c r="H2241" s="34"/>
      <c r="I2241" s="30"/>
      <c r="J2241" s="148">
        <v>75</v>
      </c>
      <c r="K2241" s="222" t="s">
        <v>8074</v>
      </c>
    </row>
    <row r="2242" spans="1:11" hidden="1" x14ac:dyDescent="0.25">
      <c r="A2242" s="203"/>
      <c r="B2242" s="205"/>
      <c r="C2242" s="35" t="s">
        <v>99</v>
      </c>
      <c r="D2242" s="35" t="s">
        <v>12</v>
      </c>
      <c r="E2242" s="36">
        <f>ROUND(0.7076*0.15*(2*2.1+0.8),4)</f>
        <v>0.53069999999999995</v>
      </c>
      <c r="F2242" s="30">
        <v>25.887499999999999</v>
      </c>
      <c r="G2242" s="30">
        <f t="shared" si="35"/>
        <v>13.738496249999999</v>
      </c>
      <c r="H2242" s="34"/>
      <c r="I2242" s="30"/>
      <c r="J2242" s="148">
        <v>75</v>
      </c>
      <c r="K2242" s="222" t="s">
        <v>8074</v>
      </c>
    </row>
    <row r="2243" spans="1:11" hidden="1" x14ac:dyDescent="0.25">
      <c r="A2243" s="203"/>
      <c r="B2243" s="205"/>
      <c r="C2243" s="35"/>
      <c r="D2243" s="35"/>
      <c r="E2243" s="36"/>
      <c r="F2243" s="30" t="s">
        <v>514</v>
      </c>
      <c r="G2243" s="30"/>
      <c r="H2243" s="34"/>
      <c r="I2243" s="30"/>
      <c r="J2243" s="148">
        <v>75</v>
      </c>
      <c r="K2243" s="222" t="s">
        <v>8074</v>
      </c>
    </row>
    <row r="2244" spans="1:11" ht="38.25" hidden="1" x14ac:dyDescent="0.25">
      <c r="A2244" s="203"/>
      <c r="B2244" s="205"/>
      <c r="C2244" s="51" t="s">
        <v>3372</v>
      </c>
      <c r="D2244" s="35"/>
      <c r="E2244" s="36"/>
      <c r="F2244" s="30" t="s">
        <v>514</v>
      </c>
      <c r="G2244" s="30"/>
      <c r="H2244" s="34"/>
      <c r="I2244" s="30"/>
      <c r="J2244" s="148">
        <v>75</v>
      </c>
      <c r="K2244" s="222" t="s">
        <v>8074</v>
      </c>
    </row>
    <row r="2245" spans="1:11" ht="15.75" hidden="1" thickBot="1" x14ac:dyDescent="0.3">
      <c r="A2245" s="209"/>
      <c r="B2245" s="206"/>
      <c r="C2245" s="35"/>
      <c r="D2245" s="35"/>
      <c r="E2245" s="36"/>
      <c r="F2245" s="30" t="s">
        <v>514</v>
      </c>
      <c r="G2245" s="30" t="str">
        <f t="shared" ref="G2245:G2258" si="36">IF(ISNUMBER(F2245),E2245*F2245,"")</f>
        <v/>
      </c>
      <c r="H2245" s="34"/>
      <c r="I2245" s="30"/>
      <c r="J2245" s="148">
        <v>75</v>
      </c>
      <c r="K2245" s="222" t="s">
        <v>8074</v>
      </c>
    </row>
    <row r="2246" spans="1:11" ht="15.75" hidden="1" thickBot="1" x14ac:dyDescent="0.3">
      <c r="A2246" s="202" t="s">
        <v>689</v>
      </c>
      <c r="B2246" s="204" t="str">
        <f>INDEX(Orçamentária!A:B,MATCH(Composições!A2246,Orçamentária!A:A,0),2)</f>
        <v>Chapa de proteção para porta – Linha Acessibilidade</v>
      </c>
      <c r="C2246" s="141"/>
      <c r="D2246" s="25" t="str">
        <f>TRIM(INDEX(Orçamentária!C:C,MATCH(Composições!A2246,Orçamentária!A:A,0),1))</f>
        <v>m2</v>
      </c>
      <c r="E2246" s="26"/>
      <c r="F2246" s="41" t="s">
        <v>514</v>
      </c>
      <c r="G2246" s="27" t="str">
        <f t="shared" si="36"/>
        <v/>
      </c>
      <c r="H2246" s="28"/>
      <c r="I2246" s="29"/>
      <c r="J2246" s="148">
        <v>5</v>
      </c>
      <c r="K2246" s="222" t="s">
        <v>8074</v>
      </c>
    </row>
    <row r="2247" spans="1:11" hidden="1" x14ac:dyDescent="0.25">
      <c r="A2247" s="203"/>
      <c r="B2247" s="205"/>
      <c r="C2247" s="31"/>
      <c r="D2247" s="31"/>
      <c r="E2247" s="32"/>
      <c r="F2247" s="42" t="s">
        <v>514</v>
      </c>
      <c r="G2247" s="30" t="str">
        <f t="shared" si="36"/>
        <v/>
      </c>
      <c r="H2247" s="34"/>
      <c r="I2247" s="30"/>
      <c r="J2247" s="148">
        <v>5</v>
      </c>
      <c r="K2247" s="222" t="s">
        <v>8074</v>
      </c>
    </row>
    <row r="2248" spans="1:11" hidden="1" x14ac:dyDescent="0.25">
      <c r="A2248" s="203"/>
      <c r="B2248" s="205"/>
      <c r="C2248" s="35" t="s">
        <v>23</v>
      </c>
      <c r="D2248" s="35" t="s">
        <v>12</v>
      </c>
      <c r="E2248" s="36">
        <v>0.3</v>
      </c>
      <c r="F2248" s="30">
        <v>18.420500000000001</v>
      </c>
      <c r="G2248" s="33">
        <f t="shared" si="36"/>
        <v>5.5261500000000003</v>
      </c>
      <c r="H2248" s="38">
        <f>SUM(G2248:G2250)</f>
        <v>136.92574999999999</v>
      </c>
      <c r="I2248" s="39"/>
      <c r="J2248" s="148">
        <v>5</v>
      </c>
      <c r="K2248" s="222" t="s">
        <v>8074</v>
      </c>
    </row>
    <row r="2249" spans="1:11" hidden="1" x14ac:dyDescent="0.25">
      <c r="A2249" s="203"/>
      <c r="B2249" s="205"/>
      <c r="C2249" s="35" t="s">
        <v>598</v>
      </c>
      <c r="D2249" s="35" t="s">
        <v>12</v>
      </c>
      <c r="E2249" s="36">
        <v>0.3</v>
      </c>
      <c r="F2249" s="30">
        <v>23.331999999999997</v>
      </c>
      <c r="G2249" s="33">
        <f t="shared" si="36"/>
        <v>6.9995999999999992</v>
      </c>
      <c r="H2249" s="44"/>
      <c r="I2249" s="45"/>
      <c r="J2249" s="148">
        <v>5</v>
      </c>
      <c r="K2249" s="222" t="s">
        <v>8074</v>
      </c>
    </row>
    <row r="2250" spans="1:11" ht="38.25" hidden="1" x14ac:dyDescent="0.25">
      <c r="A2250" s="203"/>
      <c r="B2250" s="205"/>
      <c r="C2250" s="35" t="s">
        <v>690</v>
      </c>
      <c r="D2250" s="46" t="s">
        <v>94</v>
      </c>
      <c r="E2250" s="36">
        <v>1</v>
      </c>
      <c r="F2250" s="33">
        <v>124.4</v>
      </c>
      <c r="G2250" s="33">
        <f t="shared" si="36"/>
        <v>124.4</v>
      </c>
      <c r="H2250" s="34"/>
      <c r="I2250" s="30"/>
      <c r="J2250" s="148">
        <v>5</v>
      </c>
      <c r="K2250" s="222" t="s">
        <v>8074</v>
      </c>
    </row>
    <row r="2251" spans="1:11" ht="15.75" hidden="1" thickBot="1" x14ac:dyDescent="0.3">
      <c r="A2251" s="209"/>
      <c r="B2251" s="206"/>
      <c r="C2251" s="35"/>
      <c r="D2251" s="35"/>
      <c r="E2251" s="36"/>
      <c r="F2251" s="30" t="s">
        <v>514</v>
      </c>
      <c r="G2251" s="30" t="str">
        <f t="shared" si="36"/>
        <v/>
      </c>
      <c r="H2251" s="34"/>
      <c r="I2251" s="30"/>
      <c r="J2251" s="148">
        <v>5</v>
      </c>
      <c r="K2251" s="222" t="s">
        <v>8074</v>
      </c>
    </row>
    <row r="2252" spans="1:11" ht="15.75" hidden="1" thickBot="1" x14ac:dyDescent="0.3">
      <c r="A2252" s="202" t="s">
        <v>691</v>
      </c>
      <c r="B2252" s="204" t="str">
        <f>INDEX(Orçamentária!A:B,MATCH(Composições!A2252,Orçamentária!A:A,0),2)</f>
        <v>Folha de porta em madeira 2,10x0,60m, pintada</v>
      </c>
      <c r="C2252" s="40"/>
      <c r="D2252" s="25" t="str">
        <f>TRIM(INDEX(Orçamentária!C:C,MATCH(Composições!A2252,Orçamentária!A:A,0),1))</f>
        <v>un</v>
      </c>
      <c r="E2252" s="26"/>
      <c r="F2252" s="41" t="s">
        <v>514</v>
      </c>
      <c r="G2252" s="27" t="str">
        <f t="shared" si="36"/>
        <v/>
      </c>
      <c r="H2252" s="28"/>
      <c r="I2252" s="29"/>
      <c r="J2252" s="148">
        <v>20</v>
      </c>
      <c r="K2252" s="222" t="s">
        <v>8074</v>
      </c>
    </row>
    <row r="2253" spans="1:11" hidden="1" x14ac:dyDescent="0.25">
      <c r="A2253" s="203"/>
      <c r="B2253" s="205"/>
      <c r="C2253" s="31"/>
      <c r="D2253" s="31"/>
      <c r="E2253" s="32"/>
      <c r="F2253" s="42" t="s">
        <v>514</v>
      </c>
      <c r="G2253" s="30" t="str">
        <f t="shared" si="36"/>
        <v/>
      </c>
      <c r="H2253" s="34"/>
      <c r="I2253" s="30"/>
      <c r="J2253" s="148">
        <v>20</v>
      </c>
      <c r="K2253" s="222" t="s">
        <v>8074</v>
      </c>
    </row>
    <row r="2254" spans="1:11" ht="51" hidden="1" x14ac:dyDescent="0.25">
      <c r="A2254" s="203"/>
      <c r="B2254" s="205"/>
      <c r="C2254" s="35" t="s">
        <v>3717</v>
      </c>
      <c r="D2254" s="46" t="s">
        <v>278</v>
      </c>
      <c r="E2254" s="36">
        <v>1</v>
      </c>
      <c r="F2254" s="33">
        <v>223.34499999999997</v>
      </c>
      <c r="G2254" s="33">
        <f t="shared" si="36"/>
        <v>223.34499999999997</v>
      </c>
      <c r="H2254" s="38">
        <f>SUM(G2254:G2258)</f>
        <v>315.24184359999992</v>
      </c>
      <c r="I2254" s="39"/>
      <c r="J2254" s="148">
        <v>20</v>
      </c>
      <c r="K2254" s="222" t="s">
        <v>8074</v>
      </c>
    </row>
    <row r="2255" spans="1:11" hidden="1" x14ac:dyDescent="0.25">
      <c r="A2255" s="203"/>
      <c r="B2255" s="205"/>
      <c r="C2255" s="35" t="s">
        <v>694</v>
      </c>
      <c r="D2255" s="46" t="s">
        <v>695</v>
      </c>
      <c r="E2255" s="36">
        <f>ROUND(1.282*0.8,4)</f>
        <v>1.0256000000000001</v>
      </c>
      <c r="F2255" s="30">
        <v>23.616999999999997</v>
      </c>
      <c r="G2255" s="33">
        <f t="shared" si="36"/>
        <v>24.221595199999999</v>
      </c>
      <c r="H2255" s="34"/>
      <c r="I2255" s="30"/>
      <c r="J2255" s="148">
        <v>20</v>
      </c>
      <c r="K2255" s="222" t="s">
        <v>8074</v>
      </c>
    </row>
    <row r="2256" spans="1:11" hidden="1" x14ac:dyDescent="0.25">
      <c r="A2256" s="203"/>
      <c r="B2256" s="205"/>
      <c r="C2256" s="35" t="s">
        <v>696</v>
      </c>
      <c r="D2256" s="46" t="s">
        <v>695</v>
      </c>
      <c r="E2256" s="36">
        <f>ROUND(0.641*0.8,4)</f>
        <v>0.51280000000000003</v>
      </c>
      <c r="F2256" s="30">
        <v>18.420500000000001</v>
      </c>
      <c r="G2256" s="33">
        <f t="shared" si="36"/>
        <v>9.4460324000000018</v>
      </c>
      <c r="H2256" s="34"/>
      <c r="I2256" s="30"/>
      <c r="J2256" s="148">
        <v>20</v>
      </c>
      <c r="K2256" s="222" t="s">
        <v>8074</v>
      </c>
    </row>
    <row r="2257" spans="1:11" hidden="1" x14ac:dyDescent="0.25">
      <c r="A2257" s="203"/>
      <c r="B2257" s="205"/>
      <c r="C2257" s="35" t="s">
        <v>201</v>
      </c>
      <c r="D2257" s="49" t="s">
        <v>101</v>
      </c>
      <c r="E2257" s="36">
        <f>ROUND(0.108*(2*0.6*2.1),4)</f>
        <v>0.2722</v>
      </c>
      <c r="F2257" s="33">
        <v>44.33</v>
      </c>
      <c r="G2257" s="30">
        <f t="shared" si="36"/>
        <v>12.066625999999999</v>
      </c>
      <c r="H2257" s="34"/>
      <c r="I2257" s="30"/>
      <c r="J2257" s="148">
        <v>20</v>
      </c>
      <c r="K2257" s="222" t="s">
        <v>8074</v>
      </c>
    </row>
    <row r="2258" spans="1:11" hidden="1" x14ac:dyDescent="0.25">
      <c r="A2258" s="203"/>
      <c r="B2258" s="205"/>
      <c r="C2258" s="35" t="s">
        <v>99</v>
      </c>
      <c r="D2258" s="35" t="s">
        <v>12</v>
      </c>
      <c r="E2258" s="36">
        <f>ROUND(0.7076*(2*0.6*2.1),4)</f>
        <v>1.7831999999999999</v>
      </c>
      <c r="F2258" s="30">
        <v>25.887499999999999</v>
      </c>
      <c r="G2258" s="30">
        <f t="shared" si="36"/>
        <v>46.162589999999994</v>
      </c>
      <c r="H2258" s="34"/>
      <c r="I2258" s="30"/>
      <c r="J2258" s="148">
        <v>20</v>
      </c>
      <c r="K2258" s="222" t="s">
        <v>8074</v>
      </c>
    </row>
    <row r="2259" spans="1:11" hidden="1" x14ac:dyDescent="0.25">
      <c r="A2259" s="203"/>
      <c r="B2259" s="205"/>
      <c r="C2259" s="35"/>
      <c r="D2259" s="35"/>
      <c r="E2259" s="36"/>
      <c r="F2259" s="30" t="s">
        <v>514</v>
      </c>
      <c r="G2259" s="30"/>
      <c r="H2259" s="34"/>
      <c r="I2259" s="30"/>
      <c r="J2259" s="148">
        <v>20</v>
      </c>
      <c r="K2259" s="222" t="s">
        <v>8074</v>
      </c>
    </row>
    <row r="2260" spans="1:11" ht="38.25" hidden="1" x14ac:dyDescent="0.25">
      <c r="A2260" s="203"/>
      <c r="B2260" s="205"/>
      <c r="C2260" s="51" t="s">
        <v>3372</v>
      </c>
      <c r="D2260" s="35"/>
      <c r="E2260" s="36"/>
      <c r="F2260" s="30" t="s">
        <v>514</v>
      </c>
      <c r="G2260" s="30"/>
      <c r="H2260" s="34"/>
      <c r="I2260" s="30"/>
      <c r="J2260" s="148">
        <v>20</v>
      </c>
      <c r="K2260" s="222" t="s">
        <v>8074</v>
      </c>
    </row>
    <row r="2261" spans="1:11" hidden="1" x14ac:dyDescent="0.25">
      <c r="A2261" s="203"/>
      <c r="B2261" s="205"/>
      <c r="C2261" s="35"/>
      <c r="D2261" s="46"/>
      <c r="E2261" s="36"/>
      <c r="F2261" s="33" t="s">
        <v>514</v>
      </c>
      <c r="G2261" s="33" t="str">
        <f t="shared" ref="G2261:G2268" si="37">IF(ISNUMBER(F2261),E2261*F2261,"")</f>
        <v/>
      </c>
      <c r="H2261" s="34"/>
      <c r="I2261" s="30"/>
      <c r="J2261" s="148">
        <v>20</v>
      </c>
      <c r="K2261" s="222" t="s">
        <v>8074</v>
      </c>
    </row>
    <row r="2262" spans="1:11" ht="15.75" hidden="1" thickBot="1" x14ac:dyDescent="0.3">
      <c r="A2262" s="202" t="s">
        <v>697</v>
      </c>
      <c r="B2262" s="204" t="str">
        <f>INDEX(Orçamentária!A:B,MATCH(Composições!A2262,Orçamentária!A:A,0),2)</f>
        <v>Folha de porta em madeira 2,10x0,70m, pintada</v>
      </c>
      <c r="C2262" s="40"/>
      <c r="D2262" s="25" t="str">
        <f>TRIM(INDEX(Orçamentária!C:C,MATCH(Composições!A2262,Orçamentária!A:A,0),1))</f>
        <v>un</v>
      </c>
      <c r="E2262" s="26"/>
      <c r="F2262" s="41" t="s">
        <v>514</v>
      </c>
      <c r="G2262" s="27" t="str">
        <f t="shared" si="37"/>
        <v/>
      </c>
      <c r="H2262" s="28"/>
      <c r="I2262" s="29"/>
      <c r="J2262" s="148">
        <v>30</v>
      </c>
      <c r="K2262" s="222" t="s">
        <v>8074</v>
      </c>
    </row>
    <row r="2263" spans="1:11" hidden="1" x14ac:dyDescent="0.25">
      <c r="A2263" s="203"/>
      <c r="B2263" s="205"/>
      <c r="C2263" s="31"/>
      <c r="D2263" s="31"/>
      <c r="E2263" s="32"/>
      <c r="F2263" s="42" t="s">
        <v>514</v>
      </c>
      <c r="G2263" s="30" t="str">
        <f t="shared" si="37"/>
        <v/>
      </c>
      <c r="H2263" s="34"/>
      <c r="I2263" s="30"/>
      <c r="J2263" s="148">
        <v>30</v>
      </c>
      <c r="K2263" s="222" t="s">
        <v>8074</v>
      </c>
    </row>
    <row r="2264" spans="1:11" ht="51" hidden="1" x14ac:dyDescent="0.25">
      <c r="A2264" s="203"/>
      <c r="B2264" s="205"/>
      <c r="C2264" s="35" t="s">
        <v>3712</v>
      </c>
      <c r="D2264" s="46" t="s">
        <v>278</v>
      </c>
      <c r="E2264" s="36">
        <v>1</v>
      </c>
      <c r="F2264" s="33">
        <v>225.76749999999998</v>
      </c>
      <c r="G2264" s="33">
        <f t="shared" si="37"/>
        <v>225.76749999999998</v>
      </c>
      <c r="H2264" s="38">
        <f>SUM(G2264:G2268)</f>
        <v>330.83022644999994</v>
      </c>
      <c r="I2264" s="39"/>
      <c r="J2264" s="148">
        <v>30</v>
      </c>
      <c r="K2264" s="222" t="s">
        <v>8074</v>
      </c>
    </row>
    <row r="2265" spans="1:11" hidden="1" x14ac:dyDescent="0.25">
      <c r="A2265" s="203"/>
      <c r="B2265" s="205"/>
      <c r="C2265" s="35" t="s">
        <v>694</v>
      </c>
      <c r="D2265" s="46" t="s">
        <v>695</v>
      </c>
      <c r="E2265" s="36">
        <f>ROUND(1.414*0.8,4)</f>
        <v>1.1312</v>
      </c>
      <c r="F2265" s="30">
        <v>23.616999999999997</v>
      </c>
      <c r="G2265" s="33">
        <f t="shared" si="37"/>
        <v>26.715550399999998</v>
      </c>
      <c r="H2265" s="34"/>
      <c r="I2265" s="30"/>
      <c r="J2265" s="148">
        <v>30</v>
      </c>
      <c r="K2265" s="222" t="s">
        <v>8074</v>
      </c>
    </row>
    <row r="2266" spans="1:11" hidden="1" x14ac:dyDescent="0.25">
      <c r="A2266" s="203"/>
      <c r="B2266" s="205"/>
      <c r="C2266" s="35" t="s">
        <v>696</v>
      </c>
      <c r="D2266" s="46" t="s">
        <v>695</v>
      </c>
      <c r="E2266" s="36">
        <f>ROUND(0.707*0.8,4)</f>
        <v>0.56559999999999999</v>
      </c>
      <c r="F2266" s="30">
        <v>18.420500000000001</v>
      </c>
      <c r="G2266" s="33">
        <f t="shared" si="37"/>
        <v>10.4186348</v>
      </c>
      <c r="H2266" s="34"/>
      <c r="I2266" s="30"/>
      <c r="J2266" s="148">
        <v>30</v>
      </c>
      <c r="K2266" s="222" t="s">
        <v>8074</v>
      </c>
    </row>
    <row r="2267" spans="1:11" hidden="1" x14ac:dyDescent="0.25">
      <c r="A2267" s="203"/>
      <c r="B2267" s="205"/>
      <c r="C2267" s="35" t="s">
        <v>201</v>
      </c>
      <c r="D2267" s="49" t="s">
        <v>101</v>
      </c>
      <c r="E2267" s="36">
        <f>ROUND(0.108*(2*0.7*2.1),4)</f>
        <v>0.3175</v>
      </c>
      <c r="F2267" s="33">
        <v>44.33</v>
      </c>
      <c r="G2267" s="30">
        <f t="shared" si="37"/>
        <v>14.074774999999999</v>
      </c>
      <c r="H2267" s="34"/>
      <c r="I2267" s="30"/>
      <c r="J2267" s="148">
        <v>30</v>
      </c>
      <c r="K2267" s="222" t="s">
        <v>8074</v>
      </c>
    </row>
    <row r="2268" spans="1:11" hidden="1" x14ac:dyDescent="0.25">
      <c r="A2268" s="203"/>
      <c r="B2268" s="205"/>
      <c r="C2268" s="35" t="s">
        <v>99</v>
      </c>
      <c r="D2268" s="35" t="s">
        <v>12</v>
      </c>
      <c r="E2268" s="36">
        <f>ROUND(0.7076*(2*0.7*2.1),4)</f>
        <v>2.0802999999999998</v>
      </c>
      <c r="F2268" s="30">
        <v>25.887499999999999</v>
      </c>
      <c r="G2268" s="30">
        <f t="shared" si="37"/>
        <v>53.853766249999993</v>
      </c>
      <c r="H2268" s="34"/>
      <c r="I2268" s="30"/>
      <c r="J2268" s="148">
        <v>30</v>
      </c>
      <c r="K2268" s="222" t="s">
        <v>8074</v>
      </c>
    </row>
    <row r="2269" spans="1:11" hidden="1" x14ac:dyDescent="0.25">
      <c r="A2269" s="203"/>
      <c r="B2269" s="205"/>
      <c r="C2269" s="35"/>
      <c r="D2269" s="35"/>
      <c r="E2269" s="36"/>
      <c r="F2269" s="30" t="s">
        <v>514</v>
      </c>
      <c r="G2269" s="30"/>
      <c r="H2269" s="34"/>
      <c r="I2269" s="30"/>
      <c r="J2269" s="148">
        <v>30</v>
      </c>
      <c r="K2269" s="222" t="s">
        <v>8074</v>
      </c>
    </row>
    <row r="2270" spans="1:11" ht="38.25" hidden="1" x14ac:dyDescent="0.25">
      <c r="A2270" s="203"/>
      <c r="B2270" s="205"/>
      <c r="C2270" s="51" t="s">
        <v>3372</v>
      </c>
      <c r="D2270" s="35"/>
      <c r="E2270" s="36"/>
      <c r="F2270" s="30" t="s">
        <v>514</v>
      </c>
      <c r="G2270" s="30"/>
      <c r="H2270" s="34"/>
      <c r="I2270" s="30"/>
      <c r="J2270" s="148">
        <v>30</v>
      </c>
      <c r="K2270" s="222" t="s">
        <v>8074</v>
      </c>
    </row>
    <row r="2271" spans="1:11" hidden="1" x14ac:dyDescent="0.25">
      <c r="A2271" s="203"/>
      <c r="B2271" s="205"/>
      <c r="C2271" s="35"/>
      <c r="D2271" s="46"/>
      <c r="E2271" s="36"/>
      <c r="F2271" s="33" t="s">
        <v>514</v>
      </c>
      <c r="G2271" s="33" t="str">
        <f t="shared" ref="G2271:G2278" si="38">IF(ISNUMBER(F2271),E2271*F2271,"")</f>
        <v/>
      </c>
      <c r="H2271" s="34"/>
      <c r="I2271" s="30"/>
      <c r="J2271" s="148">
        <v>30</v>
      </c>
      <c r="K2271" s="222" t="s">
        <v>8074</v>
      </c>
    </row>
    <row r="2272" spans="1:11" ht="15.75" hidden="1" thickBot="1" x14ac:dyDescent="0.3">
      <c r="A2272" s="202" t="s">
        <v>698</v>
      </c>
      <c r="B2272" s="204" t="str">
        <f>INDEX(Orçamentária!A:B,MATCH(Composições!A2272,Orçamentária!A:A,0),2)</f>
        <v>Folha de porta em madeira 2,10x0,80m, pintada</v>
      </c>
      <c r="C2272" s="40"/>
      <c r="D2272" s="25" t="str">
        <f>TRIM(INDEX(Orçamentária!C:C,MATCH(Composições!A2272,Orçamentária!A:A,0),1))</f>
        <v>un</v>
      </c>
      <c r="E2272" s="26"/>
      <c r="F2272" s="41" t="s">
        <v>514</v>
      </c>
      <c r="G2272" s="27" t="str">
        <f t="shared" si="38"/>
        <v/>
      </c>
      <c r="H2272" s="28"/>
      <c r="I2272" s="29"/>
      <c r="J2272" s="148">
        <v>40</v>
      </c>
      <c r="K2272" s="222" t="s">
        <v>8074</v>
      </c>
    </row>
    <row r="2273" spans="1:11" hidden="1" x14ac:dyDescent="0.25">
      <c r="A2273" s="203"/>
      <c r="B2273" s="205"/>
      <c r="C2273" s="31"/>
      <c r="D2273" s="31"/>
      <c r="E2273" s="32"/>
      <c r="F2273" s="42" t="s">
        <v>514</v>
      </c>
      <c r="G2273" s="30" t="str">
        <f t="shared" si="38"/>
        <v/>
      </c>
      <c r="H2273" s="34"/>
      <c r="I2273" s="30"/>
      <c r="J2273" s="148">
        <v>40</v>
      </c>
      <c r="K2273" s="222" t="s">
        <v>8074</v>
      </c>
    </row>
    <row r="2274" spans="1:11" ht="51" hidden="1" x14ac:dyDescent="0.25">
      <c r="A2274" s="203"/>
      <c r="B2274" s="205"/>
      <c r="C2274" s="35" t="s">
        <v>3714</v>
      </c>
      <c r="D2274" s="46" t="s">
        <v>278</v>
      </c>
      <c r="E2274" s="36">
        <v>1</v>
      </c>
      <c r="F2274" s="33">
        <v>279.77499999999998</v>
      </c>
      <c r="G2274" s="33">
        <f t="shared" si="38"/>
        <v>279.77499999999998</v>
      </c>
      <c r="H2274" s="38">
        <f>SUM(G2274:G2278)</f>
        <v>398.01063104999997</v>
      </c>
      <c r="I2274" s="39"/>
      <c r="J2274" s="148">
        <v>40</v>
      </c>
      <c r="K2274" s="222" t="s">
        <v>8074</v>
      </c>
    </row>
    <row r="2275" spans="1:11" hidden="1" x14ac:dyDescent="0.25">
      <c r="A2275" s="203"/>
      <c r="B2275" s="205"/>
      <c r="C2275" s="35" t="s">
        <v>694</v>
      </c>
      <c r="D2275" s="46" t="s">
        <v>695</v>
      </c>
      <c r="E2275" s="36">
        <f>ROUND(1.546*0.8,4)</f>
        <v>1.2367999999999999</v>
      </c>
      <c r="F2275" s="30">
        <v>23.616999999999997</v>
      </c>
      <c r="G2275" s="33">
        <f t="shared" si="38"/>
        <v>29.209505599999993</v>
      </c>
      <c r="H2275" s="34"/>
      <c r="I2275" s="30"/>
      <c r="J2275" s="148">
        <v>40</v>
      </c>
      <c r="K2275" s="222" t="s">
        <v>8074</v>
      </c>
    </row>
    <row r="2276" spans="1:11" hidden="1" x14ac:dyDescent="0.25">
      <c r="A2276" s="203"/>
      <c r="B2276" s="205"/>
      <c r="C2276" s="35" t="s">
        <v>696</v>
      </c>
      <c r="D2276" s="46" t="s">
        <v>695</v>
      </c>
      <c r="E2276" s="36">
        <f>ROUND(0.773*0.8,4)</f>
        <v>0.61839999999999995</v>
      </c>
      <c r="F2276" s="30">
        <v>18.420500000000001</v>
      </c>
      <c r="G2276" s="33">
        <f t="shared" si="38"/>
        <v>11.391237199999999</v>
      </c>
      <c r="H2276" s="34"/>
      <c r="I2276" s="30"/>
      <c r="J2276" s="148">
        <v>40</v>
      </c>
      <c r="K2276" s="222" t="s">
        <v>8074</v>
      </c>
    </row>
    <row r="2277" spans="1:11" hidden="1" x14ac:dyDescent="0.25">
      <c r="A2277" s="203"/>
      <c r="B2277" s="205"/>
      <c r="C2277" s="35" t="s">
        <v>201</v>
      </c>
      <c r="D2277" s="49" t="s">
        <v>101</v>
      </c>
      <c r="E2277" s="36">
        <f>ROUND(0.108*(2*0.8*2.1),4)</f>
        <v>0.3629</v>
      </c>
      <c r="F2277" s="33">
        <v>44.33</v>
      </c>
      <c r="G2277" s="30">
        <f t="shared" si="38"/>
        <v>16.087357000000001</v>
      </c>
      <c r="H2277" s="34"/>
      <c r="I2277" s="30"/>
      <c r="J2277" s="148">
        <v>40</v>
      </c>
      <c r="K2277" s="222" t="s">
        <v>8074</v>
      </c>
    </row>
    <row r="2278" spans="1:11" hidden="1" x14ac:dyDescent="0.25">
      <c r="A2278" s="203"/>
      <c r="B2278" s="205"/>
      <c r="C2278" s="35" t="s">
        <v>99</v>
      </c>
      <c r="D2278" s="35" t="s">
        <v>12</v>
      </c>
      <c r="E2278" s="36">
        <f>ROUND(0.7076*(2*0.8*2.1),4)</f>
        <v>2.3774999999999999</v>
      </c>
      <c r="F2278" s="30">
        <v>25.887499999999999</v>
      </c>
      <c r="G2278" s="30">
        <f t="shared" si="38"/>
        <v>61.547531249999999</v>
      </c>
      <c r="H2278" s="34"/>
      <c r="I2278" s="30"/>
      <c r="J2278" s="148">
        <v>40</v>
      </c>
      <c r="K2278" s="222" t="s">
        <v>8074</v>
      </c>
    </row>
    <row r="2279" spans="1:11" hidden="1" x14ac:dyDescent="0.25">
      <c r="A2279" s="203"/>
      <c r="B2279" s="205"/>
      <c r="C2279" s="35"/>
      <c r="D2279" s="35"/>
      <c r="E2279" s="36"/>
      <c r="F2279" s="30" t="s">
        <v>514</v>
      </c>
      <c r="G2279" s="30"/>
      <c r="H2279" s="34"/>
      <c r="I2279" s="30"/>
      <c r="J2279" s="148">
        <v>40</v>
      </c>
      <c r="K2279" s="222" t="s">
        <v>8074</v>
      </c>
    </row>
    <row r="2280" spans="1:11" ht="38.25" hidden="1" x14ac:dyDescent="0.25">
      <c r="A2280" s="203"/>
      <c r="B2280" s="205"/>
      <c r="C2280" s="51" t="s">
        <v>3372</v>
      </c>
      <c r="D2280" s="35"/>
      <c r="E2280" s="36"/>
      <c r="F2280" s="30" t="s">
        <v>514</v>
      </c>
      <c r="G2280" s="30"/>
      <c r="H2280" s="34"/>
      <c r="I2280" s="30"/>
      <c r="J2280" s="148">
        <v>40</v>
      </c>
      <c r="K2280" s="222" t="s">
        <v>8074</v>
      </c>
    </row>
    <row r="2281" spans="1:11" hidden="1" x14ac:dyDescent="0.25">
      <c r="A2281" s="203"/>
      <c r="B2281" s="205"/>
      <c r="C2281" s="35"/>
      <c r="D2281" s="46"/>
      <c r="E2281" s="36"/>
      <c r="F2281" s="33" t="s">
        <v>514</v>
      </c>
      <c r="G2281" s="33" t="str">
        <f t="shared" ref="G2281:G2288" si="39">IF(ISNUMBER(F2281),E2281*F2281,"")</f>
        <v/>
      </c>
      <c r="H2281" s="34"/>
      <c r="I2281" s="30"/>
      <c r="J2281" s="148">
        <v>40</v>
      </c>
      <c r="K2281" s="222" t="s">
        <v>8074</v>
      </c>
    </row>
    <row r="2282" spans="1:11" ht="15.75" hidden="1" thickBot="1" x14ac:dyDescent="0.3">
      <c r="A2282" s="202" t="s">
        <v>699</v>
      </c>
      <c r="B2282" s="204" t="str">
        <f>INDEX(Orçamentária!A:B,MATCH(Composições!A2282,Orçamentária!A:A,0),2)</f>
        <v>Folha de porta em madeira 2,10x0,90m, pintada</v>
      </c>
      <c r="C2282" s="40"/>
      <c r="D2282" s="25" t="str">
        <f>TRIM(INDEX(Orçamentária!C:C,MATCH(Composições!A2282,Orçamentária!A:A,0),1))</f>
        <v>un</v>
      </c>
      <c r="E2282" s="26"/>
      <c r="F2282" s="41" t="s">
        <v>514</v>
      </c>
      <c r="G2282" s="27" t="str">
        <f t="shared" si="39"/>
        <v/>
      </c>
      <c r="H2282" s="28"/>
      <c r="I2282" s="29"/>
      <c r="J2282" s="148">
        <v>15</v>
      </c>
      <c r="K2282" s="222" t="s">
        <v>8074</v>
      </c>
    </row>
    <row r="2283" spans="1:11" hidden="1" x14ac:dyDescent="0.25">
      <c r="A2283" s="203"/>
      <c r="B2283" s="205"/>
      <c r="C2283" s="31"/>
      <c r="D2283" s="31"/>
      <c r="E2283" s="32"/>
      <c r="F2283" s="42" t="s">
        <v>514</v>
      </c>
      <c r="G2283" s="30" t="str">
        <f t="shared" si="39"/>
        <v/>
      </c>
      <c r="H2283" s="34"/>
      <c r="I2283" s="30"/>
      <c r="J2283" s="148">
        <v>15</v>
      </c>
      <c r="K2283" s="222" t="s">
        <v>8074</v>
      </c>
    </row>
    <row r="2284" spans="1:11" ht="51" hidden="1" x14ac:dyDescent="0.25">
      <c r="A2284" s="203"/>
      <c r="B2284" s="205"/>
      <c r="C2284" s="35" t="s">
        <v>3715</v>
      </c>
      <c r="D2284" s="46" t="s">
        <v>278</v>
      </c>
      <c r="E2284" s="36">
        <v>1</v>
      </c>
      <c r="F2284" s="33">
        <v>320.08350000000002</v>
      </c>
      <c r="G2284" s="33">
        <f t="shared" si="39"/>
        <v>320.08350000000002</v>
      </c>
      <c r="H2284" s="38">
        <f>SUM(G2284:G2288)</f>
        <v>451.48760265000004</v>
      </c>
      <c r="I2284" s="39"/>
      <c r="J2284" s="148">
        <v>15</v>
      </c>
      <c r="K2284" s="222" t="s">
        <v>8074</v>
      </c>
    </row>
    <row r="2285" spans="1:11" hidden="1" x14ac:dyDescent="0.25">
      <c r="A2285" s="203"/>
      <c r="B2285" s="205"/>
      <c r="C2285" s="35" t="s">
        <v>694</v>
      </c>
      <c r="D2285" s="46" t="s">
        <v>695</v>
      </c>
      <c r="E2285" s="36">
        <f>ROUND(1.678*0.8,4)</f>
        <v>1.3424</v>
      </c>
      <c r="F2285" s="30">
        <v>23.616999999999997</v>
      </c>
      <c r="G2285" s="33">
        <f t="shared" si="39"/>
        <v>31.703460799999998</v>
      </c>
      <c r="H2285" s="34"/>
      <c r="I2285" s="30"/>
      <c r="J2285" s="148">
        <v>15</v>
      </c>
      <c r="K2285" s="222" t="s">
        <v>8074</v>
      </c>
    </row>
    <row r="2286" spans="1:11" hidden="1" x14ac:dyDescent="0.25">
      <c r="A2286" s="203"/>
      <c r="B2286" s="205"/>
      <c r="C2286" s="35" t="s">
        <v>696</v>
      </c>
      <c r="D2286" s="46" t="s">
        <v>695</v>
      </c>
      <c r="E2286" s="36">
        <f>ROUND(0.839*0.8,4)</f>
        <v>0.67120000000000002</v>
      </c>
      <c r="F2286" s="30">
        <v>18.420500000000001</v>
      </c>
      <c r="G2286" s="33">
        <f t="shared" si="39"/>
        <v>12.3638396</v>
      </c>
      <c r="H2286" s="34"/>
      <c r="I2286" s="30"/>
      <c r="J2286" s="148">
        <v>15</v>
      </c>
      <c r="K2286" s="222" t="s">
        <v>8074</v>
      </c>
    </row>
    <row r="2287" spans="1:11" hidden="1" x14ac:dyDescent="0.25">
      <c r="A2287" s="203"/>
      <c r="B2287" s="205"/>
      <c r="C2287" s="35" t="s">
        <v>201</v>
      </c>
      <c r="D2287" s="49" t="s">
        <v>101</v>
      </c>
      <c r="E2287" s="36">
        <f>ROUND(0.108*(2*0.9*2.1),4)</f>
        <v>0.40820000000000001</v>
      </c>
      <c r="F2287" s="33">
        <v>44.33</v>
      </c>
      <c r="G2287" s="30">
        <f t="shared" si="39"/>
        <v>18.095506</v>
      </c>
      <c r="H2287" s="34"/>
      <c r="I2287" s="30"/>
      <c r="J2287" s="148">
        <v>15</v>
      </c>
      <c r="K2287" s="222" t="s">
        <v>8074</v>
      </c>
    </row>
    <row r="2288" spans="1:11" hidden="1" x14ac:dyDescent="0.25">
      <c r="A2288" s="203"/>
      <c r="B2288" s="205"/>
      <c r="C2288" s="35" t="s">
        <v>99</v>
      </c>
      <c r="D2288" s="35" t="s">
        <v>12</v>
      </c>
      <c r="E2288" s="36">
        <f>ROUND(0.7076*(2*0.9*2.1),4)</f>
        <v>2.6747000000000001</v>
      </c>
      <c r="F2288" s="30">
        <v>25.887499999999999</v>
      </c>
      <c r="G2288" s="30">
        <f t="shared" si="39"/>
        <v>69.241296250000005</v>
      </c>
      <c r="H2288" s="34"/>
      <c r="I2288" s="30"/>
      <c r="J2288" s="148">
        <v>15</v>
      </c>
      <c r="K2288" s="222" t="s">
        <v>8074</v>
      </c>
    </row>
    <row r="2289" spans="1:11" hidden="1" x14ac:dyDescent="0.25">
      <c r="A2289" s="203"/>
      <c r="B2289" s="205"/>
      <c r="C2289" s="35"/>
      <c r="D2289" s="35"/>
      <c r="E2289" s="36"/>
      <c r="F2289" s="30" t="s">
        <v>514</v>
      </c>
      <c r="G2289" s="30"/>
      <c r="H2289" s="34"/>
      <c r="I2289" s="30"/>
      <c r="J2289" s="148">
        <v>15</v>
      </c>
      <c r="K2289" s="222" t="s">
        <v>8074</v>
      </c>
    </row>
    <row r="2290" spans="1:11" ht="38.25" hidden="1" x14ac:dyDescent="0.25">
      <c r="A2290" s="203"/>
      <c r="B2290" s="205"/>
      <c r="C2290" s="51" t="s">
        <v>3372</v>
      </c>
      <c r="D2290" s="35"/>
      <c r="E2290" s="36"/>
      <c r="F2290" s="30" t="s">
        <v>514</v>
      </c>
      <c r="G2290" s="30"/>
      <c r="H2290" s="34"/>
      <c r="I2290" s="30"/>
      <c r="J2290" s="148">
        <v>15</v>
      </c>
      <c r="K2290" s="222" t="s">
        <v>8074</v>
      </c>
    </row>
    <row r="2291" spans="1:11" hidden="1" x14ac:dyDescent="0.25">
      <c r="A2291" s="203"/>
      <c r="B2291" s="205"/>
      <c r="C2291" s="35"/>
      <c r="D2291" s="46"/>
      <c r="E2291" s="36"/>
      <c r="F2291" s="33" t="s">
        <v>514</v>
      </c>
      <c r="G2291" s="33" t="str">
        <f t="shared" ref="G2291:G2298" si="40">IF(ISNUMBER(F2291),E2291*F2291,"")</f>
        <v/>
      </c>
      <c r="H2291" s="34"/>
      <c r="I2291" s="30"/>
      <c r="J2291" s="148">
        <v>15</v>
      </c>
      <c r="K2291" s="222" t="s">
        <v>8074</v>
      </c>
    </row>
    <row r="2292" spans="1:11" ht="15.75" hidden="1" thickBot="1" x14ac:dyDescent="0.3">
      <c r="A2292" s="202" t="s">
        <v>700</v>
      </c>
      <c r="B2292" s="204" t="str">
        <f>INDEX(Orçamentária!A:B,MATCH(Composições!A2292,Orçamentária!A:A,0),2)</f>
        <v>Folha de porta em madeira 2,10x1,0m, pintada</v>
      </c>
      <c r="C2292" s="40"/>
      <c r="D2292" s="25" t="str">
        <f>TRIM(INDEX(Orçamentária!C:C,MATCH(Composições!A2292,Orçamentária!A:A,0),1))</f>
        <v>un</v>
      </c>
      <c r="E2292" s="26"/>
      <c r="F2292" s="41" t="s">
        <v>514</v>
      </c>
      <c r="G2292" s="27" t="str">
        <f t="shared" si="40"/>
        <v/>
      </c>
      <c r="H2292" s="28"/>
      <c r="I2292" s="29"/>
      <c r="J2292" s="148">
        <v>10</v>
      </c>
      <c r="K2292" s="222" t="s">
        <v>8074</v>
      </c>
    </row>
    <row r="2293" spans="1:11" hidden="1" x14ac:dyDescent="0.25">
      <c r="A2293" s="203"/>
      <c r="B2293" s="205"/>
      <c r="C2293" s="31"/>
      <c r="D2293" s="31"/>
      <c r="E2293" s="32"/>
      <c r="F2293" s="42" t="s">
        <v>514</v>
      </c>
      <c r="G2293" s="30" t="str">
        <f t="shared" si="40"/>
        <v/>
      </c>
      <c r="H2293" s="34"/>
      <c r="I2293" s="30"/>
      <c r="J2293" s="148">
        <v>10</v>
      </c>
      <c r="K2293" s="222" t="s">
        <v>8074</v>
      </c>
    </row>
    <row r="2294" spans="1:11" ht="51" hidden="1" x14ac:dyDescent="0.25">
      <c r="A2294" s="203"/>
      <c r="B2294" s="205"/>
      <c r="C2294" s="35" t="s">
        <v>3710</v>
      </c>
      <c r="D2294" s="46" t="s">
        <v>278</v>
      </c>
      <c r="E2294" s="36">
        <v>1</v>
      </c>
      <c r="F2294" s="33">
        <v>342.84549999999996</v>
      </c>
      <c r="G2294" s="33">
        <f t="shared" si="40"/>
        <v>342.84549999999996</v>
      </c>
      <c r="H2294" s="38">
        <f>SUM(G2294:G2298)</f>
        <v>483.95594964999998</v>
      </c>
      <c r="I2294" s="39"/>
      <c r="J2294" s="148">
        <v>10</v>
      </c>
      <c r="K2294" s="222" t="s">
        <v>8074</v>
      </c>
    </row>
    <row r="2295" spans="1:11" hidden="1" x14ac:dyDescent="0.25">
      <c r="A2295" s="203"/>
      <c r="B2295" s="205"/>
      <c r="C2295" s="35" t="s">
        <v>694</v>
      </c>
      <c r="D2295" s="46" t="s">
        <v>695</v>
      </c>
      <c r="E2295" s="36">
        <f>ROUND(1.678*0.8,4)</f>
        <v>1.3424</v>
      </c>
      <c r="F2295" s="30">
        <v>23.616999999999997</v>
      </c>
      <c r="G2295" s="33">
        <f t="shared" si="40"/>
        <v>31.703460799999998</v>
      </c>
      <c r="H2295" s="34"/>
      <c r="I2295" s="30"/>
      <c r="J2295" s="148">
        <v>10</v>
      </c>
      <c r="K2295" s="222" t="s">
        <v>8074</v>
      </c>
    </row>
    <row r="2296" spans="1:11" hidden="1" x14ac:dyDescent="0.25">
      <c r="A2296" s="203"/>
      <c r="B2296" s="205"/>
      <c r="C2296" s="35" t="s">
        <v>696</v>
      </c>
      <c r="D2296" s="46" t="s">
        <v>695</v>
      </c>
      <c r="E2296" s="36">
        <f>ROUND(0.839*0.8,4)</f>
        <v>0.67120000000000002</v>
      </c>
      <c r="F2296" s="30">
        <v>18.420500000000001</v>
      </c>
      <c r="G2296" s="33">
        <f t="shared" si="40"/>
        <v>12.3638396</v>
      </c>
      <c r="H2296" s="34"/>
      <c r="I2296" s="30"/>
      <c r="J2296" s="148">
        <v>10</v>
      </c>
      <c r="K2296" s="222" t="s">
        <v>8074</v>
      </c>
    </row>
    <row r="2297" spans="1:11" hidden="1" x14ac:dyDescent="0.25">
      <c r="A2297" s="203"/>
      <c r="B2297" s="205"/>
      <c r="C2297" s="35" t="s">
        <v>201</v>
      </c>
      <c r="D2297" s="49" t="s">
        <v>101</v>
      </c>
      <c r="E2297" s="36">
        <f>ROUND(0.108*(2*1*2.1),4)</f>
        <v>0.4536</v>
      </c>
      <c r="F2297" s="33">
        <v>44.33</v>
      </c>
      <c r="G2297" s="30">
        <f t="shared" si="40"/>
        <v>20.108087999999999</v>
      </c>
      <c r="H2297" s="34"/>
      <c r="I2297" s="30"/>
      <c r="J2297" s="148">
        <v>10</v>
      </c>
      <c r="K2297" s="222" t="s">
        <v>8074</v>
      </c>
    </row>
    <row r="2298" spans="1:11" hidden="1" x14ac:dyDescent="0.25">
      <c r="A2298" s="203"/>
      <c r="B2298" s="205"/>
      <c r="C2298" s="35" t="s">
        <v>99</v>
      </c>
      <c r="D2298" s="35" t="s">
        <v>12</v>
      </c>
      <c r="E2298" s="36">
        <f>ROUND(0.7076*(2*1*2.1),4)</f>
        <v>2.9719000000000002</v>
      </c>
      <c r="F2298" s="30">
        <v>25.887499999999999</v>
      </c>
      <c r="G2298" s="30">
        <f t="shared" si="40"/>
        <v>76.935061250000004</v>
      </c>
      <c r="H2298" s="34"/>
      <c r="I2298" s="30"/>
      <c r="J2298" s="148">
        <v>10</v>
      </c>
      <c r="K2298" s="222" t="s">
        <v>8074</v>
      </c>
    </row>
    <row r="2299" spans="1:11" hidden="1" x14ac:dyDescent="0.25">
      <c r="A2299" s="203"/>
      <c r="B2299" s="205"/>
      <c r="C2299" s="35"/>
      <c r="D2299" s="35"/>
      <c r="E2299" s="36"/>
      <c r="F2299" s="30" t="s">
        <v>514</v>
      </c>
      <c r="G2299" s="30"/>
      <c r="H2299" s="34"/>
      <c r="I2299" s="30"/>
      <c r="J2299" s="148">
        <v>10</v>
      </c>
      <c r="K2299" s="222" t="s">
        <v>8074</v>
      </c>
    </row>
    <row r="2300" spans="1:11" ht="38.25" hidden="1" x14ac:dyDescent="0.25">
      <c r="A2300" s="203"/>
      <c r="B2300" s="205"/>
      <c r="C2300" s="51" t="s">
        <v>3372</v>
      </c>
      <c r="D2300" s="35"/>
      <c r="E2300" s="36"/>
      <c r="F2300" s="30" t="s">
        <v>514</v>
      </c>
      <c r="G2300" s="30"/>
      <c r="H2300" s="34"/>
      <c r="I2300" s="30"/>
      <c r="J2300" s="148">
        <v>10</v>
      </c>
      <c r="K2300" s="222" t="s">
        <v>8074</v>
      </c>
    </row>
    <row r="2301" spans="1:11" hidden="1" x14ac:dyDescent="0.25">
      <c r="A2301" s="203"/>
      <c r="B2301" s="205"/>
      <c r="C2301" s="35"/>
      <c r="D2301" s="46"/>
      <c r="E2301" s="36"/>
      <c r="F2301" s="33" t="s">
        <v>514</v>
      </c>
      <c r="G2301" s="33" t="str">
        <f t="shared" ref="G2301:G2364" si="41">IF(ISNUMBER(F2301),E2301*F2301,"")</f>
        <v/>
      </c>
      <c r="H2301" s="34"/>
      <c r="I2301" s="30"/>
      <c r="J2301" s="148">
        <v>10</v>
      </c>
      <c r="K2301" s="222" t="s">
        <v>8074</v>
      </c>
    </row>
    <row r="2302" spans="1:11" ht="15.75" hidden="1" thickBot="1" x14ac:dyDescent="0.3">
      <c r="A2302" s="202" t="s">
        <v>701</v>
      </c>
      <c r="B2302" s="204" t="str">
        <f>INDEX(Orçamentária!A:B,MATCH(Composições!A2302,Orçamentária!A:A,0),2)</f>
        <v>Instalação de batentes de madeira reaproveitados</v>
      </c>
      <c r="C2302" s="40"/>
      <c r="D2302" s="25" t="str">
        <f>TRIM(INDEX(Orçamentária!C:C,MATCH(Composições!A2302,Orçamentária!A:A,0),1))</f>
        <v>un</v>
      </c>
      <c r="E2302" s="26"/>
      <c r="F2302" s="41" t="s">
        <v>514</v>
      </c>
      <c r="G2302" s="27" t="str">
        <f t="shared" si="41"/>
        <v/>
      </c>
      <c r="H2302" s="28"/>
      <c r="I2302" s="29"/>
      <c r="J2302" s="148">
        <v>25</v>
      </c>
      <c r="K2302" s="222" t="s">
        <v>8074</v>
      </c>
    </row>
    <row r="2303" spans="1:11" hidden="1" x14ac:dyDescent="0.25">
      <c r="A2303" s="203"/>
      <c r="B2303" s="205"/>
      <c r="C2303" s="31"/>
      <c r="D2303" s="31"/>
      <c r="E2303" s="32"/>
      <c r="F2303" s="42" t="s">
        <v>514</v>
      </c>
      <c r="G2303" s="30" t="str">
        <f t="shared" si="41"/>
        <v/>
      </c>
      <c r="H2303" s="34"/>
      <c r="I2303" s="30"/>
      <c r="J2303" s="148">
        <v>25</v>
      </c>
      <c r="K2303" s="222" t="s">
        <v>8074</v>
      </c>
    </row>
    <row r="2304" spans="1:11" hidden="1" x14ac:dyDescent="0.25">
      <c r="A2304" s="203"/>
      <c r="B2304" s="205"/>
      <c r="C2304" s="35" t="s">
        <v>1431</v>
      </c>
      <c r="D2304" s="46" t="s">
        <v>891</v>
      </c>
      <c r="E2304" s="36">
        <v>1.0999999999999999E-2</v>
      </c>
      <c r="F2304" s="33">
        <v>29.820499999999999</v>
      </c>
      <c r="G2304" s="30">
        <f t="shared" si="41"/>
        <v>0.32802549999999997</v>
      </c>
      <c r="H2304" s="38">
        <f>SUM(G2304:G2307)</f>
        <v>90.601936999999992</v>
      </c>
      <c r="I2304" s="39"/>
      <c r="J2304" s="148">
        <v>25</v>
      </c>
      <c r="K2304" s="222" t="s">
        <v>8074</v>
      </c>
    </row>
    <row r="2305" spans="1:11" hidden="1" x14ac:dyDescent="0.25">
      <c r="A2305" s="203"/>
      <c r="B2305" s="205"/>
      <c r="C2305" s="35" t="s">
        <v>97</v>
      </c>
      <c r="D2305" s="49" t="s">
        <v>891</v>
      </c>
      <c r="E2305" s="36">
        <v>2.4E-2</v>
      </c>
      <c r="F2305" s="33">
        <v>22.628999999999998</v>
      </c>
      <c r="G2305" s="30">
        <f t="shared" si="41"/>
        <v>0.54309599999999991</v>
      </c>
      <c r="H2305" s="34"/>
      <c r="I2305" s="30"/>
      <c r="J2305" s="148">
        <v>25</v>
      </c>
      <c r="K2305" s="222" t="s">
        <v>8074</v>
      </c>
    </row>
    <row r="2306" spans="1:11" hidden="1" x14ac:dyDescent="0.25">
      <c r="A2306" s="203"/>
      <c r="B2306" s="205"/>
      <c r="C2306" s="35" t="s">
        <v>694</v>
      </c>
      <c r="D2306" s="46" t="s">
        <v>695</v>
      </c>
      <c r="E2306" s="36">
        <v>2.7410000000000001</v>
      </c>
      <c r="F2306" s="30">
        <v>23.616999999999997</v>
      </c>
      <c r="G2306" s="30">
        <f t="shared" si="41"/>
        <v>64.734196999999995</v>
      </c>
      <c r="H2306" s="34"/>
      <c r="I2306" s="30"/>
      <c r="J2306" s="148">
        <v>25</v>
      </c>
      <c r="K2306" s="222" t="s">
        <v>8074</v>
      </c>
    </row>
    <row r="2307" spans="1:11" hidden="1" x14ac:dyDescent="0.25">
      <c r="A2307" s="203"/>
      <c r="B2307" s="205"/>
      <c r="C2307" s="35" t="s">
        <v>696</v>
      </c>
      <c r="D2307" s="46" t="s">
        <v>695</v>
      </c>
      <c r="E2307" s="36">
        <v>1.357</v>
      </c>
      <c r="F2307" s="30">
        <v>18.420500000000001</v>
      </c>
      <c r="G2307" s="30">
        <f t="shared" si="41"/>
        <v>24.9966185</v>
      </c>
      <c r="H2307" s="34"/>
      <c r="I2307" s="30"/>
      <c r="J2307" s="148">
        <v>25</v>
      </c>
      <c r="K2307" s="222" t="s">
        <v>8074</v>
      </c>
    </row>
    <row r="2308" spans="1:11" hidden="1" x14ac:dyDescent="0.25">
      <c r="A2308" s="203"/>
      <c r="B2308" s="205"/>
      <c r="C2308" s="35"/>
      <c r="D2308" s="35"/>
      <c r="E2308" s="36"/>
      <c r="F2308" s="30" t="s">
        <v>514</v>
      </c>
      <c r="G2308" s="33" t="str">
        <f t="shared" si="41"/>
        <v/>
      </c>
      <c r="H2308" s="34"/>
      <c r="I2308" s="30"/>
      <c r="J2308" s="148">
        <v>25</v>
      </c>
      <c r="K2308" s="222" t="s">
        <v>8074</v>
      </c>
    </row>
    <row r="2309" spans="1:11" ht="15.75" hidden="1" thickBot="1" x14ac:dyDescent="0.3">
      <c r="A2309" s="202" t="s">
        <v>702</v>
      </c>
      <c r="B2309" s="204" t="str">
        <f>INDEX(Orçamentária!A:B,MATCH(Composições!A2309,Orçamentária!A:A,0),2)</f>
        <v>Instalação de folhas de portas e dobradiças reaproveitadas</v>
      </c>
      <c r="C2309" s="40"/>
      <c r="D2309" s="25" t="str">
        <f>TRIM(INDEX(Orçamentária!C:C,MATCH(Composições!A2309,Orçamentária!A:A,0),1))</f>
        <v>un</v>
      </c>
      <c r="E2309" s="26"/>
      <c r="F2309" s="41" t="s">
        <v>514</v>
      </c>
      <c r="G2309" s="27" t="str">
        <f t="shared" si="41"/>
        <v/>
      </c>
      <c r="H2309" s="28"/>
      <c r="I2309" s="29"/>
      <c r="J2309" s="148">
        <v>30</v>
      </c>
      <c r="K2309" s="222" t="s">
        <v>8074</v>
      </c>
    </row>
    <row r="2310" spans="1:11" hidden="1" x14ac:dyDescent="0.25">
      <c r="A2310" s="203"/>
      <c r="B2310" s="205"/>
      <c r="C2310" s="31"/>
      <c r="D2310" s="31"/>
      <c r="E2310" s="32"/>
      <c r="F2310" s="42" t="s">
        <v>514</v>
      </c>
      <c r="G2310" s="33" t="str">
        <f t="shared" si="41"/>
        <v/>
      </c>
      <c r="H2310" s="34"/>
      <c r="I2310" s="30"/>
      <c r="J2310" s="148">
        <v>30</v>
      </c>
      <c r="K2310" s="222" t="s">
        <v>8074</v>
      </c>
    </row>
    <row r="2311" spans="1:11" ht="25.5" hidden="1" x14ac:dyDescent="0.25">
      <c r="A2311" s="203"/>
      <c r="B2311" s="205"/>
      <c r="C2311" s="35" t="s">
        <v>693</v>
      </c>
      <c r="D2311" s="35" t="s">
        <v>278</v>
      </c>
      <c r="E2311" s="36">
        <v>19.8</v>
      </c>
      <c r="F2311" s="30">
        <v>8.5499999999999993E-2</v>
      </c>
      <c r="G2311" s="33">
        <f t="shared" si="41"/>
        <v>1.6928999999999998</v>
      </c>
      <c r="H2311" s="38">
        <f>SUM(G2311:G2314)</f>
        <v>65.939015500000011</v>
      </c>
      <c r="I2311" s="39"/>
      <c r="J2311" s="148">
        <v>30</v>
      </c>
      <c r="K2311" s="222" t="s">
        <v>8074</v>
      </c>
    </row>
    <row r="2312" spans="1:11" hidden="1" x14ac:dyDescent="0.25">
      <c r="A2312" s="203"/>
      <c r="B2312" s="205"/>
      <c r="C2312" s="35" t="s">
        <v>694</v>
      </c>
      <c r="D2312" s="35" t="s">
        <v>695</v>
      </c>
      <c r="E2312" s="36">
        <v>1.546</v>
      </c>
      <c r="F2312" s="30">
        <v>23.616999999999997</v>
      </c>
      <c r="G2312" s="33">
        <f t="shared" si="41"/>
        <v>36.511882</v>
      </c>
      <c r="H2312" s="34"/>
      <c r="I2312" s="30"/>
      <c r="J2312" s="148">
        <v>30</v>
      </c>
      <c r="K2312" s="222" t="s">
        <v>8074</v>
      </c>
    </row>
    <row r="2313" spans="1:11" hidden="1" x14ac:dyDescent="0.25">
      <c r="A2313" s="203"/>
      <c r="B2313" s="205"/>
      <c r="C2313" s="35" t="s">
        <v>703</v>
      </c>
      <c r="D2313" s="35" t="s">
        <v>695</v>
      </c>
      <c r="E2313" s="36">
        <v>0.221</v>
      </c>
      <c r="F2313" s="30">
        <v>24.889999999999997</v>
      </c>
      <c r="G2313" s="33">
        <f t="shared" si="41"/>
        <v>5.5006899999999996</v>
      </c>
      <c r="H2313" s="34"/>
      <c r="I2313" s="30"/>
      <c r="J2313" s="148">
        <v>30</v>
      </c>
      <c r="K2313" s="222" t="s">
        <v>8074</v>
      </c>
    </row>
    <row r="2314" spans="1:11" hidden="1" x14ac:dyDescent="0.25">
      <c r="A2314" s="203"/>
      <c r="B2314" s="205"/>
      <c r="C2314" s="35" t="s">
        <v>696</v>
      </c>
      <c r="D2314" s="35" t="s">
        <v>695</v>
      </c>
      <c r="E2314" s="36">
        <v>1.2070000000000001</v>
      </c>
      <c r="F2314" s="30">
        <v>18.420500000000001</v>
      </c>
      <c r="G2314" s="33">
        <f t="shared" si="41"/>
        <v>22.233543500000003</v>
      </c>
      <c r="H2314" s="34"/>
      <c r="I2314" s="30"/>
      <c r="J2314" s="148">
        <v>30</v>
      </c>
      <c r="K2314" s="222" t="s">
        <v>8074</v>
      </c>
    </row>
    <row r="2315" spans="1:11" hidden="1" x14ac:dyDescent="0.25">
      <c r="A2315" s="203"/>
      <c r="B2315" s="205"/>
      <c r="C2315" s="35"/>
      <c r="D2315" s="35"/>
      <c r="E2315" s="36"/>
      <c r="F2315" s="30" t="s">
        <v>514</v>
      </c>
      <c r="G2315" s="33" t="str">
        <f t="shared" si="41"/>
        <v/>
      </c>
      <c r="H2315" s="34"/>
      <c r="I2315" s="30"/>
      <c r="J2315" s="148">
        <v>30</v>
      </c>
      <c r="K2315" s="222" t="s">
        <v>8074</v>
      </c>
    </row>
    <row r="2316" spans="1:11" ht="15.75" hidden="1" thickBot="1" x14ac:dyDescent="0.3">
      <c r="A2316" s="202" t="s">
        <v>704</v>
      </c>
      <c r="B2316" s="204" t="str">
        <f>INDEX(Orçamentária!A:B,MATCH(Composições!A2316,Orçamentária!A:A,0),2)</f>
        <v>Dobradiça para porta</v>
      </c>
      <c r="C2316" s="40"/>
      <c r="D2316" s="25" t="str">
        <f>TRIM(INDEX(Orçamentária!C:C,MATCH(Composições!A2316,Orçamentária!A:A,0),1))</f>
        <v>un</v>
      </c>
      <c r="E2316" s="26"/>
      <c r="F2316" s="41" t="s">
        <v>514</v>
      </c>
      <c r="G2316" s="27" t="str">
        <f t="shared" si="41"/>
        <v/>
      </c>
      <c r="H2316" s="28"/>
      <c r="I2316" s="29"/>
      <c r="J2316" s="148">
        <v>360</v>
      </c>
      <c r="K2316" s="222" t="s">
        <v>8074</v>
      </c>
    </row>
    <row r="2317" spans="1:11" hidden="1" x14ac:dyDescent="0.25">
      <c r="A2317" s="203"/>
      <c r="B2317" s="205"/>
      <c r="C2317" s="31"/>
      <c r="D2317" s="31"/>
      <c r="E2317" s="32"/>
      <c r="F2317" s="42" t="s">
        <v>514</v>
      </c>
      <c r="G2317" s="33" t="str">
        <f t="shared" si="41"/>
        <v/>
      </c>
      <c r="H2317" s="34"/>
      <c r="I2317" s="30"/>
      <c r="J2317" s="148">
        <v>360</v>
      </c>
      <c r="K2317" s="222" t="s">
        <v>8074</v>
      </c>
    </row>
    <row r="2318" spans="1:11" ht="25.5" hidden="1" x14ac:dyDescent="0.25">
      <c r="A2318" s="203"/>
      <c r="B2318" s="205"/>
      <c r="C2318" s="35" t="s">
        <v>692</v>
      </c>
      <c r="D2318" s="46" t="s">
        <v>278</v>
      </c>
      <c r="E2318" s="36">
        <v>1</v>
      </c>
      <c r="F2318" s="33">
        <v>22.676500000000001</v>
      </c>
      <c r="G2318" s="33">
        <f t="shared" si="41"/>
        <v>22.676500000000001</v>
      </c>
      <c r="H2318" s="38">
        <f>SUM(G2318:G2320)</f>
        <v>52.746261000000004</v>
      </c>
      <c r="I2318" s="39"/>
      <c r="J2318" s="148">
        <v>360</v>
      </c>
      <c r="K2318" s="222" t="s">
        <v>8074</v>
      </c>
    </row>
    <row r="2319" spans="1:11" hidden="1" x14ac:dyDescent="0.25">
      <c r="A2319" s="203"/>
      <c r="B2319" s="205"/>
      <c r="C2319" s="35" t="s">
        <v>696</v>
      </c>
      <c r="D2319" s="46" t="s">
        <v>12</v>
      </c>
      <c r="E2319" s="36">
        <v>0.45800000000000002</v>
      </c>
      <c r="F2319" s="30">
        <v>18.420500000000001</v>
      </c>
      <c r="G2319" s="33">
        <f t="shared" si="41"/>
        <v>8.4365890000000014</v>
      </c>
      <c r="H2319" s="34"/>
      <c r="I2319" s="30"/>
      <c r="J2319" s="148">
        <v>360</v>
      </c>
      <c r="K2319" s="222" t="s">
        <v>8074</v>
      </c>
    </row>
    <row r="2320" spans="1:11" hidden="1" x14ac:dyDescent="0.25">
      <c r="A2320" s="203"/>
      <c r="B2320" s="205"/>
      <c r="C2320" s="35" t="s">
        <v>44</v>
      </c>
      <c r="D2320" s="46" t="s">
        <v>12</v>
      </c>
      <c r="E2320" s="36">
        <v>0.91600000000000004</v>
      </c>
      <c r="F2320" s="30">
        <v>23.616999999999997</v>
      </c>
      <c r="G2320" s="33">
        <f t="shared" si="41"/>
        <v>21.633171999999998</v>
      </c>
      <c r="H2320" s="34"/>
      <c r="I2320" s="30"/>
      <c r="J2320" s="148">
        <v>360</v>
      </c>
      <c r="K2320" s="222" t="s">
        <v>8074</v>
      </c>
    </row>
    <row r="2321" spans="1:11" ht="15.75" hidden="1" thickBot="1" x14ac:dyDescent="0.3">
      <c r="A2321" s="209"/>
      <c r="B2321" s="206"/>
      <c r="C2321" s="35"/>
      <c r="D2321" s="35"/>
      <c r="E2321" s="36"/>
      <c r="F2321" s="30" t="s">
        <v>514</v>
      </c>
      <c r="G2321" s="33" t="str">
        <f t="shared" si="41"/>
        <v/>
      </c>
      <c r="H2321" s="34"/>
      <c r="I2321" s="30"/>
      <c r="J2321" s="148">
        <v>360</v>
      </c>
      <c r="K2321" s="222" t="s">
        <v>8074</v>
      </c>
    </row>
    <row r="2322" spans="1:11" ht="15.75" hidden="1" thickBot="1" x14ac:dyDescent="0.3">
      <c r="A2322" s="202" t="s">
        <v>705</v>
      </c>
      <c r="B2322" s="204" t="str">
        <f>INDEX(Orçamentária!A:B,MATCH(Composições!A2322,Orçamentária!A:A,0),2)</f>
        <v>Fechadura para banheiro maçaneta em barra</v>
      </c>
      <c r="C2322" s="40"/>
      <c r="D2322" s="25" t="str">
        <f>TRIM(INDEX(Orçamentária!C:C,MATCH(Composições!A2322,Orçamentária!A:A,0),1))</f>
        <v>un</v>
      </c>
      <c r="E2322" s="26"/>
      <c r="F2322" s="41" t="s">
        <v>514</v>
      </c>
      <c r="G2322" s="27" t="str">
        <f t="shared" si="41"/>
        <v/>
      </c>
      <c r="H2322" s="28"/>
      <c r="I2322" s="29"/>
      <c r="J2322" s="148">
        <v>15</v>
      </c>
      <c r="K2322" s="222" t="s">
        <v>8074</v>
      </c>
    </row>
    <row r="2323" spans="1:11" hidden="1" x14ac:dyDescent="0.25">
      <c r="A2323" s="203"/>
      <c r="B2323" s="205"/>
      <c r="C2323" s="31"/>
      <c r="D2323" s="31"/>
      <c r="E2323" s="32"/>
      <c r="F2323" s="42" t="s">
        <v>514</v>
      </c>
      <c r="G2323" s="33" t="str">
        <f t="shared" si="41"/>
        <v/>
      </c>
      <c r="H2323" s="34"/>
      <c r="I2323" s="30"/>
      <c r="J2323" s="148">
        <v>15</v>
      </c>
      <c r="K2323" s="222" t="s">
        <v>8074</v>
      </c>
    </row>
    <row r="2324" spans="1:11" ht="38.25" hidden="1" x14ac:dyDescent="0.25">
      <c r="A2324" s="203"/>
      <c r="B2324" s="205"/>
      <c r="C2324" s="35" t="s">
        <v>706</v>
      </c>
      <c r="D2324" s="46" t="s">
        <v>143</v>
      </c>
      <c r="E2324" s="36">
        <v>1</v>
      </c>
      <c r="F2324" s="33">
        <v>147.21</v>
      </c>
      <c r="G2324" s="33">
        <f t="shared" si="41"/>
        <v>147.21</v>
      </c>
      <c r="H2324" s="38">
        <f>SUM(G2324:G2326)</f>
        <v>172.39771100000002</v>
      </c>
      <c r="I2324" s="39"/>
      <c r="J2324" s="148">
        <v>15</v>
      </c>
      <c r="K2324" s="222" t="s">
        <v>8074</v>
      </c>
    </row>
    <row r="2325" spans="1:11" hidden="1" x14ac:dyDescent="0.25">
      <c r="A2325" s="203"/>
      <c r="B2325" s="205"/>
      <c r="C2325" s="35" t="s">
        <v>44</v>
      </c>
      <c r="D2325" s="46" t="s">
        <v>12</v>
      </c>
      <c r="E2325" s="36">
        <v>0.76700000000000002</v>
      </c>
      <c r="F2325" s="30">
        <v>23.616999999999997</v>
      </c>
      <c r="G2325" s="33">
        <f t="shared" si="41"/>
        <v>18.114238999999998</v>
      </c>
      <c r="H2325" s="34"/>
      <c r="I2325" s="30"/>
      <c r="J2325" s="148">
        <v>15</v>
      </c>
      <c r="K2325" s="222" t="s">
        <v>8074</v>
      </c>
    </row>
    <row r="2326" spans="1:11" hidden="1" x14ac:dyDescent="0.25">
      <c r="A2326" s="203"/>
      <c r="B2326" s="205"/>
      <c r="C2326" s="35" t="s">
        <v>23</v>
      </c>
      <c r="D2326" s="46" t="s">
        <v>12</v>
      </c>
      <c r="E2326" s="36">
        <v>0.38400000000000001</v>
      </c>
      <c r="F2326" s="30">
        <v>18.420500000000001</v>
      </c>
      <c r="G2326" s="33">
        <f t="shared" si="41"/>
        <v>7.0734720000000006</v>
      </c>
      <c r="H2326" s="34"/>
      <c r="I2326" s="30"/>
      <c r="J2326" s="148">
        <v>15</v>
      </c>
      <c r="K2326" s="222" t="s">
        <v>8074</v>
      </c>
    </row>
    <row r="2327" spans="1:11" ht="15.75" hidden="1" thickBot="1" x14ac:dyDescent="0.3">
      <c r="A2327" s="209"/>
      <c r="B2327" s="206"/>
      <c r="C2327" s="35"/>
      <c r="D2327" s="35"/>
      <c r="E2327" s="36"/>
      <c r="F2327" s="30" t="s">
        <v>514</v>
      </c>
      <c r="G2327" s="33" t="str">
        <f t="shared" si="41"/>
        <v/>
      </c>
      <c r="H2327" s="34"/>
      <c r="I2327" s="30"/>
      <c r="J2327" s="148">
        <v>15</v>
      </c>
      <c r="K2327" s="222" t="s">
        <v>8074</v>
      </c>
    </row>
    <row r="2328" spans="1:11" ht="15.75" hidden="1" thickBot="1" x14ac:dyDescent="0.3">
      <c r="A2328" s="202" t="s">
        <v>707</v>
      </c>
      <c r="B2328" s="204" t="str">
        <f>INDEX(Orçamentária!A:B,MATCH(Composições!A2328,Orçamentária!A:A,0),2)</f>
        <v>Fechadura para porta externa maçaneta em barra</v>
      </c>
      <c r="C2328" s="40"/>
      <c r="D2328" s="25" t="str">
        <f>TRIM(INDEX(Orçamentária!C:C,MATCH(Composições!A2328,Orçamentária!A:A,0),1))</f>
        <v>un</v>
      </c>
      <c r="E2328" s="26"/>
      <c r="F2328" s="41" t="s">
        <v>514</v>
      </c>
      <c r="G2328" s="27" t="str">
        <f t="shared" si="41"/>
        <v/>
      </c>
      <c r="H2328" s="28"/>
      <c r="I2328" s="29"/>
      <c r="J2328" s="148">
        <v>20</v>
      </c>
      <c r="K2328" s="222" t="s">
        <v>8074</v>
      </c>
    </row>
    <row r="2329" spans="1:11" hidden="1" x14ac:dyDescent="0.25">
      <c r="A2329" s="203"/>
      <c r="B2329" s="205"/>
      <c r="C2329" s="31"/>
      <c r="D2329" s="31"/>
      <c r="E2329" s="32"/>
      <c r="F2329" s="42" t="s">
        <v>514</v>
      </c>
      <c r="G2329" s="33" t="str">
        <f t="shared" si="41"/>
        <v/>
      </c>
      <c r="H2329" s="34"/>
      <c r="I2329" s="30"/>
      <c r="J2329" s="148">
        <v>20</v>
      </c>
      <c r="K2329" s="222" t="s">
        <v>8074</v>
      </c>
    </row>
    <row r="2330" spans="1:11" ht="38.25" hidden="1" x14ac:dyDescent="0.25">
      <c r="A2330" s="203"/>
      <c r="B2330" s="205"/>
      <c r="C2330" s="35" t="s">
        <v>708</v>
      </c>
      <c r="D2330" s="46" t="s">
        <v>143</v>
      </c>
      <c r="E2330" s="36">
        <v>1</v>
      </c>
      <c r="F2330" s="33">
        <v>163.87</v>
      </c>
      <c r="G2330" s="33">
        <f t="shared" si="41"/>
        <v>163.87</v>
      </c>
      <c r="H2330" s="38">
        <f>SUM(G2330:G2332)</f>
        <v>196.76290449999999</v>
      </c>
      <c r="I2330" s="39"/>
      <c r="J2330" s="148">
        <v>20</v>
      </c>
      <c r="K2330" s="222" t="s">
        <v>8074</v>
      </c>
    </row>
    <row r="2331" spans="1:11" hidden="1" x14ac:dyDescent="0.25">
      <c r="A2331" s="203"/>
      <c r="B2331" s="205"/>
      <c r="C2331" s="35" t="s">
        <v>44</v>
      </c>
      <c r="D2331" s="46" t="s">
        <v>12</v>
      </c>
      <c r="E2331" s="36">
        <v>1.002</v>
      </c>
      <c r="F2331" s="30">
        <v>23.616999999999997</v>
      </c>
      <c r="G2331" s="33">
        <f t="shared" si="41"/>
        <v>23.664233999999997</v>
      </c>
      <c r="H2331" s="34"/>
      <c r="I2331" s="30"/>
      <c r="J2331" s="148">
        <v>20</v>
      </c>
      <c r="K2331" s="222" t="s">
        <v>8074</v>
      </c>
    </row>
    <row r="2332" spans="1:11" hidden="1" x14ac:dyDescent="0.25">
      <c r="A2332" s="203"/>
      <c r="B2332" s="205"/>
      <c r="C2332" s="35" t="s">
        <v>23</v>
      </c>
      <c r="D2332" s="46" t="s">
        <v>12</v>
      </c>
      <c r="E2332" s="36">
        <v>0.501</v>
      </c>
      <c r="F2332" s="30">
        <v>18.420500000000001</v>
      </c>
      <c r="G2332" s="33">
        <f t="shared" si="41"/>
        <v>9.2286704999999998</v>
      </c>
      <c r="H2332" s="34"/>
      <c r="I2332" s="30"/>
      <c r="J2332" s="148">
        <v>20</v>
      </c>
      <c r="K2332" s="222" t="s">
        <v>8074</v>
      </c>
    </row>
    <row r="2333" spans="1:11" ht="15.75" hidden="1" thickBot="1" x14ac:dyDescent="0.3">
      <c r="A2333" s="209"/>
      <c r="B2333" s="206"/>
      <c r="C2333" s="35"/>
      <c r="D2333" s="35"/>
      <c r="E2333" s="36"/>
      <c r="F2333" s="30" t="s">
        <v>514</v>
      </c>
      <c r="G2333" s="33" t="str">
        <f t="shared" si="41"/>
        <v/>
      </c>
      <c r="H2333" s="34"/>
      <c r="I2333" s="30"/>
      <c r="J2333" s="148">
        <v>20</v>
      </c>
      <c r="K2333" s="222" t="s">
        <v>8074</v>
      </c>
    </row>
    <row r="2334" spans="1:11" ht="15.75" hidden="1" thickBot="1" x14ac:dyDescent="0.3">
      <c r="A2334" s="202" t="s">
        <v>709</v>
      </c>
      <c r="B2334" s="204" t="str">
        <f>INDEX(Orçamentária!A:B,MATCH(Composições!A2334,Orçamentária!A:A,0),2)</f>
        <v>Fechadura para porta interna maçaneta tubular</v>
      </c>
      <c r="C2334" s="40"/>
      <c r="D2334" s="25" t="str">
        <f>TRIM(INDEX(Orçamentária!C:C,MATCH(Composições!A2334,Orçamentária!A:A,0),1))</f>
        <v>un</v>
      </c>
      <c r="E2334" s="26"/>
      <c r="F2334" s="41" t="s">
        <v>514</v>
      </c>
      <c r="G2334" s="27" t="str">
        <f t="shared" si="41"/>
        <v/>
      </c>
      <c r="H2334" s="28"/>
      <c r="I2334" s="29"/>
      <c r="J2334" s="148">
        <v>145</v>
      </c>
      <c r="K2334" s="222" t="s">
        <v>8074</v>
      </c>
    </row>
    <row r="2335" spans="1:11" hidden="1" x14ac:dyDescent="0.25">
      <c r="A2335" s="203"/>
      <c r="B2335" s="205"/>
      <c r="C2335" s="31"/>
      <c r="D2335" s="31"/>
      <c r="E2335" s="32"/>
      <c r="F2335" s="42" t="s">
        <v>514</v>
      </c>
      <c r="G2335" s="33" t="str">
        <f t="shared" si="41"/>
        <v/>
      </c>
      <c r="H2335" s="34"/>
      <c r="I2335" s="30"/>
      <c r="J2335" s="148">
        <v>145</v>
      </c>
      <c r="K2335" s="222" t="s">
        <v>8074</v>
      </c>
    </row>
    <row r="2336" spans="1:11" ht="38.25" hidden="1" x14ac:dyDescent="0.25">
      <c r="A2336" s="203"/>
      <c r="B2336" s="205"/>
      <c r="C2336" s="35" t="s">
        <v>710</v>
      </c>
      <c r="D2336" s="46" t="s">
        <v>143</v>
      </c>
      <c r="E2336" s="36">
        <v>1</v>
      </c>
      <c r="F2336" s="33">
        <v>896.52</v>
      </c>
      <c r="G2336" s="33">
        <f t="shared" si="41"/>
        <v>896.52</v>
      </c>
      <c r="H2336" s="38">
        <f>SUM(G2336:G2338)</f>
        <v>929.41290449999997</v>
      </c>
      <c r="I2336" s="39"/>
      <c r="J2336" s="148">
        <v>145</v>
      </c>
      <c r="K2336" s="222" t="s">
        <v>8074</v>
      </c>
    </row>
    <row r="2337" spans="1:11" hidden="1" x14ac:dyDescent="0.25">
      <c r="A2337" s="203"/>
      <c r="B2337" s="205"/>
      <c r="C2337" s="35" t="s">
        <v>44</v>
      </c>
      <c r="D2337" s="46" t="s">
        <v>12</v>
      </c>
      <c r="E2337" s="36">
        <v>1.002</v>
      </c>
      <c r="F2337" s="30">
        <v>23.616999999999997</v>
      </c>
      <c r="G2337" s="33">
        <f t="shared" si="41"/>
        <v>23.664233999999997</v>
      </c>
      <c r="H2337" s="34"/>
      <c r="I2337" s="30"/>
      <c r="J2337" s="148">
        <v>145</v>
      </c>
      <c r="K2337" s="222" t="s">
        <v>8074</v>
      </c>
    </row>
    <row r="2338" spans="1:11" hidden="1" x14ac:dyDescent="0.25">
      <c r="A2338" s="203"/>
      <c r="B2338" s="205"/>
      <c r="C2338" s="35" t="s">
        <v>23</v>
      </c>
      <c r="D2338" s="46" t="s">
        <v>12</v>
      </c>
      <c r="E2338" s="36">
        <v>0.501</v>
      </c>
      <c r="F2338" s="30">
        <v>18.420500000000001</v>
      </c>
      <c r="G2338" s="33">
        <f t="shared" si="41"/>
        <v>9.2286704999999998</v>
      </c>
      <c r="H2338" s="34"/>
      <c r="I2338" s="30"/>
      <c r="J2338" s="148">
        <v>145</v>
      </c>
      <c r="K2338" s="222" t="s">
        <v>8074</v>
      </c>
    </row>
    <row r="2339" spans="1:11" ht="15.75" hidden="1" thickBot="1" x14ac:dyDescent="0.3">
      <c r="A2339" s="209"/>
      <c r="B2339" s="206"/>
      <c r="C2339" s="35"/>
      <c r="D2339" s="35"/>
      <c r="E2339" s="36"/>
      <c r="F2339" s="30" t="s">
        <v>514</v>
      </c>
      <c r="G2339" s="33" t="str">
        <f t="shared" si="41"/>
        <v/>
      </c>
      <c r="H2339" s="34"/>
      <c r="I2339" s="30"/>
      <c r="J2339" s="148">
        <v>145</v>
      </c>
      <c r="K2339" s="222" t="s">
        <v>8074</v>
      </c>
    </row>
    <row r="2340" spans="1:11" ht="15.75" hidden="1" thickBot="1" x14ac:dyDescent="0.3">
      <c r="A2340" s="202" t="s">
        <v>711</v>
      </c>
      <c r="B2340" s="204" t="str">
        <f>INDEX(Orçamentária!A:B,MATCH(Composições!A2340,Orçamentária!A:A,0),2)</f>
        <v>Instalação de fechadura/puxador de porta reaproveitados</v>
      </c>
      <c r="C2340" s="40"/>
      <c r="D2340" s="25" t="str">
        <f>TRIM(INDEX(Orçamentária!C:C,MATCH(Composições!A2340,Orçamentária!A:A,0),1))</f>
        <v>un</v>
      </c>
      <c r="E2340" s="26"/>
      <c r="F2340" s="41" t="s">
        <v>514</v>
      </c>
      <c r="G2340" s="27" t="str">
        <f t="shared" si="41"/>
        <v/>
      </c>
      <c r="H2340" s="28"/>
      <c r="I2340" s="29"/>
      <c r="J2340" s="148">
        <v>25</v>
      </c>
      <c r="K2340" s="222" t="s">
        <v>8074</v>
      </c>
    </row>
    <row r="2341" spans="1:11" hidden="1" x14ac:dyDescent="0.25">
      <c r="A2341" s="203"/>
      <c r="B2341" s="205"/>
      <c r="C2341" s="31"/>
      <c r="D2341" s="31"/>
      <c r="E2341" s="32"/>
      <c r="F2341" s="42" t="s">
        <v>514</v>
      </c>
      <c r="G2341" s="33" t="str">
        <f t="shared" si="41"/>
        <v/>
      </c>
      <c r="H2341" s="34"/>
      <c r="I2341" s="30"/>
      <c r="J2341" s="148">
        <v>25</v>
      </c>
      <c r="K2341" s="222" t="s">
        <v>8074</v>
      </c>
    </row>
    <row r="2342" spans="1:11" hidden="1" x14ac:dyDescent="0.25">
      <c r="A2342" s="203"/>
      <c r="B2342" s="205"/>
      <c r="C2342" s="35" t="s">
        <v>44</v>
      </c>
      <c r="D2342" s="35" t="s">
        <v>12</v>
      </c>
      <c r="E2342" s="36">
        <v>1.002</v>
      </c>
      <c r="F2342" s="30">
        <v>23.616999999999997</v>
      </c>
      <c r="G2342" s="33">
        <f t="shared" si="41"/>
        <v>23.664233999999997</v>
      </c>
      <c r="H2342" s="38">
        <f>SUM(G2342:G2343)</f>
        <v>32.8929045</v>
      </c>
      <c r="I2342" s="39"/>
      <c r="J2342" s="148">
        <v>25</v>
      </c>
      <c r="K2342" s="222" t="s">
        <v>8074</v>
      </c>
    </row>
    <row r="2343" spans="1:11" hidden="1" x14ac:dyDescent="0.25">
      <c r="A2343" s="203"/>
      <c r="B2343" s="205"/>
      <c r="C2343" s="35" t="s">
        <v>23</v>
      </c>
      <c r="D2343" s="35" t="s">
        <v>12</v>
      </c>
      <c r="E2343" s="36">
        <v>0.501</v>
      </c>
      <c r="F2343" s="30">
        <v>18.420500000000001</v>
      </c>
      <c r="G2343" s="33">
        <f t="shared" si="41"/>
        <v>9.2286704999999998</v>
      </c>
      <c r="H2343" s="34"/>
      <c r="I2343" s="30"/>
      <c r="J2343" s="148">
        <v>25</v>
      </c>
      <c r="K2343" s="222" t="s">
        <v>8074</v>
      </c>
    </row>
    <row r="2344" spans="1:11" ht="15.75" hidden="1" thickBot="1" x14ac:dyDescent="0.3">
      <c r="A2344" s="209"/>
      <c r="B2344" s="206"/>
      <c r="C2344" s="35"/>
      <c r="D2344" s="35"/>
      <c r="E2344" s="36"/>
      <c r="F2344" s="30" t="s">
        <v>514</v>
      </c>
      <c r="G2344" s="33" t="str">
        <f t="shared" si="41"/>
        <v/>
      </c>
      <c r="H2344" s="34"/>
      <c r="I2344" s="30"/>
      <c r="J2344" s="148">
        <v>25</v>
      </c>
      <c r="K2344" s="222" t="s">
        <v>8074</v>
      </c>
    </row>
    <row r="2345" spans="1:11" ht="15.75" hidden="1" thickBot="1" x14ac:dyDescent="0.3">
      <c r="A2345" s="202" t="s">
        <v>712</v>
      </c>
      <c r="B2345" s="204" t="str">
        <f>INDEX(Orçamentária!A:B,MATCH(Composições!A2345,Orçamentária!A:A,0),2)</f>
        <v>Mola hidráulica aérea</v>
      </c>
      <c r="C2345" s="40"/>
      <c r="D2345" s="25" t="str">
        <f>TRIM(INDEX(Orçamentária!C:C,MATCH(Composições!A2345,Orçamentária!A:A,0),1))</f>
        <v>un</v>
      </c>
      <c r="E2345" s="26"/>
      <c r="F2345" s="41" t="s">
        <v>514</v>
      </c>
      <c r="G2345" s="27" t="str">
        <f t="shared" si="41"/>
        <v/>
      </c>
      <c r="H2345" s="28"/>
      <c r="I2345" s="29"/>
      <c r="J2345" s="148">
        <v>20</v>
      </c>
      <c r="K2345" s="222" t="s">
        <v>8074</v>
      </c>
    </row>
    <row r="2346" spans="1:11" hidden="1" x14ac:dyDescent="0.25">
      <c r="A2346" s="203"/>
      <c r="B2346" s="205"/>
      <c r="C2346" s="31"/>
      <c r="D2346" s="31"/>
      <c r="E2346" s="32"/>
      <c r="F2346" s="42" t="s">
        <v>514</v>
      </c>
      <c r="G2346" s="33" t="str">
        <f t="shared" si="41"/>
        <v/>
      </c>
      <c r="H2346" s="34"/>
      <c r="I2346" s="30"/>
      <c r="J2346" s="148">
        <v>20</v>
      </c>
      <c r="K2346" s="222" t="s">
        <v>8074</v>
      </c>
    </row>
    <row r="2347" spans="1:11" hidden="1" x14ac:dyDescent="0.25">
      <c r="A2347" s="203"/>
      <c r="B2347" s="205"/>
      <c r="C2347" s="35" t="s">
        <v>598</v>
      </c>
      <c r="D2347" s="35" t="s">
        <v>12</v>
      </c>
      <c r="E2347" s="36">
        <v>1</v>
      </c>
      <c r="F2347" s="30">
        <v>23.331999999999997</v>
      </c>
      <c r="G2347" s="33">
        <f t="shared" si="41"/>
        <v>23.331999999999997</v>
      </c>
      <c r="H2347" s="38">
        <f>SUM(G2347:G2348)</f>
        <v>291.24200000000002</v>
      </c>
      <c r="I2347" s="39"/>
      <c r="J2347" s="148">
        <v>20</v>
      </c>
      <c r="K2347" s="222" t="s">
        <v>8074</v>
      </c>
    </row>
    <row r="2348" spans="1:11" ht="25.5" hidden="1" x14ac:dyDescent="0.25">
      <c r="A2348" s="203"/>
      <c r="B2348" s="205"/>
      <c r="C2348" s="35" t="s">
        <v>713</v>
      </c>
      <c r="D2348" s="35" t="s">
        <v>20</v>
      </c>
      <c r="E2348" s="36">
        <v>1</v>
      </c>
      <c r="F2348" s="33">
        <v>267.91000000000003</v>
      </c>
      <c r="G2348" s="33">
        <f t="shared" si="41"/>
        <v>267.91000000000003</v>
      </c>
      <c r="H2348" s="34"/>
      <c r="I2348" s="30"/>
      <c r="J2348" s="148">
        <v>20</v>
      </c>
      <c r="K2348" s="222" t="s">
        <v>8074</v>
      </c>
    </row>
    <row r="2349" spans="1:11" ht="15.75" hidden="1" thickBot="1" x14ac:dyDescent="0.3">
      <c r="A2349" s="209"/>
      <c r="B2349" s="206"/>
      <c r="C2349" s="35"/>
      <c r="D2349" s="35"/>
      <c r="E2349" s="36"/>
      <c r="F2349" s="30" t="s">
        <v>514</v>
      </c>
      <c r="G2349" s="33" t="str">
        <f t="shared" si="41"/>
        <v/>
      </c>
      <c r="H2349" s="34"/>
      <c r="I2349" s="30"/>
      <c r="J2349" s="148">
        <v>20</v>
      </c>
      <c r="K2349" s="222" t="s">
        <v>8074</v>
      </c>
    </row>
    <row r="2350" spans="1:11" ht="15.75" hidden="1" thickBot="1" x14ac:dyDescent="0.3">
      <c r="A2350" s="202" t="s">
        <v>714</v>
      </c>
      <c r="B2350" s="204" t="str">
        <f>INDEX(Orçamentária!A:B,MATCH(Composições!A2350,Orçamentária!A:A,0),2)</f>
        <v>Pivô em latão com acabamento cromado para portas pivotantes</v>
      </c>
      <c r="C2350" s="40"/>
      <c r="D2350" s="25" t="str">
        <f>TRIM(INDEX(Orçamentária!C:C,MATCH(Composições!A2350,Orçamentária!A:A,0),1))</f>
        <v>un</v>
      </c>
      <c r="E2350" s="26"/>
      <c r="F2350" s="41" t="s">
        <v>514</v>
      </c>
      <c r="G2350" s="27" t="str">
        <f t="shared" si="41"/>
        <v/>
      </c>
      <c r="H2350" s="28"/>
      <c r="I2350" s="29"/>
      <c r="J2350" s="148">
        <v>20</v>
      </c>
      <c r="K2350" s="222" t="s">
        <v>8074</v>
      </c>
    </row>
    <row r="2351" spans="1:11" hidden="1" x14ac:dyDescent="0.25">
      <c r="A2351" s="203"/>
      <c r="B2351" s="205"/>
      <c r="C2351" s="31"/>
      <c r="D2351" s="31"/>
      <c r="E2351" s="32"/>
      <c r="F2351" s="42" t="s">
        <v>514</v>
      </c>
      <c r="G2351" s="33" t="str">
        <f t="shared" si="41"/>
        <v/>
      </c>
      <c r="H2351" s="34"/>
      <c r="I2351" s="30"/>
      <c r="J2351" s="148">
        <v>20</v>
      </c>
      <c r="K2351" s="222" t="s">
        <v>8074</v>
      </c>
    </row>
    <row r="2352" spans="1:11" hidden="1" x14ac:dyDescent="0.25">
      <c r="A2352" s="203"/>
      <c r="B2352" s="205"/>
      <c r="C2352" s="35" t="s">
        <v>598</v>
      </c>
      <c r="D2352" s="35" t="s">
        <v>12</v>
      </c>
      <c r="E2352" s="36">
        <f>1/2</f>
        <v>0.5</v>
      </c>
      <c r="F2352" s="30">
        <v>23.331999999999997</v>
      </c>
      <c r="G2352" s="33">
        <f t="shared" si="41"/>
        <v>11.665999999999999</v>
      </c>
      <c r="H2352" s="38">
        <f>SUM(G2352:G2353)</f>
        <v>79.566000000000003</v>
      </c>
      <c r="I2352" s="39"/>
      <c r="J2352" s="148">
        <v>20</v>
      </c>
      <c r="K2352" s="222" t="s">
        <v>8074</v>
      </c>
    </row>
    <row r="2353" spans="1:11" ht="38.25" hidden="1" x14ac:dyDescent="0.25">
      <c r="A2353" s="203"/>
      <c r="B2353" s="205"/>
      <c r="C2353" s="35" t="s">
        <v>715</v>
      </c>
      <c r="D2353" s="35" t="s">
        <v>20</v>
      </c>
      <c r="E2353" s="36">
        <v>1</v>
      </c>
      <c r="F2353" s="33">
        <v>67.900000000000006</v>
      </c>
      <c r="G2353" s="33">
        <f t="shared" si="41"/>
        <v>67.900000000000006</v>
      </c>
      <c r="H2353" s="34"/>
      <c r="I2353" s="30"/>
      <c r="J2353" s="148">
        <v>20</v>
      </c>
      <c r="K2353" s="222" t="s">
        <v>8074</v>
      </c>
    </row>
    <row r="2354" spans="1:11" ht="15.75" hidden="1" thickBot="1" x14ac:dyDescent="0.3">
      <c r="A2354" s="209"/>
      <c r="B2354" s="206"/>
      <c r="C2354" s="35"/>
      <c r="D2354" s="35"/>
      <c r="E2354" s="36"/>
      <c r="F2354" s="30" t="s">
        <v>514</v>
      </c>
      <c r="G2354" s="33" t="str">
        <f t="shared" si="41"/>
        <v/>
      </c>
      <c r="H2354" s="34"/>
      <c r="I2354" s="30"/>
      <c r="J2354" s="148">
        <v>20</v>
      </c>
      <c r="K2354" s="222" t="s">
        <v>8074</v>
      </c>
    </row>
    <row r="2355" spans="1:11" ht="15.75" hidden="1" thickBot="1" x14ac:dyDescent="0.3">
      <c r="A2355" s="202" t="s">
        <v>716</v>
      </c>
      <c r="B2355" s="204" t="str">
        <f>INDEX(Orçamentária!A:B,MATCH(Composições!A2355,Orçamentária!A:A,0),2)</f>
        <v>Cabo de dados tipo UTP, tipo LSZH, categoria 6</v>
      </c>
      <c r="C2355" s="40"/>
      <c r="D2355" s="25" t="str">
        <f>TRIM(INDEX(Orçamentária!C:C,MATCH(Composições!A2355,Orçamentária!A:A,0),1))</f>
        <v>m</v>
      </c>
      <c r="E2355" s="26"/>
      <c r="F2355" s="41" t="s">
        <v>514</v>
      </c>
      <c r="G2355" s="27" t="str">
        <f t="shared" si="41"/>
        <v/>
      </c>
      <c r="H2355" s="28"/>
      <c r="I2355" s="29"/>
      <c r="J2355" s="148">
        <v>15000</v>
      </c>
      <c r="K2355" s="222" t="s">
        <v>8074</v>
      </c>
    </row>
    <row r="2356" spans="1:11" hidden="1" x14ac:dyDescent="0.25">
      <c r="A2356" s="203"/>
      <c r="B2356" s="205"/>
      <c r="C2356" s="31"/>
      <c r="D2356" s="31"/>
      <c r="E2356" s="32"/>
      <c r="F2356" s="42" t="s">
        <v>514</v>
      </c>
      <c r="G2356" s="33" t="str">
        <f t="shared" si="41"/>
        <v/>
      </c>
      <c r="H2356" s="34"/>
      <c r="I2356" s="30"/>
      <c r="J2356" s="148">
        <v>15000</v>
      </c>
      <c r="K2356" s="222" t="s">
        <v>8074</v>
      </c>
    </row>
    <row r="2357" spans="1:11" hidden="1" x14ac:dyDescent="0.25">
      <c r="A2357" s="203"/>
      <c r="B2357" s="205"/>
      <c r="C2357" s="35" t="s">
        <v>74</v>
      </c>
      <c r="D2357" s="35" t="s">
        <v>12</v>
      </c>
      <c r="E2357" s="36">
        <v>2.8E-3</v>
      </c>
      <c r="F2357" s="30">
        <v>19.4085</v>
      </c>
      <c r="G2357" s="33">
        <f t="shared" si="41"/>
        <v>5.4343799999999998E-2</v>
      </c>
      <c r="H2357" s="38">
        <f>SUM(G2357:G2359)</f>
        <v>7.6952540000000003</v>
      </c>
      <c r="I2357" s="39"/>
      <c r="J2357" s="148">
        <v>15000</v>
      </c>
      <c r="K2357" s="222" t="s">
        <v>8074</v>
      </c>
    </row>
    <row r="2358" spans="1:11" hidden="1" x14ac:dyDescent="0.25">
      <c r="A2358" s="203"/>
      <c r="B2358" s="205"/>
      <c r="C2358" s="35" t="s">
        <v>30</v>
      </c>
      <c r="D2358" s="35" t="s">
        <v>12</v>
      </c>
      <c r="E2358" s="36">
        <v>2.8E-3</v>
      </c>
      <c r="F2358" s="30">
        <v>25.146499999999996</v>
      </c>
      <c r="G2358" s="33">
        <f t="shared" si="41"/>
        <v>7.0410199999999992E-2</v>
      </c>
      <c r="H2358" s="34"/>
      <c r="I2358" s="30"/>
      <c r="J2358" s="148">
        <v>15000</v>
      </c>
      <c r="K2358" s="222" t="s">
        <v>8074</v>
      </c>
    </row>
    <row r="2359" spans="1:11" ht="25.5" hidden="1" x14ac:dyDescent="0.25">
      <c r="A2359" s="203"/>
      <c r="B2359" s="205"/>
      <c r="C2359" s="35" t="s">
        <v>717</v>
      </c>
      <c r="D2359" s="35" t="s">
        <v>92</v>
      </c>
      <c r="E2359" s="36">
        <v>1.05</v>
      </c>
      <c r="F2359" s="33">
        <v>7.21</v>
      </c>
      <c r="G2359" s="33">
        <f t="shared" si="41"/>
        <v>7.5705</v>
      </c>
      <c r="H2359" s="34"/>
      <c r="I2359" s="30"/>
      <c r="J2359" s="148">
        <v>15000</v>
      </c>
      <c r="K2359" s="222" t="s">
        <v>8074</v>
      </c>
    </row>
    <row r="2360" spans="1:11" ht="15.75" hidden="1" thickBot="1" x14ac:dyDescent="0.3">
      <c r="A2360" s="209"/>
      <c r="B2360" s="206"/>
      <c r="C2360" s="35"/>
      <c r="D2360" s="35"/>
      <c r="E2360" s="36"/>
      <c r="F2360" s="30" t="s">
        <v>514</v>
      </c>
      <c r="G2360" s="33" t="str">
        <f t="shared" si="41"/>
        <v/>
      </c>
      <c r="H2360" s="34"/>
      <c r="I2360" s="30"/>
      <c r="J2360" s="148">
        <v>15000</v>
      </c>
      <c r="K2360" s="222" t="s">
        <v>8074</v>
      </c>
    </row>
    <row r="2361" spans="1:11" ht="15.75" hidden="1" thickBot="1" x14ac:dyDescent="0.3">
      <c r="A2361" s="202" t="s">
        <v>718</v>
      </c>
      <c r="B2361" s="204" t="str">
        <f>INDEX(Orçamentária!A:B,MATCH(Composições!A2361,Orçamentária!A:A,0),2)</f>
        <v>Módulo (tomada) de rede RJ45, categoria 6, com conectorização e certificação</v>
      </c>
      <c r="C2361" s="40"/>
      <c r="D2361" s="25" t="str">
        <f>TRIM(INDEX(Orçamentária!C:C,MATCH(Composições!A2361,Orçamentária!A:A,0),1))</f>
        <v>un</v>
      </c>
      <c r="E2361" s="26"/>
      <c r="F2361" s="41" t="s">
        <v>514</v>
      </c>
      <c r="G2361" s="27" t="str">
        <f t="shared" si="41"/>
        <v/>
      </c>
      <c r="H2361" s="28"/>
      <c r="I2361" s="29"/>
      <c r="J2361" s="148">
        <v>500</v>
      </c>
      <c r="K2361" s="222" t="s">
        <v>8074</v>
      </c>
    </row>
    <row r="2362" spans="1:11" hidden="1" x14ac:dyDescent="0.25">
      <c r="A2362" s="203"/>
      <c r="B2362" s="205"/>
      <c r="C2362" s="31"/>
      <c r="D2362" s="31"/>
      <c r="E2362" s="32"/>
      <c r="F2362" s="42" t="s">
        <v>514</v>
      </c>
      <c r="G2362" s="33" t="str">
        <f t="shared" si="41"/>
        <v/>
      </c>
      <c r="H2362" s="34"/>
      <c r="I2362" s="30"/>
      <c r="J2362" s="148">
        <v>500</v>
      </c>
      <c r="K2362" s="222" t="s">
        <v>8074</v>
      </c>
    </row>
    <row r="2363" spans="1:11" ht="25.5" hidden="1" x14ac:dyDescent="0.25">
      <c r="A2363" s="203"/>
      <c r="B2363" s="205"/>
      <c r="C2363" s="35" t="s">
        <v>719</v>
      </c>
      <c r="D2363" s="35" t="s">
        <v>143</v>
      </c>
      <c r="E2363" s="36">
        <v>1</v>
      </c>
      <c r="F2363" s="33">
        <v>5.8</v>
      </c>
      <c r="G2363" s="33">
        <f t="shared" si="41"/>
        <v>5.8</v>
      </c>
      <c r="H2363" s="38">
        <f>SUM(G2363:G2367)</f>
        <v>81.644481999999996</v>
      </c>
      <c r="I2363" s="39"/>
      <c r="J2363" s="148">
        <v>500</v>
      </c>
      <c r="K2363" s="222" t="s">
        <v>8074</v>
      </c>
    </row>
    <row r="2364" spans="1:11" hidden="1" x14ac:dyDescent="0.25">
      <c r="A2364" s="203"/>
      <c r="B2364" s="205"/>
      <c r="C2364" s="35" t="s">
        <v>720</v>
      </c>
      <c r="D2364" s="35" t="s">
        <v>143</v>
      </c>
      <c r="E2364" s="36">
        <v>1</v>
      </c>
      <c r="F2364" s="33">
        <v>41.9</v>
      </c>
      <c r="G2364" s="33">
        <f t="shared" si="41"/>
        <v>41.9</v>
      </c>
      <c r="H2364" s="34"/>
      <c r="I2364" s="30"/>
      <c r="J2364" s="148">
        <v>500</v>
      </c>
      <c r="K2364" s="222" t="s">
        <v>8074</v>
      </c>
    </row>
    <row r="2365" spans="1:11" hidden="1" x14ac:dyDescent="0.25">
      <c r="A2365" s="203"/>
      <c r="B2365" s="205"/>
      <c r="C2365" s="35" t="s">
        <v>721</v>
      </c>
      <c r="D2365" s="35" t="s">
        <v>143</v>
      </c>
      <c r="E2365" s="36">
        <v>1</v>
      </c>
      <c r="F2365" s="33">
        <v>15.57</v>
      </c>
      <c r="G2365" s="33">
        <f t="shared" ref="G2365:G2428" si="42">IF(ISNUMBER(F2365),E2365*F2365,"")</f>
        <v>15.57</v>
      </c>
      <c r="H2365" s="34"/>
      <c r="I2365" s="30"/>
      <c r="J2365" s="148">
        <v>500</v>
      </c>
      <c r="K2365" s="222" t="s">
        <v>8074</v>
      </c>
    </row>
    <row r="2366" spans="1:11" hidden="1" x14ac:dyDescent="0.25">
      <c r="A2366" s="203"/>
      <c r="B2366" s="205"/>
      <c r="C2366" s="35" t="s">
        <v>74</v>
      </c>
      <c r="D2366" s="46" t="s">
        <v>12</v>
      </c>
      <c r="E2366" s="36">
        <f>0.2062*2</f>
        <v>0.41239999999999999</v>
      </c>
      <c r="F2366" s="30">
        <v>19.4085</v>
      </c>
      <c r="G2366" s="33">
        <f t="shared" si="42"/>
        <v>8.0040654</v>
      </c>
      <c r="H2366" s="34"/>
      <c r="I2366" s="30"/>
      <c r="J2366" s="148">
        <v>500</v>
      </c>
      <c r="K2366" s="222" t="s">
        <v>8074</v>
      </c>
    </row>
    <row r="2367" spans="1:11" hidden="1" x14ac:dyDescent="0.25">
      <c r="A2367" s="203"/>
      <c r="B2367" s="205"/>
      <c r="C2367" s="35" t="s">
        <v>30</v>
      </c>
      <c r="D2367" s="35" t="s">
        <v>12</v>
      </c>
      <c r="E2367" s="36">
        <f>0.2062*2</f>
        <v>0.41239999999999999</v>
      </c>
      <c r="F2367" s="30">
        <v>25.146499999999996</v>
      </c>
      <c r="G2367" s="33">
        <f t="shared" si="42"/>
        <v>10.370416599999999</v>
      </c>
      <c r="H2367" s="34"/>
      <c r="I2367" s="30"/>
      <c r="J2367" s="148">
        <v>500</v>
      </c>
      <c r="K2367" s="222" t="s">
        <v>8074</v>
      </c>
    </row>
    <row r="2368" spans="1:11" ht="15.75" hidden="1" thickBot="1" x14ac:dyDescent="0.3">
      <c r="A2368" s="209"/>
      <c r="B2368" s="206"/>
      <c r="C2368" s="35"/>
      <c r="D2368" s="35"/>
      <c r="E2368" s="36"/>
      <c r="F2368" s="30" t="s">
        <v>514</v>
      </c>
      <c r="G2368" s="33" t="str">
        <f t="shared" si="42"/>
        <v/>
      </c>
      <c r="H2368" s="34"/>
      <c r="I2368" s="30"/>
      <c r="J2368" s="148">
        <v>500</v>
      </c>
      <c r="K2368" s="222" t="s">
        <v>8074</v>
      </c>
    </row>
    <row r="2369" spans="1:11" ht="15.75" hidden="1" thickBot="1" x14ac:dyDescent="0.3">
      <c r="A2369" s="202" t="s">
        <v>722</v>
      </c>
      <c r="B2369" s="204" t="str">
        <f>INDEX(Orçamentária!A:B,MATCH(Composições!A2369,Orçamentária!A:A,0),2)</f>
        <v>Painel de distribuição (patch panel) de 24 portas, categoria 6</v>
      </c>
      <c r="C2369" s="40"/>
      <c r="D2369" s="25" t="str">
        <f>TRIM(INDEX(Orçamentária!C:C,MATCH(Composições!A2369,Orçamentária!A:A,0),1))</f>
        <v>un</v>
      </c>
      <c r="E2369" s="26"/>
      <c r="F2369" s="41" t="s">
        <v>514</v>
      </c>
      <c r="G2369" s="27" t="str">
        <f t="shared" si="42"/>
        <v/>
      </c>
      <c r="H2369" s="28"/>
      <c r="I2369" s="29"/>
      <c r="J2369" s="148">
        <v>25</v>
      </c>
      <c r="K2369" s="222" t="s">
        <v>8074</v>
      </c>
    </row>
    <row r="2370" spans="1:11" hidden="1" x14ac:dyDescent="0.25">
      <c r="A2370" s="203"/>
      <c r="B2370" s="205"/>
      <c r="C2370" s="31"/>
      <c r="D2370" s="31"/>
      <c r="E2370" s="32"/>
      <c r="F2370" s="42" t="s">
        <v>514</v>
      </c>
      <c r="G2370" s="33" t="str">
        <f t="shared" si="42"/>
        <v/>
      </c>
      <c r="H2370" s="34"/>
      <c r="I2370" s="30"/>
      <c r="J2370" s="148">
        <v>25</v>
      </c>
      <c r="K2370" s="222" t="s">
        <v>8074</v>
      </c>
    </row>
    <row r="2371" spans="1:11" hidden="1" x14ac:dyDescent="0.25">
      <c r="A2371" s="203"/>
      <c r="B2371" s="205"/>
      <c r="C2371" s="35" t="s">
        <v>74</v>
      </c>
      <c r="D2371" s="46" t="s">
        <v>12</v>
      </c>
      <c r="E2371" s="36">
        <f>6.2007</f>
        <v>6.2007000000000003</v>
      </c>
      <c r="F2371" s="30">
        <v>19.4085</v>
      </c>
      <c r="G2371" s="33">
        <f t="shared" si="42"/>
        <v>120.34628595000001</v>
      </c>
      <c r="H2371" s="38">
        <f>SUM(G2371:G2374)</f>
        <v>2212.7921884999996</v>
      </c>
      <c r="I2371" s="39"/>
      <c r="J2371" s="148">
        <v>25</v>
      </c>
      <c r="K2371" s="222" t="s">
        <v>8074</v>
      </c>
    </row>
    <row r="2372" spans="1:11" hidden="1" x14ac:dyDescent="0.25">
      <c r="A2372" s="203"/>
      <c r="B2372" s="205"/>
      <c r="C2372" s="35" t="s">
        <v>30</v>
      </c>
      <c r="D2372" s="35" t="s">
        <v>12</v>
      </c>
      <c r="E2372" s="36">
        <f>6.2007</f>
        <v>6.2007000000000003</v>
      </c>
      <c r="F2372" s="30">
        <v>25.146499999999996</v>
      </c>
      <c r="G2372" s="33">
        <f t="shared" si="42"/>
        <v>155.92590254999999</v>
      </c>
      <c r="H2372" s="34"/>
      <c r="I2372" s="30"/>
      <c r="J2372" s="148">
        <v>25</v>
      </c>
      <c r="K2372" s="222" t="s">
        <v>8074</v>
      </c>
    </row>
    <row r="2373" spans="1:11" ht="25.5" hidden="1" x14ac:dyDescent="0.25">
      <c r="A2373" s="203"/>
      <c r="B2373" s="205"/>
      <c r="C2373" s="35" t="s">
        <v>723</v>
      </c>
      <c r="D2373" s="35" t="s">
        <v>20</v>
      </c>
      <c r="E2373" s="36">
        <v>1</v>
      </c>
      <c r="F2373" s="33">
        <v>930.92</v>
      </c>
      <c r="G2373" s="33">
        <f t="shared" si="42"/>
        <v>930.92</v>
      </c>
      <c r="H2373" s="34"/>
      <c r="I2373" s="30"/>
      <c r="J2373" s="148">
        <v>25</v>
      </c>
      <c r="K2373" s="222" t="s">
        <v>8074</v>
      </c>
    </row>
    <row r="2374" spans="1:11" hidden="1" x14ac:dyDescent="0.25">
      <c r="A2374" s="203"/>
      <c r="B2374" s="205"/>
      <c r="C2374" s="35" t="s">
        <v>720</v>
      </c>
      <c r="D2374" s="35" t="s">
        <v>143</v>
      </c>
      <c r="E2374" s="36">
        <v>24</v>
      </c>
      <c r="F2374" s="33">
        <v>41.9</v>
      </c>
      <c r="G2374" s="33">
        <f t="shared" si="42"/>
        <v>1005.5999999999999</v>
      </c>
      <c r="H2374" s="34"/>
      <c r="I2374" s="30"/>
      <c r="J2374" s="148">
        <v>25</v>
      </c>
      <c r="K2374" s="222" t="s">
        <v>8074</v>
      </c>
    </row>
    <row r="2375" spans="1:11" ht="15.75" hidden="1" thickBot="1" x14ac:dyDescent="0.3">
      <c r="A2375" s="209"/>
      <c r="B2375" s="206"/>
      <c r="C2375" s="35"/>
      <c r="D2375" s="35"/>
      <c r="E2375" s="36"/>
      <c r="F2375" s="30" t="s">
        <v>514</v>
      </c>
      <c r="G2375" s="33" t="str">
        <f t="shared" si="42"/>
        <v/>
      </c>
      <c r="H2375" s="34"/>
      <c r="I2375" s="30"/>
      <c r="J2375" s="148">
        <v>25</v>
      </c>
      <c r="K2375" s="222" t="s">
        <v>8074</v>
      </c>
    </row>
    <row r="2376" spans="1:11" ht="15.75" hidden="1" thickBot="1" x14ac:dyDescent="0.3">
      <c r="A2376" s="202" t="s">
        <v>724</v>
      </c>
      <c r="B2376" s="204" t="str">
        <f>INDEX(Orçamentária!A:B,MATCH(Composições!A2376,Orçamentária!A:A,0),2)</f>
        <v>Cabo de telefonia tipo CCI 50x2</v>
      </c>
      <c r="C2376" s="40"/>
      <c r="D2376" s="25" t="str">
        <f>TRIM(INDEX(Orçamentária!C:C,MATCH(Composições!A2376,Orçamentária!A:A,0),1))</f>
        <v>m</v>
      </c>
      <c r="E2376" s="26"/>
      <c r="F2376" s="41" t="s">
        <v>514</v>
      </c>
      <c r="G2376" s="27" t="str">
        <f t="shared" si="42"/>
        <v/>
      </c>
      <c r="H2376" s="28"/>
      <c r="I2376" s="29"/>
      <c r="J2376" s="148">
        <v>9000</v>
      </c>
      <c r="K2376" s="222" t="s">
        <v>8074</v>
      </c>
    </row>
    <row r="2377" spans="1:11" hidden="1" x14ac:dyDescent="0.25">
      <c r="A2377" s="207"/>
      <c r="B2377" s="205"/>
      <c r="C2377" s="31"/>
      <c r="D2377" s="31"/>
      <c r="E2377" s="32"/>
      <c r="F2377" s="42" t="s">
        <v>514</v>
      </c>
      <c r="G2377" s="33" t="str">
        <f t="shared" si="42"/>
        <v/>
      </c>
      <c r="H2377" s="34"/>
      <c r="I2377" s="30"/>
      <c r="J2377" s="148">
        <v>9000</v>
      </c>
      <c r="K2377" s="222" t="s">
        <v>8074</v>
      </c>
    </row>
    <row r="2378" spans="1:11" hidden="1" x14ac:dyDescent="0.25">
      <c r="A2378" s="207"/>
      <c r="B2378" s="205"/>
      <c r="C2378" s="35" t="s">
        <v>74</v>
      </c>
      <c r="D2378" s="46" t="s">
        <v>12</v>
      </c>
      <c r="E2378" s="36">
        <v>6.4100000000000004E-2</v>
      </c>
      <c r="F2378" s="30">
        <v>19.4085</v>
      </c>
      <c r="G2378" s="33">
        <f t="shared" si="42"/>
        <v>1.2440848500000001</v>
      </c>
      <c r="H2378" s="38">
        <f>SUM(G2378:G2380)</f>
        <v>4.1427505</v>
      </c>
      <c r="I2378" s="39"/>
      <c r="J2378" s="148">
        <v>9000</v>
      </c>
      <c r="K2378" s="222" t="s">
        <v>8074</v>
      </c>
    </row>
    <row r="2379" spans="1:11" hidden="1" x14ac:dyDescent="0.25">
      <c r="A2379" s="207"/>
      <c r="B2379" s="205"/>
      <c r="C2379" s="35" t="s">
        <v>30</v>
      </c>
      <c r="D2379" s="35" t="s">
        <v>12</v>
      </c>
      <c r="E2379" s="36">
        <v>6.4100000000000004E-2</v>
      </c>
      <c r="F2379" s="30">
        <v>25.146499999999996</v>
      </c>
      <c r="G2379" s="33">
        <f t="shared" si="42"/>
        <v>1.6118906499999999</v>
      </c>
      <c r="H2379" s="34"/>
      <c r="I2379" s="30"/>
      <c r="J2379" s="148">
        <v>9000</v>
      </c>
      <c r="K2379" s="222" t="s">
        <v>8074</v>
      </c>
    </row>
    <row r="2380" spans="1:11" ht="25.5" hidden="1" x14ac:dyDescent="0.25">
      <c r="A2380" s="207"/>
      <c r="B2380" s="205"/>
      <c r="C2380" s="35" t="s">
        <v>725</v>
      </c>
      <c r="D2380" s="35" t="s">
        <v>92</v>
      </c>
      <c r="E2380" s="36">
        <v>1.05</v>
      </c>
      <c r="F2380" s="33">
        <v>1.2255</v>
      </c>
      <c r="G2380" s="33">
        <f t="shared" si="42"/>
        <v>1.286775</v>
      </c>
      <c r="H2380" s="34"/>
      <c r="I2380" s="30"/>
      <c r="J2380" s="148">
        <v>9000</v>
      </c>
      <c r="K2380" s="222" t="s">
        <v>8074</v>
      </c>
    </row>
    <row r="2381" spans="1:11" ht="15.75" hidden="1" thickBot="1" x14ac:dyDescent="0.3">
      <c r="A2381" s="208"/>
      <c r="B2381" s="206"/>
      <c r="C2381" s="35"/>
      <c r="D2381" s="35"/>
      <c r="E2381" s="36"/>
      <c r="F2381" s="33" t="s">
        <v>514</v>
      </c>
      <c r="G2381" s="33" t="str">
        <f t="shared" si="42"/>
        <v/>
      </c>
      <c r="H2381" s="34"/>
      <c r="I2381" s="30"/>
      <c r="J2381" s="148">
        <v>9000</v>
      </c>
      <c r="K2381" s="222" t="s">
        <v>8074</v>
      </c>
    </row>
    <row r="2382" spans="1:11" ht="15.75" hidden="1" thickBot="1" x14ac:dyDescent="0.3">
      <c r="A2382" s="202" t="s">
        <v>726</v>
      </c>
      <c r="B2382" s="204" t="str">
        <f>INDEX(Orçamentária!A:B,MATCH(Composições!A2382,Orçamentária!A:A,0),2)</f>
        <v>Módulo (tomada) de rede RJ45, para telefonia</v>
      </c>
      <c r="C2382" s="40"/>
      <c r="D2382" s="25" t="str">
        <f>TRIM(INDEX(Orçamentária!C:C,MATCH(Composições!A2382,Orçamentária!A:A,0),1))</f>
        <v>un</v>
      </c>
      <c r="E2382" s="26"/>
      <c r="F2382" s="41" t="s">
        <v>514</v>
      </c>
      <c r="G2382" s="27" t="str">
        <f t="shared" si="42"/>
        <v/>
      </c>
      <c r="H2382" s="28"/>
      <c r="I2382" s="29"/>
      <c r="J2382" s="148">
        <v>835</v>
      </c>
      <c r="K2382" s="222" t="s">
        <v>8074</v>
      </c>
    </row>
    <row r="2383" spans="1:11" hidden="1" x14ac:dyDescent="0.25">
      <c r="A2383" s="203"/>
      <c r="B2383" s="205"/>
      <c r="C2383" s="31"/>
      <c r="D2383" s="31"/>
      <c r="E2383" s="32"/>
      <c r="F2383" s="42" t="s">
        <v>514</v>
      </c>
      <c r="G2383" s="33" t="str">
        <f t="shared" si="42"/>
        <v/>
      </c>
      <c r="H2383" s="34"/>
      <c r="I2383" s="30"/>
      <c r="J2383" s="148">
        <v>835</v>
      </c>
      <c r="K2383" s="222" t="s">
        <v>8074</v>
      </c>
    </row>
    <row r="2384" spans="1:11" ht="25.5" hidden="1" x14ac:dyDescent="0.25">
      <c r="A2384" s="203"/>
      <c r="B2384" s="205"/>
      <c r="C2384" s="35" t="s">
        <v>727</v>
      </c>
      <c r="D2384" s="35" t="s">
        <v>143</v>
      </c>
      <c r="E2384" s="36">
        <v>1</v>
      </c>
      <c r="F2384" s="33">
        <v>5.8</v>
      </c>
      <c r="G2384" s="33">
        <f t="shared" si="42"/>
        <v>5.8</v>
      </c>
      <c r="H2384" s="38">
        <f>SUM(G2384:G2387)</f>
        <v>51.267740999999994</v>
      </c>
      <c r="I2384" s="39"/>
      <c r="J2384" s="148">
        <v>835</v>
      </c>
      <c r="K2384" s="222" t="s">
        <v>8074</v>
      </c>
    </row>
    <row r="2385" spans="1:11" hidden="1" x14ac:dyDescent="0.25">
      <c r="A2385" s="203"/>
      <c r="B2385" s="205"/>
      <c r="C2385" s="35" t="s">
        <v>728</v>
      </c>
      <c r="D2385" s="35" t="s">
        <v>278</v>
      </c>
      <c r="E2385" s="36">
        <v>1</v>
      </c>
      <c r="F2385" s="33">
        <v>36.280499999999996</v>
      </c>
      <c r="G2385" s="33">
        <f t="shared" si="42"/>
        <v>36.280499999999996</v>
      </c>
      <c r="H2385" s="34"/>
      <c r="I2385" s="30"/>
      <c r="J2385" s="148">
        <v>835</v>
      </c>
      <c r="K2385" s="222" t="s">
        <v>8074</v>
      </c>
    </row>
    <row r="2386" spans="1:11" hidden="1" x14ac:dyDescent="0.25">
      <c r="A2386" s="203"/>
      <c r="B2386" s="205"/>
      <c r="C2386" s="35" t="s">
        <v>74</v>
      </c>
      <c r="D2386" s="46" t="s">
        <v>12</v>
      </c>
      <c r="E2386" s="36">
        <v>0.20619999999999999</v>
      </c>
      <c r="F2386" s="30">
        <v>19.4085</v>
      </c>
      <c r="G2386" s="33">
        <f t="shared" si="42"/>
        <v>4.0020327</v>
      </c>
      <c r="H2386" s="34"/>
      <c r="I2386" s="30"/>
      <c r="J2386" s="148">
        <v>835</v>
      </c>
      <c r="K2386" s="222" t="s">
        <v>8074</v>
      </c>
    </row>
    <row r="2387" spans="1:11" hidden="1" x14ac:dyDescent="0.25">
      <c r="A2387" s="203"/>
      <c r="B2387" s="205"/>
      <c r="C2387" s="35" t="s">
        <v>30</v>
      </c>
      <c r="D2387" s="35" t="s">
        <v>12</v>
      </c>
      <c r="E2387" s="36">
        <v>0.20619999999999999</v>
      </c>
      <c r="F2387" s="30">
        <v>25.146499999999996</v>
      </c>
      <c r="G2387" s="33">
        <f t="shared" si="42"/>
        <v>5.1852082999999993</v>
      </c>
      <c r="H2387" s="34"/>
      <c r="I2387" s="30"/>
      <c r="J2387" s="148">
        <v>835</v>
      </c>
      <c r="K2387" s="222" t="s">
        <v>8074</v>
      </c>
    </row>
    <row r="2388" spans="1:11" ht="15.75" hidden="1" thickBot="1" x14ac:dyDescent="0.3">
      <c r="A2388" s="209"/>
      <c r="B2388" s="206"/>
      <c r="C2388" s="35"/>
      <c r="D2388" s="35"/>
      <c r="E2388" s="36"/>
      <c r="F2388" s="30" t="s">
        <v>514</v>
      </c>
      <c r="G2388" s="33" t="str">
        <f t="shared" si="42"/>
        <v/>
      </c>
      <c r="H2388" s="34"/>
      <c r="I2388" s="30"/>
      <c r="J2388" s="148">
        <v>835</v>
      </c>
      <c r="K2388" s="222" t="s">
        <v>8074</v>
      </c>
    </row>
    <row r="2389" spans="1:11" ht="15.75" hidden="1" thickBot="1" x14ac:dyDescent="0.3">
      <c r="A2389" s="202" t="s">
        <v>729</v>
      </c>
      <c r="B2389" s="204" t="str">
        <f>INDEX(Orçamentária!A:B,MATCH(Composições!A2389,Orçamentária!A:A,0),2)</f>
        <v>Grelha para retorno para portas, divisórias e paredes 525x325 mm</v>
      </c>
      <c r="C2389" s="40"/>
      <c r="D2389" s="25" t="str">
        <f>TRIM(INDEX(Orçamentária!C:C,MATCH(Composições!A2389,Orçamentária!A:A,0),1))</f>
        <v>un</v>
      </c>
      <c r="E2389" s="26"/>
      <c r="F2389" s="41" t="s">
        <v>514</v>
      </c>
      <c r="G2389" s="27" t="str">
        <f t="shared" si="42"/>
        <v/>
      </c>
      <c r="H2389" s="28"/>
      <c r="I2389" s="29"/>
      <c r="J2389" s="148">
        <v>75</v>
      </c>
      <c r="K2389" s="222" t="s">
        <v>8074</v>
      </c>
    </row>
    <row r="2390" spans="1:11" hidden="1" x14ac:dyDescent="0.25">
      <c r="A2390" s="203"/>
      <c r="B2390" s="205"/>
      <c r="C2390" s="31"/>
      <c r="D2390" s="31"/>
      <c r="E2390" s="32"/>
      <c r="F2390" s="42" t="s">
        <v>514</v>
      </c>
      <c r="G2390" s="33" t="str">
        <f t="shared" si="42"/>
        <v/>
      </c>
      <c r="H2390" s="34"/>
      <c r="I2390" s="30"/>
      <c r="J2390" s="148">
        <v>75</v>
      </c>
      <c r="K2390" s="222" t="s">
        <v>8074</v>
      </c>
    </row>
    <row r="2391" spans="1:11" hidden="1" x14ac:dyDescent="0.25">
      <c r="A2391" s="203"/>
      <c r="B2391" s="205"/>
      <c r="C2391" s="35" t="s">
        <v>52</v>
      </c>
      <c r="D2391" s="46" t="s">
        <v>12</v>
      </c>
      <c r="E2391" s="36">
        <v>3.5</v>
      </c>
      <c r="F2391" s="30">
        <v>21.184999999999999</v>
      </c>
      <c r="G2391" s="33">
        <f t="shared" si="42"/>
        <v>74.147499999999994</v>
      </c>
      <c r="H2391" s="38">
        <f>SUM(G2391:G2393)</f>
        <v>334.19574999999998</v>
      </c>
      <c r="I2391" s="39"/>
      <c r="J2391" s="148">
        <v>75</v>
      </c>
      <c r="K2391" s="222" t="s">
        <v>8074</v>
      </c>
    </row>
    <row r="2392" spans="1:11" ht="25.5" hidden="1" x14ac:dyDescent="0.25">
      <c r="A2392" s="203"/>
      <c r="B2392" s="205"/>
      <c r="C2392" s="35" t="s">
        <v>561</v>
      </c>
      <c r="D2392" s="46" t="s">
        <v>12</v>
      </c>
      <c r="E2392" s="36">
        <v>3.5</v>
      </c>
      <c r="F2392" s="30">
        <v>26.419499999999999</v>
      </c>
      <c r="G2392" s="33">
        <f t="shared" si="42"/>
        <v>92.468249999999998</v>
      </c>
      <c r="H2392" s="34"/>
      <c r="I2392" s="30"/>
      <c r="J2392" s="148">
        <v>75</v>
      </c>
      <c r="K2392" s="222" t="s">
        <v>8074</v>
      </c>
    </row>
    <row r="2393" spans="1:11" ht="25.5" hidden="1" x14ac:dyDescent="0.25">
      <c r="A2393" s="203"/>
      <c r="B2393" s="205"/>
      <c r="C2393" s="35" t="s">
        <v>730</v>
      </c>
      <c r="D2393" s="35" t="s">
        <v>143</v>
      </c>
      <c r="E2393" s="36">
        <v>1</v>
      </c>
      <c r="F2393" s="33">
        <v>167.58</v>
      </c>
      <c r="G2393" s="33">
        <f t="shared" si="42"/>
        <v>167.58</v>
      </c>
      <c r="H2393" s="34"/>
      <c r="I2393" s="30"/>
      <c r="J2393" s="148">
        <v>75</v>
      </c>
      <c r="K2393" s="222" t="s">
        <v>8074</v>
      </c>
    </row>
    <row r="2394" spans="1:11" ht="15.75" hidden="1" thickBot="1" x14ac:dyDescent="0.3">
      <c r="A2394" s="209"/>
      <c r="B2394" s="206"/>
      <c r="C2394" s="35"/>
      <c r="D2394" s="35"/>
      <c r="E2394" s="36"/>
      <c r="F2394" s="30" t="s">
        <v>514</v>
      </c>
      <c r="G2394" s="33" t="str">
        <f t="shared" si="42"/>
        <v/>
      </c>
      <c r="H2394" s="34"/>
      <c r="I2394" s="30"/>
      <c r="J2394" s="148">
        <v>75</v>
      </c>
      <c r="K2394" s="222" t="s">
        <v>8074</v>
      </c>
    </row>
    <row r="2395" spans="1:11" ht="15.75" hidden="1" thickBot="1" x14ac:dyDescent="0.3">
      <c r="A2395" s="202" t="s">
        <v>1856</v>
      </c>
      <c r="B2395" s="204" t="str">
        <f>INDEX(Orçamentária!A:B,MATCH(Composições!A2395,Orçamentária!A:A,0),2)</f>
        <v>Dobradiça para porta com anel</v>
      </c>
      <c r="C2395" s="40"/>
      <c r="D2395" s="25" t="str">
        <f>TRIM(INDEX(Orçamentária!C:C,MATCH(Composições!A2395,Orçamentária!A:A,0),1))</f>
        <v>un</v>
      </c>
      <c r="E2395" s="26"/>
      <c r="F2395" s="41" t="s">
        <v>514</v>
      </c>
      <c r="G2395" s="27" t="str">
        <f t="shared" si="42"/>
        <v/>
      </c>
      <c r="H2395" s="28"/>
      <c r="I2395" s="29"/>
      <c r="J2395" s="148">
        <v>0</v>
      </c>
      <c r="K2395" s="222">
        <v>0</v>
      </c>
    </row>
    <row r="2396" spans="1:11" hidden="1" x14ac:dyDescent="0.25">
      <c r="A2396" s="203"/>
      <c r="B2396" s="205"/>
      <c r="C2396" s="31"/>
      <c r="D2396" s="31"/>
      <c r="E2396" s="32"/>
      <c r="F2396" s="42" t="s">
        <v>514</v>
      </c>
      <c r="G2396" s="33" t="str">
        <f t="shared" si="42"/>
        <v/>
      </c>
      <c r="H2396" s="34"/>
      <c r="I2396" s="30"/>
      <c r="J2396" s="148">
        <v>0</v>
      </c>
      <c r="K2396" s="222">
        <v>0</v>
      </c>
    </row>
    <row r="2397" spans="1:11" ht="25.5" hidden="1" x14ac:dyDescent="0.25">
      <c r="A2397" s="203"/>
      <c r="B2397" s="205"/>
      <c r="C2397" s="35" t="s">
        <v>6612</v>
      </c>
      <c r="D2397" s="35" t="s">
        <v>278</v>
      </c>
      <c r="E2397" s="36">
        <v>1</v>
      </c>
      <c r="F2397" s="30">
        <v>19.722000000000001</v>
      </c>
      <c r="G2397" s="33">
        <f t="shared" si="42"/>
        <v>19.722000000000001</v>
      </c>
      <c r="H2397" s="38">
        <f>SUM(G2397:G2397)</f>
        <v>19.722000000000001</v>
      </c>
      <c r="I2397" s="39"/>
      <c r="J2397" s="148">
        <v>0</v>
      </c>
      <c r="K2397" s="222">
        <v>0</v>
      </c>
    </row>
    <row r="2398" spans="1:11" ht="15.75" hidden="1" thickBot="1" x14ac:dyDescent="0.3">
      <c r="A2398" s="209"/>
      <c r="B2398" s="206"/>
      <c r="C2398" s="35"/>
      <c r="D2398" s="35"/>
      <c r="E2398" s="36"/>
      <c r="F2398" s="30" t="s">
        <v>514</v>
      </c>
      <c r="G2398" s="33" t="str">
        <f t="shared" si="42"/>
        <v/>
      </c>
      <c r="H2398" s="34"/>
      <c r="I2398" s="30"/>
      <c r="J2398" s="148">
        <v>0</v>
      </c>
      <c r="K2398" s="222">
        <v>0</v>
      </c>
    </row>
    <row r="2399" spans="1:11" ht="15.75" hidden="1" thickBot="1" x14ac:dyDescent="0.3">
      <c r="A2399" s="202" t="s">
        <v>1860</v>
      </c>
      <c r="B2399" s="204" t="str">
        <f>INDEX(Orçamentária!A:B,MATCH(Composições!A2399,Orçamentária!A:A,0),2)</f>
        <v>Fechadura para porta externa maçaneta em barra (fornecimento)</v>
      </c>
      <c r="C2399" s="40"/>
      <c r="D2399" s="25" t="str">
        <f>TRIM(INDEX(Orçamentária!C:C,MATCH(Composições!A2399,Orçamentária!A:A,0),1))</f>
        <v>un</v>
      </c>
      <c r="E2399" s="26"/>
      <c r="F2399" s="41" t="s">
        <v>514</v>
      </c>
      <c r="G2399" s="27" t="str">
        <f t="shared" si="42"/>
        <v/>
      </c>
      <c r="H2399" s="28"/>
      <c r="I2399" s="29"/>
      <c r="J2399" s="148">
        <v>0</v>
      </c>
      <c r="K2399" s="222">
        <v>0</v>
      </c>
    </row>
    <row r="2400" spans="1:11" hidden="1" x14ac:dyDescent="0.25">
      <c r="A2400" s="203"/>
      <c r="B2400" s="205"/>
      <c r="C2400" s="31"/>
      <c r="D2400" s="31"/>
      <c r="E2400" s="32"/>
      <c r="F2400" s="42" t="s">
        <v>514</v>
      </c>
      <c r="G2400" s="33" t="str">
        <f t="shared" si="42"/>
        <v/>
      </c>
      <c r="H2400" s="34"/>
      <c r="I2400" s="30"/>
      <c r="J2400" s="148">
        <v>0</v>
      </c>
      <c r="K2400" s="222">
        <v>0</v>
      </c>
    </row>
    <row r="2401" spans="1:11" ht="51" hidden="1" x14ac:dyDescent="0.25">
      <c r="A2401" s="203"/>
      <c r="B2401" s="205"/>
      <c r="C2401" s="35" t="s">
        <v>3708</v>
      </c>
      <c r="D2401" s="46" t="s">
        <v>732</v>
      </c>
      <c r="E2401" s="36">
        <v>1</v>
      </c>
      <c r="F2401" s="30">
        <v>56.904999999999994</v>
      </c>
      <c r="G2401" s="33">
        <f t="shared" si="42"/>
        <v>56.904999999999994</v>
      </c>
      <c r="H2401" s="38">
        <f>SUM(G2401:G2401)</f>
        <v>56.904999999999994</v>
      </c>
      <c r="I2401" s="39"/>
      <c r="J2401" s="148">
        <v>0</v>
      </c>
      <c r="K2401" s="222">
        <v>0</v>
      </c>
    </row>
    <row r="2402" spans="1:11" ht="15.75" hidden="1" thickBot="1" x14ac:dyDescent="0.3">
      <c r="A2402" s="209"/>
      <c r="B2402" s="206"/>
      <c r="C2402" s="35"/>
      <c r="D2402" s="35"/>
      <c r="E2402" s="36"/>
      <c r="F2402" s="30" t="s">
        <v>514</v>
      </c>
      <c r="G2402" s="33" t="str">
        <f t="shared" si="42"/>
        <v/>
      </c>
      <c r="H2402" s="34"/>
      <c r="I2402" s="30"/>
      <c r="J2402" s="148">
        <v>0</v>
      </c>
      <c r="K2402" s="222">
        <v>0</v>
      </c>
    </row>
    <row r="2403" spans="1:11" ht="15.75" hidden="1" thickBot="1" x14ac:dyDescent="0.3">
      <c r="A2403" s="202" t="s">
        <v>731</v>
      </c>
      <c r="B2403" s="204" t="str">
        <f>INDEX(Orçamentária!A:B,MATCH(Composições!A2403,Orçamentária!A:A,0),2)</f>
        <v>Fechadura para Porta Externa com Espelho - Millenio</v>
      </c>
      <c r="C2403" s="40"/>
      <c r="D2403" s="25" t="str">
        <f>TRIM(INDEX(Orçamentária!C:C,MATCH(Composições!A2403,Orçamentária!A:A,0),1))</f>
        <v>un</v>
      </c>
      <c r="E2403" s="26"/>
      <c r="F2403" s="41" t="s">
        <v>514</v>
      </c>
      <c r="G2403" s="27" t="str">
        <f t="shared" si="42"/>
        <v/>
      </c>
      <c r="H2403" s="28"/>
      <c r="I2403" s="29"/>
      <c r="J2403" s="148">
        <v>0</v>
      </c>
      <c r="K2403" s="222">
        <v>0</v>
      </c>
    </row>
    <row r="2404" spans="1:11" hidden="1" x14ac:dyDescent="0.25">
      <c r="A2404" s="203"/>
      <c r="B2404" s="205"/>
      <c r="C2404" s="31"/>
      <c r="D2404" s="31"/>
      <c r="E2404" s="32"/>
      <c r="F2404" s="42" t="s">
        <v>514</v>
      </c>
      <c r="G2404" s="33" t="str">
        <f t="shared" si="42"/>
        <v/>
      </c>
      <c r="H2404" s="34"/>
      <c r="I2404" s="30"/>
      <c r="J2404" s="148">
        <v>0</v>
      </c>
      <c r="K2404" s="222">
        <v>0</v>
      </c>
    </row>
    <row r="2405" spans="1:11" ht="51" hidden="1" x14ac:dyDescent="0.25">
      <c r="A2405" s="203"/>
      <c r="B2405" s="205"/>
      <c r="C2405" s="35" t="s">
        <v>3709</v>
      </c>
      <c r="D2405" s="46" t="s">
        <v>732</v>
      </c>
      <c r="E2405" s="36">
        <v>1</v>
      </c>
      <c r="F2405" s="30">
        <v>73.957499999999996</v>
      </c>
      <c r="G2405" s="33">
        <f t="shared" si="42"/>
        <v>73.957499999999996</v>
      </c>
      <c r="H2405" s="38">
        <f>SUM(G2405:G2405)</f>
        <v>73.957499999999996</v>
      </c>
      <c r="I2405" s="39"/>
      <c r="J2405" s="148">
        <v>0</v>
      </c>
      <c r="K2405" s="222">
        <v>0</v>
      </c>
    </row>
    <row r="2406" spans="1:11" ht="15.75" hidden="1" thickBot="1" x14ac:dyDescent="0.3">
      <c r="A2406" s="209"/>
      <c r="B2406" s="206"/>
      <c r="C2406" s="35"/>
      <c r="D2406" s="35"/>
      <c r="E2406" s="36"/>
      <c r="F2406" s="30" t="s">
        <v>514</v>
      </c>
      <c r="G2406" s="33" t="str">
        <f t="shared" si="42"/>
        <v/>
      </c>
      <c r="H2406" s="34"/>
      <c r="I2406" s="30"/>
      <c r="J2406" s="148">
        <v>0</v>
      </c>
      <c r="K2406" s="222">
        <v>0</v>
      </c>
    </row>
    <row r="2407" spans="1:11" ht="15.75" hidden="1" thickBot="1" x14ac:dyDescent="0.3">
      <c r="A2407" s="202" t="s">
        <v>1863</v>
      </c>
      <c r="B2407" s="204" t="str">
        <f>INDEX(Orçamentária!A:B,MATCH(Composições!A2407,Orçamentária!A:A,0),2)</f>
        <v>Fechadura para Porta de Banheiro com Espelho - Millenio</v>
      </c>
      <c r="C2407" s="40"/>
      <c r="D2407" s="25" t="str">
        <f>TRIM(INDEX(Orçamentária!C:C,MATCH(Composições!A2407,Orçamentária!A:A,0),1))</f>
        <v>un</v>
      </c>
      <c r="E2407" s="26"/>
      <c r="F2407" s="41" t="s">
        <v>514</v>
      </c>
      <c r="G2407" s="27" t="str">
        <f t="shared" si="42"/>
        <v/>
      </c>
      <c r="H2407" s="28"/>
      <c r="I2407" s="29"/>
      <c r="J2407" s="148">
        <v>0</v>
      </c>
      <c r="K2407" s="222">
        <v>0</v>
      </c>
    </row>
    <row r="2408" spans="1:11" hidden="1" x14ac:dyDescent="0.25">
      <c r="A2408" s="203"/>
      <c r="B2408" s="205"/>
      <c r="C2408" s="31"/>
      <c r="D2408" s="31"/>
      <c r="E2408" s="32"/>
      <c r="F2408" s="42" t="s">
        <v>514</v>
      </c>
      <c r="G2408" s="33" t="str">
        <f t="shared" si="42"/>
        <v/>
      </c>
      <c r="H2408" s="34"/>
      <c r="I2408" s="30"/>
      <c r="J2408" s="148">
        <v>0</v>
      </c>
      <c r="K2408" s="222">
        <v>0</v>
      </c>
    </row>
    <row r="2409" spans="1:11" ht="51" hidden="1" x14ac:dyDescent="0.25">
      <c r="A2409" s="203"/>
      <c r="B2409" s="205"/>
      <c r="C2409" s="35" t="s">
        <v>3707</v>
      </c>
      <c r="D2409" s="46" t="s">
        <v>732</v>
      </c>
      <c r="E2409" s="36">
        <v>1</v>
      </c>
      <c r="F2409" s="30">
        <v>44.744999999999997</v>
      </c>
      <c r="G2409" s="33">
        <f t="shared" si="42"/>
        <v>44.744999999999997</v>
      </c>
      <c r="H2409" s="38">
        <f>SUM(G2409:G2409)</f>
        <v>44.744999999999997</v>
      </c>
      <c r="I2409" s="39"/>
      <c r="J2409" s="148">
        <v>0</v>
      </c>
      <c r="K2409" s="222">
        <v>0</v>
      </c>
    </row>
    <row r="2410" spans="1:11" ht="15.75" hidden="1" thickBot="1" x14ac:dyDescent="0.3">
      <c r="A2410" s="209"/>
      <c r="B2410" s="206"/>
      <c r="C2410" s="35"/>
      <c r="D2410" s="35"/>
      <c r="E2410" s="36"/>
      <c r="F2410" s="30" t="s">
        <v>514</v>
      </c>
      <c r="G2410" s="33" t="str">
        <f t="shared" si="42"/>
        <v/>
      </c>
      <c r="H2410" s="34"/>
      <c r="I2410" s="30"/>
      <c r="J2410" s="148">
        <v>0</v>
      </c>
      <c r="K2410" s="222">
        <v>0</v>
      </c>
    </row>
    <row r="2411" spans="1:11" ht="15.75" hidden="1" thickBot="1" x14ac:dyDescent="0.3">
      <c r="A2411" s="202" t="s">
        <v>1867</v>
      </c>
      <c r="B2411" s="204" t="str">
        <f>INDEX(Orçamentária!A:B,MATCH(Composições!A2411,Orçamentária!A:A,0),2)</f>
        <v>Tarjeta Livre / Ocupado para portas de banheiro</v>
      </c>
      <c r="C2411" s="40"/>
      <c r="D2411" s="25" t="str">
        <f>TRIM(INDEX(Orçamentária!C:C,MATCH(Composições!A2411,Orçamentária!A:A,0),1))</f>
        <v>un</v>
      </c>
      <c r="E2411" s="26"/>
      <c r="F2411" s="41" t="s">
        <v>514</v>
      </c>
      <c r="G2411" s="27" t="str">
        <f t="shared" si="42"/>
        <v/>
      </c>
      <c r="H2411" s="28"/>
      <c r="I2411" s="29"/>
      <c r="J2411" s="148">
        <v>0</v>
      </c>
      <c r="K2411" s="222">
        <v>0</v>
      </c>
    </row>
    <row r="2412" spans="1:11" hidden="1" x14ac:dyDescent="0.25">
      <c r="A2412" s="203"/>
      <c r="B2412" s="205"/>
      <c r="C2412" s="31"/>
      <c r="D2412" s="31"/>
      <c r="E2412" s="32"/>
      <c r="F2412" s="42" t="s">
        <v>514</v>
      </c>
      <c r="G2412" s="33" t="str">
        <f t="shared" si="42"/>
        <v/>
      </c>
      <c r="H2412" s="34"/>
      <c r="I2412" s="30"/>
      <c r="J2412" s="148">
        <v>0</v>
      </c>
      <c r="K2412" s="222">
        <v>0</v>
      </c>
    </row>
    <row r="2413" spans="1:11" ht="25.5" hidden="1" x14ac:dyDescent="0.25">
      <c r="A2413" s="203"/>
      <c r="B2413" s="205"/>
      <c r="C2413" s="35" t="s">
        <v>3719</v>
      </c>
      <c r="D2413" s="35" t="s">
        <v>278</v>
      </c>
      <c r="E2413" s="36">
        <v>1</v>
      </c>
      <c r="F2413" s="30">
        <v>41.324999999999996</v>
      </c>
      <c r="G2413" s="33">
        <f t="shared" si="42"/>
        <v>41.324999999999996</v>
      </c>
      <c r="H2413" s="38">
        <f>SUM(G2413:G2413)</f>
        <v>41.324999999999996</v>
      </c>
      <c r="I2413" s="39"/>
      <c r="J2413" s="148">
        <v>0</v>
      </c>
      <c r="K2413" s="222">
        <v>0</v>
      </c>
    </row>
    <row r="2414" spans="1:11" ht="15.75" hidden="1" thickBot="1" x14ac:dyDescent="0.3">
      <c r="A2414" s="209"/>
      <c r="B2414" s="206"/>
      <c r="C2414" s="35"/>
      <c r="D2414" s="35"/>
      <c r="E2414" s="36"/>
      <c r="F2414" s="30" t="s">
        <v>514</v>
      </c>
      <c r="G2414" s="33" t="str">
        <f t="shared" si="42"/>
        <v/>
      </c>
      <c r="H2414" s="34"/>
      <c r="I2414" s="30"/>
      <c r="J2414" s="148">
        <v>0</v>
      </c>
      <c r="K2414" s="222">
        <v>0</v>
      </c>
    </row>
    <row r="2415" spans="1:11" ht="15.75" hidden="1" thickBot="1" x14ac:dyDescent="0.3">
      <c r="A2415" s="202" t="s">
        <v>1873</v>
      </c>
      <c r="B2415" s="204" t="str">
        <f>INDEX(Orçamentária!A:B,MATCH(Composições!A2415,Orçamentária!A:A,0),2)</f>
        <v>Fechadura de embutir para armário e gaveta</v>
      </c>
      <c r="C2415" s="40"/>
      <c r="D2415" s="25" t="str">
        <f>TRIM(INDEX(Orçamentária!C:C,MATCH(Composições!A2415,Orçamentária!A:A,0),1))</f>
        <v>un</v>
      </c>
      <c r="E2415" s="26"/>
      <c r="F2415" s="41" t="s">
        <v>514</v>
      </c>
      <c r="G2415" s="27" t="str">
        <f t="shared" si="42"/>
        <v/>
      </c>
      <c r="H2415" s="28"/>
      <c r="I2415" s="29"/>
      <c r="J2415" s="148">
        <v>0</v>
      </c>
      <c r="K2415" s="222">
        <v>0</v>
      </c>
    </row>
    <row r="2416" spans="1:11" hidden="1" x14ac:dyDescent="0.25">
      <c r="A2416" s="203"/>
      <c r="B2416" s="205"/>
      <c r="C2416" s="31"/>
      <c r="D2416" s="31"/>
      <c r="E2416" s="32"/>
      <c r="F2416" s="42" t="s">
        <v>514</v>
      </c>
      <c r="G2416" s="33" t="str">
        <f t="shared" si="42"/>
        <v/>
      </c>
      <c r="H2416" s="34"/>
      <c r="I2416" s="30"/>
      <c r="J2416" s="148">
        <v>0</v>
      </c>
      <c r="K2416" s="222">
        <v>0</v>
      </c>
    </row>
    <row r="2417" spans="1:11" ht="38.25" hidden="1" x14ac:dyDescent="0.25">
      <c r="A2417" s="203"/>
      <c r="B2417" s="205"/>
      <c r="C2417" s="35" t="s">
        <v>3705</v>
      </c>
      <c r="D2417" s="35" t="s">
        <v>278</v>
      </c>
      <c r="E2417" s="36">
        <v>1</v>
      </c>
      <c r="F2417" s="30">
        <v>11.2385</v>
      </c>
      <c r="G2417" s="33">
        <f t="shared" si="42"/>
        <v>11.2385</v>
      </c>
      <c r="H2417" s="38">
        <f>SUM(G2417:G2417)</f>
        <v>11.2385</v>
      </c>
      <c r="I2417" s="39"/>
      <c r="J2417" s="148">
        <v>0</v>
      </c>
      <c r="K2417" s="222">
        <v>0</v>
      </c>
    </row>
    <row r="2418" spans="1:11" ht="39" hidden="1" thickBot="1" x14ac:dyDescent="0.3">
      <c r="A2418" s="209"/>
      <c r="B2418" s="206"/>
      <c r="C2418" s="35" t="s">
        <v>3706</v>
      </c>
      <c r="D2418" s="35"/>
      <c r="E2418" s="36"/>
      <c r="F2418" s="30" t="s">
        <v>514</v>
      </c>
      <c r="G2418" s="33" t="str">
        <f t="shared" si="42"/>
        <v/>
      </c>
      <c r="H2418" s="34"/>
      <c r="I2418" s="30"/>
      <c r="J2418" s="148">
        <v>0</v>
      </c>
      <c r="K2418" s="222">
        <v>0</v>
      </c>
    </row>
    <row r="2419" spans="1:11" ht="15.75" hidden="1" thickBot="1" x14ac:dyDescent="0.3">
      <c r="A2419" s="202" t="s">
        <v>1875</v>
      </c>
      <c r="B2419" s="204" t="str">
        <f>INDEX(Orçamentária!A:B,MATCH(Composições!A2419,Orçamentária!A:A,0),2)</f>
        <v>Fechadura de embutir para móveis – Fechamento Superior - Referência 861</v>
      </c>
      <c r="C2419" s="40"/>
      <c r="D2419" s="25" t="str">
        <f>TRIM(INDEX(Orçamentária!C:C,MATCH(Composições!A2419,Orçamentária!A:A,0),1))</f>
        <v>un</v>
      </c>
      <c r="E2419" s="26"/>
      <c r="F2419" s="41" t="s">
        <v>514</v>
      </c>
      <c r="G2419" s="27" t="str">
        <f t="shared" si="42"/>
        <v/>
      </c>
      <c r="H2419" s="28"/>
      <c r="I2419" s="29"/>
      <c r="J2419" s="148">
        <v>0</v>
      </c>
      <c r="K2419" s="222">
        <v>0</v>
      </c>
    </row>
    <row r="2420" spans="1:11" hidden="1" x14ac:dyDescent="0.25">
      <c r="A2420" s="203"/>
      <c r="B2420" s="205"/>
      <c r="C2420" s="31"/>
      <c r="D2420" s="31"/>
      <c r="E2420" s="32"/>
      <c r="F2420" s="42" t="s">
        <v>514</v>
      </c>
      <c r="G2420" s="33" t="str">
        <f t="shared" si="42"/>
        <v/>
      </c>
      <c r="H2420" s="34"/>
      <c r="I2420" s="30"/>
      <c r="J2420" s="148">
        <v>0</v>
      </c>
      <c r="K2420" s="222">
        <v>0</v>
      </c>
    </row>
    <row r="2421" spans="1:11" ht="51" hidden="1" x14ac:dyDescent="0.25">
      <c r="A2421" s="203"/>
      <c r="B2421" s="205"/>
      <c r="C2421" s="35" t="s">
        <v>3704</v>
      </c>
      <c r="D2421" s="35" t="s">
        <v>278</v>
      </c>
      <c r="E2421" s="36">
        <v>1</v>
      </c>
      <c r="F2421" s="30">
        <v>11.228999999999999</v>
      </c>
      <c r="G2421" s="33">
        <f t="shared" si="42"/>
        <v>11.228999999999999</v>
      </c>
      <c r="H2421" s="38">
        <f>SUM(G2421:G2421)</f>
        <v>11.228999999999999</v>
      </c>
      <c r="I2421" s="39"/>
      <c r="J2421" s="148">
        <v>0</v>
      </c>
      <c r="K2421" s="222">
        <v>0</v>
      </c>
    </row>
    <row r="2422" spans="1:11" ht="15.75" hidden="1" thickBot="1" x14ac:dyDescent="0.3">
      <c r="A2422" s="209"/>
      <c r="B2422" s="206"/>
      <c r="C2422" s="35"/>
      <c r="D2422" s="35"/>
      <c r="E2422" s="36"/>
      <c r="F2422" s="30" t="s">
        <v>514</v>
      </c>
      <c r="G2422" s="33" t="str">
        <f t="shared" si="42"/>
        <v/>
      </c>
      <c r="H2422" s="34"/>
      <c r="I2422" s="30"/>
      <c r="J2422" s="148">
        <v>0</v>
      </c>
      <c r="K2422" s="222">
        <v>0</v>
      </c>
    </row>
    <row r="2423" spans="1:11" ht="15.75" hidden="1" thickBot="1" x14ac:dyDescent="0.3">
      <c r="A2423" s="202" t="s">
        <v>1877</v>
      </c>
      <c r="B2423" s="204" t="str">
        <f>INDEX(Orçamentária!A:B,MATCH(Composições!A2423,Orçamentária!A:A,0),2)</f>
        <v>Fechadura de embutir para móveis – Fechamento lateral - Referência 871</v>
      </c>
      <c r="C2423" s="40"/>
      <c r="D2423" s="25" t="str">
        <f>TRIM(INDEX(Orçamentária!C:C,MATCH(Composições!A2423,Orçamentária!A:A,0),1))</f>
        <v>un</v>
      </c>
      <c r="E2423" s="26"/>
      <c r="F2423" s="41" t="s">
        <v>514</v>
      </c>
      <c r="G2423" s="27" t="str">
        <f t="shared" si="42"/>
        <v/>
      </c>
      <c r="H2423" s="28"/>
      <c r="I2423" s="29"/>
      <c r="J2423" s="148">
        <v>0</v>
      </c>
      <c r="K2423" s="222">
        <v>0</v>
      </c>
    </row>
    <row r="2424" spans="1:11" hidden="1" x14ac:dyDescent="0.25">
      <c r="A2424" s="203"/>
      <c r="B2424" s="205"/>
      <c r="C2424" s="31"/>
      <c r="D2424" s="31"/>
      <c r="E2424" s="32"/>
      <c r="F2424" s="42" t="s">
        <v>514</v>
      </c>
      <c r="G2424" s="33" t="str">
        <f t="shared" si="42"/>
        <v/>
      </c>
      <c r="H2424" s="34"/>
      <c r="I2424" s="30"/>
      <c r="J2424" s="148">
        <v>0</v>
      </c>
      <c r="K2424" s="222">
        <v>0</v>
      </c>
    </row>
    <row r="2425" spans="1:11" ht="51" hidden="1" x14ac:dyDescent="0.25">
      <c r="A2425" s="203"/>
      <c r="B2425" s="205"/>
      <c r="C2425" s="35" t="s">
        <v>3704</v>
      </c>
      <c r="D2425" s="35" t="s">
        <v>278</v>
      </c>
      <c r="E2425" s="36">
        <v>1</v>
      </c>
      <c r="F2425" s="30">
        <v>11.228999999999999</v>
      </c>
      <c r="G2425" s="33">
        <f t="shared" si="42"/>
        <v>11.228999999999999</v>
      </c>
      <c r="H2425" s="38">
        <f>SUM(G2425:G2425)</f>
        <v>11.228999999999999</v>
      </c>
      <c r="I2425" s="39"/>
      <c r="J2425" s="148">
        <v>0</v>
      </c>
      <c r="K2425" s="222">
        <v>0</v>
      </c>
    </row>
    <row r="2426" spans="1:11" ht="15.75" hidden="1" thickBot="1" x14ac:dyDescent="0.3">
      <c r="A2426" s="209"/>
      <c r="B2426" s="206"/>
      <c r="C2426" s="35"/>
      <c r="D2426" s="35"/>
      <c r="E2426" s="36"/>
      <c r="F2426" s="30" t="s">
        <v>514</v>
      </c>
      <c r="G2426" s="33" t="str">
        <f t="shared" si="42"/>
        <v/>
      </c>
      <c r="H2426" s="34"/>
      <c r="I2426" s="30"/>
      <c r="J2426" s="148">
        <v>0</v>
      </c>
      <c r="K2426" s="222">
        <v>0</v>
      </c>
    </row>
    <row r="2427" spans="1:11" ht="15.75" hidden="1" thickBot="1" x14ac:dyDescent="0.3">
      <c r="A2427" s="202" t="s">
        <v>1932</v>
      </c>
      <c r="B2427" s="204" t="str">
        <f>INDEX(Orçamentária!A:B,MATCH(Composições!A2427,Orçamentária!A:A,0),2)</f>
        <v>Puxador alça 102mm</v>
      </c>
      <c r="C2427" s="40"/>
      <c r="D2427" s="25" t="str">
        <f>TRIM(INDEX(Orçamentária!C:C,MATCH(Composições!A2427,Orçamentária!A:A,0),1))</f>
        <v>un</v>
      </c>
      <c r="E2427" s="26"/>
      <c r="F2427" s="41" t="s">
        <v>514</v>
      </c>
      <c r="G2427" s="27" t="str">
        <f t="shared" si="42"/>
        <v/>
      </c>
      <c r="H2427" s="28"/>
      <c r="I2427" s="29"/>
      <c r="J2427" s="148">
        <v>0</v>
      </c>
      <c r="K2427" s="222">
        <v>0</v>
      </c>
    </row>
    <row r="2428" spans="1:11" hidden="1" x14ac:dyDescent="0.25">
      <c r="A2428" s="203"/>
      <c r="B2428" s="205"/>
      <c r="C2428" s="31"/>
      <c r="D2428" s="31"/>
      <c r="E2428" s="32"/>
      <c r="F2428" s="42" t="s">
        <v>514</v>
      </c>
      <c r="G2428" s="33" t="str">
        <f t="shared" si="42"/>
        <v/>
      </c>
      <c r="H2428" s="34"/>
      <c r="I2428" s="30"/>
      <c r="J2428" s="148">
        <v>0</v>
      </c>
      <c r="K2428" s="222">
        <v>0</v>
      </c>
    </row>
    <row r="2429" spans="1:11" ht="38.25" hidden="1" x14ac:dyDescent="0.25">
      <c r="A2429" s="203"/>
      <c r="B2429" s="205"/>
      <c r="C2429" s="35" t="s">
        <v>3718</v>
      </c>
      <c r="D2429" s="35" t="s">
        <v>278</v>
      </c>
      <c r="E2429" s="36">
        <v>1</v>
      </c>
      <c r="F2429" s="30">
        <v>18.3065</v>
      </c>
      <c r="G2429" s="33">
        <f t="shared" ref="G2429:G2492" si="43">IF(ISNUMBER(F2429),E2429*F2429,"")</f>
        <v>18.3065</v>
      </c>
      <c r="H2429" s="38">
        <f>SUM(G2429:G2429)</f>
        <v>18.3065</v>
      </c>
      <c r="I2429" s="39"/>
      <c r="J2429" s="148">
        <v>0</v>
      </c>
      <c r="K2429" s="222">
        <v>0</v>
      </c>
    </row>
    <row r="2430" spans="1:11" ht="15.75" hidden="1" thickBot="1" x14ac:dyDescent="0.3">
      <c r="A2430" s="209"/>
      <c r="B2430" s="206"/>
      <c r="C2430" s="35"/>
      <c r="D2430" s="35"/>
      <c r="E2430" s="36"/>
      <c r="F2430" s="30" t="s">
        <v>514</v>
      </c>
      <c r="G2430" s="33" t="str">
        <f t="shared" si="43"/>
        <v/>
      </c>
      <c r="H2430" s="34"/>
      <c r="I2430" s="30"/>
      <c r="J2430" s="148">
        <v>0</v>
      </c>
      <c r="K2430" s="222">
        <v>0</v>
      </c>
    </row>
    <row r="2431" spans="1:11" ht="15.75" hidden="1" thickBot="1" x14ac:dyDescent="0.3">
      <c r="A2431" s="202" t="s">
        <v>733</v>
      </c>
      <c r="B2431" s="204" t="str">
        <f>INDEX(Orçamentária!A:B,MATCH(Composições!A2431,Orçamentária!A:A,0),2)</f>
        <v>Espuma Expansiva à base de poliuretano</v>
      </c>
      <c r="C2431" s="40"/>
      <c r="D2431" s="25" t="str">
        <f>TRIM(INDEX(Orçamentária!C:C,MATCH(Composições!A2431,Orçamentária!A:A,0),1))</f>
        <v>500 ml</v>
      </c>
      <c r="E2431" s="26"/>
      <c r="F2431" s="41" t="s">
        <v>514</v>
      </c>
      <c r="G2431" s="27" t="str">
        <f t="shared" si="43"/>
        <v/>
      </c>
      <c r="H2431" s="28"/>
      <c r="I2431" s="29"/>
      <c r="J2431" s="148">
        <v>0</v>
      </c>
      <c r="K2431" s="222">
        <v>0</v>
      </c>
    </row>
    <row r="2432" spans="1:11" hidden="1" x14ac:dyDescent="0.25">
      <c r="A2432" s="203"/>
      <c r="B2432" s="205"/>
      <c r="C2432" s="31"/>
      <c r="D2432" s="31"/>
      <c r="E2432" s="32"/>
      <c r="F2432" s="42" t="s">
        <v>514</v>
      </c>
      <c r="G2432" s="33" t="str">
        <f t="shared" si="43"/>
        <v/>
      </c>
      <c r="H2432" s="34"/>
      <c r="I2432" s="30"/>
      <c r="J2432" s="148">
        <v>0</v>
      </c>
      <c r="K2432" s="222">
        <v>0</v>
      </c>
    </row>
    <row r="2433" spans="1:11" ht="25.5" hidden="1" x14ac:dyDescent="0.25">
      <c r="A2433" s="203"/>
      <c r="B2433" s="205"/>
      <c r="C2433" s="35" t="s">
        <v>734</v>
      </c>
      <c r="D2433" s="46" t="s">
        <v>278</v>
      </c>
      <c r="E2433" s="36">
        <v>1</v>
      </c>
      <c r="F2433" s="30">
        <v>25.65</v>
      </c>
      <c r="G2433" s="33">
        <f t="shared" si="43"/>
        <v>25.65</v>
      </c>
      <c r="H2433" s="38">
        <f>SUM(G2433:G2433)</f>
        <v>25.65</v>
      </c>
      <c r="I2433" s="39"/>
      <c r="J2433" s="148">
        <v>0</v>
      </c>
      <c r="K2433" s="222">
        <v>0</v>
      </c>
    </row>
    <row r="2434" spans="1:11" ht="15.75" hidden="1" thickBot="1" x14ac:dyDescent="0.3">
      <c r="A2434" s="209"/>
      <c r="B2434" s="206"/>
      <c r="C2434" s="35"/>
      <c r="D2434" s="35"/>
      <c r="E2434" s="36"/>
      <c r="F2434" s="30" t="s">
        <v>514</v>
      </c>
      <c r="G2434" s="33" t="str">
        <f t="shared" si="43"/>
        <v/>
      </c>
      <c r="H2434" s="34"/>
      <c r="I2434" s="30"/>
      <c r="J2434" s="148">
        <v>0</v>
      </c>
      <c r="K2434" s="222">
        <v>0</v>
      </c>
    </row>
    <row r="2435" spans="1:11" ht="15.75" hidden="1" thickBot="1" x14ac:dyDescent="0.3">
      <c r="A2435" s="202" t="s">
        <v>1982</v>
      </c>
      <c r="B2435" s="204" t="str">
        <f>INDEX(Orçamentária!A:B,MATCH(Composições!A2435,Orçamentária!A:A,0),2)</f>
        <v>Adesivo de Contato à Base d’água</v>
      </c>
      <c r="C2435" s="40"/>
      <c r="D2435" s="25" t="str">
        <f>TRIM(INDEX(Orçamentária!C:C,MATCH(Composições!A2435,Orçamentária!A:A,0),1))</f>
        <v>kg</v>
      </c>
      <c r="E2435" s="26"/>
      <c r="F2435" s="41" t="s">
        <v>514</v>
      </c>
      <c r="G2435" s="27" t="str">
        <f t="shared" si="43"/>
        <v/>
      </c>
      <c r="H2435" s="28"/>
      <c r="I2435" s="29"/>
      <c r="J2435" s="148">
        <v>0</v>
      </c>
      <c r="K2435" s="222">
        <v>0</v>
      </c>
    </row>
    <row r="2436" spans="1:11" hidden="1" x14ac:dyDescent="0.25">
      <c r="A2436" s="203"/>
      <c r="B2436" s="205"/>
      <c r="C2436" s="31"/>
      <c r="D2436" s="31"/>
      <c r="E2436" s="32"/>
      <c r="F2436" s="42" t="s">
        <v>514</v>
      </c>
      <c r="G2436" s="33" t="str">
        <f t="shared" si="43"/>
        <v/>
      </c>
      <c r="H2436" s="34"/>
      <c r="I2436" s="30"/>
      <c r="J2436" s="148">
        <v>0</v>
      </c>
      <c r="K2436" s="222">
        <v>0</v>
      </c>
    </row>
    <row r="2437" spans="1:11" hidden="1" x14ac:dyDescent="0.25">
      <c r="A2437" s="203"/>
      <c r="B2437" s="205"/>
      <c r="C2437" s="35" t="s">
        <v>6597</v>
      </c>
      <c r="D2437" s="46" t="s">
        <v>891</v>
      </c>
      <c r="E2437" s="36">
        <v>1</v>
      </c>
      <c r="F2437" s="30">
        <v>45.637999999999998</v>
      </c>
      <c r="G2437" s="33">
        <f t="shared" si="43"/>
        <v>45.637999999999998</v>
      </c>
      <c r="H2437" s="38">
        <f>SUM(G2437:G2437)</f>
        <v>45.637999999999998</v>
      </c>
      <c r="I2437" s="39"/>
      <c r="J2437" s="148">
        <v>0</v>
      </c>
      <c r="K2437" s="222">
        <v>0</v>
      </c>
    </row>
    <row r="2438" spans="1:11" ht="15.75" hidden="1" thickBot="1" x14ac:dyDescent="0.3">
      <c r="A2438" s="209"/>
      <c r="B2438" s="206"/>
      <c r="C2438" s="35"/>
      <c r="D2438" s="35"/>
      <c r="E2438" s="36"/>
      <c r="F2438" s="30" t="s">
        <v>514</v>
      </c>
      <c r="G2438" s="33" t="str">
        <f t="shared" si="43"/>
        <v/>
      </c>
      <c r="H2438" s="34"/>
      <c r="I2438" s="30"/>
      <c r="J2438" s="148">
        <v>0</v>
      </c>
      <c r="K2438" s="222">
        <v>0</v>
      </c>
    </row>
    <row r="2439" spans="1:11" ht="15.75" hidden="1" thickBot="1" x14ac:dyDescent="0.3">
      <c r="A2439" s="202" t="s">
        <v>1986</v>
      </c>
      <c r="B2439" s="204" t="str">
        <f>INDEX(Orçamentária!A:B,MATCH(Composições!A2439,Orçamentária!A:A,0),2)</f>
        <v>Laminado fenólico melamínico texturizado - Azul Noturno</v>
      </c>
      <c r="C2439" s="40"/>
      <c r="D2439" s="25" t="str">
        <f>TRIM(INDEX(Orçamentária!C:C,MATCH(Composições!A2439,Orçamentária!A:A,0),1))</f>
        <v>m2</v>
      </c>
      <c r="E2439" s="26"/>
      <c r="F2439" s="41" t="s">
        <v>514</v>
      </c>
      <c r="G2439" s="27" t="str">
        <f t="shared" si="43"/>
        <v/>
      </c>
      <c r="H2439" s="28"/>
      <c r="I2439" s="29"/>
      <c r="J2439" s="148">
        <v>0</v>
      </c>
      <c r="K2439" s="222">
        <v>0</v>
      </c>
    </row>
    <row r="2440" spans="1:11" hidden="1" x14ac:dyDescent="0.25">
      <c r="A2440" s="203"/>
      <c r="B2440" s="205"/>
      <c r="C2440" s="31"/>
      <c r="D2440" s="31"/>
      <c r="E2440" s="32"/>
      <c r="F2440" s="42" t="s">
        <v>514</v>
      </c>
      <c r="G2440" s="33" t="str">
        <f t="shared" si="43"/>
        <v/>
      </c>
      <c r="H2440" s="34"/>
      <c r="I2440" s="30"/>
      <c r="J2440" s="148">
        <v>0</v>
      </c>
      <c r="K2440" s="222">
        <v>0</v>
      </c>
    </row>
    <row r="2441" spans="1:11" ht="25.5" hidden="1" x14ac:dyDescent="0.25">
      <c r="A2441" s="203"/>
      <c r="B2441" s="205"/>
      <c r="C2441" s="35" t="s">
        <v>3244</v>
      </c>
      <c r="D2441" s="46" t="s">
        <v>94</v>
      </c>
      <c r="E2441" s="36">
        <v>1</v>
      </c>
      <c r="F2441" s="30">
        <v>61.502999999999993</v>
      </c>
      <c r="G2441" s="33">
        <f t="shared" si="43"/>
        <v>61.502999999999993</v>
      </c>
      <c r="H2441" s="38">
        <f>SUM(G2441:G2441)</f>
        <v>61.502999999999993</v>
      </c>
      <c r="I2441" s="39"/>
      <c r="J2441" s="148">
        <v>0</v>
      </c>
      <c r="K2441" s="222">
        <v>0</v>
      </c>
    </row>
    <row r="2442" spans="1:11" ht="15.75" hidden="1" thickBot="1" x14ac:dyDescent="0.3">
      <c r="A2442" s="209"/>
      <c r="B2442" s="206"/>
      <c r="C2442" s="35"/>
      <c r="D2442" s="35"/>
      <c r="E2442" s="36"/>
      <c r="F2442" s="30" t="s">
        <v>514</v>
      </c>
      <c r="G2442" s="33" t="str">
        <f t="shared" si="43"/>
        <v/>
      </c>
      <c r="H2442" s="34"/>
      <c r="I2442" s="30"/>
      <c r="J2442" s="148">
        <v>0</v>
      </c>
      <c r="K2442" s="222">
        <v>0</v>
      </c>
    </row>
    <row r="2443" spans="1:11" ht="15.75" hidden="1" thickBot="1" x14ac:dyDescent="0.3">
      <c r="A2443" s="202" t="s">
        <v>1988</v>
      </c>
      <c r="B2443" s="204" t="str">
        <f>INDEX(Orçamentária!A:B,MATCH(Composições!A2443,Orçamentária!A:A,0),2)</f>
        <v>Laminado fenólico melamínico texturizado - Branco</v>
      </c>
      <c r="C2443" s="40"/>
      <c r="D2443" s="25" t="str">
        <f>TRIM(INDEX(Orçamentária!C:C,MATCH(Composições!A2443,Orçamentária!A:A,0),1))</f>
        <v>m2</v>
      </c>
      <c r="E2443" s="26"/>
      <c r="F2443" s="41" t="s">
        <v>514</v>
      </c>
      <c r="G2443" s="27" t="str">
        <f t="shared" si="43"/>
        <v/>
      </c>
      <c r="H2443" s="28"/>
      <c r="I2443" s="29"/>
      <c r="J2443" s="148">
        <v>0</v>
      </c>
      <c r="K2443" s="222">
        <v>0</v>
      </c>
    </row>
    <row r="2444" spans="1:11" hidden="1" x14ac:dyDescent="0.25">
      <c r="A2444" s="203"/>
      <c r="B2444" s="205"/>
      <c r="C2444" s="31"/>
      <c r="D2444" s="31"/>
      <c r="E2444" s="32"/>
      <c r="F2444" s="42" t="s">
        <v>514</v>
      </c>
      <c r="G2444" s="33" t="str">
        <f t="shared" si="43"/>
        <v/>
      </c>
      <c r="H2444" s="34"/>
      <c r="I2444" s="30"/>
      <c r="J2444" s="148">
        <v>0</v>
      </c>
      <c r="K2444" s="222">
        <v>0</v>
      </c>
    </row>
    <row r="2445" spans="1:11" ht="25.5" hidden="1" x14ac:dyDescent="0.25">
      <c r="A2445" s="203"/>
      <c r="B2445" s="205"/>
      <c r="C2445" s="35" t="s">
        <v>3244</v>
      </c>
      <c r="D2445" s="46" t="s">
        <v>94</v>
      </c>
      <c r="E2445" s="36">
        <v>1</v>
      </c>
      <c r="F2445" s="30">
        <v>61.502999999999993</v>
      </c>
      <c r="G2445" s="33">
        <f t="shared" si="43"/>
        <v>61.502999999999993</v>
      </c>
      <c r="H2445" s="38">
        <f>SUM(G2445:G2445)</f>
        <v>61.502999999999993</v>
      </c>
      <c r="I2445" s="39"/>
      <c r="J2445" s="148">
        <v>0</v>
      </c>
      <c r="K2445" s="222">
        <v>0</v>
      </c>
    </row>
    <row r="2446" spans="1:11" ht="15.75" hidden="1" thickBot="1" x14ac:dyDescent="0.3">
      <c r="A2446" s="209"/>
      <c r="B2446" s="206"/>
      <c r="C2446" s="35"/>
      <c r="D2446" s="35"/>
      <c r="E2446" s="36"/>
      <c r="F2446" s="30" t="s">
        <v>514</v>
      </c>
      <c r="G2446" s="33" t="str">
        <f t="shared" si="43"/>
        <v/>
      </c>
      <c r="H2446" s="34"/>
      <c r="I2446" s="30"/>
      <c r="J2446" s="148">
        <v>0</v>
      </c>
      <c r="K2446" s="222">
        <v>0</v>
      </c>
    </row>
    <row r="2447" spans="1:11" ht="15.75" hidden="1" thickBot="1" x14ac:dyDescent="0.3">
      <c r="A2447" s="202" t="s">
        <v>1990</v>
      </c>
      <c r="B2447" s="204" t="str">
        <f>INDEX(Orçamentária!A:B,MATCH(Composições!A2447,Orçamentária!A:A,0),2)</f>
        <v>Laminado fenólico melamínico texturizado - Ovo</v>
      </c>
      <c r="C2447" s="40"/>
      <c r="D2447" s="25" t="str">
        <f>TRIM(INDEX(Orçamentária!C:C,MATCH(Composições!A2447,Orçamentária!A:A,0),1))</f>
        <v>m2</v>
      </c>
      <c r="E2447" s="26"/>
      <c r="F2447" s="41" t="s">
        <v>514</v>
      </c>
      <c r="G2447" s="27" t="str">
        <f t="shared" si="43"/>
        <v/>
      </c>
      <c r="H2447" s="28"/>
      <c r="I2447" s="29"/>
      <c r="J2447" s="148">
        <v>0</v>
      </c>
      <c r="K2447" s="222">
        <v>0</v>
      </c>
    </row>
    <row r="2448" spans="1:11" hidden="1" x14ac:dyDescent="0.25">
      <c r="A2448" s="203"/>
      <c r="B2448" s="205"/>
      <c r="C2448" s="31"/>
      <c r="D2448" s="31"/>
      <c r="E2448" s="32"/>
      <c r="F2448" s="42" t="s">
        <v>514</v>
      </c>
      <c r="G2448" s="33" t="str">
        <f t="shared" si="43"/>
        <v/>
      </c>
      <c r="H2448" s="34"/>
      <c r="I2448" s="30"/>
      <c r="J2448" s="148">
        <v>0</v>
      </c>
      <c r="K2448" s="222">
        <v>0</v>
      </c>
    </row>
    <row r="2449" spans="1:11" ht="25.5" hidden="1" x14ac:dyDescent="0.25">
      <c r="A2449" s="203"/>
      <c r="B2449" s="205"/>
      <c r="C2449" s="35" t="s">
        <v>3244</v>
      </c>
      <c r="D2449" s="46" t="s">
        <v>94</v>
      </c>
      <c r="E2449" s="36">
        <v>1</v>
      </c>
      <c r="F2449" s="30">
        <v>61.502999999999993</v>
      </c>
      <c r="G2449" s="33">
        <f t="shared" si="43"/>
        <v>61.502999999999993</v>
      </c>
      <c r="H2449" s="38">
        <f>SUM(G2449:G2449)</f>
        <v>61.502999999999993</v>
      </c>
      <c r="I2449" s="39"/>
      <c r="J2449" s="148">
        <v>0</v>
      </c>
      <c r="K2449" s="222">
        <v>0</v>
      </c>
    </row>
    <row r="2450" spans="1:11" ht="15.75" hidden="1" thickBot="1" x14ac:dyDescent="0.3">
      <c r="A2450" s="209"/>
      <c r="B2450" s="206"/>
      <c r="C2450" s="35"/>
      <c r="D2450" s="35"/>
      <c r="E2450" s="36"/>
      <c r="F2450" s="30" t="s">
        <v>514</v>
      </c>
      <c r="G2450" s="33" t="str">
        <f t="shared" si="43"/>
        <v/>
      </c>
      <c r="H2450" s="34"/>
      <c r="I2450" s="30"/>
      <c r="J2450" s="148">
        <v>0</v>
      </c>
      <c r="K2450" s="222">
        <v>0</v>
      </c>
    </row>
    <row r="2451" spans="1:11" ht="15.75" hidden="1" thickBot="1" x14ac:dyDescent="0.3">
      <c r="A2451" s="202" t="s">
        <v>2022</v>
      </c>
      <c r="B2451" s="204" t="str">
        <f>INDEX(Orçamentária!A:B,MATCH(Composições!A2451,Orçamentária!A:A,0),2)</f>
        <v>Tábua de Madeira bruta aparelhada - Pinus</v>
      </c>
      <c r="C2451" s="40"/>
      <c r="D2451" s="25" t="str">
        <f>TRIM(INDEX(Orçamentária!C:C,MATCH(Composições!A2451,Orçamentária!A:A,0),1))</f>
        <v>m3</v>
      </c>
      <c r="E2451" s="26"/>
      <c r="F2451" s="41" t="s">
        <v>514</v>
      </c>
      <c r="G2451" s="27" t="str">
        <f t="shared" si="43"/>
        <v/>
      </c>
      <c r="H2451" s="28"/>
      <c r="I2451" s="29"/>
      <c r="J2451" s="148">
        <v>0</v>
      </c>
      <c r="K2451" s="222">
        <v>0</v>
      </c>
    </row>
    <row r="2452" spans="1:11" hidden="1" x14ac:dyDescent="0.25">
      <c r="A2452" s="203"/>
      <c r="B2452" s="205"/>
      <c r="C2452" s="31"/>
      <c r="D2452" s="31"/>
      <c r="E2452" s="32"/>
      <c r="F2452" s="42" t="s">
        <v>514</v>
      </c>
      <c r="G2452" s="33" t="str">
        <f t="shared" si="43"/>
        <v/>
      </c>
      <c r="H2452" s="34"/>
      <c r="I2452" s="30"/>
      <c r="J2452" s="148">
        <v>0</v>
      </c>
      <c r="K2452" s="222">
        <v>0</v>
      </c>
    </row>
    <row r="2453" spans="1:11" ht="25.5" hidden="1" x14ac:dyDescent="0.25">
      <c r="A2453" s="203"/>
      <c r="B2453" s="205"/>
      <c r="C2453" s="35" t="s">
        <v>3688</v>
      </c>
      <c r="D2453" s="46" t="s">
        <v>92</v>
      </c>
      <c r="E2453" s="36">
        <f>1/(0.025*0.3)</f>
        <v>133.33333333333334</v>
      </c>
      <c r="F2453" s="30">
        <v>13.774999999999999</v>
      </c>
      <c r="G2453" s="33">
        <f t="shared" si="43"/>
        <v>1836.6666666666665</v>
      </c>
      <c r="H2453" s="38">
        <f>SUM(G2453:G2453)</f>
        <v>1836.6666666666665</v>
      </c>
      <c r="I2453" s="39"/>
      <c r="J2453" s="148">
        <v>0</v>
      </c>
      <c r="K2453" s="222">
        <v>0</v>
      </c>
    </row>
    <row r="2454" spans="1:11" ht="15.75" hidden="1" thickBot="1" x14ac:dyDescent="0.3">
      <c r="A2454" s="209"/>
      <c r="B2454" s="206"/>
      <c r="C2454" s="35"/>
      <c r="D2454" s="35"/>
      <c r="E2454" s="36"/>
      <c r="F2454" s="30" t="s">
        <v>514</v>
      </c>
      <c r="G2454" s="33" t="str">
        <f t="shared" si="43"/>
        <v/>
      </c>
      <c r="H2454" s="34"/>
      <c r="I2454" s="30"/>
      <c r="J2454" s="148">
        <v>0</v>
      </c>
      <c r="K2454" s="222">
        <v>0</v>
      </c>
    </row>
    <row r="2455" spans="1:11" ht="15.75" hidden="1" thickBot="1" x14ac:dyDescent="0.3">
      <c r="A2455" s="202" t="s">
        <v>2024</v>
      </c>
      <c r="B2455" s="204" t="str">
        <f>INDEX(Orçamentária!A:B,MATCH(Composições!A2455,Orçamentária!A:A,0),2)</f>
        <v>Sarrafo De Madeira</v>
      </c>
      <c r="C2455" s="40"/>
      <c r="D2455" s="25" t="str">
        <f>TRIM(INDEX(Orçamentária!C:C,MATCH(Composições!A2455,Orçamentária!A:A,0),1))</f>
        <v>m</v>
      </c>
      <c r="E2455" s="26"/>
      <c r="F2455" s="41" t="s">
        <v>514</v>
      </c>
      <c r="G2455" s="27" t="str">
        <f t="shared" si="43"/>
        <v/>
      </c>
      <c r="H2455" s="28"/>
      <c r="I2455" s="29"/>
      <c r="J2455" s="148">
        <v>0</v>
      </c>
      <c r="K2455" s="222">
        <v>0</v>
      </c>
    </row>
    <row r="2456" spans="1:11" hidden="1" x14ac:dyDescent="0.25">
      <c r="A2456" s="203"/>
      <c r="B2456" s="205"/>
      <c r="C2456" s="31"/>
      <c r="D2456" s="31"/>
      <c r="E2456" s="32"/>
      <c r="F2456" s="42" t="s">
        <v>514</v>
      </c>
      <c r="G2456" s="33" t="str">
        <f t="shared" si="43"/>
        <v/>
      </c>
      <c r="H2456" s="34"/>
      <c r="I2456" s="30"/>
      <c r="J2456" s="148">
        <v>0</v>
      </c>
      <c r="K2456" s="222">
        <v>0</v>
      </c>
    </row>
    <row r="2457" spans="1:11" ht="25.5" hidden="1" x14ac:dyDescent="0.25">
      <c r="A2457" s="203"/>
      <c r="B2457" s="205"/>
      <c r="C2457" s="35" t="s">
        <v>3685</v>
      </c>
      <c r="D2457" s="46" t="s">
        <v>92</v>
      </c>
      <c r="E2457" s="36">
        <v>1</v>
      </c>
      <c r="F2457" s="30">
        <v>4.2084999999999999</v>
      </c>
      <c r="G2457" s="33">
        <f t="shared" si="43"/>
        <v>4.2084999999999999</v>
      </c>
      <c r="H2457" s="38">
        <f>SUM(G2457:G2457)</f>
        <v>4.2084999999999999</v>
      </c>
      <c r="I2457" s="39"/>
      <c r="J2457" s="148">
        <v>0</v>
      </c>
      <c r="K2457" s="222">
        <v>0</v>
      </c>
    </row>
    <row r="2458" spans="1:11" ht="15.75" hidden="1" thickBot="1" x14ac:dyDescent="0.3">
      <c r="A2458" s="209"/>
      <c r="B2458" s="206"/>
      <c r="C2458" s="35"/>
      <c r="D2458" s="35"/>
      <c r="E2458" s="36"/>
      <c r="F2458" s="30" t="s">
        <v>514</v>
      </c>
      <c r="G2458" s="33" t="str">
        <f t="shared" si="43"/>
        <v/>
      </c>
      <c r="H2458" s="34"/>
      <c r="I2458" s="30"/>
      <c r="J2458" s="148">
        <v>0</v>
      </c>
      <c r="K2458" s="222">
        <v>0</v>
      </c>
    </row>
    <row r="2459" spans="1:11" ht="15.75" hidden="1" thickBot="1" x14ac:dyDescent="0.3">
      <c r="A2459" s="202" t="s">
        <v>2026</v>
      </c>
      <c r="B2459" s="204" t="str">
        <f>INDEX(Orçamentária!A:B,MATCH(Composições!A2459,Orçamentária!A:A,0),2)</f>
        <v>Caibro De Madeira</v>
      </c>
      <c r="C2459" s="40"/>
      <c r="D2459" s="25" t="str">
        <f>TRIM(INDEX(Orçamentária!C:C,MATCH(Composições!A2459,Orçamentária!A:A,0),1))</f>
        <v>m</v>
      </c>
      <c r="E2459" s="26"/>
      <c r="F2459" s="41" t="s">
        <v>514</v>
      </c>
      <c r="G2459" s="27" t="str">
        <f t="shared" si="43"/>
        <v/>
      </c>
      <c r="H2459" s="28"/>
      <c r="I2459" s="29"/>
      <c r="J2459" s="148">
        <v>0</v>
      </c>
      <c r="K2459" s="222">
        <v>0</v>
      </c>
    </row>
    <row r="2460" spans="1:11" hidden="1" x14ac:dyDescent="0.25">
      <c r="A2460" s="203"/>
      <c r="B2460" s="205"/>
      <c r="C2460" s="31"/>
      <c r="D2460" s="31"/>
      <c r="E2460" s="32"/>
      <c r="F2460" s="42" t="s">
        <v>514</v>
      </c>
      <c r="G2460" s="33" t="str">
        <f t="shared" si="43"/>
        <v/>
      </c>
      <c r="H2460" s="34"/>
      <c r="I2460" s="30"/>
      <c r="J2460" s="148">
        <v>0</v>
      </c>
      <c r="K2460" s="222">
        <v>0</v>
      </c>
    </row>
    <row r="2461" spans="1:11" ht="25.5" hidden="1" x14ac:dyDescent="0.25">
      <c r="A2461" s="203"/>
      <c r="B2461" s="205"/>
      <c r="C2461" s="35" t="s">
        <v>3677</v>
      </c>
      <c r="D2461" s="46" t="s">
        <v>92</v>
      </c>
      <c r="E2461" s="36">
        <v>1</v>
      </c>
      <c r="F2461" s="30">
        <v>5.8425000000000002</v>
      </c>
      <c r="G2461" s="33">
        <f t="shared" si="43"/>
        <v>5.8425000000000002</v>
      </c>
      <c r="H2461" s="38">
        <f>SUM(G2461:G2461)</f>
        <v>5.8425000000000002</v>
      </c>
      <c r="I2461" s="39"/>
      <c r="J2461" s="148">
        <v>0</v>
      </c>
      <c r="K2461" s="222">
        <v>0</v>
      </c>
    </row>
    <row r="2462" spans="1:11" ht="15.75" hidden="1" thickBot="1" x14ac:dyDescent="0.3">
      <c r="A2462" s="209"/>
      <c r="B2462" s="206"/>
      <c r="C2462" s="35"/>
      <c r="D2462" s="35"/>
      <c r="E2462" s="36"/>
      <c r="F2462" s="30" t="s">
        <v>514</v>
      </c>
      <c r="G2462" s="33" t="str">
        <f t="shared" si="43"/>
        <v/>
      </c>
      <c r="H2462" s="34"/>
      <c r="I2462" s="30"/>
      <c r="J2462" s="148">
        <v>0</v>
      </c>
      <c r="K2462" s="222">
        <v>0</v>
      </c>
    </row>
    <row r="2463" spans="1:11" ht="15.75" hidden="1" thickBot="1" x14ac:dyDescent="0.3">
      <c r="A2463" s="202" t="s">
        <v>2032</v>
      </c>
      <c r="B2463" s="204" t="str">
        <f>INDEX(Orçamentária!A:B,MATCH(Composições!A2463,Orçamentária!A:A,0),2)</f>
        <v>Painel de MDF Laminado – Branco - 06mm</v>
      </c>
      <c r="C2463" s="40"/>
      <c r="D2463" s="25" t="str">
        <f>TRIM(INDEX(Orçamentária!C:C,MATCH(Composições!A2463,Orçamentária!A:A,0),1))</f>
        <v>m2</v>
      </c>
      <c r="E2463" s="26"/>
      <c r="F2463" s="41" t="s">
        <v>514</v>
      </c>
      <c r="G2463" s="27" t="str">
        <f t="shared" si="43"/>
        <v/>
      </c>
      <c r="H2463" s="28"/>
      <c r="I2463" s="29"/>
      <c r="J2463" s="148">
        <v>0</v>
      </c>
      <c r="K2463" s="222">
        <v>0</v>
      </c>
    </row>
    <row r="2464" spans="1:11" hidden="1" x14ac:dyDescent="0.25">
      <c r="A2464" s="203"/>
      <c r="B2464" s="205"/>
      <c r="C2464" s="31"/>
      <c r="D2464" s="31"/>
      <c r="E2464" s="32"/>
      <c r="F2464" s="42" t="s">
        <v>514</v>
      </c>
      <c r="G2464" s="33" t="str">
        <f t="shared" si="43"/>
        <v/>
      </c>
      <c r="H2464" s="34"/>
      <c r="I2464" s="30"/>
      <c r="J2464" s="148">
        <v>0</v>
      </c>
      <c r="K2464" s="222">
        <v>0</v>
      </c>
    </row>
    <row r="2465" spans="1:11" hidden="1" x14ac:dyDescent="0.25">
      <c r="A2465" s="203"/>
      <c r="B2465" s="205"/>
      <c r="C2465" s="35" t="s">
        <v>3245</v>
      </c>
      <c r="D2465" s="46" t="s">
        <v>94</v>
      </c>
      <c r="E2465" s="36">
        <v>1</v>
      </c>
      <c r="F2465" s="30">
        <v>29.259999999999998</v>
      </c>
      <c r="G2465" s="33">
        <f t="shared" si="43"/>
        <v>29.259999999999998</v>
      </c>
      <c r="H2465" s="38">
        <f>SUM(G2465:G2465)</f>
        <v>29.259999999999998</v>
      </c>
      <c r="I2465" s="39"/>
      <c r="J2465" s="148">
        <v>0</v>
      </c>
      <c r="K2465" s="222">
        <v>0</v>
      </c>
    </row>
    <row r="2466" spans="1:11" ht="15.75" hidden="1" thickBot="1" x14ac:dyDescent="0.3">
      <c r="A2466" s="209"/>
      <c r="B2466" s="206"/>
      <c r="C2466" s="35"/>
      <c r="D2466" s="35"/>
      <c r="E2466" s="36"/>
      <c r="F2466" s="30" t="s">
        <v>514</v>
      </c>
      <c r="G2466" s="33" t="str">
        <f t="shared" si="43"/>
        <v/>
      </c>
      <c r="H2466" s="34"/>
      <c r="I2466" s="30"/>
      <c r="J2466" s="148">
        <v>0</v>
      </c>
      <c r="K2466" s="222">
        <v>0</v>
      </c>
    </row>
    <row r="2467" spans="1:11" ht="15.75" hidden="1" thickBot="1" x14ac:dyDescent="0.3">
      <c r="A2467" s="202" t="s">
        <v>2036</v>
      </c>
      <c r="B2467" s="204" t="str">
        <f>INDEX(Orçamentária!A:B,MATCH(Composições!A2467,Orçamentária!A:A,0),2)</f>
        <v>Painel de MDF Laminado - Branco - 15mm</v>
      </c>
      <c r="C2467" s="40"/>
      <c r="D2467" s="25" t="str">
        <f>TRIM(INDEX(Orçamentária!C:C,MATCH(Composições!A2467,Orçamentária!A:A,0),1))</f>
        <v>m2</v>
      </c>
      <c r="E2467" s="26"/>
      <c r="F2467" s="41" t="s">
        <v>514</v>
      </c>
      <c r="G2467" s="27" t="str">
        <f t="shared" si="43"/>
        <v/>
      </c>
      <c r="H2467" s="28"/>
      <c r="I2467" s="29"/>
      <c r="J2467" s="148">
        <v>0</v>
      </c>
      <c r="K2467" s="222">
        <v>0</v>
      </c>
    </row>
    <row r="2468" spans="1:11" hidden="1" x14ac:dyDescent="0.25">
      <c r="A2468" s="203"/>
      <c r="B2468" s="205"/>
      <c r="C2468" s="31"/>
      <c r="D2468" s="31"/>
      <c r="E2468" s="32"/>
      <c r="F2468" s="42" t="s">
        <v>514</v>
      </c>
      <c r="G2468" s="33" t="str">
        <f t="shared" si="43"/>
        <v/>
      </c>
      <c r="H2468" s="34"/>
      <c r="I2468" s="30"/>
      <c r="J2468" s="148">
        <v>0</v>
      </c>
      <c r="K2468" s="222">
        <v>0</v>
      </c>
    </row>
    <row r="2469" spans="1:11" ht="25.5" hidden="1" x14ac:dyDescent="0.25">
      <c r="A2469" s="203"/>
      <c r="B2469" s="205"/>
      <c r="C2469" s="35" t="s">
        <v>3246</v>
      </c>
      <c r="D2469" s="46" t="s">
        <v>94</v>
      </c>
      <c r="E2469" s="36">
        <v>1</v>
      </c>
      <c r="F2469" s="30">
        <v>45.913499999999999</v>
      </c>
      <c r="G2469" s="33">
        <f t="shared" si="43"/>
        <v>45.913499999999999</v>
      </c>
      <c r="H2469" s="38">
        <f>SUM(G2469:G2469)</f>
        <v>45.913499999999999</v>
      </c>
      <c r="I2469" s="39"/>
      <c r="J2469" s="148">
        <v>0</v>
      </c>
      <c r="K2469" s="222">
        <v>0</v>
      </c>
    </row>
    <row r="2470" spans="1:11" ht="15.75" hidden="1" thickBot="1" x14ac:dyDescent="0.3">
      <c r="A2470" s="209"/>
      <c r="B2470" s="206"/>
      <c r="C2470" s="35"/>
      <c r="D2470" s="35"/>
      <c r="E2470" s="36"/>
      <c r="F2470" s="30" t="s">
        <v>514</v>
      </c>
      <c r="G2470" s="33" t="str">
        <f t="shared" si="43"/>
        <v/>
      </c>
      <c r="H2470" s="34"/>
      <c r="I2470" s="30"/>
      <c r="J2470" s="148">
        <v>0</v>
      </c>
      <c r="K2470" s="222">
        <v>0</v>
      </c>
    </row>
    <row r="2471" spans="1:11" ht="15.75" hidden="1" thickBot="1" x14ac:dyDescent="0.3">
      <c r="A2471" s="202" t="s">
        <v>2040</v>
      </c>
      <c r="B2471" s="204" t="str">
        <f>INDEX(Orçamentária!A:B,MATCH(Composições!A2471,Orçamentária!A:A,0),2)</f>
        <v>Painel de MDF Laminado – Branco - 18mm</v>
      </c>
      <c r="C2471" s="40"/>
      <c r="D2471" s="25" t="str">
        <f>TRIM(INDEX(Orçamentária!C:C,MATCH(Composições!A2471,Orçamentária!A:A,0),1))</f>
        <v>m2</v>
      </c>
      <c r="E2471" s="26"/>
      <c r="F2471" s="41" t="s">
        <v>514</v>
      </c>
      <c r="G2471" s="27" t="str">
        <f t="shared" si="43"/>
        <v/>
      </c>
      <c r="H2471" s="28"/>
      <c r="I2471" s="29"/>
      <c r="J2471" s="148">
        <v>0</v>
      </c>
      <c r="K2471" s="222">
        <v>0</v>
      </c>
    </row>
    <row r="2472" spans="1:11" hidden="1" x14ac:dyDescent="0.25">
      <c r="A2472" s="203"/>
      <c r="B2472" s="205"/>
      <c r="C2472" s="31"/>
      <c r="D2472" s="31"/>
      <c r="E2472" s="32"/>
      <c r="F2472" s="42" t="s">
        <v>514</v>
      </c>
      <c r="G2472" s="33" t="str">
        <f t="shared" si="43"/>
        <v/>
      </c>
      <c r="H2472" s="34"/>
      <c r="I2472" s="30"/>
      <c r="J2472" s="148">
        <v>0</v>
      </c>
      <c r="K2472" s="222">
        <v>0</v>
      </c>
    </row>
    <row r="2473" spans="1:11" ht="25.5" hidden="1" x14ac:dyDescent="0.25">
      <c r="A2473" s="203"/>
      <c r="B2473" s="205"/>
      <c r="C2473" s="35" t="s">
        <v>3247</v>
      </c>
      <c r="D2473" s="46" t="s">
        <v>94</v>
      </c>
      <c r="E2473" s="36">
        <v>1</v>
      </c>
      <c r="F2473" s="30">
        <v>57</v>
      </c>
      <c r="G2473" s="33">
        <f t="shared" si="43"/>
        <v>57</v>
      </c>
      <c r="H2473" s="38">
        <f>SUM(G2473:G2473)</f>
        <v>57</v>
      </c>
      <c r="I2473" s="39"/>
      <c r="J2473" s="148">
        <v>0</v>
      </c>
      <c r="K2473" s="222">
        <v>0</v>
      </c>
    </row>
    <row r="2474" spans="1:11" ht="15.75" hidden="1" thickBot="1" x14ac:dyDescent="0.3">
      <c r="A2474" s="209"/>
      <c r="B2474" s="206"/>
      <c r="C2474" s="35"/>
      <c r="D2474" s="35"/>
      <c r="E2474" s="36"/>
      <c r="F2474" s="30" t="s">
        <v>514</v>
      </c>
      <c r="G2474" s="33" t="str">
        <f t="shared" si="43"/>
        <v/>
      </c>
      <c r="H2474" s="34"/>
      <c r="I2474" s="30"/>
      <c r="J2474" s="148">
        <v>0</v>
      </c>
      <c r="K2474" s="222">
        <v>0</v>
      </c>
    </row>
    <row r="2475" spans="1:11" ht="15.75" hidden="1" thickBot="1" x14ac:dyDescent="0.3">
      <c r="A2475" s="202" t="s">
        <v>2044</v>
      </c>
      <c r="B2475" s="204" t="str">
        <f>INDEX(Orçamentária!A:B,MATCH(Composições!A2475,Orçamentária!A:A,0),2)</f>
        <v>Cantoneira laminada em aço abas iguais 1" x 3/16"</v>
      </c>
      <c r="C2475" s="40"/>
      <c r="D2475" s="25" t="str">
        <f>TRIM(INDEX(Orçamentária!C:C,MATCH(Composições!A2475,Orçamentária!A:A,0),1))</f>
        <v>m</v>
      </c>
      <c r="E2475" s="26"/>
      <c r="F2475" s="41" t="s">
        <v>514</v>
      </c>
      <c r="G2475" s="27" t="str">
        <f t="shared" si="43"/>
        <v/>
      </c>
      <c r="H2475" s="28"/>
      <c r="I2475" s="29"/>
      <c r="J2475" s="148">
        <v>0</v>
      </c>
      <c r="K2475" s="222">
        <v>0</v>
      </c>
    </row>
    <row r="2476" spans="1:11" hidden="1" x14ac:dyDescent="0.25">
      <c r="A2476" s="203"/>
      <c r="B2476" s="205"/>
      <c r="C2476" s="31"/>
      <c r="D2476" s="31"/>
      <c r="E2476" s="32"/>
      <c r="F2476" s="42" t="s">
        <v>514</v>
      </c>
      <c r="G2476" s="33" t="str">
        <f t="shared" si="43"/>
        <v/>
      </c>
      <c r="H2476" s="34"/>
      <c r="I2476" s="30"/>
      <c r="J2476" s="148">
        <v>0</v>
      </c>
      <c r="K2476" s="222">
        <v>0</v>
      </c>
    </row>
    <row r="2477" spans="1:11" ht="25.5" hidden="1" x14ac:dyDescent="0.25">
      <c r="A2477" s="203"/>
      <c r="B2477" s="205"/>
      <c r="C2477" s="35" t="s">
        <v>129</v>
      </c>
      <c r="D2477" s="46" t="s">
        <v>42</v>
      </c>
      <c r="E2477" s="36">
        <v>1.73</v>
      </c>
      <c r="F2477" s="30">
        <v>11.067499999999999</v>
      </c>
      <c r="G2477" s="33">
        <f t="shared" si="43"/>
        <v>19.146774999999998</v>
      </c>
      <c r="H2477" s="38">
        <f>SUM(G2477:G2477)</f>
        <v>19.146774999999998</v>
      </c>
      <c r="I2477" s="39"/>
      <c r="J2477" s="148">
        <v>0</v>
      </c>
      <c r="K2477" s="222">
        <v>0</v>
      </c>
    </row>
    <row r="2478" spans="1:11" ht="15.75" hidden="1" thickBot="1" x14ac:dyDescent="0.3">
      <c r="A2478" s="209"/>
      <c r="B2478" s="206"/>
      <c r="C2478" s="35"/>
      <c r="D2478" s="35"/>
      <c r="E2478" s="36"/>
      <c r="F2478" s="30" t="s">
        <v>514</v>
      </c>
      <c r="G2478" s="33" t="str">
        <f t="shared" si="43"/>
        <v/>
      </c>
      <c r="H2478" s="34"/>
      <c r="I2478" s="30"/>
      <c r="J2478" s="148">
        <v>0</v>
      </c>
      <c r="K2478" s="222">
        <v>0</v>
      </c>
    </row>
    <row r="2479" spans="1:11" ht="15.75" hidden="1" thickBot="1" x14ac:dyDescent="0.3">
      <c r="A2479" s="202" t="s">
        <v>2046</v>
      </c>
      <c r="B2479" s="204" t="str">
        <f>INDEX(Orçamentária!A:B,MATCH(Composições!A2479,Orçamentária!A:A,0),2)</f>
        <v>Cantoneira laminada em aço abas iguais 1"1/4 x 3/16"</v>
      </c>
      <c r="C2479" s="40"/>
      <c r="D2479" s="25" t="str">
        <f>TRIM(INDEX(Orçamentária!C:C,MATCH(Composições!A2479,Orçamentária!A:A,0),1))</f>
        <v>m</v>
      </c>
      <c r="E2479" s="26"/>
      <c r="F2479" s="41" t="s">
        <v>514</v>
      </c>
      <c r="G2479" s="27" t="str">
        <f t="shared" si="43"/>
        <v/>
      </c>
      <c r="H2479" s="28"/>
      <c r="I2479" s="29"/>
      <c r="J2479" s="148">
        <v>0</v>
      </c>
      <c r="K2479" s="222">
        <v>0</v>
      </c>
    </row>
    <row r="2480" spans="1:11" hidden="1" x14ac:dyDescent="0.25">
      <c r="A2480" s="203"/>
      <c r="B2480" s="205"/>
      <c r="C2480" s="31"/>
      <c r="D2480" s="31"/>
      <c r="E2480" s="32"/>
      <c r="F2480" s="42" t="s">
        <v>514</v>
      </c>
      <c r="G2480" s="33" t="str">
        <f t="shared" si="43"/>
        <v/>
      </c>
      <c r="H2480" s="34"/>
      <c r="I2480" s="30"/>
      <c r="J2480" s="148">
        <v>0</v>
      </c>
      <c r="K2480" s="222">
        <v>0</v>
      </c>
    </row>
    <row r="2481" spans="1:11" ht="25.5" hidden="1" x14ac:dyDescent="0.25">
      <c r="A2481" s="203"/>
      <c r="B2481" s="205"/>
      <c r="C2481" s="35" t="s">
        <v>129</v>
      </c>
      <c r="D2481" s="46" t="s">
        <v>42</v>
      </c>
      <c r="E2481" s="36">
        <v>2.2000000000000002</v>
      </c>
      <c r="F2481" s="30">
        <v>11.067499999999999</v>
      </c>
      <c r="G2481" s="33">
        <f t="shared" si="43"/>
        <v>24.348500000000001</v>
      </c>
      <c r="H2481" s="38">
        <f>SUM(G2481:G2481)</f>
        <v>24.348500000000001</v>
      </c>
      <c r="I2481" s="39"/>
      <c r="J2481" s="148">
        <v>0</v>
      </c>
      <c r="K2481" s="222">
        <v>0</v>
      </c>
    </row>
    <row r="2482" spans="1:11" ht="15.75" hidden="1" thickBot="1" x14ac:dyDescent="0.3">
      <c r="A2482" s="209"/>
      <c r="B2482" s="206"/>
      <c r="C2482" s="35"/>
      <c r="D2482" s="35"/>
      <c r="E2482" s="36"/>
      <c r="F2482" s="30" t="s">
        <v>514</v>
      </c>
      <c r="G2482" s="33" t="str">
        <f t="shared" si="43"/>
        <v/>
      </c>
      <c r="H2482" s="34"/>
      <c r="I2482" s="30"/>
      <c r="J2482" s="148">
        <v>0</v>
      </c>
      <c r="K2482" s="222">
        <v>0</v>
      </c>
    </row>
    <row r="2483" spans="1:11" ht="15.75" hidden="1" thickBot="1" x14ac:dyDescent="0.3">
      <c r="A2483" s="202" t="s">
        <v>2048</v>
      </c>
      <c r="B2483" s="204" t="str">
        <f>INDEX(Orçamentária!A:B,MATCH(Composições!A2483,Orçamentária!A:A,0),2)</f>
        <v>Cantoneira laminada em aço abas iguais 2” x 1/8”</v>
      </c>
      <c r="C2483" s="40"/>
      <c r="D2483" s="25" t="str">
        <f>TRIM(INDEX(Orçamentária!C:C,MATCH(Composições!A2483,Orçamentária!A:A,0),1))</f>
        <v>m</v>
      </c>
      <c r="E2483" s="26"/>
      <c r="F2483" s="41" t="s">
        <v>514</v>
      </c>
      <c r="G2483" s="27" t="str">
        <f t="shared" si="43"/>
        <v/>
      </c>
      <c r="H2483" s="28"/>
      <c r="I2483" s="29"/>
      <c r="J2483" s="148">
        <v>0</v>
      </c>
      <c r="K2483" s="222">
        <v>0</v>
      </c>
    </row>
    <row r="2484" spans="1:11" hidden="1" x14ac:dyDescent="0.25">
      <c r="A2484" s="203"/>
      <c r="B2484" s="205"/>
      <c r="C2484" s="31"/>
      <c r="D2484" s="31"/>
      <c r="E2484" s="32"/>
      <c r="F2484" s="42" t="s">
        <v>514</v>
      </c>
      <c r="G2484" s="33" t="str">
        <f t="shared" si="43"/>
        <v/>
      </c>
      <c r="H2484" s="34"/>
      <c r="I2484" s="30"/>
      <c r="J2484" s="148">
        <v>0</v>
      </c>
      <c r="K2484" s="222">
        <v>0</v>
      </c>
    </row>
    <row r="2485" spans="1:11" ht="25.5" hidden="1" x14ac:dyDescent="0.25">
      <c r="A2485" s="203"/>
      <c r="B2485" s="205"/>
      <c r="C2485" s="35" t="s">
        <v>129</v>
      </c>
      <c r="D2485" s="46" t="s">
        <v>42</v>
      </c>
      <c r="E2485" s="36">
        <v>2.46</v>
      </c>
      <c r="F2485" s="30">
        <v>11.067499999999999</v>
      </c>
      <c r="G2485" s="33">
        <f t="shared" si="43"/>
        <v>27.226049999999997</v>
      </c>
      <c r="H2485" s="38">
        <f>SUM(G2485:G2485)</f>
        <v>27.226049999999997</v>
      </c>
      <c r="I2485" s="39"/>
      <c r="J2485" s="148">
        <v>0</v>
      </c>
      <c r="K2485" s="222">
        <v>0</v>
      </c>
    </row>
    <row r="2486" spans="1:11" ht="15.75" hidden="1" thickBot="1" x14ac:dyDescent="0.3">
      <c r="A2486" s="209"/>
      <c r="B2486" s="206"/>
      <c r="C2486" s="35"/>
      <c r="D2486" s="35"/>
      <c r="E2486" s="36"/>
      <c r="F2486" s="30" t="s">
        <v>514</v>
      </c>
      <c r="G2486" s="33" t="str">
        <f t="shared" si="43"/>
        <v/>
      </c>
      <c r="H2486" s="34"/>
      <c r="I2486" s="30"/>
      <c r="J2486" s="148">
        <v>0</v>
      </c>
      <c r="K2486" s="222">
        <v>0</v>
      </c>
    </row>
    <row r="2487" spans="1:11" ht="15.75" hidden="1" thickBot="1" x14ac:dyDescent="0.3">
      <c r="A2487" s="202" t="s">
        <v>2050</v>
      </c>
      <c r="B2487" s="204" t="str">
        <f>INDEX(Orçamentária!A:B,MATCH(Composições!A2487,Orçamentária!A:A,0),2)</f>
        <v>Cantoneira laminada em aço abas Iguais 2” x 3/16”</v>
      </c>
      <c r="C2487" s="40"/>
      <c r="D2487" s="25" t="str">
        <f>TRIM(INDEX(Orçamentária!C:C,MATCH(Composições!A2487,Orçamentária!A:A,0),1))</f>
        <v>m</v>
      </c>
      <c r="E2487" s="26"/>
      <c r="F2487" s="41" t="s">
        <v>514</v>
      </c>
      <c r="G2487" s="27" t="str">
        <f t="shared" si="43"/>
        <v/>
      </c>
      <c r="H2487" s="28"/>
      <c r="I2487" s="29"/>
      <c r="J2487" s="148">
        <v>0</v>
      </c>
      <c r="K2487" s="222">
        <v>0</v>
      </c>
    </row>
    <row r="2488" spans="1:11" hidden="1" x14ac:dyDescent="0.25">
      <c r="A2488" s="203"/>
      <c r="B2488" s="205"/>
      <c r="C2488" s="31"/>
      <c r="D2488" s="31"/>
      <c r="E2488" s="32"/>
      <c r="F2488" s="42" t="s">
        <v>514</v>
      </c>
      <c r="G2488" s="33" t="str">
        <f t="shared" si="43"/>
        <v/>
      </c>
      <c r="H2488" s="34"/>
      <c r="I2488" s="30"/>
      <c r="J2488" s="148">
        <v>0</v>
      </c>
      <c r="K2488" s="222">
        <v>0</v>
      </c>
    </row>
    <row r="2489" spans="1:11" ht="25.5" hidden="1" x14ac:dyDescent="0.25">
      <c r="A2489" s="203"/>
      <c r="B2489" s="205"/>
      <c r="C2489" s="35" t="s">
        <v>129</v>
      </c>
      <c r="D2489" s="46" t="s">
        <v>42</v>
      </c>
      <c r="E2489" s="36">
        <v>3.63</v>
      </c>
      <c r="F2489" s="30">
        <v>11.067499999999999</v>
      </c>
      <c r="G2489" s="33">
        <f t="shared" si="43"/>
        <v>40.175024999999998</v>
      </c>
      <c r="H2489" s="38">
        <f>SUM(G2489:G2489)</f>
        <v>40.175024999999998</v>
      </c>
      <c r="I2489" s="39"/>
      <c r="J2489" s="148">
        <v>0</v>
      </c>
      <c r="K2489" s="222">
        <v>0</v>
      </c>
    </row>
    <row r="2490" spans="1:11" ht="15.75" hidden="1" thickBot="1" x14ac:dyDescent="0.3">
      <c r="A2490" s="209"/>
      <c r="B2490" s="206"/>
      <c r="C2490" s="35"/>
      <c r="D2490" s="35"/>
      <c r="E2490" s="36"/>
      <c r="F2490" s="30" t="s">
        <v>514</v>
      </c>
      <c r="G2490" s="33" t="str">
        <f t="shared" si="43"/>
        <v/>
      </c>
      <c r="H2490" s="34"/>
      <c r="I2490" s="30"/>
      <c r="J2490" s="148">
        <v>0</v>
      </c>
      <c r="K2490" s="222">
        <v>0</v>
      </c>
    </row>
    <row r="2491" spans="1:11" ht="15.75" hidden="1" thickBot="1" x14ac:dyDescent="0.3">
      <c r="A2491" s="202" t="s">
        <v>2052</v>
      </c>
      <c r="B2491" s="204" t="str">
        <f>INDEX(Orçamentária!A:B,MATCH(Composições!A2491,Orçamentária!A:A,0),2)</f>
        <v>Cantoneira laminada em aço abas Iguais 5/8” x 1/8”</v>
      </c>
      <c r="C2491" s="40"/>
      <c r="D2491" s="25" t="str">
        <f>TRIM(INDEX(Orçamentária!C:C,MATCH(Composições!A2491,Orçamentária!A:A,0),1))</f>
        <v>m</v>
      </c>
      <c r="E2491" s="26"/>
      <c r="F2491" s="41" t="s">
        <v>514</v>
      </c>
      <c r="G2491" s="27" t="str">
        <f t="shared" si="43"/>
        <v/>
      </c>
      <c r="H2491" s="28"/>
      <c r="I2491" s="29"/>
      <c r="J2491" s="148">
        <v>0</v>
      </c>
      <c r="K2491" s="222">
        <v>0</v>
      </c>
    </row>
    <row r="2492" spans="1:11" hidden="1" x14ac:dyDescent="0.25">
      <c r="A2492" s="203"/>
      <c r="B2492" s="205"/>
      <c r="C2492" s="31"/>
      <c r="D2492" s="31"/>
      <c r="E2492" s="32"/>
      <c r="F2492" s="42" t="s">
        <v>514</v>
      </c>
      <c r="G2492" s="33" t="str">
        <f t="shared" si="43"/>
        <v/>
      </c>
      <c r="H2492" s="34"/>
      <c r="I2492" s="30"/>
      <c r="J2492" s="148">
        <v>0</v>
      </c>
      <c r="K2492" s="222">
        <v>0</v>
      </c>
    </row>
    <row r="2493" spans="1:11" ht="25.5" hidden="1" x14ac:dyDescent="0.25">
      <c r="A2493" s="203"/>
      <c r="B2493" s="205"/>
      <c r="C2493" s="35" t="s">
        <v>129</v>
      </c>
      <c r="D2493" s="46" t="s">
        <v>42</v>
      </c>
      <c r="E2493" s="36">
        <v>0.71</v>
      </c>
      <c r="F2493" s="30">
        <v>11.067499999999999</v>
      </c>
      <c r="G2493" s="33">
        <f t="shared" ref="G2493:G2556" si="44">IF(ISNUMBER(F2493),E2493*F2493,"")</f>
        <v>7.8579249999999989</v>
      </c>
      <c r="H2493" s="38">
        <f>SUM(G2493:G2493)</f>
        <v>7.8579249999999989</v>
      </c>
      <c r="I2493" s="39"/>
      <c r="J2493" s="148">
        <v>0</v>
      </c>
      <c r="K2493" s="222">
        <v>0</v>
      </c>
    </row>
    <row r="2494" spans="1:11" ht="15.75" hidden="1" thickBot="1" x14ac:dyDescent="0.3">
      <c r="A2494" s="209"/>
      <c r="B2494" s="206"/>
      <c r="C2494" s="35"/>
      <c r="D2494" s="35"/>
      <c r="E2494" s="36"/>
      <c r="F2494" s="30" t="s">
        <v>514</v>
      </c>
      <c r="G2494" s="33" t="str">
        <f t="shared" si="44"/>
        <v/>
      </c>
      <c r="H2494" s="34"/>
      <c r="I2494" s="30"/>
      <c r="J2494" s="148">
        <v>0</v>
      </c>
      <c r="K2494" s="222">
        <v>0</v>
      </c>
    </row>
    <row r="2495" spans="1:11" ht="15.75" hidden="1" thickBot="1" x14ac:dyDescent="0.3">
      <c r="A2495" s="202" t="s">
        <v>2054</v>
      </c>
      <c r="B2495" s="204" t="str">
        <f>INDEX(Orçamentária!A:B,MATCH(Composições!A2495,Orçamentária!A:A,0),2)</f>
        <v>Chapa aço galvanizado # 16 (kg)</v>
      </c>
      <c r="C2495" s="40"/>
      <c r="D2495" s="25" t="str">
        <f>TRIM(INDEX(Orçamentária!C:C,MATCH(Composições!A2495,Orçamentária!A:A,0),1))</f>
        <v>kg</v>
      </c>
      <c r="E2495" s="26"/>
      <c r="F2495" s="41" t="s">
        <v>514</v>
      </c>
      <c r="G2495" s="27" t="str">
        <f t="shared" si="44"/>
        <v/>
      </c>
      <c r="H2495" s="28"/>
      <c r="I2495" s="29"/>
      <c r="J2495" s="148">
        <v>0</v>
      </c>
      <c r="K2495" s="222">
        <v>0</v>
      </c>
    </row>
    <row r="2496" spans="1:11" hidden="1" x14ac:dyDescent="0.25">
      <c r="A2496" s="203"/>
      <c r="B2496" s="205"/>
      <c r="C2496" s="31"/>
      <c r="D2496" s="31"/>
      <c r="E2496" s="32"/>
      <c r="F2496" s="42" t="s">
        <v>514</v>
      </c>
      <c r="G2496" s="33" t="str">
        <f t="shared" si="44"/>
        <v/>
      </c>
      <c r="H2496" s="34"/>
      <c r="I2496" s="30"/>
      <c r="J2496" s="148">
        <v>0</v>
      </c>
      <c r="K2496" s="222">
        <v>0</v>
      </c>
    </row>
    <row r="2497" spans="1:11" ht="25.5" hidden="1" x14ac:dyDescent="0.25">
      <c r="A2497" s="203"/>
      <c r="B2497" s="205"/>
      <c r="C2497" s="35" t="s">
        <v>3243</v>
      </c>
      <c r="D2497" s="46" t="s">
        <v>42</v>
      </c>
      <c r="E2497" s="36">
        <v>1</v>
      </c>
      <c r="F2497" s="30">
        <v>14.706</v>
      </c>
      <c r="G2497" s="33">
        <f t="shared" si="44"/>
        <v>14.706</v>
      </c>
      <c r="H2497" s="38">
        <f>SUM(G2497:G2497)</f>
        <v>14.706</v>
      </c>
      <c r="I2497" s="39"/>
      <c r="J2497" s="148">
        <v>0</v>
      </c>
      <c r="K2497" s="222">
        <v>0</v>
      </c>
    </row>
    <row r="2498" spans="1:11" ht="15.75" hidden="1" thickBot="1" x14ac:dyDescent="0.3">
      <c r="A2498" s="209"/>
      <c r="B2498" s="206"/>
      <c r="C2498" s="35"/>
      <c r="D2498" s="35"/>
      <c r="E2498" s="36"/>
      <c r="F2498" s="30" t="s">
        <v>514</v>
      </c>
      <c r="G2498" s="33" t="str">
        <f t="shared" si="44"/>
        <v/>
      </c>
      <c r="H2498" s="34"/>
      <c r="I2498" s="30"/>
      <c r="J2498" s="148">
        <v>0</v>
      </c>
      <c r="K2498" s="222">
        <v>0</v>
      </c>
    </row>
    <row r="2499" spans="1:11" ht="15.75" hidden="1" thickBot="1" x14ac:dyDescent="0.3">
      <c r="A2499" s="202" t="s">
        <v>2056</v>
      </c>
      <c r="B2499" s="204" t="str">
        <f>INDEX(Orçamentária!A:B,MATCH(Composições!A2499,Orçamentária!A:A,0),2)</f>
        <v>Ferro chato 1"x1/8"</v>
      </c>
      <c r="C2499" s="40"/>
      <c r="D2499" s="25" t="str">
        <f>TRIM(INDEX(Orçamentária!C:C,MATCH(Composições!A2499,Orçamentária!A:A,0),1))</f>
        <v>m</v>
      </c>
      <c r="E2499" s="26"/>
      <c r="F2499" s="41" t="s">
        <v>514</v>
      </c>
      <c r="G2499" s="27" t="str">
        <f t="shared" si="44"/>
        <v/>
      </c>
      <c r="H2499" s="28"/>
      <c r="I2499" s="29"/>
      <c r="J2499" s="148">
        <v>0</v>
      </c>
      <c r="K2499" s="222">
        <v>0</v>
      </c>
    </row>
    <row r="2500" spans="1:11" hidden="1" x14ac:dyDescent="0.25">
      <c r="A2500" s="203"/>
      <c r="B2500" s="205"/>
      <c r="C2500" s="31"/>
      <c r="D2500" s="31"/>
      <c r="E2500" s="32"/>
      <c r="F2500" s="42" t="s">
        <v>514</v>
      </c>
      <c r="G2500" s="33" t="str">
        <f t="shared" si="44"/>
        <v/>
      </c>
      <c r="H2500" s="34"/>
      <c r="I2500" s="30"/>
      <c r="J2500" s="148">
        <v>0</v>
      </c>
      <c r="K2500" s="222">
        <v>0</v>
      </c>
    </row>
    <row r="2501" spans="1:11" hidden="1" x14ac:dyDescent="0.25">
      <c r="A2501" s="203"/>
      <c r="B2501" s="205"/>
      <c r="C2501" s="35" t="s">
        <v>3676</v>
      </c>
      <c r="D2501" s="46" t="s">
        <v>42</v>
      </c>
      <c r="E2501" s="36">
        <v>0.63</v>
      </c>
      <c r="F2501" s="30">
        <v>11.685</v>
      </c>
      <c r="G2501" s="33">
        <f t="shared" si="44"/>
        <v>7.3615500000000003</v>
      </c>
      <c r="H2501" s="38">
        <f>SUM(G2501:G2501)</f>
        <v>7.3615500000000003</v>
      </c>
      <c r="I2501" s="39"/>
      <c r="J2501" s="148">
        <v>0</v>
      </c>
      <c r="K2501" s="222">
        <v>0</v>
      </c>
    </row>
    <row r="2502" spans="1:11" ht="15.75" hidden="1" thickBot="1" x14ac:dyDescent="0.3">
      <c r="A2502" s="209"/>
      <c r="B2502" s="206"/>
      <c r="C2502" s="35"/>
      <c r="D2502" s="35"/>
      <c r="E2502" s="36"/>
      <c r="F2502" s="30" t="s">
        <v>514</v>
      </c>
      <c r="G2502" s="33" t="str">
        <f t="shared" si="44"/>
        <v/>
      </c>
      <c r="H2502" s="34"/>
      <c r="I2502" s="30"/>
      <c r="J2502" s="148">
        <v>0</v>
      </c>
      <c r="K2502" s="222">
        <v>0</v>
      </c>
    </row>
    <row r="2503" spans="1:11" ht="15.75" hidden="1" thickBot="1" x14ac:dyDescent="0.3">
      <c r="A2503" s="202" t="s">
        <v>2058</v>
      </c>
      <c r="B2503" s="204" t="str">
        <f>INDEX(Orçamentária!A:B,MATCH(Composições!A2503,Orçamentária!A:A,0),2)</f>
        <v>Ferro chato 1"x3/16"</v>
      </c>
      <c r="C2503" s="40"/>
      <c r="D2503" s="25" t="str">
        <f>TRIM(INDEX(Orçamentária!C:C,MATCH(Composições!A2503,Orçamentária!A:A,0),1))</f>
        <v>m</v>
      </c>
      <c r="E2503" s="26"/>
      <c r="F2503" s="41" t="s">
        <v>514</v>
      </c>
      <c r="G2503" s="27" t="str">
        <f t="shared" si="44"/>
        <v/>
      </c>
      <c r="H2503" s="28"/>
      <c r="I2503" s="29"/>
      <c r="J2503" s="148">
        <v>0</v>
      </c>
      <c r="K2503" s="222">
        <v>0</v>
      </c>
    </row>
    <row r="2504" spans="1:11" hidden="1" x14ac:dyDescent="0.25">
      <c r="A2504" s="203"/>
      <c r="B2504" s="205"/>
      <c r="C2504" s="31"/>
      <c r="D2504" s="31"/>
      <c r="E2504" s="32"/>
      <c r="F2504" s="42" t="s">
        <v>514</v>
      </c>
      <c r="G2504" s="33" t="str">
        <f t="shared" si="44"/>
        <v/>
      </c>
      <c r="H2504" s="34"/>
      <c r="I2504" s="30"/>
      <c r="J2504" s="148">
        <v>0</v>
      </c>
      <c r="K2504" s="222">
        <v>0</v>
      </c>
    </row>
    <row r="2505" spans="1:11" hidden="1" x14ac:dyDescent="0.25">
      <c r="A2505" s="203"/>
      <c r="B2505" s="205"/>
      <c r="C2505" s="35" t="s">
        <v>3676</v>
      </c>
      <c r="D2505" s="46" t="s">
        <v>42</v>
      </c>
      <c r="E2505" s="36">
        <v>0.95</v>
      </c>
      <c r="F2505" s="30">
        <v>11.685</v>
      </c>
      <c r="G2505" s="33">
        <f t="shared" si="44"/>
        <v>11.10075</v>
      </c>
      <c r="H2505" s="38">
        <f>SUM(G2505:G2505)</f>
        <v>11.10075</v>
      </c>
      <c r="I2505" s="39"/>
      <c r="J2505" s="148">
        <v>0</v>
      </c>
      <c r="K2505" s="222">
        <v>0</v>
      </c>
    </row>
    <row r="2506" spans="1:11" ht="15.75" hidden="1" thickBot="1" x14ac:dyDescent="0.3">
      <c r="A2506" s="209"/>
      <c r="B2506" s="206"/>
      <c r="C2506" s="35"/>
      <c r="D2506" s="35"/>
      <c r="E2506" s="36"/>
      <c r="F2506" s="30" t="s">
        <v>514</v>
      </c>
      <c r="G2506" s="33" t="str">
        <f t="shared" si="44"/>
        <v/>
      </c>
      <c r="H2506" s="34"/>
      <c r="I2506" s="30"/>
      <c r="J2506" s="148">
        <v>0</v>
      </c>
      <c r="K2506" s="222">
        <v>0</v>
      </c>
    </row>
    <row r="2507" spans="1:11" ht="15.75" hidden="1" thickBot="1" x14ac:dyDescent="0.3">
      <c r="A2507" s="202" t="s">
        <v>2060</v>
      </c>
      <c r="B2507" s="204" t="str">
        <f>INDEX(Orçamentária!A:B,MATCH(Composições!A2507,Orçamentária!A:A,0),2)</f>
        <v>Ferro chato  3/4"x1/4" ou 7/8"x1/4" ou 1” x 1/4”</v>
      </c>
      <c r="C2507" s="40"/>
      <c r="D2507" s="25" t="str">
        <f>TRIM(INDEX(Orçamentária!C:C,MATCH(Composições!A2507,Orçamentária!A:A,0),1))</f>
        <v>m</v>
      </c>
      <c r="E2507" s="26"/>
      <c r="F2507" s="41" t="s">
        <v>514</v>
      </c>
      <c r="G2507" s="27" t="str">
        <f t="shared" si="44"/>
        <v/>
      </c>
      <c r="H2507" s="28"/>
      <c r="I2507" s="29"/>
      <c r="J2507" s="148">
        <v>0</v>
      </c>
      <c r="K2507" s="222">
        <v>0</v>
      </c>
    </row>
    <row r="2508" spans="1:11" hidden="1" x14ac:dyDescent="0.25">
      <c r="A2508" s="203"/>
      <c r="B2508" s="205"/>
      <c r="C2508" s="31"/>
      <c r="D2508" s="31"/>
      <c r="E2508" s="32"/>
      <c r="F2508" s="42" t="s">
        <v>514</v>
      </c>
      <c r="G2508" s="33" t="str">
        <f t="shared" si="44"/>
        <v/>
      </c>
      <c r="H2508" s="34"/>
      <c r="I2508" s="30"/>
      <c r="J2508" s="148">
        <v>0</v>
      </c>
      <c r="K2508" s="222">
        <v>0</v>
      </c>
    </row>
    <row r="2509" spans="1:11" hidden="1" x14ac:dyDescent="0.25">
      <c r="A2509" s="203"/>
      <c r="B2509" s="205"/>
      <c r="C2509" s="35" t="s">
        <v>3676</v>
      </c>
      <c r="D2509" s="46" t="s">
        <v>42</v>
      </c>
      <c r="E2509" s="36">
        <v>1.1100000000000001</v>
      </c>
      <c r="F2509" s="30">
        <v>11.685</v>
      </c>
      <c r="G2509" s="33">
        <f t="shared" si="44"/>
        <v>12.970350000000002</v>
      </c>
      <c r="H2509" s="38">
        <f>SUM(G2509:G2509)</f>
        <v>12.970350000000002</v>
      </c>
      <c r="I2509" s="39"/>
      <c r="J2509" s="148">
        <v>0</v>
      </c>
      <c r="K2509" s="222">
        <v>0</v>
      </c>
    </row>
    <row r="2510" spans="1:11" ht="15.75" hidden="1" thickBot="1" x14ac:dyDescent="0.3">
      <c r="A2510" s="209"/>
      <c r="B2510" s="206"/>
      <c r="C2510" s="35"/>
      <c r="D2510" s="35"/>
      <c r="E2510" s="36"/>
      <c r="F2510" s="30" t="s">
        <v>514</v>
      </c>
      <c r="G2510" s="33" t="str">
        <f t="shared" si="44"/>
        <v/>
      </c>
      <c r="H2510" s="34"/>
      <c r="I2510" s="30"/>
      <c r="J2510" s="148">
        <v>0</v>
      </c>
      <c r="K2510" s="222">
        <v>0</v>
      </c>
    </row>
    <row r="2511" spans="1:11" ht="15.75" hidden="1" thickBot="1" x14ac:dyDescent="0.3">
      <c r="A2511" s="202" t="s">
        <v>2062</v>
      </c>
      <c r="B2511" s="204" t="str">
        <f>INDEX(Orçamentária!A:B,MATCH(Composições!A2511,Orçamentária!A:A,0),2)</f>
        <v>Ferro chato 3/4"x1/8"</v>
      </c>
      <c r="C2511" s="40"/>
      <c r="D2511" s="25" t="str">
        <f>TRIM(INDEX(Orçamentária!C:C,MATCH(Composições!A2511,Orçamentária!A:A,0),1))</f>
        <v>m</v>
      </c>
      <c r="E2511" s="26"/>
      <c r="F2511" s="41" t="s">
        <v>514</v>
      </c>
      <c r="G2511" s="27" t="str">
        <f t="shared" si="44"/>
        <v/>
      </c>
      <c r="H2511" s="28"/>
      <c r="I2511" s="29"/>
      <c r="J2511" s="148">
        <v>0</v>
      </c>
      <c r="K2511" s="222">
        <v>0</v>
      </c>
    </row>
    <row r="2512" spans="1:11" hidden="1" x14ac:dyDescent="0.25">
      <c r="A2512" s="203"/>
      <c r="B2512" s="205"/>
      <c r="C2512" s="31"/>
      <c r="D2512" s="31"/>
      <c r="E2512" s="32"/>
      <c r="F2512" s="42" t="s">
        <v>514</v>
      </c>
      <c r="G2512" s="33" t="str">
        <f t="shared" si="44"/>
        <v/>
      </c>
      <c r="H2512" s="34"/>
      <c r="I2512" s="30"/>
      <c r="J2512" s="148">
        <v>0</v>
      </c>
      <c r="K2512" s="222">
        <v>0</v>
      </c>
    </row>
    <row r="2513" spans="1:11" hidden="1" x14ac:dyDescent="0.25">
      <c r="A2513" s="203"/>
      <c r="B2513" s="205"/>
      <c r="C2513" s="35" t="s">
        <v>3676</v>
      </c>
      <c r="D2513" s="46" t="s">
        <v>42</v>
      </c>
      <c r="E2513" s="36">
        <v>0.48</v>
      </c>
      <c r="F2513" s="30">
        <v>11.685</v>
      </c>
      <c r="G2513" s="33">
        <f t="shared" si="44"/>
        <v>5.6088000000000005</v>
      </c>
      <c r="H2513" s="38">
        <f>SUM(G2513:G2513)</f>
        <v>5.6088000000000005</v>
      </c>
      <c r="I2513" s="39"/>
      <c r="J2513" s="148">
        <v>0</v>
      </c>
      <c r="K2513" s="222">
        <v>0</v>
      </c>
    </row>
    <row r="2514" spans="1:11" ht="15.75" hidden="1" thickBot="1" x14ac:dyDescent="0.3">
      <c r="A2514" s="209"/>
      <c r="B2514" s="206"/>
      <c r="C2514" s="35"/>
      <c r="D2514" s="35"/>
      <c r="E2514" s="36"/>
      <c r="F2514" s="30" t="s">
        <v>514</v>
      </c>
      <c r="G2514" s="33" t="str">
        <f t="shared" si="44"/>
        <v/>
      </c>
      <c r="H2514" s="34"/>
      <c r="I2514" s="30"/>
      <c r="J2514" s="148">
        <v>0</v>
      </c>
      <c r="K2514" s="222">
        <v>0</v>
      </c>
    </row>
    <row r="2515" spans="1:11" ht="15.75" hidden="1" thickBot="1" x14ac:dyDescent="0.3">
      <c r="A2515" s="202" t="s">
        <v>2064</v>
      </c>
      <c r="B2515" s="204" t="str">
        <f>INDEX(Orçamentária!A:B,MATCH(Composições!A2515,Orçamentária!A:A,0),2)</f>
        <v>Ferro chato 3/4"x3/16"</v>
      </c>
      <c r="C2515" s="40"/>
      <c r="D2515" s="25" t="str">
        <f>TRIM(INDEX(Orçamentária!C:C,MATCH(Composições!A2515,Orçamentária!A:A,0),1))</f>
        <v>m</v>
      </c>
      <c r="E2515" s="26"/>
      <c r="F2515" s="41" t="s">
        <v>514</v>
      </c>
      <c r="G2515" s="27" t="str">
        <f t="shared" si="44"/>
        <v/>
      </c>
      <c r="H2515" s="28"/>
      <c r="I2515" s="29"/>
      <c r="J2515" s="148">
        <v>0</v>
      </c>
      <c r="K2515" s="222">
        <v>0</v>
      </c>
    </row>
    <row r="2516" spans="1:11" hidden="1" x14ac:dyDescent="0.25">
      <c r="A2516" s="203"/>
      <c r="B2516" s="205"/>
      <c r="C2516" s="31"/>
      <c r="D2516" s="31"/>
      <c r="E2516" s="32"/>
      <c r="F2516" s="42" t="s">
        <v>514</v>
      </c>
      <c r="G2516" s="33" t="str">
        <f t="shared" si="44"/>
        <v/>
      </c>
      <c r="H2516" s="34"/>
      <c r="I2516" s="30"/>
      <c r="J2516" s="148">
        <v>0</v>
      </c>
      <c r="K2516" s="222">
        <v>0</v>
      </c>
    </row>
    <row r="2517" spans="1:11" hidden="1" x14ac:dyDescent="0.25">
      <c r="A2517" s="203"/>
      <c r="B2517" s="205"/>
      <c r="C2517" s="35" t="s">
        <v>3676</v>
      </c>
      <c r="D2517" s="46" t="s">
        <v>42</v>
      </c>
      <c r="E2517" s="36">
        <v>0.71</v>
      </c>
      <c r="F2517" s="30">
        <v>11.685</v>
      </c>
      <c r="G2517" s="33">
        <f t="shared" si="44"/>
        <v>8.2963500000000003</v>
      </c>
      <c r="H2517" s="38">
        <f>SUM(G2517:G2517)</f>
        <v>8.2963500000000003</v>
      </c>
      <c r="I2517" s="39"/>
      <c r="J2517" s="148">
        <v>0</v>
      </c>
      <c r="K2517" s="222">
        <v>0</v>
      </c>
    </row>
    <row r="2518" spans="1:11" ht="15.75" hidden="1" thickBot="1" x14ac:dyDescent="0.3">
      <c r="A2518" s="209"/>
      <c r="B2518" s="206"/>
      <c r="C2518" s="35"/>
      <c r="D2518" s="35"/>
      <c r="E2518" s="36"/>
      <c r="F2518" s="30" t="s">
        <v>514</v>
      </c>
      <c r="G2518" s="33" t="str">
        <f t="shared" si="44"/>
        <v/>
      </c>
      <c r="H2518" s="34"/>
      <c r="I2518" s="30"/>
      <c r="J2518" s="148">
        <v>0</v>
      </c>
      <c r="K2518" s="222">
        <v>0</v>
      </c>
    </row>
    <row r="2519" spans="1:11" ht="15.75" hidden="1" thickBot="1" x14ac:dyDescent="0.3">
      <c r="A2519" s="202" t="s">
        <v>2066</v>
      </c>
      <c r="B2519" s="204" t="str">
        <f>INDEX(Orçamentária!A:B,MATCH(Composições!A2519,Orçamentária!A:A,0),2)</f>
        <v>Ferro chato 5/8"x1/8"</v>
      </c>
      <c r="C2519" s="40"/>
      <c r="D2519" s="25" t="str">
        <f>TRIM(INDEX(Orçamentária!C:C,MATCH(Composições!A2519,Orçamentária!A:A,0),1))</f>
        <v>m</v>
      </c>
      <c r="E2519" s="26"/>
      <c r="F2519" s="41" t="s">
        <v>514</v>
      </c>
      <c r="G2519" s="27" t="str">
        <f t="shared" si="44"/>
        <v/>
      </c>
      <c r="H2519" s="28"/>
      <c r="I2519" s="29"/>
      <c r="J2519" s="148">
        <v>0</v>
      </c>
      <c r="K2519" s="222">
        <v>0</v>
      </c>
    </row>
    <row r="2520" spans="1:11" hidden="1" x14ac:dyDescent="0.25">
      <c r="A2520" s="203"/>
      <c r="B2520" s="205"/>
      <c r="C2520" s="31"/>
      <c r="D2520" s="31"/>
      <c r="E2520" s="32"/>
      <c r="F2520" s="42" t="s">
        <v>514</v>
      </c>
      <c r="G2520" s="33" t="str">
        <f t="shared" si="44"/>
        <v/>
      </c>
      <c r="H2520" s="34"/>
      <c r="I2520" s="30"/>
      <c r="J2520" s="148">
        <v>0</v>
      </c>
      <c r="K2520" s="222">
        <v>0</v>
      </c>
    </row>
    <row r="2521" spans="1:11" hidden="1" x14ac:dyDescent="0.25">
      <c r="A2521" s="203"/>
      <c r="B2521" s="205"/>
      <c r="C2521" s="35" t="s">
        <v>3676</v>
      </c>
      <c r="D2521" s="46" t="s">
        <v>42</v>
      </c>
      <c r="E2521" s="36">
        <v>0.4</v>
      </c>
      <c r="F2521" s="30">
        <v>11.685</v>
      </c>
      <c r="G2521" s="33">
        <f t="shared" si="44"/>
        <v>4.6740000000000004</v>
      </c>
      <c r="H2521" s="38">
        <f>SUM(G2521:G2521)</f>
        <v>4.6740000000000004</v>
      </c>
      <c r="I2521" s="39"/>
      <c r="J2521" s="148">
        <v>0</v>
      </c>
      <c r="K2521" s="222">
        <v>0</v>
      </c>
    </row>
    <row r="2522" spans="1:11" ht="15.75" hidden="1" thickBot="1" x14ac:dyDescent="0.3">
      <c r="A2522" s="209"/>
      <c r="B2522" s="206"/>
      <c r="C2522" s="35"/>
      <c r="D2522" s="35"/>
      <c r="E2522" s="36"/>
      <c r="F2522" s="30" t="s">
        <v>514</v>
      </c>
      <c r="G2522" s="33" t="str">
        <f t="shared" si="44"/>
        <v/>
      </c>
      <c r="H2522" s="34"/>
      <c r="I2522" s="30"/>
      <c r="J2522" s="148">
        <v>0</v>
      </c>
      <c r="K2522" s="222">
        <v>0</v>
      </c>
    </row>
    <row r="2523" spans="1:11" ht="15.75" hidden="1" thickBot="1" x14ac:dyDescent="0.3">
      <c r="A2523" s="202" t="s">
        <v>2068</v>
      </c>
      <c r="B2523" s="204" t="str">
        <f>INDEX(Orçamentária!A:B,MATCH(Composições!A2523,Orçamentária!A:A,0),2)</f>
        <v>Ferro chato 5/8"x3/16"</v>
      </c>
      <c r="C2523" s="40"/>
      <c r="D2523" s="25" t="str">
        <f>TRIM(INDEX(Orçamentária!C:C,MATCH(Composições!A2523,Orçamentária!A:A,0),1))</f>
        <v>m</v>
      </c>
      <c r="E2523" s="26"/>
      <c r="F2523" s="41" t="s">
        <v>514</v>
      </c>
      <c r="G2523" s="27" t="str">
        <f t="shared" si="44"/>
        <v/>
      </c>
      <c r="H2523" s="28"/>
      <c r="I2523" s="29"/>
      <c r="J2523" s="148">
        <v>0</v>
      </c>
      <c r="K2523" s="222">
        <v>0</v>
      </c>
    </row>
    <row r="2524" spans="1:11" hidden="1" x14ac:dyDescent="0.25">
      <c r="A2524" s="203"/>
      <c r="B2524" s="205"/>
      <c r="C2524" s="31"/>
      <c r="D2524" s="31"/>
      <c r="E2524" s="32"/>
      <c r="F2524" s="42" t="s">
        <v>514</v>
      </c>
      <c r="G2524" s="33" t="str">
        <f t="shared" si="44"/>
        <v/>
      </c>
      <c r="H2524" s="34"/>
      <c r="I2524" s="30"/>
      <c r="J2524" s="148">
        <v>0</v>
      </c>
      <c r="K2524" s="222">
        <v>0</v>
      </c>
    </row>
    <row r="2525" spans="1:11" hidden="1" x14ac:dyDescent="0.25">
      <c r="A2525" s="203"/>
      <c r="B2525" s="205"/>
      <c r="C2525" s="35" t="s">
        <v>3676</v>
      </c>
      <c r="D2525" s="46" t="s">
        <v>42</v>
      </c>
      <c r="E2525" s="36">
        <v>0.79</v>
      </c>
      <c r="F2525" s="30">
        <v>11.685</v>
      </c>
      <c r="G2525" s="33">
        <f t="shared" si="44"/>
        <v>9.2311500000000013</v>
      </c>
      <c r="H2525" s="38">
        <f>SUM(G2525:G2525)</f>
        <v>9.2311500000000013</v>
      </c>
      <c r="I2525" s="39"/>
      <c r="J2525" s="148">
        <v>0</v>
      </c>
      <c r="K2525" s="222">
        <v>0</v>
      </c>
    </row>
    <row r="2526" spans="1:11" ht="15.75" hidden="1" thickBot="1" x14ac:dyDescent="0.3">
      <c r="A2526" s="209"/>
      <c r="B2526" s="206"/>
      <c r="C2526" s="35"/>
      <c r="D2526" s="35"/>
      <c r="E2526" s="36"/>
      <c r="F2526" s="30" t="s">
        <v>514</v>
      </c>
      <c r="G2526" s="33" t="str">
        <f t="shared" si="44"/>
        <v/>
      </c>
      <c r="H2526" s="34"/>
      <c r="I2526" s="30"/>
      <c r="J2526" s="148">
        <v>0</v>
      </c>
      <c r="K2526" s="222">
        <v>0</v>
      </c>
    </row>
    <row r="2527" spans="1:11" ht="15.75" hidden="1" thickBot="1" x14ac:dyDescent="0.3">
      <c r="A2527" s="202" t="s">
        <v>2070</v>
      </c>
      <c r="B2527" s="204" t="str">
        <f>INDEX(Orçamentária!A:B,MATCH(Composições!A2527,Orçamentária!A:A,0),2)</f>
        <v>Ferro chato 7/8"x1/8"</v>
      </c>
      <c r="C2527" s="40"/>
      <c r="D2527" s="25" t="str">
        <f>TRIM(INDEX(Orçamentária!C:C,MATCH(Composições!A2527,Orçamentária!A:A,0),1))</f>
        <v>m</v>
      </c>
      <c r="E2527" s="26"/>
      <c r="F2527" s="41" t="s">
        <v>514</v>
      </c>
      <c r="G2527" s="27" t="str">
        <f t="shared" si="44"/>
        <v/>
      </c>
      <c r="H2527" s="28"/>
      <c r="I2527" s="29"/>
      <c r="J2527" s="148">
        <v>0</v>
      </c>
      <c r="K2527" s="222">
        <v>0</v>
      </c>
    </row>
    <row r="2528" spans="1:11" hidden="1" x14ac:dyDescent="0.25">
      <c r="A2528" s="203"/>
      <c r="B2528" s="205"/>
      <c r="C2528" s="31"/>
      <c r="D2528" s="31"/>
      <c r="E2528" s="32"/>
      <c r="F2528" s="42" t="s">
        <v>514</v>
      </c>
      <c r="G2528" s="33" t="str">
        <f t="shared" si="44"/>
        <v/>
      </c>
      <c r="H2528" s="34"/>
      <c r="I2528" s="30"/>
      <c r="J2528" s="148">
        <v>0</v>
      </c>
      <c r="K2528" s="222">
        <v>0</v>
      </c>
    </row>
    <row r="2529" spans="1:11" hidden="1" x14ac:dyDescent="0.25">
      <c r="A2529" s="203"/>
      <c r="B2529" s="205"/>
      <c r="C2529" s="35" t="s">
        <v>3676</v>
      </c>
      <c r="D2529" s="46" t="s">
        <v>42</v>
      </c>
      <c r="E2529" s="36">
        <v>0.55000000000000004</v>
      </c>
      <c r="F2529" s="30">
        <v>11.685</v>
      </c>
      <c r="G2529" s="33">
        <f t="shared" si="44"/>
        <v>6.4267500000000011</v>
      </c>
      <c r="H2529" s="38">
        <f>SUM(G2529:G2529)</f>
        <v>6.4267500000000011</v>
      </c>
      <c r="I2529" s="39"/>
      <c r="J2529" s="148">
        <v>0</v>
      </c>
      <c r="K2529" s="222">
        <v>0</v>
      </c>
    </row>
    <row r="2530" spans="1:11" ht="15.75" hidden="1" thickBot="1" x14ac:dyDescent="0.3">
      <c r="A2530" s="209"/>
      <c r="B2530" s="206"/>
      <c r="C2530" s="35"/>
      <c r="D2530" s="35"/>
      <c r="E2530" s="36"/>
      <c r="F2530" s="30" t="s">
        <v>514</v>
      </c>
      <c r="G2530" s="33" t="str">
        <f t="shared" si="44"/>
        <v/>
      </c>
      <c r="H2530" s="34"/>
      <c r="I2530" s="30"/>
      <c r="J2530" s="148">
        <v>0</v>
      </c>
      <c r="K2530" s="222">
        <v>0</v>
      </c>
    </row>
    <row r="2531" spans="1:11" ht="15.75" hidden="1" thickBot="1" x14ac:dyDescent="0.3">
      <c r="A2531" s="202" t="s">
        <v>2072</v>
      </c>
      <c r="B2531" s="204" t="str">
        <f>INDEX(Orçamentária!A:B,MATCH(Composições!A2531,Orçamentária!A:A,0),2)</f>
        <v>Ferro chato 7/8"x3/16"</v>
      </c>
      <c r="C2531" s="40"/>
      <c r="D2531" s="25" t="str">
        <f>TRIM(INDEX(Orçamentária!C:C,MATCH(Composições!A2531,Orçamentária!A:A,0),1))</f>
        <v>m</v>
      </c>
      <c r="E2531" s="26"/>
      <c r="F2531" s="41" t="s">
        <v>514</v>
      </c>
      <c r="G2531" s="27" t="str">
        <f t="shared" si="44"/>
        <v/>
      </c>
      <c r="H2531" s="28"/>
      <c r="I2531" s="29"/>
      <c r="J2531" s="148">
        <v>0</v>
      </c>
      <c r="K2531" s="222">
        <v>0</v>
      </c>
    </row>
    <row r="2532" spans="1:11" hidden="1" x14ac:dyDescent="0.25">
      <c r="A2532" s="203"/>
      <c r="B2532" s="205"/>
      <c r="C2532" s="31"/>
      <c r="D2532" s="31"/>
      <c r="E2532" s="32"/>
      <c r="F2532" s="42" t="s">
        <v>514</v>
      </c>
      <c r="G2532" s="33" t="str">
        <f t="shared" si="44"/>
        <v/>
      </c>
      <c r="H2532" s="34"/>
      <c r="I2532" s="30"/>
      <c r="J2532" s="148">
        <v>0</v>
      </c>
      <c r="K2532" s="222">
        <v>0</v>
      </c>
    </row>
    <row r="2533" spans="1:11" hidden="1" x14ac:dyDescent="0.25">
      <c r="A2533" s="203"/>
      <c r="B2533" s="205"/>
      <c r="C2533" s="35" t="s">
        <v>3676</v>
      </c>
      <c r="D2533" s="46" t="s">
        <v>42</v>
      </c>
      <c r="E2533" s="36">
        <v>0.83</v>
      </c>
      <c r="F2533" s="30">
        <v>11.685</v>
      </c>
      <c r="G2533" s="33">
        <f t="shared" si="44"/>
        <v>9.6985499999999991</v>
      </c>
      <c r="H2533" s="38">
        <f>SUM(G2533:G2533)</f>
        <v>9.6985499999999991</v>
      </c>
      <c r="I2533" s="39"/>
      <c r="J2533" s="148">
        <v>0</v>
      </c>
      <c r="K2533" s="222">
        <v>0</v>
      </c>
    </row>
    <row r="2534" spans="1:11" ht="15.75" hidden="1" thickBot="1" x14ac:dyDescent="0.3">
      <c r="A2534" s="209"/>
      <c r="B2534" s="206"/>
      <c r="C2534" s="35"/>
      <c r="D2534" s="35"/>
      <c r="E2534" s="36"/>
      <c r="F2534" s="30" t="s">
        <v>514</v>
      </c>
      <c r="G2534" s="33" t="str">
        <f t="shared" si="44"/>
        <v/>
      </c>
      <c r="H2534" s="34"/>
      <c r="I2534" s="30"/>
      <c r="J2534" s="148">
        <v>0</v>
      </c>
      <c r="K2534" s="222">
        <v>0</v>
      </c>
    </row>
    <row r="2535" spans="1:11" ht="15.75" hidden="1" thickBot="1" x14ac:dyDescent="0.3">
      <c r="A2535" s="202" t="s">
        <v>2159</v>
      </c>
      <c r="B2535" s="204" t="str">
        <f>INDEX(Orçamentária!A:B,MATCH(Composições!A2535,Orçamentária!A:A,0),2)</f>
        <v>Tela de estuque</v>
      </c>
      <c r="C2535" s="40"/>
      <c r="D2535" s="25" t="str">
        <f>TRIM(INDEX(Orçamentária!C:C,MATCH(Composições!A2535,Orçamentária!A:A,0),1))</f>
        <v>m2</v>
      </c>
      <c r="E2535" s="26"/>
      <c r="F2535" s="41" t="s">
        <v>514</v>
      </c>
      <c r="G2535" s="27" t="str">
        <f t="shared" si="44"/>
        <v/>
      </c>
      <c r="H2535" s="28"/>
      <c r="I2535" s="29"/>
      <c r="J2535" s="148">
        <v>0</v>
      </c>
      <c r="K2535" s="222">
        <v>0</v>
      </c>
    </row>
    <row r="2536" spans="1:11" hidden="1" x14ac:dyDescent="0.25">
      <c r="A2536" s="203"/>
      <c r="B2536" s="205"/>
      <c r="C2536" s="31"/>
      <c r="D2536" s="31"/>
      <c r="E2536" s="32"/>
      <c r="F2536" s="42" t="s">
        <v>514</v>
      </c>
      <c r="G2536" s="33" t="str">
        <f t="shared" si="44"/>
        <v/>
      </c>
      <c r="H2536" s="34"/>
      <c r="I2536" s="30"/>
      <c r="J2536" s="148">
        <v>0</v>
      </c>
      <c r="K2536" s="222">
        <v>0</v>
      </c>
    </row>
    <row r="2537" spans="1:11" hidden="1" x14ac:dyDescent="0.25">
      <c r="A2537" s="203"/>
      <c r="B2537" s="205"/>
      <c r="C2537" s="35" t="s">
        <v>3350</v>
      </c>
      <c r="D2537" s="46" t="s">
        <v>94</v>
      </c>
      <c r="E2537" s="36">
        <v>1</v>
      </c>
      <c r="F2537" s="30">
        <v>6.1084999999999994</v>
      </c>
      <c r="G2537" s="33">
        <f t="shared" si="44"/>
        <v>6.1084999999999994</v>
      </c>
      <c r="H2537" s="38">
        <f>SUM(G2537:G2537)</f>
        <v>6.1084999999999994</v>
      </c>
      <c r="I2537" s="39"/>
      <c r="J2537" s="148">
        <v>0</v>
      </c>
      <c r="K2537" s="222">
        <v>0</v>
      </c>
    </row>
    <row r="2538" spans="1:11" ht="15.75" hidden="1" thickBot="1" x14ac:dyDescent="0.3">
      <c r="A2538" s="209"/>
      <c r="B2538" s="206"/>
      <c r="C2538" s="35"/>
      <c r="D2538" s="35"/>
      <c r="E2538" s="36"/>
      <c r="F2538" s="30" t="s">
        <v>514</v>
      </c>
      <c r="G2538" s="33" t="str">
        <f t="shared" si="44"/>
        <v/>
      </c>
      <c r="H2538" s="34"/>
      <c r="I2538" s="30"/>
      <c r="J2538" s="148">
        <v>0</v>
      </c>
      <c r="K2538" s="222">
        <v>0</v>
      </c>
    </row>
    <row r="2539" spans="1:11" ht="15.75" hidden="1" thickBot="1" x14ac:dyDescent="0.3">
      <c r="A2539" s="202" t="s">
        <v>2163</v>
      </c>
      <c r="B2539" s="204" t="str">
        <f>INDEX(Orçamentária!A:B,MATCH(Composições!A2539,Orçamentária!A:A,0),2)</f>
        <v>Arame galvanizado, bitola 16 BWG (1,65mm)</v>
      </c>
      <c r="C2539" s="40"/>
      <c r="D2539" s="25" t="str">
        <f>TRIM(INDEX(Orçamentária!C:C,MATCH(Composições!A2539,Orçamentária!A:A,0),1))</f>
        <v>kg</v>
      </c>
      <c r="E2539" s="26"/>
      <c r="F2539" s="41" t="s">
        <v>514</v>
      </c>
      <c r="G2539" s="27" t="str">
        <f t="shared" si="44"/>
        <v/>
      </c>
      <c r="H2539" s="28"/>
      <c r="I2539" s="29"/>
      <c r="J2539" s="148">
        <v>0</v>
      </c>
      <c r="K2539" s="222">
        <v>0</v>
      </c>
    </row>
    <row r="2540" spans="1:11" hidden="1" x14ac:dyDescent="0.25">
      <c r="A2540" s="203"/>
      <c r="B2540" s="205"/>
      <c r="C2540" s="31"/>
      <c r="D2540" s="31"/>
      <c r="E2540" s="32"/>
      <c r="F2540" s="42" t="s">
        <v>514</v>
      </c>
      <c r="G2540" s="33" t="str">
        <f t="shared" si="44"/>
        <v/>
      </c>
      <c r="H2540" s="34"/>
      <c r="I2540" s="30"/>
      <c r="J2540" s="148">
        <v>0</v>
      </c>
      <c r="K2540" s="222">
        <v>0</v>
      </c>
    </row>
    <row r="2541" spans="1:11" hidden="1" x14ac:dyDescent="0.25">
      <c r="A2541" s="203"/>
      <c r="B2541" s="205"/>
      <c r="C2541" s="35" t="s">
        <v>3231</v>
      </c>
      <c r="D2541" s="46" t="s">
        <v>42</v>
      </c>
      <c r="E2541" s="36">
        <v>1</v>
      </c>
      <c r="F2541" s="30">
        <v>29.393000000000001</v>
      </c>
      <c r="G2541" s="33">
        <f t="shared" si="44"/>
        <v>29.393000000000001</v>
      </c>
      <c r="H2541" s="38">
        <f>SUM(G2541:G2541)</f>
        <v>29.393000000000001</v>
      </c>
      <c r="I2541" s="39"/>
      <c r="J2541" s="148">
        <v>0</v>
      </c>
      <c r="K2541" s="222">
        <v>0</v>
      </c>
    </row>
    <row r="2542" spans="1:11" ht="15.75" hidden="1" thickBot="1" x14ac:dyDescent="0.3">
      <c r="A2542" s="209"/>
      <c r="B2542" s="206"/>
      <c r="C2542" s="35"/>
      <c r="D2542" s="35"/>
      <c r="E2542" s="36"/>
      <c r="F2542" s="30" t="s">
        <v>514</v>
      </c>
      <c r="G2542" s="33" t="str">
        <f t="shared" si="44"/>
        <v/>
      </c>
      <c r="H2542" s="34"/>
      <c r="I2542" s="30"/>
      <c r="J2542" s="148">
        <v>0</v>
      </c>
      <c r="K2542" s="222">
        <v>0</v>
      </c>
    </row>
    <row r="2543" spans="1:11" ht="15.75" hidden="1" thickBot="1" x14ac:dyDescent="0.3">
      <c r="A2543" s="202" t="s">
        <v>2167</v>
      </c>
      <c r="B2543" s="204" t="str">
        <f>INDEX(Orçamentária!A:B,MATCH(Composições!A2543,Orçamentária!A:A,0),2)</f>
        <v>Tela em aço galvanizado, tipo alambrado, malha 2, fio 12</v>
      </c>
      <c r="C2543" s="40"/>
      <c r="D2543" s="25" t="str">
        <f>TRIM(INDEX(Orçamentária!C:C,MATCH(Composições!A2543,Orçamentária!A:A,0),1))</f>
        <v>m2</v>
      </c>
      <c r="E2543" s="26"/>
      <c r="F2543" s="41" t="s">
        <v>514</v>
      </c>
      <c r="G2543" s="27" t="str">
        <f t="shared" si="44"/>
        <v/>
      </c>
      <c r="H2543" s="28"/>
      <c r="I2543" s="29"/>
      <c r="J2543" s="148">
        <v>0</v>
      </c>
      <c r="K2543" s="222">
        <v>0</v>
      </c>
    </row>
    <row r="2544" spans="1:11" hidden="1" x14ac:dyDescent="0.25">
      <c r="A2544" s="203"/>
      <c r="B2544" s="205"/>
      <c r="C2544" s="31"/>
      <c r="D2544" s="31"/>
      <c r="E2544" s="32"/>
      <c r="F2544" s="42" t="s">
        <v>514</v>
      </c>
      <c r="G2544" s="33" t="str">
        <f t="shared" si="44"/>
        <v/>
      </c>
      <c r="H2544" s="34"/>
      <c r="I2544" s="30"/>
      <c r="J2544" s="148">
        <v>0</v>
      </c>
      <c r="K2544" s="222">
        <v>0</v>
      </c>
    </row>
    <row r="2545" spans="1:11" ht="25.5" hidden="1" x14ac:dyDescent="0.25">
      <c r="A2545" s="203"/>
      <c r="B2545" s="205"/>
      <c r="C2545" s="35" t="s">
        <v>3349</v>
      </c>
      <c r="D2545" s="46" t="s">
        <v>94</v>
      </c>
      <c r="E2545" s="36">
        <v>1</v>
      </c>
      <c r="F2545" s="30">
        <v>43.462499999999999</v>
      </c>
      <c r="G2545" s="33">
        <f t="shared" si="44"/>
        <v>43.462499999999999</v>
      </c>
      <c r="H2545" s="38">
        <f>SUM(G2545:G2545)</f>
        <v>43.462499999999999</v>
      </c>
      <c r="I2545" s="39"/>
      <c r="J2545" s="148">
        <v>0</v>
      </c>
      <c r="K2545" s="222">
        <v>0</v>
      </c>
    </row>
    <row r="2546" spans="1:11" ht="15.75" hidden="1" thickBot="1" x14ac:dyDescent="0.3">
      <c r="A2546" s="209"/>
      <c r="B2546" s="206"/>
      <c r="C2546" s="35"/>
      <c r="D2546" s="35"/>
      <c r="E2546" s="36"/>
      <c r="F2546" s="30" t="s">
        <v>514</v>
      </c>
      <c r="G2546" s="33" t="str">
        <f t="shared" si="44"/>
        <v/>
      </c>
      <c r="H2546" s="34"/>
      <c r="I2546" s="30"/>
      <c r="J2546" s="148">
        <v>0</v>
      </c>
      <c r="K2546" s="222">
        <v>0</v>
      </c>
    </row>
    <row r="2547" spans="1:11" ht="15.75" hidden="1" thickBot="1" x14ac:dyDescent="0.3">
      <c r="A2547" s="202" t="s">
        <v>2169</v>
      </c>
      <c r="B2547" s="204" t="str">
        <f>INDEX(Orçamentária!A:B,MATCH(Composições!A2547,Orçamentária!A:A,0),2)</f>
        <v>Massa Adesiva Plástica</v>
      </c>
      <c r="C2547" s="40"/>
      <c r="D2547" s="25" t="str">
        <f>TRIM(INDEX(Orçamentária!C:C,MATCH(Composições!A2547,Orçamentária!A:A,0),1))</f>
        <v>un</v>
      </c>
      <c r="E2547" s="26"/>
      <c r="F2547" s="41" t="s">
        <v>514</v>
      </c>
      <c r="G2547" s="27" t="str">
        <f t="shared" si="44"/>
        <v/>
      </c>
      <c r="H2547" s="28"/>
      <c r="I2547" s="29"/>
      <c r="J2547" s="148">
        <v>0</v>
      </c>
      <c r="K2547" s="222">
        <v>0</v>
      </c>
    </row>
    <row r="2548" spans="1:11" hidden="1" x14ac:dyDescent="0.25">
      <c r="A2548" s="203"/>
      <c r="B2548" s="205"/>
      <c r="C2548" s="31"/>
      <c r="D2548" s="31"/>
      <c r="E2548" s="32"/>
      <c r="F2548" s="42" t="s">
        <v>514</v>
      </c>
      <c r="G2548" s="33" t="str">
        <f t="shared" si="44"/>
        <v/>
      </c>
      <c r="H2548" s="34"/>
      <c r="I2548" s="30"/>
      <c r="J2548" s="148">
        <v>0</v>
      </c>
      <c r="K2548" s="222">
        <v>0</v>
      </c>
    </row>
    <row r="2549" spans="1:11" hidden="1" x14ac:dyDescent="0.25">
      <c r="A2549" s="203"/>
      <c r="B2549" s="205"/>
      <c r="C2549" s="35" t="s">
        <v>3325</v>
      </c>
      <c r="D2549" s="46" t="s">
        <v>42</v>
      </c>
      <c r="E2549" s="36">
        <v>0.4</v>
      </c>
      <c r="F2549" s="30">
        <v>32.755999999999993</v>
      </c>
      <c r="G2549" s="33">
        <f t="shared" si="44"/>
        <v>13.102399999999998</v>
      </c>
      <c r="H2549" s="38">
        <f>SUM(G2549:G2549)</f>
        <v>13.102399999999998</v>
      </c>
      <c r="I2549" s="39"/>
      <c r="J2549" s="148">
        <v>0</v>
      </c>
      <c r="K2549" s="222">
        <v>0</v>
      </c>
    </row>
    <row r="2550" spans="1:11" ht="15.75" hidden="1" thickBot="1" x14ac:dyDescent="0.3">
      <c r="A2550" s="209"/>
      <c r="B2550" s="206"/>
      <c r="C2550" s="35"/>
      <c r="D2550" s="35"/>
      <c r="E2550" s="36"/>
      <c r="F2550" s="30" t="s">
        <v>514</v>
      </c>
      <c r="G2550" s="33" t="str">
        <f t="shared" si="44"/>
        <v/>
      </c>
      <c r="H2550" s="34"/>
      <c r="I2550" s="30"/>
      <c r="J2550" s="148">
        <v>0</v>
      </c>
      <c r="K2550" s="222">
        <v>0</v>
      </c>
    </row>
    <row r="2551" spans="1:11" ht="15.75" hidden="1" thickBot="1" x14ac:dyDescent="0.3">
      <c r="A2551" s="202" t="s">
        <v>735</v>
      </c>
      <c r="B2551" s="204" t="str">
        <f>INDEX(Orçamentária!A:B,MATCH(Composições!A2551,Orçamentária!A:A,0),2)</f>
        <v>Argamassa Para Contrapiso</v>
      </c>
      <c r="C2551" s="40"/>
      <c r="D2551" s="25" t="str">
        <f>TRIM(INDEX(Orçamentária!C:C,MATCH(Composições!A2551,Orçamentária!A:A,0),1))</f>
        <v>40 kg</v>
      </c>
      <c r="E2551" s="26"/>
      <c r="F2551" s="41" t="s">
        <v>514</v>
      </c>
      <c r="G2551" s="27" t="str">
        <f t="shared" si="44"/>
        <v/>
      </c>
      <c r="H2551" s="28"/>
      <c r="I2551" s="29"/>
      <c r="J2551" s="148">
        <v>0</v>
      </c>
      <c r="K2551" s="222">
        <v>0</v>
      </c>
    </row>
    <row r="2552" spans="1:11" hidden="1" x14ac:dyDescent="0.25">
      <c r="A2552" s="203"/>
      <c r="B2552" s="205"/>
      <c r="C2552" s="31"/>
      <c r="D2552" s="31"/>
      <c r="E2552" s="32"/>
      <c r="F2552" s="42" t="s">
        <v>514</v>
      </c>
      <c r="G2552" s="33" t="str">
        <f t="shared" si="44"/>
        <v/>
      </c>
      <c r="H2552" s="34"/>
      <c r="I2552" s="30"/>
      <c r="J2552" s="148">
        <v>0</v>
      </c>
      <c r="K2552" s="222">
        <v>0</v>
      </c>
    </row>
    <row r="2553" spans="1:11" hidden="1" x14ac:dyDescent="0.25">
      <c r="A2553" s="203"/>
      <c r="B2553" s="205"/>
      <c r="C2553" s="35" t="s">
        <v>736</v>
      </c>
      <c r="D2553" s="46" t="s">
        <v>42</v>
      </c>
      <c r="E2553" s="36">
        <v>40</v>
      </c>
      <c r="F2553" s="30">
        <v>0.54149999999999998</v>
      </c>
      <c r="G2553" s="33">
        <f t="shared" si="44"/>
        <v>21.66</v>
      </c>
      <c r="H2553" s="38">
        <f>SUM(G2553:G2553)</f>
        <v>21.66</v>
      </c>
      <c r="I2553" s="39"/>
      <c r="J2553" s="148">
        <v>0</v>
      </c>
      <c r="K2553" s="222">
        <v>0</v>
      </c>
    </row>
    <row r="2554" spans="1:11" ht="15.75" hidden="1" thickBot="1" x14ac:dyDescent="0.3">
      <c r="A2554" s="209"/>
      <c r="B2554" s="206"/>
      <c r="C2554" s="35"/>
      <c r="D2554" s="35"/>
      <c r="E2554" s="36"/>
      <c r="F2554" s="30" t="s">
        <v>514</v>
      </c>
      <c r="G2554" s="33" t="str">
        <f t="shared" si="44"/>
        <v/>
      </c>
      <c r="H2554" s="34"/>
      <c r="I2554" s="30"/>
      <c r="J2554" s="148">
        <v>0</v>
      </c>
      <c r="K2554" s="222">
        <v>0</v>
      </c>
    </row>
    <row r="2555" spans="1:11" ht="15.75" hidden="1" thickBot="1" x14ac:dyDescent="0.3">
      <c r="A2555" s="202" t="s">
        <v>737</v>
      </c>
      <c r="B2555" s="204" t="str">
        <f>INDEX(Orçamentária!A:B,MATCH(Composições!A2555,Orçamentária!A:A,0),2)</f>
        <v>Argamassa Múltiplo Uso</v>
      </c>
      <c r="C2555" s="40"/>
      <c r="D2555" s="25" t="str">
        <f>TRIM(INDEX(Orçamentária!C:C,MATCH(Composições!A2555,Orçamentária!A:A,0),1))</f>
        <v>40 kg</v>
      </c>
      <c r="E2555" s="26"/>
      <c r="F2555" s="41" t="s">
        <v>514</v>
      </c>
      <c r="G2555" s="27" t="str">
        <f t="shared" si="44"/>
        <v/>
      </c>
      <c r="H2555" s="28"/>
      <c r="I2555" s="29"/>
      <c r="J2555" s="148">
        <v>0</v>
      </c>
      <c r="K2555" s="222">
        <v>0</v>
      </c>
    </row>
    <row r="2556" spans="1:11" hidden="1" x14ac:dyDescent="0.25">
      <c r="A2556" s="203"/>
      <c r="B2556" s="205"/>
      <c r="C2556" s="31"/>
      <c r="D2556" s="31"/>
      <c r="E2556" s="32"/>
      <c r="F2556" s="42" t="s">
        <v>514</v>
      </c>
      <c r="G2556" s="33" t="str">
        <f t="shared" si="44"/>
        <v/>
      </c>
      <c r="H2556" s="34"/>
      <c r="I2556" s="30"/>
      <c r="J2556" s="148">
        <v>0</v>
      </c>
      <c r="K2556" s="222">
        <v>0</v>
      </c>
    </row>
    <row r="2557" spans="1:11" ht="25.5" hidden="1" x14ac:dyDescent="0.25">
      <c r="A2557" s="203"/>
      <c r="B2557" s="205"/>
      <c r="C2557" s="35" t="s">
        <v>738</v>
      </c>
      <c r="D2557" s="46" t="s">
        <v>42</v>
      </c>
      <c r="E2557" s="36">
        <v>40</v>
      </c>
      <c r="F2557" s="30">
        <v>0.56999999999999995</v>
      </c>
      <c r="G2557" s="33">
        <f t="shared" ref="G2557:G2620" si="45">IF(ISNUMBER(F2557),E2557*F2557,"")</f>
        <v>22.799999999999997</v>
      </c>
      <c r="H2557" s="38">
        <f>SUM(G2557:G2557)</f>
        <v>22.799999999999997</v>
      </c>
      <c r="I2557" s="39"/>
      <c r="J2557" s="148">
        <v>0</v>
      </c>
      <c r="K2557" s="222">
        <v>0</v>
      </c>
    </row>
    <row r="2558" spans="1:11" ht="15.75" hidden="1" thickBot="1" x14ac:dyDescent="0.3">
      <c r="A2558" s="209"/>
      <c r="B2558" s="206"/>
      <c r="C2558" s="35"/>
      <c r="D2558" s="35"/>
      <c r="E2558" s="36"/>
      <c r="F2558" s="30" t="s">
        <v>514</v>
      </c>
      <c r="G2558" s="33" t="str">
        <f t="shared" si="45"/>
        <v/>
      </c>
      <c r="H2558" s="34"/>
      <c r="I2558" s="30"/>
      <c r="J2558" s="148">
        <v>0</v>
      </c>
      <c r="K2558" s="222">
        <v>0</v>
      </c>
    </row>
    <row r="2559" spans="1:11" ht="15.75" hidden="1" thickBot="1" x14ac:dyDescent="0.3">
      <c r="A2559" s="202" t="s">
        <v>739</v>
      </c>
      <c r="B2559" s="204" t="str">
        <f>INDEX(Orçamentária!A:B,MATCH(Composições!A2559,Orçamentária!A:A,0),2)</f>
        <v>Cimento Portland CP II E 32</v>
      </c>
      <c r="C2559" s="40"/>
      <c r="D2559" s="25" t="str">
        <f>TRIM(INDEX(Orçamentária!C:C,MATCH(Composições!A2559,Orçamentária!A:A,0),1))</f>
        <v>50 kg</v>
      </c>
      <c r="E2559" s="26"/>
      <c r="F2559" s="41" t="s">
        <v>514</v>
      </c>
      <c r="G2559" s="27" t="str">
        <f t="shared" si="45"/>
        <v/>
      </c>
      <c r="H2559" s="28"/>
      <c r="I2559" s="29"/>
      <c r="J2559" s="148">
        <v>0</v>
      </c>
      <c r="K2559" s="222">
        <v>0</v>
      </c>
    </row>
    <row r="2560" spans="1:11" hidden="1" x14ac:dyDescent="0.25">
      <c r="A2560" s="203"/>
      <c r="B2560" s="205"/>
      <c r="C2560" s="31"/>
      <c r="D2560" s="31"/>
      <c r="E2560" s="32"/>
      <c r="F2560" s="42" t="s">
        <v>514</v>
      </c>
      <c r="G2560" s="33" t="str">
        <f t="shared" si="45"/>
        <v/>
      </c>
      <c r="H2560" s="34"/>
      <c r="I2560" s="30"/>
      <c r="J2560" s="148">
        <v>0</v>
      </c>
      <c r="K2560" s="222">
        <v>0</v>
      </c>
    </row>
    <row r="2561" spans="1:11" hidden="1" x14ac:dyDescent="0.25">
      <c r="A2561" s="203"/>
      <c r="B2561" s="205"/>
      <c r="C2561" s="35" t="s">
        <v>740</v>
      </c>
      <c r="D2561" s="46" t="s">
        <v>42</v>
      </c>
      <c r="E2561" s="36">
        <v>50</v>
      </c>
      <c r="F2561" s="30">
        <v>0.627</v>
      </c>
      <c r="G2561" s="33">
        <f t="shared" si="45"/>
        <v>31.35</v>
      </c>
      <c r="H2561" s="38">
        <f>SUM(G2561:G2561)</f>
        <v>31.35</v>
      </c>
      <c r="I2561" s="39"/>
      <c r="J2561" s="148">
        <v>0</v>
      </c>
      <c r="K2561" s="222">
        <v>0</v>
      </c>
    </row>
    <row r="2562" spans="1:11" ht="15.75" hidden="1" thickBot="1" x14ac:dyDescent="0.3">
      <c r="A2562" s="209"/>
      <c r="B2562" s="206"/>
      <c r="C2562" s="35"/>
      <c r="D2562" s="35"/>
      <c r="E2562" s="36"/>
      <c r="F2562" s="30" t="s">
        <v>514</v>
      </c>
      <c r="G2562" s="33" t="str">
        <f t="shared" si="45"/>
        <v/>
      </c>
      <c r="H2562" s="34"/>
      <c r="I2562" s="30"/>
      <c r="J2562" s="148">
        <v>0</v>
      </c>
      <c r="K2562" s="222">
        <v>0</v>
      </c>
    </row>
    <row r="2563" spans="1:11" ht="15.75" hidden="1" thickBot="1" x14ac:dyDescent="0.3">
      <c r="A2563" s="202" t="s">
        <v>741</v>
      </c>
      <c r="B2563" s="204" t="str">
        <f>INDEX(Orçamentária!A:B,MATCH(Composições!A2563,Orçamentária!A:A,0),2)</f>
        <v>Argamassa Colante tipo AC III</v>
      </c>
      <c r="C2563" s="40"/>
      <c r="D2563" s="25" t="str">
        <f>TRIM(INDEX(Orçamentária!C:C,MATCH(Composições!A2563,Orçamentária!A:A,0),1))</f>
        <v>20 kg</v>
      </c>
      <c r="E2563" s="26"/>
      <c r="F2563" s="41" t="s">
        <v>514</v>
      </c>
      <c r="G2563" s="27" t="str">
        <f t="shared" si="45"/>
        <v/>
      </c>
      <c r="H2563" s="28"/>
      <c r="I2563" s="29"/>
      <c r="J2563" s="148">
        <v>0</v>
      </c>
      <c r="K2563" s="222">
        <v>0</v>
      </c>
    </row>
    <row r="2564" spans="1:11" hidden="1" x14ac:dyDescent="0.25">
      <c r="A2564" s="203"/>
      <c r="B2564" s="205"/>
      <c r="C2564" s="31"/>
      <c r="D2564" s="31"/>
      <c r="E2564" s="32"/>
      <c r="F2564" s="42" t="s">
        <v>514</v>
      </c>
      <c r="G2564" s="33" t="str">
        <f t="shared" si="45"/>
        <v/>
      </c>
      <c r="H2564" s="34"/>
      <c r="I2564" s="30"/>
      <c r="J2564" s="148">
        <v>0</v>
      </c>
      <c r="K2564" s="222">
        <v>0</v>
      </c>
    </row>
    <row r="2565" spans="1:11" hidden="1" x14ac:dyDescent="0.25">
      <c r="A2565" s="203"/>
      <c r="B2565" s="205"/>
      <c r="C2565" s="35" t="s">
        <v>3512</v>
      </c>
      <c r="D2565" s="46" t="s">
        <v>42</v>
      </c>
      <c r="E2565" s="36">
        <v>20</v>
      </c>
      <c r="F2565" s="30">
        <v>1.6054999999999999</v>
      </c>
      <c r="G2565" s="33">
        <f t="shared" si="45"/>
        <v>32.11</v>
      </c>
      <c r="H2565" s="38">
        <f>SUM(G2565:G2565)</f>
        <v>32.11</v>
      </c>
      <c r="I2565" s="39"/>
      <c r="J2565" s="148">
        <v>0</v>
      </c>
      <c r="K2565" s="222">
        <v>0</v>
      </c>
    </row>
    <row r="2566" spans="1:11" ht="15.75" hidden="1" thickBot="1" x14ac:dyDescent="0.3">
      <c r="A2566" s="209"/>
      <c r="B2566" s="206"/>
      <c r="C2566" s="35"/>
      <c r="D2566" s="35"/>
      <c r="E2566" s="36"/>
      <c r="F2566" s="30" t="s">
        <v>514</v>
      </c>
      <c r="G2566" s="33" t="str">
        <f t="shared" si="45"/>
        <v/>
      </c>
      <c r="H2566" s="34"/>
      <c r="I2566" s="30"/>
      <c r="J2566" s="148">
        <v>0</v>
      </c>
      <c r="K2566" s="222">
        <v>0</v>
      </c>
    </row>
    <row r="2567" spans="1:11" ht="15.75" hidden="1" thickBot="1" x14ac:dyDescent="0.3">
      <c r="A2567" s="202" t="s">
        <v>742</v>
      </c>
      <c r="B2567" s="204" t="str">
        <f>INDEX(Orçamentária!A:B,MATCH(Composições!A2567,Orçamentária!A:A,0),2)</f>
        <v>Gesso Para Uso Geral</v>
      </c>
      <c r="C2567" s="40"/>
      <c r="D2567" s="25" t="str">
        <f>TRIM(INDEX(Orçamentária!C:C,MATCH(Composições!A2567,Orçamentária!A:A,0),1))</f>
        <v>40 kg</v>
      </c>
      <c r="E2567" s="26"/>
      <c r="F2567" s="41" t="s">
        <v>514</v>
      </c>
      <c r="G2567" s="27" t="str">
        <f t="shared" si="45"/>
        <v/>
      </c>
      <c r="H2567" s="28"/>
      <c r="I2567" s="29"/>
      <c r="J2567" s="148">
        <v>0</v>
      </c>
      <c r="K2567" s="222">
        <v>0</v>
      </c>
    </row>
    <row r="2568" spans="1:11" hidden="1" x14ac:dyDescent="0.25">
      <c r="A2568" s="203"/>
      <c r="B2568" s="205"/>
      <c r="C2568" s="31"/>
      <c r="D2568" s="31"/>
      <c r="E2568" s="32"/>
      <c r="F2568" s="42" t="s">
        <v>514</v>
      </c>
      <c r="G2568" s="33" t="str">
        <f t="shared" si="45"/>
        <v/>
      </c>
      <c r="H2568" s="34"/>
      <c r="I2568" s="30"/>
      <c r="J2568" s="148">
        <v>0</v>
      </c>
      <c r="K2568" s="222">
        <v>0</v>
      </c>
    </row>
    <row r="2569" spans="1:11" ht="25.5" hidden="1" x14ac:dyDescent="0.25">
      <c r="A2569" s="203"/>
      <c r="B2569" s="205"/>
      <c r="C2569" s="35" t="s">
        <v>3678</v>
      </c>
      <c r="D2569" s="46" t="s">
        <v>42</v>
      </c>
      <c r="E2569" s="36">
        <v>40</v>
      </c>
      <c r="F2569" s="30">
        <v>0.68399999999999994</v>
      </c>
      <c r="G2569" s="33">
        <f t="shared" si="45"/>
        <v>27.36</v>
      </c>
      <c r="H2569" s="38">
        <f>SUM(G2569:G2569)</f>
        <v>27.36</v>
      </c>
      <c r="I2569" s="39"/>
      <c r="J2569" s="148">
        <v>0</v>
      </c>
      <c r="K2569" s="222">
        <v>0</v>
      </c>
    </row>
    <row r="2570" spans="1:11" ht="15.75" hidden="1" thickBot="1" x14ac:dyDescent="0.3">
      <c r="A2570" s="209"/>
      <c r="B2570" s="206"/>
      <c r="C2570" s="35"/>
      <c r="D2570" s="35"/>
      <c r="E2570" s="36"/>
      <c r="F2570" s="30" t="s">
        <v>514</v>
      </c>
      <c r="G2570" s="33" t="str">
        <f t="shared" si="45"/>
        <v/>
      </c>
      <c r="H2570" s="34"/>
      <c r="I2570" s="30"/>
      <c r="J2570" s="148">
        <v>0</v>
      </c>
      <c r="K2570" s="222">
        <v>0</v>
      </c>
    </row>
    <row r="2571" spans="1:11" ht="15.75" hidden="1" thickBot="1" x14ac:dyDescent="0.3">
      <c r="A2571" s="202" t="s">
        <v>743</v>
      </c>
      <c r="B2571" s="204" t="str">
        <f>INDEX(Orçamentária!A:B,MATCH(Composições!A2571,Orçamentária!A:A,0),2)</f>
        <v>Areia Média</v>
      </c>
      <c r="C2571" s="40"/>
      <c r="D2571" s="25" t="str">
        <f>TRIM(INDEX(Orçamentária!C:C,MATCH(Composições!A2571,Orçamentária!A:A,0),1))</f>
        <v>m3</v>
      </c>
      <c r="E2571" s="26"/>
      <c r="F2571" s="41" t="s">
        <v>514</v>
      </c>
      <c r="G2571" s="27" t="str">
        <f t="shared" si="45"/>
        <v/>
      </c>
      <c r="H2571" s="28"/>
      <c r="I2571" s="29"/>
      <c r="J2571" s="148">
        <v>0</v>
      </c>
      <c r="K2571" s="222">
        <v>0</v>
      </c>
    </row>
    <row r="2572" spans="1:11" hidden="1" x14ac:dyDescent="0.25">
      <c r="A2572" s="203"/>
      <c r="B2572" s="205"/>
      <c r="C2572" s="31"/>
      <c r="D2572" s="31"/>
      <c r="E2572" s="32"/>
      <c r="F2572" s="42" t="s">
        <v>514</v>
      </c>
      <c r="G2572" s="33" t="str">
        <f t="shared" si="45"/>
        <v/>
      </c>
      <c r="H2572" s="34"/>
      <c r="I2572" s="30"/>
      <c r="J2572" s="148">
        <v>0</v>
      </c>
      <c r="K2572" s="222">
        <v>0</v>
      </c>
    </row>
    <row r="2573" spans="1:11" ht="25.5" hidden="1" x14ac:dyDescent="0.25">
      <c r="A2573" s="203"/>
      <c r="B2573" s="205"/>
      <c r="C2573" s="35" t="s">
        <v>744</v>
      </c>
      <c r="D2573" s="46" t="s">
        <v>108</v>
      </c>
      <c r="E2573" s="36">
        <v>1</v>
      </c>
      <c r="F2573" s="30">
        <v>185.66799999999998</v>
      </c>
      <c r="G2573" s="33">
        <f t="shared" si="45"/>
        <v>185.66799999999998</v>
      </c>
      <c r="H2573" s="38">
        <f>SUM(G2573:G2575)</f>
        <v>228.52985204999999</v>
      </c>
      <c r="I2573" s="39"/>
      <c r="J2573" s="148">
        <v>0</v>
      </c>
      <c r="K2573" s="222">
        <v>0</v>
      </c>
    </row>
    <row r="2574" spans="1:11" ht="51" hidden="1" x14ac:dyDescent="0.25">
      <c r="A2574" s="203"/>
      <c r="B2574" s="205"/>
      <c r="C2574" s="35" t="s">
        <v>3507</v>
      </c>
      <c r="D2574" s="35" t="s">
        <v>108</v>
      </c>
      <c r="E2574" s="36">
        <f>E2573</f>
        <v>1</v>
      </c>
      <c r="F2574" s="33">
        <v>7.7750840499999994</v>
      </c>
      <c r="G2574" s="33">
        <f t="shared" si="45"/>
        <v>7.7750840499999994</v>
      </c>
      <c r="H2574" s="34"/>
      <c r="I2574" s="30"/>
      <c r="J2574" s="148">
        <v>0</v>
      </c>
      <c r="K2574" s="222">
        <v>0</v>
      </c>
    </row>
    <row r="2575" spans="1:11" ht="38.25" hidden="1" x14ac:dyDescent="0.25">
      <c r="A2575" s="203"/>
      <c r="B2575" s="205"/>
      <c r="C2575" s="35" t="s">
        <v>745</v>
      </c>
      <c r="D2575" s="46" t="s">
        <v>746</v>
      </c>
      <c r="E2575" s="36">
        <f>E2573*20</f>
        <v>20</v>
      </c>
      <c r="F2575" s="30">
        <v>1.7543383999999995</v>
      </c>
      <c r="G2575" s="33">
        <f t="shared" si="45"/>
        <v>35.086767999999992</v>
      </c>
      <c r="H2575" s="34"/>
      <c r="I2575" s="30"/>
      <c r="J2575" s="148">
        <v>0</v>
      </c>
      <c r="K2575" s="222">
        <v>0</v>
      </c>
    </row>
    <row r="2576" spans="1:11" hidden="1" x14ac:dyDescent="0.25">
      <c r="A2576" s="203"/>
      <c r="B2576" s="205"/>
      <c r="C2576" s="35"/>
      <c r="D2576" s="46"/>
      <c r="E2576" s="36"/>
      <c r="F2576" s="30" t="s">
        <v>514</v>
      </c>
      <c r="G2576" s="33" t="str">
        <f t="shared" si="45"/>
        <v/>
      </c>
      <c r="H2576" s="34"/>
      <c r="I2576" s="30"/>
      <c r="J2576" s="148">
        <v>0</v>
      </c>
      <c r="K2576" s="222">
        <v>0</v>
      </c>
    </row>
    <row r="2577" spans="1:11" hidden="1" x14ac:dyDescent="0.25">
      <c r="A2577" s="203"/>
      <c r="B2577" s="205"/>
      <c r="C2577" s="47" t="s">
        <v>747</v>
      </c>
      <c r="D2577" s="46"/>
      <c r="E2577" s="36"/>
      <c r="F2577" s="30" t="s">
        <v>514</v>
      </c>
      <c r="G2577" s="33" t="str">
        <f t="shared" si="45"/>
        <v/>
      </c>
      <c r="H2577" s="34"/>
      <c r="I2577" s="30"/>
      <c r="J2577" s="148">
        <v>0</v>
      </c>
      <c r="K2577" s="222">
        <v>0</v>
      </c>
    </row>
    <row r="2578" spans="1:11" ht="15.75" hidden="1" thickBot="1" x14ac:dyDescent="0.3">
      <c r="A2578" s="209"/>
      <c r="B2578" s="206"/>
      <c r="C2578" s="35"/>
      <c r="D2578" s="35"/>
      <c r="E2578" s="36"/>
      <c r="F2578" s="30" t="s">
        <v>514</v>
      </c>
      <c r="G2578" s="33" t="str">
        <f t="shared" si="45"/>
        <v/>
      </c>
      <c r="H2578" s="34"/>
      <c r="I2578" s="30"/>
      <c r="J2578" s="148">
        <v>0</v>
      </c>
      <c r="K2578" s="222">
        <v>0</v>
      </c>
    </row>
    <row r="2579" spans="1:11" ht="15.75" hidden="1" thickBot="1" x14ac:dyDescent="0.3">
      <c r="A2579" s="202" t="s">
        <v>748</v>
      </c>
      <c r="B2579" s="204" t="str">
        <f>INDEX(Orçamentária!A:B,MATCH(Composições!A2579,Orçamentária!A:A,0),2)</f>
        <v>Brita Nº 0</v>
      </c>
      <c r="C2579" s="40"/>
      <c r="D2579" s="25" t="str">
        <f>TRIM(INDEX(Orçamentária!C:C,MATCH(Composições!A2579,Orçamentária!A:A,0),1))</f>
        <v>m3</v>
      </c>
      <c r="E2579" s="26"/>
      <c r="F2579" s="41" t="s">
        <v>514</v>
      </c>
      <c r="G2579" s="27" t="str">
        <f t="shared" si="45"/>
        <v/>
      </c>
      <c r="H2579" s="28"/>
      <c r="I2579" s="29"/>
      <c r="J2579" s="148">
        <v>0</v>
      </c>
      <c r="K2579" s="222">
        <v>0</v>
      </c>
    </row>
    <row r="2580" spans="1:11" hidden="1" x14ac:dyDescent="0.25">
      <c r="A2580" s="203"/>
      <c r="B2580" s="205"/>
      <c r="C2580" s="31"/>
      <c r="D2580" s="31"/>
      <c r="E2580" s="32"/>
      <c r="F2580" s="42" t="s">
        <v>514</v>
      </c>
      <c r="G2580" s="33" t="str">
        <f t="shared" si="45"/>
        <v/>
      </c>
      <c r="H2580" s="34"/>
      <c r="I2580" s="30"/>
      <c r="J2580" s="148">
        <v>0</v>
      </c>
      <c r="K2580" s="222">
        <v>0</v>
      </c>
    </row>
    <row r="2581" spans="1:11" ht="25.5" hidden="1" x14ac:dyDescent="0.25">
      <c r="A2581" s="203"/>
      <c r="B2581" s="205"/>
      <c r="C2581" s="35" t="s">
        <v>749</v>
      </c>
      <c r="D2581" s="46" t="s">
        <v>108</v>
      </c>
      <c r="E2581" s="36">
        <v>1</v>
      </c>
      <c r="F2581" s="30">
        <v>174.5625</v>
      </c>
      <c r="G2581" s="33">
        <f t="shared" si="45"/>
        <v>174.5625</v>
      </c>
      <c r="H2581" s="38">
        <f>SUM(G2581:G2583)</f>
        <v>217.42435204999998</v>
      </c>
      <c r="I2581" s="39"/>
      <c r="J2581" s="148">
        <v>0</v>
      </c>
      <c r="K2581" s="222">
        <v>0</v>
      </c>
    </row>
    <row r="2582" spans="1:11" ht="51" hidden="1" x14ac:dyDescent="0.25">
      <c r="A2582" s="203"/>
      <c r="B2582" s="205"/>
      <c r="C2582" s="35" t="s">
        <v>3507</v>
      </c>
      <c r="D2582" s="35" t="s">
        <v>108</v>
      </c>
      <c r="E2582" s="36">
        <f>E2581</f>
        <v>1</v>
      </c>
      <c r="F2582" s="33">
        <v>7.7750840499999994</v>
      </c>
      <c r="G2582" s="33">
        <f t="shared" si="45"/>
        <v>7.7750840499999994</v>
      </c>
      <c r="H2582" s="34"/>
      <c r="I2582" s="30"/>
      <c r="J2582" s="148">
        <v>0</v>
      </c>
      <c r="K2582" s="222">
        <v>0</v>
      </c>
    </row>
    <row r="2583" spans="1:11" ht="38.25" hidden="1" x14ac:dyDescent="0.25">
      <c r="A2583" s="203"/>
      <c r="B2583" s="205"/>
      <c r="C2583" s="35" t="s">
        <v>745</v>
      </c>
      <c r="D2583" s="46" t="s">
        <v>746</v>
      </c>
      <c r="E2583" s="36">
        <f>E2581*20</f>
        <v>20</v>
      </c>
      <c r="F2583" s="30">
        <v>1.7543383999999995</v>
      </c>
      <c r="G2583" s="33">
        <f t="shared" si="45"/>
        <v>35.086767999999992</v>
      </c>
      <c r="H2583" s="34"/>
      <c r="I2583" s="30"/>
      <c r="J2583" s="148">
        <v>0</v>
      </c>
      <c r="K2583" s="222">
        <v>0</v>
      </c>
    </row>
    <row r="2584" spans="1:11" hidden="1" x14ac:dyDescent="0.25">
      <c r="A2584" s="203"/>
      <c r="B2584" s="205"/>
      <c r="C2584" s="35"/>
      <c r="D2584" s="46"/>
      <c r="E2584" s="36"/>
      <c r="F2584" s="30" t="s">
        <v>514</v>
      </c>
      <c r="G2584" s="33" t="str">
        <f t="shared" si="45"/>
        <v/>
      </c>
      <c r="H2584" s="34"/>
      <c r="I2584" s="30"/>
      <c r="J2584" s="148">
        <v>0</v>
      </c>
      <c r="K2584" s="222">
        <v>0</v>
      </c>
    </row>
    <row r="2585" spans="1:11" hidden="1" x14ac:dyDescent="0.25">
      <c r="A2585" s="203"/>
      <c r="B2585" s="205"/>
      <c r="C2585" s="47" t="s">
        <v>750</v>
      </c>
      <c r="D2585" s="46"/>
      <c r="E2585" s="36"/>
      <c r="F2585" s="30" t="s">
        <v>514</v>
      </c>
      <c r="G2585" s="33" t="str">
        <f t="shared" si="45"/>
        <v/>
      </c>
      <c r="H2585" s="34"/>
      <c r="I2585" s="30"/>
      <c r="J2585" s="148">
        <v>0</v>
      </c>
      <c r="K2585" s="222">
        <v>0</v>
      </c>
    </row>
    <row r="2586" spans="1:11" ht="15.75" hidden="1" thickBot="1" x14ac:dyDescent="0.3">
      <c r="A2586" s="209"/>
      <c r="B2586" s="206"/>
      <c r="C2586" s="35"/>
      <c r="D2586" s="35"/>
      <c r="E2586" s="36"/>
      <c r="F2586" s="30" t="s">
        <v>514</v>
      </c>
      <c r="G2586" s="33" t="str">
        <f t="shared" si="45"/>
        <v/>
      </c>
      <c r="H2586" s="34"/>
      <c r="I2586" s="30"/>
      <c r="J2586" s="148">
        <v>0</v>
      </c>
      <c r="K2586" s="222">
        <v>0</v>
      </c>
    </row>
    <row r="2587" spans="1:11" ht="15.75" hidden="1" thickBot="1" x14ac:dyDescent="0.3">
      <c r="A2587" s="202" t="s">
        <v>751</v>
      </c>
      <c r="B2587" s="204" t="str">
        <f>INDEX(Orçamentária!A:B,MATCH(Composições!A2587,Orçamentária!A:A,0),2)</f>
        <v>Brita Nº 1</v>
      </c>
      <c r="C2587" s="40"/>
      <c r="D2587" s="25" t="str">
        <f>TRIM(INDEX(Orçamentária!C:C,MATCH(Composições!A2587,Orçamentária!A:A,0),1))</f>
        <v>m3</v>
      </c>
      <c r="E2587" s="26"/>
      <c r="F2587" s="41" t="s">
        <v>514</v>
      </c>
      <c r="G2587" s="27" t="str">
        <f t="shared" si="45"/>
        <v/>
      </c>
      <c r="H2587" s="28"/>
      <c r="I2587" s="29"/>
      <c r="J2587" s="148">
        <v>0</v>
      </c>
      <c r="K2587" s="222">
        <v>0</v>
      </c>
    </row>
    <row r="2588" spans="1:11" hidden="1" x14ac:dyDescent="0.25">
      <c r="A2588" s="203"/>
      <c r="B2588" s="205"/>
      <c r="C2588" s="31"/>
      <c r="D2588" s="31"/>
      <c r="E2588" s="32"/>
      <c r="F2588" s="42" t="s">
        <v>514</v>
      </c>
      <c r="G2588" s="33" t="str">
        <f t="shared" si="45"/>
        <v/>
      </c>
      <c r="H2588" s="34"/>
      <c r="I2588" s="30"/>
      <c r="J2588" s="148">
        <v>0</v>
      </c>
      <c r="K2588" s="222">
        <v>0</v>
      </c>
    </row>
    <row r="2589" spans="1:11" ht="25.5" hidden="1" x14ac:dyDescent="0.25">
      <c r="A2589" s="203"/>
      <c r="B2589" s="205"/>
      <c r="C2589" s="35" t="s">
        <v>752</v>
      </c>
      <c r="D2589" s="46" t="s">
        <v>108</v>
      </c>
      <c r="E2589" s="36">
        <v>1</v>
      </c>
      <c r="F2589" s="30">
        <v>151.202</v>
      </c>
      <c r="G2589" s="33">
        <f t="shared" si="45"/>
        <v>151.202</v>
      </c>
      <c r="H2589" s="38">
        <f>SUM(G2589:G2591)</f>
        <v>194.06385204999998</v>
      </c>
      <c r="I2589" s="39"/>
      <c r="J2589" s="148">
        <v>0</v>
      </c>
      <c r="K2589" s="222">
        <v>0</v>
      </c>
    </row>
    <row r="2590" spans="1:11" ht="51" hidden="1" x14ac:dyDescent="0.25">
      <c r="A2590" s="203"/>
      <c r="B2590" s="205"/>
      <c r="C2590" s="35" t="s">
        <v>3507</v>
      </c>
      <c r="D2590" s="35" t="s">
        <v>108</v>
      </c>
      <c r="E2590" s="36">
        <f>E2589</f>
        <v>1</v>
      </c>
      <c r="F2590" s="33">
        <v>7.7750840499999994</v>
      </c>
      <c r="G2590" s="33">
        <f t="shared" si="45"/>
        <v>7.7750840499999994</v>
      </c>
      <c r="H2590" s="34"/>
      <c r="I2590" s="30"/>
      <c r="J2590" s="148">
        <v>0</v>
      </c>
      <c r="K2590" s="222">
        <v>0</v>
      </c>
    </row>
    <row r="2591" spans="1:11" ht="38.25" hidden="1" x14ac:dyDescent="0.25">
      <c r="A2591" s="203"/>
      <c r="B2591" s="205"/>
      <c r="C2591" s="35" t="s">
        <v>745</v>
      </c>
      <c r="D2591" s="46" t="s">
        <v>746</v>
      </c>
      <c r="E2591" s="36">
        <f>E2589*20</f>
        <v>20</v>
      </c>
      <c r="F2591" s="30">
        <v>1.7543383999999995</v>
      </c>
      <c r="G2591" s="33">
        <f t="shared" si="45"/>
        <v>35.086767999999992</v>
      </c>
      <c r="H2591" s="34"/>
      <c r="I2591" s="30"/>
      <c r="J2591" s="148">
        <v>0</v>
      </c>
      <c r="K2591" s="222">
        <v>0</v>
      </c>
    </row>
    <row r="2592" spans="1:11" hidden="1" x14ac:dyDescent="0.25">
      <c r="A2592" s="203"/>
      <c r="B2592" s="205"/>
      <c r="C2592" s="35"/>
      <c r="D2592" s="46"/>
      <c r="E2592" s="36"/>
      <c r="F2592" s="30" t="s">
        <v>514</v>
      </c>
      <c r="G2592" s="33" t="str">
        <f t="shared" si="45"/>
        <v/>
      </c>
      <c r="H2592" s="34"/>
      <c r="I2592" s="30"/>
      <c r="J2592" s="148">
        <v>0</v>
      </c>
      <c r="K2592" s="222">
        <v>0</v>
      </c>
    </row>
    <row r="2593" spans="1:11" hidden="1" x14ac:dyDescent="0.25">
      <c r="A2593" s="203"/>
      <c r="B2593" s="205"/>
      <c r="C2593" s="47" t="s">
        <v>750</v>
      </c>
      <c r="D2593" s="46"/>
      <c r="E2593" s="36"/>
      <c r="F2593" s="30" t="s">
        <v>514</v>
      </c>
      <c r="G2593" s="33" t="str">
        <f t="shared" si="45"/>
        <v/>
      </c>
      <c r="H2593" s="34"/>
      <c r="I2593" s="30"/>
      <c r="J2593" s="148">
        <v>0</v>
      </c>
      <c r="K2593" s="222">
        <v>0</v>
      </c>
    </row>
    <row r="2594" spans="1:11" ht="15.75" hidden="1" thickBot="1" x14ac:dyDescent="0.3">
      <c r="A2594" s="209"/>
      <c r="B2594" s="206"/>
      <c r="C2594" s="35"/>
      <c r="D2594" s="35"/>
      <c r="E2594" s="36"/>
      <c r="F2594" s="30" t="s">
        <v>514</v>
      </c>
      <c r="G2594" s="33" t="str">
        <f t="shared" si="45"/>
        <v/>
      </c>
      <c r="H2594" s="34"/>
      <c r="I2594" s="30"/>
      <c r="J2594" s="148">
        <v>0</v>
      </c>
      <c r="K2594" s="222">
        <v>0</v>
      </c>
    </row>
    <row r="2595" spans="1:11" ht="15.75" hidden="1" thickBot="1" x14ac:dyDescent="0.3">
      <c r="A2595" s="202" t="s">
        <v>753</v>
      </c>
      <c r="B2595" s="204" t="str">
        <f>INDEX(Orçamentária!A:B,MATCH(Composições!A2595,Orçamentária!A:A,0),2)</f>
        <v>Bloco Cerâmico De 08 Furos</v>
      </c>
      <c r="C2595" s="40"/>
      <c r="D2595" s="25" t="str">
        <f>TRIM(INDEX(Orçamentária!C:C,MATCH(Composições!A2595,Orçamentária!A:A,0),1))</f>
        <v>un</v>
      </c>
      <c r="E2595" s="26"/>
      <c r="F2595" s="41" t="s">
        <v>514</v>
      </c>
      <c r="G2595" s="27" t="str">
        <f t="shared" si="45"/>
        <v/>
      </c>
      <c r="H2595" s="28"/>
      <c r="I2595" s="29"/>
      <c r="J2595" s="148">
        <v>0</v>
      </c>
      <c r="K2595" s="222">
        <v>0</v>
      </c>
    </row>
    <row r="2596" spans="1:11" hidden="1" x14ac:dyDescent="0.25">
      <c r="A2596" s="203"/>
      <c r="B2596" s="205"/>
      <c r="C2596" s="31"/>
      <c r="D2596" s="31"/>
      <c r="E2596" s="32"/>
      <c r="F2596" s="42" t="s">
        <v>514</v>
      </c>
      <c r="G2596" s="33" t="str">
        <f t="shared" si="45"/>
        <v/>
      </c>
      <c r="H2596" s="34"/>
      <c r="I2596" s="30"/>
      <c r="J2596" s="148">
        <v>0</v>
      </c>
      <c r="K2596" s="222">
        <v>0</v>
      </c>
    </row>
    <row r="2597" spans="1:11" ht="25.5" hidden="1" x14ac:dyDescent="0.25">
      <c r="A2597" s="203"/>
      <c r="B2597" s="205"/>
      <c r="C2597" s="35" t="s">
        <v>6766</v>
      </c>
      <c r="D2597" s="35" t="s">
        <v>278</v>
      </c>
      <c r="E2597" s="36">
        <v>1</v>
      </c>
      <c r="F2597" s="30">
        <v>0.76</v>
      </c>
      <c r="G2597" s="33">
        <f t="shared" si="45"/>
        <v>0.76</v>
      </c>
      <c r="H2597" s="38">
        <f>SUM(G2597:G2597)</f>
        <v>0.76</v>
      </c>
      <c r="I2597" s="39"/>
      <c r="J2597" s="148">
        <v>0</v>
      </c>
      <c r="K2597" s="222">
        <v>0</v>
      </c>
    </row>
    <row r="2598" spans="1:11" ht="15.75" hidden="1" thickBot="1" x14ac:dyDescent="0.3">
      <c r="A2598" s="209"/>
      <c r="B2598" s="206"/>
      <c r="C2598" s="35"/>
      <c r="D2598" s="35"/>
      <c r="E2598" s="36"/>
      <c r="F2598" s="30" t="s">
        <v>514</v>
      </c>
      <c r="G2598" s="33" t="str">
        <f t="shared" si="45"/>
        <v/>
      </c>
      <c r="H2598" s="34"/>
      <c r="I2598" s="30"/>
      <c r="J2598" s="148">
        <v>0</v>
      </c>
      <c r="K2598" s="222">
        <v>0</v>
      </c>
    </row>
    <row r="2599" spans="1:11" ht="15.75" hidden="1" thickBot="1" x14ac:dyDescent="0.3">
      <c r="A2599" s="202" t="s">
        <v>754</v>
      </c>
      <c r="B2599" s="204" t="str">
        <f>INDEX(Orçamentária!A:B,MATCH(Composições!A2599,Orçamentária!A:A,0),2)</f>
        <v>Tijolo Maciço</v>
      </c>
      <c r="C2599" s="40"/>
      <c r="D2599" s="25" t="str">
        <f>TRIM(INDEX(Orçamentária!C:C,MATCH(Composições!A2599,Orçamentária!A:A,0),1))</f>
        <v>un</v>
      </c>
      <c r="E2599" s="26"/>
      <c r="F2599" s="41" t="s">
        <v>514</v>
      </c>
      <c r="G2599" s="27" t="str">
        <f t="shared" si="45"/>
        <v/>
      </c>
      <c r="H2599" s="28"/>
      <c r="I2599" s="29"/>
      <c r="J2599" s="148">
        <v>0</v>
      </c>
      <c r="K2599" s="222">
        <v>0</v>
      </c>
    </row>
    <row r="2600" spans="1:11" hidden="1" x14ac:dyDescent="0.25">
      <c r="A2600" s="203"/>
      <c r="B2600" s="205"/>
      <c r="C2600" s="31"/>
      <c r="D2600" s="31"/>
      <c r="E2600" s="32"/>
      <c r="F2600" s="42" t="s">
        <v>514</v>
      </c>
      <c r="G2600" s="33" t="str">
        <f t="shared" si="45"/>
        <v/>
      </c>
      <c r="H2600" s="34"/>
      <c r="I2600" s="30"/>
      <c r="J2600" s="148">
        <v>0</v>
      </c>
      <c r="K2600" s="222">
        <v>0</v>
      </c>
    </row>
    <row r="2601" spans="1:11" hidden="1" x14ac:dyDescent="0.25">
      <c r="A2601" s="203"/>
      <c r="B2601" s="205"/>
      <c r="C2601" s="35" t="s">
        <v>3498</v>
      </c>
      <c r="D2601" s="35" t="s">
        <v>278</v>
      </c>
      <c r="E2601" s="36">
        <v>1</v>
      </c>
      <c r="F2601" s="30">
        <v>0.64600000000000002</v>
      </c>
      <c r="G2601" s="33">
        <f t="shared" si="45"/>
        <v>0.64600000000000002</v>
      </c>
      <c r="H2601" s="38">
        <f>SUM(G2601:G2601)</f>
        <v>0.64600000000000002</v>
      </c>
      <c r="I2601" s="39"/>
      <c r="J2601" s="148">
        <v>0</v>
      </c>
      <c r="K2601" s="222">
        <v>0</v>
      </c>
    </row>
    <row r="2602" spans="1:11" ht="15.75" hidden="1" thickBot="1" x14ac:dyDescent="0.3">
      <c r="A2602" s="209"/>
      <c r="B2602" s="206"/>
      <c r="C2602" s="35"/>
      <c r="D2602" s="35"/>
      <c r="E2602" s="36"/>
      <c r="F2602" s="30" t="s">
        <v>514</v>
      </c>
      <c r="G2602" s="33" t="str">
        <f t="shared" si="45"/>
        <v/>
      </c>
      <c r="H2602" s="34"/>
      <c r="I2602" s="30"/>
      <c r="J2602" s="148">
        <v>0</v>
      </c>
      <c r="K2602" s="222">
        <v>0</v>
      </c>
    </row>
    <row r="2603" spans="1:11" ht="15.75" hidden="1" thickBot="1" x14ac:dyDescent="0.3">
      <c r="A2603" s="202" t="s">
        <v>755</v>
      </c>
      <c r="B2603" s="204" t="str">
        <f>INDEX(Orçamentária!A:B,MATCH(Composições!A2603,Orçamentária!A:A,0),2)</f>
        <v>Bloco De Concreto Com 02 Furos</v>
      </c>
      <c r="C2603" s="40"/>
      <c r="D2603" s="25" t="str">
        <f>TRIM(INDEX(Orçamentária!C:C,MATCH(Composições!A2603,Orçamentária!A:A,0),1))</f>
        <v>un</v>
      </c>
      <c r="E2603" s="26"/>
      <c r="F2603" s="41" t="s">
        <v>514</v>
      </c>
      <c r="G2603" s="27" t="str">
        <f t="shared" si="45"/>
        <v/>
      </c>
      <c r="H2603" s="28"/>
      <c r="I2603" s="29"/>
      <c r="J2603" s="148">
        <v>0</v>
      </c>
      <c r="K2603" s="222">
        <v>0</v>
      </c>
    </row>
    <row r="2604" spans="1:11" hidden="1" x14ac:dyDescent="0.25">
      <c r="A2604" s="203"/>
      <c r="B2604" s="205"/>
      <c r="C2604" s="31"/>
      <c r="D2604" s="31"/>
      <c r="E2604" s="32"/>
      <c r="F2604" s="42" t="s">
        <v>514</v>
      </c>
      <c r="G2604" s="33" t="str">
        <f t="shared" si="45"/>
        <v/>
      </c>
      <c r="H2604" s="34"/>
      <c r="I2604" s="30"/>
      <c r="J2604" s="148">
        <v>0</v>
      </c>
      <c r="K2604" s="222">
        <v>0</v>
      </c>
    </row>
    <row r="2605" spans="1:11" ht="25.5" hidden="1" x14ac:dyDescent="0.25">
      <c r="A2605" s="203"/>
      <c r="B2605" s="205"/>
      <c r="C2605" s="35" t="s">
        <v>7613</v>
      </c>
      <c r="D2605" s="35" t="s">
        <v>278</v>
      </c>
      <c r="E2605" s="36">
        <v>1</v>
      </c>
      <c r="F2605" s="30">
        <v>4.1514999999999995</v>
      </c>
      <c r="G2605" s="33">
        <f t="shared" si="45"/>
        <v>4.1514999999999995</v>
      </c>
      <c r="H2605" s="38">
        <f>SUM(G2605:G2605)</f>
        <v>4.1514999999999995</v>
      </c>
      <c r="I2605" s="39"/>
      <c r="J2605" s="148">
        <v>0</v>
      </c>
      <c r="K2605" s="222">
        <v>0</v>
      </c>
    </row>
    <row r="2606" spans="1:11" ht="15.75" hidden="1" thickBot="1" x14ac:dyDescent="0.3">
      <c r="A2606" s="209"/>
      <c r="B2606" s="206"/>
      <c r="C2606" s="35"/>
      <c r="D2606" s="35"/>
      <c r="E2606" s="36"/>
      <c r="F2606" s="30" t="s">
        <v>514</v>
      </c>
      <c r="G2606" s="33" t="str">
        <f t="shared" si="45"/>
        <v/>
      </c>
      <c r="H2606" s="34"/>
      <c r="I2606" s="30"/>
      <c r="J2606" s="148">
        <v>0</v>
      </c>
      <c r="K2606" s="222">
        <v>0</v>
      </c>
    </row>
    <row r="2607" spans="1:11" ht="15.75" hidden="1" thickBot="1" x14ac:dyDescent="0.3">
      <c r="A2607" s="202" t="s">
        <v>756</v>
      </c>
      <c r="B2607" s="204" t="str">
        <f>INDEX(Orçamentária!A:B,MATCH(Composições!A2607,Orçamentária!A:A,0),2)</f>
        <v>Bloco De Concreto Tipo Canaleta</v>
      </c>
      <c r="C2607" s="40"/>
      <c r="D2607" s="25" t="str">
        <f>TRIM(INDEX(Orçamentária!C:C,MATCH(Composições!A2607,Orçamentária!A:A,0),1))</f>
        <v>un</v>
      </c>
      <c r="E2607" s="26"/>
      <c r="F2607" s="41" t="s">
        <v>514</v>
      </c>
      <c r="G2607" s="27" t="str">
        <f t="shared" si="45"/>
        <v/>
      </c>
      <c r="H2607" s="28"/>
      <c r="I2607" s="29"/>
      <c r="J2607" s="148">
        <v>0</v>
      </c>
      <c r="K2607" s="222">
        <v>0</v>
      </c>
    </row>
    <row r="2608" spans="1:11" hidden="1" x14ac:dyDescent="0.25">
      <c r="A2608" s="203"/>
      <c r="B2608" s="205"/>
      <c r="C2608" s="31"/>
      <c r="D2608" s="31"/>
      <c r="E2608" s="32"/>
      <c r="F2608" s="42" t="s">
        <v>514</v>
      </c>
      <c r="G2608" s="33" t="str">
        <f t="shared" si="45"/>
        <v/>
      </c>
      <c r="H2608" s="34"/>
      <c r="I2608" s="30"/>
      <c r="J2608" s="148">
        <v>0</v>
      </c>
      <c r="K2608" s="222">
        <v>0</v>
      </c>
    </row>
    <row r="2609" spans="1:11" ht="25.5" hidden="1" x14ac:dyDescent="0.25">
      <c r="A2609" s="203"/>
      <c r="B2609" s="205"/>
      <c r="C2609" s="35" t="s">
        <v>7927</v>
      </c>
      <c r="D2609" s="35" t="s">
        <v>143</v>
      </c>
      <c r="E2609" s="36">
        <v>1</v>
      </c>
      <c r="F2609" s="30">
        <v>0</v>
      </c>
      <c r="G2609" s="33">
        <f t="shared" si="45"/>
        <v>0</v>
      </c>
      <c r="H2609" s="38">
        <f>SUM(G2609:G2609)</f>
        <v>0</v>
      </c>
      <c r="I2609" s="39"/>
      <c r="J2609" s="148">
        <v>0</v>
      </c>
      <c r="K2609" s="222">
        <v>0</v>
      </c>
    </row>
    <row r="2610" spans="1:11" ht="15.75" hidden="1" thickBot="1" x14ac:dyDescent="0.3">
      <c r="A2610" s="209"/>
      <c r="B2610" s="206"/>
      <c r="C2610" s="35"/>
      <c r="D2610" s="35"/>
      <c r="E2610" s="36"/>
      <c r="F2610" s="30" t="s">
        <v>514</v>
      </c>
      <c r="G2610" s="33" t="str">
        <f t="shared" si="45"/>
        <v/>
      </c>
      <c r="H2610" s="34"/>
      <c r="I2610" s="30"/>
      <c r="J2610" s="148">
        <v>0</v>
      </c>
      <c r="K2610" s="222">
        <v>0</v>
      </c>
    </row>
    <row r="2611" spans="1:11" ht="15.75" hidden="1" thickBot="1" x14ac:dyDescent="0.3">
      <c r="A2611" s="202" t="s">
        <v>757</v>
      </c>
      <c r="B2611" s="204" t="str">
        <f>INDEX(Orçamentária!A:B,MATCH(Composições!A2611,Orçamentária!A:A,0),2)</f>
        <v>Vergalhão Ca-60 Diâmetro 5,0 Mm</v>
      </c>
      <c r="C2611" s="40"/>
      <c r="D2611" s="25" t="str">
        <f>TRIM(INDEX(Orçamentária!C:C,MATCH(Composições!A2611,Orçamentária!A:A,0),1))</f>
        <v>m</v>
      </c>
      <c r="E2611" s="26"/>
      <c r="F2611" s="41" t="s">
        <v>514</v>
      </c>
      <c r="G2611" s="27" t="str">
        <f t="shared" si="45"/>
        <v/>
      </c>
      <c r="H2611" s="28"/>
      <c r="I2611" s="29"/>
      <c r="J2611" s="148">
        <v>0</v>
      </c>
      <c r="K2611" s="222">
        <v>0</v>
      </c>
    </row>
    <row r="2612" spans="1:11" hidden="1" x14ac:dyDescent="0.25">
      <c r="A2612" s="203"/>
      <c r="B2612" s="205"/>
      <c r="C2612" s="31"/>
      <c r="D2612" s="31"/>
      <c r="E2612" s="32"/>
      <c r="F2612" s="42" t="s">
        <v>514</v>
      </c>
      <c r="G2612" s="33" t="str">
        <f t="shared" si="45"/>
        <v/>
      </c>
      <c r="H2612" s="34"/>
      <c r="I2612" s="30"/>
      <c r="J2612" s="148">
        <v>0</v>
      </c>
      <c r="K2612" s="222">
        <v>0</v>
      </c>
    </row>
    <row r="2613" spans="1:11" hidden="1" x14ac:dyDescent="0.25">
      <c r="A2613" s="203"/>
      <c r="B2613" s="205"/>
      <c r="C2613" s="35" t="s">
        <v>1435</v>
      </c>
      <c r="D2613" s="35" t="s">
        <v>42</v>
      </c>
      <c r="E2613" s="36">
        <v>0.154</v>
      </c>
      <c r="F2613" s="30">
        <v>9.6234999999999999</v>
      </c>
      <c r="G2613" s="33">
        <f t="shared" si="45"/>
        <v>1.482019</v>
      </c>
      <c r="H2613" s="38">
        <f>SUM(G2613:G2613)</f>
        <v>1.482019</v>
      </c>
      <c r="I2613" s="39"/>
      <c r="J2613" s="148">
        <v>0</v>
      </c>
      <c r="K2613" s="222">
        <v>0</v>
      </c>
    </row>
    <row r="2614" spans="1:11" ht="15.75" hidden="1" thickBot="1" x14ac:dyDescent="0.3">
      <c r="A2614" s="209"/>
      <c r="B2614" s="206"/>
      <c r="C2614" s="35"/>
      <c r="D2614" s="35"/>
      <c r="E2614" s="36"/>
      <c r="F2614" s="30" t="s">
        <v>514</v>
      </c>
      <c r="G2614" s="33" t="str">
        <f t="shared" si="45"/>
        <v/>
      </c>
      <c r="H2614" s="34"/>
      <c r="I2614" s="30"/>
      <c r="J2614" s="148">
        <v>0</v>
      </c>
      <c r="K2614" s="222">
        <v>0</v>
      </c>
    </row>
    <row r="2615" spans="1:11" ht="15.75" hidden="1" thickBot="1" x14ac:dyDescent="0.3">
      <c r="A2615" s="202" t="s">
        <v>758</v>
      </c>
      <c r="B2615" s="204" t="str">
        <f>INDEX(Orçamentária!A:B,MATCH(Composições!A2615,Orçamentária!A:A,0),2)</f>
        <v>Vergalhão Ca-50 Diâmetro 6,3 Mm</v>
      </c>
      <c r="C2615" s="40"/>
      <c r="D2615" s="25" t="str">
        <f>TRIM(INDEX(Orçamentária!C:C,MATCH(Composições!A2615,Orçamentária!A:A,0),1))</f>
        <v>m</v>
      </c>
      <c r="E2615" s="26"/>
      <c r="F2615" s="41" t="s">
        <v>514</v>
      </c>
      <c r="G2615" s="27" t="str">
        <f t="shared" si="45"/>
        <v/>
      </c>
      <c r="H2615" s="28"/>
      <c r="I2615" s="29"/>
      <c r="J2615" s="148">
        <v>0</v>
      </c>
      <c r="K2615" s="222">
        <v>0</v>
      </c>
    </row>
    <row r="2616" spans="1:11" hidden="1" x14ac:dyDescent="0.25">
      <c r="A2616" s="203"/>
      <c r="B2616" s="205"/>
      <c r="C2616" s="31"/>
      <c r="D2616" s="31"/>
      <c r="E2616" s="32"/>
      <c r="F2616" s="42" t="s">
        <v>514</v>
      </c>
      <c r="G2616" s="33" t="str">
        <f t="shared" si="45"/>
        <v/>
      </c>
      <c r="H2616" s="34"/>
      <c r="I2616" s="30"/>
      <c r="J2616" s="148">
        <v>0</v>
      </c>
      <c r="K2616" s="222">
        <v>0</v>
      </c>
    </row>
    <row r="2617" spans="1:11" hidden="1" x14ac:dyDescent="0.25">
      <c r="A2617" s="203"/>
      <c r="B2617" s="205"/>
      <c r="C2617" s="35" t="s">
        <v>759</v>
      </c>
      <c r="D2617" s="35" t="s">
        <v>42</v>
      </c>
      <c r="E2617" s="36">
        <v>0.245</v>
      </c>
      <c r="F2617" s="30">
        <v>10.725499999999998</v>
      </c>
      <c r="G2617" s="33">
        <f t="shared" si="45"/>
        <v>2.6277474999999995</v>
      </c>
      <c r="H2617" s="38">
        <f>SUM(G2617:G2617)</f>
        <v>2.6277474999999995</v>
      </c>
      <c r="I2617" s="39"/>
      <c r="J2617" s="148">
        <v>0</v>
      </c>
      <c r="K2617" s="222">
        <v>0</v>
      </c>
    </row>
    <row r="2618" spans="1:11" ht="15.75" hidden="1" thickBot="1" x14ac:dyDescent="0.3">
      <c r="A2618" s="209"/>
      <c r="B2618" s="206"/>
      <c r="C2618" s="35"/>
      <c r="D2618" s="35"/>
      <c r="E2618" s="36"/>
      <c r="F2618" s="30" t="s">
        <v>514</v>
      </c>
      <c r="G2618" s="33" t="str">
        <f t="shared" si="45"/>
        <v/>
      </c>
      <c r="H2618" s="34"/>
      <c r="I2618" s="30"/>
      <c r="J2618" s="148">
        <v>0</v>
      </c>
      <c r="K2618" s="222">
        <v>0</v>
      </c>
    </row>
    <row r="2619" spans="1:11" ht="15.75" hidden="1" thickBot="1" x14ac:dyDescent="0.3">
      <c r="A2619" s="202" t="s">
        <v>760</v>
      </c>
      <c r="B2619" s="204" t="str">
        <f>INDEX(Orçamentária!A:B,MATCH(Composições!A2619,Orçamentária!A:A,0),2)</f>
        <v>Vergalhão Ca-50 Diâmetro 8,0 Mm</v>
      </c>
      <c r="C2619" s="40"/>
      <c r="D2619" s="25" t="str">
        <f>TRIM(INDEX(Orçamentária!C:C,MATCH(Composições!A2619,Orçamentária!A:A,0),1))</f>
        <v>m</v>
      </c>
      <c r="E2619" s="26"/>
      <c r="F2619" s="41" t="s">
        <v>514</v>
      </c>
      <c r="G2619" s="27" t="str">
        <f t="shared" si="45"/>
        <v/>
      </c>
      <c r="H2619" s="28"/>
      <c r="I2619" s="29"/>
      <c r="J2619" s="148">
        <v>0</v>
      </c>
      <c r="K2619" s="222">
        <v>0</v>
      </c>
    </row>
    <row r="2620" spans="1:11" hidden="1" x14ac:dyDescent="0.25">
      <c r="A2620" s="203"/>
      <c r="B2620" s="205"/>
      <c r="C2620" s="31"/>
      <c r="D2620" s="31"/>
      <c r="E2620" s="32"/>
      <c r="F2620" s="42" t="s">
        <v>514</v>
      </c>
      <c r="G2620" s="33" t="str">
        <f t="shared" si="45"/>
        <v/>
      </c>
      <c r="H2620" s="34"/>
      <c r="I2620" s="30"/>
      <c r="J2620" s="148">
        <v>0</v>
      </c>
      <c r="K2620" s="222">
        <v>0</v>
      </c>
    </row>
    <row r="2621" spans="1:11" hidden="1" x14ac:dyDescent="0.25">
      <c r="A2621" s="203"/>
      <c r="B2621" s="205"/>
      <c r="C2621" s="35" t="s">
        <v>761</v>
      </c>
      <c r="D2621" s="35" t="s">
        <v>42</v>
      </c>
      <c r="E2621" s="36">
        <v>0.39500000000000002</v>
      </c>
      <c r="F2621" s="30">
        <v>10.782499999999999</v>
      </c>
      <c r="G2621" s="33">
        <f t="shared" ref="G2621:G2684" si="46">IF(ISNUMBER(F2621),E2621*F2621,"")</f>
        <v>4.2590874999999997</v>
      </c>
      <c r="H2621" s="38">
        <f>SUM(G2621:G2621)</f>
        <v>4.2590874999999997</v>
      </c>
      <c r="I2621" s="39"/>
      <c r="J2621" s="148">
        <v>0</v>
      </c>
      <c r="K2621" s="222">
        <v>0</v>
      </c>
    </row>
    <row r="2622" spans="1:11" ht="15.75" hidden="1" thickBot="1" x14ac:dyDescent="0.3">
      <c r="A2622" s="209"/>
      <c r="B2622" s="206"/>
      <c r="C2622" s="35"/>
      <c r="D2622" s="35"/>
      <c r="E2622" s="36"/>
      <c r="F2622" s="30" t="s">
        <v>514</v>
      </c>
      <c r="G2622" s="33" t="str">
        <f t="shared" si="46"/>
        <v/>
      </c>
      <c r="H2622" s="34"/>
      <c r="I2622" s="30"/>
      <c r="J2622" s="148">
        <v>0</v>
      </c>
      <c r="K2622" s="222">
        <v>0</v>
      </c>
    </row>
    <row r="2623" spans="1:11" ht="15.75" hidden="1" thickBot="1" x14ac:dyDescent="0.3">
      <c r="A2623" s="202" t="s">
        <v>762</v>
      </c>
      <c r="B2623" s="204" t="str">
        <f>INDEX(Orçamentária!A:B,MATCH(Composições!A2623,Orçamentária!A:A,0),2)</f>
        <v>Vergalhão Ca-50 Diâmetro 10,0 Mm</v>
      </c>
      <c r="C2623" s="40"/>
      <c r="D2623" s="25" t="str">
        <f>TRIM(INDEX(Orçamentária!C:C,MATCH(Composições!A2623,Orçamentária!A:A,0),1))</f>
        <v>m</v>
      </c>
      <c r="E2623" s="26"/>
      <c r="F2623" s="41" t="s">
        <v>514</v>
      </c>
      <c r="G2623" s="27" t="str">
        <f t="shared" si="46"/>
        <v/>
      </c>
      <c r="H2623" s="28"/>
      <c r="I2623" s="29"/>
      <c r="J2623" s="148">
        <v>0</v>
      </c>
      <c r="K2623" s="222">
        <v>0</v>
      </c>
    </row>
    <row r="2624" spans="1:11" hidden="1" x14ac:dyDescent="0.25">
      <c r="A2624" s="203"/>
      <c r="B2624" s="205"/>
      <c r="C2624" s="31"/>
      <c r="D2624" s="31"/>
      <c r="E2624" s="32"/>
      <c r="F2624" s="42" t="s">
        <v>514</v>
      </c>
      <c r="G2624" s="33" t="str">
        <f t="shared" si="46"/>
        <v/>
      </c>
      <c r="H2624" s="34"/>
      <c r="I2624" s="30"/>
      <c r="J2624" s="148">
        <v>0</v>
      </c>
      <c r="K2624" s="222">
        <v>0</v>
      </c>
    </row>
    <row r="2625" spans="1:11" hidden="1" x14ac:dyDescent="0.25">
      <c r="A2625" s="203"/>
      <c r="B2625" s="205"/>
      <c r="C2625" s="35" t="s">
        <v>763</v>
      </c>
      <c r="D2625" s="35" t="s">
        <v>42</v>
      </c>
      <c r="E2625" s="36">
        <v>0.61699999999999999</v>
      </c>
      <c r="F2625" s="30">
        <v>10.164999999999999</v>
      </c>
      <c r="G2625" s="33">
        <f t="shared" si="46"/>
        <v>6.2718049999999996</v>
      </c>
      <c r="H2625" s="38">
        <f>SUM(G2625:G2625)</f>
        <v>6.2718049999999996</v>
      </c>
      <c r="I2625" s="39"/>
      <c r="J2625" s="148">
        <v>0</v>
      </c>
      <c r="K2625" s="222">
        <v>0</v>
      </c>
    </row>
    <row r="2626" spans="1:11" ht="15.75" hidden="1" thickBot="1" x14ac:dyDescent="0.3">
      <c r="A2626" s="209"/>
      <c r="B2626" s="206"/>
      <c r="C2626" s="35"/>
      <c r="D2626" s="35"/>
      <c r="E2626" s="36"/>
      <c r="F2626" s="30" t="s">
        <v>514</v>
      </c>
      <c r="G2626" s="33" t="str">
        <f t="shared" si="46"/>
        <v/>
      </c>
      <c r="H2626" s="34"/>
      <c r="I2626" s="30"/>
      <c r="J2626" s="148">
        <v>0</v>
      </c>
      <c r="K2626" s="222">
        <v>0</v>
      </c>
    </row>
    <row r="2627" spans="1:11" ht="15.75" hidden="1" thickBot="1" x14ac:dyDescent="0.3">
      <c r="A2627" s="202" t="s">
        <v>764</v>
      </c>
      <c r="B2627" s="204" t="str">
        <f>INDEX(Orçamentária!A:B,MATCH(Composições!A2627,Orçamentária!A:A,0),2)</f>
        <v>Vergalhão Ca-50 Diâmetro 12,5 Mm</v>
      </c>
      <c r="C2627" s="40"/>
      <c r="D2627" s="25" t="str">
        <f>TRIM(INDEX(Orçamentária!C:C,MATCH(Composições!A2627,Orçamentária!A:A,0),1))</f>
        <v>m</v>
      </c>
      <c r="E2627" s="26"/>
      <c r="F2627" s="41" t="s">
        <v>514</v>
      </c>
      <c r="G2627" s="27" t="str">
        <f t="shared" si="46"/>
        <v/>
      </c>
      <c r="H2627" s="28"/>
      <c r="I2627" s="29"/>
      <c r="J2627" s="148">
        <v>0</v>
      </c>
      <c r="K2627" s="222">
        <v>0</v>
      </c>
    </row>
    <row r="2628" spans="1:11" hidden="1" x14ac:dyDescent="0.25">
      <c r="A2628" s="203"/>
      <c r="B2628" s="205"/>
      <c r="C2628" s="31"/>
      <c r="D2628" s="31"/>
      <c r="E2628" s="32"/>
      <c r="F2628" s="42" t="s">
        <v>514</v>
      </c>
      <c r="G2628" s="33" t="str">
        <f t="shared" si="46"/>
        <v/>
      </c>
      <c r="H2628" s="34"/>
      <c r="I2628" s="30"/>
      <c r="J2628" s="148">
        <v>0</v>
      </c>
      <c r="K2628" s="222">
        <v>0</v>
      </c>
    </row>
    <row r="2629" spans="1:11" hidden="1" x14ac:dyDescent="0.25">
      <c r="A2629" s="203"/>
      <c r="B2629" s="205"/>
      <c r="C2629" s="35" t="s">
        <v>765</v>
      </c>
      <c r="D2629" s="35" t="s">
        <v>42</v>
      </c>
      <c r="E2629" s="36">
        <v>0.96299999999999997</v>
      </c>
      <c r="F2629" s="30">
        <v>8.8064999999999998</v>
      </c>
      <c r="G2629" s="33">
        <f t="shared" si="46"/>
        <v>8.4806594999999998</v>
      </c>
      <c r="H2629" s="38">
        <f>SUM(G2629:G2629)</f>
        <v>8.4806594999999998</v>
      </c>
      <c r="I2629" s="39"/>
      <c r="J2629" s="148">
        <v>0</v>
      </c>
      <c r="K2629" s="222">
        <v>0</v>
      </c>
    </row>
    <row r="2630" spans="1:11" ht="15.75" hidden="1" thickBot="1" x14ac:dyDescent="0.3">
      <c r="A2630" s="209"/>
      <c r="B2630" s="206"/>
      <c r="C2630" s="35"/>
      <c r="D2630" s="35"/>
      <c r="E2630" s="36"/>
      <c r="F2630" s="30" t="s">
        <v>514</v>
      </c>
      <c r="G2630" s="33" t="str">
        <f t="shared" si="46"/>
        <v/>
      </c>
      <c r="H2630" s="34"/>
      <c r="I2630" s="30"/>
      <c r="J2630" s="148">
        <v>0</v>
      </c>
      <c r="K2630" s="222">
        <v>0</v>
      </c>
    </row>
    <row r="2631" spans="1:11" ht="15.75" hidden="1" thickBot="1" x14ac:dyDescent="0.3">
      <c r="A2631" s="202" t="s">
        <v>766</v>
      </c>
      <c r="B2631" s="204" t="str">
        <f>INDEX(Orçamentária!A:B,MATCH(Composições!A2631,Orçamentária!A:A,0),2)</f>
        <v>Arame Recozido Nº 18</v>
      </c>
      <c r="C2631" s="40"/>
      <c r="D2631" s="25" t="str">
        <f>TRIM(INDEX(Orçamentária!C:C,MATCH(Composições!A2631,Orçamentária!A:A,0),1))</f>
        <v>kg</v>
      </c>
      <c r="E2631" s="26"/>
      <c r="F2631" s="41" t="s">
        <v>514</v>
      </c>
      <c r="G2631" s="27" t="str">
        <f t="shared" si="46"/>
        <v/>
      </c>
      <c r="H2631" s="28"/>
      <c r="I2631" s="29"/>
      <c r="J2631" s="148">
        <v>0</v>
      </c>
      <c r="K2631" s="222">
        <v>0</v>
      </c>
    </row>
    <row r="2632" spans="1:11" hidden="1" x14ac:dyDescent="0.25">
      <c r="A2632" s="203"/>
      <c r="B2632" s="205"/>
      <c r="C2632" s="31"/>
      <c r="D2632" s="31"/>
      <c r="E2632" s="32"/>
      <c r="F2632" s="42" t="s">
        <v>514</v>
      </c>
      <c r="G2632" s="33" t="str">
        <f t="shared" si="46"/>
        <v/>
      </c>
      <c r="H2632" s="34"/>
      <c r="I2632" s="30"/>
      <c r="J2632" s="148">
        <v>0</v>
      </c>
      <c r="K2632" s="222">
        <v>0</v>
      </c>
    </row>
    <row r="2633" spans="1:11" ht="25.5" hidden="1" x14ac:dyDescent="0.25">
      <c r="A2633" s="203"/>
      <c r="B2633" s="205"/>
      <c r="C2633" s="35" t="s">
        <v>3489</v>
      </c>
      <c r="D2633" s="35" t="s">
        <v>42</v>
      </c>
      <c r="E2633" s="36">
        <v>1</v>
      </c>
      <c r="F2633" s="30">
        <v>22.363</v>
      </c>
      <c r="G2633" s="33">
        <f t="shared" si="46"/>
        <v>22.363</v>
      </c>
      <c r="H2633" s="38">
        <f>SUM(G2633:G2633)</f>
        <v>22.363</v>
      </c>
      <c r="I2633" s="39"/>
      <c r="J2633" s="148">
        <v>0</v>
      </c>
      <c r="K2633" s="222">
        <v>0</v>
      </c>
    </row>
    <row r="2634" spans="1:11" ht="15.75" hidden="1" thickBot="1" x14ac:dyDescent="0.3">
      <c r="A2634" s="209"/>
      <c r="B2634" s="206"/>
      <c r="C2634" s="35"/>
      <c r="D2634" s="35"/>
      <c r="E2634" s="36"/>
      <c r="F2634" s="30" t="s">
        <v>514</v>
      </c>
      <c r="G2634" s="33" t="str">
        <f t="shared" si="46"/>
        <v/>
      </c>
      <c r="H2634" s="34"/>
      <c r="I2634" s="30"/>
      <c r="J2634" s="148">
        <v>0</v>
      </c>
      <c r="K2634" s="222">
        <v>0</v>
      </c>
    </row>
    <row r="2635" spans="1:11" ht="15.75" hidden="1" thickBot="1" x14ac:dyDescent="0.3">
      <c r="A2635" s="202" t="s">
        <v>767</v>
      </c>
      <c r="B2635" s="204" t="str">
        <f>INDEX(Orçamentária!A:B,MATCH(Composições!A2635,Orçamentária!A:A,0),2)</f>
        <v>Adesivo Estrutural Epóxi Bicomponente</v>
      </c>
      <c r="C2635" s="40"/>
      <c r="D2635" s="25" t="str">
        <f>TRIM(INDEX(Orçamentária!C:C,MATCH(Composições!A2635,Orçamentária!A:A,0),1))</f>
        <v>kg</v>
      </c>
      <c r="E2635" s="26"/>
      <c r="F2635" s="41" t="s">
        <v>514</v>
      </c>
      <c r="G2635" s="27" t="str">
        <f t="shared" si="46"/>
        <v/>
      </c>
      <c r="H2635" s="28"/>
      <c r="I2635" s="29"/>
      <c r="J2635" s="148">
        <v>0</v>
      </c>
      <c r="K2635" s="222">
        <v>0</v>
      </c>
    </row>
    <row r="2636" spans="1:11" hidden="1" x14ac:dyDescent="0.25">
      <c r="A2636" s="203"/>
      <c r="B2636" s="205"/>
      <c r="C2636" s="31"/>
      <c r="D2636" s="31"/>
      <c r="E2636" s="32"/>
      <c r="F2636" s="42" t="s">
        <v>514</v>
      </c>
      <c r="G2636" s="33" t="str">
        <f t="shared" si="46"/>
        <v/>
      </c>
      <c r="H2636" s="34"/>
      <c r="I2636" s="30"/>
      <c r="J2636" s="148">
        <v>0</v>
      </c>
      <c r="K2636" s="222">
        <v>0</v>
      </c>
    </row>
    <row r="2637" spans="1:11" ht="25.5" hidden="1" x14ac:dyDescent="0.25">
      <c r="A2637" s="203"/>
      <c r="B2637" s="205"/>
      <c r="C2637" s="35" t="s">
        <v>3228</v>
      </c>
      <c r="D2637" s="35" t="s">
        <v>42</v>
      </c>
      <c r="E2637" s="36">
        <v>1</v>
      </c>
      <c r="F2637" s="30">
        <v>57.104499999999994</v>
      </c>
      <c r="G2637" s="33">
        <f t="shared" si="46"/>
        <v>57.104499999999994</v>
      </c>
      <c r="H2637" s="38">
        <f>SUM(G2637:G2637)</f>
        <v>57.104499999999994</v>
      </c>
      <c r="I2637" s="39"/>
      <c r="J2637" s="148">
        <v>0</v>
      </c>
      <c r="K2637" s="222">
        <v>0</v>
      </c>
    </row>
    <row r="2638" spans="1:11" ht="15.75" hidden="1" thickBot="1" x14ac:dyDescent="0.3">
      <c r="A2638" s="209"/>
      <c r="B2638" s="206"/>
      <c r="C2638" s="35"/>
      <c r="D2638" s="35"/>
      <c r="E2638" s="36"/>
      <c r="F2638" s="30" t="s">
        <v>514</v>
      </c>
      <c r="G2638" s="33" t="str">
        <f t="shared" si="46"/>
        <v/>
      </c>
      <c r="H2638" s="34"/>
      <c r="I2638" s="30"/>
      <c r="J2638" s="148">
        <v>0</v>
      </c>
      <c r="K2638" s="222">
        <v>0</v>
      </c>
    </row>
    <row r="2639" spans="1:11" ht="15.75" hidden="1" thickBot="1" x14ac:dyDescent="0.3">
      <c r="A2639" s="202" t="s">
        <v>2193</v>
      </c>
      <c r="B2639" s="204" t="str">
        <f>INDEX(Orçamentária!A:B,MATCH(Composições!A2639,Orçamentária!A:A,0),2)</f>
        <v>Adesivo Selante Poliuretano</v>
      </c>
      <c r="C2639" s="40"/>
      <c r="D2639" s="25" t="str">
        <f>TRIM(INDEX(Orçamentária!C:C,MATCH(Composições!A2639,Orçamentária!A:A,0),1))</f>
        <v>un</v>
      </c>
      <c r="E2639" s="26"/>
      <c r="F2639" s="41" t="s">
        <v>514</v>
      </c>
      <c r="G2639" s="27" t="str">
        <f t="shared" si="46"/>
        <v/>
      </c>
      <c r="H2639" s="28"/>
      <c r="I2639" s="29"/>
      <c r="J2639" s="148">
        <v>0</v>
      </c>
      <c r="K2639" s="222">
        <v>0</v>
      </c>
    </row>
    <row r="2640" spans="1:11" hidden="1" x14ac:dyDescent="0.25">
      <c r="A2640" s="203"/>
      <c r="B2640" s="205"/>
      <c r="C2640" s="31"/>
      <c r="D2640" s="31"/>
      <c r="E2640" s="32"/>
      <c r="F2640" s="42" t="s">
        <v>514</v>
      </c>
      <c r="G2640" s="33" t="str">
        <f t="shared" si="46"/>
        <v/>
      </c>
      <c r="H2640" s="34"/>
      <c r="I2640" s="30"/>
      <c r="J2640" s="148">
        <v>0</v>
      </c>
      <c r="K2640" s="222">
        <v>0</v>
      </c>
    </row>
    <row r="2641" spans="1:11" ht="25.5" hidden="1" x14ac:dyDescent="0.25">
      <c r="A2641" s="203"/>
      <c r="B2641" s="205"/>
      <c r="C2641" s="35" t="s">
        <v>1053</v>
      </c>
      <c r="D2641" s="46" t="s">
        <v>1054</v>
      </c>
      <c r="E2641" s="36">
        <v>1</v>
      </c>
      <c r="F2641" s="30">
        <v>36.945499999999996</v>
      </c>
      <c r="G2641" s="33">
        <f t="shared" si="46"/>
        <v>36.945499999999996</v>
      </c>
      <c r="H2641" s="38">
        <f>SUM(G2641:G2641)</f>
        <v>36.945499999999996</v>
      </c>
      <c r="I2641" s="39"/>
      <c r="J2641" s="148">
        <v>0</v>
      </c>
      <c r="K2641" s="222">
        <v>0</v>
      </c>
    </row>
    <row r="2642" spans="1:11" ht="15.75" hidden="1" thickBot="1" x14ac:dyDescent="0.3">
      <c r="A2642" s="209"/>
      <c r="B2642" s="206"/>
      <c r="C2642" s="35"/>
      <c r="D2642" s="35"/>
      <c r="E2642" s="36"/>
      <c r="F2642" s="30" t="s">
        <v>514</v>
      </c>
      <c r="G2642" s="33" t="str">
        <f t="shared" si="46"/>
        <v/>
      </c>
      <c r="H2642" s="34"/>
      <c r="I2642" s="30"/>
      <c r="J2642" s="148">
        <v>0</v>
      </c>
      <c r="K2642" s="222">
        <v>0</v>
      </c>
    </row>
    <row r="2643" spans="1:11" ht="15.75" hidden="1" thickBot="1" x14ac:dyDescent="0.3">
      <c r="A2643" s="202" t="s">
        <v>2195</v>
      </c>
      <c r="B2643" s="204" t="str">
        <f>INDEX(Orçamentária!A:B,MATCH(Composições!A2643,Orçamentária!A:A,0),2)</f>
        <v>Selante de Silicone</v>
      </c>
      <c r="C2643" s="40"/>
      <c r="D2643" s="25" t="str">
        <f>TRIM(INDEX(Orçamentária!C:C,MATCH(Composições!A2643,Orçamentária!A:A,0),1))</f>
        <v>un</v>
      </c>
      <c r="E2643" s="26"/>
      <c r="F2643" s="41" t="s">
        <v>514</v>
      </c>
      <c r="G2643" s="27" t="str">
        <f t="shared" si="46"/>
        <v/>
      </c>
      <c r="H2643" s="28"/>
      <c r="I2643" s="29"/>
      <c r="J2643" s="148">
        <v>0</v>
      </c>
      <c r="K2643" s="222">
        <v>0</v>
      </c>
    </row>
    <row r="2644" spans="1:11" hidden="1" x14ac:dyDescent="0.25">
      <c r="A2644" s="203"/>
      <c r="B2644" s="205"/>
      <c r="C2644" s="31"/>
      <c r="D2644" s="31"/>
      <c r="E2644" s="32"/>
      <c r="F2644" s="42" t="s">
        <v>514</v>
      </c>
      <c r="G2644" s="33" t="str">
        <f t="shared" si="46"/>
        <v/>
      </c>
      <c r="H2644" s="34"/>
      <c r="I2644" s="30"/>
      <c r="J2644" s="148">
        <v>0</v>
      </c>
      <c r="K2644" s="222">
        <v>0</v>
      </c>
    </row>
    <row r="2645" spans="1:11" hidden="1" x14ac:dyDescent="0.25">
      <c r="A2645" s="203"/>
      <c r="B2645" s="205"/>
      <c r="C2645" s="35" t="s">
        <v>1117</v>
      </c>
      <c r="D2645" s="46" t="s">
        <v>20</v>
      </c>
      <c r="E2645" s="36">
        <v>1</v>
      </c>
      <c r="F2645" s="30">
        <v>24.414999999999999</v>
      </c>
      <c r="G2645" s="33">
        <f t="shared" si="46"/>
        <v>24.414999999999999</v>
      </c>
      <c r="H2645" s="38">
        <f>SUM(G2645:G2645)</f>
        <v>24.414999999999999</v>
      </c>
      <c r="I2645" s="39"/>
      <c r="J2645" s="148">
        <v>0</v>
      </c>
      <c r="K2645" s="222">
        <v>0</v>
      </c>
    </row>
    <row r="2646" spans="1:11" ht="15.75" hidden="1" thickBot="1" x14ac:dyDescent="0.3">
      <c r="A2646" s="209"/>
      <c r="B2646" s="206"/>
      <c r="C2646" s="35"/>
      <c r="D2646" s="35"/>
      <c r="E2646" s="36"/>
      <c r="F2646" s="30" t="s">
        <v>514</v>
      </c>
      <c r="G2646" s="33" t="str">
        <f t="shared" si="46"/>
        <v/>
      </c>
      <c r="H2646" s="34"/>
      <c r="I2646" s="30"/>
      <c r="J2646" s="148">
        <v>0</v>
      </c>
      <c r="K2646" s="222">
        <v>0</v>
      </c>
    </row>
    <row r="2647" spans="1:11" ht="15.75" hidden="1" thickBot="1" x14ac:dyDescent="0.3">
      <c r="A2647" s="202" t="s">
        <v>769</v>
      </c>
      <c r="B2647" s="204" t="str">
        <f>INDEX(Orçamentária!A:B,MATCH(Composições!A2647,Orçamentária!A:A,0),2)</f>
        <v>Aditivo Impermeabilizante</v>
      </c>
      <c r="C2647" s="40"/>
      <c r="D2647" s="25" t="str">
        <f>TRIM(INDEX(Orçamentária!C:C,MATCH(Composições!A2647,Orçamentária!A:A,0),1))</f>
        <v>L</v>
      </c>
      <c r="E2647" s="26"/>
      <c r="F2647" s="41" t="s">
        <v>514</v>
      </c>
      <c r="G2647" s="27" t="str">
        <f t="shared" si="46"/>
        <v/>
      </c>
      <c r="H2647" s="28"/>
      <c r="I2647" s="29"/>
      <c r="J2647" s="148">
        <v>0</v>
      </c>
      <c r="K2647" s="222">
        <v>0</v>
      </c>
    </row>
    <row r="2648" spans="1:11" hidden="1" x14ac:dyDescent="0.25">
      <c r="A2648" s="203"/>
      <c r="B2648" s="205"/>
      <c r="C2648" s="31"/>
      <c r="D2648" s="31"/>
      <c r="E2648" s="32"/>
      <c r="F2648" s="42" t="s">
        <v>514</v>
      </c>
      <c r="G2648" s="33" t="str">
        <f t="shared" si="46"/>
        <v/>
      </c>
      <c r="H2648" s="34"/>
      <c r="I2648" s="30"/>
      <c r="J2648" s="148">
        <v>0</v>
      </c>
      <c r="K2648" s="222">
        <v>0</v>
      </c>
    </row>
    <row r="2649" spans="1:11" ht="38.25" hidden="1" x14ac:dyDescent="0.25">
      <c r="A2649" s="203"/>
      <c r="B2649" s="205"/>
      <c r="C2649" s="35" t="s">
        <v>770</v>
      </c>
      <c r="D2649" s="46" t="s">
        <v>101</v>
      </c>
      <c r="E2649" s="36">
        <v>1</v>
      </c>
      <c r="F2649" s="30">
        <v>7.7044999999999995</v>
      </c>
      <c r="G2649" s="33">
        <f t="shared" si="46"/>
        <v>7.7044999999999995</v>
      </c>
      <c r="H2649" s="38">
        <f>SUM(G2649:G2649)</f>
        <v>7.7044999999999995</v>
      </c>
      <c r="I2649" s="39"/>
      <c r="J2649" s="148">
        <v>0</v>
      </c>
      <c r="K2649" s="222">
        <v>0</v>
      </c>
    </row>
    <row r="2650" spans="1:11" ht="15.75" hidden="1" thickBot="1" x14ac:dyDescent="0.3">
      <c r="A2650" s="209"/>
      <c r="B2650" s="206"/>
      <c r="C2650" s="35"/>
      <c r="D2650" s="35"/>
      <c r="E2650" s="36"/>
      <c r="F2650" s="30" t="s">
        <v>514</v>
      </c>
      <c r="G2650" s="33" t="str">
        <f t="shared" si="46"/>
        <v/>
      </c>
      <c r="H2650" s="34"/>
      <c r="I2650" s="30"/>
      <c r="J2650" s="148">
        <v>0</v>
      </c>
      <c r="K2650" s="222">
        <v>0</v>
      </c>
    </row>
    <row r="2651" spans="1:11" ht="15.75" hidden="1" thickBot="1" x14ac:dyDescent="0.3">
      <c r="A2651" s="202" t="s">
        <v>2212</v>
      </c>
      <c r="B2651" s="204" t="str">
        <f>INDEX(Orçamentária!A:B,MATCH(Composições!A2651,Orçamentária!A:A,0),2)</f>
        <v>Lona Plástica</v>
      </c>
      <c r="C2651" s="40"/>
      <c r="D2651" s="25" t="str">
        <f>TRIM(INDEX(Orçamentária!C:C,MATCH(Composições!A2651,Orçamentária!A:A,0),1))</f>
        <v>m2</v>
      </c>
      <c r="E2651" s="26"/>
      <c r="F2651" s="41" t="s">
        <v>514</v>
      </c>
      <c r="G2651" s="27" t="str">
        <f t="shared" si="46"/>
        <v/>
      </c>
      <c r="H2651" s="28"/>
      <c r="I2651" s="29"/>
      <c r="J2651" s="148">
        <v>0</v>
      </c>
      <c r="K2651" s="222">
        <v>0</v>
      </c>
    </row>
    <row r="2652" spans="1:11" hidden="1" x14ac:dyDescent="0.25">
      <c r="A2652" s="203"/>
      <c r="B2652" s="205"/>
      <c r="C2652" s="31"/>
      <c r="D2652" s="31"/>
      <c r="E2652" s="32"/>
      <c r="F2652" s="42" t="s">
        <v>514</v>
      </c>
      <c r="G2652" s="33" t="str">
        <f t="shared" si="46"/>
        <v/>
      </c>
      <c r="H2652" s="34"/>
      <c r="I2652" s="30"/>
      <c r="J2652" s="148">
        <v>0</v>
      </c>
      <c r="K2652" s="222">
        <v>0</v>
      </c>
    </row>
    <row r="2653" spans="1:11" hidden="1" x14ac:dyDescent="0.25">
      <c r="A2653" s="203"/>
      <c r="B2653" s="205"/>
      <c r="C2653" s="35" t="s">
        <v>3679</v>
      </c>
      <c r="D2653" s="46" t="s">
        <v>94</v>
      </c>
      <c r="E2653" s="36">
        <v>1</v>
      </c>
      <c r="F2653" s="30">
        <v>2.3180000000000001</v>
      </c>
      <c r="G2653" s="33">
        <f t="shared" si="46"/>
        <v>2.3180000000000001</v>
      </c>
      <c r="H2653" s="38">
        <f>SUM(G2653:G2653)</f>
        <v>2.3180000000000001</v>
      </c>
      <c r="I2653" s="39"/>
      <c r="J2653" s="148">
        <v>0</v>
      </c>
      <c r="K2653" s="222">
        <v>0</v>
      </c>
    </row>
    <row r="2654" spans="1:11" ht="15.75" hidden="1" thickBot="1" x14ac:dyDescent="0.3">
      <c r="A2654" s="209"/>
      <c r="B2654" s="206"/>
      <c r="C2654" s="35"/>
      <c r="D2654" s="35"/>
      <c r="E2654" s="36"/>
      <c r="F2654" s="30" t="s">
        <v>514</v>
      </c>
      <c r="G2654" s="33" t="str">
        <f t="shared" si="46"/>
        <v/>
      </c>
      <c r="H2654" s="34"/>
      <c r="I2654" s="30"/>
      <c r="J2654" s="148">
        <v>0</v>
      </c>
      <c r="K2654" s="222">
        <v>0</v>
      </c>
    </row>
    <row r="2655" spans="1:11" ht="15.75" hidden="1" thickBot="1" x14ac:dyDescent="0.3">
      <c r="A2655" s="202" t="s">
        <v>771</v>
      </c>
      <c r="B2655" s="204" t="str">
        <f>INDEX(Orçamentária!A:B,MATCH(Composições!A2655,Orçamentária!A:A,0),2)</f>
        <v>Supervisor(a)-Geral</v>
      </c>
      <c r="C2655" s="40"/>
      <c r="D2655" s="25" t="str">
        <f>TRIM(INDEX(Orçamentária!C:C,MATCH(Composições!A2655,Orçamentária!A:A,0),1))</f>
        <v>Profissional</v>
      </c>
      <c r="E2655" s="26"/>
      <c r="F2655" s="41" t="s">
        <v>514</v>
      </c>
      <c r="G2655" s="27" t="str">
        <f t="shared" si="46"/>
        <v/>
      </c>
      <c r="H2655" s="28"/>
      <c r="I2655" s="29"/>
      <c r="J2655" s="148">
        <v>0</v>
      </c>
      <c r="K2655" s="222">
        <v>0</v>
      </c>
    </row>
    <row r="2656" spans="1:11" hidden="1" x14ac:dyDescent="0.25">
      <c r="A2656" s="203"/>
      <c r="B2656" s="205"/>
      <c r="C2656" s="31"/>
      <c r="D2656" s="31"/>
      <c r="E2656" s="32"/>
      <c r="F2656" s="42" t="s">
        <v>514</v>
      </c>
      <c r="G2656" s="33" t="str">
        <f t="shared" si="46"/>
        <v/>
      </c>
      <c r="H2656" s="34"/>
      <c r="I2656" s="30"/>
      <c r="J2656" s="148">
        <v>0</v>
      </c>
      <c r="K2656" s="222">
        <v>0</v>
      </c>
    </row>
    <row r="2657" spans="1:11" ht="25.5" hidden="1" x14ac:dyDescent="0.25">
      <c r="A2657" s="203"/>
      <c r="B2657" s="205"/>
      <c r="C2657" s="35" t="s">
        <v>772</v>
      </c>
      <c r="D2657" s="46" t="s">
        <v>12</v>
      </c>
      <c r="E2657" s="36">
        <f>ROUND(220/(1+110.14%),4)</f>
        <v>104.6921</v>
      </c>
      <c r="F2657" s="30">
        <v>109.136</v>
      </c>
      <c r="G2657" s="33">
        <f t="shared" si="46"/>
        <v>11425.6770256</v>
      </c>
      <c r="H2657" s="38">
        <f>SUM(G2657:G2657)</f>
        <v>11425.6770256</v>
      </c>
      <c r="I2657" s="39"/>
      <c r="J2657" s="148">
        <v>0</v>
      </c>
      <c r="K2657" s="222">
        <v>0</v>
      </c>
    </row>
    <row r="2658" spans="1:11" hidden="1" x14ac:dyDescent="0.25">
      <c r="A2658" s="203"/>
      <c r="B2658" s="205"/>
      <c r="C2658" s="35"/>
      <c r="D2658" s="46"/>
      <c r="E2658" s="36"/>
      <c r="F2658" s="30" t="s">
        <v>514</v>
      </c>
      <c r="G2658" s="33" t="str">
        <f t="shared" si="46"/>
        <v/>
      </c>
      <c r="H2658" s="34"/>
      <c r="I2658" s="39"/>
      <c r="J2658" s="148">
        <v>0</v>
      </c>
      <c r="K2658" s="222">
        <v>0</v>
      </c>
    </row>
    <row r="2659" spans="1:11" ht="25.5" hidden="1" x14ac:dyDescent="0.25">
      <c r="A2659" s="203"/>
      <c r="B2659" s="205"/>
      <c r="C2659" s="47" t="s">
        <v>773</v>
      </c>
      <c r="D2659" s="46"/>
      <c r="E2659" s="36"/>
      <c r="F2659" s="30" t="s">
        <v>514</v>
      </c>
      <c r="G2659" s="33" t="str">
        <f t="shared" si="46"/>
        <v/>
      </c>
      <c r="H2659" s="34"/>
      <c r="I2659" s="39"/>
      <c r="J2659" s="148">
        <v>0</v>
      </c>
      <c r="K2659" s="222">
        <v>0</v>
      </c>
    </row>
    <row r="2660" spans="1:11" ht="15.75" hidden="1" thickBot="1" x14ac:dyDescent="0.3">
      <c r="A2660" s="209"/>
      <c r="B2660" s="206"/>
      <c r="C2660" s="35"/>
      <c r="D2660" s="35"/>
      <c r="E2660" s="36"/>
      <c r="F2660" s="30" t="s">
        <v>514</v>
      </c>
      <c r="G2660" s="33" t="str">
        <f t="shared" si="46"/>
        <v/>
      </c>
      <c r="H2660" s="34"/>
      <c r="I2660" s="30"/>
      <c r="J2660" s="148">
        <v>0</v>
      </c>
      <c r="K2660" s="222">
        <v>0</v>
      </c>
    </row>
    <row r="2661" spans="1:11" ht="15.75" hidden="1" thickBot="1" x14ac:dyDescent="0.3">
      <c r="A2661" s="202" t="s">
        <v>774</v>
      </c>
      <c r="B2661" s="204" t="str">
        <f>INDEX(Orçamentária!A:B,MATCH(Composições!A2661,Orçamentária!A:A,0),2)</f>
        <v>Apoio Técnico Administrativo – Controle de Almoxarifado</v>
      </c>
      <c r="C2661" s="40"/>
      <c r="D2661" s="25" t="str">
        <f>TRIM(INDEX(Orçamentária!C:C,MATCH(Composições!A2661,Orçamentária!A:A,0),1))</f>
        <v>Profissional</v>
      </c>
      <c r="E2661" s="26"/>
      <c r="F2661" s="41" t="s">
        <v>514</v>
      </c>
      <c r="G2661" s="27" t="str">
        <f t="shared" si="46"/>
        <v/>
      </c>
      <c r="H2661" s="28"/>
      <c r="I2661" s="29"/>
      <c r="J2661" s="148">
        <v>0</v>
      </c>
      <c r="K2661" s="222">
        <v>0</v>
      </c>
    </row>
    <row r="2662" spans="1:11" hidden="1" x14ac:dyDescent="0.25">
      <c r="A2662" s="207"/>
      <c r="B2662" s="205"/>
      <c r="C2662" s="31"/>
      <c r="D2662" s="31"/>
      <c r="E2662" s="32"/>
      <c r="F2662" s="42" t="s">
        <v>514</v>
      </c>
      <c r="G2662" s="33" t="str">
        <f t="shared" si="46"/>
        <v/>
      </c>
      <c r="H2662" s="34"/>
      <c r="I2662" s="30"/>
      <c r="J2662" s="148">
        <v>0</v>
      </c>
      <c r="K2662" s="222">
        <v>0</v>
      </c>
    </row>
    <row r="2663" spans="1:11" hidden="1" x14ac:dyDescent="0.25">
      <c r="A2663" s="207"/>
      <c r="B2663" s="205"/>
      <c r="C2663" s="35" t="s">
        <v>775</v>
      </c>
      <c r="D2663" s="46" t="s">
        <v>12</v>
      </c>
      <c r="E2663" s="36">
        <f>ROUND(220/(1+110.14%),4)</f>
        <v>104.6921</v>
      </c>
      <c r="F2663" s="30">
        <v>29.545000000000002</v>
      </c>
      <c r="G2663" s="33">
        <f t="shared" si="46"/>
        <v>3093.1280944999999</v>
      </c>
      <c r="H2663" s="38">
        <f>SUM(G2663:G2663)</f>
        <v>3093.1280944999999</v>
      </c>
      <c r="I2663" s="39"/>
      <c r="J2663" s="148">
        <v>0</v>
      </c>
      <c r="K2663" s="222">
        <v>0</v>
      </c>
    </row>
    <row r="2664" spans="1:11" hidden="1" x14ac:dyDescent="0.25">
      <c r="A2664" s="207"/>
      <c r="B2664" s="205"/>
      <c r="C2664" s="35"/>
      <c r="D2664" s="46"/>
      <c r="E2664" s="36"/>
      <c r="F2664" s="30" t="s">
        <v>514</v>
      </c>
      <c r="G2664" s="33" t="str">
        <f t="shared" si="46"/>
        <v/>
      </c>
      <c r="H2664" s="38"/>
      <c r="I2664" s="39"/>
      <c r="J2664" s="148">
        <v>0</v>
      </c>
      <c r="K2664" s="222">
        <v>0</v>
      </c>
    </row>
    <row r="2665" spans="1:11" ht="25.5" hidden="1" x14ac:dyDescent="0.25">
      <c r="A2665" s="207"/>
      <c r="B2665" s="205"/>
      <c r="C2665" s="47" t="s">
        <v>773</v>
      </c>
      <c r="D2665" s="46"/>
      <c r="E2665" s="36"/>
      <c r="F2665" s="30" t="s">
        <v>514</v>
      </c>
      <c r="G2665" s="33" t="str">
        <f t="shared" si="46"/>
        <v/>
      </c>
      <c r="H2665" s="38"/>
      <c r="I2665" s="39"/>
      <c r="J2665" s="148">
        <v>0</v>
      </c>
      <c r="K2665" s="222">
        <v>0</v>
      </c>
    </row>
    <row r="2666" spans="1:11" ht="15.75" hidden="1" thickBot="1" x14ac:dyDescent="0.3">
      <c r="A2666" s="208"/>
      <c r="B2666" s="206"/>
      <c r="C2666" s="35"/>
      <c r="D2666" s="35"/>
      <c r="E2666" s="36"/>
      <c r="F2666" s="30" t="s">
        <v>514</v>
      </c>
      <c r="G2666" s="33" t="str">
        <f t="shared" si="46"/>
        <v/>
      </c>
      <c r="H2666" s="34"/>
      <c r="I2666" s="30"/>
      <c r="J2666" s="148">
        <v>0</v>
      </c>
      <c r="K2666" s="222">
        <v>0</v>
      </c>
    </row>
    <row r="2667" spans="1:11" ht="15.75" hidden="1" thickBot="1" x14ac:dyDescent="0.3">
      <c r="A2667" s="202" t="s">
        <v>776</v>
      </c>
      <c r="B2667" s="204" t="str">
        <f>INDEX(Orçamentária!A:B,MATCH(Composições!A2667,Orçamentária!A:A,0),2)</f>
        <v>Ajudante de Serviços Gerais</v>
      </c>
      <c r="C2667" s="40"/>
      <c r="D2667" s="25" t="str">
        <f>TRIM(INDEX(Orçamentária!C:C,MATCH(Composições!A2667,Orçamentária!A:A,0),1))</f>
        <v>Profissional</v>
      </c>
      <c r="E2667" s="26"/>
      <c r="F2667" s="41" t="s">
        <v>514</v>
      </c>
      <c r="G2667" s="27" t="str">
        <f t="shared" si="46"/>
        <v/>
      </c>
      <c r="H2667" s="28"/>
      <c r="I2667" s="29"/>
      <c r="J2667" s="148">
        <v>0</v>
      </c>
      <c r="K2667" s="222">
        <v>0</v>
      </c>
    </row>
    <row r="2668" spans="1:11" hidden="1" x14ac:dyDescent="0.25">
      <c r="A2668" s="203"/>
      <c r="B2668" s="205"/>
      <c r="C2668" s="31"/>
      <c r="D2668" s="31"/>
      <c r="E2668" s="32"/>
      <c r="F2668" s="42" t="s">
        <v>514</v>
      </c>
      <c r="G2668" s="33" t="str">
        <f t="shared" si="46"/>
        <v/>
      </c>
      <c r="H2668" s="34"/>
      <c r="I2668" s="30"/>
      <c r="J2668" s="148">
        <v>0</v>
      </c>
      <c r="K2668" s="222">
        <v>0</v>
      </c>
    </row>
    <row r="2669" spans="1:11" hidden="1" x14ac:dyDescent="0.25">
      <c r="A2669" s="203"/>
      <c r="B2669" s="205"/>
      <c r="C2669" s="35" t="s">
        <v>696</v>
      </c>
      <c r="D2669" s="46" t="s">
        <v>12</v>
      </c>
      <c r="E2669" s="36">
        <f>ROUND(220/(1+110.14%),4)</f>
        <v>104.6921</v>
      </c>
      <c r="F2669" s="30">
        <v>18.420500000000001</v>
      </c>
      <c r="G2669" s="33">
        <f t="shared" si="46"/>
        <v>1928.4808280499999</v>
      </c>
      <c r="H2669" s="38">
        <f>SUM(G2669:G2669)</f>
        <v>1928.4808280499999</v>
      </c>
      <c r="I2669" s="39"/>
      <c r="J2669" s="148">
        <v>0</v>
      </c>
      <c r="K2669" s="222">
        <v>0</v>
      </c>
    </row>
    <row r="2670" spans="1:11" hidden="1" x14ac:dyDescent="0.25">
      <c r="A2670" s="203"/>
      <c r="B2670" s="205"/>
      <c r="C2670" s="35"/>
      <c r="D2670" s="46"/>
      <c r="E2670" s="36"/>
      <c r="F2670" s="30" t="s">
        <v>514</v>
      </c>
      <c r="G2670" s="33" t="str">
        <f t="shared" si="46"/>
        <v/>
      </c>
      <c r="H2670" s="38"/>
      <c r="I2670" s="39"/>
      <c r="J2670" s="148">
        <v>0</v>
      </c>
      <c r="K2670" s="222">
        <v>0</v>
      </c>
    </row>
    <row r="2671" spans="1:11" ht="25.5" hidden="1" x14ac:dyDescent="0.25">
      <c r="A2671" s="203"/>
      <c r="B2671" s="205"/>
      <c r="C2671" s="47" t="s">
        <v>773</v>
      </c>
      <c r="D2671" s="46"/>
      <c r="E2671" s="36"/>
      <c r="F2671" s="30" t="s">
        <v>514</v>
      </c>
      <c r="G2671" s="33" t="str">
        <f t="shared" si="46"/>
        <v/>
      </c>
      <c r="H2671" s="38"/>
      <c r="I2671" s="39"/>
      <c r="J2671" s="148">
        <v>0</v>
      </c>
      <c r="K2671" s="222">
        <v>0</v>
      </c>
    </row>
    <row r="2672" spans="1:11" ht="15.75" hidden="1" thickBot="1" x14ac:dyDescent="0.3">
      <c r="A2672" s="209"/>
      <c r="B2672" s="206"/>
      <c r="C2672" s="35"/>
      <c r="D2672" s="35"/>
      <c r="E2672" s="36"/>
      <c r="F2672" s="30" t="s">
        <v>514</v>
      </c>
      <c r="G2672" s="33" t="str">
        <f t="shared" si="46"/>
        <v/>
      </c>
      <c r="H2672" s="34"/>
      <c r="I2672" s="30"/>
      <c r="J2672" s="148">
        <v>0</v>
      </c>
      <c r="K2672" s="222">
        <v>0</v>
      </c>
    </row>
    <row r="2673" spans="1:11" ht="15.75" hidden="1" thickBot="1" x14ac:dyDescent="0.3">
      <c r="A2673" s="202" t="s">
        <v>777</v>
      </c>
      <c r="B2673" s="204" t="str">
        <f>INDEX(Orçamentária!A:B,MATCH(Composições!A2673,Orçamentária!A:A,0),2)</f>
        <v>Ajudante de Marceneiro(a)</v>
      </c>
      <c r="C2673" s="40"/>
      <c r="D2673" s="25" t="str">
        <f>TRIM(INDEX(Orçamentária!C:C,MATCH(Composições!A2673,Orçamentária!A:A,0),1))</f>
        <v>Profissional</v>
      </c>
      <c r="E2673" s="26"/>
      <c r="F2673" s="41" t="s">
        <v>514</v>
      </c>
      <c r="G2673" s="27" t="str">
        <f t="shared" si="46"/>
        <v/>
      </c>
      <c r="H2673" s="28"/>
      <c r="I2673" s="29"/>
      <c r="J2673" s="148">
        <v>0</v>
      </c>
      <c r="K2673" s="222">
        <v>0</v>
      </c>
    </row>
    <row r="2674" spans="1:11" hidden="1" x14ac:dyDescent="0.25">
      <c r="A2674" s="203"/>
      <c r="B2674" s="205"/>
      <c r="C2674" s="31"/>
      <c r="D2674" s="31"/>
      <c r="E2674" s="32"/>
      <c r="F2674" s="42" t="s">
        <v>514</v>
      </c>
      <c r="G2674" s="33" t="str">
        <f t="shared" si="46"/>
        <v/>
      </c>
      <c r="H2674" s="34"/>
      <c r="I2674" s="30"/>
      <c r="J2674" s="148">
        <v>0</v>
      </c>
      <c r="K2674" s="222">
        <v>0</v>
      </c>
    </row>
    <row r="2675" spans="1:11" hidden="1" x14ac:dyDescent="0.25">
      <c r="A2675" s="203"/>
      <c r="B2675" s="205"/>
      <c r="C2675" s="35" t="s">
        <v>778</v>
      </c>
      <c r="D2675" s="46" t="s">
        <v>12</v>
      </c>
      <c r="E2675" s="36">
        <f>ROUND(220/(1+110.14%),4)</f>
        <v>104.6921</v>
      </c>
      <c r="F2675" s="30">
        <v>19.494</v>
      </c>
      <c r="G2675" s="33">
        <f t="shared" si="46"/>
        <v>2040.8677974</v>
      </c>
      <c r="H2675" s="38">
        <f>SUM(G2675:G2675)</f>
        <v>2040.8677974</v>
      </c>
      <c r="I2675" s="39"/>
      <c r="J2675" s="148">
        <v>0</v>
      </c>
      <c r="K2675" s="222">
        <v>0</v>
      </c>
    </row>
    <row r="2676" spans="1:11" hidden="1" x14ac:dyDescent="0.25">
      <c r="A2676" s="203"/>
      <c r="B2676" s="205"/>
      <c r="C2676" s="35"/>
      <c r="D2676" s="46"/>
      <c r="E2676" s="36"/>
      <c r="F2676" s="30" t="s">
        <v>514</v>
      </c>
      <c r="G2676" s="33" t="str">
        <f t="shared" si="46"/>
        <v/>
      </c>
      <c r="H2676" s="38"/>
      <c r="I2676" s="39"/>
      <c r="J2676" s="148">
        <v>0</v>
      </c>
      <c r="K2676" s="222">
        <v>0</v>
      </c>
    </row>
    <row r="2677" spans="1:11" ht="25.5" hidden="1" x14ac:dyDescent="0.25">
      <c r="A2677" s="203"/>
      <c r="B2677" s="205"/>
      <c r="C2677" s="47" t="s">
        <v>773</v>
      </c>
      <c r="D2677" s="46"/>
      <c r="E2677" s="36"/>
      <c r="F2677" s="30" t="s">
        <v>514</v>
      </c>
      <c r="G2677" s="33" t="str">
        <f t="shared" si="46"/>
        <v/>
      </c>
      <c r="H2677" s="38"/>
      <c r="I2677" s="39"/>
      <c r="J2677" s="148">
        <v>0</v>
      </c>
      <c r="K2677" s="222">
        <v>0</v>
      </c>
    </row>
    <row r="2678" spans="1:11" ht="15.75" hidden="1" thickBot="1" x14ac:dyDescent="0.3">
      <c r="A2678" s="209"/>
      <c r="B2678" s="206"/>
      <c r="C2678" s="35"/>
      <c r="D2678" s="35"/>
      <c r="E2678" s="36"/>
      <c r="F2678" s="30" t="s">
        <v>514</v>
      </c>
      <c r="G2678" s="33" t="str">
        <f t="shared" si="46"/>
        <v/>
      </c>
      <c r="H2678" s="34"/>
      <c r="I2678" s="30"/>
      <c r="J2678" s="148">
        <v>0</v>
      </c>
      <c r="K2678" s="222">
        <v>0</v>
      </c>
    </row>
    <row r="2679" spans="1:11" ht="15.75" hidden="1" thickBot="1" x14ac:dyDescent="0.3">
      <c r="A2679" s="202" t="s">
        <v>779</v>
      </c>
      <c r="B2679" s="204" t="str">
        <f>INDEX(Orçamentária!A:B,MATCH(Composições!A2679,Orçamentária!A:A,0),2)</f>
        <v>Ajudante de Serralheiro(a)</v>
      </c>
      <c r="C2679" s="40"/>
      <c r="D2679" s="25" t="str">
        <f>TRIM(INDEX(Orçamentária!C:C,MATCH(Composições!A2679,Orçamentária!A:A,0),1))</f>
        <v>Profissional</v>
      </c>
      <c r="E2679" s="26"/>
      <c r="F2679" s="41" t="s">
        <v>514</v>
      </c>
      <c r="G2679" s="27" t="str">
        <f t="shared" si="46"/>
        <v/>
      </c>
      <c r="H2679" s="28"/>
      <c r="I2679" s="29"/>
      <c r="J2679" s="148">
        <v>0</v>
      </c>
      <c r="K2679" s="222">
        <v>0</v>
      </c>
    </row>
    <row r="2680" spans="1:11" hidden="1" x14ac:dyDescent="0.25">
      <c r="A2680" s="203"/>
      <c r="B2680" s="205"/>
      <c r="C2680" s="31"/>
      <c r="D2680" s="31"/>
      <c r="E2680" s="32"/>
      <c r="F2680" s="42" t="s">
        <v>514</v>
      </c>
      <c r="G2680" s="33" t="str">
        <f t="shared" si="46"/>
        <v/>
      </c>
      <c r="H2680" s="34"/>
      <c r="I2680" s="30"/>
      <c r="J2680" s="148">
        <v>0</v>
      </c>
      <c r="K2680" s="222">
        <v>0</v>
      </c>
    </row>
    <row r="2681" spans="1:11" hidden="1" x14ac:dyDescent="0.25">
      <c r="A2681" s="203"/>
      <c r="B2681" s="205"/>
      <c r="C2681" s="35" t="s">
        <v>780</v>
      </c>
      <c r="D2681" s="46" t="s">
        <v>12</v>
      </c>
      <c r="E2681" s="36">
        <f>ROUND(220/(1+110.14%),4)</f>
        <v>104.6921</v>
      </c>
      <c r="F2681" s="30">
        <v>19.588999999999999</v>
      </c>
      <c r="G2681" s="33">
        <f t="shared" si="46"/>
        <v>2050.8135468999999</v>
      </c>
      <c r="H2681" s="38">
        <f>SUM(G2681:G2681)</f>
        <v>2050.8135468999999</v>
      </c>
      <c r="I2681" s="39"/>
      <c r="J2681" s="148">
        <v>0</v>
      </c>
      <c r="K2681" s="222">
        <v>0</v>
      </c>
    </row>
    <row r="2682" spans="1:11" hidden="1" x14ac:dyDescent="0.25">
      <c r="A2682" s="203"/>
      <c r="B2682" s="205"/>
      <c r="C2682" s="35"/>
      <c r="D2682" s="46"/>
      <c r="E2682" s="36"/>
      <c r="F2682" s="30" t="s">
        <v>514</v>
      </c>
      <c r="G2682" s="33" t="str">
        <f t="shared" si="46"/>
        <v/>
      </c>
      <c r="H2682" s="38"/>
      <c r="I2682" s="39"/>
      <c r="J2682" s="148">
        <v>0</v>
      </c>
      <c r="K2682" s="222">
        <v>0</v>
      </c>
    </row>
    <row r="2683" spans="1:11" ht="25.5" hidden="1" x14ac:dyDescent="0.25">
      <c r="A2683" s="203"/>
      <c r="B2683" s="205"/>
      <c r="C2683" s="47" t="s">
        <v>773</v>
      </c>
      <c r="D2683" s="46"/>
      <c r="E2683" s="36"/>
      <c r="F2683" s="30" t="s">
        <v>514</v>
      </c>
      <c r="G2683" s="33" t="str">
        <f t="shared" si="46"/>
        <v/>
      </c>
      <c r="H2683" s="38"/>
      <c r="I2683" s="39"/>
      <c r="J2683" s="148">
        <v>0</v>
      </c>
      <c r="K2683" s="222">
        <v>0</v>
      </c>
    </row>
    <row r="2684" spans="1:11" ht="15.75" hidden="1" thickBot="1" x14ac:dyDescent="0.3">
      <c r="A2684" s="209"/>
      <c r="B2684" s="206"/>
      <c r="C2684" s="35"/>
      <c r="D2684" s="35"/>
      <c r="E2684" s="36"/>
      <c r="F2684" s="30" t="s">
        <v>514</v>
      </c>
      <c r="G2684" s="33" t="str">
        <f t="shared" si="46"/>
        <v/>
      </c>
      <c r="H2684" s="34"/>
      <c r="I2684" s="30"/>
      <c r="J2684" s="148">
        <v>0</v>
      </c>
      <c r="K2684" s="222">
        <v>0</v>
      </c>
    </row>
    <row r="2685" spans="1:11" ht="15.75" hidden="1" thickBot="1" x14ac:dyDescent="0.3">
      <c r="A2685" s="202" t="s">
        <v>781</v>
      </c>
      <c r="B2685" s="204" t="str">
        <f>INDEX(Orçamentária!A:B,MATCH(Composições!A2685,Orçamentária!A:A,0),2)</f>
        <v>Lustrador(a) de Móveis</v>
      </c>
      <c r="C2685" s="40"/>
      <c r="D2685" s="25" t="str">
        <f>TRIM(INDEX(Orçamentária!C:C,MATCH(Composições!A2685,Orçamentária!A:A,0),1))</f>
        <v>Profissional</v>
      </c>
      <c r="E2685" s="26"/>
      <c r="F2685" s="41" t="s">
        <v>514</v>
      </c>
      <c r="G2685" s="27" t="str">
        <f t="shared" ref="G2685:G2748" si="47">IF(ISNUMBER(F2685),E2685*F2685,"")</f>
        <v/>
      </c>
      <c r="H2685" s="28"/>
      <c r="I2685" s="29"/>
      <c r="J2685" s="148">
        <v>0</v>
      </c>
      <c r="K2685" s="222">
        <v>0</v>
      </c>
    </row>
    <row r="2686" spans="1:11" hidden="1" x14ac:dyDescent="0.25">
      <c r="A2686" s="203"/>
      <c r="B2686" s="205"/>
      <c r="C2686" s="31"/>
      <c r="D2686" s="31"/>
      <c r="E2686" s="32"/>
      <c r="F2686" s="42" t="s">
        <v>514</v>
      </c>
      <c r="G2686" s="33" t="str">
        <f t="shared" si="47"/>
        <v/>
      </c>
      <c r="H2686" s="34"/>
      <c r="I2686" s="30"/>
      <c r="J2686" s="148">
        <v>0</v>
      </c>
      <c r="K2686" s="222">
        <v>0</v>
      </c>
    </row>
    <row r="2687" spans="1:11" hidden="1" x14ac:dyDescent="0.25">
      <c r="A2687" s="203"/>
      <c r="B2687" s="205"/>
      <c r="C2687" s="35" t="s">
        <v>598</v>
      </c>
      <c r="D2687" s="46" t="s">
        <v>12</v>
      </c>
      <c r="E2687" s="36">
        <f>ROUND(220/(1+110.14%),4)</f>
        <v>104.6921</v>
      </c>
      <c r="F2687" s="30">
        <v>23.331999999999997</v>
      </c>
      <c r="G2687" s="33">
        <f t="shared" si="47"/>
        <v>2442.6760771999998</v>
      </c>
      <c r="H2687" s="38">
        <f>SUM(G2687:G2687)</f>
        <v>2442.6760771999998</v>
      </c>
      <c r="I2687" s="39"/>
      <c r="J2687" s="148">
        <v>0</v>
      </c>
      <c r="K2687" s="222">
        <v>0</v>
      </c>
    </row>
    <row r="2688" spans="1:11" hidden="1" x14ac:dyDescent="0.25">
      <c r="A2688" s="203"/>
      <c r="B2688" s="205"/>
      <c r="C2688" s="35"/>
      <c r="D2688" s="46"/>
      <c r="E2688" s="36"/>
      <c r="F2688" s="30" t="s">
        <v>514</v>
      </c>
      <c r="G2688" s="33" t="str">
        <f t="shared" si="47"/>
        <v/>
      </c>
      <c r="H2688" s="38"/>
      <c r="I2688" s="39"/>
      <c r="J2688" s="148">
        <v>0</v>
      </c>
      <c r="K2688" s="222">
        <v>0</v>
      </c>
    </row>
    <row r="2689" spans="1:11" ht="25.5" hidden="1" x14ac:dyDescent="0.25">
      <c r="A2689" s="203"/>
      <c r="B2689" s="205"/>
      <c r="C2689" s="47" t="s">
        <v>773</v>
      </c>
      <c r="D2689" s="46"/>
      <c r="E2689" s="36"/>
      <c r="F2689" s="30" t="s">
        <v>514</v>
      </c>
      <c r="G2689" s="33" t="str">
        <f t="shared" si="47"/>
        <v/>
      </c>
      <c r="H2689" s="38"/>
      <c r="I2689" s="39"/>
      <c r="J2689" s="148">
        <v>0</v>
      </c>
      <c r="K2689" s="222">
        <v>0</v>
      </c>
    </row>
    <row r="2690" spans="1:11" ht="15.75" hidden="1" thickBot="1" x14ac:dyDescent="0.3">
      <c r="A2690" s="209"/>
      <c r="B2690" s="206"/>
      <c r="C2690" s="35"/>
      <c r="D2690" s="35"/>
      <c r="E2690" s="36"/>
      <c r="F2690" s="30" t="s">
        <v>514</v>
      </c>
      <c r="G2690" s="33" t="str">
        <f t="shared" si="47"/>
        <v/>
      </c>
      <c r="H2690" s="34"/>
      <c r="I2690" s="30"/>
      <c r="J2690" s="148">
        <v>0</v>
      </c>
      <c r="K2690" s="222">
        <v>0</v>
      </c>
    </row>
    <row r="2691" spans="1:11" ht="15.75" hidden="1" thickBot="1" x14ac:dyDescent="0.3">
      <c r="A2691" s="202" t="s">
        <v>782</v>
      </c>
      <c r="B2691" s="204" t="str">
        <f>INDEX(Orçamentária!A:B,MATCH(Composições!A2691,Orçamentária!A:A,0),2)</f>
        <v>Marceneiro(a)</v>
      </c>
      <c r="C2691" s="40"/>
      <c r="D2691" s="25" t="str">
        <f>TRIM(INDEX(Orçamentária!C:C,MATCH(Composições!A2691,Orçamentária!A:A,0),1))</f>
        <v>Profissional</v>
      </c>
      <c r="E2691" s="26"/>
      <c r="F2691" s="41" t="s">
        <v>514</v>
      </c>
      <c r="G2691" s="27" t="str">
        <f t="shared" si="47"/>
        <v/>
      </c>
      <c r="H2691" s="28"/>
      <c r="I2691" s="29"/>
      <c r="J2691" s="148">
        <v>0</v>
      </c>
      <c r="K2691" s="222">
        <v>0</v>
      </c>
    </row>
    <row r="2692" spans="1:11" hidden="1" x14ac:dyDescent="0.25">
      <c r="A2692" s="203"/>
      <c r="B2692" s="205"/>
      <c r="C2692" s="31"/>
      <c r="D2692" s="31"/>
      <c r="E2692" s="32"/>
      <c r="F2692" s="42" t="s">
        <v>514</v>
      </c>
      <c r="G2692" s="33" t="str">
        <f t="shared" si="47"/>
        <v/>
      </c>
      <c r="H2692" s="34"/>
      <c r="I2692" s="30"/>
      <c r="J2692" s="148">
        <v>0</v>
      </c>
      <c r="K2692" s="222">
        <v>0</v>
      </c>
    </row>
    <row r="2693" spans="1:11" hidden="1" x14ac:dyDescent="0.25">
      <c r="A2693" s="203"/>
      <c r="B2693" s="205"/>
      <c r="C2693" s="35" t="s">
        <v>598</v>
      </c>
      <c r="D2693" s="46" t="s">
        <v>12</v>
      </c>
      <c r="E2693" s="36">
        <f>ROUND(220/(1+110.14%),4)</f>
        <v>104.6921</v>
      </c>
      <c r="F2693" s="30">
        <v>23.331999999999997</v>
      </c>
      <c r="G2693" s="33">
        <f t="shared" si="47"/>
        <v>2442.6760771999998</v>
      </c>
      <c r="H2693" s="38">
        <f>SUM(G2693:G2693)</f>
        <v>2442.6760771999998</v>
      </c>
      <c r="I2693" s="39"/>
      <c r="J2693" s="148">
        <v>0</v>
      </c>
      <c r="K2693" s="222">
        <v>0</v>
      </c>
    </row>
    <row r="2694" spans="1:11" hidden="1" x14ac:dyDescent="0.25">
      <c r="A2694" s="203"/>
      <c r="B2694" s="205"/>
      <c r="C2694" s="35"/>
      <c r="D2694" s="46"/>
      <c r="E2694" s="36"/>
      <c r="F2694" s="30" t="s">
        <v>514</v>
      </c>
      <c r="G2694" s="33" t="str">
        <f t="shared" si="47"/>
        <v/>
      </c>
      <c r="H2694" s="38"/>
      <c r="I2694" s="39"/>
      <c r="J2694" s="148">
        <v>0</v>
      </c>
      <c r="K2694" s="222">
        <v>0</v>
      </c>
    </row>
    <row r="2695" spans="1:11" ht="25.5" hidden="1" x14ac:dyDescent="0.25">
      <c r="A2695" s="203"/>
      <c r="B2695" s="205"/>
      <c r="C2695" s="47" t="s">
        <v>773</v>
      </c>
      <c r="D2695" s="46"/>
      <c r="E2695" s="36"/>
      <c r="F2695" s="30" t="s">
        <v>514</v>
      </c>
      <c r="G2695" s="33" t="str">
        <f t="shared" si="47"/>
        <v/>
      </c>
      <c r="H2695" s="38"/>
      <c r="I2695" s="39"/>
      <c r="J2695" s="148">
        <v>0</v>
      </c>
      <c r="K2695" s="222">
        <v>0</v>
      </c>
    </row>
    <row r="2696" spans="1:11" ht="15.75" hidden="1" thickBot="1" x14ac:dyDescent="0.3">
      <c r="A2696" s="209"/>
      <c r="B2696" s="206"/>
      <c r="C2696" s="35"/>
      <c r="D2696" s="35"/>
      <c r="E2696" s="36"/>
      <c r="F2696" s="30" t="s">
        <v>514</v>
      </c>
      <c r="G2696" s="33" t="str">
        <f t="shared" si="47"/>
        <v/>
      </c>
      <c r="H2696" s="34"/>
      <c r="I2696" s="30"/>
      <c r="J2696" s="148">
        <v>0</v>
      </c>
      <c r="K2696" s="222">
        <v>0</v>
      </c>
    </row>
    <row r="2697" spans="1:11" ht="15.75" hidden="1" thickBot="1" x14ac:dyDescent="0.3">
      <c r="A2697" s="202" t="s">
        <v>783</v>
      </c>
      <c r="B2697" s="204" t="str">
        <f>INDEX(Orçamentária!A:B,MATCH(Composições!A2697,Orçamentária!A:A,0),2)</f>
        <v>Serralheiro(a)</v>
      </c>
      <c r="C2697" s="40"/>
      <c r="D2697" s="25" t="str">
        <f>TRIM(INDEX(Orçamentária!C:C,MATCH(Composições!A2697,Orçamentária!A:A,0),1))</f>
        <v>Profissional</v>
      </c>
      <c r="E2697" s="26"/>
      <c r="F2697" s="41" t="s">
        <v>514</v>
      </c>
      <c r="G2697" s="27" t="str">
        <f t="shared" si="47"/>
        <v/>
      </c>
      <c r="H2697" s="28"/>
      <c r="I2697" s="29"/>
      <c r="J2697" s="148">
        <v>0</v>
      </c>
      <c r="K2697" s="222">
        <v>0</v>
      </c>
    </row>
    <row r="2698" spans="1:11" hidden="1" x14ac:dyDescent="0.25">
      <c r="A2698" s="203"/>
      <c r="B2698" s="205"/>
      <c r="C2698" s="31"/>
      <c r="D2698" s="31"/>
      <c r="E2698" s="32"/>
      <c r="F2698" s="42" t="s">
        <v>514</v>
      </c>
      <c r="G2698" s="33" t="str">
        <f t="shared" si="47"/>
        <v/>
      </c>
      <c r="H2698" s="34"/>
      <c r="I2698" s="30"/>
      <c r="J2698" s="148">
        <v>0</v>
      </c>
      <c r="K2698" s="222">
        <v>0</v>
      </c>
    </row>
    <row r="2699" spans="1:11" hidden="1" x14ac:dyDescent="0.25">
      <c r="A2699" s="203"/>
      <c r="B2699" s="205"/>
      <c r="C2699" s="35" t="s">
        <v>608</v>
      </c>
      <c r="D2699" s="46" t="s">
        <v>12</v>
      </c>
      <c r="E2699" s="36">
        <f>ROUND(220/(1+110.14%),4)</f>
        <v>104.6921</v>
      </c>
      <c r="F2699" s="30">
        <v>24.747499999999999</v>
      </c>
      <c r="G2699" s="33">
        <f t="shared" si="47"/>
        <v>2590.8677447499999</v>
      </c>
      <c r="H2699" s="38">
        <f>SUM(G2699:G2699)</f>
        <v>2590.8677447499999</v>
      </c>
      <c r="I2699" s="39"/>
      <c r="J2699" s="148">
        <v>0</v>
      </c>
      <c r="K2699" s="222">
        <v>0</v>
      </c>
    </row>
    <row r="2700" spans="1:11" hidden="1" x14ac:dyDescent="0.25">
      <c r="A2700" s="203"/>
      <c r="B2700" s="205"/>
      <c r="C2700" s="35"/>
      <c r="D2700" s="46"/>
      <c r="E2700" s="36"/>
      <c r="F2700" s="30" t="s">
        <v>514</v>
      </c>
      <c r="G2700" s="33" t="str">
        <f t="shared" si="47"/>
        <v/>
      </c>
      <c r="H2700" s="38"/>
      <c r="I2700" s="39"/>
      <c r="J2700" s="148">
        <v>0</v>
      </c>
      <c r="K2700" s="222">
        <v>0</v>
      </c>
    </row>
    <row r="2701" spans="1:11" ht="25.5" hidden="1" x14ac:dyDescent="0.25">
      <c r="A2701" s="203"/>
      <c r="B2701" s="205"/>
      <c r="C2701" s="47" t="s">
        <v>773</v>
      </c>
      <c r="D2701" s="46"/>
      <c r="E2701" s="36"/>
      <c r="F2701" s="30" t="s">
        <v>514</v>
      </c>
      <c r="G2701" s="33" t="str">
        <f t="shared" si="47"/>
        <v/>
      </c>
      <c r="H2701" s="38"/>
      <c r="I2701" s="39"/>
      <c r="J2701" s="148">
        <v>0</v>
      </c>
      <c r="K2701" s="222">
        <v>0</v>
      </c>
    </row>
    <row r="2702" spans="1:11" ht="15.75" hidden="1" thickBot="1" x14ac:dyDescent="0.3">
      <c r="A2702" s="209"/>
      <c r="B2702" s="206"/>
      <c r="C2702" s="35"/>
      <c r="D2702" s="35"/>
      <c r="E2702" s="36"/>
      <c r="F2702" s="30" t="s">
        <v>514</v>
      </c>
      <c r="G2702" s="33" t="str">
        <f t="shared" si="47"/>
        <v/>
      </c>
      <c r="H2702" s="34"/>
      <c r="I2702" s="30"/>
      <c r="J2702" s="148">
        <v>0</v>
      </c>
      <c r="K2702" s="222">
        <v>0</v>
      </c>
    </row>
    <row r="2703" spans="1:11" ht="15.75" hidden="1" thickBot="1" x14ac:dyDescent="0.3">
      <c r="A2703" s="202" t="s">
        <v>784</v>
      </c>
      <c r="B2703" s="204" t="str">
        <f>INDEX(Orçamentária!A:B,MATCH(Composições!A2703,Orçamentária!A:A,0),2)</f>
        <v>Mestre de Obras (Posto de Trabalho)</v>
      </c>
      <c r="C2703" s="40"/>
      <c r="D2703" s="25" t="str">
        <f>TRIM(INDEX(Orçamentária!C:C,MATCH(Composições!A2703,Orçamentária!A:A,0),1))</f>
        <v>Profissional</v>
      </c>
      <c r="E2703" s="26"/>
      <c r="F2703" s="41" t="s">
        <v>514</v>
      </c>
      <c r="G2703" s="27" t="str">
        <f t="shared" si="47"/>
        <v/>
      </c>
      <c r="H2703" s="28"/>
      <c r="I2703" s="29"/>
      <c r="J2703" s="148">
        <v>0</v>
      </c>
      <c r="K2703" s="222">
        <v>0</v>
      </c>
    </row>
    <row r="2704" spans="1:11" hidden="1" x14ac:dyDescent="0.25">
      <c r="A2704" s="203"/>
      <c r="B2704" s="205"/>
      <c r="C2704" s="31"/>
      <c r="D2704" s="31"/>
      <c r="E2704" s="32"/>
      <c r="F2704" s="42" t="s">
        <v>514</v>
      </c>
      <c r="G2704" s="33" t="str">
        <f t="shared" si="47"/>
        <v/>
      </c>
      <c r="H2704" s="34"/>
      <c r="I2704" s="30"/>
      <c r="J2704" s="148">
        <v>0</v>
      </c>
      <c r="K2704" s="222">
        <v>0</v>
      </c>
    </row>
    <row r="2705" spans="1:11" hidden="1" x14ac:dyDescent="0.25">
      <c r="A2705" s="203"/>
      <c r="B2705" s="205"/>
      <c r="C2705" s="35" t="s">
        <v>14</v>
      </c>
      <c r="D2705" s="46" t="s">
        <v>12</v>
      </c>
      <c r="E2705" s="36">
        <f>ROUND(220/(1+110.14%),4)</f>
        <v>104.6921</v>
      </c>
      <c r="F2705" s="30">
        <v>41.495999999999995</v>
      </c>
      <c r="G2705" s="33">
        <f t="shared" si="47"/>
        <v>4344.3033815999997</v>
      </c>
      <c r="H2705" s="38">
        <f>SUM(G2705:G2705)</f>
        <v>4344.3033815999997</v>
      </c>
      <c r="I2705" s="39"/>
      <c r="J2705" s="148">
        <v>0</v>
      </c>
      <c r="K2705" s="222">
        <v>0</v>
      </c>
    </row>
    <row r="2706" spans="1:11" hidden="1" x14ac:dyDescent="0.25">
      <c r="A2706" s="203"/>
      <c r="B2706" s="205"/>
      <c r="C2706" s="35"/>
      <c r="D2706" s="46"/>
      <c r="E2706" s="36"/>
      <c r="F2706" s="30" t="s">
        <v>514</v>
      </c>
      <c r="G2706" s="33" t="str">
        <f t="shared" si="47"/>
        <v/>
      </c>
      <c r="H2706" s="38"/>
      <c r="I2706" s="39"/>
      <c r="J2706" s="148">
        <v>0</v>
      </c>
      <c r="K2706" s="222">
        <v>0</v>
      </c>
    </row>
    <row r="2707" spans="1:11" ht="25.5" hidden="1" x14ac:dyDescent="0.25">
      <c r="A2707" s="203"/>
      <c r="B2707" s="205"/>
      <c r="C2707" s="47" t="s">
        <v>773</v>
      </c>
      <c r="D2707" s="46"/>
      <c r="E2707" s="36"/>
      <c r="F2707" s="30" t="s">
        <v>514</v>
      </c>
      <c r="G2707" s="33" t="str">
        <f t="shared" si="47"/>
        <v/>
      </c>
      <c r="H2707" s="38"/>
      <c r="I2707" s="39"/>
      <c r="J2707" s="148">
        <v>0</v>
      </c>
      <c r="K2707" s="222">
        <v>0</v>
      </c>
    </row>
    <row r="2708" spans="1:11" ht="15.75" hidden="1" thickBot="1" x14ac:dyDescent="0.3">
      <c r="A2708" s="209"/>
      <c r="B2708" s="206"/>
      <c r="C2708" s="35"/>
      <c r="D2708" s="35"/>
      <c r="E2708" s="36"/>
      <c r="F2708" s="30" t="s">
        <v>514</v>
      </c>
      <c r="G2708" s="33" t="str">
        <f t="shared" si="47"/>
        <v/>
      </c>
      <c r="H2708" s="34"/>
      <c r="I2708" s="30"/>
      <c r="J2708" s="148">
        <v>0</v>
      </c>
      <c r="K2708" s="222">
        <v>0</v>
      </c>
    </row>
    <row r="2709" spans="1:11" ht="15.75" hidden="1" thickBot="1" x14ac:dyDescent="0.3">
      <c r="A2709" s="202" t="s">
        <v>785</v>
      </c>
      <c r="B2709" s="204" t="str">
        <f>INDEX(Orçamentária!A:B,MATCH(Composições!A2709,Orçamentária!A:A,0),2)</f>
        <v>Oficial de Serviços Gerais</v>
      </c>
      <c r="C2709" s="40"/>
      <c r="D2709" s="25" t="str">
        <f>TRIM(INDEX(Orçamentária!C:C,MATCH(Composições!A2709,Orçamentária!A:A,0),1))</f>
        <v>Profissional</v>
      </c>
      <c r="E2709" s="26"/>
      <c r="F2709" s="41" t="s">
        <v>514</v>
      </c>
      <c r="G2709" s="27" t="str">
        <f t="shared" si="47"/>
        <v/>
      </c>
      <c r="H2709" s="28"/>
      <c r="I2709" s="29"/>
      <c r="J2709" s="148">
        <v>0</v>
      </c>
      <c r="K2709" s="222">
        <v>0</v>
      </c>
    </row>
    <row r="2710" spans="1:11" hidden="1" x14ac:dyDescent="0.25">
      <c r="A2710" s="203"/>
      <c r="B2710" s="205"/>
      <c r="C2710" s="31"/>
      <c r="D2710" s="31"/>
      <c r="E2710" s="32"/>
      <c r="F2710" s="42" t="s">
        <v>514</v>
      </c>
      <c r="G2710" s="33" t="str">
        <f t="shared" si="47"/>
        <v/>
      </c>
      <c r="H2710" s="34"/>
      <c r="I2710" s="30"/>
      <c r="J2710" s="148">
        <v>0</v>
      </c>
      <c r="K2710" s="222">
        <v>0</v>
      </c>
    </row>
    <row r="2711" spans="1:11" hidden="1" x14ac:dyDescent="0.25">
      <c r="A2711" s="203"/>
      <c r="B2711" s="205"/>
      <c r="C2711" s="35" t="s">
        <v>703</v>
      </c>
      <c r="D2711" s="46" t="s">
        <v>12</v>
      </c>
      <c r="E2711" s="36">
        <f>ROUND(220/(1+110.14%),4)</f>
        <v>104.6921</v>
      </c>
      <c r="F2711" s="30">
        <v>24.889999999999997</v>
      </c>
      <c r="G2711" s="33">
        <f t="shared" si="47"/>
        <v>2605.7863689999995</v>
      </c>
      <c r="H2711" s="38">
        <f>SUM(G2711:G2711)</f>
        <v>2605.7863689999995</v>
      </c>
      <c r="I2711" s="39"/>
      <c r="J2711" s="148">
        <v>0</v>
      </c>
      <c r="K2711" s="222">
        <v>0</v>
      </c>
    </row>
    <row r="2712" spans="1:11" hidden="1" x14ac:dyDescent="0.25">
      <c r="A2712" s="203"/>
      <c r="B2712" s="205"/>
      <c r="C2712" s="35"/>
      <c r="D2712" s="46"/>
      <c r="E2712" s="36"/>
      <c r="F2712" s="30" t="s">
        <v>514</v>
      </c>
      <c r="G2712" s="33" t="str">
        <f t="shared" si="47"/>
        <v/>
      </c>
      <c r="H2712" s="38"/>
      <c r="I2712" s="39"/>
      <c r="J2712" s="148">
        <v>0</v>
      </c>
      <c r="K2712" s="222">
        <v>0</v>
      </c>
    </row>
    <row r="2713" spans="1:11" ht="25.5" hidden="1" x14ac:dyDescent="0.25">
      <c r="A2713" s="203"/>
      <c r="B2713" s="205"/>
      <c r="C2713" s="47" t="s">
        <v>773</v>
      </c>
      <c r="D2713" s="46"/>
      <c r="E2713" s="36"/>
      <c r="F2713" s="30" t="s">
        <v>514</v>
      </c>
      <c r="G2713" s="33" t="str">
        <f t="shared" si="47"/>
        <v/>
      </c>
      <c r="H2713" s="38"/>
      <c r="I2713" s="39"/>
      <c r="J2713" s="148">
        <v>0</v>
      </c>
      <c r="K2713" s="222">
        <v>0</v>
      </c>
    </row>
    <row r="2714" spans="1:11" ht="15.75" hidden="1" thickBot="1" x14ac:dyDescent="0.3">
      <c r="A2714" s="209"/>
      <c r="B2714" s="206"/>
      <c r="C2714" s="35"/>
      <c r="D2714" s="35"/>
      <c r="E2714" s="36"/>
      <c r="F2714" s="30" t="s">
        <v>514</v>
      </c>
      <c r="G2714" s="33" t="str">
        <f t="shared" si="47"/>
        <v/>
      </c>
      <c r="H2714" s="34"/>
      <c r="I2714" s="30"/>
      <c r="J2714" s="148">
        <v>0</v>
      </c>
      <c r="K2714" s="222">
        <v>0</v>
      </c>
    </row>
    <row r="2715" spans="1:11" ht="15.75" hidden="1" thickBot="1" x14ac:dyDescent="0.3">
      <c r="A2715" s="202" t="s">
        <v>2454</v>
      </c>
      <c r="B2715" s="204" t="str">
        <f>INDEX(Orçamentária!A:B,MATCH(Composições!A2715,Orçamentária!A:A,0),2)</f>
        <v>Alicate  de corte diagonal 6''</v>
      </c>
      <c r="C2715" s="40"/>
      <c r="D2715" s="25" t="str">
        <f>TRIM(INDEX(Orçamentária!C:C,MATCH(Composições!A2715,Orçamentária!A:A,0),1))</f>
        <v>un</v>
      </c>
      <c r="E2715" s="26"/>
      <c r="F2715" s="48" t="s">
        <v>514</v>
      </c>
      <c r="G2715" s="27" t="str">
        <f t="shared" si="47"/>
        <v/>
      </c>
      <c r="H2715" s="28"/>
      <c r="I2715" s="29"/>
      <c r="J2715" s="148">
        <v>0</v>
      </c>
      <c r="K2715" s="222">
        <v>0</v>
      </c>
    </row>
    <row r="2716" spans="1:11" hidden="1" x14ac:dyDescent="0.25">
      <c r="A2716" s="207"/>
      <c r="B2716" s="205"/>
      <c r="C2716" s="31"/>
      <c r="D2716" s="31"/>
      <c r="E2716" s="32"/>
      <c r="F2716" s="53" t="s">
        <v>514</v>
      </c>
      <c r="G2716" s="53" t="str">
        <f t="shared" si="47"/>
        <v/>
      </c>
      <c r="H2716" s="72"/>
      <c r="I2716" s="73"/>
      <c r="J2716" s="148">
        <v>0</v>
      </c>
      <c r="K2716" s="222">
        <v>0</v>
      </c>
    </row>
    <row r="2717" spans="1:11" hidden="1" x14ac:dyDescent="0.25">
      <c r="A2717" s="207"/>
      <c r="B2717" s="205"/>
      <c r="C2717" s="35" t="s">
        <v>7605</v>
      </c>
      <c r="D2717" s="35" t="s">
        <v>20</v>
      </c>
      <c r="E2717" s="36">
        <v>1</v>
      </c>
      <c r="F2717" s="30">
        <v>47.823</v>
      </c>
      <c r="G2717" s="53">
        <f t="shared" si="47"/>
        <v>47.823</v>
      </c>
      <c r="H2717" s="38">
        <f>SUM(G2717:G2717)</f>
        <v>47.823</v>
      </c>
      <c r="I2717" s="39"/>
      <c r="J2717" s="148">
        <v>0</v>
      </c>
      <c r="K2717" s="222">
        <v>0</v>
      </c>
    </row>
    <row r="2718" spans="1:11" ht="15.75" hidden="1" thickBot="1" x14ac:dyDescent="0.3">
      <c r="A2718" s="208"/>
      <c r="B2718" s="206"/>
      <c r="C2718" s="54"/>
      <c r="D2718" s="150"/>
      <c r="E2718" s="65"/>
      <c r="F2718" s="75" t="s">
        <v>514</v>
      </c>
      <c r="G2718" s="75" t="str">
        <f t="shared" si="47"/>
        <v/>
      </c>
      <c r="H2718" s="76"/>
      <c r="I2718" s="73"/>
      <c r="J2718" s="148">
        <v>0</v>
      </c>
      <c r="K2718" s="222">
        <v>0</v>
      </c>
    </row>
    <row r="2719" spans="1:11" ht="15.75" hidden="1" thickBot="1" x14ac:dyDescent="0.3">
      <c r="A2719" s="202" t="s">
        <v>2472</v>
      </c>
      <c r="B2719" s="204" t="str">
        <f>INDEX(Orçamentária!A:B,MATCH(Composições!A2719,Orçamentária!A:A,0),2)</f>
        <v>Carrinho de mão reforçado</v>
      </c>
      <c r="C2719" s="40"/>
      <c r="D2719" s="25" t="str">
        <f>TRIM(INDEX(Orçamentária!C:C,MATCH(Composições!A2719,Orçamentária!A:A,0),1))</f>
        <v>un</v>
      </c>
      <c r="E2719" s="26"/>
      <c r="F2719" s="48" t="s">
        <v>514</v>
      </c>
      <c r="G2719" s="27" t="str">
        <f t="shared" si="47"/>
        <v/>
      </c>
      <c r="H2719" s="28"/>
      <c r="I2719" s="29"/>
      <c r="J2719" s="148">
        <v>0</v>
      </c>
      <c r="K2719" s="222">
        <v>0</v>
      </c>
    </row>
    <row r="2720" spans="1:11" hidden="1" x14ac:dyDescent="0.25">
      <c r="A2720" s="207"/>
      <c r="B2720" s="205"/>
      <c r="C2720" s="31"/>
      <c r="D2720" s="31"/>
      <c r="E2720" s="32"/>
      <c r="F2720" s="53" t="s">
        <v>514</v>
      </c>
      <c r="G2720" s="53" t="str">
        <f t="shared" si="47"/>
        <v/>
      </c>
      <c r="H2720" s="72"/>
      <c r="I2720" s="73"/>
      <c r="J2720" s="148">
        <v>0</v>
      </c>
      <c r="K2720" s="222">
        <v>0</v>
      </c>
    </row>
    <row r="2721" spans="1:11" ht="25.5" hidden="1" x14ac:dyDescent="0.25">
      <c r="A2721" s="207"/>
      <c r="B2721" s="205"/>
      <c r="C2721" s="35" t="s">
        <v>7626</v>
      </c>
      <c r="D2721" s="35" t="s">
        <v>20</v>
      </c>
      <c r="E2721" s="36">
        <v>1</v>
      </c>
      <c r="F2721" s="30">
        <v>245.1</v>
      </c>
      <c r="G2721" s="53">
        <f t="shared" si="47"/>
        <v>245.1</v>
      </c>
      <c r="H2721" s="38">
        <f>SUM(G2721:G2721)</f>
        <v>245.1</v>
      </c>
      <c r="I2721" s="39"/>
      <c r="J2721" s="148">
        <v>0</v>
      </c>
      <c r="K2721" s="222">
        <v>0</v>
      </c>
    </row>
    <row r="2722" spans="1:11" ht="15.75" hidden="1" thickBot="1" x14ac:dyDescent="0.3">
      <c r="A2722" s="208"/>
      <c r="B2722" s="206"/>
      <c r="C2722" s="54"/>
      <c r="D2722" s="150"/>
      <c r="E2722" s="65"/>
      <c r="F2722" s="75" t="s">
        <v>514</v>
      </c>
      <c r="G2722" s="75" t="str">
        <f t="shared" si="47"/>
        <v/>
      </c>
      <c r="H2722" s="76"/>
      <c r="I2722" s="73"/>
      <c r="J2722" s="148">
        <v>0</v>
      </c>
      <c r="K2722" s="222">
        <v>0</v>
      </c>
    </row>
    <row r="2723" spans="1:11" ht="15.75" hidden="1" thickBot="1" x14ac:dyDescent="0.3">
      <c r="A2723" s="202" t="s">
        <v>2488</v>
      </c>
      <c r="B2723" s="204" t="str">
        <f>INDEX(Orçamentária!A:B,MATCH(Composições!A2723,Orçamentária!A:A,0),2)</f>
        <v>Enxadão estreito com cabo</v>
      </c>
      <c r="C2723" s="40"/>
      <c r="D2723" s="25" t="str">
        <f>TRIM(INDEX(Orçamentária!C:C,MATCH(Composições!A2723,Orçamentária!A:A,0),1))</f>
        <v>un</v>
      </c>
      <c r="E2723" s="26"/>
      <c r="F2723" s="48" t="s">
        <v>514</v>
      </c>
      <c r="G2723" s="27" t="str">
        <f t="shared" si="47"/>
        <v/>
      </c>
      <c r="H2723" s="28"/>
      <c r="I2723" s="29"/>
      <c r="J2723" s="148">
        <v>0</v>
      </c>
      <c r="K2723" s="222">
        <v>0</v>
      </c>
    </row>
    <row r="2724" spans="1:11" hidden="1" x14ac:dyDescent="0.25">
      <c r="A2724" s="207"/>
      <c r="B2724" s="205"/>
      <c r="C2724" s="31"/>
      <c r="D2724" s="31"/>
      <c r="E2724" s="32"/>
      <c r="F2724" s="53" t="s">
        <v>514</v>
      </c>
      <c r="G2724" s="53" t="str">
        <f t="shared" si="47"/>
        <v/>
      </c>
      <c r="H2724" s="72"/>
      <c r="I2724" s="73"/>
      <c r="J2724" s="148">
        <v>0</v>
      </c>
      <c r="K2724" s="222">
        <v>0</v>
      </c>
    </row>
    <row r="2725" spans="1:11" hidden="1" x14ac:dyDescent="0.25">
      <c r="A2725" s="207"/>
      <c r="B2725" s="205"/>
      <c r="C2725" s="35" t="s">
        <v>7639</v>
      </c>
      <c r="D2725" s="35" t="s">
        <v>20</v>
      </c>
      <c r="E2725" s="36">
        <v>1</v>
      </c>
      <c r="F2725" s="30">
        <v>60.714499999999994</v>
      </c>
      <c r="G2725" s="53">
        <f t="shared" si="47"/>
        <v>60.714499999999994</v>
      </c>
      <c r="H2725" s="38">
        <f>SUM(G2725:G2725)</f>
        <v>60.714499999999994</v>
      </c>
      <c r="I2725" s="39"/>
      <c r="J2725" s="148">
        <v>0</v>
      </c>
      <c r="K2725" s="222">
        <v>0</v>
      </c>
    </row>
    <row r="2726" spans="1:11" ht="15.75" hidden="1" thickBot="1" x14ac:dyDescent="0.3">
      <c r="A2726" s="208"/>
      <c r="B2726" s="206"/>
      <c r="C2726" s="54"/>
      <c r="D2726" s="150"/>
      <c r="E2726" s="65"/>
      <c r="F2726" s="75" t="s">
        <v>514</v>
      </c>
      <c r="G2726" s="75" t="str">
        <f t="shared" si="47"/>
        <v/>
      </c>
      <c r="H2726" s="76"/>
      <c r="I2726" s="73"/>
      <c r="J2726" s="148">
        <v>0</v>
      </c>
      <c r="K2726" s="222">
        <v>0</v>
      </c>
    </row>
    <row r="2727" spans="1:11" ht="15.75" hidden="1" thickBot="1" x14ac:dyDescent="0.3">
      <c r="A2727" s="202" t="s">
        <v>2503</v>
      </c>
      <c r="B2727" s="204" t="str">
        <f>INDEX(Orçamentária!A:B,MATCH(Composições!A2727,Orçamentária!A:A,0),2)</f>
        <v>Espátula forjada de 8 cm</v>
      </c>
      <c r="C2727" s="40"/>
      <c r="D2727" s="25" t="str">
        <f>TRIM(INDEX(Orçamentária!C:C,MATCH(Composições!A2727,Orçamentária!A:A,0),1))</f>
        <v>un</v>
      </c>
      <c r="E2727" s="26"/>
      <c r="F2727" s="48" t="s">
        <v>514</v>
      </c>
      <c r="G2727" s="27" t="str">
        <f t="shared" si="47"/>
        <v/>
      </c>
      <c r="H2727" s="28"/>
      <c r="I2727" s="29"/>
      <c r="J2727" s="148">
        <v>0</v>
      </c>
      <c r="K2727" s="222">
        <v>0</v>
      </c>
    </row>
    <row r="2728" spans="1:11" hidden="1" x14ac:dyDescent="0.25">
      <c r="A2728" s="207"/>
      <c r="B2728" s="205"/>
      <c r="C2728" s="31"/>
      <c r="D2728" s="31"/>
      <c r="E2728" s="32"/>
      <c r="F2728" s="53" t="s">
        <v>514</v>
      </c>
      <c r="G2728" s="53" t="str">
        <f t="shared" si="47"/>
        <v/>
      </c>
      <c r="H2728" s="72"/>
      <c r="I2728" s="73"/>
      <c r="J2728" s="148">
        <v>0</v>
      </c>
      <c r="K2728" s="222">
        <v>0</v>
      </c>
    </row>
    <row r="2729" spans="1:11" hidden="1" x14ac:dyDescent="0.25">
      <c r="A2729" s="207"/>
      <c r="B2729" s="205"/>
      <c r="C2729" s="35" t="s">
        <v>7641</v>
      </c>
      <c r="D2729" s="35" t="s">
        <v>20</v>
      </c>
      <c r="E2729" s="36">
        <v>1</v>
      </c>
      <c r="F2729" s="30">
        <v>24.519499999999997</v>
      </c>
      <c r="G2729" s="53">
        <f t="shared" si="47"/>
        <v>24.519499999999997</v>
      </c>
      <c r="H2729" s="38">
        <f>SUM(G2729:G2729)</f>
        <v>24.519499999999997</v>
      </c>
      <c r="I2729" s="39"/>
      <c r="J2729" s="148">
        <v>0</v>
      </c>
      <c r="K2729" s="222">
        <v>0</v>
      </c>
    </row>
    <row r="2730" spans="1:11" ht="15.75" hidden="1" thickBot="1" x14ac:dyDescent="0.3">
      <c r="A2730" s="208"/>
      <c r="B2730" s="206"/>
      <c r="C2730" s="54"/>
      <c r="D2730" s="150"/>
      <c r="E2730" s="65"/>
      <c r="F2730" s="75" t="s">
        <v>514</v>
      </c>
      <c r="G2730" s="75" t="str">
        <f t="shared" si="47"/>
        <v/>
      </c>
      <c r="H2730" s="76"/>
      <c r="I2730" s="73"/>
      <c r="J2730" s="148">
        <v>0</v>
      </c>
      <c r="K2730" s="222">
        <v>0</v>
      </c>
    </row>
    <row r="2731" spans="1:11" ht="15.75" hidden="1" thickBot="1" x14ac:dyDescent="0.3">
      <c r="A2731" s="202" t="s">
        <v>2505</v>
      </c>
      <c r="B2731" s="204" t="str">
        <f>INDEX(Orçamentária!A:B,MATCH(Composições!A2731,Orçamentária!A:A,0),2)</f>
        <v>Esquadro 300 mm</v>
      </c>
      <c r="C2731" s="40"/>
      <c r="D2731" s="25" t="str">
        <f>TRIM(INDEX(Orçamentária!C:C,MATCH(Composições!A2731,Orçamentária!A:A,0),1))</f>
        <v>un</v>
      </c>
      <c r="E2731" s="26"/>
      <c r="F2731" s="48" t="s">
        <v>514</v>
      </c>
      <c r="G2731" s="27" t="str">
        <f t="shared" si="47"/>
        <v/>
      </c>
      <c r="H2731" s="28"/>
      <c r="I2731" s="29"/>
      <c r="J2731" s="148">
        <v>0</v>
      </c>
      <c r="K2731" s="222">
        <v>0</v>
      </c>
    </row>
    <row r="2732" spans="1:11" hidden="1" x14ac:dyDescent="0.25">
      <c r="A2732" s="203"/>
      <c r="B2732" s="205"/>
      <c r="C2732" s="31"/>
      <c r="D2732" s="31"/>
      <c r="E2732" s="32"/>
      <c r="F2732" s="53" t="s">
        <v>514</v>
      </c>
      <c r="G2732" s="53" t="str">
        <f t="shared" si="47"/>
        <v/>
      </c>
      <c r="H2732" s="72"/>
      <c r="I2732" s="30"/>
      <c r="J2732" s="148">
        <v>0</v>
      </c>
      <c r="K2732" s="222">
        <v>0</v>
      </c>
    </row>
    <row r="2733" spans="1:11" hidden="1" x14ac:dyDescent="0.25">
      <c r="A2733" s="203"/>
      <c r="B2733" s="205"/>
      <c r="C2733" s="35" t="s">
        <v>7642</v>
      </c>
      <c r="D2733" s="35" t="s">
        <v>20</v>
      </c>
      <c r="E2733" s="36">
        <v>1</v>
      </c>
      <c r="F2733" s="30">
        <v>38.959499999999998</v>
      </c>
      <c r="G2733" s="53">
        <f t="shared" si="47"/>
        <v>38.959499999999998</v>
      </c>
      <c r="H2733" s="38">
        <f>SUM(G2733:G2733)</f>
        <v>38.959499999999998</v>
      </c>
      <c r="I2733" s="39"/>
      <c r="J2733" s="148">
        <v>0</v>
      </c>
      <c r="K2733" s="222">
        <v>0</v>
      </c>
    </row>
    <row r="2734" spans="1:11" ht="15.75" hidden="1" thickBot="1" x14ac:dyDescent="0.3">
      <c r="A2734" s="209"/>
      <c r="B2734" s="206"/>
      <c r="C2734" s="35"/>
      <c r="D2734" s="35"/>
      <c r="E2734" s="36"/>
      <c r="F2734" s="30" t="s">
        <v>514</v>
      </c>
      <c r="G2734" s="33" t="str">
        <f t="shared" si="47"/>
        <v/>
      </c>
      <c r="H2734" s="34"/>
      <c r="I2734" s="30"/>
      <c r="J2734" s="148">
        <v>0</v>
      </c>
      <c r="K2734" s="222">
        <v>0</v>
      </c>
    </row>
    <row r="2735" spans="1:11" ht="15.75" hidden="1" thickBot="1" x14ac:dyDescent="0.3">
      <c r="A2735" s="202" t="s">
        <v>2549</v>
      </c>
      <c r="B2735" s="204" t="str">
        <f>INDEX(Orçamentária!A:B,MATCH(Composições!A2735,Orçamentária!A:A,0),2)</f>
        <v>Prumo de centro</v>
      </c>
      <c r="C2735" s="40"/>
      <c r="D2735" s="25" t="str">
        <f>TRIM(INDEX(Orçamentária!C:C,MATCH(Composições!A2735,Orçamentária!A:A,0),1))</f>
        <v>un</v>
      </c>
      <c r="E2735" s="26"/>
      <c r="F2735" s="48" t="s">
        <v>514</v>
      </c>
      <c r="G2735" s="27" t="str">
        <f t="shared" si="47"/>
        <v/>
      </c>
      <c r="H2735" s="28"/>
      <c r="I2735" s="29"/>
      <c r="J2735" s="148">
        <v>0</v>
      </c>
      <c r="K2735" s="222">
        <v>0</v>
      </c>
    </row>
    <row r="2736" spans="1:11" hidden="1" x14ac:dyDescent="0.25">
      <c r="A2736" s="207"/>
      <c r="B2736" s="205"/>
      <c r="C2736" s="31"/>
      <c r="D2736" s="31"/>
      <c r="E2736" s="32"/>
      <c r="F2736" s="53" t="s">
        <v>514</v>
      </c>
      <c r="G2736" s="53" t="str">
        <f t="shared" si="47"/>
        <v/>
      </c>
      <c r="H2736" s="72"/>
      <c r="I2736" s="73"/>
      <c r="J2736" s="148">
        <v>0</v>
      </c>
      <c r="K2736" s="222">
        <v>0</v>
      </c>
    </row>
    <row r="2737" spans="1:11" hidden="1" x14ac:dyDescent="0.25">
      <c r="A2737" s="207"/>
      <c r="B2737" s="205"/>
      <c r="C2737" s="35" t="s">
        <v>7671</v>
      </c>
      <c r="D2737" s="35" t="s">
        <v>20</v>
      </c>
      <c r="E2737" s="36">
        <v>1</v>
      </c>
      <c r="F2737" s="30">
        <v>49.276499999999999</v>
      </c>
      <c r="G2737" s="53">
        <f t="shared" si="47"/>
        <v>49.276499999999999</v>
      </c>
      <c r="H2737" s="38">
        <f>SUM(G2737:G2737)</f>
        <v>49.276499999999999</v>
      </c>
      <c r="I2737" s="39"/>
      <c r="J2737" s="148">
        <v>0</v>
      </c>
      <c r="K2737" s="222">
        <v>0</v>
      </c>
    </row>
    <row r="2738" spans="1:11" ht="15.75" hidden="1" thickBot="1" x14ac:dyDescent="0.3">
      <c r="A2738" s="208"/>
      <c r="B2738" s="206"/>
      <c r="C2738" s="54"/>
      <c r="D2738" s="150"/>
      <c r="E2738" s="65"/>
      <c r="F2738" s="75" t="s">
        <v>514</v>
      </c>
      <c r="G2738" s="75" t="str">
        <f t="shared" si="47"/>
        <v/>
      </c>
      <c r="H2738" s="76"/>
      <c r="I2738" s="73"/>
      <c r="J2738" s="148">
        <v>0</v>
      </c>
      <c r="K2738" s="222">
        <v>0</v>
      </c>
    </row>
    <row r="2739" spans="1:11" ht="15.75" hidden="1" thickBot="1" x14ac:dyDescent="0.3">
      <c r="A2739" s="202" t="s">
        <v>2551</v>
      </c>
      <c r="B2739" s="204" t="str">
        <f>INDEX(Orçamentária!A:B,MATCH(Composições!A2739,Orçamentária!A:A,0),2)</f>
        <v>Prumo de parede</v>
      </c>
      <c r="C2739" s="40"/>
      <c r="D2739" s="25" t="str">
        <f>TRIM(INDEX(Orçamentária!C:C,MATCH(Composições!A2739,Orçamentária!A:A,0),1))</f>
        <v>un</v>
      </c>
      <c r="E2739" s="26"/>
      <c r="F2739" s="48" t="s">
        <v>514</v>
      </c>
      <c r="G2739" s="27" t="str">
        <f t="shared" si="47"/>
        <v/>
      </c>
      <c r="H2739" s="28"/>
      <c r="I2739" s="29"/>
      <c r="J2739" s="148">
        <v>0</v>
      </c>
      <c r="K2739" s="222">
        <v>0</v>
      </c>
    </row>
    <row r="2740" spans="1:11" hidden="1" x14ac:dyDescent="0.25">
      <c r="A2740" s="203"/>
      <c r="B2740" s="205"/>
      <c r="C2740" s="31"/>
      <c r="D2740" s="31"/>
      <c r="E2740" s="32"/>
      <c r="F2740" s="53" t="s">
        <v>514</v>
      </c>
      <c r="G2740" s="53" t="str">
        <f t="shared" si="47"/>
        <v/>
      </c>
      <c r="H2740" s="72"/>
      <c r="I2740" s="30"/>
      <c r="J2740" s="148">
        <v>0</v>
      </c>
      <c r="K2740" s="222">
        <v>0</v>
      </c>
    </row>
    <row r="2741" spans="1:11" hidden="1" x14ac:dyDescent="0.25">
      <c r="A2741" s="203"/>
      <c r="B2741" s="205"/>
      <c r="C2741" s="35" t="s">
        <v>7672</v>
      </c>
      <c r="D2741" s="35" t="s">
        <v>20</v>
      </c>
      <c r="E2741" s="36">
        <v>1</v>
      </c>
      <c r="F2741" s="30">
        <v>56.183</v>
      </c>
      <c r="G2741" s="53">
        <f t="shared" si="47"/>
        <v>56.183</v>
      </c>
      <c r="H2741" s="38">
        <f>SUM(G2741:G2741)</f>
        <v>56.183</v>
      </c>
      <c r="I2741" s="39"/>
      <c r="J2741" s="148">
        <v>0</v>
      </c>
      <c r="K2741" s="222">
        <v>0</v>
      </c>
    </row>
    <row r="2742" spans="1:11" ht="15.75" hidden="1" thickBot="1" x14ac:dyDescent="0.3">
      <c r="A2742" s="209"/>
      <c r="B2742" s="206"/>
      <c r="C2742" s="35"/>
      <c r="D2742" s="35"/>
      <c r="E2742" s="36"/>
      <c r="F2742" s="30" t="s">
        <v>514</v>
      </c>
      <c r="G2742" s="33" t="str">
        <f t="shared" si="47"/>
        <v/>
      </c>
      <c r="H2742" s="34"/>
      <c r="I2742" s="30"/>
      <c r="J2742" s="148">
        <v>0</v>
      </c>
      <c r="K2742" s="222">
        <v>0</v>
      </c>
    </row>
    <row r="2743" spans="1:11" ht="15.75" hidden="1" thickBot="1" x14ac:dyDescent="0.3">
      <c r="A2743" s="202" t="s">
        <v>2554</v>
      </c>
      <c r="B2743" s="204" t="str">
        <f>INDEX(Orçamentária!A:B,MATCH(Composições!A2743,Orçamentária!A:A,0),2)</f>
        <v>Régua de alumínio para pedreiro com 2m</v>
      </c>
      <c r="C2743" s="40"/>
      <c r="D2743" s="25" t="str">
        <f>TRIM(INDEX(Orçamentária!C:C,MATCH(Composições!A2743,Orçamentária!A:A,0),1))</f>
        <v>un</v>
      </c>
      <c r="E2743" s="26"/>
      <c r="F2743" s="48" t="s">
        <v>514</v>
      </c>
      <c r="G2743" s="27" t="str">
        <f t="shared" si="47"/>
        <v/>
      </c>
      <c r="H2743" s="28"/>
      <c r="I2743" s="29"/>
      <c r="J2743" s="148">
        <v>0</v>
      </c>
      <c r="K2743" s="222">
        <v>0</v>
      </c>
    </row>
    <row r="2744" spans="1:11" hidden="1" x14ac:dyDescent="0.25">
      <c r="A2744" s="203"/>
      <c r="B2744" s="205"/>
      <c r="C2744" s="31"/>
      <c r="D2744" s="31"/>
      <c r="E2744" s="32"/>
      <c r="F2744" s="53" t="s">
        <v>514</v>
      </c>
      <c r="G2744" s="53" t="str">
        <f t="shared" si="47"/>
        <v/>
      </c>
      <c r="H2744" s="72"/>
      <c r="I2744" s="30"/>
      <c r="J2744" s="148">
        <v>0</v>
      </c>
      <c r="K2744" s="222">
        <v>0</v>
      </c>
    </row>
    <row r="2745" spans="1:11" hidden="1" x14ac:dyDescent="0.25">
      <c r="A2745" s="203"/>
      <c r="B2745" s="205"/>
      <c r="C2745" s="35" t="s">
        <v>7689</v>
      </c>
      <c r="D2745" s="35" t="s">
        <v>92</v>
      </c>
      <c r="E2745" s="36">
        <v>2</v>
      </c>
      <c r="F2745" s="30">
        <v>65.920500000000004</v>
      </c>
      <c r="G2745" s="53">
        <f t="shared" si="47"/>
        <v>131.84100000000001</v>
      </c>
      <c r="H2745" s="38">
        <f>SUM(G2745:G2745)</f>
        <v>131.84100000000001</v>
      </c>
      <c r="I2745" s="39"/>
      <c r="J2745" s="148">
        <v>0</v>
      </c>
      <c r="K2745" s="222">
        <v>0</v>
      </c>
    </row>
    <row r="2746" spans="1:11" ht="15.75" hidden="1" thickBot="1" x14ac:dyDescent="0.3">
      <c r="A2746" s="209"/>
      <c r="B2746" s="206"/>
      <c r="C2746" s="35"/>
      <c r="D2746" s="35"/>
      <c r="E2746" s="36"/>
      <c r="F2746" s="30" t="s">
        <v>514</v>
      </c>
      <c r="G2746" s="33" t="str">
        <f t="shared" si="47"/>
        <v/>
      </c>
      <c r="H2746" s="34"/>
      <c r="I2746" s="30"/>
      <c r="J2746" s="148">
        <v>0</v>
      </c>
      <c r="K2746" s="222">
        <v>0</v>
      </c>
    </row>
    <row r="2747" spans="1:11" ht="15.75" hidden="1" thickBot="1" x14ac:dyDescent="0.3">
      <c r="A2747" s="202" t="s">
        <v>2635</v>
      </c>
      <c r="B2747" s="204" t="str">
        <f>INDEX(Orçamentária!A:B,MATCH(Composições!A2747,Orçamentária!A:A,0),2)</f>
        <v>Desempenadeira de aço lisa</v>
      </c>
      <c r="C2747" s="40"/>
      <c r="D2747" s="25" t="str">
        <f>TRIM(INDEX(Orçamentária!C:C,MATCH(Composições!A2747,Orçamentária!A:A,0),1))</f>
        <v>un</v>
      </c>
      <c r="E2747" s="26"/>
      <c r="F2747" s="48" t="s">
        <v>514</v>
      </c>
      <c r="G2747" s="27" t="str">
        <f t="shared" si="47"/>
        <v/>
      </c>
      <c r="H2747" s="28"/>
      <c r="I2747" s="29"/>
      <c r="J2747" s="148">
        <v>0</v>
      </c>
      <c r="K2747" s="222">
        <v>0</v>
      </c>
    </row>
    <row r="2748" spans="1:11" hidden="1" x14ac:dyDescent="0.25">
      <c r="A2748" s="207"/>
      <c r="B2748" s="205"/>
      <c r="C2748" s="31"/>
      <c r="D2748" s="31"/>
      <c r="E2748" s="32"/>
      <c r="F2748" s="53" t="s">
        <v>514</v>
      </c>
      <c r="G2748" s="53" t="str">
        <f t="shared" si="47"/>
        <v/>
      </c>
      <c r="H2748" s="72"/>
      <c r="I2748" s="73"/>
      <c r="J2748" s="148">
        <v>0</v>
      </c>
      <c r="K2748" s="222">
        <v>0</v>
      </c>
    </row>
    <row r="2749" spans="1:11" ht="25.5" hidden="1" x14ac:dyDescent="0.25">
      <c r="A2749" s="207"/>
      <c r="B2749" s="205"/>
      <c r="C2749" s="35" t="s">
        <v>7637</v>
      </c>
      <c r="D2749" s="35" t="s">
        <v>20</v>
      </c>
      <c r="E2749" s="36">
        <v>1</v>
      </c>
      <c r="F2749" s="30">
        <v>24.529</v>
      </c>
      <c r="G2749" s="53">
        <f t="shared" ref="G2749:G2812" si="48">IF(ISNUMBER(F2749),E2749*F2749,"")</f>
        <v>24.529</v>
      </c>
      <c r="H2749" s="38">
        <f>SUM(G2749:G2749)</f>
        <v>24.529</v>
      </c>
      <c r="I2749" s="39"/>
      <c r="J2749" s="148">
        <v>0</v>
      </c>
      <c r="K2749" s="222">
        <v>0</v>
      </c>
    </row>
    <row r="2750" spans="1:11" ht="15.75" hidden="1" thickBot="1" x14ac:dyDescent="0.3">
      <c r="A2750" s="208"/>
      <c r="B2750" s="206"/>
      <c r="C2750" s="54"/>
      <c r="D2750" s="150"/>
      <c r="E2750" s="65"/>
      <c r="F2750" s="75" t="s">
        <v>514</v>
      </c>
      <c r="G2750" s="75" t="str">
        <f t="shared" si="48"/>
        <v/>
      </c>
      <c r="H2750" s="76"/>
      <c r="I2750" s="73"/>
      <c r="J2750" s="148">
        <v>0</v>
      </c>
      <c r="K2750" s="222">
        <v>0</v>
      </c>
    </row>
    <row r="2751" spans="1:11" ht="15.75" hidden="1" thickBot="1" x14ac:dyDescent="0.3">
      <c r="A2751" s="202" t="s">
        <v>2637</v>
      </c>
      <c r="B2751" s="204" t="str">
        <f>INDEX(Orçamentária!A:B,MATCH(Composições!A2751,Orçamentária!A:A,0),2)</f>
        <v>Desempenadeira estriada em PVC 14 x 27 cm</v>
      </c>
      <c r="C2751" s="40"/>
      <c r="D2751" s="25" t="str">
        <f>TRIM(INDEX(Orçamentária!C:C,MATCH(Composições!A2751,Orçamentária!A:A,0),1))</f>
        <v>un</v>
      </c>
      <c r="E2751" s="26"/>
      <c r="F2751" s="48" t="s">
        <v>514</v>
      </c>
      <c r="G2751" s="27" t="str">
        <f t="shared" si="48"/>
        <v/>
      </c>
      <c r="H2751" s="28"/>
      <c r="I2751" s="29"/>
      <c r="J2751" s="148">
        <v>0</v>
      </c>
      <c r="K2751" s="222">
        <v>0</v>
      </c>
    </row>
    <row r="2752" spans="1:11" hidden="1" x14ac:dyDescent="0.25">
      <c r="A2752" s="203"/>
      <c r="B2752" s="205"/>
      <c r="C2752" s="31"/>
      <c r="D2752" s="31"/>
      <c r="E2752" s="32"/>
      <c r="F2752" s="53" t="s">
        <v>514</v>
      </c>
      <c r="G2752" s="53" t="str">
        <f t="shared" si="48"/>
        <v/>
      </c>
      <c r="H2752" s="72"/>
      <c r="I2752" s="30"/>
      <c r="J2752" s="148">
        <v>0</v>
      </c>
      <c r="K2752" s="222">
        <v>0</v>
      </c>
    </row>
    <row r="2753" spans="1:11" hidden="1" x14ac:dyDescent="0.25">
      <c r="A2753" s="203"/>
      <c r="B2753" s="205"/>
      <c r="C2753" s="35" t="s">
        <v>7638</v>
      </c>
      <c r="D2753" s="35" t="s">
        <v>20</v>
      </c>
      <c r="E2753" s="36">
        <v>1</v>
      </c>
      <c r="F2753" s="30">
        <v>18.6295</v>
      </c>
      <c r="G2753" s="53">
        <f t="shared" si="48"/>
        <v>18.6295</v>
      </c>
      <c r="H2753" s="38">
        <f>SUM(G2753:G2753)</f>
        <v>18.6295</v>
      </c>
      <c r="I2753" s="39"/>
      <c r="J2753" s="148">
        <v>0</v>
      </c>
      <c r="K2753" s="222">
        <v>0</v>
      </c>
    </row>
    <row r="2754" spans="1:11" ht="15.75" hidden="1" thickBot="1" x14ac:dyDescent="0.3">
      <c r="A2754" s="209"/>
      <c r="B2754" s="206"/>
      <c r="C2754" s="35"/>
      <c r="D2754" s="35"/>
      <c r="E2754" s="36"/>
      <c r="F2754" s="30" t="s">
        <v>514</v>
      </c>
      <c r="G2754" s="33" t="str">
        <f t="shared" si="48"/>
        <v/>
      </c>
      <c r="H2754" s="34"/>
      <c r="I2754" s="30"/>
      <c r="J2754" s="148">
        <v>0</v>
      </c>
      <c r="K2754" s="222">
        <v>0</v>
      </c>
    </row>
    <row r="2755" spans="1:11" ht="15.75" hidden="1" thickBot="1" x14ac:dyDescent="0.3">
      <c r="A2755" s="202" t="s">
        <v>2662</v>
      </c>
      <c r="B2755" s="204" t="str">
        <f>INDEX(Orçamentária!A:B,MATCH(Composições!A2755,Orçamentária!A:A,0),2)</f>
        <v>Bota de PVC</v>
      </c>
      <c r="C2755" s="40"/>
      <c r="D2755" s="25" t="str">
        <f>TRIM(INDEX(Orçamentária!C:C,MATCH(Composições!A2755,Orçamentária!A:A,0),1))</f>
        <v>par</v>
      </c>
      <c r="E2755" s="26"/>
      <c r="F2755" s="48" t="s">
        <v>514</v>
      </c>
      <c r="G2755" s="27" t="str">
        <f t="shared" si="48"/>
        <v/>
      </c>
      <c r="H2755" s="28"/>
      <c r="I2755" s="29"/>
      <c r="J2755" s="148">
        <v>0</v>
      </c>
      <c r="K2755" s="222">
        <v>0</v>
      </c>
    </row>
    <row r="2756" spans="1:11" hidden="1" x14ac:dyDescent="0.25">
      <c r="A2756" s="207"/>
      <c r="B2756" s="205"/>
      <c r="C2756" s="31"/>
      <c r="D2756" s="31"/>
      <c r="E2756" s="32"/>
      <c r="F2756" s="53" t="s">
        <v>514</v>
      </c>
      <c r="G2756" s="53" t="str">
        <f t="shared" si="48"/>
        <v/>
      </c>
      <c r="H2756" s="72"/>
      <c r="I2756" s="73"/>
      <c r="J2756" s="148">
        <v>0</v>
      </c>
      <c r="K2756" s="222">
        <v>0</v>
      </c>
    </row>
    <row r="2757" spans="1:11" hidden="1" x14ac:dyDescent="0.25">
      <c r="A2757" s="207"/>
      <c r="B2757" s="205"/>
      <c r="C2757" s="35" t="s">
        <v>7615</v>
      </c>
      <c r="D2757" s="35" t="s">
        <v>1905</v>
      </c>
      <c r="E2757" s="36">
        <v>1</v>
      </c>
      <c r="F2757" s="30">
        <v>40.925999999999995</v>
      </c>
      <c r="G2757" s="53">
        <f t="shared" si="48"/>
        <v>40.925999999999995</v>
      </c>
      <c r="H2757" s="38">
        <f>SUM(G2757:G2757)</f>
        <v>40.925999999999995</v>
      </c>
      <c r="I2757" s="39"/>
      <c r="J2757" s="148">
        <v>0</v>
      </c>
      <c r="K2757" s="222">
        <v>0</v>
      </c>
    </row>
    <row r="2758" spans="1:11" ht="15.75" hidden="1" thickBot="1" x14ac:dyDescent="0.3">
      <c r="A2758" s="208"/>
      <c r="B2758" s="206"/>
      <c r="C2758" s="54"/>
      <c r="D2758" s="150"/>
      <c r="E2758" s="65"/>
      <c r="F2758" s="75" t="s">
        <v>514</v>
      </c>
      <c r="G2758" s="75" t="str">
        <f t="shared" si="48"/>
        <v/>
      </c>
      <c r="H2758" s="76"/>
      <c r="I2758" s="73"/>
      <c r="J2758" s="148">
        <v>0</v>
      </c>
      <c r="K2758" s="222">
        <v>0</v>
      </c>
    </row>
    <row r="2759" spans="1:11" ht="15.75" hidden="1" thickBot="1" x14ac:dyDescent="0.3">
      <c r="A2759" s="202" t="s">
        <v>2663</v>
      </c>
      <c r="B2759" s="204" t="str">
        <f>INDEX(Orçamentária!A:B,MATCH(Composições!A2759,Orçamentária!A:A,0),2)</f>
        <v>Capa de chuva</v>
      </c>
      <c r="C2759" s="40"/>
      <c r="D2759" s="25" t="str">
        <f>TRIM(INDEX(Orçamentária!C:C,MATCH(Composições!A2759,Orçamentária!A:A,0),1))</f>
        <v>un</v>
      </c>
      <c r="E2759" s="26"/>
      <c r="F2759" s="48" t="s">
        <v>514</v>
      </c>
      <c r="G2759" s="27" t="str">
        <f t="shared" si="48"/>
        <v/>
      </c>
      <c r="H2759" s="28"/>
      <c r="I2759" s="29"/>
      <c r="J2759" s="148">
        <v>0</v>
      </c>
      <c r="K2759" s="222">
        <v>0</v>
      </c>
    </row>
    <row r="2760" spans="1:11" hidden="1" x14ac:dyDescent="0.25">
      <c r="A2760" s="207"/>
      <c r="B2760" s="205"/>
      <c r="C2760" s="31"/>
      <c r="D2760" s="31"/>
      <c r="E2760" s="32"/>
      <c r="F2760" s="53" t="s">
        <v>514</v>
      </c>
      <c r="G2760" s="53" t="str">
        <f t="shared" si="48"/>
        <v/>
      </c>
      <c r="H2760" s="72"/>
      <c r="I2760" s="73"/>
      <c r="J2760" s="148">
        <v>0</v>
      </c>
      <c r="K2760" s="222">
        <v>0</v>
      </c>
    </row>
    <row r="2761" spans="1:11" ht="25.5" hidden="1" x14ac:dyDescent="0.25">
      <c r="A2761" s="207"/>
      <c r="B2761" s="205"/>
      <c r="C2761" s="35" t="s">
        <v>3242</v>
      </c>
      <c r="D2761" s="35" t="s">
        <v>20</v>
      </c>
      <c r="E2761" s="36">
        <v>1</v>
      </c>
      <c r="F2761" s="30">
        <v>18.468</v>
      </c>
      <c r="G2761" s="53">
        <f t="shared" si="48"/>
        <v>18.468</v>
      </c>
      <c r="H2761" s="38">
        <f>SUM(G2761:G2761)</f>
        <v>18.468</v>
      </c>
      <c r="I2761" s="39"/>
      <c r="J2761" s="148">
        <v>0</v>
      </c>
      <c r="K2761" s="222">
        <v>0</v>
      </c>
    </row>
    <row r="2762" spans="1:11" ht="15.75" hidden="1" thickBot="1" x14ac:dyDescent="0.3">
      <c r="A2762" s="208"/>
      <c r="B2762" s="206"/>
      <c r="C2762" s="54"/>
      <c r="D2762" s="150"/>
      <c r="E2762" s="65"/>
      <c r="F2762" s="75" t="s">
        <v>514</v>
      </c>
      <c r="G2762" s="75" t="str">
        <f t="shared" si="48"/>
        <v/>
      </c>
      <c r="H2762" s="76"/>
      <c r="I2762" s="73"/>
      <c r="J2762" s="148">
        <v>0</v>
      </c>
      <c r="K2762" s="222">
        <v>0</v>
      </c>
    </row>
    <row r="2763" spans="1:11" ht="15.75" hidden="1" thickBot="1" x14ac:dyDescent="0.3">
      <c r="A2763" s="202" t="s">
        <v>2682</v>
      </c>
      <c r="B2763" s="204" t="str">
        <f>INDEX(Orçamentária!A:B,MATCH(Composições!A2763,Orçamentária!A:A,0),2)</f>
        <v>Talabarte em Y</v>
      </c>
      <c r="C2763" s="40"/>
      <c r="D2763" s="25" t="str">
        <f>TRIM(INDEX(Orçamentária!C:C,MATCH(Composições!A2763,Orçamentária!A:A,0),1))</f>
        <v>un</v>
      </c>
      <c r="E2763" s="26"/>
      <c r="F2763" s="48" t="s">
        <v>514</v>
      </c>
      <c r="G2763" s="27" t="str">
        <f t="shared" si="48"/>
        <v/>
      </c>
      <c r="H2763" s="28"/>
      <c r="I2763" s="29"/>
      <c r="J2763" s="148">
        <v>0</v>
      </c>
      <c r="K2763" s="222">
        <v>0</v>
      </c>
    </row>
    <row r="2764" spans="1:11" hidden="1" x14ac:dyDescent="0.25">
      <c r="A2764" s="203"/>
      <c r="B2764" s="205"/>
      <c r="C2764" s="31"/>
      <c r="D2764" s="31"/>
      <c r="E2764" s="32"/>
      <c r="F2764" s="53" t="s">
        <v>514</v>
      </c>
      <c r="G2764" s="53" t="str">
        <f t="shared" si="48"/>
        <v/>
      </c>
      <c r="H2764" s="72"/>
      <c r="I2764" s="30"/>
      <c r="J2764" s="148">
        <v>0</v>
      </c>
      <c r="K2764" s="222">
        <v>0</v>
      </c>
    </row>
    <row r="2765" spans="1:11" ht="25.5" hidden="1" x14ac:dyDescent="0.25">
      <c r="A2765" s="203"/>
      <c r="B2765" s="205"/>
      <c r="C2765" s="35" t="s">
        <v>3342</v>
      </c>
      <c r="D2765" s="35" t="s">
        <v>20</v>
      </c>
      <c r="E2765" s="36">
        <v>1</v>
      </c>
      <c r="F2765" s="30">
        <v>190.0855</v>
      </c>
      <c r="G2765" s="53">
        <f t="shared" si="48"/>
        <v>190.0855</v>
      </c>
      <c r="H2765" s="38">
        <f>SUM(G2765:G2765)</f>
        <v>190.0855</v>
      </c>
      <c r="I2765" s="39"/>
      <c r="J2765" s="148">
        <v>0</v>
      </c>
      <c r="K2765" s="222">
        <v>0</v>
      </c>
    </row>
    <row r="2766" spans="1:11" ht="15.75" hidden="1" thickBot="1" x14ac:dyDescent="0.3">
      <c r="A2766" s="209"/>
      <c r="B2766" s="206"/>
      <c r="C2766" s="35"/>
      <c r="D2766" s="35"/>
      <c r="E2766" s="36"/>
      <c r="F2766" s="30" t="s">
        <v>514</v>
      </c>
      <c r="G2766" s="33" t="str">
        <f t="shared" si="48"/>
        <v/>
      </c>
      <c r="H2766" s="34"/>
      <c r="I2766" s="30"/>
      <c r="J2766" s="148">
        <v>0</v>
      </c>
      <c r="K2766" s="222">
        <v>0</v>
      </c>
    </row>
    <row r="2767" spans="1:11" ht="15.75" hidden="1" thickBot="1" x14ac:dyDescent="0.3">
      <c r="A2767" s="202" t="s">
        <v>2684</v>
      </c>
      <c r="B2767" s="204" t="str">
        <f>INDEX(Orçamentária!A:B,MATCH(Composições!A2763,Orçamentária!A:A,0),2)</f>
        <v>Talabarte em Y</v>
      </c>
      <c r="C2767" s="40"/>
      <c r="D2767" s="25" t="str">
        <f>TRIM(INDEX(Orçamentária!C:C,MATCH(Composições!A2767,Orçamentária!A:A,0),1))</f>
        <v>un</v>
      </c>
      <c r="E2767" s="26"/>
      <c r="F2767" s="48" t="s">
        <v>514</v>
      </c>
      <c r="G2767" s="27" t="str">
        <f t="shared" si="48"/>
        <v/>
      </c>
      <c r="H2767" s="28"/>
      <c r="I2767" s="29"/>
      <c r="J2767" s="148">
        <v>0</v>
      </c>
      <c r="K2767" s="222">
        <v>0</v>
      </c>
    </row>
    <row r="2768" spans="1:11" hidden="1" x14ac:dyDescent="0.25">
      <c r="A2768" s="207"/>
      <c r="B2768" s="205"/>
      <c r="C2768" s="31"/>
      <c r="D2768" s="31"/>
      <c r="E2768" s="32"/>
      <c r="F2768" s="53" t="s">
        <v>514</v>
      </c>
      <c r="G2768" s="53" t="str">
        <f t="shared" si="48"/>
        <v/>
      </c>
      <c r="H2768" s="72"/>
      <c r="I2768" s="73"/>
      <c r="J2768" s="148">
        <v>0</v>
      </c>
      <c r="K2768" s="222">
        <v>0</v>
      </c>
    </row>
    <row r="2769" spans="1:11" ht="25.5" hidden="1" x14ac:dyDescent="0.25">
      <c r="A2769" s="207"/>
      <c r="B2769" s="205"/>
      <c r="C2769" s="35" t="s">
        <v>3363</v>
      </c>
      <c r="D2769" s="35" t="s">
        <v>20</v>
      </c>
      <c r="E2769" s="36">
        <v>1</v>
      </c>
      <c r="F2769" s="30">
        <v>166.99099999999999</v>
      </c>
      <c r="G2769" s="53">
        <f t="shared" si="48"/>
        <v>166.99099999999999</v>
      </c>
      <c r="H2769" s="38">
        <f>SUM(G2769:G2769)</f>
        <v>166.99099999999999</v>
      </c>
      <c r="I2769" s="39"/>
      <c r="J2769" s="148">
        <v>0</v>
      </c>
      <c r="K2769" s="222">
        <v>0</v>
      </c>
    </row>
    <row r="2770" spans="1:11" ht="15.75" hidden="1" thickBot="1" x14ac:dyDescent="0.3">
      <c r="A2770" s="208"/>
      <c r="B2770" s="206"/>
      <c r="C2770" s="54"/>
      <c r="D2770" s="150"/>
      <c r="E2770" s="65"/>
      <c r="F2770" s="75" t="s">
        <v>514</v>
      </c>
      <c r="G2770" s="75" t="str">
        <f t="shared" si="48"/>
        <v/>
      </c>
      <c r="H2770" s="76"/>
      <c r="I2770" s="73"/>
      <c r="J2770" s="148">
        <v>0</v>
      </c>
      <c r="K2770" s="222">
        <v>0</v>
      </c>
    </row>
    <row r="2771" spans="1:11" ht="15.75" hidden="1" thickBot="1" x14ac:dyDescent="0.3">
      <c r="A2771" s="202" t="s">
        <v>786</v>
      </c>
      <c r="B2771" s="204" t="str">
        <f>INDEX(Orçamentária!A:B,MATCH(Composições!A2771,Orçamentária!A:A,0),2)</f>
        <v>Instalação de vidro (comum, temperado, aramado ou laminado) reaproveitado</v>
      </c>
      <c r="C2771" s="40"/>
      <c r="D2771" s="25" t="str">
        <f>TRIM(INDEX(Orçamentária!C:C,MATCH(Composições!A2771,Orçamentária!A:A,0),1))</f>
        <v>m2</v>
      </c>
      <c r="E2771" s="26"/>
      <c r="F2771" s="41" t="s">
        <v>514</v>
      </c>
      <c r="G2771" s="27" t="str">
        <f t="shared" si="48"/>
        <v/>
      </c>
      <c r="H2771" s="28"/>
      <c r="I2771" s="29"/>
      <c r="J2771" s="148">
        <v>0</v>
      </c>
      <c r="K2771" s="222">
        <v>0</v>
      </c>
    </row>
    <row r="2772" spans="1:11" hidden="1" x14ac:dyDescent="0.25">
      <c r="A2772" s="203"/>
      <c r="B2772" s="205"/>
      <c r="C2772" s="31"/>
      <c r="D2772" s="31"/>
      <c r="E2772" s="32"/>
      <c r="F2772" s="42" t="s">
        <v>514</v>
      </c>
      <c r="G2772" s="33" t="str">
        <f t="shared" si="48"/>
        <v/>
      </c>
      <c r="H2772" s="34"/>
      <c r="I2772" s="30"/>
      <c r="J2772" s="148">
        <v>0</v>
      </c>
      <c r="K2772" s="222">
        <v>0</v>
      </c>
    </row>
    <row r="2773" spans="1:11" hidden="1" x14ac:dyDescent="0.25">
      <c r="A2773" s="203"/>
      <c r="B2773" s="205"/>
      <c r="C2773" s="35" t="s">
        <v>68</v>
      </c>
      <c r="D2773" s="46" t="s">
        <v>12</v>
      </c>
      <c r="E2773" s="36">
        <v>1</v>
      </c>
      <c r="F2773" s="30">
        <v>22.961500000000001</v>
      </c>
      <c r="G2773" s="33">
        <f t="shared" si="48"/>
        <v>22.961500000000001</v>
      </c>
      <c r="H2773" s="38">
        <f>SUM(G2773:G2774)</f>
        <v>34.608499999999999</v>
      </c>
      <c r="I2773" s="39"/>
      <c r="J2773" s="148">
        <v>0</v>
      </c>
      <c r="K2773" s="222">
        <v>0</v>
      </c>
    </row>
    <row r="2774" spans="1:11" hidden="1" x14ac:dyDescent="0.25">
      <c r="A2774" s="203"/>
      <c r="B2774" s="205"/>
      <c r="C2774" s="35" t="s">
        <v>287</v>
      </c>
      <c r="D2774" s="35" t="s">
        <v>787</v>
      </c>
      <c r="E2774" s="36">
        <v>2</v>
      </c>
      <c r="F2774" s="33">
        <v>5.8234999999999992</v>
      </c>
      <c r="G2774" s="33">
        <f t="shared" si="48"/>
        <v>11.646999999999998</v>
      </c>
      <c r="H2774" s="34"/>
      <c r="I2774" s="30"/>
      <c r="J2774" s="148">
        <v>0</v>
      </c>
      <c r="K2774" s="222">
        <v>0</v>
      </c>
    </row>
    <row r="2775" spans="1:11" ht="15.75" hidden="1" thickBot="1" x14ac:dyDescent="0.3">
      <c r="A2775" s="209"/>
      <c r="B2775" s="206"/>
      <c r="C2775" s="35"/>
      <c r="D2775" s="35"/>
      <c r="E2775" s="36"/>
      <c r="F2775" s="30" t="s">
        <v>514</v>
      </c>
      <c r="G2775" s="33" t="str">
        <f t="shared" si="48"/>
        <v/>
      </c>
      <c r="H2775" s="34"/>
      <c r="I2775" s="30"/>
      <c r="J2775" s="148">
        <v>0</v>
      </c>
      <c r="K2775" s="222">
        <v>0</v>
      </c>
    </row>
    <row r="2776" spans="1:11" ht="15.75" hidden="1" thickBot="1" x14ac:dyDescent="0.3">
      <c r="A2776" s="202" t="s">
        <v>788</v>
      </c>
      <c r="B2776" s="204" t="str">
        <f>INDEX(Orçamentária!A:B,MATCH(Composições!A2776,Orçamentária!A:A,0),2)</f>
        <v>Vidro temperado incolor com 8mm de espessura</v>
      </c>
      <c r="C2776" s="40"/>
      <c r="D2776" s="25" t="str">
        <f>TRIM(INDEX(Orçamentária!C:C,MATCH(Composições!A2776,Orçamentária!A:A,0),1))</f>
        <v>m2</v>
      </c>
      <c r="E2776" s="26"/>
      <c r="F2776" s="41" t="s">
        <v>514</v>
      </c>
      <c r="G2776" s="27" t="str">
        <f t="shared" si="48"/>
        <v/>
      </c>
      <c r="H2776" s="28"/>
      <c r="I2776" s="29"/>
      <c r="J2776" s="148">
        <v>0</v>
      </c>
      <c r="K2776" s="222">
        <v>0</v>
      </c>
    </row>
    <row r="2777" spans="1:11" hidden="1" x14ac:dyDescent="0.25">
      <c r="A2777" s="203"/>
      <c r="B2777" s="205"/>
      <c r="C2777" s="31"/>
      <c r="D2777" s="31"/>
      <c r="E2777" s="32"/>
      <c r="F2777" s="42" t="s">
        <v>514</v>
      </c>
      <c r="G2777" s="33" t="str">
        <f t="shared" si="48"/>
        <v/>
      </c>
      <c r="H2777" s="34"/>
      <c r="I2777" s="30"/>
      <c r="J2777" s="148">
        <v>0</v>
      </c>
      <c r="K2777" s="222">
        <v>0</v>
      </c>
    </row>
    <row r="2778" spans="1:11" hidden="1" x14ac:dyDescent="0.25">
      <c r="A2778" s="203"/>
      <c r="B2778" s="205"/>
      <c r="C2778" s="35" t="s">
        <v>791</v>
      </c>
      <c r="D2778" s="35" t="s">
        <v>982</v>
      </c>
      <c r="E2778" s="36">
        <v>1</v>
      </c>
      <c r="F2778" s="33">
        <v>156.28449999999998</v>
      </c>
      <c r="G2778" s="33">
        <f t="shared" si="48"/>
        <v>156.28449999999998</v>
      </c>
      <c r="H2778" s="38">
        <f>SUM(G2778:G2784)</f>
        <v>266.25958750000001</v>
      </c>
      <c r="I2778" s="39"/>
      <c r="J2778" s="148">
        <v>0</v>
      </c>
      <c r="K2778" s="222">
        <v>0</v>
      </c>
    </row>
    <row r="2779" spans="1:11" ht="38.25" hidden="1" x14ac:dyDescent="0.25">
      <c r="A2779" s="203"/>
      <c r="B2779" s="205"/>
      <c r="C2779" s="35" t="s">
        <v>3233</v>
      </c>
      <c r="D2779" s="35" t="s">
        <v>278</v>
      </c>
      <c r="E2779" s="36">
        <v>1.913</v>
      </c>
      <c r="F2779" s="33">
        <v>0.38949999999999996</v>
      </c>
      <c r="G2779" s="33">
        <f t="shared" si="48"/>
        <v>0.74511349999999998</v>
      </c>
      <c r="H2779" s="34"/>
      <c r="I2779" s="30"/>
      <c r="J2779" s="148">
        <v>0</v>
      </c>
      <c r="K2779" s="222">
        <v>0</v>
      </c>
    </row>
    <row r="2780" spans="1:11" hidden="1" x14ac:dyDescent="0.25">
      <c r="A2780" s="203"/>
      <c r="B2780" s="205"/>
      <c r="C2780" s="35" t="s">
        <v>827</v>
      </c>
      <c r="D2780" s="35" t="s">
        <v>891</v>
      </c>
      <c r="E2780" s="36">
        <v>0.83899999999999997</v>
      </c>
      <c r="F2780" s="33">
        <v>39.054499999999997</v>
      </c>
      <c r="G2780" s="33">
        <f t="shared" si="48"/>
        <v>32.7667255</v>
      </c>
      <c r="H2780" s="34"/>
      <c r="I2780" s="30"/>
      <c r="J2780" s="148">
        <v>0</v>
      </c>
      <c r="K2780" s="222">
        <v>0</v>
      </c>
    </row>
    <row r="2781" spans="1:11" ht="25.5" hidden="1" x14ac:dyDescent="0.25">
      <c r="A2781" s="203"/>
      <c r="B2781" s="205"/>
      <c r="C2781" s="35" t="s">
        <v>3302</v>
      </c>
      <c r="D2781" s="35" t="s">
        <v>473</v>
      </c>
      <c r="E2781" s="36">
        <v>2.605</v>
      </c>
      <c r="F2781" s="33">
        <v>2.4034999999999997</v>
      </c>
      <c r="G2781" s="33">
        <f t="shared" si="48"/>
        <v>6.2611174999999992</v>
      </c>
      <c r="H2781" s="34"/>
      <c r="I2781" s="30"/>
      <c r="J2781" s="148">
        <v>0</v>
      </c>
      <c r="K2781" s="222">
        <v>0</v>
      </c>
    </row>
    <row r="2782" spans="1:11" hidden="1" x14ac:dyDescent="0.25">
      <c r="A2782" s="203"/>
      <c r="B2782" s="205"/>
      <c r="C2782" s="35" t="s">
        <v>1117</v>
      </c>
      <c r="D2782" s="35" t="s">
        <v>278</v>
      </c>
      <c r="E2782" s="36">
        <v>0.34599999999999997</v>
      </c>
      <c r="F2782" s="33">
        <v>24.414999999999999</v>
      </c>
      <c r="G2782" s="33">
        <f t="shared" si="48"/>
        <v>8.4475899999999999</v>
      </c>
      <c r="H2782" s="34"/>
      <c r="I2782" s="30"/>
      <c r="J2782" s="148">
        <v>0</v>
      </c>
      <c r="K2782" s="222">
        <v>0</v>
      </c>
    </row>
    <row r="2783" spans="1:11" hidden="1" x14ac:dyDescent="0.25">
      <c r="A2783" s="203"/>
      <c r="B2783" s="205"/>
      <c r="C2783" s="35" t="s">
        <v>696</v>
      </c>
      <c r="D2783" s="35" t="s">
        <v>695</v>
      </c>
      <c r="E2783" s="36">
        <v>1.4690000000000001</v>
      </c>
      <c r="F2783" s="33">
        <v>18.420500000000001</v>
      </c>
      <c r="G2783" s="33">
        <f t="shared" si="48"/>
        <v>27.059714500000002</v>
      </c>
      <c r="H2783" s="34"/>
      <c r="I2783" s="30"/>
      <c r="J2783" s="148">
        <v>0</v>
      </c>
      <c r="K2783" s="222">
        <v>0</v>
      </c>
    </row>
    <row r="2784" spans="1:11" hidden="1" x14ac:dyDescent="0.25">
      <c r="A2784" s="203"/>
      <c r="B2784" s="205"/>
      <c r="C2784" s="35" t="s">
        <v>3220</v>
      </c>
      <c r="D2784" s="35" t="s">
        <v>695</v>
      </c>
      <c r="E2784" s="36">
        <v>1.5109999999999999</v>
      </c>
      <c r="F2784" s="33">
        <v>22.961500000000001</v>
      </c>
      <c r="G2784" s="33">
        <f t="shared" si="48"/>
        <v>34.694826499999998</v>
      </c>
      <c r="H2784" s="34"/>
      <c r="I2784" s="30"/>
      <c r="J2784" s="148">
        <v>0</v>
      </c>
      <c r="K2784" s="222">
        <v>0</v>
      </c>
    </row>
    <row r="2785" spans="1:11" ht="15.75" hidden="1" thickBot="1" x14ac:dyDescent="0.3">
      <c r="A2785" s="209"/>
      <c r="B2785" s="206"/>
      <c r="C2785" s="35"/>
      <c r="D2785" s="35"/>
      <c r="E2785" s="36"/>
      <c r="F2785" s="30" t="s">
        <v>514</v>
      </c>
      <c r="G2785" s="33" t="str">
        <f t="shared" si="48"/>
        <v/>
      </c>
      <c r="H2785" s="34"/>
      <c r="I2785" s="30"/>
      <c r="J2785" s="148">
        <v>0</v>
      </c>
      <c r="K2785" s="222">
        <v>0</v>
      </c>
    </row>
    <row r="2786" spans="1:11" ht="15.75" hidden="1" thickBot="1" x14ac:dyDescent="0.3">
      <c r="A2786" s="202" t="s">
        <v>790</v>
      </c>
      <c r="B2786" s="204" t="str">
        <f>INDEX(Orçamentária!A:B,MATCH(Composições!A2786,Orçamentária!A:A,0),2)</f>
        <v>Vidro liso comum transparente 5mm</v>
      </c>
      <c r="C2786" s="40"/>
      <c r="D2786" s="25" t="str">
        <f>TRIM(INDEX(Orçamentária!C:C,MATCH(Composições!A2786,Orçamentária!A:A,0),1))</f>
        <v>m2</v>
      </c>
      <c r="E2786" s="26"/>
      <c r="F2786" s="41" t="s">
        <v>514</v>
      </c>
      <c r="G2786" s="27" t="str">
        <f t="shared" si="48"/>
        <v/>
      </c>
      <c r="H2786" s="28"/>
      <c r="I2786" s="29"/>
      <c r="J2786" s="148">
        <v>0</v>
      </c>
      <c r="K2786" s="222">
        <v>0</v>
      </c>
    </row>
    <row r="2787" spans="1:11" hidden="1" x14ac:dyDescent="0.25">
      <c r="A2787" s="203"/>
      <c r="B2787" s="205"/>
      <c r="C2787" s="31"/>
      <c r="D2787" s="31"/>
      <c r="E2787" s="32"/>
      <c r="F2787" s="42" t="s">
        <v>514</v>
      </c>
      <c r="G2787" s="33" t="str">
        <f t="shared" si="48"/>
        <v/>
      </c>
      <c r="H2787" s="34"/>
      <c r="I2787" s="30"/>
      <c r="J2787" s="148">
        <v>0</v>
      </c>
      <c r="K2787" s="222">
        <v>0</v>
      </c>
    </row>
    <row r="2788" spans="1:11" hidden="1" x14ac:dyDescent="0.25">
      <c r="A2788" s="203"/>
      <c r="B2788" s="205"/>
      <c r="C2788" s="35" t="s">
        <v>68</v>
      </c>
      <c r="D2788" s="46" t="s">
        <v>12</v>
      </c>
      <c r="E2788" s="36">
        <v>1</v>
      </c>
      <c r="F2788" s="33">
        <v>22.961500000000001</v>
      </c>
      <c r="G2788" s="33">
        <f t="shared" si="48"/>
        <v>22.961500000000001</v>
      </c>
      <c r="H2788" s="38">
        <f>SUM(G2788:G2790)</f>
        <v>141.607</v>
      </c>
      <c r="I2788" s="39"/>
      <c r="J2788" s="148">
        <v>0</v>
      </c>
      <c r="K2788" s="222">
        <v>0</v>
      </c>
    </row>
    <row r="2789" spans="1:11" hidden="1" x14ac:dyDescent="0.25">
      <c r="A2789" s="203"/>
      <c r="B2789" s="205"/>
      <c r="C2789" s="35" t="s">
        <v>287</v>
      </c>
      <c r="D2789" s="46" t="s">
        <v>787</v>
      </c>
      <c r="E2789" s="36">
        <v>2</v>
      </c>
      <c r="F2789" s="30">
        <v>5.8234999999999992</v>
      </c>
      <c r="G2789" s="33">
        <f t="shared" si="48"/>
        <v>11.646999999999998</v>
      </c>
      <c r="H2789" s="34"/>
      <c r="I2789" s="30"/>
      <c r="J2789" s="148">
        <v>0</v>
      </c>
      <c r="K2789" s="222">
        <v>0</v>
      </c>
    </row>
    <row r="2790" spans="1:11" hidden="1" x14ac:dyDescent="0.25">
      <c r="A2790" s="203"/>
      <c r="B2790" s="205"/>
      <c r="C2790" s="35" t="s">
        <v>789</v>
      </c>
      <c r="D2790" s="35" t="s">
        <v>94</v>
      </c>
      <c r="E2790" s="36">
        <v>1</v>
      </c>
      <c r="F2790" s="30">
        <v>106.99849999999999</v>
      </c>
      <c r="G2790" s="33">
        <f t="shared" si="48"/>
        <v>106.99849999999999</v>
      </c>
      <c r="H2790" s="34"/>
      <c r="I2790" s="30"/>
      <c r="J2790" s="148">
        <v>0</v>
      </c>
      <c r="K2790" s="222">
        <v>0</v>
      </c>
    </row>
    <row r="2791" spans="1:11" ht="15.75" hidden="1" thickBot="1" x14ac:dyDescent="0.3">
      <c r="A2791" s="209"/>
      <c r="B2791" s="206"/>
      <c r="C2791" s="35"/>
      <c r="D2791" s="35"/>
      <c r="E2791" s="36"/>
      <c r="F2791" s="30" t="s">
        <v>514</v>
      </c>
      <c r="G2791" s="33" t="str">
        <f t="shared" si="48"/>
        <v/>
      </c>
      <c r="H2791" s="34"/>
      <c r="I2791" s="30"/>
      <c r="J2791" s="148">
        <v>0</v>
      </c>
      <c r="K2791" s="222">
        <v>0</v>
      </c>
    </row>
    <row r="2792" spans="1:11" ht="15.75" hidden="1" thickBot="1" x14ac:dyDescent="0.3">
      <c r="A2792" s="202" t="s">
        <v>2691</v>
      </c>
      <c r="B2792" s="204" t="str">
        <f>INDEX(Orçamentária!A:B,MATCH(Composições!A2792,Orçamentária!A:A,0),2)</f>
        <v>Corte em vidro ou espelho reaproveitado</v>
      </c>
      <c r="C2792" s="40"/>
      <c r="D2792" s="25" t="str">
        <f>TRIM(INDEX(Orçamentária!C:C,MATCH(Composições!A2792,Orçamentária!A:A,0),1))</f>
        <v>m</v>
      </c>
      <c r="E2792" s="26"/>
      <c r="F2792" s="41" t="s">
        <v>514</v>
      </c>
      <c r="G2792" s="27" t="str">
        <f t="shared" si="48"/>
        <v/>
      </c>
      <c r="H2792" s="28"/>
      <c r="I2792" s="29"/>
      <c r="J2792" s="148">
        <v>20</v>
      </c>
      <c r="K2792" s="222" t="s">
        <v>8074</v>
      </c>
    </row>
    <row r="2793" spans="1:11" hidden="1" x14ac:dyDescent="0.25">
      <c r="A2793" s="203"/>
      <c r="B2793" s="205"/>
      <c r="C2793" s="31"/>
      <c r="D2793" s="31"/>
      <c r="E2793" s="32"/>
      <c r="F2793" s="42" t="s">
        <v>514</v>
      </c>
      <c r="G2793" s="33" t="str">
        <f t="shared" si="48"/>
        <v/>
      </c>
      <c r="H2793" s="34"/>
      <c r="I2793" s="30"/>
      <c r="J2793" s="148">
        <v>20</v>
      </c>
      <c r="K2793" s="222" t="s">
        <v>8074</v>
      </c>
    </row>
    <row r="2794" spans="1:11" hidden="1" x14ac:dyDescent="0.25">
      <c r="A2794" s="203"/>
      <c r="B2794" s="205"/>
      <c r="C2794" s="35" t="s">
        <v>68</v>
      </c>
      <c r="D2794" s="46" t="s">
        <v>12</v>
      </c>
      <c r="E2794" s="36">
        <v>0.5</v>
      </c>
      <c r="F2794" s="30">
        <v>22.961500000000001</v>
      </c>
      <c r="G2794" s="33">
        <f t="shared" si="48"/>
        <v>11.48075</v>
      </c>
      <c r="H2794" s="38">
        <f>SUM(G2794:G2795)</f>
        <v>20.691000000000003</v>
      </c>
      <c r="I2794" s="39"/>
      <c r="J2794" s="148">
        <v>20</v>
      </c>
      <c r="K2794" s="222" t="s">
        <v>8074</v>
      </c>
    </row>
    <row r="2795" spans="1:11" hidden="1" x14ac:dyDescent="0.25">
      <c r="A2795" s="203"/>
      <c r="B2795" s="205"/>
      <c r="C2795" s="35" t="s">
        <v>23</v>
      </c>
      <c r="D2795" s="46" t="s">
        <v>12</v>
      </c>
      <c r="E2795" s="36">
        <v>0.5</v>
      </c>
      <c r="F2795" s="30">
        <v>18.420500000000001</v>
      </c>
      <c r="G2795" s="33">
        <f t="shared" si="48"/>
        <v>9.2102500000000003</v>
      </c>
      <c r="H2795" s="34"/>
      <c r="I2795" s="30"/>
      <c r="J2795" s="148">
        <v>20</v>
      </c>
      <c r="K2795" s="222" t="s">
        <v>8074</v>
      </c>
    </row>
    <row r="2796" spans="1:11" ht="15.75" hidden="1" thickBot="1" x14ac:dyDescent="0.3">
      <c r="A2796" s="209"/>
      <c r="B2796" s="206"/>
      <c r="C2796" s="35"/>
      <c r="D2796" s="35"/>
      <c r="E2796" s="36"/>
      <c r="F2796" s="30" t="s">
        <v>514</v>
      </c>
      <c r="G2796" s="33" t="str">
        <f t="shared" si="48"/>
        <v/>
      </c>
      <c r="H2796" s="34"/>
      <c r="I2796" s="30"/>
      <c r="J2796" s="148">
        <v>20</v>
      </c>
      <c r="K2796" s="222" t="s">
        <v>8074</v>
      </c>
    </row>
    <row r="2797" spans="1:11" ht="15.75" hidden="1" thickBot="1" x14ac:dyDescent="0.3">
      <c r="A2797" s="202" t="s">
        <v>2693</v>
      </c>
      <c r="B2797" s="204" t="str">
        <f>INDEX(Orçamentária!A:B,MATCH(Composições!A2797,Orçamentária!A:A,0),2)</f>
        <v>Lapidação de vidro / espelho reaproveitado</v>
      </c>
      <c r="C2797" s="40"/>
      <c r="D2797" s="25" t="str">
        <f>TRIM(INDEX(Orçamentária!C:C,MATCH(Composições!A2797,Orçamentária!A:A,0),1))</f>
        <v>m</v>
      </c>
      <c r="E2797" s="26"/>
      <c r="F2797" s="41" t="s">
        <v>514</v>
      </c>
      <c r="G2797" s="27" t="str">
        <f t="shared" si="48"/>
        <v/>
      </c>
      <c r="H2797" s="28"/>
      <c r="I2797" s="29"/>
      <c r="J2797" s="148">
        <v>0</v>
      </c>
      <c r="K2797" s="222">
        <v>0</v>
      </c>
    </row>
    <row r="2798" spans="1:11" hidden="1" x14ac:dyDescent="0.25">
      <c r="A2798" s="203"/>
      <c r="B2798" s="205"/>
      <c r="C2798" s="31"/>
      <c r="D2798" s="31"/>
      <c r="E2798" s="32"/>
      <c r="F2798" s="42" t="s">
        <v>514</v>
      </c>
      <c r="G2798" s="33" t="str">
        <f t="shared" si="48"/>
        <v/>
      </c>
      <c r="H2798" s="34"/>
      <c r="I2798" s="30"/>
      <c r="J2798" s="148">
        <v>0</v>
      </c>
      <c r="K2798" s="222">
        <v>0</v>
      </c>
    </row>
    <row r="2799" spans="1:11" hidden="1" x14ac:dyDescent="0.25">
      <c r="A2799" s="203"/>
      <c r="B2799" s="205"/>
      <c r="C2799" s="35" t="s">
        <v>68</v>
      </c>
      <c r="D2799" s="46" t="s">
        <v>12</v>
      </c>
      <c r="E2799" s="36">
        <v>0.75</v>
      </c>
      <c r="F2799" s="30">
        <v>22.961500000000001</v>
      </c>
      <c r="G2799" s="33">
        <f t="shared" si="48"/>
        <v>17.221125000000001</v>
      </c>
      <c r="H2799" s="38">
        <f>SUM(G2799:G2800)</f>
        <v>31.0365</v>
      </c>
      <c r="I2799" s="39"/>
      <c r="J2799" s="148">
        <v>0</v>
      </c>
      <c r="K2799" s="222">
        <v>0</v>
      </c>
    </row>
    <row r="2800" spans="1:11" hidden="1" x14ac:dyDescent="0.25">
      <c r="A2800" s="203"/>
      <c r="B2800" s="205"/>
      <c r="C2800" s="35" t="s">
        <v>23</v>
      </c>
      <c r="D2800" s="46" t="s">
        <v>12</v>
      </c>
      <c r="E2800" s="36">
        <v>0.75</v>
      </c>
      <c r="F2800" s="30">
        <v>18.420500000000001</v>
      </c>
      <c r="G2800" s="33">
        <f t="shared" si="48"/>
        <v>13.815375</v>
      </c>
      <c r="H2800" s="34"/>
      <c r="I2800" s="30"/>
      <c r="J2800" s="148">
        <v>0</v>
      </c>
      <c r="K2800" s="222">
        <v>0</v>
      </c>
    </row>
    <row r="2801" spans="1:11" ht="15.75" hidden="1" thickBot="1" x14ac:dyDescent="0.3">
      <c r="A2801" s="209"/>
      <c r="B2801" s="206"/>
      <c r="C2801" s="35"/>
      <c r="D2801" s="35"/>
      <c r="E2801" s="36"/>
      <c r="F2801" s="30" t="s">
        <v>514</v>
      </c>
      <c r="G2801" s="33" t="str">
        <f t="shared" si="48"/>
        <v/>
      </c>
      <c r="H2801" s="34"/>
      <c r="I2801" s="30"/>
      <c r="J2801" s="148">
        <v>0</v>
      </c>
      <c r="K2801" s="222">
        <v>0</v>
      </c>
    </row>
    <row r="2802" spans="1:11" ht="15.75" hidden="1" thickBot="1" x14ac:dyDescent="0.3">
      <c r="A2802" s="202" t="s">
        <v>792</v>
      </c>
      <c r="B2802" s="204" t="str">
        <f>INDEX(Orçamentária!A:B,MATCH(Composições!A2802,Orçamentária!A:A,0),2)</f>
        <v>Vidro temperado incolor com 10 mm de espessura</v>
      </c>
      <c r="C2802" s="40"/>
      <c r="D2802" s="25" t="str">
        <f>TRIM(INDEX(Orçamentária!C:C,MATCH(Composições!A2802,Orçamentária!A:A,0),1))</f>
        <v>m2</v>
      </c>
      <c r="E2802" s="26"/>
      <c r="F2802" s="41" t="s">
        <v>514</v>
      </c>
      <c r="G2802" s="27" t="str">
        <f t="shared" si="48"/>
        <v/>
      </c>
      <c r="H2802" s="28"/>
      <c r="I2802" s="29"/>
      <c r="J2802" s="148">
        <v>0</v>
      </c>
      <c r="K2802" s="222">
        <v>0</v>
      </c>
    </row>
    <row r="2803" spans="1:11" hidden="1" x14ac:dyDescent="0.25">
      <c r="A2803" s="203"/>
      <c r="B2803" s="205"/>
      <c r="C2803" s="31"/>
      <c r="D2803" s="31"/>
      <c r="E2803" s="32"/>
      <c r="F2803" s="42" t="s">
        <v>514</v>
      </c>
      <c r="G2803" s="33" t="str">
        <f t="shared" si="48"/>
        <v/>
      </c>
      <c r="H2803" s="34"/>
      <c r="I2803" s="30"/>
      <c r="J2803" s="148">
        <v>0</v>
      </c>
      <c r="K2803" s="222">
        <v>0</v>
      </c>
    </row>
    <row r="2804" spans="1:11" hidden="1" x14ac:dyDescent="0.25">
      <c r="A2804" s="203"/>
      <c r="B2804" s="205"/>
      <c r="C2804" s="35" t="s">
        <v>793</v>
      </c>
      <c r="D2804" s="35" t="s">
        <v>982</v>
      </c>
      <c r="E2804" s="36">
        <v>1</v>
      </c>
      <c r="F2804" s="33">
        <v>202.89149999999998</v>
      </c>
      <c r="G2804" s="33">
        <f t="shared" si="48"/>
        <v>202.89149999999998</v>
      </c>
      <c r="H2804" s="38">
        <f>SUM(G2804:G2810)</f>
        <v>303.83638149999996</v>
      </c>
      <c r="I2804" s="39"/>
      <c r="J2804" s="148">
        <v>0</v>
      </c>
      <c r="K2804" s="222">
        <v>0</v>
      </c>
    </row>
    <row r="2805" spans="1:11" ht="38.25" hidden="1" x14ac:dyDescent="0.25">
      <c r="A2805" s="203"/>
      <c r="B2805" s="205"/>
      <c r="C2805" s="35" t="s">
        <v>3233</v>
      </c>
      <c r="D2805" s="35" t="s">
        <v>278</v>
      </c>
      <c r="E2805" s="36">
        <v>1.7050000000000001</v>
      </c>
      <c r="F2805" s="33">
        <v>0.38949999999999996</v>
      </c>
      <c r="G2805" s="33">
        <f t="shared" si="48"/>
        <v>0.66409750000000001</v>
      </c>
      <c r="H2805" s="34"/>
      <c r="I2805" s="30"/>
      <c r="J2805" s="148">
        <v>0</v>
      </c>
      <c r="K2805" s="222">
        <v>0</v>
      </c>
    </row>
    <row r="2806" spans="1:11" hidden="1" x14ac:dyDescent="0.25">
      <c r="A2806" s="203"/>
      <c r="B2806" s="205"/>
      <c r="C2806" s="35" t="s">
        <v>827</v>
      </c>
      <c r="D2806" s="35" t="s">
        <v>891</v>
      </c>
      <c r="E2806" s="36">
        <v>0.748</v>
      </c>
      <c r="F2806" s="33">
        <v>39.054499999999997</v>
      </c>
      <c r="G2806" s="33">
        <f t="shared" si="48"/>
        <v>29.212765999999998</v>
      </c>
      <c r="H2806" s="34"/>
      <c r="I2806" s="30"/>
      <c r="J2806" s="148">
        <v>0</v>
      </c>
      <c r="K2806" s="222">
        <v>0</v>
      </c>
    </row>
    <row r="2807" spans="1:11" ht="25.5" hidden="1" x14ac:dyDescent="0.25">
      <c r="A2807" s="203"/>
      <c r="B2807" s="205"/>
      <c r="C2807" s="35" t="s">
        <v>3302</v>
      </c>
      <c r="D2807" s="35" t="s">
        <v>473</v>
      </c>
      <c r="E2807" s="36">
        <v>2.3220000000000001</v>
      </c>
      <c r="F2807" s="33">
        <v>2.4034999999999997</v>
      </c>
      <c r="G2807" s="33">
        <f t="shared" si="48"/>
        <v>5.580927</v>
      </c>
      <c r="H2807" s="34"/>
      <c r="I2807" s="30"/>
      <c r="J2807" s="148">
        <v>0</v>
      </c>
      <c r="K2807" s="222">
        <v>0</v>
      </c>
    </row>
    <row r="2808" spans="1:11" hidden="1" x14ac:dyDescent="0.25">
      <c r="A2808" s="203"/>
      <c r="B2808" s="205"/>
      <c r="C2808" s="35" t="s">
        <v>1117</v>
      </c>
      <c r="D2808" s="35" t="s">
        <v>278</v>
      </c>
      <c r="E2808" s="36">
        <v>0.309</v>
      </c>
      <c r="F2808" s="33">
        <v>24.414999999999999</v>
      </c>
      <c r="G2808" s="33">
        <f t="shared" si="48"/>
        <v>7.5442349999999996</v>
      </c>
      <c r="H2808" s="34"/>
      <c r="I2808" s="30"/>
      <c r="J2808" s="148">
        <v>0</v>
      </c>
      <c r="K2808" s="222">
        <v>0</v>
      </c>
    </row>
    <row r="2809" spans="1:11" hidden="1" x14ac:dyDescent="0.25">
      <c r="A2809" s="203"/>
      <c r="B2809" s="205"/>
      <c r="C2809" s="35" t="s">
        <v>696</v>
      </c>
      <c r="D2809" s="35" t="s">
        <v>695</v>
      </c>
      <c r="E2809" s="36">
        <v>1.3779999999999999</v>
      </c>
      <c r="F2809" s="30">
        <v>18.420500000000001</v>
      </c>
      <c r="G2809" s="33">
        <f t="shared" si="48"/>
        <v>25.383448999999999</v>
      </c>
      <c r="H2809" s="34"/>
      <c r="I2809" s="30"/>
      <c r="J2809" s="148">
        <v>0</v>
      </c>
      <c r="K2809" s="222">
        <v>0</v>
      </c>
    </row>
    <row r="2810" spans="1:11" hidden="1" x14ac:dyDescent="0.25">
      <c r="A2810" s="203"/>
      <c r="B2810" s="205"/>
      <c r="C2810" s="35" t="s">
        <v>3220</v>
      </c>
      <c r="D2810" s="35" t="s">
        <v>695</v>
      </c>
      <c r="E2810" s="36">
        <v>1.4179999999999999</v>
      </c>
      <c r="F2810" s="30">
        <v>22.961500000000001</v>
      </c>
      <c r="G2810" s="33">
        <f t="shared" si="48"/>
        <v>32.559407</v>
      </c>
      <c r="H2810" s="34"/>
      <c r="I2810" s="30"/>
      <c r="J2810" s="148">
        <v>0</v>
      </c>
      <c r="K2810" s="222">
        <v>0</v>
      </c>
    </row>
    <row r="2811" spans="1:11" ht="15.75" hidden="1" thickBot="1" x14ac:dyDescent="0.3">
      <c r="A2811" s="209"/>
      <c r="B2811" s="206"/>
      <c r="C2811" s="35"/>
      <c r="D2811" s="35"/>
      <c r="E2811" s="36"/>
      <c r="F2811" s="30" t="s">
        <v>514</v>
      </c>
      <c r="G2811" s="33" t="str">
        <f t="shared" si="48"/>
        <v/>
      </c>
      <c r="H2811" s="34"/>
      <c r="I2811" s="30"/>
      <c r="J2811" s="148">
        <v>0</v>
      </c>
      <c r="K2811" s="222">
        <v>0</v>
      </c>
    </row>
    <row r="2812" spans="1:11" ht="15.75" hidden="1" thickBot="1" x14ac:dyDescent="0.3">
      <c r="A2812" s="202" t="s">
        <v>794</v>
      </c>
      <c r="B2812" s="204" t="str">
        <f>INDEX(Orçamentária!A:B,MATCH(Composições!A2812,Orçamentária!A:A,0),2)</f>
        <v>Bucha para pivô de dobradiça para vidro temperado</v>
      </c>
      <c r="C2812" s="40"/>
      <c r="D2812" s="25" t="str">
        <f>TRIM(INDEX(Orçamentária!C:C,MATCH(Composições!A2812,Orçamentária!A:A,0),1))</f>
        <v>un</v>
      </c>
      <c r="E2812" s="26"/>
      <c r="F2812" s="41" t="s">
        <v>514</v>
      </c>
      <c r="G2812" s="27" t="str">
        <f t="shared" si="48"/>
        <v/>
      </c>
      <c r="H2812" s="28"/>
      <c r="I2812" s="29"/>
      <c r="J2812" s="148">
        <v>0</v>
      </c>
      <c r="K2812" s="222">
        <v>0</v>
      </c>
    </row>
    <row r="2813" spans="1:11" hidden="1" x14ac:dyDescent="0.25">
      <c r="A2813" s="203"/>
      <c r="B2813" s="205"/>
      <c r="C2813" s="31"/>
      <c r="D2813" s="31"/>
      <c r="E2813" s="32"/>
      <c r="F2813" s="42" t="s">
        <v>514</v>
      </c>
      <c r="G2813" s="33" t="str">
        <f t="shared" ref="G2813:G2876" si="49">IF(ISNUMBER(F2813),E2813*F2813,"")</f>
        <v/>
      </c>
      <c r="H2813" s="34"/>
      <c r="I2813" s="30"/>
      <c r="J2813" s="148">
        <v>0</v>
      </c>
      <c r="K2813" s="222">
        <v>0</v>
      </c>
    </row>
    <row r="2814" spans="1:11" hidden="1" x14ac:dyDescent="0.25">
      <c r="A2814" s="203"/>
      <c r="B2814" s="205"/>
      <c r="C2814" s="35" t="s">
        <v>68</v>
      </c>
      <c r="D2814" s="35" t="s">
        <v>12</v>
      </c>
      <c r="E2814" s="36">
        <v>0.15</v>
      </c>
      <c r="F2814" s="33">
        <v>22.961500000000001</v>
      </c>
      <c r="G2814" s="33">
        <f t="shared" si="49"/>
        <v>3.4442249999999999</v>
      </c>
      <c r="H2814" s="38">
        <f>SUM(G2814:G2815)</f>
        <v>3.4442249999999999</v>
      </c>
      <c r="I2814" s="39"/>
      <c r="J2814" s="148">
        <v>0</v>
      </c>
      <c r="K2814" s="222">
        <v>0</v>
      </c>
    </row>
    <row r="2815" spans="1:11" ht="25.5" hidden="1" x14ac:dyDescent="0.25">
      <c r="A2815" s="203"/>
      <c r="B2815" s="205"/>
      <c r="C2815" s="35" t="s">
        <v>795</v>
      </c>
      <c r="D2815" s="35" t="s">
        <v>20</v>
      </c>
      <c r="E2815" s="36">
        <v>1</v>
      </c>
      <c r="F2815" s="30">
        <v>0</v>
      </c>
      <c r="G2815" s="33">
        <f t="shared" si="49"/>
        <v>0</v>
      </c>
      <c r="H2815" s="34"/>
      <c r="I2815" s="30"/>
      <c r="J2815" s="148">
        <v>0</v>
      </c>
      <c r="K2815" s="222">
        <v>0</v>
      </c>
    </row>
    <row r="2816" spans="1:11" ht="15.75" hidden="1" thickBot="1" x14ac:dyDescent="0.3">
      <c r="A2816" s="209"/>
      <c r="B2816" s="206"/>
      <c r="C2816" s="35"/>
      <c r="D2816" s="35"/>
      <c r="E2816" s="36"/>
      <c r="F2816" s="30" t="s">
        <v>514</v>
      </c>
      <c r="G2816" s="33" t="str">
        <f t="shared" si="49"/>
        <v/>
      </c>
      <c r="H2816" s="34"/>
      <c r="I2816" s="30"/>
      <c r="J2816" s="148">
        <v>0</v>
      </c>
      <c r="K2816" s="222">
        <v>0</v>
      </c>
    </row>
    <row r="2817" spans="1:11" ht="15.75" hidden="1" thickBot="1" x14ac:dyDescent="0.3">
      <c r="A2817" s="202" t="s">
        <v>796</v>
      </c>
      <c r="B2817" s="204" t="str">
        <f>INDEX(Orçamentária!A:B,MATCH(Composições!A2817,Orçamentária!A:A,0),2)</f>
        <v>Suporte para bandeira de vidro temperado, com ponto de giro para dobradiça</v>
      </c>
      <c r="C2817" s="40"/>
      <c r="D2817" s="25" t="str">
        <f>TRIM(INDEX(Orçamentária!C:C,MATCH(Composições!A2817,Orçamentária!A:A,0),1))</f>
        <v>un</v>
      </c>
      <c r="E2817" s="26"/>
      <c r="F2817" s="41" t="s">
        <v>514</v>
      </c>
      <c r="G2817" s="27" t="str">
        <f t="shared" si="49"/>
        <v/>
      </c>
      <c r="H2817" s="28"/>
      <c r="I2817" s="29"/>
      <c r="J2817" s="148">
        <v>0</v>
      </c>
      <c r="K2817" s="222">
        <v>0</v>
      </c>
    </row>
    <row r="2818" spans="1:11" hidden="1" x14ac:dyDescent="0.25">
      <c r="A2818" s="203"/>
      <c r="B2818" s="205"/>
      <c r="C2818" s="31"/>
      <c r="D2818" s="31"/>
      <c r="E2818" s="32"/>
      <c r="F2818" s="42" t="s">
        <v>514</v>
      </c>
      <c r="G2818" s="33" t="str">
        <f t="shared" si="49"/>
        <v/>
      </c>
      <c r="H2818" s="34"/>
      <c r="I2818" s="30"/>
      <c r="J2818" s="148">
        <v>0</v>
      </c>
      <c r="K2818" s="222">
        <v>0</v>
      </c>
    </row>
    <row r="2819" spans="1:11" hidden="1" x14ac:dyDescent="0.25">
      <c r="A2819" s="203"/>
      <c r="B2819" s="205"/>
      <c r="C2819" s="35" t="s">
        <v>68</v>
      </c>
      <c r="D2819" s="46" t="s">
        <v>12</v>
      </c>
      <c r="E2819" s="36">
        <v>0.3</v>
      </c>
      <c r="F2819" s="33">
        <v>22.961500000000001</v>
      </c>
      <c r="G2819" s="33">
        <f t="shared" si="49"/>
        <v>6.8884499999999997</v>
      </c>
      <c r="H2819" s="38">
        <f>SUM(G2819:G2820)</f>
        <v>6.8884499999999997</v>
      </c>
      <c r="I2819" s="39"/>
      <c r="J2819" s="148">
        <v>0</v>
      </c>
      <c r="K2819" s="222">
        <v>0</v>
      </c>
    </row>
    <row r="2820" spans="1:11" ht="25.5" hidden="1" x14ac:dyDescent="0.25">
      <c r="A2820" s="203"/>
      <c r="B2820" s="205"/>
      <c r="C2820" s="35" t="s">
        <v>797</v>
      </c>
      <c r="D2820" s="46" t="s">
        <v>20</v>
      </c>
      <c r="E2820" s="36">
        <v>1</v>
      </c>
      <c r="F2820" s="30">
        <v>0</v>
      </c>
      <c r="G2820" s="33">
        <f t="shared" si="49"/>
        <v>0</v>
      </c>
      <c r="H2820" s="34"/>
      <c r="I2820" s="30"/>
      <c r="J2820" s="148">
        <v>0</v>
      </c>
      <c r="K2820" s="222">
        <v>0</v>
      </c>
    </row>
    <row r="2821" spans="1:11" ht="15.75" hidden="1" thickBot="1" x14ac:dyDescent="0.3">
      <c r="A2821" s="209"/>
      <c r="B2821" s="206"/>
      <c r="C2821" s="35"/>
      <c r="D2821" s="35"/>
      <c r="E2821" s="36"/>
      <c r="F2821" s="30" t="s">
        <v>514</v>
      </c>
      <c r="G2821" s="33" t="str">
        <f t="shared" si="49"/>
        <v/>
      </c>
      <c r="H2821" s="34"/>
      <c r="I2821" s="30"/>
      <c r="J2821" s="148">
        <v>0</v>
      </c>
      <c r="K2821" s="222">
        <v>0</v>
      </c>
    </row>
    <row r="2822" spans="1:11" ht="15.75" hidden="1" thickBot="1" x14ac:dyDescent="0.3">
      <c r="A2822" s="202" t="s">
        <v>798</v>
      </c>
      <c r="B2822" s="204" t="str">
        <f>INDEX(Orçamentária!A:B,MATCH(Composições!A2822,Orçamentária!A:A,0),2)</f>
        <v>Suporte de canto, simples, para vidro temperado</v>
      </c>
      <c r="C2822" s="40"/>
      <c r="D2822" s="25" t="str">
        <f>TRIM(INDEX(Orçamentária!C:C,MATCH(Composições!A2822,Orçamentária!A:A,0),1))</f>
        <v>un</v>
      </c>
      <c r="E2822" s="26"/>
      <c r="F2822" s="41" t="s">
        <v>514</v>
      </c>
      <c r="G2822" s="27" t="str">
        <f t="shared" si="49"/>
        <v/>
      </c>
      <c r="H2822" s="28"/>
      <c r="I2822" s="29"/>
      <c r="J2822" s="148">
        <v>0</v>
      </c>
      <c r="K2822" s="222">
        <v>0</v>
      </c>
    </row>
    <row r="2823" spans="1:11" hidden="1" x14ac:dyDescent="0.25">
      <c r="A2823" s="203"/>
      <c r="B2823" s="205"/>
      <c r="C2823" s="31"/>
      <c r="D2823" s="31"/>
      <c r="E2823" s="32"/>
      <c r="F2823" s="42" t="s">
        <v>514</v>
      </c>
      <c r="G2823" s="33" t="str">
        <f t="shared" si="49"/>
        <v/>
      </c>
      <c r="H2823" s="34"/>
      <c r="I2823" s="30"/>
      <c r="J2823" s="148">
        <v>0</v>
      </c>
      <c r="K2823" s="222">
        <v>0</v>
      </c>
    </row>
    <row r="2824" spans="1:11" hidden="1" x14ac:dyDescent="0.25">
      <c r="A2824" s="203"/>
      <c r="B2824" s="205"/>
      <c r="C2824" s="35" t="s">
        <v>68</v>
      </c>
      <c r="D2824" s="35" t="s">
        <v>12</v>
      </c>
      <c r="E2824" s="36">
        <v>0.15</v>
      </c>
      <c r="F2824" s="33">
        <v>22.961500000000001</v>
      </c>
      <c r="G2824" s="33">
        <f t="shared" si="49"/>
        <v>3.4442249999999999</v>
      </c>
      <c r="H2824" s="38">
        <f>SUM(G2824:G2825)</f>
        <v>4.3942249999999996</v>
      </c>
      <c r="I2824" s="39"/>
      <c r="J2824" s="148">
        <v>0</v>
      </c>
      <c r="K2824" s="222">
        <v>0</v>
      </c>
    </row>
    <row r="2825" spans="1:11" ht="25.5" hidden="1" x14ac:dyDescent="0.25">
      <c r="A2825" s="203"/>
      <c r="B2825" s="205"/>
      <c r="C2825" s="35" t="s">
        <v>799</v>
      </c>
      <c r="D2825" s="35" t="s">
        <v>20</v>
      </c>
      <c r="E2825" s="36">
        <v>1</v>
      </c>
      <c r="F2825" s="30">
        <v>0.95</v>
      </c>
      <c r="G2825" s="33">
        <f t="shared" si="49"/>
        <v>0.95</v>
      </c>
      <c r="H2825" s="34"/>
      <c r="I2825" s="30"/>
      <c r="J2825" s="148">
        <v>0</v>
      </c>
      <c r="K2825" s="222">
        <v>0</v>
      </c>
    </row>
    <row r="2826" spans="1:11" ht="15.75" hidden="1" thickBot="1" x14ac:dyDescent="0.3">
      <c r="A2826" s="209"/>
      <c r="B2826" s="206"/>
      <c r="C2826" s="35"/>
      <c r="D2826" s="35"/>
      <c r="E2826" s="36"/>
      <c r="F2826" s="30" t="s">
        <v>514</v>
      </c>
      <c r="G2826" s="33" t="str">
        <f t="shared" si="49"/>
        <v/>
      </c>
      <c r="H2826" s="34"/>
      <c r="I2826" s="30"/>
      <c r="J2826" s="148">
        <v>0</v>
      </c>
      <c r="K2826" s="222">
        <v>0</v>
      </c>
    </row>
    <row r="2827" spans="1:11" ht="15.75" hidden="1" thickBot="1" x14ac:dyDescent="0.3">
      <c r="A2827" s="202" t="s">
        <v>800</v>
      </c>
      <c r="B2827" s="204" t="str">
        <f>INDEX(Orçamentária!A:B,MATCH(Composições!A2827,Orçamentária!A:A,0),2)</f>
        <v>Suporte de união, sem batedor, para dois ou três vidros temperados</v>
      </c>
      <c r="C2827" s="40"/>
      <c r="D2827" s="25" t="str">
        <f>TRIM(INDEX(Orçamentária!C:C,MATCH(Composições!A2827,Orçamentária!A:A,0),1))</f>
        <v>un</v>
      </c>
      <c r="E2827" s="26"/>
      <c r="F2827" s="41" t="s">
        <v>514</v>
      </c>
      <c r="G2827" s="27" t="str">
        <f t="shared" si="49"/>
        <v/>
      </c>
      <c r="H2827" s="28"/>
      <c r="I2827" s="29"/>
      <c r="J2827" s="148">
        <v>0</v>
      </c>
      <c r="K2827" s="222">
        <v>0</v>
      </c>
    </row>
    <row r="2828" spans="1:11" hidden="1" x14ac:dyDescent="0.25">
      <c r="A2828" s="203"/>
      <c r="B2828" s="205"/>
      <c r="C2828" s="31"/>
      <c r="D2828" s="31"/>
      <c r="E2828" s="32"/>
      <c r="F2828" s="42" t="s">
        <v>514</v>
      </c>
      <c r="G2828" s="33" t="str">
        <f t="shared" si="49"/>
        <v/>
      </c>
      <c r="H2828" s="34"/>
      <c r="I2828" s="30"/>
      <c r="J2828" s="148">
        <v>0</v>
      </c>
      <c r="K2828" s="222">
        <v>0</v>
      </c>
    </row>
    <row r="2829" spans="1:11" hidden="1" x14ac:dyDescent="0.25">
      <c r="A2829" s="203"/>
      <c r="B2829" s="205"/>
      <c r="C2829" s="35" t="s">
        <v>68</v>
      </c>
      <c r="D2829" s="35" t="s">
        <v>12</v>
      </c>
      <c r="E2829" s="36">
        <v>0.3</v>
      </c>
      <c r="F2829" s="33">
        <v>22.961500000000001</v>
      </c>
      <c r="G2829" s="33">
        <f t="shared" si="49"/>
        <v>6.8884499999999997</v>
      </c>
      <c r="H2829" s="38">
        <f>SUM(G2829:G2830)</f>
        <v>6.8884499999999997</v>
      </c>
      <c r="I2829" s="39"/>
      <c r="J2829" s="148">
        <v>0</v>
      </c>
      <c r="K2829" s="222">
        <v>0</v>
      </c>
    </row>
    <row r="2830" spans="1:11" ht="25.5" hidden="1" x14ac:dyDescent="0.25">
      <c r="A2830" s="203"/>
      <c r="B2830" s="205"/>
      <c r="C2830" s="35" t="s">
        <v>801</v>
      </c>
      <c r="D2830" s="35" t="s">
        <v>20</v>
      </c>
      <c r="E2830" s="36">
        <v>1</v>
      </c>
      <c r="F2830" s="30">
        <v>0</v>
      </c>
      <c r="G2830" s="33">
        <f t="shared" si="49"/>
        <v>0</v>
      </c>
      <c r="H2830" s="34"/>
      <c r="I2830" s="30"/>
      <c r="J2830" s="148">
        <v>0</v>
      </c>
      <c r="K2830" s="222">
        <v>0</v>
      </c>
    </row>
    <row r="2831" spans="1:11" hidden="1" x14ac:dyDescent="0.25">
      <c r="A2831" s="203"/>
      <c r="B2831" s="205"/>
      <c r="C2831" s="35"/>
      <c r="D2831" s="35"/>
      <c r="E2831" s="36"/>
      <c r="F2831" s="30" t="s">
        <v>514</v>
      </c>
      <c r="G2831" s="33" t="str">
        <f t="shared" si="49"/>
        <v/>
      </c>
      <c r="H2831" s="34"/>
      <c r="I2831" s="30"/>
      <c r="J2831" s="148">
        <v>0</v>
      </c>
      <c r="K2831" s="222">
        <v>0</v>
      </c>
    </row>
    <row r="2832" spans="1:11" ht="39" hidden="1" x14ac:dyDescent="0.25">
      <c r="A2832" s="203"/>
      <c r="B2832" s="205"/>
      <c r="C2832" s="142" t="s">
        <v>802</v>
      </c>
      <c r="D2832" s="35"/>
      <c r="E2832" s="36"/>
      <c r="F2832" s="30" t="s">
        <v>514</v>
      </c>
      <c r="G2832" s="33" t="str">
        <f t="shared" si="49"/>
        <v/>
      </c>
      <c r="H2832" s="34"/>
      <c r="I2832" s="30"/>
      <c r="J2832" s="148">
        <v>0</v>
      </c>
      <c r="K2832" s="222">
        <v>0</v>
      </c>
    </row>
    <row r="2833" spans="1:11" ht="15.75" hidden="1" thickBot="1" x14ac:dyDescent="0.3">
      <c r="A2833" s="209"/>
      <c r="B2833" s="206"/>
      <c r="C2833" s="35"/>
      <c r="D2833" s="35"/>
      <c r="E2833" s="36"/>
      <c r="F2833" s="30" t="s">
        <v>514</v>
      </c>
      <c r="G2833" s="33" t="str">
        <f t="shared" si="49"/>
        <v/>
      </c>
      <c r="H2833" s="34"/>
      <c r="I2833" s="30"/>
      <c r="J2833" s="148">
        <v>0</v>
      </c>
      <c r="K2833" s="222">
        <v>0</v>
      </c>
    </row>
    <row r="2834" spans="1:11" ht="15.75" hidden="1" thickBot="1" x14ac:dyDescent="0.3">
      <c r="A2834" s="202" t="s">
        <v>803</v>
      </c>
      <c r="B2834" s="204" t="str">
        <f>INDEX(Orçamentária!A:B,MATCH(Composições!A2834,Orçamentária!A:A,0),2)</f>
        <v>Botão de correção para vidro temperado</v>
      </c>
      <c r="C2834" s="40"/>
      <c r="D2834" s="25" t="str">
        <f>TRIM(INDEX(Orçamentária!C:C,MATCH(Composições!A2834,Orçamentária!A:A,0),1))</f>
        <v>un</v>
      </c>
      <c r="E2834" s="26"/>
      <c r="F2834" s="41" t="s">
        <v>514</v>
      </c>
      <c r="G2834" s="27" t="str">
        <f t="shared" si="49"/>
        <v/>
      </c>
      <c r="H2834" s="28"/>
      <c r="I2834" s="29"/>
      <c r="J2834" s="148">
        <v>0</v>
      </c>
      <c r="K2834" s="222">
        <v>0</v>
      </c>
    </row>
    <row r="2835" spans="1:11" hidden="1" x14ac:dyDescent="0.25">
      <c r="A2835" s="203"/>
      <c r="B2835" s="205"/>
      <c r="C2835" s="31"/>
      <c r="D2835" s="31"/>
      <c r="E2835" s="32"/>
      <c r="F2835" s="42" t="s">
        <v>514</v>
      </c>
      <c r="G2835" s="33" t="str">
        <f t="shared" si="49"/>
        <v/>
      </c>
      <c r="H2835" s="34"/>
      <c r="I2835" s="30"/>
      <c r="J2835" s="148">
        <v>0</v>
      </c>
      <c r="K2835" s="222">
        <v>0</v>
      </c>
    </row>
    <row r="2836" spans="1:11" hidden="1" x14ac:dyDescent="0.25">
      <c r="A2836" s="203"/>
      <c r="B2836" s="205"/>
      <c r="C2836" s="35" t="s">
        <v>68</v>
      </c>
      <c r="D2836" s="35" t="s">
        <v>12</v>
      </c>
      <c r="E2836" s="36">
        <v>0.15</v>
      </c>
      <c r="F2836" s="33">
        <v>22.961500000000001</v>
      </c>
      <c r="G2836" s="33">
        <f t="shared" si="49"/>
        <v>3.4442249999999999</v>
      </c>
      <c r="H2836" s="38">
        <f>SUM(G2836:G2837)</f>
        <v>3.4442249999999999</v>
      </c>
      <c r="I2836" s="39"/>
      <c r="J2836" s="148">
        <v>0</v>
      </c>
      <c r="K2836" s="222">
        <v>0</v>
      </c>
    </row>
    <row r="2837" spans="1:11" hidden="1" x14ac:dyDescent="0.25">
      <c r="A2837" s="203"/>
      <c r="B2837" s="205"/>
      <c r="C2837" s="35" t="s">
        <v>804</v>
      </c>
      <c r="D2837" s="35" t="s">
        <v>20</v>
      </c>
      <c r="E2837" s="36">
        <v>1</v>
      </c>
      <c r="F2837" s="30">
        <v>0</v>
      </c>
      <c r="G2837" s="33">
        <f t="shared" si="49"/>
        <v>0</v>
      </c>
      <c r="H2837" s="34"/>
      <c r="I2837" s="30"/>
      <c r="J2837" s="148">
        <v>0</v>
      </c>
      <c r="K2837" s="222">
        <v>0</v>
      </c>
    </row>
    <row r="2838" spans="1:11" ht="15.75" hidden="1" thickBot="1" x14ac:dyDescent="0.3">
      <c r="A2838" s="209"/>
      <c r="B2838" s="206"/>
      <c r="C2838" s="35"/>
      <c r="D2838" s="35"/>
      <c r="E2838" s="36"/>
      <c r="F2838" s="30" t="s">
        <v>514</v>
      </c>
      <c r="G2838" s="33" t="str">
        <f t="shared" si="49"/>
        <v/>
      </c>
      <c r="H2838" s="34"/>
      <c r="I2838" s="30"/>
      <c r="J2838" s="148">
        <v>0</v>
      </c>
      <c r="K2838" s="222">
        <v>0</v>
      </c>
    </row>
    <row r="2839" spans="1:11" ht="15.75" hidden="1" thickBot="1" x14ac:dyDescent="0.3">
      <c r="A2839" s="202" t="s">
        <v>805</v>
      </c>
      <c r="B2839" s="204" t="str">
        <f>INDEX(Orçamentária!A:B,MATCH(Composições!A2839,Orçamentária!A:A,0),2)</f>
        <v>Fechadura bico-de-papagaio, com furo, para vidro temperado</v>
      </c>
      <c r="C2839" s="40"/>
      <c r="D2839" s="25" t="str">
        <f>TRIM(INDEX(Orçamentária!C:C,MATCH(Composições!A2839,Orçamentária!A:A,0),1))</f>
        <v>un</v>
      </c>
      <c r="E2839" s="26"/>
      <c r="F2839" s="41" t="s">
        <v>514</v>
      </c>
      <c r="G2839" s="27" t="str">
        <f t="shared" si="49"/>
        <v/>
      </c>
      <c r="H2839" s="28"/>
      <c r="I2839" s="29"/>
      <c r="J2839" s="148">
        <v>0</v>
      </c>
      <c r="K2839" s="222">
        <v>0</v>
      </c>
    </row>
    <row r="2840" spans="1:11" hidden="1" x14ac:dyDescent="0.25">
      <c r="A2840" s="203"/>
      <c r="B2840" s="205"/>
      <c r="C2840" s="31"/>
      <c r="D2840" s="31"/>
      <c r="E2840" s="32"/>
      <c r="F2840" s="42" t="s">
        <v>514</v>
      </c>
      <c r="G2840" s="33" t="str">
        <f t="shared" si="49"/>
        <v/>
      </c>
      <c r="H2840" s="34"/>
      <c r="I2840" s="30"/>
      <c r="J2840" s="148">
        <v>0</v>
      </c>
      <c r="K2840" s="222">
        <v>0</v>
      </c>
    </row>
    <row r="2841" spans="1:11" hidden="1" x14ac:dyDescent="0.25">
      <c r="A2841" s="203"/>
      <c r="B2841" s="205"/>
      <c r="C2841" s="35" t="s">
        <v>68</v>
      </c>
      <c r="D2841" s="35" t="s">
        <v>12</v>
      </c>
      <c r="E2841" s="36">
        <v>0.4</v>
      </c>
      <c r="F2841" s="33">
        <v>22.961500000000001</v>
      </c>
      <c r="G2841" s="33">
        <f t="shared" si="49"/>
        <v>9.1846000000000014</v>
      </c>
      <c r="H2841" s="38">
        <f>SUM(G2841:G2842)</f>
        <v>9.1846000000000014</v>
      </c>
      <c r="I2841" s="39"/>
      <c r="J2841" s="148">
        <v>0</v>
      </c>
      <c r="K2841" s="222">
        <v>0</v>
      </c>
    </row>
    <row r="2842" spans="1:11" ht="25.5" hidden="1" x14ac:dyDescent="0.25">
      <c r="A2842" s="203"/>
      <c r="B2842" s="205"/>
      <c r="C2842" s="35" t="s">
        <v>806</v>
      </c>
      <c r="D2842" s="35" t="s">
        <v>20</v>
      </c>
      <c r="E2842" s="36">
        <v>1</v>
      </c>
      <c r="F2842" s="30" t="s">
        <v>514</v>
      </c>
      <c r="G2842" s="33" t="str">
        <f t="shared" si="49"/>
        <v/>
      </c>
      <c r="H2842" s="34"/>
      <c r="I2842" s="30"/>
      <c r="J2842" s="148">
        <v>0</v>
      </c>
      <c r="K2842" s="222">
        <v>0</v>
      </c>
    </row>
    <row r="2843" spans="1:11" ht="15.75" hidden="1" thickBot="1" x14ac:dyDescent="0.3">
      <c r="A2843" s="209"/>
      <c r="B2843" s="206"/>
      <c r="C2843" s="35"/>
      <c r="D2843" s="35"/>
      <c r="E2843" s="36"/>
      <c r="F2843" s="30" t="s">
        <v>514</v>
      </c>
      <c r="G2843" s="33" t="str">
        <f t="shared" si="49"/>
        <v/>
      </c>
      <c r="H2843" s="34"/>
      <c r="I2843" s="30"/>
      <c r="J2843" s="148">
        <v>0</v>
      </c>
      <c r="K2843" s="222">
        <v>0</v>
      </c>
    </row>
    <row r="2844" spans="1:11" ht="15.75" hidden="1" thickBot="1" x14ac:dyDescent="0.3">
      <c r="A2844" s="202" t="s">
        <v>807</v>
      </c>
      <c r="B2844" s="204" t="str">
        <f>INDEX(Orçamentária!A:B,MATCH(Composições!A2844,Orçamentária!A:A,0),2)</f>
        <v>Fechadura bico-de-papagaio, com furo, para janela de vidro temperado</v>
      </c>
      <c r="C2844" s="40"/>
      <c r="D2844" s="25" t="str">
        <f>TRIM(INDEX(Orçamentária!C:C,MATCH(Composições!A2844,Orçamentária!A:A,0),1))</f>
        <v>un</v>
      </c>
      <c r="E2844" s="26"/>
      <c r="F2844" s="41" t="s">
        <v>514</v>
      </c>
      <c r="G2844" s="27" t="str">
        <f t="shared" si="49"/>
        <v/>
      </c>
      <c r="H2844" s="28"/>
      <c r="I2844" s="29"/>
      <c r="J2844" s="148">
        <v>0</v>
      </c>
      <c r="K2844" s="222">
        <v>0</v>
      </c>
    </row>
    <row r="2845" spans="1:11" hidden="1" x14ac:dyDescent="0.25">
      <c r="A2845" s="203"/>
      <c r="B2845" s="205"/>
      <c r="C2845" s="31"/>
      <c r="D2845" s="31"/>
      <c r="E2845" s="32"/>
      <c r="F2845" s="42" t="s">
        <v>514</v>
      </c>
      <c r="G2845" s="33" t="str">
        <f t="shared" si="49"/>
        <v/>
      </c>
      <c r="H2845" s="34"/>
      <c r="I2845" s="30"/>
      <c r="J2845" s="148">
        <v>0</v>
      </c>
      <c r="K2845" s="222">
        <v>0</v>
      </c>
    </row>
    <row r="2846" spans="1:11" hidden="1" x14ac:dyDescent="0.25">
      <c r="A2846" s="203"/>
      <c r="B2846" s="205"/>
      <c r="C2846" s="35" t="s">
        <v>68</v>
      </c>
      <c r="D2846" s="35" t="s">
        <v>12</v>
      </c>
      <c r="E2846" s="36">
        <v>0.4</v>
      </c>
      <c r="F2846" s="33">
        <v>22.961500000000001</v>
      </c>
      <c r="G2846" s="33">
        <f t="shared" si="49"/>
        <v>9.1846000000000014</v>
      </c>
      <c r="H2846" s="38">
        <f>SUM(G2846:G2847)</f>
        <v>9.1846000000000014</v>
      </c>
      <c r="I2846" s="39"/>
      <c r="J2846" s="148">
        <v>0</v>
      </c>
      <c r="K2846" s="222">
        <v>0</v>
      </c>
    </row>
    <row r="2847" spans="1:11" ht="38.25" hidden="1" x14ac:dyDescent="0.25">
      <c r="A2847" s="203"/>
      <c r="B2847" s="205"/>
      <c r="C2847" s="35" t="s">
        <v>808</v>
      </c>
      <c r="D2847" s="35" t="s">
        <v>20</v>
      </c>
      <c r="E2847" s="36">
        <v>1</v>
      </c>
      <c r="F2847" s="30" t="s">
        <v>514</v>
      </c>
      <c r="G2847" s="33" t="str">
        <f t="shared" si="49"/>
        <v/>
      </c>
      <c r="H2847" s="34"/>
      <c r="I2847" s="30"/>
      <c r="J2847" s="148">
        <v>0</v>
      </c>
      <c r="K2847" s="222">
        <v>0</v>
      </c>
    </row>
    <row r="2848" spans="1:11" ht="15.75" hidden="1" thickBot="1" x14ac:dyDescent="0.3">
      <c r="A2848" s="209"/>
      <c r="B2848" s="206"/>
      <c r="C2848" s="35"/>
      <c r="D2848" s="35"/>
      <c r="E2848" s="36"/>
      <c r="F2848" s="30" t="s">
        <v>514</v>
      </c>
      <c r="G2848" s="33" t="str">
        <f t="shared" si="49"/>
        <v/>
      </c>
      <c r="H2848" s="34"/>
      <c r="I2848" s="30"/>
      <c r="J2848" s="148">
        <v>0</v>
      </c>
      <c r="K2848" s="222">
        <v>0</v>
      </c>
    </row>
    <row r="2849" spans="1:11" ht="15.75" hidden="1" thickBot="1" x14ac:dyDescent="0.3">
      <c r="A2849" s="202" t="s">
        <v>809</v>
      </c>
      <c r="B2849" s="204" t="str">
        <f>INDEX(Orçamentária!A:B,MATCH(Composições!A2849,Orçamentária!A:A,0),2)</f>
        <v>Fechadura para porta de abrir de vidro temperado</v>
      </c>
      <c r="C2849" s="40"/>
      <c r="D2849" s="25" t="str">
        <f>TRIM(INDEX(Orçamentária!C:C,MATCH(Composições!A2849,Orçamentária!A:A,0),1))</f>
        <v>un</v>
      </c>
      <c r="E2849" s="26"/>
      <c r="F2849" s="41" t="s">
        <v>514</v>
      </c>
      <c r="G2849" s="27" t="str">
        <f t="shared" si="49"/>
        <v/>
      </c>
      <c r="H2849" s="28"/>
      <c r="I2849" s="29"/>
      <c r="J2849" s="148">
        <v>0</v>
      </c>
      <c r="K2849" s="222">
        <v>0</v>
      </c>
    </row>
    <row r="2850" spans="1:11" hidden="1" x14ac:dyDescent="0.25">
      <c r="A2850" s="203"/>
      <c r="B2850" s="205"/>
      <c r="C2850" s="31"/>
      <c r="D2850" s="31"/>
      <c r="E2850" s="32"/>
      <c r="F2850" s="42" t="s">
        <v>514</v>
      </c>
      <c r="G2850" s="33" t="str">
        <f t="shared" si="49"/>
        <v/>
      </c>
      <c r="H2850" s="34"/>
      <c r="I2850" s="30"/>
      <c r="J2850" s="148">
        <v>0</v>
      </c>
      <c r="K2850" s="222">
        <v>0</v>
      </c>
    </row>
    <row r="2851" spans="1:11" hidden="1" x14ac:dyDescent="0.25">
      <c r="A2851" s="203"/>
      <c r="B2851" s="205"/>
      <c r="C2851" s="35" t="s">
        <v>68</v>
      </c>
      <c r="D2851" s="35" t="s">
        <v>12</v>
      </c>
      <c r="E2851" s="36">
        <v>0.4</v>
      </c>
      <c r="F2851" s="33">
        <v>22.961500000000001</v>
      </c>
      <c r="G2851" s="33">
        <f t="shared" si="49"/>
        <v>9.1846000000000014</v>
      </c>
      <c r="H2851" s="38">
        <f>SUM(G2851:G2852)</f>
        <v>9.1846000000000014</v>
      </c>
      <c r="I2851" s="39"/>
      <c r="J2851" s="148">
        <v>0</v>
      </c>
      <c r="K2851" s="222">
        <v>0</v>
      </c>
    </row>
    <row r="2852" spans="1:11" ht="25.5" hidden="1" x14ac:dyDescent="0.25">
      <c r="A2852" s="203"/>
      <c r="B2852" s="205"/>
      <c r="C2852" s="35" t="s">
        <v>810</v>
      </c>
      <c r="D2852" s="35" t="s">
        <v>20</v>
      </c>
      <c r="E2852" s="36">
        <v>1</v>
      </c>
      <c r="F2852" s="30" t="s">
        <v>514</v>
      </c>
      <c r="G2852" s="33" t="str">
        <f t="shared" si="49"/>
        <v/>
      </c>
      <c r="H2852" s="34"/>
      <c r="I2852" s="30"/>
      <c r="J2852" s="148">
        <v>0</v>
      </c>
      <c r="K2852" s="222">
        <v>0</v>
      </c>
    </row>
    <row r="2853" spans="1:11" ht="15.75" hidden="1" thickBot="1" x14ac:dyDescent="0.3">
      <c r="A2853" s="209"/>
      <c r="B2853" s="206"/>
      <c r="C2853" s="35"/>
      <c r="D2853" s="35"/>
      <c r="E2853" s="36"/>
      <c r="F2853" s="30" t="s">
        <v>514</v>
      </c>
      <c r="G2853" s="33" t="str">
        <f t="shared" si="49"/>
        <v/>
      </c>
      <c r="H2853" s="34"/>
      <c r="I2853" s="30"/>
      <c r="J2853" s="148">
        <v>0</v>
      </c>
      <c r="K2853" s="222">
        <v>0</v>
      </c>
    </row>
    <row r="2854" spans="1:11" ht="15.75" hidden="1" thickBot="1" x14ac:dyDescent="0.3">
      <c r="A2854" s="202" t="s">
        <v>811</v>
      </c>
      <c r="B2854" s="204" t="str">
        <f>INDEX(Orçamentária!A:B,MATCH(Composições!A2854,Orçamentária!A:A,0),2)</f>
        <v>Contra fechadura, para alvenaria, para porta com fechadura 1520/9520</v>
      </c>
      <c r="C2854" s="40"/>
      <c r="D2854" s="25" t="str">
        <f>TRIM(INDEX(Orçamentária!C:C,MATCH(Composições!A2854,Orçamentária!A:A,0),1))</f>
        <v>un</v>
      </c>
      <c r="E2854" s="26"/>
      <c r="F2854" s="41" t="s">
        <v>514</v>
      </c>
      <c r="G2854" s="27" t="str">
        <f t="shared" si="49"/>
        <v/>
      </c>
      <c r="H2854" s="28"/>
      <c r="I2854" s="29"/>
      <c r="J2854" s="148">
        <v>0</v>
      </c>
      <c r="K2854" s="222">
        <v>0</v>
      </c>
    </row>
    <row r="2855" spans="1:11" hidden="1" x14ac:dyDescent="0.25">
      <c r="A2855" s="203"/>
      <c r="B2855" s="205"/>
      <c r="C2855" s="31"/>
      <c r="D2855" s="31"/>
      <c r="E2855" s="32"/>
      <c r="F2855" s="42" t="s">
        <v>514</v>
      </c>
      <c r="G2855" s="33" t="str">
        <f t="shared" si="49"/>
        <v/>
      </c>
      <c r="H2855" s="34"/>
      <c r="I2855" s="30"/>
      <c r="J2855" s="148">
        <v>0</v>
      </c>
      <c r="K2855" s="222">
        <v>0</v>
      </c>
    </row>
    <row r="2856" spans="1:11" hidden="1" x14ac:dyDescent="0.25">
      <c r="A2856" s="203"/>
      <c r="B2856" s="205"/>
      <c r="C2856" s="35" t="s">
        <v>68</v>
      </c>
      <c r="D2856" s="35" t="s">
        <v>12</v>
      </c>
      <c r="E2856" s="36">
        <v>0.25</v>
      </c>
      <c r="F2856" s="33">
        <v>22.961500000000001</v>
      </c>
      <c r="G2856" s="33">
        <f t="shared" si="49"/>
        <v>5.7403750000000002</v>
      </c>
      <c r="H2856" s="38">
        <f>SUM(G2856:G2857)</f>
        <v>5.7403750000000002</v>
      </c>
      <c r="I2856" s="39"/>
      <c r="J2856" s="148">
        <v>0</v>
      </c>
      <c r="K2856" s="222">
        <v>0</v>
      </c>
    </row>
    <row r="2857" spans="1:11" ht="38.25" hidden="1" x14ac:dyDescent="0.25">
      <c r="A2857" s="203"/>
      <c r="B2857" s="205"/>
      <c r="C2857" s="35" t="s">
        <v>812</v>
      </c>
      <c r="D2857" s="35" t="s">
        <v>20</v>
      </c>
      <c r="E2857" s="36">
        <v>1</v>
      </c>
      <c r="F2857" s="30" t="s">
        <v>514</v>
      </c>
      <c r="G2857" s="33" t="str">
        <f t="shared" si="49"/>
        <v/>
      </c>
      <c r="H2857" s="34"/>
      <c r="I2857" s="30"/>
      <c r="J2857" s="148">
        <v>0</v>
      </c>
      <c r="K2857" s="222">
        <v>0</v>
      </c>
    </row>
    <row r="2858" spans="1:11" ht="15.75" hidden="1" thickBot="1" x14ac:dyDescent="0.3">
      <c r="A2858" s="209"/>
      <c r="B2858" s="206"/>
      <c r="C2858" s="35"/>
      <c r="D2858" s="35"/>
      <c r="E2858" s="36"/>
      <c r="F2858" s="30" t="s">
        <v>514</v>
      </c>
      <c r="G2858" s="33" t="str">
        <f t="shared" si="49"/>
        <v/>
      </c>
      <c r="H2858" s="34"/>
      <c r="I2858" s="30"/>
      <c r="J2858" s="148">
        <v>0</v>
      </c>
      <c r="K2858" s="222">
        <v>0</v>
      </c>
    </row>
    <row r="2859" spans="1:11" ht="15.75" hidden="1" thickBot="1" x14ac:dyDescent="0.3">
      <c r="A2859" s="202" t="s">
        <v>813</v>
      </c>
      <c r="B2859" s="204" t="str">
        <f>INDEX(Orçamentária!A:B,MATCH(Composições!A2859,Orçamentária!A:A,0),2)</f>
        <v>Contra fechadura de pressão para porta de vidro temperado</v>
      </c>
      <c r="C2859" s="40"/>
      <c r="D2859" s="25" t="str">
        <f>TRIM(INDEX(Orçamentária!C:C,MATCH(Composições!A2859,Orçamentária!A:A,0),1))</f>
        <v>un</v>
      </c>
      <c r="E2859" s="26"/>
      <c r="F2859" s="41" t="s">
        <v>514</v>
      </c>
      <c r="G2859" s="27" t="str">
        <f t="shared" si="49"/>
        <v/>
      </c>
      <c r="H2859" s="28"/>
      <c r="I2859" s="29"/>
      <c r="J2859" s="148">
        <v>0</v>
      </c>
      <c r="K2859" s="222">
        <v>0</v>
      </c>
    </row>
    <row r="2860" spans="1:11" hidden="1" x14ac:dyDescent="0.25">
      <c r="A2860" s="203"/>
      <c r="B2860" s="205"/>
      <c r="C2860" s="31"/>
      <c r="D2860" s="31"/>
      <c r="E2860" s="32"/>
      <c r="F2860" s="42" t="s">
        <v>514</v>
      </c>
      <c r="G2860" s="33" t="str">
        <f t="shared" si="49"/>
        <v/>
      </c>
      <c r="H2860" s="34"/>
      <c r="I2860" s="30"/>
      <c r="J2860" s="148">
        <v>0</v>
      </c>
      <c r="K2860" s="222">
        <v>0</v>
      </c>
    </row>
    <row r="2861" spans="1:11" hidden="1" x14ac:dyDescent="0.25">
      <c r="A2861" s="203"/>
      <c r="B2861" s="205"/>
      <c r="C2861" s="35" t="s">
        <v>68</v>
      </c>
      <c r="D2861" s="35" t="s">
        <v>12</v>
      </c>
      <c r="E2861" s="36">
        <v>0.25</v>
      </c>
      <c r="F2861" s="33">
        <v>22.961500000000001</v>
      </c>
      <c r="G2861" s="33">
        <f t="shared" si="49"/>
        <v>5.7403750000000002</v>
      </c>
      <c r="H2861" s="38">
        <f>SUM(G2861:G2862)</f>
        <v>5.7403750000000002</v>
      </c>
      <c r="I2861" s="39"/>
      <c r="J2861" s="148">
        <v>0</v>
      </c>
      <c r="K2861" s="222">
        <v>0</v>
      </c>
    </row>
    <row r="2862" spans="1:11" ht="38.25" hidden="1" x14ac:dyDescent="0.25">
      <c r="A2862" s="203"/>
      <c r="B2862" s="205"/>
      <c r="C2862" s="35" t="s">
        <v>814</v>
      </c>
      <c r="D2862" s="35" t="s">
        <v>20</v>
      </c>
      <c r="E2862" s="36">
        <v>1</v>
      </c>
      <c r="F2862" s="30" t="s">
        <v>514</v>
      </c>
      <c r="G2862" s="33" t="str">
        <f t="shared" si="49"/>
        <v/>
      </c>
      <c r="H2862" s="34"/>
      <c r="I2862" s="30"/>
      <c r="J2862" s="148">
        <v>0</v>
      </c>
      <c r="K2862" s="222">
        <v>0</v>
      </c>
    </row>
    <row r="2863" spans="1:11" ht="15.75" hidden="1" thickBot="1" x14ac:dyDescent="0.3">
      <c r="A2863" s="209"/>
      <c r="B2863" s="206"/>
      <c r="C2863" s="35"/>
      <c r="D2863" s="35"/>
      <c r="E2863" s="36"/>
      <c r="F2863" s="30" t="s">
        <v>514</v>
      </c>
      <c r="G2863" s="33" t="str">
        <f t="shared" si="49"/>
        <v/>
      </c>
      <c r="H2863" s="34"/>
      <c r="I2863" s="30"/>
      <c r="J2863" s="148">
        <v>0</v>
      </c>
      <c r="K2863" s="222">
        <v>0</v>
      </c>
    </row>
    <row r="2864" spans="1:11" ht="15.75" hidden="1" thickBot="1" x14ac:dyDescent="0.3">
      <c r="A2864" s="202" t="s">
        <v>815</v>
      </c>
      <c r="B2864" s="204" t="str">
        <f>INDEX(Orçamentária!A:B,MATCH(Composições!A2864,Orçamentária!A:A,0),2)</f>
        <v>Contra fechadura, com furo, para porta com furo</v>
      </c>
      <c r="C2864" s="40"/>
      <c r="D2864" s="25" t="str">
        <f>TRIM(INDEX(Orçamentária!C:C,MATCH(Composições!A2864,Orçamentária!A:A,0),1))</f>
        <v>un</v>
      </c>
      <c r="E2864" s="26"/>
      <c r="F2864" s="41" t="s">
        <v>514</v>
      </c>
      <c r="G2864" s="27" t="str">
        <f t="shared" si="49"/>
        <v/>
      </c>
      <c r="H2864" s="28"/>
      <c r="I2864" s="29"/>
      <c r="J2864" s="148">
        <v>0</v>
      </c>
      <c r="K2864" s="222">
        <v>0</v>
      </c>
    </row>
    <row r="2865" spans="1:11" hidden="1" x14ac:dyDescent="0.25">
      <c r="A2865" s="203"/>
      <c r="B2865" s="205"/>
      <c r="C2865" s="31"/>
      <c r="D2865" s="31"/>
      <c r="E2865" s="32"/>
      <c r="F2865" s="42" t="s">
        <v>514</v>
      </c>
      <c r="G2865" s="33" t="str">
        <f t="shared" si="49"/>
        <v/>
      </c>
      <c r="H2865" s="34"/>
      <c r="I2865" s="30"/>
      <c r="J2865" s="148">
        <v>0</v>
      </c>
      <c r="K2865" s="222">
        <v>0</v>
      </c>
    </row>
    <row r="2866" spans="1:11" hidden="1" x14ac:dyDescent="0.25">
      <c r="A2866" s="203"/>
      <c r="B2866" s="205"/>
      <c r="C2866" s="35" t="s">
        <v>68</v>
      </c>
      <c r="D2866" s="35" t="s">
        <v>12</v>
      </c>
      <c r="E2866" s="36">
        <v>0.25</v>
      </c>
      <c r="F2866" s="33">
        <v>22.961500000000001</v>
      </c>
      <c r="G2866" s="33">
        <f t="shared" si="49"/>
        <v>5.7403750000000002</v>
      </c>
      <c r="H2866" s="38">
        <f>SUM(G2866:G2867)</f>
        <v>5.7403750000000002</v>
      </c>
      <c r="I2866" s="39"/>
      <c r="J2866" s="148">
        <v>0</v>
      </c>
      <c r="K2866" s="222">
        <v>0</v>
      </c>
    </row>
    <row r="2867" spans="1:11" ht="38.25" hidden="1" x14ac:dyDescent="0.25">
      <c r="A2867" s="203"/>
      <c r="B2867" s="205"/>
      <c r="C2867" s="35" t="s">
        <v>816</v>
      </c>
      <c r="D2867" s="35" t="s">
        <v>20</v>
      </c>
      <c r="E2867" s="36">
        <v>1</v>
      </c>
      <c r="F2867" s="30" t="s">
        <v>514</v>
      </c>
      <c r="G2867" s="33" t="str">
        <f t="shared" si="49"/>
        <v/>
      </c>
      <c r="H2867" s="34"/>
      <c r="I2867" s="30"/>
      <c r="J2867" s="148">
        <v>0</v>
      </c>
      <c r="K2867" s="222">
        <v>0</v>
      </c>
    </row>
    <row r="2868" spans="1:11" ht="15.75" hidden="1" thickBot="1" x14ac:dyDescent="0.3">
      <c r="A2868" s="209"/>
      <c r="B2868" s="206"/>
      <c r="C2868" s="35"/>
      <c r="D2868" s="35"/>
      <c r="E2868" s="36"/>
      <c r="F2868" s="30" t="s">
        <v>514</v>
      </c>
      <c r="G2868" s="33" t="str">
        <f t="shared" si="49"/>
        <v/>
      </c>
      <c r="H2868" s="34"/>
      <c r="I2868" s="30"/>
      <c r="J2868" s="148">
        <v>0</v>
      </c>
      <c r="K2868" s="222">
        <v>0</v>
      </c>
    </row>
    <row r="2869" spans="1:11" ht="15.75" hidden="1" thickBot="1" x14ac:dyDescent="0.3">
      <c r="A2869" s="202" t="s">
        <v>817</v>
      </c>
      <c r="B2869" s="204" t="str">
        <f>INDEX(Orçamentária!A:B,MATCH(Composições!A2869,Orçamentária!A:A,0),2)</f>
        <v>Trinco inferior, com miolo, para porta de vidro temperado</v>
      </c>
      <c r="C2869" s="40"/>
      <c r="D2869" s="25" t="str">
        <f>TRIM(INDEX(Orçamentária!C:C,MATCH(Composições!A2869,Orçamentária!A:A,0),1))</f>
        <v>un</v>
      </c>
      <c r="E2869" s="26"/>
      <c r="F2869" s="41" t="s">
        <v>514</v>
      </c>
      <c r="G2869" s="27" t="str">
        <f t="shared" si="49"/>
        <v/>
      </c>
      <c r="H2869" s="28"/>
      <c r="I2869" s="29"/>
      <c r="J2869" s="148">
        <v>0</v>
      </c>
      <c r="K2869" s="222">
        <v>0</v>
      </c>
    </row>
    <row r="2870" spans="1:11" hidden="1" x14ac:dyDescent="0.25">
      <c r="A2870" s="203"/>
      <c r="B2870" s="205"/>
      <c r="C2870" s="31"/>
      <c r="D2870" s="31"/>
      <c r="E2870" s="32"/>
      <c r="F2870" s="42" t="s">
        <v>514</v>
      </c>
      <c r="G2870" s="33" t="str">
        <f t="shared" si="49"/>
        <v/>
      </c>
      <c r="H2870" s="34"/>
      <c r="I2870" s="30"/>
      <c r="J2870" s="148">
        <v>0</v>
      </c>
      <c r="K2870" s="222">
        <v>0</v>
      </c>
    </row>
    <row r="2871" spans="1:11" hidden="1" x14ac:dyDescent="0.25">
      <c r="A2871" s="203"/>
      <c r="B2871" s="205"/>
      <c r="C2871" s="35" t="s">
        <v>68</v>
      </c>
      <c r="D2871" s="35" t="s">
        <v>12</v>
      </c>
      <c r="E2871" s="36">
        <v>0.25</v>
      </c>
      <c r="F2871" s="33">
        <v>22.961500000000001</v>
      </c>
      <c r="G2871" s="33">
        <f t="shared" si="49"/>
        <v>5.7403750000000002</v>
      </c>
      <c r="H2871" s="38">
        <f>SUM(G2871:G2872)</f>
        <v>5.7403750000000002</v>
      </c>
      <c r="I2871" s="39"/>
      <c r="J2871" s="148">
        <v>0</v>
      </c>
      <c r="K2871" s="222">
        <v>0</v>
      </c>
    </row>
    <row r="2872" spans="1:11" ht="25.5" hidden="1" x14ac:dyDescent="0.25">
      <c r="A2872" s="203"/>
      <c r="B2872" s="205"/>
      <c r="C2872" s="35" t="s">
        <v>818</v>
      </c>
      <c r="D2872" s="35" t="s">
        <v>20</v>
      </c>
      <c r="E2872" s="36">
        <v>1</v>
      </c>
      <c r="F2872" s="30">
        <v>0</v>
      </c>
      <c r="G2872" s="33">
        <f t="shared" si="49"/>
        <v>0</v>
      </c>
      <c r="H2872" s="34"/>
      <c r="I2872" s="30"/>
      <c r="J2872" s="148">
        <v>0</v>
      </c>
      <c r="K2872" s="222">
        <v>0</v>
      </c>
    </row>
    <row r="2873" spans="1:11" ht="15.75" hidden="1" thickBot="1" x14ac:dyDescent="0.3">
      <c r="A2873" s="209"/>
      <c r="B2873" s="206"/>
      <c r="C2873" s="35"/>
      <c r="D2873" s="35"/>
      <c r="E2873" s="36"/>
      <c r="F2873" s="30" t="s">
        <v>514</v>
      </c>
      <c r="G2873" s="33" t="str">
        <f t="shared" si="49"/>
        <v/>
      </c>
      <c r="H2873" s="34"/>
      <c r="I2873" s="30"/>
      <c r="J2873" s="148">
        <v>0</v>
      </c>
      <c r="K2873" s="222">
        <v>0</v>
      </c>
    </row>
    <row r="2874" spans="1:11" ht="15.75" hidden="1" thickBot="1" x14ac:dyDescent="0.3">
      <c r="A2874" s="202" t="s">
        <v>819</v>
      </c>
      <c r="B2874" s="204" t="str">
        <f>INDEX(Orçamentária!A:B,MATCH(Composições!A2874,Orçamentária!A:A,0),2)</f>
        <v>Mola hidráulica BTS 75R</v>
      </c>
      <c r="C2874" s="40"/>
      <c r="D2874" s="25" t="str">
        <f>TRIM(INDEX(Orçamentária!C:C,MATCH(Composições!A2874,Orçamentária!A:A,0),1))</f>
        <v>un</v>
      </c>
      <c r="E2874" s="26"/>
      <c r="F2874" s="41" t="s">
        <v>514</v>
      </c>
      <c r="G2874" s="27" t="str">
        <f t="shared" si="49"/>
        <v/>
      </c>
      <c r="H2874" s="28"/>
      <c r="I2874" s="29"/>
      <c r="J2874" s="148">
        <v>0</v>
      </c>
      <c r="K2874" s="222">
        <v>0</v>
      </c>
    </row>
    <row r="2875" spans="1:11" hidden="1" x14ac:dyDescent="0.25">
      <c r="A2875" s="203"/>
      <c r="B2875" s="205"/>
      <c r="C2875" s="31"/>
      <c r="D2875" s="31"/>
      <c r="E2875" s="32"/>
      <c r="F2875" s="42" t="s">
        <v>514</v>
      </c>
      <c r="G2875" s="33" t="str">
        <f t="shared" si="49"/>
        <v/>
      </c>
      <c r="H2875" s="34"/>
      <c r="I2875" s="30"/>
      <c r="J2875" s="148">
        <v>0</v>
      </c>
      <c r="K2875" s="222">
        <v>0</v>
      </c>
    </row>
    <row r="2876" spans="1:11" hidden="1" x14ac:dyDescent="0.25">
      <c r="A2876" s="203"/>
      <c r="B2876" s="205"/>
      <c r="C2876" s="35" t="s">
        <v>68</v>
      </c>
      <c r="D2876" s="35" t="s">
        <v>12</v>
      </c>
      <c r="E2876" s="36">
        <v>1.8180000000000001</v>
      </c>
      <c r="F2876" s="33">
        <v>22.961500000000001</v>
      </c>
      <c r="G2876" s="33">
        <f t="shared" si="49"/>
        <v>41.744007000000003</v>
      </c>
      <c r="H2876" s="38">
        <f>SUM(G2876:G2879)</f>
        <v>1018.7730305</v>
      </c>
      <c r="I2876" s="39"/>
      <c r="J2876" s="148">
        <v>0</v>
      </c>
      <c r="K2876" s="222">
        <v>0</v>
      </c>
    </row>
    <row r="2877" spans="1:11" hidden="1" x14ac:dyDescent="0.25">
      <c r="A2877" s="203"/>
      <c r="B2877" s="205"/>
      <c r="C2877" s="35" t="s">
        <v>23</v>
      </c>
      <c r="D2877" s="35" t="s">
        <v>12</v>
      </c>
      <c r="E2877" s="36">
        <v>1.7669999999999999</v>
      </c>
      <c r="F2877" s="30">
        <v>18.420500000000001</v>
      </c>
      <c r="G2877" s="33">
        <f t="shared" ref="G2877:G2940" si="50">IF(ISNUMBER(F2877),E2877*F2877,"")</f>
        <v>32.549023499999997</v>
      </c>
      <c r="H2877" s="34"/>
      <c r="I2877" s="30"/>
      <c r="J2877" s="148">
        <v>0</v>
      </c>
      <c r="K2877" s="222">
        <v>0</v>
      </c>
    </row>
    <row r="2878" spans="1:11" hidden="1" x14ac:dyDescent="0.25">
      <c r="A2878" s="203"/>
      <c r="B2878" s="205"/>
      <c r="C2878" s="35" t="s">
        <v>6383</v>
      </c>
      <c r="D2878" s="35" t="s">
        <v>20</v>
      </c>
      <c r="E2878" s="36">
        <v>1</v>
      </c>
      <c r="F2878" s="30">
        <v>141.9</v>
      </c>
      <c r="G2878" s="30">
        <f t="shared" si="50"/>
        <v>141.9</v>
      </c>
      <c r="H2878" s="34"/>
      <c r="I2878" s="30"/>
      <c r="J2878" s="148">
        <v>0</v>
      </c>
      <c r="K2878" s="222">
        <v>0</v>
      </c>
    </row>
    <row r="2879" spans="1:11" ht="38.25" hidden="1" x14ac:dyDescent="0.25">
      <c r="A2879" s="203"/>
      <c r="B2879" s="205"/>
      <c r="C2879" s="35" t="s">
        <v>6382</v>
      </c>
      <c r="D2879" s="35" t="s">
        <v>20</v>
      </c>
      <c r="E2879" s="36">
        <v>1</v>
      </c>
      <c r="F2879" s="30">
        <v>802.58</v>
      </c>
      <c r="G2879" s="33">
        <f t="shared" si="50"/>
        <v>802.58</v>
      </c>
      <c r="H2879" s="34"/>
      <c r="I2879" s="30"/>
      <c r="J2879" s="148">
        <v>0</v>
      </c>
      <c r="K2879" s="222">
        <v>0</v>
      </c>
    </row>
    <row r="2880" spans="1:11" ht="15.75" hidden="1" thickBot="1" x14ac:dyDescent="0.3">
      <c r="A2880" s="209"/>
      <c r="B2880" s="206"/>
      <c r="C2880" s="35"/>
      <c r="D2880" s="35"/>
      <c r="E2880" s="36"/>
      <c r="F2880" s="30" t="s">
        <v>514</v>
      </c>
      <c r="G2880" s="33" t="str">
        <f t="shared" si="50"/>
        <v/>
      </c>
      <c r="H2880" s="34"/>
      <c r="I2880" s="30"/>
      <c r="J2880" s="148">
        <v>0</v>
      </c>
      <c r="K2880" s="222">
        <v>0</v>
      </c>
    </row>
    <row r="2881" spans="1:11" ht="15.75" hidden="1" thickBot="1" x14ac:dyDescent="0.3">
      <c r="A2881" s="202" t="s">
        <v>820</v>
      </c>
      <c r="B2881" s="204" t="str">
        <f>INDEX(Orçamentária!A:B,MATCH(Composições!A2881,Orçamentária!A:A,0),2)</f>
        <v>Puxador redondo, padrão em poliéster, para porta de vidro temperado</v>
      </c>
      <c r="C2881" s="40"/>
      <c r="D2881" s="25" t="str">
        <f>TRIM(INDEX(Orçamentária!C:C,MATCH(Composições!A2881,Orçamentária!A:A,0),1))</f>
        <v>un</v>
      </c>
      <c r="E2881" s="26"/>
      <c r="F2881" s="41" t="s">
        <v>514</v>
      </c>
      <c r="G2881" s="27" t="str">
        <f t="shared" si="50"/>
        <v/>
      </c>
      <c r="H2881" s="28"/>
      <c r="I2881" s="29"/>
      <c r="J2881" s="148">
        <v>0</v>
      </c>
      <c r="K2881" s="222">
        <v>0</v>
      </c>
    </row>
    <row r="2882" spans="1:11" hidden="1" x14ac:dyDescent="0.25">
      <c r="A2882" s="203"/>
      <c r="B2882" s="205"/>
      <c r="C2882" s="31"/>
      <c r="D2882" s="31"/>
      <c r="E2882" s="32"/>
      <c r="F2882" s="42" t="s">
        <v>514</v>
      </c>
      <c r="G2882" s="33" t="str">
        <f t="shared" si="50"/>
        <v/>
      </c>
      <c r="H2882" s="34"/>
      <c r="I2882" s="30"/>
      <c r="J2882" s="148">
        <v>0</v>
      </c>
      <c r="K2882" s="222">
        <v>0</v>
      </c>
    </row>
    <row r="2883" spans="1:11" hidden="1" x14ac:dyDescent="0.25">
      <c r="A2883" s="203"/>
      <c r="B2883" s="205"/>
      <c r="C2883" s="35" t="s">
        <v>68</v>
      </c>
      <c r="D2883" s="35" t="s">
        <v>12</v>
      </c>
      <c r="E2883" s="36">
        <v>0.2</v>
      </c>
      <c r="F2883" s="33">
        <v>22.961500000000001</v>
      </c>
      <c r="G2883" s="33">
        <f t="shared" si="50"/>
        <v>4.5923000000000007</v>
      </c>
      <c r="H2883" s="38">
        <f>SUM(G2883:G2884)</f>
        <v>4.5923000000000007</v>
      </c>
      <c r="I2883" s="39"/>
      <c r="J2883" s="148">
        <v>0</v>
      </c>
      <c r="K2883" s="222">
        <v>0</v>
      </c>
    </row>
    <row r="2884" spans="1:11" ht="38.25" hidden="1" x14ac:dyDescent="0.25">
      <c r="A2884" s="203"/>
      <c r="B2884" s="205"/>
      <c r="C2884" s="35" t="s">
        <v>821</v>
      </c>
      <c r="D2884" s="35" t="s">
        <v>20</v>
      </c>
      <c r="E2884" s="36">
        <v>1</v>
      </c>
      <c r="F2884" s="30" t="s">
        <v>514</v>
      </c>
      <c r="G2884" s="33" t="str">
        <f t="shared" si="50"/>
        <v/>
      </c>
      <c r="H2884" s="34"/>
      <c r="I2884" s="30"/>
      <c r="J2884" s="148">
        <v>0</v>
      </c>
      <c r="K2884" s="222">
        <v>0</v>
      </c>
    </row>
    <row r="2885" spans="1:11" ht="15.75" hidden="1" thickBot="1" x14ac:dyDescent="0.3">
      <c r="A2885" s="209"/>
      <c r="B2885" s="206"/>
      <c r="C2885" s="35"/>
      <c r="D2885" s="35"/>
      <c r="E2885" s="36"/>
      <c r="F2885" s="30" t="s">
        <v>514</v>
      </c>
      <c r="G2885" s="33" t="str">
        <f t="shared" si="50"/>
        <v/>
      </c>
      <c r="H2885" s="34"/>
      <c r="I2885" s="30"/>
      <c r="J2885" s="148">
        <v>0</v>
      </c>
      <c r="K2885" s="222">
        <v>0</v>
      </c>
    </row>
    <row r="2886" spans="1:11" ht="15.75" hidden="1" thickBot="1" x14ac:dyDescent="0.3">
      <c r="A2886" s="202" t="s">
        <v>822</v>
      </c>
      <c r="B2886" s="204" t="str">
        <f>INDEX(Orçamentária!A:B,MATCH(Composições!A2886,Orçamentária!A:A,0),2)</f>
        <v>Puxador em aço inox sob medida – Tipo A</v>
      </c>
      <c r="C2886" s="40"/>
      <c r="D2886" s="25" t="str">
        <f>TRIM(INDEX(Orçamentária!C:C,MATCH(Composições!A2886,Orçamentária!A:A,0),1))</f>
        <v>un</v>
      </c>
      <c r="E2886" s="26"/>
      <c r="F2886" s="41" t="s">
        <v>514</v>
      </c>
      <c r="G2886" s="27" t="str">
        <f t="shared" si="50"/>
        <v/>
      </c>
      <c r="H2886" s="28"/>
      <c r="I2886" s="29"/>
      <c r="J2886" s="148">
        <v>0</v>
      </c>
      <c r="K2886" s="222">
        <v>0</v>
      </c>
    </row>
    <row r="2887" spans="1:11" hidden="1" x14ac:dyDescent="0.25">
      <c r="A2887" s="203"/>
      <c r="B2887" s="205"/>
      <c r="C2887" s="31"/>
      <c r="D2887" s="31"/>
      <c r="E2887" s="32"/>
      <c r="F2887" s="42" t="s">
        <v>514</v>
      </c>
      <c r="G2887" s="33" t="str">
        <f t="shared" si="50"/>
        <v/>
      </c>
      <c r="H2887" s="34"/>
      <c r="I2887" s="30"/>
      <c r="J2887" s="148">
        <v>0</v>
      </c>
      <c r="K2887" s="222">
        <v>0</v>
      </c>
    </row>
    <row r="2888" spans="1:11" hidden="1" x14ac:dyDescent="0.25">
      <c r="A2888" s="203"/>
      <c r="B2888" s="205"/>
      <c r="C2888" s="35" t="s">
        <v>68</v>
      </c>
      <c r="D2888" s="46" t="s">
        <v>12</v>
      </c>
      <c r="E2888" s="36">
        <v>0.4</v>
      </c>
      <c r="F2888" s="33">
        <v>22.961500000000001</v>
      </c>
      <c r="G2888" s="33">
        <f t="shared" si="50"/>
        <v>9.1846000000000014</v>
      </c>
      <c r="H2888" s="38">
        <f>SUM(G2888:G2889)</f>
        <v>9.1846000000000014</v>
      </c>
      <c r="I2888" s="39"/>
      <c r="J2888" s="148">
        <v>0</v>
      </c>
      <c r="K2888" s="222">
        <v>0</v>
      </c>
    </row>
    <row r="2889" spans="1:11" hidden="1" x14ac:dyDescent="0.25">
      <c r="A2889" s="203"/>
      <c r="B2889" s="205"/>
      <c r="C2889" s="35" t="s">
        <v>823</v>
      </c>
      <c r="D2889" s="46" t="s">
        <v>20</v>
      </c>
      <c r="E2889" s="36">
        <v>1</v>
      </c>
      <c r="F2889" s="30" t="s">
        <v>514</v>
      </c>
      <c r="G2889" s="33" t="str">
        <f t="shared" si="50"/>
        <v/>
      </c>
      <c r="H2889" s="34"/>
      <c r="I2889" s="30"/>
      <c r="J2889" s="148">
        <v>0</v>
      </c>
      <c r="K2889" s="222">
        <v>0</v>
      </c>
    </row>
    <row r="2890" spans="1:11" ht="15.75" hidden="1" thickBot="1" x14ac:dyDescent="0.3">
      <c r="A2890" s="209"/>
      <c r="B2890" s="206"/>
      <c r="C2890" s="35"/>
      <c r="D2890" s="35"/>
      <c r="E2890" s="36"/>
      <c r="F2890" s="30" t="s">
        <v>514</v>
      </c>
      <c r="G2890" s="33" t="str">
        <f t="shared" si="50"/>
        <v/>
      </c>
      <c r="H2890" s="34"/>
      <c r="I2890" s="30"/>
      <c r="J2890" s="148">
        <v>0</v>
      </c>
      <c r="K2890" s="222">
        <v>0</v>
      </c>
    </row>
    <row r="2891" spans="1:11" ht="15.75" hidden="1" thickBot="1" x14ac:dyDescent="0.3">
      <c r="A2891" s="202" t="s">
        <v>824</v>
      </c>
      <c r="B2891" s="204" t="str">
        <f>INDEX(Orçamentária!A:B,MATCH(Composições!A2891,Orçamentária!A:A,0),2)</f>
        <v>Dobradiça superior para porta de vidro temperado</v>
      </c>
      <c r="C2891" s="40"/>
      <c r="D2891" s="25" t="str">
        <f>TRIM(INDEX(Orçamentária!C:C,MATCH(Composições!A2891,Orçamentária!A:A,0),1))</f>
        <v>un</v>
      </c>
      <c r="E2891" s="26"/>
      <c r="F2891" s="41" t="s">
        <v>514</v>
      </c>
      <c r="G2891" s="27" t="str">
        <f t="shared" si="50"/>
        <v/>
      </c>
      <c r="H2891" s="28"/>
      <c r="I2891" s="29"/>
      <c r="J2891" s="148">
        <v>0</v>
      </c>
      <c r="K2891" s="222">
        <v>0</v>
      </c>
    </row>
    <row r="2892" spans="1:11" hidden="1" x14ac:dyDescent="0.25">
      <c r="A2892" s="203"/>
      <c r="B2892" s="205"/>
      <c r="C2892" s="31"/>
      <c r="D2892" s="31"/>
      <c r="E2892" s="32"/>
      <c r="F2892" s="42" t="s">
        <v>514</v>
      </c>
      <c r="G2892" s="33" t="str">
        <f t="shared" si="50"/>
        <v/>
      </c>
      <c r="H2892" s="34"/>
      <c r="I2892" s="30"/>
      <c r="J2892" s="148">
        <v>0</v>
      </c>
      <c r="K2892" s="222">
        <v>0</v>
      </c>
    </row>
    <row r="2893" spans="1:11" hidden="1" x14ac:dyDescent="0.25">
      <c r="A2893" s="203"/>
      <c r="B2893" s="205"/>
      <c r="C2893" s="35" t="s">
        <v>68</v>
      </c>
      <c r="D2893" s="35" t="s">
        <v>12</v>
      </c>
      <c r="E2893" s="36">
        <v>0.3</v>
      </c>
      <c r="F2893" s="33">
        <v>22.961500000000001</v>
      </c>
      <c r="G2893" s="33">
        <f t="shared" si="50"/>
        <v>6.8884499999999997</v>
      </c>
      <c r="H2893" s="38">
        <f>SUM(G2893:G2894)</f>
        <v>6.8884499999999997</v>
      </c>
      <c r="I2893" s="39"/>
      <c r="J2893" s="148">
        <v>0</v>
      </c>
      <c r="K2893" s="222">
        <v>0</v>
      </c>
    </row>
    <row r="2894" spans="1:11" ht="25.5" hidden="1" x14ac:dyDescent="0.25">
      <c r="A2894" s="203"/>
      <c r="B2894" s="205"/>
      <c r="C2894" s="35" t="s">
        <v>825</v>
      </c>
      <c r="D2894" s="46" t="s">
        <v>20</v>
      </c>
      <c r="E2894" s="36">
        <v>1</v>
      </c>
      <c r="F2894" s="30">
        <v>0</v>
      </c>
      <c r="G2894" s="33">
        <f t="shared" si="50"/>
        <v>0</v>
      </c>
      <c r="H2894" s="34"/>
      <c r="I2894" s="30"/>
      <c r="J2894" s="148">
        <v>0</v>
      </c>
      <c r="K2894" s="222">
        <v>0</v>
      </c>
    </row>
    <row r="2895" spans="1:11" ht="15.75" hidden="1" thickBot="1" x14ac:dyDescent="0.3">
      <c r="A2895" s="209"/>
      <c r="B2895" s="206"/>
      <c r="C2895" s="35"/>
      <c r="D2895" s="35"/>
      <c r="E2895" s="36"/>
      <c r="F2895" s="30" t="s">
        <v>514</v>
      </c>
      <c r="G2895" s="33" t="str">
        <f t="shared" si="50"/>
        <v/>
      </c>
      <c r="H2895" s="34"/>
      <c r="I2895" s="30"/>
      <c r="J2895" s="148">
        <v>0</v>
      </c>
      <c r="K2895" s="222">
        <v>0</v>
      </c>
    </row>
    <row r="2896" spans="1:11" ht="15.75" hidden="1" thickBot="1" x14ac:dyDescent="0.3">
      <c r="A2896" s="202" t="s">
        <v>826</v>
      </c>
      <c r="B2896" s="204" t="str">
        <f>INDEX(Orçamentária!A:B,MATCH(Composições!A2896,Orçamentária!A:A,0),2)</f>
        <v>Perfil em alumínio, tipo U - abas iguais - PU 5/8" x 5/8" – espessura 1,58mm</v>
      </c>
      <c r="C2896" s="40"/>
      <c r="D2896" s="25" t="str">
        <f>TRIM(INDEX(Orçamentária!C:C,MATCH(Composições!A2896,Orçamentária!A:A,0),1))</f>
        <v>m</v>
      </c>
      <c r="E2896" s="26"/>
      <c r="F2896" s="41" t="s">
        <v>514</v>
      </c>
      <c r="G2896" s="27" t="str">
        <f t="shared" si="50"/>
        <v/>
      </c>
      <c r="H2896" s="28"/>
      <c r="I2896" s="29"/>
      <c r="J2896" s="148">
        <v>0</v>
      </c>
      <c r="K2896" s="222">
        <v>0</v>
      </c>
    </row>
    <row r="2897" spans="1:11" hidden="1" x14ac:dyDescent="0.25">
      <c r="A2897" s="203"/>
      <c r="B2897" s="205"/>
      <c r="C2897" s="31"/>
      <c r="D2897" s="31"/>
      <c r="E2897" s="32"/>
      <c r="F2897" s="42" t="s">
        <v>514</v>
      </c>
      <c r="G2897" s="33" t="str">
        <f t="shared" si="50"/>
        <v/>
      </c>
      <c r="H2897" s="34"/>
      <c r="I2897" s="30"/>
      <c r="J2897" s="148">
        <v>0</v>
      </c>
      <c r="K2897" s="222">
        <v>0</v>
      </c>
    </row>
    <row r="2898" spans="1:11" hidden="1" x14ac:dyDescent="0.25">
      <c r="A2898" s="203"/>
      <c r="B2898" s="205"/>
      <c r="C2898" s="35" t="s">
        <v>68</v>
      </c>
      <c r="D2898" s="35" t="s">
        <v>12</v>
      </c>
      <c r="E2898" s="36">
        <v>0.2</v>
      </c>
      <c r="F2898" s="33">
        <v>22.961500000000001</v>
      </c>
      <c r="G2898" s="33">
        <f t="shared" si="50"/>
        <v>4.5923000000000007</v>
      </c>
      <c r="H2898" s="38">
        <f>SUM(G2898:G2899)</f>
        <v>12.012655000000001</v>
      </c>
      <c r="I2898" s="39"/>
      <c r="J2898" s="148">
        <v>0</v>
      </c>
      <c r="K2898" s="222">
        <v>0</v>
      </c>
    </row>
    <row r="2899" spans="1:11" hidden="1" x14ac:dyDescent="0.25">
      <c r="A2899" s="203"/>
      <c r="B2899" s="205"/>
      <c r="C2899" s="35" t="s">
        <v>827</v>
      </c>
      <c r="D2899" s="35" t="s">
        <v>42</v>
      </c>
      <c r="E2899" s="36">
        <v>0.19</v>
      </c>
      <c r="F2899" s="30">
        <v>39.054499999999997</v>
      </c>
      <c r="G2899" s="33">
        <f t="shared" si="50"/>
        <v>7.4203549999999998</v>
      </c>
      <c r="H2899" s="34"/>
      <c r="I2899" s="30"/>
      <c r="J2899" s="148">
        <v>0</v>
      </c>
      <c r="K2899" s="222">
        <v>0</v>
      </c>
    </row>
    <row r="2900" spans="1:11" hidden="1" x14ac:dyDescent="0.25">
      <c r="A2900" s="203"/>
      <c r="B2900" s="205"/>
      <c r="C2900" s="35"/>
      <c r="D2900" s="35"/>
      <c r="E2900" s="36"/>
      <c r="F2900" s="30" t="s">
        <v>514</v>
      </c>
      <c r="G2900" s="33" t="str">
        <f t="shared" si="50"/>
        <v/>
      </c>
      <c r="H2900" s="34"/>
      <c r="I2900" s="30"/>
      <c r="J2900" s="148">
        <v>0</v>
      </c>
      <c r="K2900" s="222">
        <v>0</v>
      </c>
    </row>
    <row r="2901" spans="1:11" ht="25.5" hidden="1" x14ac:dyDescent="0.25">
      <c r="A2901" s="203"/>
      <c r="B2901" s="205"/>
      <c r="C2901" s="47" t="s">
        <v>828</v>
      </c>
      <c r="D2901" s="35"/>
      <c r="E2901" s="36"/>
      <c r="F2901" s="30" t="s">
        <v>514</v>
      </c>
      <c r="G2901" s="33" t="str">
        <f t="shared" si="50"/>
        <v/>
      </c>
      <c r="H2901" s="34"/>
      <c r="I2901" s="30"/>
      <c r="J2901" s="148">
        <v>0</v>
      </c>
      <c r="K2901" s="222">
        <v>0</v>
      </c>
    </row>
    <row r="2902" spans="1:11" ht="38.25" hidden="1" x14ac:dyDescent="0.25">
      <c r="A2902" s="203"/>
      <c r="B2902" s="205"/>
      <c r="C2902" s="51" t="s">
        <v>829</v>
      </c>
      <c r="D2902" s="64"/>
      <c r="E2902" s="36"/>
      <c r="F2902" s="30" t="s">
        <v>514</v>
      </c>
      <c r="G2902" s="33" t="str">
        <f t="shared" si="50"/>
        <v/>
      </c>
      <c r="H2902" s="34"/>
      <c r="I2902" s="30"/>
      <c r="J2902" s="148">
        <v>0</v>
      </c>
      <c r="K2902" s="222">
        <v>0</v>
      </c>
    </row>
    <row r="2903" spans="1:11" ht="15.75" hidden="1" thickBot="1" x14ac:dyDescent="0.3">
      <c r="A2903" s="209"/>
      <c r="B2903" s="206"/>
      <c r="C2903" s="35"/>
      <c r="D2903" s="35"/>
      <c r="E2903" s="36"/>
      <c r="F2903" s="30" t="s">
        <v>514</v>
      </c>
      <c r="G2903" s="33" t="str">
        <f t="shared" si="50"/>
        <v/>
      </c>
      <c r="H2903" s="34"/>
      <c r="I2903" s="30"/>
      <c r="J2903" s="148">
        <v>0</v>
      </c>
      <c r="K2903" s="222">
        <v>0</v>
      </c>
    </row>
    <row r="2904" spans="1:11" ht="15.75" hidden="1" thickBot="1" x14ac:dyDescent="0.3">
      <c r="A2904" s="202" t="s">
        <v>830</v>
      </c>
      <c r="B2904" s="204" t="str">
        <f>INDEX(Orçamentária!A:B,MATCH(Composições!A2904,Orçamentária!A:A,0),2)</f>
        <v>Trilho superior em alumínio 60mm x 49,5mm, para vidro temperado</v>
      </c>
      <c r="C2904" s="40"/>
      <c r="D2904" s="25" t="str">
        <f>TRIM(INDEX(Orçamentária!C:C,MATCH(Composições!A2904,Orçamentária!A:A,0),1))</f>
        <v>m</v>
      </c>
      <c r="E2904" s="26"/>
      <c r="F2904" s="41" t="s">
        <v>514</v>
      </c>
      <c r="G2904" s="27" t="str">
        <f t="shared" si="50"/>
        <v/>
      </c>
      <c r="H2904" s="28"/>
      <c r="I2904" s="29"/>
      <c r="J2904" s="148">
        <v>0</v>
      </c>
      <c r="K2904" s="222">
        <v>0</v>
      </c>
    </row>
    <row r="2905" spans="1:11" hidden="1" x14ac:dyDescent="0.25">
      <c r="A2905" s="207"/>
      <c r="B2905" s="205"/>
      <c r="C2905" s="31"/>
      <c r="D2905" s="31"/>
      <c r="E2905" s="32"/>
      <c r="F2905" s="42" t="s">
        <v>514</v>
      </c>
      <c r="G2905" s="33" t="str">
        <f t="shared" si="50"/>
        <v/>
      </c>
      <c r="H2905" s="34"/>
      <c r="I2905" s="30"/>
      <c r="J2905" s="148">
        <v>0</v>
      </c>
      <c r="K2905" s="222">
        <v>0</v>
      </c>
    </row>
    <row r="2906" spans="1:11" hidden="1" x14ac:dyDescent="0.25">
      <c r="A2906" s="207"/>
      <c r="B2906" s="205"/>
      <c r="C2906" s="35" t="s">
        <v>68</v>
      </c>
      <c r="D2906" s="35" t="s">
        <v>12</v>
      </c>
      <c r="E2906" s="36">
        <v>0.3</v>
      </c>
      <c r="F2906" s="33">
        <v>22.961500000000001</v>
      </c>
      <c r="G2906" s="33">
        <f t="shared" si="50"/>
        <v>6.8884499999999997</v>
      </c>
      <c r="H2906" s="38">
        <f>SUM(G2906:G2907)</f>
        <v>37.077578500000001</v>
      </c>
      <c r="I2906" s="39"/>
      <c r="J2906" s="148">
        <v>0</v>
      </c>
      <c r="K2906" s="222">
        <v>0</v>
      </c>
    </row>
    <row r="2907" spans="1:11" hidden="1" x14ac:dyDescent="0.25">
      <c r="A2907" s="207"/>
      <c r="B2907" s="205"/>
      <c r="C2907" s="35" t="s">
        <v>827</v>
      </c>
      <c r="D2907" s="46" t="s">
        <v>42</v>
      </c>
      <c r="E2907" s="36">
        <v>0.77300000000000002</v>
      </c>
      <c r="F2907" s="30">
        <v>39.054499999999997</v>
      </c>
      <c r="G2907" s="33">
        <f t="shared" si="50"/>
        <v>30.189128499999999</v>
      </c>
      <c r="H2907" s="34"/>
      <c r="I2907" s="30"/>
      <c r="J2907" s="148">
        <v>0</v>
      </c>
      <c r="K2907" s="222">
        <v>0</v>
      </c>
    </row>
    <row r="2908" spans="1:11" hidden="1" x14ac:dyDescent="0.25">
      <c r="A2908" s="207"/>
      <c r="B2908" s="205"/>
      <c r="C2908" s="35"/>
      <c r="D2908" s="46"/>
      <c r="E2908" s="36"/>
      <c r="F2908" s="30" t="s">
        <v>514</v>
      </c>
      <c r="G2908" s="33" t="str">
        <f t="shared" si="50"/>
        <v/>
      </c>
      <c r="H2908" s="34"/>
      <c r="I2908" s="30"/>
      <c r="J2908" s="148">
        <v>0</v>
      </c>
      <c r="K2908" s="222">
        <v>0</v>
      </c>
    </row>
    <row r="2909" spans="1:11" ht="25.5" hidden="1" x14ac:dyDescent="0.25">
      <c r="A2909" s="207"/>
      <c r="B2909" s="205"/>
      <c r="C2909" s="47" t="s">
        <v>831</v>
      </c>
      <c r="D2909" s="46"/>
      <c r="E2909" s="36"/>
      <c r="F2909" s="30" t="s">
        <v>514</v>
      </c>
      <c r="G2909" s="33" t="str">
        <f t="shared" si="50"/>
        <v/>
      </c>
      <c r="H2909" s="34"/>
      <c r="I2909" s="30"/>
      <c r="J2909" s="148">
        <v>0</v>
      </c>
      <c r="K2909" s="222">
        <v>0</v>
      </c>
    </row>
    <row r="2910" spans="1:11" ht="25.5" hidden="1" x14ac:dyDescent="0.25">
      <c r="A2910" s="207"/>
      <c r="B2910" s="205"/>
      <c r="C2910" s="51" t="s">
        <v>832</v>
      </c>
      <c r="D2910" s="46"/>
      <c r="E2910" s="36"/>
      <c r="F2910" s="30" t="s">
        <v>514</v>
      </c>
      <c r="G2910" s="33" t="str">
        <f t="shared" si="50"/>
        <v/>
      </c>
      <c r="H2910" s="34"/>
      <c r="I2910" s="30"/>
      <c r="J2910" s="148">
        <v>0</v>
      </c>
      <c r="K2910" s="222">
        <v>0</v>
      </c>
    </row>
    <row r="2911" spans="1:11" ht="15.75" hidden="1" thickBot="1" x14ac:dyDescent="0.3">
      <c r="A2911" s="208"/>
      <c r="B2911" s="206"/>
      <c r="C2911" s="35"/>
      <c r="D2911" s="35"/>
      <c r="E2911" s="36"/>
      <c r="F2911" s="30" t="s">
        <v>514</v>
      </c>
      <c r="G2911" s="33" t="str">
        <f t="shared" si="50"/>
        <v/>
      </c>
      <c r="H2911" s="34"/>
      <c r="I2911" s="30"/>
      <c r="J2911" s="148">
        <v>0</v>
      </c>
      <c r="K2911" s="222">
        <v>0</v>
      </c>
    </row>
    <row r="2912" spans="1:11" ht="15.75" hidden="1" thickBot="1" x14ac:dyDescent="0.3">
      <c r="A2912" s="202" t="s">
        <v>833</v>
      </c>
      <c r="B2912" s="204" t="str">
        <f>INDEX(Orçamentária!A:B,MATCH(Composições!A2912,Orçamentária!A:A,0),2)</f>
        <v>Perfil em alumínio para acabamento de trilho superior</v>
      </c>
      <c r="C2912" s="40"/>
      <c r="D2912" s="25" t="str">
        <f>TRIM(INDEX(Orçamentária!C:C,MATCH(Composições!A2912,Orçamentária!A:A,0),1))</f>
        <v>m</v>
      </c>
      <c r="E2912" s="26"/>
      <c r="F2912" s="41" t="s">
        <v>514</v>
      </c>
      <c r="G2912" s="27" t="str">
        <f t="shared" si="50"/>
        <v/>
      </c>
      <c r="H2912" s="28"/>
      <c r="I2912" s="29"/>
      <c r="J2912" s="148">
        <v>0</v>
      </c>
      <c r="K2912" s="222">
        <v>0</v>
      </c>
    </row>
    <row r="2913" spans="1:11" hidden="1" x14ac:dyDescent="0.25">
      <c r="A2913" s="207"/>
      <c r="B2913" s="205"/>
      <c r="C2913" s="31"/>
      <c r="D2913" s="31"/>
      <c r="E2913" s="32"/>
      <c r="F2913" s="42" t="s">
        <v>514</v>
      </c>
      <c r="G2913" s="33" t="str">
        <f t="shared" si="50"/>
        <v/>
      </c>
      <c r="H2913" s="34"/>
      <c r="I2913" s="30"/>
      <c r="J2913" s="148">
        <v>0</v>
      </c>
      <c r="K2913" s="222">
        <v>0</v>
      </c>
    </row>
    <row r="2914" spans="1:11" hidden="1" x14ac:dyDescent="0.25">
      <c r="A2914" s="207"/>
      <c r="B2914" s="205"/>
      <c r="C2914" s="35" t="s">
        <v>68</v>
      </c>
      <c r="D2914" s="35" t="s">
        <v>12</v>
      </c>
      <c r="E2914" s="36">
        <v>0.2</v>
      </c>
      <c r="F2914" s="33">
        <v>22.961500000000001</v>
      </c>
      <c r="G2914" s="33">
        <f t="shared" si="50"/>
        <v>4.5923000000000007</v>
      </c>
      <c r="H2914" s="38">
        <f>SUM(G2914:G2915)</f>
        <v>15.5666145</v>
      </c>
      <c r="I2914" s="39"/>
      <c r="J2914" s="148">
        <v>0</v>
      </c>
      <c r="K2914" s="222">
        <v>0</v>
      </c>
    </row>
    <row r="2915" spans="1:11" hidden="1" x14ac:dyDescent="0.25">
      <c r="A2915" s="207"/>
      <c r="B2915" s="205"/>
      <c r="C2915" s="35" t="s">
        <v>827</v>
      </c>
      <c r="D2915" s="35" t="s">
        <v>42</v>
      </c>
      <c r="E2915" s="36">
        <v>0.28100000000000003</v>
      </c>
      <c r="F2915" s="30">
        <v>39.054499999999997</v>
      </c>
      <c r="G2915" s="33">
        <f t="shared" si="50"/>
        <v>10.9743145</v>
      </c>
      <c r="H2915" s="34"/>
      <c r="I2915" s="30"/>
      <c r="J2915" s="148">
        <v>0</v>
      </c>
      <c r="K2915" s="222">
        <v>0</v>
      </c>
    </row>
    <row r="2916" spans="1:11" hidden="1" x14ac:dyDescent="0.25">
      <c r="A2916" s="207"/>
      <c r="B2916" s="205"/>
      <c r="C2916" s="35"/>
      <c r="D2916" s="46"/>
      <c r="E2916" s="36"/>
      <c r="F2916" s="30" t="s">
        <v>514</v>
      </c>
      <c r="G2916" s="33" t="str">
        <f t="shared" si="50"/>
        <v/>
      </c>
      <c r="H2916" s="34"/>
      <c r="I2916" s="30"/>
      <c r="J2916" s="148">
        <v>0</v>
      </c>
      <c r="K2916" s="222">
        <v>0</v>
      </c>
    </row>
    <row r="2917" spans="1:11" ht="25.5" hidden="1" x14ac:dyDescent="0.25">
      <c r="A2917" s="207"/>
      <c r="B2917" s="205"/>
      <c r="C2917" s="47" t="s">
        <v>834</v>
      </c>
      <c r="D2917" s="46"/>
      <c r="E2917" s="36"/>
      <c r="F2917" s="30" t="s">
        <v>514</v>
      </c>
      <c r="G2917" s="33" t="str">
        <f t="shared" si="50"/>
        <v/>
      </c>
      <c r="H2917" s="34"/>
      <c r="I2917" s="30"/>
      <c r="J2917" s="148">
        <v>0</v>
      </c>
      <c r="K2917" s="222">
        <v>0</v>
      </c>
    </row>
    <row r="2918" spans="1:11" ht="25.5" hidden="1" x14ac:dyDescent="0.25">
      <c r="A2918" s="207"/>
      <c r="B2918" s="205"/>
      <c r="C2918" s="51" t="s">
        <v>832</v>
      </c>
      <c r="D2918" s="46"/>
      <c r="E2918" s="36"/>
      <c r="F2918" s="30" t="s">
        <v>514</v>
      </c>
      <c r="G2918" s="33" t="str">
        <f t="shared" si="50"/>
        <v/>
      </c>
      <c r="H2918" s="34"/>
      <c r="I2918" s="30"/>
      <c r="J2918" s="148">
        <v>0</v>
      </c>
      <c r="K2918" s="222">
        <v>0</v>
      </c>
    </row>
    <row r="2919" spans="1:11" ht="15.75" hidden="1" thickBot="1" x14ac:dyDescent="0.3">
      <c r="A2919" s="208"/>
      <c r="B2919" s="206"/>
      <c r="C2919" s="35"/>
      <c r="D2919" s="35"/>
      <c r="E2919" s="36"/>
      <c r="F2919" s="30" t="s">
        <v>514</v>
      </c>
      <c r="G2919" s="33" t="str">
        <f t="shared" si="50"/>
        <v/>
      </c>
      <c r="H2919" s="34"/>
      <c r="I2919" s="30"/>
      <c r="J2919" s="148">
        <v>0</v>
      </c>
      <c r="K2919" s="222">
        <v>0</v>
      </c>
    </row>
    <row r="2920" spans="1:11" ht="15.75" hidden="1" thickBot="1" x14ac:dyDescent="0.3">
      <c r="A2920" s="202" t="s">
        <v>835</v>
      </c>
      <c r="B2920" s="204" t="str">
        <f>INDEX(Orçamentária!A:B,MATCH(Composições!A2920,Orçamentária!A:A,0),2)</f>
        <v>Perfil guia inferior de alumínio 39,3 mm x 24 mm para vidro temperado 10mm</v>
      </c>
      <c r="C2920" s="40"/>
      <c r="D2920" s="25" t="str">
        <f>TRIM(INDEX(Orçamentária!C:C,MATCH(Composições!A2920,Orçamentária!A:A,0),1))</f>
        <v>m</v>
      </c>
      <c r="E2920" s="26"/>
      <c r="F2920" s="41" t="s">
        <v>514</v>
      </c>
      <c r="G2920" s="27" t="str">
        <f t="shared" si="50"/>
        <v/>
      </c>
      <c r="H2920" s="28"/>
      <c r="I2920" s="29"/>
      <c r="J2920" s="148">
        <v>0</v>
      </c>
      <c r="K2920" s="222">
        <v>0</v>
      </c>
    </row>
    <row r="2921" spans="1:11" hidden="1" x14ac:dyDescent="0.25">
      <c r="A2921" s="207"/>
      <c r="B2921" s="205"/>
      <c r="C2921" s="31"/>
      <c r="D2921" s="31"/>
      <c r="E2921" s="32"/>
      <c r="F2921" s="42" t="s">
        <v>514</v>
      </c>
      <c r="G2921" s="33" t="str">
        <f t="shared" si="50"/>
        <v/>
      </c>
      <c r="H2921" s="34"/>
      <c r="I2921" s="30"/>
      <c r="J2921" s="148">
        <v>0</v>
      </c>
      <c r="K2921" s="222">
        <v>0</v>
      </c>
    </row>
    <row r="2922" spans="1:11" hidden="1" x14ac:dyDescent="0.25">
      <c r="A2922" s="207"/>
      <c r="B2922" s="205"/>
      <c r="C2922" s="35" t="s">
        <v>68</v>
      </c>
      <c r="D2922" s="46" t="s">
        <v>12</v>
      </c>
      <c r="E2922" s="36">
        <v>0.3</v>
      </c>
      <c r="F2922" s="33">
        <v>22.961500000000001</v>
      </c>
      <c r="G2922" s="33">
        <f t="shared" si="50"/>
        <v>6.8884499999999997</v>
      </c>
      <c r="H2922" s="38">
        <f>SUM(G2922:G2923)</f>
        <v>24.502029499999999</v>
      </c>
      <c r="I2922" s="39"/>
      <c r="J2922" s="148">
        <v>0</v>
      </c>
      <c r="K2922" s="222">
        <v>0</v>
      </c>
    </row>
    <row r="2923" spans="1:11" hidden="1" x14ac:dyDescent="0.25">
      <c r="A2923" s="207"/>
      <c r="B2923" s="205"/>
      <c r="C2923" s="35" t="s">
        <v>827</v>
      </c>
      <c r="D2923" s="35" t="s">
        <v>42</v>
      </c>
      <c r="E2923" s="36">
        <v>0.45100000000000001</v>
      </c>
      <c r="F2923" s="30">
        <v>39.054499999999997</v>
      </c>
      <c r="G2923" s="33">
        <f t="shared" si="50"/>
        <v>17.6135795</v>
      </c>
      <c r="H2923" s="34"/>
      <c r="I2923" s="30"/>
      <c r="J2923" s="148">
        <v>0</v>
      </c>
      <c r="K2923" s="222">
        <v>0</v>
      </c>
    </row>
    <row r="2924" spans="1:11" hidden="1" x14ac:dyDescent="0.25">
      <c r="A2924" s="207"/>
      <c r="B2924" s="205"/>
      <c r="C2924" s="35"/>
      <c r="D2924" s="46"/>
      <c r="E2924" s="36"/>
      <c r="F2924" s="30" t="s">
        <v>514</v>
      </c>
      <c r="G2924" s="33" t="str">
        <f t="shared" si="50"/>
        <v/>
      </c>
      <c r="H2924" s="34"/>
      <c r="I2924" s="30"/>
      <c r="J2924" s="148">
        <v>0</v>
      </c>
      <c r="K2924" s="222">
        <v>0</v>
      </c>
    </row>
    <row r="2925" spans="1:11" ht="25.5" hidden="1" x14ac:dyDescent="0.25">
      <c r="A2925" s="207"/>
      <c r="B2925" s="205"/>
      <c r="C2925" s="47" t="s">
        <v>834</v>
      </c>
      <c r="D2925" s="46"/>
      <c r="E2925" s="36"/>
      <c r="F2925" s="30" t="s">
        <v>514</v>
      </c>
      <c r="G2925" s="33" t="str">
        <f t="shared" si="50"/>
        <v/>
      </c>
      <c r="H2925" s="34"/>
      <c r="I2925" s="30"/>
      <c r="J2925" s="148">
        <v>0</v>
      </c>
      <c r="K2925" s="222">
        <v>0</v>
      </c>
    </row>
    <row r="2926" spans="1:11" ht="25.5" hidden="1" x14ac:dyDescent="0.25">
      <c r="A2926" s="207"/>
      <c r="B2926" s="205"/>
      <c r="C2926" s="51" t="s">
        <v>832</v>
      </c>
      <c r="D2926" s="46"/>
      <c r="E2926" s="36"/>
      <c r="F2926" s="30" t="s">
        <v>514</v>
      </c>
      <c r="G2926" s="33" t="str">
        <f t="shared" si="50"/>
        <v/>
      </c>
      <c r="H2926" s="34"/>
      <c r="I2926" s="30"/>
      <c r="J2926" s="148">
        <v>0</v>
      </c>
      <c r="K2926" s="222">
        <v>0</v>
      </c>
    </row>
    <row r="2927" spans="1:11" ht="15.75" hidden="1" thickBot="1" x14ac:dyDescent="0.3">
      <c r="A2927" s="208"/>
      <c r="B2927" s="206"/>
      <c r="C2927" s="35"/>
      <c r="D2927" s="35"/>
      <c r="E2927" s="36"/>
      <c r="F2927" s="30" t="s">
        <v>514</v>
      </c>
      <c r="G2927" s="33" t="str">
        <f t="shared" si="50"/>
        <v/>
      </c>
      <c r="H2927" s="34"/>
      <c r="I2927" s="30"/>
      <c r="J2927" s="148">
        <v>0</v>
      </c>
      <c r="K2927" s="222">
        <v>0</v>
      </c>
    </row>
    <row r="2928" spans="1:11" ht="15.75" hidden="1" thickBot="1" x14ac:dyDescent="0.3">
      <c r="A2928" s="202" t="s">
        <v>836</v>
      </c>
      <c r="B2928" s="204" t="str">
        <f>INDEX(Orçamentária!A:B,MATCH(Composições!A2928,Orçamentária!A:A,0),2)</f>
        <v>Capa do Perfil Guia Inferior “Click”</v>
      </c>
      <c r="C2928" s="40"/>
      <c r="D2928" s="25" t="str">
        <f>TRIM(INDEX(Orçamentária!C:C,MATCH(Composições!A2928,Orçamentária!A:A,0),1))</f>
        <v>m</v>
      </c>
      <c r="E2928" s="26"/>
      <c r="F2928" s="41" t="s">
        <v>514</v>
      </c>
      <c r="G2928" s="27" t="str">
        <f t="shared" si="50"/>
        <v/>
      </c>
      <c r="H2928" s="28"/>
      <c r="I2928" s="29"/>
      <c r="J2928" s="148">
        <v>0</v>
      </c>
      <c r="K2928" s="222">
        <v>0</v>
      </c>
    </row>
    <row r="2929" spans="1:11" hidden="1" x14ac:dyDescent="0.25">
      <c r="A2929" s="207"/>
      <c r="B2929" s="205"/>
      <c r="C2929" s="31"/>
      <c r="D2929" s="31"/>
      <c r="E2929" s="32"/>
      <c r="F2929" s="42" t="s">
        <v>514</v>
      </c>
      <c r="G2929" s="33" t="str">
        <f t="shared" si="50"/>
        <v/>
      </c>
      <c r="H2929" s="34"/>
      <c r="I2929" s="30"/>
      <c r="J2929" s="148">
        <v>0</v>
      </c>
      <c r="K2929" s="222">
        <v>0</v>
      </c>
    </row>
    <row r="2930" spans="1:11" hidden="1" x14ac:dyDescent="0.25">
      <c r="A2930" s="207"/>
      <c r="B2930" s="205"/>
      <c r="C2930" s="35" t="s">
        <v>68</v>
      </c>
      <c r="D2930" s="46" t="s">
        <v>12</v>
      </c>
      <c r="E2930" s="36">
        <v>0.15</v>
      </c>
      <c r="F2930" s="33">
        <v>22.961500000000001</v>
      </c>
      <c r="G2930" s="33">
        <f t="shared" si="50"/>
        <v>3.4442249999999999</v>
      </c>
      <c r="H2930" s="38">
        <f>SUM(G2930:G2931)</f>
        <v>7.740219999999999</v>
      </c>
      <c r="I2930" s="39"/>
      <c r="J2930" s="148">
        <v>0</v>
      </c>
      <c r="K2930" s="222">
        <v>0</v>
      </c>
    </row>
    <row r="2931" spans="1:11" hidden="1" x14ac:dyDescent="0.25">
      <c r="A2931" s="207"/>
      <c r="B2931" s="205"/>
      <c r="C2931" s="35" t="s">
        <v>827</v>
      </c>
      <c r="D2931" s="46" t="s">
        <v>42</v>
      </c>
      <c r="E2931" s="36">
        <v>0.11</v>
      </c>
      <c r="F2931" s="30">
        <v>39.054499999999997</v>
      </c>
      <c r="G2931" s="33">
        <f t="shared" si="50"/>
        <v>4.2959949999999996</v>
      </c>
      <c r="H2931" s="34"/>
      <c r="I2931" s="30"/>
      <c r="J2931" s="148">
        <v>0</v>
      </c>
      <c r="K2931" s="222">
        <v>0</v>
      </c>
    </row>
    <row r="2932" spans="1:11" hidden="1" x14ac:dyDescent="0.25">
      <c r="A2932" s="207"/>
      <c r="B2932" s="205"/>
      <c r="C2932" s="35"/>
      <c r="D2932" s="46"/>
      <c r="E2932" s="36"/>
      <c r="F2932" s="30" t="s">
        <v>514</v>
      </c>
      <c r="G2932" s="33" t="str">
        <f t="shared" si="50"/>
        <v/>
      </c>
      <c r="H2932" s="34"/>
      <c r="I2932" s="30"/>
      <c r="J2932" s="148">
        <v>0</v>
      </c>
      <c r="K2932" s="222">
        <v>0</v>
      </c>
    </row>
    <row r="2933" spans="1:11" ht="25.5" hidden="1" x14ac:dyDescent="0.25">
      <c r="A2933" s="207"/>
      <c r="B2933" s="205"/>
      <c r="C2933" s="47" t="s">
        <v>837</v>
      </c>
      <c r="D2933" s="46"/>
      <c r="E2933" s="36"/>
      <c r="F2933" s="30" t="s">
        <v>514</v>
      </c>
      <c r="G2933" s="33" t="str">
        <f t="shared" si="50"/>
        <v/>
      </c>
      <c r="H2933" s="34"/>
      <c r="I2933" s="30"/>
      <c r="J2933" s="148">
        <v>0</v>
      </c>
      <c r="K2933" s="222">
        <v>0</v>
      </c>
    </row>
    <row r="2934" spans="1:11" ht="25.5" hidden="1" x14ac:dyDescent="0.25">
      <c r="A2934" s="207"/>
      <c r="B2934" s="205"/>
      <c r="C2934" s="51" t="s">
        <v>832</v>
      </c>
      <c r="D2934" s="46"/>
      <c r="E2934" s="36"/>
      <c r="F2934" s="30" t="s">
        <v>514</v>
      </c>
      <c r="G2934" s="33" t="str">
        <f t="shared" si="50"/>
        <v/>
      </c>
      <c r="H2934" s="34"/>
      <c r="I2934" s="30"/>
      <c r="J2934" s="148">
        <v>0</v>
      </c>
      <c r="K2934" s="222">
        <v>0</v>
      </c>
    </row>
    <row r="2935" spans="1:11" ht="15.75" hidden="1" thickBot="1" x14ac:dyDescent="0.3">
      <c r="A2935" s="208"/>
      <c r="B2935" s="206"/>
      <c r="C2935" s="35"/>
      <c r="D2935" s="35"/>
      <c r="E2935" s="36"/>
      <c r="F2935" s="30" t="s">
        <v>514</v>
      </c>
      <c r="G2935" s="33" t="str">
        <f t="shared" si="50"/>
        <v/>
      </c>
      <c r="H2935" s="34"/>
      <c r="I2935" s="30"/>
      <c r="J2935" s="148">
        <v>0</v>
      </c>
      <c r="K2935" s="222">
        <v>0</v>
      </c>
    </row>
    <row r="2936" spans="1:11" ht="15.75" hidden="1" thickBot="1" x14ac:dyDescent="0.3">
      <c r="A2936" s="202" t="s">
        <v>838</v>
      </c>
      <c r="B2936" s="204" t="str">
        <f>INDEX(Orçamentária!A:B,MATCH(Composições!A2936,Orçamentária!A:A,0),2)</f>
        <v>Dobradiça inferior para porta de vidro temperado</v>
      </c>
      <c r="C2936" s="40"/>
      <c r="D2936" s="25" t="str">
        <f>TRIM(INDEX(Orçamentária!C:C,MATCH(Composições!A2936,Orçamentária!A:A,0),1))</f>
        <v>un</v>
      </c>
      <c r="E2936" s="26"/>
      <c r="F2936" s="41" t="s">
        <v>514</v>
      </c>
      <c r="G2936" s="27" t="str">
        <f t="shared" si="50"/>
        <v/>
      </c>
      <c r="H2936" s="28"/>
      <c r="I2936" s="29"/>
      <c r="J2936" s="148">
        <v>0</v>
      </c>
      <c r="K2936" s="222">
        <v>0</v>
      </c>
    </row>
    <row r="2937" spans="1:11" hidden="1" x14ac:dyDescent="0.25">
      <c r="A2937" s="203"/>
      <c r="B2937" s="205"/>
      <c r="C2937" s="31"/>
      <c r="D2937" s="31"/>
      <c r="E2937" s="32"/>
      <c r="F2937" s="42" t="s">
        <v>514</v>
      </c>
      <c r="G2937" s="33" t="str">
        <f t="shared" si="50"/>
        <v/>
      </c>
      <c r="H2937" s="34"/>
      <c r="I2937" s="30"/>
      <c r="J2937" s="148">
        <v>0</v>
      </c>
      <c r="K2937" s="222">
        <v>0</v>
      </c>
    </row>
    <row r="2938" spans="1:11" hidden="1" x14ac:dyDescent="0.25">
      <c r="A2938" s="203"/>
      <c r="B2938" s="205"/>
      <c r="C2938" s="35" t="s">
        <v>68</v>
      </c>
      <c r="D2938" s="46" t="s">
        <v>12</v>
      </c>
      <c r="E2938" s="36">
        <v>0.3</v>
      </c>
      <c r="F2938" s="33">
        <v>22.961500000000001</v>
      </c>
      <c r="G2938" s="33">
        <f t="shared" si="50"/>
        <v>6.8884499999999997</v>
      </c>
      <c r="H2938" s="38">
        <f>SUM(G2938:G2939)</f>
        <v>6.8884499999999997</v>
      </c>
      <c r="I2938" s="39"/>
      <c r="J2938" s="148">
        <v>0</v>
      </c>
      <c r="K2938" s="222">
        <v>0</v>
      </c>
    </row>
    <row r="2939" spans="1:11" ht="25.5" hidden="1" x14ac:dyDescent="0.25">
      <c r="A2939" s="203"/>
      <c r="B2939" s="205"/>
      <c r="C2939" s="35" t="s">
        <v>839</v>
      </c>
      <c r="D2939" s="35" t="s">
        <v>20</v>
      </c>
      <c r="E2939" s="36">
        <v>1</v>
      </c>
      <c r="F2939" s="30">
        <v>0</v>
      </c>
      <c r="G2939" s="33">
        <f t="shared" si="50"/>
        <v>0</v>
      </c>
      <c r="H2939" s="34"/>
      <c r="I2939" s="30"/>
      <c r="J2939" s="148">
        <v>0</v>
      </c>
      <c r="K2939" s="222">
        <v>0</v>
      </c>
    </row>
    <row r="2940" spans="1:11" ht="15.75" hidden="1" thickBot="1" x14ac:dyDescent="0.3">
      <c r="A2940" s="209"/>
      <c r="B2940" s="206"/>
      <c r="C2940" s="35"/>
      <c r="D2940" s="35"/>
      <c r="E2940" s="36"/>
      <c r="F2940" s="30" t="s">
        <v>514</v>
      </c>
      <c r="G2940" s="33" t="str">
        <f t="shared" si="50"/>
        <v/>
      </c>
      <c r="H2940" s="34"/>
      <c r="I2940" s="30"/>
      <c r="J2940" s="148">
        <v>0</v>
      </c>
      <c r="K2940" s="222">
        <v>0</v>
      </c>
    </row>
    <row r="2941" spans="1:11" ht="15.75" hidden="1" thickBot="1" x14ac:dyDescent="0.3">
      <c r="A2941" s="202" t="s">
        <v>840</v>
      </c>
      <c r="B2941" s="204" t="str">
        <f>INDEX(Orçamentária!A:B,MATCH(Composições!A2941,Orçamentária!A:A,0),2)</f>
        <v>Escova de vedação para vidro temperado</v>
      </c>
      <c r="C2941" s="40"/>
      <c r="D2941" s="25" t="str">
        <f>TRIM(INDEX(Orçamentária!C:C,MATCH(Composições!A2941,Orçamentária!A:A,0),1))</f>
        <v>m</v>
      </c>
      <c r="E2941" s="26"/>
      <c r="F2941" s="41" t="s">
        <v>514</v>
      </c>
      <c r="G2941" s="27" t="str">
        <f t="shared" ref="G2941:G3004" si="51">IF(ISNUMBER(F2941),E2941*F2941,"")</f>
        <v/>
      </c>
      <c r="H2941" s="28"/>
      <c r="I2941" s="29"/>
      <c r="J2941" s="148">
        <v>0</v>
      </c>
      <c r="K2941" s="222">
        <v>0</v>
      </c>
    </row>
    <row r="2942" spans="1:11" hidden="1" x14ac:dyDescent="0.25">
      <c r="A2942" s="203"/>
      <c r="B2942" s="205"/>
      <c r="C2942" s="31"/>
      <c r="D2942" s="31"/>
      <c r="E2942" s="32"/>
      <c r="F2942" s="42" t="s">
        <v>514</v>
      </c>
      <c r="G2942" s="33" t="str">
        <f t="shared" si="51"/>
        <v/>
      </c>
      <c r="H2942" s="34"/>
      <c r="I2942" s="30"/>
      <c r="J2942" s="148">
        <v>0</v>
      </c>
      <c r="K2942" s="222">
        <v>0</v>
      </c>
    </row>
    <row r="2943" spans="1:11" hidden="1" x14ac:dyDescent="0.25">
      <c r="A2943" s="203"/>
      <c r="B2943" s="205"/>
      <c r="C2943" s="35" t="s">
        <v>68</v>
      </c>
      <c r="D2943" s="46" t="s">
        <v>12</v>
      </c>
      <c r="E2943" s="36">
        <v>0.3</v>
      </c>
      <c r="F2943" s="33">
        <v>22.961500000000001</v>
      </c>
      <c r="G2943" s="33">
        <f t="shared" si="51"/>
        <v>6.8884499999999997</v>
      </c>
      <c r="H2943" s="38">
        <f>SUM(G2943:G2944)</f>
        <v>6.8884499999999997</v>
      </c>
      <c r="I2943" s="39"/>
      <c r="J2943" s="148">
        <v>0</v>
      </c>
      <c r="K2943" s="222">
        <v>0</v>
      </c>
    </row>
    <row r="2944" spans="1:11" ht="51" hidden="1" x14ac:dyDescent="0.25">
      <c r="A2944" s="203"/>
      <c r="B2944" s="205"/>
      <c r="C2944" s="35" t="s">
        <v>841</v>
      </c>
      <c r="D2944" s="35" t="s">
        <v>20</v>
      </c>
      <c r="E2944" s="36">
        <v>1</v>
      </c>
      <c r="F2944" s="30" t="s">
        <v>514</v>
      </c>
      <c r="G2944" s="33" t="str">
        <f t="shared" si="51"/>
        <v/>
      </c>
      <c r="H2944" s="34"/>
      <c r="I2944" s="30"/>
      <c r="J2944" s="148">
        <v>0</v>
      </c>
      <c r="K2944" s="222">
        <v>0</v>
      </c>
    </row>
    <row r="2945" spans="1:11" ht="15.75" hidden="1" thickBot="1" x14ac:dyDescent="0.3">
      <c r="A2945" s="209"/>
      <c r="B2945" s="206"/>
      <c r="C2945" s="35"/>
      <c r="D2945" s="35"/>
      <c r="E2945" s="36"/>
      <c r="F2945" s="30" t="s">
        <v>514</v>
      </c>
      <c r="G2945" s="33" t="str">
        <f t="shared" si="51"/>
        <v/>
      </c>
      <c r="H2945" s="34"/>
      <c r="I2945" s="30"/>
      <c r="J2945" s="148">
        <v>0</v>
      </c>
      <c r="K2945" s="222">
        <v>0</v>
      </c>
    </row>
    <row r="2946" spans="1:11" ht="15.75" hidden="1" thickBot="1" x14ac:dyDescent="0.3">
      <c r="A2946" s="202" t="s">
        <v>842</v>
      </c>
      <c r="B2946" s="204" t="str">
        <f>INDEX(Orçamentária!A:B,MATCH(Composições!A2946,Orçamentária!A:A,0),2)</f>
        <v>Roldana simples para porta de correr em vidro temperado</v>
      </c>
      <c r="C2946" s="40"/>
      <c r="D2946" s="25" t="str">
        <f>TRIM(INDEX(Orçamentária!C:C,MATCH(Composições!A2946,Orçamentária!A:A,0),1))</f>
        <v>un</v>
      </c>
      <c r="E2946" s="26"/>
      <c r="F2946" s="41" t="s">
        <v>514</v>
      </c>
      <c r="G2946" s="27" t="str">
        <f t="shared" si="51"/>
        <v/>
      </c>
      <c r="H2946" s="28"/>
      <c r="I2946" s="29"/>
      <c r="J2946" s="148">
        <v>0</v>
      </c>
      <c r="K2946" s="222">
        <v>0</v>
      </c>
    </row>
    <row r="2947" spans="1:11" hidden="1" x14ac:dyDescent="0.25">
      <c r="A2947" s="203"/>
      <c r="B2947" s="205"/>
      <c r="C2947" s="31"/>
      <c r="D2947" s="31"/>
      <c r="E2947" s="32"/>
      <c r="F2947" s="42" t="s">
        <v>514</v>
      </c>
      <c r="G2947" s="33" t="str">
        <f t="shared" si="51"/>
        <v/>
      </c>
      <c r="H2947" s="34"/>
      <c r="I2947" s="30"/>
      <c r="J2947" s="148">
        <v>0</v>
      </c>
      <c r="K2947" s="222">
        <v>0</v>
      </c>
    </row>
    <row r="2948" spans="1:11" hidden="1" x14ac:dyDescent="0.25">
      <c r="A2948" s="203"/>
      <c r="B2948" s="205"/>
      <c r="C2948" s="35" t="s">
        <v>68</v>
      </c>
      <c r="D2948" s="35" t="s">
        <v>12</v>
      </c>
      <c r="E2948" s="36">
        <v>0.15</v>
      </c>
      <c r="F2948" s="33">
        <v>22.961500000000001</v>
      </c>
      <c r="G2948" s="33">
        <f t="shared" si="51"/>
        <v>3.4442249999999999</v>
      </c>
      <c r="H2948" s="38">
        <f>SUM(G2948:G2949)</f>
        <v>3.4442249999999999</v>
      </c>
      <c r="I2948" s="39"/>
      <c r="J2948" s="148">
        <v>0</v>
      </c>
      <c r="K2948" s="222">
        <v>0</v>
      </c>
    </row>
    <row r="2949" spans="1:11" ht="25.5" hidden="1" x14ac:dyDescent="0.25">
      <c r="A2949" s="203"/>
      <c r="B2949" s="205"/>
      <c r="C2949" s="35" t="s">
        <v>843</v>
      </c>
      <c r="D2949" s="35" t="s">
        <v>20</v>
      </c>
      <c r="E2949" s="36">
        <v>1</v>
      </c>
      <c r="F2949" s="30" t="s">
        <v>514</v>
      </c>
      <c r="G2949" s="33" t="str">
        <f t="shared" si="51"/>
        <v/>
      </c>
      <c r="H2949" s="34"/>
      <c r="I2949" s="30"/>
      <c r="J2949" s="148">
        <v>0</v>
      </c>
      <c r="K2949" s="222">
        <v>0</v>
      </c>
    </row>
    <row r="2950" spans="1:11" ht="15.75" hidden="1" thickBot="1" x14ac:dyDescent="0.3">
      <c r="A2950" s="209"/>
      <c r="B2950" s="206"/>
      <c r="C2950" s="35"/>
      <c r="D2950" s="35"/>
      <c r="E2950" s="36"/>
      <c r="F2950" s="30" t="s">
        <v>514</v>
      </c>
      <c r="G2950" s="33" t="str">
        <f t="shared" si="51"/>
        <v/>
      </c>
      <c r="H2950" s="34"/>
      <c r="I2950" s="30"/>
      <c r="J2950" s="148">
        <v>0</v>
      </c>
      <c r="K2950" s="222">
        <v>0</v>
      </c>
    </row>
    <row r="2951" spans="1:11" ht="15.75" hidden="1" thickBot="1" x14ac:dyDescent="0.3">
      <c r="A2951" s="202" t="s">
        <v>844</v>
      </c>
      <c r="B2951" s="204" t="str">
        <f>INDEX(Orçamentária!A:B,MATCH(Composições!A2951,Orçamentária!A:A,0),2)</f>
        <v>Roldana dupla para porta de correr em vidro temperado</v>
      </c>
      <c r="C2951" s="40"/>
      <c r="D2951" s="25" t="str">
        <f>TRIM(INDEX(Orçamentária!C:C,MATCH(Composições!A2951,Orçamentária!A:A,0),1))</f>
        <v>un</v>
      </c>
      <c r="E2951" s="26"/>
      <c r="F2951" s="41" t="s">
        <v>514</v>
      </c>
      <c r="G2951" s="27" t="str">
        <f t="shared" si="51"/>
        <v/>
      </c>
      <c r="H2951" s="28"/>
      <c r="I2951" s="29"/>
      <c r="J2951" s="148">
        <v>0</v>
      </c>
      <c r="K2951" s="222">
        <v>0</v>
      </c>
    </row>
    <row r="2952" spans="1:11" hidden="1" x14ac:dyDescent="0.25">
      <c r="A2952" s="203"/>
      <c r="B2952" s="205"/>
      <c r="C2952" s="31"/>
      <c r="D2952" s="31"/>
      <c r="E2952" s="32"/>
      <c r="F2952" s="42" t="s">
        <v>514</v>
      </c>
      <c r="G2952" s="33" t="str">
        <f t="shared" si="51"/>
        <v/>
      </c>
      <c r="H2952" s="34"/>
      <c r="I2952" s="30"/>
      <c r="J2952" s="148">
        <v>0</v>
      </c>
      <c r="K2952" s="222">
        <v>0</v>
      </c>
    </row>
    <row r="2953" spans="1:11" hidden="1" x14ac:dyDescent="0.25">
      <c r="A2953" s="203"/>
      <c r="B2953" s="205"/>
      <c r="C2953" s="35" t="s">
        <v>68</v>
      </c>
      <c r="D2953" s="35" t="s">
        <v>12</v>
      </c>
      <c r="E2953" s="36">
        <v>0.15</v>
      </c>
      <c r="F2953" s="33">
        <v>22.961500000000001</v>
      </c>
      <c r="G2953" s="33">
        <f t="shared" si="51"/>
        <v>3.4442249999999999</v>
      </c>
      <c r="H2953" s="38">
        <f>SUM(G2953:G2954)</f>
        <v>3.4442249999999999</v>
      </c>
      <c r="I2953" s="39"/>
      <c r="J2953" s="148">
        <v>0</v>
      </c>
      <c r="K2953" s="222">
        <v>0</v>
      </c>
    </row>
    <row r="2954" spans="1:11" ht="25.5" hidden="1" x14ac:dyDescent="0.25">
      <c r="A2954" s="203"/>
      <c r="B2954" s="205"/>
      <c r="C2954" s="35" t="s">
        <v>845</v>
      </c>
      <c r="D2954" s="35" t="s">
        <v>20</v>
      </c>
      <c r="E2954" s="36">
        <v>1</v>
      </c>
      <c r="F2954" s="30" t="s">
        <v>514</v>
      </c>
      <c r="G2954" s="33" t="str">
        <f t="shared" si="51"/>
        <v/>
      </c>
      <c r="H2954" s="34"/>
      <c r="I2954" s="30"/>
      <c r="J2954" s="148">
        <v>0</v>
      </c>
      <c r="K2954" s="222">
        <v>0</v>
      </c>
    </row>
    <row r="2955" spans="1:11" ht="15.75" hidden="1" thickBot="1" x14ac:dyDescent="0.3">
      <c r="A2955" s="209"/>
      <c r="B2955" s="206"/>
      <c r="C2955" s="35"/>
      <c r="D2955" s="35"/>
      <c r="E2955" s="36"/>
      <c r="F2955" s="30" t="s">
        <v>514</v>
      </c>
      <c r="G2955" s="33" t="str">
        <f t="shared" si="51"/>
        <v/>
      </c>
      <c r="H2955" s="34"/>
      <c r="I2955" s="30"/>
      <c r="J2955" s="148">
        <v>0</v>
      </c>
      <c r="K2955" s="222">
        <v>0</v>
      </c>
    </row>
    <row r="2956" spans="1:11" ht="15.75" hidden="1" thickBot="1" x14ac:dyDescent="0.3">
      <c r="A2956" s="202" t="s">
        <v>846</v>
      </c>
      <c r="B2956" s="204" t="str">
        <f>INDEX(Orçamentária!A:B,MATCH(Composições!A2956,Orçamentária!A:A,0),2)</f>
        <v>Capuchinho para trinco para vidro temperado</v>
      </c>
      <c r="C2956" s="40"/>
      <c r="D2956" s="25" t="str">
        <f>TRIM(INDEX(Orçamentária!C:C,MATCH(Composições!A2956,Orçamentária!A:A,0),1))</f>
        <v>un</v>
      </c>
      <c r="E2956" s="26"/>
      <c r="F2956" s="41" t="s">
        <v>514</v>
      </c>
      <c r="G2956" s="27" t="str">
        <f t="shared" si="51"/>
        <v/>
      </c>
      <c r="H2956" s="28"/>
      <c r="I2956" s="29"/>
      <c r="J2956" s="148">
        <v>0</v>
      </c>
      <c r="K2956" s="222">
        <v>0</v>
      </c>
    </row>
    <row r="2957" spans="1:11" hidden="1" x14ac:dyDescent="0.25">
      <c r="A2957" s="203"/>
      <c r="B2957" s="205"/>
      <c r="C2957" s="31"/>
      <c r="D2957" s="31"/>
      <c r="E2957" s="32"/>
      <c r="F2957" s="42" t="s">
        <v>514</v>
      </c>
      <c r="G2957" s="33" t="str">
        <f t="shared" si="51"/>
        <v/>
      </c>
      <c r="H2957" s="34"/>
      <c r="I2957" s="30"/>
      <c r="J2957" s="148">
        <v>0</v>
      </c>
      <c r="K2957" s="222">
        <v>0</v>
      </c>
    </row>
    <row r="2958" spans="1:11" hidden="1" x14ac:dyDescent="0.25">
      <c r="A2958" s="203"/>
      <c r="B2958" s="205"/>
      <c r="C2958" s="35" t="s">
        <v>68</v>
      </c>
      <c r="D2958" s="35" t="s">
        <v>12</v>
      </c>
      <c r="E2958" s="36">
        <v>0.1</v>
      </c>
      <c r="F2958" s="33">
        <v>22.961500000000001</v>
      </c>
      <c r="G2958" s="33">
        <f t="shared" si="51"/>
        <v>2.2961500000000004</v>
      </c>
      <c r="H2958" s="38">
        <f>SUM(G2958:G2959)</f>
        <v>2.2961500000000004</v>
      </c>
      <c r="I2958" s="39"/>
      <c r="J2958" s="148">
        <v>0</v>
      </c>
      <c r="K2958" s="222">
        <v>0</v>
      </c>
    </row>
    <row r="2959" spans="1:11" ht="38.25" hidden="1" x14ac:dyDescent="0.25">
      <c r="A2959" s="203"/>
      <c r="B2959" s="205"/>
      <c r="C2959" s="35" t="s">
        <v>847</v>
      </c>
      <c r="D2959" s="35" t="s">
        <v>20</v>
      </c>
      <c r="E2959" s="36">
        <v>1</v>
      </c>
      <c r="F2959" s="30">
        <v>0</v>
      </c>
      <c r="G2959" s="33">
        <f t="shared" si="51"/>
        <v>0</v>
      </c>
      <c r="H2959" s="34"/>
      <c r="I2959" s="30"/>
      <c r="J2959" s="148">
        <v>0</v>
      </c>
      <c r="K2959" s="222">
        <v>0</v>
      </c>
    </row>
    <row r="2960" spans="1:11" ht="15.75" hidden="1" thickBot="1" x14ac:dyDescent="0.3">
      <c r="A2960" s="209"/>
      <c r="B2960" s="206"/>
      <c r="C2960" s="35"/>
      <c r="D2960" s="35"/>
      <c r="E2960" s="36"/>
      <c r="F2960" s="30" t="s">
        <v>514</v>
      </c>
      <c r="G2960" s="33" t="str">
        <f t="shared" si="51"/>
        <v/>
      </c>
      <c r="H2960" s="34"/>
      <c r="I2960" s="30"/>
      <c r="J2960" s="148">
        <v>0</v>
      </c>
      <c r="K2960" s="222">
        <v>0</v>
      </c>
    </row>
    <row r="2961" spans="1:11" ht="15.75" hidden="1" thickBot="1" x14ac:dyDescent="0.3">
      <c r="A2961" s="202" t="s">
        <v>848</v>
      </c>
      <c r="B2961" s="204" t="str">
        <f>INDEX(Orçamentária!A:B,MATCH(Composições!A2961,Orçamentária!A:A,0),2)</f>
        <v>Facão simples para lateral e bandeira de vidro temperado</v>
      </c>
      <c r="C2961" s="40"/>
      <c r="D2961" s="25" t="str">
        <f>TRIM(INDEX(Orçamentária!C:C,MATCH(Composições!A2961,Orçamentária!A:A,0),1))</f>
        <v>un</v>
      </c>
      <c r="E2961" s="26"/>
      <c r="F2961" s="41" t="s">
        <v>514</v>
      </c>
      <c r="G2961" s="27" t="str">
        <f t="shared" si="51"/>
        <v/>
      </c>
      <c r="H2961" s="28"/>
      <c r="I2961" s="29"/>
      <c r="J2961" s="148">
        <v>0</v>
      </c>
      <c r="K2961" s="222">
        <v>0</v>
      </c>
    </row>
    <row r="2962" spans="1:11" hidden="1" x14ac:dyDescent="0.25">
      <c r="A2962" s="203"/>
      <c r="B2962" s="205"/>
      <c r="C2962" s="31"/>
      <c r="D2962" s="31"/>
      <c r="E2962" s="32"/>
      <c r="F2962" s="42" t="s">
        <v>514</v>
      </c>
      <c r="G2962" s="33" t="str">
        <f t="shared" si="51"/>
        <v/>
      </c>
      <c r="H2962" s="34"/>
      <c r="I2962" s="30"/>
      <c r="J2962" s="148">
        <v>0</v>
      </c>
      <c r="K2962" s="222">
        <v>0</v>
      </c>
    </row>
    <row r="2963" spans="1:11" hidden="1" x14ac:dyDescent="0.25">
      <c r="A2963" s="203"/>
      <c r="B2963" s="205"/>
      <c r="C2963" s="35" t="s">
        <v>68</v>
      </c>
      <c r="D2963" s="35" t="s">
        <v>12</v>
      </c>
      <c r="E2963" s="36">
        <v>0.4</v>
      </c>
      <c r="F2963" s="33">
        <v>22.961500000000001</v>
      </c>
      <c r="G2963" s="33">
        <f t="shared" si="51"/>
        <v>9.1846000000000014</v>
      </c>
      <c r="H2963" s="38">
        <f>SUM(G2963:G2964)</f>
        <v>9.1846000000000014</v>
      </c>
      <c r="I2963" s="39"/>
      <c r="J2963" s="148">
        <v>0</v>
      </c>
      <c r="K2963" s="222">
        <v>0</v>
      </c>
    </row>
    <row r="2964" spans="1:11" ht="38.25" hidden="1" x14ac:dyDescent="0.25">
      <c r="A2964" s="203"/>
      <c r="B2964" s="205"/>
      <c r="C2964" s="35" t="s">
        <v>849</v>
      </c>
      <c r="D2964" s="35" t="s">
        <v>20</v>
      </c>
      <c r="E2964" s="36">
        <v>1</v>
      </c>
      <c r="F2964" s="30">
        <v>0</v>
      </c>
      <c r="G2964" s="33">
        <f t="shared" si="51"/>
        <v>0</v>
      </c>
      <c r="H2964" s="34"/>
      <c r="I2964" s="30"/>
      <c r="J2964" s="148">
        <v>0</v>
      </c>
      <c r="K2964" s="222">
        <v>0</v>
      </c>
    </row>
    <row r="2965" spans="1:11" ht="15.75" hidden="1" thickBot="1" x14ac:dyDescent="0.3">
      <c r="A2965" s="209"/>
      <c r="B2965" s="206"/>
      <c r="C2965" s="35"/>
      <c r="D2965" s="35"/>
      <c r="E2965" s="36"/>
      <c r="F2965" s="30" t="s">
        <v>514</v>
      </c>
      <c r="G2965" s="33" t="str">
        <f t="shared" si="51"/>
        <v/>
      </c>
      <c r="H2965" s="34"/>
      <c r="I2965" s="30"/>
      <c r="J2965" s="148">
        <v>0</v>
      </c>
      <c r="K2965" s="222">
        <v>0</v>
      </c>
    </row>
    <row r="2966" spans="1:11" ht="15.75" hidden="1" thickBot="1" x14ac:dyDescent="0.3">
      <c r="A2966" s="202" t="s">
        <v>850</v>
      </c>
      <c r="B2966" s="204" t="str">
        <f>INDEX(Orçamentária!A:B,MATCH(Composições!A2966,Orçamentária!A:A,0),2)</f>
        <v>Fechadura de pressão para porta de abrir em vidro temperado</v>
      </c>
      <c r="C2966" s="40"/>
      <c r="D2966" s="25" t="str">
        <f>TRIM(INDEX(Orçamentária!C:C,MATCH(Composições!A2966,Orçamentária!A:A,0),1))</f>
        <v>un</v>
      </c>
      <c r="E2966" s="26"/>
      <c r="F2966" s="41" t="s">
        <v>514</v>
      </c>
      <c r="G2966" s="27" t="str">
        <f t="shared" si="51"/>
        <v/>
      </c>
      <c r="H2966" s="28"/>
      <c r="I2966" s="29"/>
      <c r="J2966" s="148">
        <v>0</v>
      </c>
      <c r="K2966" s="222">
        <v>0</v>
      </c>
    </row>
    <row r="2967" spans="1:11" hidden="1" x14ac:dyDescent="0.25">
      <c r="A2967" s="203"/>
      <c r="B2967" s="205"/>
      <c r="C2967" s="31"/>
      <c r="D2967" s="31"/>
      <c r="E2967" s="32"/>
      <c r="F2967" s="42" t="s">
        <v>514</v>
      </c>
      <c r="G2967" s="33" t="str">
        <f t="shared" si="51"/>
        <v/>
      </c>
      <c r="H2967" s="34"/>
      <c r="I2967" s="30"/>
      <c r="J2967" s="148">
        <v>0</v>
      </c>
      <c r="K2967" s="222">
        <v>0</v>
      </c>
    </row>
    <row r="2968" spans="1:11" hidden="1" x14ac:dyDescent="0.25">
      <c r="A2968" s="203"/>
      <c r="B2968" s="205"/>
      <c r="C2968" s="35" t="s">
        <v>68</v>
      </c>
      <c r="D2968" s="35" t="s">
        <v>12</v>
      </c>
      <c r="E2968" s="36">
        <v>0.4</v>
      </c>
      <c r="F2968" s="33">
        <v>22.961500000000001</v>
      </c>
      <c r="G2968" s="33">
        <f t="shared" si="51"/>
        <v>9.1846000000000014</v>
      </c>
      <c r="H2968" s="38">
        <f>SUM(G2968:G2969)</f>
        <v>9.1846000000000014</v>
      </c>
      <c r="I2968" s="39"/>
      <c r="J2968" s="148">
        <v>0</v>
      </c>
      <c r="K2968" s="222">
        <v>0</v>
      </c>
    </row>
    <row r="2969" spans="1:11" ht="38.25" hidden="1" x14ac:dyDescent="0.25">
      <c r="A2969" s="203"/>
      <c r="B2969" s="205"/>
      <c r="C2969" s="35" t="s">
        <v>851</v>
      </c>
      <c r="D2969" s="35" t="s">
        <v>20</v>
      </c>
      <c r="E2969" s="36">
        <v>1</v>
      </c>
      <c r="F2969" s="30" t="s">
        <v>514</v>
      </c>
      <c r="G2969" s="33" t="str">
        <f t="shared" si="51"/>
        <v/>
      </c>
      <c r="H2969" s="34"/>
      <c r="I2969" s="30"/>
      <c r="J2969" s="148">
        <v>0</v>
      </c>
      <c r="K2969" s="222">
        <v>0</v>
      </c>
    </row>
    <row r="2970" spans="1:11" ht="15.75" hidden="1" thickBot="1" x14ac:dyDescent="0.3">
      <c r="A2970" s="209"/>
      <c r="B2970" s="206"/>
      <c r="C2970" s="35"/>
      <c r="D2970" s="35"/>
      <c r="E2970" s="36"/>
      <c r="F2970" s="30" t="s">
        <v>514</v>
      </c>
      <c r="G2970" s="33" t="str">
        <f t="shared" si="51"/>
        <v/>
      </c>
      <c r="H2970" s="34"/>
      <c r="I2970" s="30"/>
      <c r="J2970" s="148">
        <v>0</v>
      </c>
      <c r="K2970" s="222">
        <v>0</v>
      </c>
    </row>
    <row r="2971" spans="1:11" ht="15.75" hidden="1" thickBot="1" x14ac:dyDescent="0.3">
      <c r="A2971" s="202" t="s">
        <v>852</v>
      </c>
      <c r="B2971" s="204" t="str">
        <f>INDEX(Orçamentária!A:B,MATCH(Composições!A2971,Orçamentária!A:A,0),2)</f>
        <v>Suporte de união, com miolo, para vidro temperado</v>
      </c>
      <c r="C2971" s="40"/>
      <c r="D2971" s="25" t="str">
        <f>TRIM(INDEX(Orçamentária!C:C,MATCH(Composições!A2971,Orçamentária!A:A,0),1))</f>
        <v>un</v>
      </c>
      <c r="E2971" s="26"/>
      <c r="F2971" s="41" t="s">
        <v>514</v>
      </c>
      <c r="G2971" s="27" t="str">
        <f t="shared" si="51"/>
        <v/>
      </c>
      <c r="H2971" s="28"/>
      <c r="I2971" s="29"/>
      <c r="J2971" s="148">
        <v>0</v>
      </c>
      <c r="K2971" s="222">
        <v>0</v>
      </c>
    </row>
    <row r="2972" spans="1:11" hidden="1" x14ac:dyDescent="0.25">
      <c r="A2972" s="203"/>
      <c r="B2972" s="205"/>
      <c r="C2972" s="31"/>
      <c r="D2972" s="31"/>
      <c r="E2972" s="32"/>
      <c r="F2972" s="42" t="s">
        <v>514</v>
      </c>
      <c r="G2972" s="33" t="str">
        <f t="shared" si="51"/>
        <v/>
      </c>
      <c r="H2972" s="34"/>
      <c r="I2972" s="30"/>
      <c r="J2972" s="148">
        <v>0</v>
      </c>
      <c r="K2972" s="222">
        <v>0</v>
      </c>
    </row>
    <row r="2973" spans="1:11" hidden="1" x14ac:dyDescent="0.25">
      <c r="A2973" s="203"/>
      <c r="B2973" s="205"/>
      <c r="C2973" s="35" t="s">
        <v>68</v>
      </c>
      <c r="D2973" s="35" t="s">
        <v>12</v>
      </c>
      <c r="E2973" s="36">
        <v>0.3</v>
      </c>
      <c r="F2973" s="33">
        <v>22.961500000000001</v>
      </c>
      <c r="G2973" s="33">
        <f t="shared" si="51"/>
        <v>6.8884499999999997</v>
      </c>
      <c r="H2973" s="38">
        <f>SUM(G2973:G2974)</f>
        <v>6.8884499999999997</v>
      </c>
      <c r="I2973" s="39"/>
      <c r="J2973" s="148">
        <v>0</v>
      </c>
      <c r="K2973" s="222">
        <v>0</v>
      </c>
    </row>
    <row r="2974" spans="1:11" ht="25.5" hidden="1" x14ac:dyDescent="0.25">
      <c r="A2974" s="203"/>
      <c r="B2974" s="205"/>
      <c r="C2974" s="35" t="s">
        <v>853</v>
      </c>
      <c r="D2974" s="35" t="s">
        <v>20</v>
      </c>
      <c r="E2974" s="36">
        <v>1</v>
      </c>
      <c r="F2974" s="30">
        <v>0</v>
      </c>
      <c r="G2974" s="33">
        <f t="shared" si="51"/>
        <v>0</v>
      </c>
      <c r="H2974" s="34"/>
      <c r="I2974" s="30"/>
      <c r="J2974" s="148">
        <v>0</v>
      </c>
      <c r="K2974" s="222">
        <v>0</v>
      </c>
    </row>
    <row r="2975" spans="1:11" ht="15.75" hidden="1" thickBot="1" x14ac:dyDescent="0.3">
      <c r="A2975" s="209"/>
      <c r="B2975" s="206"/>
      <c r="C2975" s="35"/>
      <c r="D2975" s="35"/>
      <c r="E2975" s="36"/>
      <c r="F2975" s="30" t="s">
        <v>514</v>
      </c>
      <c r="G2975" s="33" t="str">
        <f t="shared" si="51"/>
        <v/>
      </c>
      <c r="H2975" s="34"/>
      <c r="I2975" s="30"/>
      <c r="J2975" s="148">
        <v>0</v>
      </c>
      <c r="K2975" s="222">
        <v>0</v>
      </c>
    </row>
    <row r="2976" spans="1:11" ht="15.75" hidden="1" thickBot="1" x14ac:dyDescent="0.3">
      <c r="A2976" s="202" t="s">
        <v>854</v>
      </c>
      <c r="B2976" s="204" t="str">
        <f>INDEX(Orçamentária!A:B,MATCH(Composições!A2976,Orçamentária!A:A,0),2)</f>
        <v>Suporte para basculante e pivotante de vidro temperado</v>
      </c>
      <c r="C2976" s="40"/>
      <c r="D2976" s="25" t="str">
        <f>TRIM(INDEX(Orçamentária!C:C,MATCH(Composições!A2976,Orçamentária!A:A,0),1))</f>
        <v>un</v>
      </c>
      <c r="E2976" s="26"/>
      <c r="F2976" s="41" t="s">
        <v>514</v>
      </c>
      <c r="G2976" s="27" t="str">
        <f t="shared" si="51"/>
        <v/>
      </c>
      <c r="H2976" s="28"/>
      <c r="I2976" s="29"/>
      <c r="J2976" s="148">
        <v>0</v>
      </c>
      <c r="K2976" s="222">
        <v>0</v>
      </c>
    </row>
    <row r="2977" spans="1:11" hidden="1" x14ac:dyDescent="0.25">
      <c r="A2977" s="203"/>
      <c r="B2977" s="205"/>
      <c r="C2977" s="31"/>
      <c r="D2977" s="31"/>
      <c r="E2977" s="32"/>
      <c r="F2977" s="42" t="s">
        <v>514</v>
      </c>
      <c r="G2977" s="33" t="str">
        <f t="shared" si="51"/>
        <v/>
      </c>
      <c r="H2977" s="34"/>
      <c r="I2977" s="30"/>
      <c r="J2977" s="148">
        <v>0</v>
      </c>
      <c r="K2977" s="222">
        <v>0</v>
      </c>
    </row>
    <row r="2978" spans="1:11" hidden="1" x14ac:dyDescent="0.25">
      <c r="A2978" s="203"/>
      <c r="B2978" s="205"/>
      <c r="C2978" s="35" t="s">
        <v>68</v>
      </c>
      <c r="D2978" s="35" t="s">
        <v>12</v>
      </c>
      <c r="E2978" s="36">
        <v>0.2</v>
      </c>
      <c r="F2978" s="33">
        <v>22.961500000000001</v>
      </c>
      <c r="G2978" s="33">
        <f t="shared" si="51"/>
        <v>4.5923000000000007</v>
      </c>
      <c r="H2978" s="38">
        <f>SUM(G2978:G2979)</f>
        <v>4.5923000000000007</v>
      </c>
      <c r="I2978" s="39"/>
      <c r="J2978" s="148">
        <v>0</v>
      </c>
      <c r="K2978" s="222">
        <v>0</v>
      </c>
    </row>
    <row r="2979" spans="1:11" ht="25.5" hidden="1" x14ac:dyDescent="0.25">
      <c r="A2979" s="203"/>
      <c r="B2979" s="205"/>
      <c r="C2979" s="35" t="s">
        <v>855</v>
      </c>
      <c r="D2979" s="35" t="s">
        <v>20</v>
      </c>
      <c r="E2979" s="36">
        <v>1</v>
      </c>
      <c r="F2979" s="30">
        <v>0</v>
      </c>
      <c r="G2979" s="33">
        <f t="shared" si="51"/>
        <v>0</v>
      </c>
      <c r="H2979" s="34"/>
      <c r="I2979" s="30"/>
      <c r="J2979" s="148">
        <v>0</v>
      </c>
      <c r="K2979" s="222">
        <v>0</v>
      </c>
    </row>
    <row r="2980" spans="1:11" ht="15.75" hidden="1" thickBot="1" x14ac:dyDescent="0.3">
      <c r="A2980" s="209"/>
      <c r="B2980" s="206"/>
      <c r="C2980" s="35"/>
      <c r="D2980" s="35"/>
      <c r="E2980" s="36"/>
      <c r="F2980" s="30" t="s">
        <v>514</v>
      </c>
      <c r="G2980" s="33" t="str">
        <f t="shared" si="51"/>
        <v/>
      </c>
      <c r="H2980" s="34"/>
      <c r="I2980" s="30"/>
      <c r="J2980" s="148">
        <v>0</v>
      </c>
      <c r="K2980" s="222">
        <v>0</v>
      </c>
    </row>
    <row r="2981" spans="1:11" ht="15.75" hidden="1" thickBot="1" x14ac:dyDescent="0.3">
      <c r="A2981" s="202" t="s">
        <v>856</v>
      </c>
      <c r="B2981" s="204" t="str">
        <f>INDEX(Orçamentária!A:B,MATCH(Composições!A2981,Orçamentária!A:A,0),2)</f>
        <v>Trinco central para basculante em vidro temperado</v>
      </c>
      <c r="C2981" s="40"/>
      <c r="D2981" s="25" t="str">
        <f>TRIM(INDEX(Orçamentária!C:C,MATCH(Composições!A2981,Orçamentária!A:A,0),1))</f>
        <v>un</v>
      </c>
      <c r="E2981" s="26"/>
      <c r="F2981" s="41" t="s">
        <v>514</v>
      </c>
      <c r="G2981" s="27" t="str">
        <f t="shared" si="51"/>
        <v/>
      </c>
      <c r="H2981" s="28"/>
      <c r="I2981" s="29"/>
      <c r="J2981" s="148">
        <v>0</v>
      </c>
      <c r="K2981" s="222">
        <v>0</v>
      </c>
    </row>
    <row r="2982" spans="1:11" hidden="1" x14ac:dyDescent="0.25">
      <c r="A2982" s="203"/>
      <c r="B2982" s="205"/>
      <c r="C2982" s="31"/>
      <c r="D2982" s="31"/>
      <c r="E2982" s="32"/>
      <c r="F2982" s="42" t="s">
        <v>514</v>
      </c>
      <c r="G2982" s="33" t="str">
        <f t="shared" si="51"/>
        <v/>
      </c>
      <c r="H2982" s="34"/>
      <c r="I2982" s="30"/>
      <c r="J2982" s="148">
        <v>0</v>
      </c>
      <c r="K2982" s="222">
        <v>0</v>
      </c>
    </row>
    <row r="2983" spans="1:11" hidden="1" x14ac:dyDescent="0.25">
      <c r="A2983" s="203"/>
      <c r="B2983" s="205"/>
      <c r="C2983" s="35" t="s">
        <v>68</v>
      </c>
      <c r="D2983" s="35" t="s">
        <v>12</v>
      </c>
      <c r="E2983" s="36">
        <v>0.2</v>
      </c>
      <c r="F2983" s="33">
        <v>22.961500000000001</v>
      </c>
      <c r="G2983" s="33">
        <f t="shared" si="51"/>
        <v>4.5923000000000007</v>
      </c>
      <c r="H2983" s="38">
        <f>SUM(G2983:G2984)</f>
        <v>4.5923000000000007</v>
      </c>
      <c r="I2983" s="39"/>
      <c r="J2983" s="148">
        <v>0</v>
      </c>
      <c r="K2983" s="222">
        <v>0</v>
      </c>
    </row>
    <row r="2984" spans="1:11" ht="25.5" hidden="1" x14ac:dyDescent="0.25">
      <c r="A2984" s="203"/>
      <c r="B2984" s="205"/>
      <c r="C2984" s="35" t="s">
        <v>857</v>
      </c>
      <c r="D2984" s="46" t="s">
        <v>20</v>
      </c>
      <c r="E2984" s="36">
        <v>1</v>
      </c>
      <c r="F2984" s="30">
        <v>0</v>
      </c>
      <c r="G2984" s="33">
        <f t="shared" si="51"/>
        <v>0</v>
      </c>
      <c r="H2984" s="34"/>
      <c r="I2984" s="30"/>
      <c r="J2984" s="148">
        <v>0</v>
      </c>
      <c r="K2984" s="222">
        <v>0</v>
      </c>
    </row>
    <row r="2985" spans="1:11" ht="15.75" hidden="1" thickBot="1" x14ac:dyDescent="0.3">
      <c r="A2985" s="209"/>
      <c r="B2985" s="206"/>
      <c r="C2985" s="35"/>
      <c r="D2985" s="35"/>
      <c r="E2985" s="36"/>
      <c r="F2985" s="30" t="s">
        <v>514</v>
      </c>
      <c r="G2985" s="33" t="str">
        <f t="shared" si="51"/>
        <v/>
      </c>
      <c r="H2985" s="34"/>
      <c r="I2985" s="30"/>
      <c r="J2985" s="148">
        <v>0</v>
      </c>
      <c r="K2985" s="222">
        <v>0</v>
      </c>
    </row>
    <row r="2986" spans="1:11" ht="15.75" hidden="1" thickBot="1" x14ac:dyDescent="0.3">
      <c r="A2986" s="202" t="s">
        <v>858</v>
      </c>
      <c r="B2986" s="204" t="str">
        <f>INDEX(Orçamentária!A:B,MATCH(Composições!A2986,Orçamentária!A:A,0),2)</f>
        <v>Vidro laminado incolor de 8mm de espessura</v>
      </c>
      <c r="C2986" s="40"/>
      <c r="D2986" s="25" t="str">
        <f>TRIM(INDEX(Orçamentária!C:C,MATCH(Composições!A2986,Orçamentária!A:A,0),1))</f>
        <v>m2</v>
      </c>
      <c r="E2986" s="26"/>
      <c r="F2986" s="41" t="s">
        <v>514</v>
      </c>
      <c r="G2986" s="27" t="str">
        <f t="shared" si="51"/>
        <v/>
      </c>
      <c r="H2986" s="28"/>
      <c r="I2986" s="29"/>
      <c r="J2986" s="148">
        <v>0</v>
      </c>
      <c r="K2986" s="222">
        <v>0</v>
      </c>
    </row>
    <row r="2987" spans="1:11" hidden="1" x14ac:dyDescent="0.25">
      <c r="A2987" s="203"/>
      <c r="B2987" s="205"/>
      <c r="C2987" s="31"/>
      <c r="D2987" s="31"/>
      <c r="E2987" s="32"/>
      <c r="F2987" s="42" t="s">
        <v>514</v>
      </c>
      <c r="G2987" s="33" t="str">
        <f t="shared" si="51"/>
        <v/>
      </c>
      <c r="H2987" s="34"/>
      <c r="I2987" s="30"/>
      <c r="J2987" s="148">
        <v>0</v>
      </c>
      <c r="K2987" s="222">
        <v>0</v>
      </c>
    </row>
    <row r="2988" spans="1:11" ht="38.25" hidden="1" x14ac:dyDescent="0.25">
      <c r="A2988" s="203"/>
      <c r="B2988" s="205"/>
      <c r="C2988" s="35" t="s">
        <v>3233</v>
      </c>
      <c r="D2988" s="46" t="s">
        <v>278</v>
      </c>
      <c r="E2988" s="36">
        <v>2.1960000000000002</v>
      </c>
      <c r="F2988" s="33">
        <v>0.38949999999999996</v>
      </c>
      <c r="G2988" s="33">
        <f t="shared" si="51"/>
        <v>0.85534199999999994</v>
      </c>
      <c r="H2988" s="38">
        <f>SUM(G2988:G2994)</f>
        <v>601.46380050000005</v>
      </c>
      <c r="I2988" s="39"/>
      <c r="J2988" s="148">
        <v>0</v>
      </c>
      <c r="K2988" s="222">
        <v>0</v>
      </c>
    </row>
    <row r="2989" spans="1:11" ht="25.5" hidden="1" x14ac:dyDescent="0.25">
      <c r="A2989" s="203"/>
      <c r="B2989" s="205"/>
      <c r="C2989" s="35" t="s">
        <v>1172</v>
      </c>
      <c r="D2989" s="46" t="s">
        <v>473</v>
      </c>
      <c r="E2989" s="36">
        <v>3.4159999999999999</v>
      </c>
      <c r="F2989" s="33">
        <v>14.25</v>
      </c>
      <c r="G2989" s="33">
        <f t="shared" si="51"/>
        <v>48.677999999999997</v>
      </c>
      <c r="H2989" s="34"/>
      <c r="I2989" s="30"/>
      <c r="J2989" s="148">
        <v>0</v>
      </c>
      <c r="K2989" s="222">
        <v>0</v>
      </c>
    </row>
    <row r="2990" spans="1:11" hidden="1" x14ac:dyDescent="0.25">
      <c r="A2990" s="203"/>
      <c r="B2990" s="205"/>
      <c r="C2990" s="35" t="s">
        <v>827</v>
      </c>
      <c r="D2990" s="46" t="s">
        <v>891</v>
      </c>
      <c r="E2990" s="36">
        <v>0.96399999999999997</v>
      </c>
      <c r="F2990" s="30">
        <v>39.054499999999997</v>
      </c>
      <c r="G2990" s="33">
        <f t="shared" si="51"/>
        <v>37.648537999999995</v>
      </c>
      <c r="H2990" s="34"/>
      <c r="I2990" s="30"/>
      <c r="J2990" s="148">
        <v>0</v>
      </c>
      <c r="K2990" s="222">
        <v>0</v>
      </c>
    </row>
    <row r="2991" spans="1:11" ht="25.5" hidden="1" x14ac:dyDescent="0.25">
      <c r="A2991" s="203"/>
      <c r="B2991" s="205"/>
      <c r="C2991" s="35" t="s">
        <v>1173</v>
      </c>
      <c r="D2991" s="46" t="s">
        <v>982</v>
      </c>
      <c r="E2991" s="36">
        <v>1</v>
      </c>
      <c r="F2991" s="30">
        <v>439.01400000000001</v>
      </c>
      <c r="G2991" s="33">
        <f t="shared" si="51"/>
        <v>439.01400000000001</v>
      </c>
      <c r="H2991" s="34"/>
      <c r="I2991" s="30"/>
      <c r="J2991" s="148">
        <v>0</v>
      </c>
      <c r="K2991" s="222">
        <v>0</v>
      </c>
    </row>
    <row r="2992" spans="1:11" ht="25.5" hidden="1" x14ac:dyDescent="0.25">
      <c r="A2992" s="203"/>
      <c r="B2992" s="205"/>
      <c r="C2992" s="35" t="s">
        <v>3302</v>
      </c>
      <c r="D2992" s="46" t="s">
        <v>473</v>
      </c>
      <c r="E2992" s="36">
        <v>2.992</v>
      </c>
      <c r="F2992" s="30">
        <v>2.4034999999999997</v>
      </c>
      <c r="G2992" s="33">
        <f t="shared" si="51"/>
        <v>7.1912719999999997</v>
      </c>
      <c r="H2992" s="34"/>
      <c r="I2992" s="30"/>
      <c r="J2992" s="148">
        <v>0</v>
      </c>
      <c r="K2992" s="222">
        <v>0</v>
      </c>
    </row>
    <row r="2993" spans="1:11" hidden="1" x14ac:dyDescent="0.25">
      <c r="A2993" s="203"/>
      <c r="B2993" s="205"/>
      <c r="C2993" s="35" t="s">
        <v>696</v>
      </c>
      <c r="D2993" s="46" t="s">
        <v>695</v>
      </c>
      <c r="E2993" s="36">
        <v>1.619</v>
      </c>
      <c r="F2993" s="30">
        <v>18.420500000000001</v>
      </c>
      <c r="G2993" s="33">
        <f t="shared" si="51"/>
        <v>29.822789500000003</v>
      </c>
      <c r="H2993" s="34"/>
      <c r="I2993" s="30"/>
      <c r="J2993" s="148">
        <v>0</v>
      </c>
      <c r="K2993" s="222">
        <v>0</v>
      </c>
    </row>
    <row r="2994" spans="1:11" hidden="1" x14ac:dyDescent="0.25">
      <c r="A2994" s="203"/>
      <c r="B2994" s="205"/>
      <c r="C2994" s="35" t="s">
        <v>3220</v>
      </c>
      <c r="D2994" s="46" t="s">
        <v>695</v>
      </c>
      <c r="E2994" s="36">
        <v>1.6659999999999999</v>
      </c>
      <c r="F2994" s="30">
        <v>22.961500000000001</v>
      </c>
      <c r="G2994" s="33">
        <f t="shared" si="51"/>
        <v>38.253858999999999</v>
      </c>
      <c r="H2994" s="34"/>
      <c r="I2994" s="30"/>
      <c r="J2994" s="148">
        <v>0</v>
      </c>
      <c r="K2994" s="222">
        <v>0</v>
      </c>
    </row>
    <row r="2995" spans="1:11" ht="15.75" hidden="1" thickBot="1" x14ac:dyDescent="0.3">
      <c r="A2995" s="209"/>
      <c r="B2995" s="206"/>
      <c r="C2995" s="35"/>
      <c r="D2995" s="35"/>
      <c r="E2995" s="36"/>
      <c r="F2995" s="30" t="s">
        <v>514</v>
      </c>
      <c r="G2995" s="33" t="str">
        <f t="shared" si="51"/>
        <v/>
      </c>
      <c r="H2995" s="34"/>
      <c r="I2995" s="30"/>
      <c r="J2995" s="148">
        <v>0</v>
      </c>
      <c r="K2995" s="222">
        <v>0</v>
      </c>
    </row>
    <row r="2996" spans="1:11" ht="15.75" hidden="1" thickBot="1" x14ac:dyDescent="0.3">
      <c r="A2996" s="202" t="s">
        <v>860</v>
      </c>
      <c r="B2996" s="204" t="str">
        <f>INDEX(Orçamentária!A:B,MATCH(Composições!A2996,Orçamentária!A:A,0),2)</f>
        <v>Dobradiça automática vidro/alvenaria para box de vidro temperado</v>
      </c>
      <c r="C2996" s="40"/>
      <c r="D2996" s="25" t="str">
        <f>TRIM(INDEX(Orçamentária!C:C,MATCH(Composições!A2996,Orçamentária!A:A,0),1))</f>
        <v>un</v>
      </c>
      <c r="E2996" s="26"/>
      <c r="F2996" s="41" t="s">
        <v>514</v>
      </c>
      <c r="G2996" s="27" t="str">
        <f t="shared" si="51"/>
        <v/>
      </c>
      <c r="H2996" s="28"/>
      <c r="I2996" s="29"/>
      <c r="J2996" s="148">
        <v>0</v>
      </c>
      <c r="K2996" s="222">
        <v>0</v>
      </c>
    </row>
    <row r="2997" spans="1:11" hidden="1" x14ac:dyDescent="0.25">
      <c r="A2997" s="203"/>
      <c r="B2997" s="205"/>
      <c r="C2997" s="31"/>
      <c r="D2997" s="31"/>
      <c r="E2997" s="32"/>
      <c r="F2997" s="42" t="s">
        <v>514</v>
      </c>
      <c r="G2997" s="33" t="str">
        <f t="shared" si="51"/>
        <v/>
      </c>
      <c r="H2997" s="34"/>
      <c r="I2997" s="30"/>
      <c r="J2997" s="148">
        <v>0</v>
      </c>
      <c r="K2997" s="222">
        <v>0</v>
      </c>
    </row>
    <row r="2998" spans="1:11" hidden="1" x14ac:dyDescent="0.25">
      <c r="A2998" s="203"/>
      <c r="B2998" s="205"/>
      <c r="C2998" s="35" t="s">
        <v>68</v>
      </c>
      <c r="D2998" s="35" t="s">
        <v>12</v>
      </c>
      <c r="E2998" s="36">
        <v>0.2</v>
      </c>
      <c r="F2998" s="33">
        <v>22.961500000000001</v>
      </c>
      <c r="G2998" s="33">
        <f t="shared" si="51"/>
        <v>4.5923000000000007</v>
      </c>
      <c r="H2998" s="38">
        <f>SUM(G2998:G2999)</f>
        <v>4.5923000000000007</v>
      </c>
      <c r="I2998" s="39"/>
      <c r="J2998" s="148">
        <v>0</v>
      </c>
      <c r="K2998" s="222">
        <v>0</v>
      </c>
    </row>
    <row r="2999" spans="1:11" ht="25.5" hidden="1" x14ac:dyDescent="0.25">
      <c r="A2999" s="203"/>
      <c r="B2999" s="205"/>
      <c r="C2999" s="35" t="s">
        <v>861</v>
      </c>
      <c r="D2999" s="35" t="s">
        <v>20</v>
      </c>
      <c r="E2999" s="36">
        <v>1</v>
      </c>
      <c r="F2999" s="30" t="s">
        <v>514</v>
      </c>
      <c r="G2999" s="33" t="str">
        <f t="shared" si="51"/>
        <v/>
      </c>
      <c r="H2999" s="34"/>
      <c r="I2999" s="30"/>
      <c r="J2999" s="148">
        <v>0</v>
      </c>
      <c r="K2999" s="222">
        <v>0</v>
      </c>
    </row>
    <row r="3000" spans="1:11" ht="15.75" hidden="1" thickBot="1" x14ac:dyDescent="0.3">
      <c r="A3000" s="209"/>
      <c r="B3000" s="206"/>
      <c r="C3000" s="35"/>
      <c r="D3000" s="35"/>
      <c r="E3000" s="36"/>
      <c r="F3000" s="30" t="s">
        <v>514</v>
      </c>
      <c r="G3000" s="33" t="str">
        <f t="shared" si="51"/>
        <v/>
      </c>
      <c r="H3000" s="34"/>
      <c r="I3000" s="30"/>
      <c r="J3000" s="148">
        <v>0</v>
      </c>
      <c r="K3000" s="222">
        <v>0</v>
      </c>
    </row>
    <row r="3001" spans="1:11" ht="15.75" hidden="1" thickBot="1" x14ac:dyDescent="0.3">
      <c r="A3001" s="202" t="s">
        <v>862</v>
      </c>
      <c r="B3001" s="204" t="str">
        <f>INDEX(Orçamentária!A:B,MATCH(Composições!A3001,Orçamentária!A:A,0),2)</f>
        <v>Dobradiça horizontal para vidro basculante com trinco</v>
      </c>
      <c r="C3001" s="40"/>
      <c r="D3001" s="25" t="str">
        <f>TRIM(INDEX(Orçamentária!C:C,MATCH(Composições!A3001,Orçamentária!A:A,0),1))</f>
        <v>un</v>
      </c>
      <c r="E3001" s="26"/>
      <c r="F3001" s="41" t="s">
        <v>514</v>
      </c>
      <c r="G3001" s="27" t="str">
        <f t="shared" si="51"/>
        <v/>
      </c>
      <c r="H3001" s="28"/>
      <c r="I3001" s="29"/>
      <c r="J3001" s="148">
        <v>0</v>
      </c>
      <c r="K3001" s="222">
        <v>0</v>
      </c>
    </row>
    <row r="3002" spans="1:11" hidden="1" x14ac:dyDescent="0.25">
      <c r="A3002" s="203"/>
      <c r="B3002" s="205"/>
      <c r="C3002" s="31"/>
      <c r="D3002" s="31"/>
      <c r="E3002" s="32"/>
      <c r="F3002" s="42" t="s">
        <v>514</v>
      </c>
      <c r="G3002" s="33" t="str">
        <f t="shared" si="51"/>
        <v/>
      </c>
      <c r="H3002" s="34"/>
      <c r="I3002" s="30"/>
      <c r="J3002" s="148">
        <v>0</v>
      </c>
      <c r="K3002" s="222">
        <v>0</v>
      </c>
    </row>
    <row r="3003" spans="1:11" hidden="1" x14ac:dyDescent="0.25">
      <c r="A3003" s="203"/>
      <c r="B3003" s="205"/>
      <c r="C3003" s="35" t="s">
        <v>68</v>
      </c>
      <c r="D3003" s="35" t="s">
        <v>12</v>
      </c>
      <c r="E3003" s="36">
        <v>0.2</v>
      </c>
      <c r="F3003" s="33">
        <v>22.961500000000001</v>
      </c>
      <c r="G3003" s="33">
        <f t="shared" si="51"/>
        <v>4.5923000000000007</v>
      </c>
      <c r="H3003" s="38">
        <f>SUM(G3003:G3004)</f>
        <v>4.5923000000000007</v>
      </c>
      <c r="I3003" s="39"/>
      <c r="J3003" s="148">
        <v>0</v>
      </c>
      <c r="K3003" s="222">
        <v>0</v>
      </c>
    </row>
    <row r="3004" spans="1:11" ht="38.25" hidden="1" x14ac:dyDescent="0.25">
      <c r="A3004" s="203"/>
      <c r="B3004" s="205"/>
      <c r="C3004" s="35" t="s">
        <v>863</v>
      </c>
      <c r="D3004" s="35" t="s">
        <v>20</v>
      </c>
      <c r="E3004" s="36">
        <v>1</v>
      </c>
      <c r="F3004" s="30" t="s">
        <v>514</v>
      </c>
      <c r="G3004" s="33" t="str">
        <f t="shared" si="51"/>
        <v/>
      </c>
      <c r="H3004" s="34"/>
      <c r="I3004" s="30"/>
      <c r="J3004" s="148">
        <v>0</v>
      </c>
      <c r="K3004" s="222">
        <v>0</v>
      </c>
    </row>
    <row r="3005" spans="1:11" ht="15.75" hidden="1" thickBot="1" x14ac:dyDescent="0.3">
      <c r="A3005" s="209"/>
      <c r="B3005" s="206"/>
      <c r="C3005" s="35"/>
      <c r="D3005" s="35"/>
      <c r="E3005" s="36"/>
      <c r="F3005" s="30" t="s">
        <v>514</v>
      </c>
      <c r="G3005" s="33" t="str">
        <f t="shared" ref="G3005:G3068" si="52">IF(ISNUMBER(F3005),E3005*F3005,"")</f>
        <v/>
      </c>
      <c r="H3005" s="34"/>
      <c r="I3005" s="30"/>
      <c r="J3005" s="148">
        <v>0</v>
      </c>
      <c r="K3005" s="222">
        <v>0</v>
      </c>
    </row>
    <row r="3006" spans="1:11" ht="15.75" hidden="1" thickBot="1" x14ac:dyDescent="0.3">
      <c r="A3006" s="202" t="s">
        <v>864</v>
      </c>
      <c r="B3006" s="204" t="str">
        <f>INDEX(Orçamentária!A:B,MATCH(Composições!A3006,Orçamentária!A:A,0),2)</f>
        <v>Dobradiça horizontal para vidro basculante</v>
      </c>
      <c r="C3006" s="40"/>
      <c r="D3006" s="25" t="str">
        <f>TRIM(INDEX(Orçamentária!C:C,MATCH(Composições!A3006,Orçamentária!A:A,0),1))</f>
        <v>un</v>
      </c>
      <c r="E3006" s="26"/>
      <c r="F3006" s="41" t="s">
        <v>514</v>
      </c>
      <c r="G3006" s="27" t="str">
        <f t="shared" si="52"/>
        <v/>
      </c>
      <c r="H3006" s="28"/>
      <c r="I3006" s="29"/>
      <c r="J3006" s="148">
        <v>0</v>
      </c>
      <c r="K3006" s="222">
        <v>0</v>
      </c>
    </row>
    <row r="3007" spans="1:11" hidden="1" x14ac:dyDescent="0.25">
      <c r="A3007" s="203"/>
      <c r="B3007" s="205"/>
      <c r="C3007" s="31"/>
      <c r="D3007" s="31"/>
      <c r="E3007" s="32"/>
      <c r="F3007" s="42" t="s">
        <v>514</v>
      </c>
      <c r="G3007" s="33" t="str">
        <f t="shared" si="52"/>
        <v/>
      </c>
      <c r="H3007" s="34"/>
      <c r="I3007" s="30"/>
      <c r="J3007" s="148">
        <v>0</v>
      </c>
      <c r="K3007" s="222">
        <v>0</v>
      </c>
    </row>
    <row r="3008" spans="1:11" hidden="1" x14ac:dyDescent="0.25">
      <c r="A3008" s="203"/>
      <c r="B3008" s="205"/>
      <c r="C3008" s="35" t="s">
        <v>68</v>
      </c>
      <c r="D3008" s="35" t="s">
        <v>12</v>
      </c>
      <c r="E3008" s="36">
        <v>0.2</v>
      </c>
      <c r="F3008" s="33">
        <v>22.961500000000001</v>
      </c>
      <c r="G3008" s="33">
        <f t="shared" si="52"/>
        <v>4.5923000000000007</v>
      </c>
      <c r="H3008" s="38">
        <f>SUM(G3008:G3009)</f>
        <v>4.5923000000000007</v>
      </c>
      <c r="I3008" s="39"/>
      <c r="J3008" s="148">
        <v>0</v>
      </c>
      <c r="K3008" s="222">
        <v>0</v>
      </c>
    </row>
    <row r="3009" spans="1:11" ht="25.5" hidden="1" x14ac:dyDescent="0.25">
      <c r="A3009" s="203"/>
      <c r="B3009" s="205"/>
      <c r="C3009" s="35" t="s">
        <v>865</v>
      </c>
      <c r="D3009" s="35" t="s">
        <v>20</v>
      </c>
      <c r="E3009" s="36">
        <v>1</v>
      </c>
      <c r="F3009" s="30" t="s">
        <v>514</v>
      </c>
      <c r="G3009" s="33" t="str">
        <f t="shared" si="52"/>
        <v/>
      </c>
      <c r="H3009" s="34"/>
      <c r="I3009" s="30"/>
      <c r="J3009" s="148">
        <v>0</v>
      </c>
      <c r="K3009" s="222">
        <v>0</v>
      </c>
    </row>
    <row r="3010" spans="1:11" ht="15.75" hidden="1" thickBot="1" x14ac:dyDescent="0.3">
      <c r="A3010" s="209"/>
      <c r="B3010" s="206"/>
      <c r="C3010" s="35"/>
      <c r="D3010" s="35"/>
      <c r="E3010" s="36"/>
      <c r="F3010" s="30" t="s">
        <v>514</v>
      </c>
      <c r="G3010" s="33" t="str">
        <f t="shared" si="52"/>
        <v/>
      </c>
      <c r="H3010" s="34"/>
      <c r="I3010" s="30"/>
      <c r="J3010" s="148">
        <v>0</v>
      </c>
      <c r="K3010" s="222">
        <v>0</v>
      </c>
    </row>
    <row r="3011" spans="1:11" ht="15.75" hidden="1" thickBot="1" x14ac:dyDescent="0.3">
      <c r="A3011" s="202" t="s">
        <v>866</v>
      </c>
      <c r="B3011" s="204" t="str">
        <f>INDEX(Orçamentária!A:B,MATCH(Composições!A3011,Orçamentária!A:A,0),2)</f>
        <v>Fechadura elétrica para porta de vidro temperado</v>
      </c>
      <c r="C3011" s="40"/>
      <c r="D3011" s="25" t="str">
        <f>TRIM(INDEX(Orçamentária!C:C,MATCH(Composições!A3011,Orçamentária!A:A,0),1))</f>
        <v>un</v>
      </c>
      <c r="E3011" s="26"/>
      <c r="F3011" s="41" t="s">
        <v>514</v>
      </c>
      <c r="G3011" s="27" t="str">
        <f t="shared" si="52"/>
        <v/>
      </c>
      <c r="H3011" s="28"/>
      <c r="I3011" s="29"/>
      <c r="J3011" s="148">
        <v>0</v>
      </c>
      <c r="K3011" s="222">
        <v>0</v>
      </c>
    </row>
    <row r="3012" spans="1:11" hidden="1" x14ac:dyDescent="0.25">
      <c r="A3012" s="203"/>
      <c r="B3012" s="205"/>
      <c r="C3012" s="31"/>
      <c r="D3012" s="31"/>
      <c r="E3012" s="32"/>
      <c r="F3012" s="42" t="s">
        <v>514</v>
      </c>
      <c r="G3012" s="33" t="str">
        <f t="shared" si="52"/>
        <v/>
      </c>
      <c r="H3012" s="34"/>
      <c r="I3012" s="30"/>
      <c r="J3012" s="148">
        <v>0</v>
      </c>
      <c r="K3012" s="222">
        <v>0</v>
      </c>
    </row>
    <row r="3013" spans="1:11" hidden="1" x14ac:dyDescent="0.25">
      <c r="A3013" s="203"/>
      <c r="B3013" s="205"/>
      <c r="C3013" s="35" t="s">
        <v>68</v>
      </c>
      <c r="D3013" s="35" t="s">
        <v>12</v>
      </c>
      <c r="E3013" s="36">
        <v>1.5</v>
      </c>
      <c r="F3013" s="33">
        <v>22.961500000000001</v>
      </c>
      <c r="G3013" s="33">
        <f t="shared" si="52"/>
        <v>34.442250000000001</v>
      </c>
      <c r="H3013" s="38">
        <f>SUM(G3013:G3014)</f>
        <v>34.442250000000001</v>
      </c>
      <c r="I3013" s="39"/>
      <c r="J3013" s="148">
        <v>0</v>
      </c>
      <c r="K3013" s="222">
        <v>0</v>
      </c>
    </row>
    <row r="3014" spans="1:11" ht="51" hidden="1" x14ac:dyDescent="0.25">
      <c r="A3014" s="203"/>
      <c r="B3014" s="205"/>
      <c r="C3014" s="143" t="s">
        <v>867</v>
      </c>
      <c r="D3014" s="35" t="s">
        <v>20</v>
      </c>
      <c r="E3014" s="36">
        <v>1</v>
      </c>
      <c r="F3014" s="30" t="s">
        <v>514</v>
      </c>
      <c r="G3014" s="33" t="str">
        <f t="shared" si="52"/>
        <v/>
      </c>
      <c r="H3014" s="34"/>
      <c r="I3014" s="30"/>
      <c r="J3014" s="148">
        <v>0</v>
      </c>
      <c r="K3014" s="222">
        <v>0</v>
      </c>
    </row>
    <row r="3015" spans="1:11" ht="15.75" hidden="1" thickBot="1" x14ac:dyDescent="0.3">
      <c r="A3015" s="209"/>
      <c r="B3015" s="206"/>
      <c r="C3015" s="35"/>
      <c r="D3015" s="35"/>
      <c r="E3015" s="36"/>
      <c r="F3015" s="30" t="s">
        <v>514</v>
      </c>
      <c r="G3015" s="33" t="str">
        <f t="shared" si="52"/>
        <v/>
      </c>
      <c r="H3015" s="34"/>
      <c r="I3015" s="30"/>
      <c r="J3015" s="148">
        <v>0</v>
      </c>
      <c r="K3015" s="222">
        <v>0</v>
      </c>
    </row>
    <row r="3016" spans="1:11" ht="15.75" hidden="1" thickBot="1" x14ac:dyDescent="0.3">
      <c r="A3016" s="202" t="s">
        <v>868</v>
      </c>
      <c r="B3016" s="204" t="str">
        <f>INDEX(Orçamentária!A:B,MATCH(Composições!A3016,Orçamentária!A:A,0),2)</f>
        <v>Porteiro eletrônico</v>
      </c>
      <c r="C3016" s="40"/>
      <c r="D3016" s="25" t="str">
        <f>TRIM(INDEX(Orçamentária!C:C,MATCH(Composições!A3016,Orçamentária!A:A,0),1))</f>
        <v>un</v>
      </c>
      <c r="E3016" s="26"/>
      <c r="F3016" s="41" t="s">
        <v>514</v>
      </c>
      <c r="G3016" s="27" t="str">
        <f t="shared" si="52"/>
        <v/>
      </c>
      <c r="H3016" s="28"/>
      <c r="I3016" s="29"/>
      <c r="J3016" s="148">
        <v>0</v>
      </c>
      <c r="K3016" s="222">
        <v>0</v>
      </c>
    </row>
    <row r="3017" spans="1:11" hidden="1" x14ac:dyDescent="0.25">
      <c r="A3017" s="203"/>
      <c r="B3017" s="205"/>
      <c r="C3017" s="31"/>
      <c r="D3017" s="31"/>
      <c r="E3017" s="32"/>
      <c r="F3017" s="42" t="s">
        <v>514</v>
      </c>
      <c r="G3017" s="33" t="str">
        <f t="shared" si="52"/>
        <v/>
      </c>
      <c r="H3017" s="34"/>
      <c r="I3017" s="30"/>
      <c r="J3017" s="148">
        <v>0</v>
      </c>
      <c r="K3017" s="222">
        <v>0</v>
      </c>
    </row>
    <row r="3018" spans="1:11" hidden="1" x14ac:dyDescent="0.25">
      <c r="A3018" s="203"/>
      <c r="B3018" s="205"/>
      <c r="C3018" s="35" t="s">
        <v>68</v>
      </c>
      <c r="D3018" s="35" t="s">
        <v>12</v>
      </c>
      <c r="E3018" s="36">
        <v>1.5</v>
      </c>
      <c r="F3018" s="33">
        <v>22.961500000000001</v>
      </c>
      <c r="G3018" s="33">
        <f t="shared" si="52"/>
        <v>34.442250000000001</v>
      </c>
      <c r="H3018" s="38">
        <f>SUM(G3018:G3019)</f>
        <v>34.442250000000001</v>
      </c>
      <c r="I3018" s="39"/>
      <c r="J3018" s="148">
        <v>0</v>
      </c>
      <c r="K3018" s="222">
        <v>0</v>
      </c>
    </row>
    <row r="3019" spans="1:11" hidden="1" x14ac:dyDescent="0.25">
      <c r="A3019" s="203"/>
      <c r="B3019" s="205"/>
      <c r="C3019" s="35" t="s">
        <v>869</v>
      </c>
      <c r="D3019" s="35" t="s">
        <v>20</v>
      </c>
      <c r="E3019" s="36">
        <v>1</v>
      </c>
      <c r="F3019" s="30" t="s">
        <v>514</v>
      </c>
      <c r="G3019" s="33" t="str">
        <f t="shared" si="52"/>
        <v/>
      </c>
      <c r="H3019" s="34"/>
      <c r="I3019" s="30"/>
      <c r="J3019" s="148">
        <v>0</v>
      </c>
      <c r="K3019" s="222">
        <v>0</v>
      </c>
    </row>
    <row r="3020" spans="1:11" ht="15.75" hidden="1" thickBot="1" x14ac:dyDescent="0.3">
      <c r="A3020" s="209"/>
      <c r="B3020" s="206"/>
      <c r="C3020" s="35"/>
      <c r="D3020" s="35"/>
      <c r="E3020" s="36"/>
      <c r="F3020" s="30" t="s">
        <v>514</v>
      </c>
      <c r="G3020" s="33" t="str">
        <f t="shared" si="52"/>
        <v/>
      </c>
      <c r="H3020" s="34"/>
      <c r="I3020" s="30"/>
      <c r="J3020" s="148">
        <v>0</v>
      </c>
      <c r="K3020" s="222">
        <v>0</v>
      </c>
    </row>
    <row r="3021" spans="1:11" ht="15.75" hidden="1" thickBot="1" x14ac:dyDescent="0.3">
      <c r="A3021" s="202" t="s">
        <v>870</v>
      </c>
      <c r="B3021" s="204" t="str">
        <f>INDEX(Orçamentária!A:B,MATCH(Composições!A3021,Orçamentária!A:A,0),2)</f>
        <v>Acionador fixo</v>
      </c>
      <c r="C3021" s="40"/>
      <c r="D3021" s="25" t="str">
        <f>TRIM(INDEX(Orçamentária!C:C,MATCH(Composições!A3021,Orçamentária!A:A,0),1))</f>
        <v>un</v>
      </c>
      <c r="E3021" s="26"/>
      <c r="F3021" s="41" t="s">
        <v>514</v>
      </c>
      <c r="G3021" s="27" t="str">
        <f t="shared" si="52"/>
        <v/>
      </c>
      <c r="H3021" s="28"/>
      <c r="I3021" s="29"/>
      <c r="J3021" s="148">
        <v>0</v>
      </c>
      <c r="K3021" s="222">
        <v>0</v>
      </c>
    </row>
    <row r="3022" spans="1:11" hidden="1" x14ac:dyDescent="0.25">
      <c r="A3022" s="203"/>
      <c r="B3022" s="205"/>
      <c r="C3022" s="31"/>
      <c r="D3022" s="31"/>
      <c r="E3022" s="32"/>
      <c r="F3022" s="42" t="s">
        <v>514</v>
      </c>
      <c r="G3022" s="33" t="str">
        <f t="shared" si="52"/>
        <v/>
      </c>
      <c r="H3022" s="34"/>
      <c r="I3022" s="30"/>
      <c r="J3022" s="148">
        <v>0</v>
      </c>
      <c r="K3022" s="222">
        <v>0</v>
      </c>
    </row>
    <row r="3023" spans="1:11" hidden="1" x14ac:dyDescent="0.25">
      <c r="A3023" s="203"/>
      <c r="B3023" s="205"/>
      <c r="C3023" s="35" t="s">
        <v>68</v>
      </c>
      <c r="D3023" s="35" t="s">
        <v>12</v>
      </c>
      <c r="E3023" s="36">
        <v>1</v>
      </c>
      <c r="F3023" s="33">
        <v>22.961500000000001</v>
      </c>
      <c r="G3023" s="33">
        <f t="shared" si="52"/>
        <v>22.961500000000001</v>
      </c>
      <c r="H3023" s="38">
        <f>SUM(G3023:G3024)</f>
        <v>22.961500000000001</v>
      </c>
      <c r="I3023" s="39"/>
      <c r="J3023" s="148">
        <v>0</v>
      </c>
      <c r="K3023" s="222">
        <v>0</v>
      </c>
    </row>
    <row r="3024" spans="1:11" ht="25.5" hidden="1" x14ac:dyDescent="0.25">
      <c r="A3024" s="203"/>
      <c r="B3024" s="205"/>
      <c r="C3024" s="35" t="s">
        <v>871</v>
      </c>
      <c r="D3024" s="35" t="s">
        <v>20</v>
      </c>
      <c r="E3024" s="36">
        <v>1</v>
      </c>
      <c r="F3024" s="30" t="s">
        <v>514</v>
      </c>
      <c r="G3024" s="33" t="str">
        <f t="shared" si="52"/>
        <v/>
      </c>
      <c r="H3024" s="34"/>
      <c r="I3024" s="30"/>
      <c r="J3024" s="148">
        <v>0</v>
      </c>
      <c r="K3024" s="222">
        <v>0</v>
      </c>
    </row>
    <row r="3025" spans="1:11" ht="15.75" hidden="1" thickBot="1" x14ac:dyDescent="0.3">
      <c r="A3025" s="209"/>
      <c r="B3025" s="206"/>
      <c r="C3025" s="35"/>
      <c r="D3025" s="35"/>
      <c r="E3025" s="36"/>
      <c r="F3025" s="30" t="s">
        <v>514</v>
      </c>
      <c r="G3025" s="33" t="str">
        <f t="shared" si="52"/>
        <v/>
      </c>
      <c r="H3025" s="34"/>
      <c r="I3025" s="30"/>
      <c r="J3025" s="148">
        <v>0</v>
      </c>
      <c r="K3025" s="222">
        <v>0</v>
      </c>
    </row>
    <row r="3026" spans="1:11" ht="15.75" hidden="1" thickBot="1" x14ac:dyDescent="0.3">
      <c r="A3026" s="202" t="s">
        <v>872</v>
      </c>
      <c r="B3026" s="204" t="str">
        <f>INDEX(Orçamentária!A:B,MATCH(Composições!A3026,Orçamentária!A:A,0),2)</f>
        <v>Mini chapinha para trinco basculante</v>
      </c>
      <c r="C3026" s="40"/>
      <c r="D3026" s="25" t="str">
        <f>TRIM(INDEX(Orçamentária!C:C,MATCH(Composições!A3026,Orçamentária!A:A,0),1))</f>
        <v>un</v>
      </c>
      <c r="E3026" s="26"/>
      <c r="F3026" s="41" t="s">
        <v>514</v>
      </c>
      <c r="G3026" s="27" t="str">
        <f t="shared" si="52"/>
        <v/>
      </c>
      <c r="H3026" s="28"/>
      <c r="I3026" s="29"/>
      <c r="J3026" s="148">
        <v>0</v>
      </c>
      <c r="K3026" s="222">
        <v>0</v>
      </c>
    </row>
    <row r="3027" spans="1:11" hidden="1" x14ac:dyDescent="0.25">
      <c r="A3027" s="203"/>
      <c r="B3027" s="205"/>
      <c r="C3027" s="31"/>
      <c r="D3027" s="31"/>
      <c r="E3027" s="32"/>
      <c r="F3027" s="42" t="s">
        <v>514</v>
      </c>
      <c r="G3027" s="33" t="str">
        <f t="shared" si="52"/>
        <v/>
      </c>
      <c r="H3027" s="34"/>
      <c r="I3027" s="30"/>
      <c r="J3027" s="148">
        <v>0</v>
      </c>
      <c r="K3027" s="222">
        <v>0</v>
      </c>
    </row>
    <row r="3028" spans="1:11" hidden="1" x14ac:dyDescent="0.25">
      <c r="A3028" s="203"/>
      <c r="B3028" s="205"/>
      <c r="C3028" s="35" t="s">
        <v>68</v>
      </c>
      <c r="D3028" s="35" t="s">
        <v>12</v>
      </c>
      <c r="E3028" s="36">
        <v>0.1</v>
      </c>
      <c r="F3028" s="33">
        <v>22.961500000000001</v>
      </c>
      <c r="G3028" s="33">
        <f t="shared" si="52"/>
        <v>2.2961500000000004</v>
      </c>
      <c r="H3028" s="38">
        <f>SUM(G3028:G3029)</f>
        <v>2.2961500000000004</v>
      </c>
      <c r="I3028" s="39"/>
      <c r="J3028" s="148">
        <v>0</v>
      </c>
      <c r="K3028" s="222">
        <v>0</v>
      </c>
    </row>
    <row r="3029" spans="1:11" ht="25.5" hidden="1" x14ac:dyDescent="0.25">
      <c r="A3029" s="203"/>
      <c r="B3029" s="205"/>
      <c r="C3029" s="35" t="s">
        <v>873</v>
      </c>
      <c r="D3029" s="35" t="s">
        <v>20</v>
      </c>
      <c r="E3029" s="36">
        <v>1</v>
      </c>
      <c r="F3029" s="30" t="s">
        <v>514</v>
      </c>
      <c r="G3029" s="33" t="str">
        <f t="shared" si="52"/>
        <v/>
      </c>
      <c r="H3029" s="34"/>
      <c r="I3029" s="30"/>
      <c r="J3029" s="148">
        <v>0</v>
      </c>
      <c r="K3029" s="222">
        <v>0</v>
      </c>
    </row>
    <row r="3030" spans="1:11" ht="15.75" hidden="1" thickBot="1" x14ac:dyDescent="0.3">
      <c r="A3030" s="209"/>
      <c r="B3030" s="206"/>
      <c r="C3030" s="35"/>
      <c r="D3030" s="35"/>
      <c r="E3030" s="36"/>
      <c r="F3030" s="30" t="s">
        <v>514</v>
      </c>
      <c r="G3030" s="33" t="str">
        <f t="shared" si="52"/>
        <v/>
      </c>
      <c r="H3030" s="34"/>
      <c r="I3030" s="30"/>
      <c r="J3030" s="148">
        <v>0</v>
      </c>
      <c r="K3030" s="222">
        <v>0</v>
      </c>
    </row>
    <row r="3031" spans="1:11" ht="15.75" hidden="1" thickBot="1" x14ac:dyDescent="0.3">
      <c r="A3031" s="202" t="s">
        <v>874</v>
      </c>
      <c r="B3031" s="204" t="str">
        <f>INDEX(Orçamentária!A:B,MATCH(Composições!A3031,Orçamentária!A:A,0),2)</f>
        <v>Puxador metálico - diâmetro de 22mm a 25mm</v>
      </c>
      <c r="C3031" s="40"/>
      <c r="D3031" s="25" t="str">
        <f>TRIM(INDEX(Orçamentária!C:C,MATCH(Composições!A3031,Orçamentária!A:A,0),1))</f>
        <v>un</v>
      </c>
      <c r="E3031" s="26"/>
      <c r="F3031" s="41" t="s">
        <v>514</v>
      </c>
      <c r="G3031" s="27" t="str">
        <f t="shared" si="52"/>
        <v/>
      </c>
      <c r="H3031" s="28"/>
      <c r="I3031" s="29"/>
      <c r="J3031" s="148">
        <v>0</v>
      </c>
      <c r="K3031" s="222">
        <v>0</v>
      </c>
    </row>
    <row r="3032" spans="1:11" hidden="1" x14ac:dyDescent="0.25">
      <c r="A3032" s="203"/>
      <c r="B3032" s="205"/>
      <c r="C3032" s="31"/>
      <c r="D3032" s="31"/>
      <c r="E3032" s="32"/>
      <c r="F3032" s="42" t="s">
        <v>514</v>
      </c>
      <c r="G3032" s="33" t="str">
        <f t="shared" si="52"/>
        <v/>
      </c>
      <c r="H3032" s="34"/>
      <c r="I3032" s="30"/>
      <c r="J3032" s="148">
        <v>0</v>
      </c>
      <c r="K3032" s="222">
        <v>0</v>
      </c>
    </row>
    <row r="3033" spans="1:11" hidden="1" x14ac:dyDescent="0.25">
      <c r="A3033" s="203"/>
      <c r="B3033" s="205"/>
      <c r="C3033" s="35" t="s">
        <v>68</v>
      </c>
      <c r="D3033" s="35" t="s">
        <v>12</v>
      </c>
      <c r="E3033" s="36">
        <v>0.2</v>
      </c>
      <c r="F3033" s="33">
        <v>22.961500000000001</v>
      </c>
      <c r="G3033" s="33">
        <f t="shared" si="52"/>
        <v>4.5923000000000007</v>
      </c>
      <c r="H3033" s="38">
        <f>SUM(G3033:G3034)</f>
        <v>4.5923000000000007</v>
      </c>
      <c r="I3033" s="39"/>
      <c r="J3033" s="148">
        <v>0</v>
      </c>
      <c r="K3033" s="222">
        <v>0</v>
      </c>
    </row>
    <row r="3034" spans="1:11" ht="25.5" hidden="1" x14ac:dyDescent="0.25">
      <c r="A3034" s="203"/>
      <c r="B3034" s="205"/>
      <c r="C3034" s="35" t="s">
        <v>875</v>
      </c>
      <c r="D3034" s="35" t="s">
        <v>20</v>
      </c>
      <c r="E3034" s="36">
        <v>1</v>
      </c>
      <c r="F3034" s="30" t="s">
        <v>514</v>
      </c>
      <c r="G3034" s="33" t="str">
        <f t="shared" si="52"/>
        <v/>
      </c>
      <c r="H3034" s="34"/>
      <c r="I3034" s="30"/>
      <c r="J3034" s="148">
        <v>0</v>
      </c>
      <c r="K3034" s="222">
        <v>0</v>
      </c>
    </row>
    <row r="3035" spans="1:11" ht="15.75" hidden="1" thickBot="1" x14ac:dyDescent="0.3">
      <c r="A3035" s="209"/>
      <c r="B3035" s="206"/>
      <c r="C3035" s="35"/>
      <c r="D3035" s="35"/>
      <c r="E3035" s="36"/>
      <c r="F3035" s="30" t="s">
        <v>514</v>
      </c>
      <c r="G3035" s="33" t="str">
        <f t="shared" si="52"/>
        <v/>
      </c>
      <c r="H3035" s="34"/>
      <c r="I3035" s="30"/>
      <c r="J3035" s="148">
        <v>0</v>
      </c>
      <c r="K3035" s="222">
        <v>0</v>
      </c>
    </row>
    <row r="3036" spans="1:11" ht="15.75" hidden="1" thickBot="1" x14ac:dyDescent="0.3">
      <c r="A3036" s="202" t="s">
        <v>876</v>
      </c>
      <c r="B3036" s="204" t="str">
        <f>INDEX(Orçamentária!A:B,MATCH(Composições!A3036,Orçamentária!A:A,0),2)</f>
        <v>Trinco sem miolo para vidro temperado</v>
      </c>
      <c r="C3036" s="40"/>
      <c r="D3036" s="25" t="str">
        <f>TRIM(INDEX(Orçamentária!C:C,MATCH(Composições!A3036,Orçamentária!A:A,0),1))</f>
        <v>un</v>
      </c>
      <c r="E3036" s="26"/>
      <c r="F3036" s="41" t="s">
        <v>514</v>
      </c>
      <c r="G3036" s="27" t="str">
        <f t="shared" si="52"/>
        <v/>
      </c>
      <c r="H3036" s="28"/>
      <c r="I3036" s="29"/>
      <c r="J3036" s="148">
        <v>0</v>
      </c>
      <c r="K3036" s="222">
        <v>0</v>
      </c>
    </row>
    <row r="3037" spans="1:11" hidden="1" x14ac:dyDescent="0.25">
      <c r="A3037" s="203"/>
      <c r="B3037" s="205"/>
      <c r="C3037" s="31"/>
      <c r="D3037" s="31"/>
      <c r="E3037" s="32"/>
      <c r="F3037" s="42" t="s">
        <v>514</v>
      </c>
      <c r="G3037" s="33" t="str">
        <f t="shared" si="52"/>
        <v/>
      </c>
      <c r="H3037" s="34"/>
      <c r="I3037" s="30"/>
      <c r="J3037" s="148">
        <v>0</v>
      </c>
      <c r="K3037" s="222">
        <v>0</v>
      </c>
    </row>
    <row r="3038" spans="1:11" hidden="1" x14ac:dyDescent="0.25">
      <c r="A3038" s="203"/>
      <c r="B3038" s="205"/>
      <c r="C3038" s="35" t="s">
        <v>68</v>
      </c>
      <c r="D3038" s="35" t="s">
        <v>12</v>
      </c>
      <c r="E3038" s="36">
        <v>0.2</v>
      </c>
      <c r="F3038" s="33">
        <v>22.961500000000001</v>
      </c>
      <c r="G3038" s="33">
        <f t="shared" si="52"/>
        <v>4.5923000000000007</v>
      </c>
      <c r="H3038" s="38">
        <f>SUM(G3038:G3039)</f>
        <v>4.5923000000000007</v>
      </c>
      <c r="I3038" s="39"/>
      <c r="J3038" s="148">
        <v>0</v>
      </c>
      <c r="K3038" s="222">
        <v>0</v>
      </c>
    </row>
    <row r="3039" spans="1:11" ht="38.25" hidden="1" x14ac:dyDescent="0.25">
      <c r="A3039" s="203"/>
      <c r="B3039" s="205"/>
      <c r="C3039" s="35" t="s">
        <v>877</v>
      </c>
      <c r="D3039" s="35" t="s">
        <v>20</v>
      </c>
      <c r="E3039" s="36">
        <v>1</v>
      </c>
      <c r="F3039" s="30" t="s">
        <v>514</v>
      </c>
      <c r="G3039" s="33" t="str">
        <f t="shared" si="52"/>
        <v/>
      </c>
      <c r="H3039" s="34"/>
      <c r="I3039" s="30"/>
      <c r="J3039" s="148">
        <v>0</v>
      </c>
      <c r="K3039" s="222">
        <v>0</v>
      </c>
    </row>
    <row r="3040" spans="1:11" ht="15.75" hidden="1" thickBot="1" x14ac:dyDescent="0.3">
      <c r="A3040" s="209"/>
      <c r="B3040" s="206"/>
      <c r="C3040" s="35"/>
      <c r="D3040" s="35"/>
      <c r="E3040" s="36"/>
      <c r="F3040" s="30" t="s">
        <v>514</v>
      </c>
      <c r="G3040" s="33" t="str">
        <f t="shared" si="52"/>
        <v/>
      </c>
      <c r="H3040" s="34"/>
      <c r="I3040" s="30"/>
      <c r="J3040" s="148">
        <v>0</v>
      </c>
      <c r="K3040" s="222">
        <v>0</v>
      </c>
    </row>
    <row r="3041" spans="1:11" ht="15.75" hidden="1" thickBot="1" x14ac:dyDescent="0.3">
      <c r="A3041" s="202" t="s">
        <v>878</v>
      </c>
      <c r="B3041" s="204" t="str">
        <f>INDEX(Orçamentária!A:B,MATCH(Composições!A3041,Orçamentária!A:A,0),2)</f>
        <v>Tubo de alumínio quadrado 50x50</v>
      </c>
      <c r="C3041" s="40"/>
      <c r="D3041" s="25" t="str">
        <f>TRIM(INDEX(Orçamentária!C:C,MATCH(Composições!A3041,Orçamentária!A:A,0),1))</f>
        <v>m</v>
      </c>
      <c r="E3041" s="26"/>
      <c r="F3041" s="41" t="s">
        <v>514</v>
      </c>
      <c r="G3041" s="27" t="str">
        <f t="shared" si="52"/>
        <v/>
      </c>
      <c r="H3041" s="28"/>
      <c r="I3041" s="29"/>
      <c r="J3041" s="148">
        <v>0</v>
      </c>
      <c r="K3041" s="222">
        <v>0</v>
      </c>
    </row>
    <row r="3042" spans="1:11" hidden="1" x14ac:dyDescent="0.25">
      <c r="A3042" s="207"/>
      <c r="B3042" s="205"/>
      <c r="C3042" s="31"/>
      <c r="D3042" s="31"/>
      <c r="E3042" s="32"/>
      <c r="F3042" s="42" t="s">
        <v>514</v>
      </c>
      <c r="G3042" s="33" t="str">
        <f t="shared" si="52"/>
        <v/>
      </c>
      <c r="H3042" s="34"/>
      <c r="I3042" s="30"/>
      <c r="J3042" s="148">
        <v>0</v>
      </c>
      <c r="K3042" s="222">
        <v>0</v>
      </c>
    </row>
    <row r="3043" spans="1:11" hidden="1" x14ac:dyDescent="0.25">
      <c r="A3043" s="207"/>
      <c r="B3043" s="205"/>
      <c r="C3043" s="35" t="s">
        <v>68</v>
      </c>
      <c r="D3043" s="35" t="s">
        <v>12</v>
      </c>
      <c r="E3043" s="36">
        <v>0.25</v>
      </c>
      <c r="F3043" s="33">
        <v>22.961500000000001</v>
      </c>
      <c r="G3043" s="33">
        <f t="shared" si="52"/>
        <v>5.7403750000000002</v>
      </c>
      <c r="H3043" s="38">
        <f>SUM(G3043:G3044)</f>
        <v>39.053863499999999</v>
      </c>
      <c r="I3043" s="39"/>
      <c r="J3043" s="148">
        <v>0</v>
      </c>
      <c r="K3043" s="222">
        <v>0</v>
      </c>
    </row>
    <row r="3044" spans="1:11" hidden="1" x14ac:dyDescent="0.25">
      <c r="A3044" s="207"/>
      <c r="B3044" s="205"/>
      <c r="C3044" s="35" t="s">
        <v>827</v>
      </c>
      <c r="D3044" s="35" t="s">
        <v>42</v>
      </c>
      <c r="E3044" s="36">
        <v>0.85299999999999998</v>
      </c>
      <c r="F3044" s="30">
        <v>39.054499999999997</v>
      </c>
      <c r="G3044" s="33">
        <f t="shared" si="52"/>
        <v>33.313488499999998</v>
      </c>
      <c r="H3044" s="34"/>
      <c r="I3044" s="30"/>
      <c r="J3044" s="148">
        <v>0</v>
      </c>
      <c r="K3044" s="222">
        <v>0</v>
      </c>
    </row>
    <row r="3045" spans="1:11" hidden="1" x14ac:dyDescent="0.25">
      <c r="A3045" s="207"/>
      <c r="B3045" s="205"/>
      <c r="C3045" s="35"/>
      <c r="D3045" s="46"/>
      <c r="E3045" s="36"/>
      <c r="F3045" s="30" t="s">
        <v>514</v>
      </c>
      <c r="G3045" s="33" t="str">
        <f t="shared" si="52"/>
        <v/>
      </c>
      <c r="H3045" s="34"/>
      <c r="I3045" s="30"/>
      <c r="J3045" s="148">
        <v>0</v>
      </c>
      <c r="K3045" s="222">
        <v>0</v>
      </c>
    </row>
    <row r="3046" spans="1:11" ht="25.5" hidden="1" x14ac:dyDescent="0.25">
      <c r="A3046" s="207"/>
      <c r="B3046" s="205"/>
      <c r="C3046" s="47" t="s">
        <v>879</v>
      </c>
      <c r="D3046" s="46"/>
      <c r="E3046" s="36"/>
      <c r="F3046" s="30" t="s">
        <v>514</v>
      </c>
      <c r="G3046" s="33" t="str">
        <f t="shared" si="52"/>
        <v/>
      </c>
      <c r="H3046" s="34"/>
      <c r="I3046" s="30"/>
      <c r="J3046" s="148">
        <v>0</v>
      </c>
      <c r="K3046" s="222">
        <v>0</v>
      </c>
    </row>
    <row r="3047" spans="1:11" ht="25.5" hidden="1" x14ac:dyDescent="0.25">
      <c r="A3047" s="207"/>
      <c r="B3047" s="205"/>
      <c r="C3047" s="51" t="s">
        <v>832</v>
      </c>
      <c r="D3047" s="46"/>
      <c r="E3047" s="36"/>
      <c r="F3047" s="30" t="s">
        <v>514</v>
      </c>
      <c r="G3047" s="33" t="str">
        <f t="shared" si="52"/>
        <v/>
      </c>
      <c r="H3047" s="34"/>
      <c r="I3047" s="30"/>
      <c r="J3047" s="148">
        <v>0</v>
      </c>
      <c r="K3047" s="222">
        <v>0</v>
      </c>
    </row>
    <row r="3048" spans="1:11" ht="15.75" hidden="1" thickBot="1" x14ac:dyDescent="0.3">
      <c r="A3048" s="208"/>
      <c r="B3048" s="206"/>
      <c r="C3048" s="35"/>
      <c r="D3048" s="35"/>
      <c r="E3048" s="36"/>
      <c r="F3048" s="30" t="s">
        <v>514</v>
      </c>
      <c r="G3048" s="33" t="str">
        <f t="shared" si="52"/>
        <v/>
      </c>
      <c r="H3048" s="34"/>
      <c r="I3048" s="30"/>
      <c r="J3048" s="148">
        <v>0</v>
      </c>
      <c r="K3048" s="222">
        <v>0</v>
      </c>
    </row>
    <row r="3049" spans="1:11" ht="15.75" hidden="1" thickBot="1" x14ac:dyDescent="0.3">
      <c r="A3049" s="202" t="s">
        <v>880</v>
      </c>
      <c r="B3049" s="204" t="str">
        <f>INDEX(Orçamentária!A:B,MATCH(Composições!A3049,Orçamentária!A:A,0),2)</f>
        <v>Veda fresta adesivo “E” branco</v>
      </c>
      <c r="C3049" s="40"/>
      <c r="D3049" s="25" t="str">
        <f>TRIM(INDEX(Orçamentária!C:C,MATCH(Composições!A3049,Orçamentária!A:A,0),1))</f>
        <v>m</v>
      </c>
      <c r="E3049" s="26"/>
      <c r="F3049" s="41" t="s">
        <v>514</v>
      </c>
      <c r="G3049" s="27" t="str">
        <f t="shared" si="52"/>
        <v/>
      </c>
      <c r="H3049" s="28"/>
      <c r="I3049" s="29"/>
      <c r="J3049" s="148">
        <v>0</v>
      </c>
      <c r="K3049" s="222">
        <v>0</v>
      </c>
    </row>
    <row r="3050" spans="1:11" hidden="1" x14ac:dyDescent="0.25">
      <c r="A3050" s="203"/>
      <c r="B3050" s="205"/>
      <c r="C3050" s="31"/>
      <c r="D3050" s="31"/>
      <c r="E3050" s="32"/>
      <c r="F3050" s="42" t="s">
        <v>514</v>
      </c>
      <c r="G3050" s="33" t="str">
        <f t="shared" si="52"/>
        <v/>
      </c>
      <c r="H3050" s="34"/>
      <c r="I3050" s="30"/>
      <c r="J3050" s="148">
        <v>0</v>
      </c>
      <c r="K3050" s="222">
        <v>0</v>
      </c>
    </row>
    <row r="3051" spans="1:11" hidden="1" x14ac:dyDescent="0.25">
      <c r="A3051" s="203"/>
      <c r="B3051" s="205"/>
      <c r="C3051" s="35" t="s">
        <v>68</v>
      </c>
      <c r="D3051" s="35" t="s">
        <v>12</v>
      </c>
      <c r="E3051" s="36">
        <v>0.2</v>
      </c>
      <c r="F3051" s="33">
        <v>22.961500000000001</v>
      </c>
      <c r="G3051" s="33">
        <f t="shared" si="52"/>
        <v>4.5923000000000007</v>
      </c>
      <c r="H3051" s="38">
        <f>SUM(G3051:G3052)</f>
        <v>4.5923000000000007</v>
      </c>
      <c r="I3051" s="39"/>
      <c r="J3051" s="148">
        <v>0</v>
      </c>
      <c r="K3051" s="222">
        <v>0</v>
      </c>
    </row>
    <row r="3052" spans="1:11" ht="25.5" hidden="1" x14ac:dyDescent="0.25">
      <c r="A3052" s="203"/>
      <c r="B3052" s="205"/>
      <c r="C3052" s="35" t="s">
        <v>881</v>
      </c>
      <c r="D3052" s="35" t="s">
        <v>92</v>
      </c>
      <c r="E3052" s="36">
        <v>0.11899999999999999</v>
      </c>
      <c r="F3052" s="30" t="s">
        <v>514</v>
      </c>
      <c r="G3052" s="33" t="str">
        <f t="shared" si="52"/>
        <v/>
      </c>
      <c r="H3052" s="34"/>
      <c r="I3052" s="30"/>
      <c r="J3052" s="148">
        <v>0</v>
      </c>
      <c r="K3052" s="222">
        <v>0</v>
      </c>
    </row>
    <row r="3053" spans="1:11" ht="15.75" hidden="1" thickBot="1" x14ac:dyDescent="0.3">
      <c r="A3053" s="209"/>
      <c r="B3053" s="206"/>
      <c r="C3053" s="35"/>
      <c r="D3053" s="35"/>
      <c r="E3053" s="36"/>
      <c r="F3053" s="30" t="s">
        <v>514</v>
      </c>
      <c r="G3053" s="33" t="str">
        <f t="shared" si="52"/>
        <v/>
      </c>
      <c r="H3053" s="34"/>
      <c r="I3053" s="30"/>
      <c r="J3053" s="148">
        <v>0</v>
      </c>
      <c r="K3053" s="222">
        <v>0</v>
      </c>
    </row>
    <row r="3054" spans="1:11" ht="15.75" hidden="1" thickBot="1" x14ac:dyDescent="0.3">
      <c r="A3054" s="202" t="s">
        <v>882</v>
      </c>
      <c r="B3054" s="204" t="str">
        <f>INDEX(Orçamentária!A:B,MATCH(Composições!A3054,Orçamentária!A:A,0),2)</f>
        <v>Vedapress 10mm</v>
      </c>
      <c r="C3054" s="40"/>
      <c r="D3054" s="25" t="str">
        <f>TRIM(INDEX(Orçamentária!C:C,MATCH(Composições!A3054,Orçamentária!A:A,0),1))</f>
        <v>m</v>
      </c>
      <c r="E3054" s="26"/>
      <c r="F3054" s="41" t="s">
        <v>514</v>
      </c>
      <c r="G3054" s="27" t="str">
        <f t="shared" si="52"/>
        <v/>
      </c>
      <c r="H3054" s="28"/>
      <c r="I3054" s="29"/>
      <c r="J3054" s="148">
        <v>0</v>
      </c>
      <c r="K3054" s="222">
        <v>0</v>
      </c>
    </row>
    <row r="3055" spans="1:11" hidden="1" x14ac:dyDescent="0.25">
      <c r="A3055" s="207"/>
      <c r="B3055" s="205"/>
      <c r="C3055" s="31"/>
      <c r="D3055" s="31"/>
      <c r="E3055" s="32"/>
      <c r="F3055" s="42" t="s">
        <v>514</v>
      </c>
      <c r="G3055" s="33" t="str">
        <f t="shared" si="52"/>
        <v/>
      </c>
      <c r="H3055" s="34"/>
      <c r="I3055" s="30"/>
      <c r="J3055" s="148">
        <v>0</v>
      </c>
      <c r="K3055" s="222">
        <v>0</v>
      </c>
    </row>
    <row r="3056" spans="1:11" hidden="1" x14ac:dyDescent="0.25">
      <c r="A3056" s="207"/>
      <c r="B3056" s="205"/>
      <c r="C3056" s="35" t="s">
        <v>68</v>
      </c>
      <c r="D3056" s="35" t="s">
        <v>12</v>
      </c>
      <c r="E3056" s="36">
        <v>0.3</v>
      </c>
      <c r="F3056" s="33">
        <v>22.961500000000001</v>
      </c>
      <c r="G3056" s="33">
        <f t="shared" si="52"/>
        <v>6.8884499999999997</v>
      </c>
      <c r="H3056" s="38">
        <f>SUM(G3056:G3057)</f>
        <v>11.535935499999999</v>
      </c>
      <c r="I3056" s="39"/>
      <c r="J3056" s="148">
        <v>0</v>
      </c>
      <c r="K3056" s="222">
        <v>0</v>
      </c>
    </row>
    <row r="3057" spans="1:11" hidden="1" x14ac:dyDescent="0.25">
      <c r="A3057" s="207"/>
      <c r="B3057" s="205"/>
      <c r="C3057" s="35" t="s">
        <v>827</v>
      </c>
      <c r="D3057" s="35" t="s">
        <v>42</v>
      </c>
      <c r="E3057" s="36">
        <v>0.11899999999999999</v>
      </c>
      <c r="F3057" s="30">
        <v>39.054499999999997</v>
      </c>
      <c r="G3057" s="33">
        <f t="shared" si="52"/>
        <v>4.6474854999999993</v>
      </c>
      <c r="H3057" s="34"/>
      <c r="I3057" s="30"/>
      <c r="J3057" s="148">
        <v>0</v>
      </c>
      <c r="K3057" s="222">
        <v>0</v>
      </c>
    </row>
    <row r="3058" spans="1:11" hidden="1" x14ac:dyDescent="0.25">
      <c r="A3058" s="207"/>
      <c r="B3058" s="205"/>
      <c r="C3058" s="35"/>
      <c r="D3058" s="35"/>
      <c r="E3058" s="36"/>
      <c r="F3058" s="30" t="s">
        <v>514</v>
      </c>
      <c r="G3058" s="33" t="str">
        <f t="shared" si="52"/>
        <v/>
      </c>
      <c r="H3058" s="34"/>
      <c r="I3058" s="30"/>
      <c r="J3058" s="148">
        <v>0</v>
      </c>
      <c r="K3058" s="222">
        <v>0</v>
      </c>
    </row>
    <row r="3059" spans="1:11" ht="38.25" hidden="1" x14ac:dyDescent="0.25">
      <c r="A3059" s="207"/>
      <c r="B3059" s="205"/>
      <c r="C3059" s="47" t="s">
        <v>883</v>
      </c>
      <c r="D3059" s="35"/>
      <c r="E3059" s="36"/>
      <c r="F3059" s="30" t="s">
        <v>514</v>
      </c>
      <c r="G3059" s="33" t="str">
        <f t="shared" si="52"/>
        <v/>
      </c>
      <c r="H3059" s="34"/>
      <c r="I3059" s="30"/>
      <c r="J3059" s="148">
        <v>0</v>
      </c>
      <c r="K3059" s="222">
        <v>0</v>
      </c>
    </row>
    <row r="3060" spans="1:11" hidden="1" x14ac:dyDescent="0.25">
      <c r="A3060" s="207"/>
      <c r="B3060" s="205"/>
      <c r="C3060" s="51" t="s">
        <v>884</v>
      </c>
      <c r="D3060" s="35"/>
      <c r="E3060" s="36"/>
      <c r="F3060" s="30" t="s">
        <v>514</v>
      </c>
      <c r="G3060" s="33" t="str">
        <f t="shared" si="52"/>
        <v/>
      </c>
      <c r="H3060" s="34"/>
      <c r="I3060" s="30"/>
      <c r="J3060" s="148">
        <v>0</v>
      </c>
      <c r="K3060" s="222">
        <v>0</v>
      </c>
    </row>
    <row r="3061" spans="1:11" ht="15.75" hidden="1" thickBot="1" x14ac:dyDescent="0.3">
      <c r="A3061" s="208"/>
      <c r="B3061" s="206"/>
      <c r="C3061" s="35"/>
      <c r="D3061" s="35"/>
      <c r="E3061" s="36"/>
      <c r="F3061" s="30" t="s">
        <v>514</v>
      </c>
      <c r="G3061" s="33" t="str">
        <f t="shared" si="52"/>
        <v/>
      </c>
      <c r="H3061" s="34"/>
      <c r="I3061" s="30"/>
      <c r="J3061" s="148">
        <v>0</v>
      </c>
      <c r="K3061" s="222">
        <v>0</v>
      </c>
    </row>
    <row r="3062" spans="1:11" ht="15.75" hidden="1" thickBot="1" x14ac:dyDescent="0.3">
      <c r="A3062" s="202" t="s">
        <v>885</v>
      </c>
      <c r="B3062" s="204" t="str">
        <f>INDEX(Orçamentária!A:B,MATCH(Composições!A3062,Orçamentária!A:A,0),2)</f>
        <v>Regulagem de ferragens</v>
      </c>
      <c r="C3062" s="40"/>
      <c r="D3062" s="25" t="str">
        <f>TRIM(INDEX(Orçamentária!C:C,MATCH(Composições!A3062,Orçamentária!A:A,0),1))</f>
        <v>un</v>
      </c>
      <c r="E3062" s="26"/>
      <c r="F3062" s="41" t="s">
        <v>514</v>
      </c>
      <c r="G3062" s="27" t="str">
        <f t="shared" si="52"/>
        <v/>
      </c>
      <c r="H3062" s="28"/>
      <c r="I3062" s="29"/>
      <c r="J3062" s="148">
        <v>0</v>
      </c>
      <c r="K3062" s="222">
        <v>0</v>
      </c>
    </row>
    <row r="3063" spans="1:11" hidden="1" x14ac:dyDescent="0.25">
      <c r="A3063" s="203"/>
      <c r="B3063" s="205"/>
      <c r="C3063" s="31"/>
      <c r="D3063" s="31"/>
      <c r="E3063" s="32"/>
      <c r="F3063" s="42" t="s">
        <v>514</v>
      </c>
      <c r="G3063" s="33" t="str">
        <f t="shared" si="52"/>
        <v/>
      </c>
      <c r="H3063" s="34"/>
      <c r="I3063" s="30"/>
      <c r="J3063" s="148">
        <v>0</v>
      </c>
      <c r="K3063" s="222">
        <v>0</v>
      </c>
    </row>
    <row r="3064" spans="1:11" hidden="1" x14ac:dyDescent="0.25">
      <c r="A3064" s="203"/>
      <c r="B3064" s="205"/>
      <c r="C3064" s="35" t="s">
        <v>68</v>
      </c>
      <c r="D3064" s="46" t="s">
        <v>12</v>
      </c>
      <c r="E3064" s="36">
        <v>1.5</v>
      </c>
      <c r="F3064" s="33">
        <v>22.961500000000001</v>
      </c>
      <c r="G3064" s="33">
        <f t="shared" si="52"/>
        <v>34.442250000000001</v>
      </c>
      <c r="H3064" s="38">
        <f>SUM(G3064:G3064)</f>
        <v>34.442250000000001</v>
      </c>
      <c r="I3064" s="39"/>
      <c r="J3064" s="148">
        <v>0</v>
      </c>
      <c r="K3064" s="222">
        <v>0</v>
      </c>
    </row>
    <row r="3065" spans="1:11" ht="15.75" hidden="1" thickBot="1" x14ac:dyDescent="0.3">
      <c r="A3065" s="209"/>
      <c r="B3065" s="206"/>
      <c r="C3065" s="35"/>
      <c r="D3065" s="35"/>
      <c r="E3065" s="36"/>
      <c r="F3065" s="30" t="s">
        <v>514</v>
      </c>
      <c r="G3065" s="33" t="str">
        <f t="shared" si="52"/>
        <v/>
      </c>
      <c r="H3065" s="34"/>
      <c r="I3065" s="30"/>
      <c r="J3065" s="148">
        <v>0</v>
      </c>
      <c r="K3065" s="222">
        <v>0</v>
      </c>
    </row>
    <row r="3066" spans="1:11" ht="15.75" hidden="1" thickBot="1" x14ac:dyDescent="0.3">
      <c r="A3066" s="202" t="s">
        <v>886</v>
      </c>
      <c r="B3066" s="204" t="str">
        <f>INDEX(Orçamentária!A:B,MATCH(Composições!A3066,Orçamentária!A:A,0),2)</f>
        <v>Vidro fumê / bronze temperado 10mm</v>
      </c>
      <c r="C3066" s="40"/>
      <c r="D3066" s="25" t="str">
        <f>TRIM(INDEX(Orçamentária!C:C,MATCH(Composições!A3066,Orçamentária!A:A,0),1))</f>
        <v>m2</v>
      </c>
      <c r="E3066" s="26"/>
      <c r="F3066" s="41" t="s">
        <v>514</v>
      </c>
      <c r="G3066" s="27" t="str">
        <f t="shared" si="52"/>
        <v/>
      </c>
      <c r="H3066" s="28"/>
      <c r="I3066" s="29"/>
      <c r="J3066" s="148">
        <v>0</v>
      </c>
      <c r="K3066" s="222">
        <v>0</v>
      </c>
    </row>
    <row r="3067" spans="1:11" hidden="1" x14ac:dyDescent="0.25">
      <c r="A3067" s="203"/>
      <c r="B3067" s="205"/>
      <c r="C3067" s="31"/>
      <c r="D3067" s="31"/>
      <c r="E3067" s="32"/>
      <c r="F3067" s="42" t="s">
        <v>514</v>
      </c>
      <c r="G3067" s="33" t="str">
        <f t="shared" si="52"/>
        <v/>
      </c>
      <c r="H3067" s="34"/>
      <c r="I3067" s="30"/>
      <c r="J3067" s="148">
        <v>0</v>
      </c>
      <c r="K3067" s="222">
        <v>0</v>
      </c>
    </row>
    <row r="3068" spans="1:11" hidden="1" x14ac:dyDescent="0.25">
      <c r="A3068" s="203"/>
      <c r="B3068" s="205"/>
      <c r="C3068" s="35" t="s">
        <v>68</v>
      </c>
      <c r="D3068" s="35" t="s">
        <v>12</v>
      </c>
      <c r="E3068" s="36">
        <v>0.47899999999999998</v>
      </c>
      <c r="F3068" s="33">
        <v>22.961500000000001</v>
      </c>
      <c r="G3068" s="33">
        <f t="shared" si="52"/>
        <v>10.9985585</v>
      </c>
      <c r="H3068" s="38">
        <f>SUM(G3068:G3072)</f>
        <v>94.961287499999997</v>
      </c>
      <c r="I3068" s="39"/>
      <c r="J3068" s="148">
        <v>0</v>
      </c>
      <c r="K3068" s="222">
        <v>0</v>
      </c>
    </row>
    <row r="3069" spans="1:11" hidden="1" x14ac:dyDescent="0.25">
      <c r="A3069" s="203"/>
      <c r="B3069" s="205"/>
      <c r="C3069" s="35" t="s">
        <v>23</v>
      </c>
      <c r="D3069" s="35" t="s">
        <v>12</v>
      </c>
      <c r="E3069" s="36">
        <v>0.46600000000000003</v>
      </c>
      <c r="F3069" s="33">
        <v>18.420500000000001</v>
      </c>
      <c r="G3069" s="33">
        <f t="shared" ref="G3069:G3132" si="53">IF(ISNUMBER(F3069),E3069*F3069,"")</f>
        <v>8.5839530000000011</v>
      </c>
      <c r="H3069" s="34"/>
      <c r="I3069" s="30"/>
      <c r="J3069" s="148">
        <v>0</v>
      </c>
      <c r="K3069" s="222">
        <v>0</v>
      </c>
    </row>
    <row r="3070" spans="1:11" ht="25.5" hidden="1" x14ac:dyDescent="0.25">
      <c r="A3070" s="203"/>
      <c r="B3070" s="205"/>
      <c r="C3070" s="35" t="s">
        <v>1172</v>
      </c>
      <c r="D3070" s="35" t="s">
        <v>473</v>
      </c>
      <c r="E3070" s="36">
        <v>4.609</v>
      </c>
      <c r="F3070" s="30">
        <v>14.25</v>
      </c>
      <c r="G3070" s="33">
        <f t="shared" si="53"/>
        <v>65.678250000000006</v>
      </c>
      <c r="H3070" s="34"/>
      <c r="I3070" s="30"/>
      <c r="J3070" s="148">
        <v>0</v>
      </c>
      <c r="K3070" s="222">
        <v>0</v>
      </c>
    </row>
    <row r="3071" spans="1:11" ht="25.5" hidden="1" x14ac:dyDescent="0.25">
      <c r="A3071" s="203"/>
      <c r="B3071" s="205"/>
      <c r="C3071" s="35" t="s">
        <v>3302</v>
      </c>
      <c r="D3071" s="35" t="s">
        <v>92</v>
      </c>
      <c r="E3071" s="36">
        <v>4.0359999999999996</v>
      </c>
      <c r="F3071" s="30">
        <v>2.4034999999999997</v>
      </c>
      <c r="G3071" s="33">
        <f t="shared" si="53"/>
        <v>9.7005259999999982</v>
      </c>
      <c r="H3071" s="34"/>
      <c r="I3071" s="30"/>
      <c r="J3071" s="148">
        <v>0</v>
      </c>
      <c r="K3071" s="222">
        <v>0</v>
      </c>
    </row>
    <row r="3072" spans="1:11" hidden="1" x14ac:dyDescent="0.25">
      <c r="A3072" s="203"/>
      <c r="B3072" s="205"/>
      <c r="C3072" s="35" t="s">
        <v>887</v>
      </c>
      <c r="D3072" s="35" t="s">
        <v>94</v>
      </c>
      <c r="E3072" s="36">
        <v>1</v>
      </c>
      <c r="F3072" s="30" t="s">
        <v>514</v>
      </c>
      <c r="G3072" s="33" t="str">
        <f t="shared" si="53"/>
        <v/>
      </c>
      <c r="H3072" s="34"/>
      <c r="I3072" s="30"/>
      <c r="J3072" s="148">
        <v>0</v>
      </c>
      <c r="K3072" s="222">
        <v>0</v>
      </c>
    </row>
    <row r="3073" spans="1:11" ht="15.75" hidden="1" thickBot="1" x14ac:dyDescent="0.3">
      <c r="A3073" s="209"/>
      <c r="B3073" s="206"/>
      <c r="C3073" s="35"/>
      <c r="D3073" s="35"/>
      <c r="E3073" s="36"/>
      <c r="F3073" s="30" t="s">
        <v>514</v>
      </c>
      <c r="G3073" s="33" t="str">
        <f t="shared" si="53"/>
        <v/>
      </c>
      <c r="H3073" s="34"/>
      <c r="I3073" s="30"/>
      <c r="J3073" s="148">
        <v>0</v>
      </c>
      <c r="K3073" s="222">
        <v>0</v>
      </c>
    </row>
    <row r="3074" spans="1:11" ht="15.75" hidden="1" thickBot="1" x14ac:dyDescent="0.3">
      <c r="A3074" s="202" t="s">
        <v>888</v>
      </c>
      <c r="B3074" s="204" t="str">
        <f>INDEX(Orçamentária!A:B,MATCH(Composições!A3074,Orçamentária!A:A,0),2)</f>
        <v>Puxador em aço inox sob medida – Tipo B</v>
      </c>
      <c r="C3074" s="40"/>
      <c r="D3074" s="25" t="str">
        <f>TRIM(INDEX(Orçamentária!C:C,MATCH(Composições!A3074,Orçamentária!A:A,0),1))</f>
        <v>un</v>
      </c>
      <c r="E3074" s="26"/>
      <c r="F3074" s="41" t="s">
        <v>514</v>
      </c>
      <c r="G3074" s="27" t="str">
        <f t="shared" si="53"/>
        <v/>
      </c>
      <c r="H3074" s="28"/>
      <c r="I3074" s="29"/>
      <c r="J3074" s="148">
        <v>0</v>
      </c>
      <c r="K3074" s="222">
        <v>0</v>
      </c>
    </row>
    <row r="3075" spans="1:11" hidden="1" x14ac:dyDescent="0.25">
      <c r="A3075" s="203"/>
      <c r="B3075" s="205"/>
      <c r="C3075" s="31"/>
      <c r="D3075" s="31"/>
      <c r="E3075" s="32"/>
      <c r="F3075" s="42" t="s">
        <v>514</v>
      </c>
      <c r="G3075" s="33" t="str">
        <f t="shared" si="53"/>
        <v/>
      </c>
      <c r="H3075" s="34"/>
      <c r="I3075" s="30"/>
      <c r="J3075" s="148">
        <v>0</v>
      </c>
      <c r="K3075" s="222">
        <v>0</v>
      </c>
    </row>
    <row r="3076" spans="1:11" hidden="1" x14ac:dyDescent="0.25">
      <c r="A3076" s="203"/>
      <c r="B3076" s="205"/>
      <c r="C3076" s="35" t="s">
        <v>68</v>
      </c>
      <c r="D3076" s="46" t="s">
        <v>12</v>
      </c>
      <c r="E3076" s="36">
        <v>0.4</v>
      </c>
      <c r="F3076" s="33">
        <v>22.961500000000001</v>
      </c>
      <c r="G3076" s="33">
        <f t="shared" si="53"/>
        <v>9.1846000000000014</v>
      </c>
      <c r="H3076" s="38">
        <f>SUM(G3076:G3077)</f>
        <v>9.1846000000000014</v>
      </c>
      <c r="I3076" s="39"/>
      <c r="J3076" s="148">
        <v>0</v>
      </c>
      <c r="K3076" s="222">
        <v>0</v>
      </c>
    </row>
    <row r="3077" spans="1:11" hidden="1" x14ac:dyDescent="0.25">
      <c r="A3077" s="203"/>
      <c r="B3077" s="205"/>
      <c r="C3077" s="35" t="s">
        <v>889</v>
      </c>
      <c r="D3077" s="46" t="s">
        <v>20</v>
      </c>
      <c r="E3077" s="36">
        <v>1</v>
      </c>
      <c r="F3077" s="30" t="s">
        <v>514</v>
      </c>
      <c r="G3077" s="33" t="str">
        <f t="shared" si="53"/>
        <v/>
      </c>
      <c r="H3077" s="34"/>
      <c r="I3077" s="30"/>
      <c r="J3077" s="148">
        <v>0</v>
      </c>
      <c r="K3077" s="222">
        <v>0</v>
      </c>
    </row>
    <row r="3078" spans="1:11" ht="15.75" hidden="1" thickBot="1" x14ac:dyDescent="0.3">
      <c r="A3078" s="209"/>
      <c r="B3078" s="206"/>
      <c r="C3078" s="35"/>
      <c r="D3078" s="35"/>
      <c r="E3078" s="36"/>
      <c r="F3078" s="30" t="s">
        <v>514</v>
      </c>
      <c r="G3078" s="33" t="str">
        <f t="shared" si="53"/>
        <v/>
      </c>
      <c r="H3078" s="34"/>
      <c r="I3078" s="30"/>
      <c r="J3078" s="148">
        <v>0</v>
      </c>
      <c r="K3078" s="222">
        <v>0</v>
      </c>
    </row>
    <row r="3079" spans="1:11" ht="15.75" hidden="1" thickBot="1" x14ac:dyDescent="0.3">
      <c r="A3079" s="202" t="s">
        <v>890</v>
      </c>
      <c r="B3079" s="204" t="str">
        <f>INDEX(Orçamentária!A:B,MATCH(Composições!A3079,Orçamentária!A:A,0),2)</f>
        <v>Armação de aço CA-50 bitolas de 5,0mm a 8,00mm</v>
      </c>
      <c r="C3079" s="40"/>
      <c r="D3079" s="25" t="str">
        <f>TRIM(INDEX(Orçamentária!C:C,MATCH(Composições!A3079,Orçamentária!A:A,0),1))</f>
        <v>kg</v>
      </c>
      <c r="E3079" s="26"/>
      <c r="F3079" s="41" t="s">
        <v>514</v>
      </c>
      <c r="G3079" s="27" t="str">
        <f t="shared" si="53"/>
        <v/>
      </c>
      <c r="H3079" s="28"/>
      <c r="I3079" s="29"/>
      <c r="J3079" s="148">
        <v>100</v>
      </c>
      <c r="K3079" s="222" t="s">
        <v>8074</v>
      </c>
    </row>
    <row r="3080" spans="1:11" hidden="1" x14ac:dyDescent="0.25">
      <c r="A3080" s="203"/>
      <c r="B3080" s="205"/>
      <c r="C3080" s="31"/>
      <c r="D3080" s="31"/>
      <c r="E3080" s="32"/>
      <c r="F3080" s="42" t="s">
        <v>514</v>
      </c>
      <c r="G3080" s="33" t="str">
        <f t="shared" si="53"/>
        <v/>
      </c>
      <c r="H3080" s="34"/>
      <c r="I3080" s="30"/>
      <c r="J3080" s="148">
        <v>100</v>
      </c>
      <c r="K3080" s="222" t="s">
        <v>8074</v>
      </c>
    </row>
    <row r="3081" spans="1:11" ht="38.25" hidden="1" x14ac:dyDescent="0.25">
      <c r="A3081" s="203"/>
      <c r="B3081" s="205"/>
      <c r="C3081" s="35" t="s">
        <v>892</v>
      </c>
      <c r="D3081" s="46" t="s">
        <v>278</v>
      </c>
      <c r="E3081" s="36">
        <v>0.74299999999999999</v>
      </c>
      <c r="F3081" s="30">
        <v>0.20899999999999999</v>
      </c>
      <c r="G3081" s="33">
        <f t="shared" si="53"/>
        <v>0.15528699999999998</v>
      </c>
      <c r="H3081" s="38">
        <f>SUM(G3081:G3085)</f>
        <v>14.689094750000001</v>
      </c>
      <c r="I3081" s="39"/>
      <c r="J3081" s="148">
        <v>100</v>
      </c>
      <c r="K3081" s="222" t="s">
        <v>8074</v>
      </c>
    </row>
    <row r="3082" spans="1:11" ht="25.5" hidden="1" x14ac:dyDescent="0.25">
      <c r="A3082" s="203"/>
      <c r="B3082" s="205"/>
      <c r="C3082" s="35" t="s">
        <v>3489</v>
      </c>
      <c r="D3082" s="46" t="s">
        <v>891</v>
      </c>
      <c r="E3082" s="36">
        <v>2.5000000000000001E-2</v>
      </c>
      <c r="F3082" s="30">
        <v>22.363</v>
      </c>
      <c r="G3082" s="33">
        <f t="shared" si="53"/>
        <v>0.55907499999999999</v>
      </c>
      <c r="H3082" s="34"/>
      <c r="I3082" s="30"/>
      <c r="J3082" s="148">
        <v>100</v>
      </c>
      <c r="K3082" s="222" t="s">
        <v>8074</v>
      </c>
    </row>
    <row r="3083" spans="1:11" hidden="1" x14ac:dyDescent="0.25">
      <c r="A3083" s="203"/>
      <c r="B3083" s="205"/>
      <c r="C3083" s="35" t="s">
        <v>893</v>
      </c>
      <c r="D3083" s="46" t="s">
        <v>695</v>
      </c>
      <c r="E3083" s="36">
        <v>9.1999999999999998E-3</v>
      </c>
      <c r="F3083" s="30">
        <v>18.3825</v>
      </c>
      <c r="G3083" s="33">
        <f t="shared" si="53"/>
        <v>0.16911899999999999</v>
      </c>
      <c r="H3083" s="34"/>
      <c r="I3083" s="30"/>
      <c r="J3083" s="148">
        <v>100</v>
      </c>
      <c r="K3083" s="222" t="s">
        <v>8074</v>
      </c>
    </row>
    <row r="3084" spans="1:11" hidden="1" x14ac:dyDescent="0.25">
      <c r="A3084" s="203"/>
      <c r="B3084" s="205"/>
      <c r="C3084" s="35" t="s">
        <v>894</v>
      </c>
      <c r="D3084" s="35" t="s">
        <v>695</v>
      </c>
      <c r="E3084" s="36">
        <v>5.6099999999999997E-2</v>
      </c>
      <c r="F3084" s="30">
        <v>24.747499999999999</v>
      </c>
      <c r="G3084" s="33">
        <f t="shared" si="53"/>
        <v>1.3883347499999998</v>
      </c>
      <c r="H3084" s="34"/>
      <c r="I3084" s="30"/>
      <c r="J3084" s="148">
        <v>100</v>
      </c>
      <c r="K3084" s="222" t="s">
        <v>8074</v>
      </c>
    </row>
    <row r="3085" spans="1:11" hidden="1" x14ac:dyDescent="0.25">
      <c r="A3085" s="203"/>
      <c r="B3085" s="205"/>
      <c r="C3085" s="35" t="s">
        <v>8006</v>
      </c>
      <c r="D3085" s="35" t="s">
        <v>891</v>
      </c>
      <c r="E3085" s="36">
        <v>1</v>
      </c>
      <c r="F3085" s="30">
        <v>12.417279000000001</v>
      </c>
      <c r="G3085" s="33">
        <f t="shared" si="53"/>
        <v>12.417279000000001</v>
      </c>
      <c r="H3085" s="34"/>
      <c r="I3085" s="30"/>
      <c r="J3085" s="148">
        <v>100</v>
      </c>
      <c r="K3085" s="222" t="s">
        <v>8074</v>
      </c>
    </row>
    <row r="3086" spans="1:11" ht="15.75" hidden="1" thickBot="1" x14ac:dyDescent="0.3">
      <c r="A3086" s="209"/>
      <c r="B3086" s="206"/>
      <c r="C3086" s="35"/>
      <c r="D3086" s="35"/>
      <c r="E3086" s="36"/>
      <c r="F3086" s="30" t="s">
        <v>514</v>
      </c>
      <c r="G3086" s="33" t="str">
        <f t="shared" si="53"/>
        <v/>
      </c>
      <c r="H3086" s="34"/>
      <c r="I3086" s="30"/>
      <c r="J3086" s="148">
        <v>100</v>
      </c>
      <c r="K3086" s="222" t="s">
        <v>8074</v>
      </c>
    </row>
    <row r="3087" spans="1:11" ht="15.75" hidden="1" thickBot="1" x14ac:dyDescent="0.3">
      <c r="A3087" s="202" t="s">
        <v>895</v>
      </c>
      <c r="B3087" s="204" t="str">
        <f>INDEX(Orçamentária!A:B,MATCH(Composições!A3087,Orçamentária!A:A,0),2)</f>
        <v>Pivô para dobradiça inferior (Montagem com a 1103-TQ)</v>
      </c>
      <c r="C3087" s="40"/>
      <c r="D3087" s="25" t="str">
        <f>TRIM(INDEX(Orçamentária!C:C,MATCH(Composições!A3087,Orçamentária!A:A,0),1))</f>
        <v>un</v>
      </c>
      <c r="E3087" s="26"/>
      <c r="F3087" s="41" t="s">
        <v>514</v>
      </c>
      <c r="G3087" s="27" t="str">
        <f t="shared" si="53"/>
        <v/>
      </c>
      <c r="H3087" s="28"/>
      <c r="I3087" s="29"/>
      <c r="J3087" s="148">
        <v>0</v>
      </c>
      <c r="K3087" s="222">
        <v>0</v>
      </c>
    </row>
    <row r="3088" spans="1:11" hidden="1" x14ac:dyDescent="0.25">
      <c r="A3088" s="203"/>
      <c r="B3088" s="205"/>
      <c r="C3088" s="31"/>
      <c r="D3088" s="31"/>
      <c r="E3088" s="32"/>
      <c r="F3088" s="42" t="s">
        <v>514</v>
      </c>
      <c r="G3088" s="33" t="str">
        <f t="shared" si="53"/>
        <v/>
      </c>
      <c r="H3088" s="34"/>
      <c r="I3088" s="30"/>
      <c r="J3088" s="148">
        <v>0</v>
      </c>
      <c r="K3088" s="222">
        <v>0</v>
      </c>
    </row>
    <row r="3089" spans="1:11" hidden="1" x14ac:dyDescent="0.25">
      <c r="A3089" s="203"/>
      <c r="B3089" s="205"/>
      <c r="C3089" s="35" t="s">
        <v>68</v>
      </c>
      <c r="D3089" s="35" t="s">
        <v>12</v>
      </c>
      <c r="E3089" s="36">
        <v>0.2</v>
      </c>
      <c r="F3089" s="33">
        <v>22.961500000000001</v>
      </c>
      <c r="G3089" s="33">
        <f t="shared" si="53"/>
        <v>4.5923000000000007</v>
      </c>
      <c r="H3089" s="38">
        <f>SUM(G3089:G3090)</f>
        <v>4.5923000000000007</v>
      </c>
      <c r="I3089" s="39"/>
      <c r="J3089" s="148">
        <v>0</v>
      </c>
      <c r="K3089" s="222">
        <v>0</v>
      </c>
    </row>
    <row r="3090" spans="1:11" ht="25.5" hidden="1" x14ac:dyDescent="0.25">
      <c r="A3090" s="203"/>
      <c r="B3090" s="205"/>
      <c r="C3090" s="35" t="s">
        <v>896</v>
      </c>
      <c r="D3090" s="35" t="s">
        <v>20</v>
      </c>
      <c r="E3090" s="36">
        <v>1</v>
      </c>
      <c r="F3090" s="30" t="s">
        <v>514</v>
      </c>
      <c r="G3090" s="33" t="str">
        <f t="shared" si="53"/>
        <v/>
      </c>
      <c r="H3090" s="34"/>
      <c r="I3090" s="30"/>
      <c r="J3090" s="148">
        <v>0</v>
      </c>
      <c r="K3090" s="222">
        <v>0</v>
      </c>
    </row>
    <row r="3091" spans="1:11" ht="15.75" hidden="1" thickBot="1" x14ac:dyDescent="0.3">
      <c r="A3091" s="209"/>
      <c r="B3091" s="206"/>
      <c r="C3091" s="35"/>
      <c r="D3091" s="35"/>
      <c r="E3091" s="36"/>
      <c r="F3091" s="30" t="s">
        <v>514</v>
      </c>
      <c r="G3091" s="33" t="str">
        <f t="shared" si="53"/>
        <v/>
      </c>
      <c r="H3091" s="34"/>
      <c r="I3091" s="30"/>
      <c r="J3091" s="148">
        <v>0</v>
      </c>
      <c r="K3091" s="222">
        <v>0</v>
      </c>
    </row>
    <row r="3092" spans="1:11" ht="15.75" hidden="1" thickBot="1" x14ac:dyDescent="0.3">
      <c r="A3092" s="202" t="s">
        <v>897</v>
      </c>
      <c r="B3092" s="204" t="str">
        <f>INDEX(Orçamentária!A:B,MATCH(Composições!A3092,Orçamentária!A:A,0),2)</f>
        <v>Dobradiça direita inferior excêntrica</v>
      </c>
      <c r="C3092" s="40"/>
      <c r="D3092" s="25" t="str">
        <f>TRIM(INDEX(Orçamentária!C:C,MATCH(Composições!A3092,Orçamentária!A:A,0),1))</f>
        <v>un</v>
      </c>
      <c r="E3092" s="26"/>
      <c r="F3092" s="41" t="s">
        <v>514</v>
      </c>
      <c r="G3092" s="27" t="str">
        <f t="shared" si="53"/>
        <v/>
      </c>
      <c r="H3092" s="28"/>
      <c r="I3092" s="29"/>
      <c r="J3092" s="148">
        <v>0</v>
      </c>
      <c r="K3092" s="222">
        <v>0</v>
      </c>
    </row>
    <row r="3093" spans="1:11" hidden="1" x14ac:dyDescent="0.25">
      <c r="A3093" s="203"/>
      <c r="B3093" s="205"/>
      <c r="C3093" s="31"/>
      <c r="D3093" s="31"/>
      <c r="E3093" s="32"/>
      <c r="F3093" s="42" t="s">
        <v>514</v>
      </c>
      <c r="G3093" s="33" t="str">
        <f t="shared" si="53"/>
        <v/>
      </c>
      <c r="H3093" s="34"/>
      <c r="I3093" s="30"/>
      <c r="J3093" s="148">
        <v>0</v>
      </c>
      <c r="K3093" s="222">
        <v>0</v>
      </c>
    </row>
    <row r="3094" spans="1:11" hidden="1" x14ac:dyDescent="0.25">
      <c r="A3094" s="203"/>
      <c r="B3094" s="205"/>
      <c r="C3094" s="35" t="s">
        <v>68</v>
      </c>
      <c r="D3094" s="35" t="s">
        <v>12</v>
      </c>
      <c r="E3094" s="36">
        <v>0.3</v>
      </c>
      <c r="F3094" s="33">
        <v>22.961500000000001</v>
      </c>
      <c r="G3094" s="33">
        <f t="shared" si="53"/>
        <v>6.8884499999999997</v>
      </c>
      <c r="H3094" s="38">
        <f>SUM(G3094:G3095)</f>
        <v>6.8884499999999997</v>
      </c>
      <c r="I3094" s="39"/>
      <c r="J3094" s="148">
        <v>0</v>
      </c>
      <c r="K3094" s="222">
        <v>0</v>
      </c>
    </row>
    <row r="3095" spans="1:11" ht="38.25" hidden="1" x14ac:dyDescent="0.25">
      <c r="A3095" s="203"/>
      <c r="B3095" s="205"/>
      <c r="C3095" s="35" t="s">
        <v>898</v>
      </c>
      <c r="D3095" s="35" t="s">
        <v>20</v>
      </c>
      <c r="E3095" s="36">
        <v>1</v>
      </c>
      <c r="F3095" s="30" t="s">
        <v>514</v>
      </c>
      <c r="G3095" s="33" t="str">
        <f t="shared" si="53"/>
        <v/>
      </c>
      <c r="H3095" s="34"/>
      <c r="I3095" s="30"/>
      <c r="J3095" s="148">
        <v>0</v>
      </c>
      <c r="K3095" s="222">
        <v>0</v>
      </c>
    </row>
    <row r="3096" spans="1:11" ht="15.75" hidden="1" thickBot="1" x14ac:dyDescent="0.3">
      <c r="A3096" s="209"/>
      <c r="B3096" s="206"/>
      <c r="C3096" s="35"/>
      <c r="D3096" s="35"/>
      <c r="E3096" s="36"/>
      <c r="F3096" s="30" t="s">
        <v>514</v>
      </c>
      <c r="G3096" s="33" t="str">
        <f t="shared" si="53"/>
        <v/>
      </c>
      <c r="H3096" s="34"/>
      <c r="I3096" s="30"/>
      <c r="J3096" s="148">
        <v>0</v>
      </c>
      <c r="K3096" s="222">
        <v>0</v>
      </c>
    </row>
    <row r="3097" spans="1:11" ht="15.75" hidden="1" thickBot="1" x14ac:dyDescent="0.3">
      <c r="A3097" s="202" t="s">
        <v>899</v>
      </c>
      <c r="B3097" s="204" t="str">
        <f>INDEX(Orçamentária!A:B,MATCH(Composições!A3097,Orçamentária!A:A,0),2)</f>
        <v>Dobradiça esquerda inferior excêntrica</v>
      </c>
      <c r="C3097" s="40"/>
      <c r="D3097" s="25" t="str">
        <f>TRIM(INDEX(Orçamentária!C:C,MATCH(Composições!A3097,Orçamentária!A:A,0),1))</f>
        <v>un</v>
      </c>
      <c r="E3097" s="26"/>
      <c r="F3097" s="41" t="s">
        <v>514</v>
      </c>
      <c r="G3097" s="27" t="str">
        <f t="shared" si="53"/>
        <v/>
      </c>
      <c r="H3097" s="28"/>
      <c r="I3097" s="29"/>
      <c r="J3097" s="148">
        <v>0</v>
      </c>
      <c r="K3097" s="222">
        <v>0</v>
      </c>
    </row>
    <row r="3098" spans="1:11" hidden="1" x14ac:dyDescent="0.25">
      <c r="A3098" s="203"/>
      <c r="B3098" s="205"/>
      <c r="C3098" s="31"/>
      <c r="D3098" s="31"/>
      <c r="E3098" s="32"/>
      <c r="F3098" s="42" t="s">
        <v>514</v>
      </c>
      <c r="G3098" s="33" t="str">
        <f t="shared" si="53"/>
        <v/>
      </c>
      <c r="H3098" s="34"/>
      <c r="I3098" s="30"/>
      <c r="J3098" s="148">
        <v>0</v>
      </c>
      <c r="K3098" s="222">
        <v>0</v>
      </c>
    </row>
    <row r="3099" spans="1:11" hidden="1" x14ac:dyDescent="0.25">
      <c r="A3099" s="203"/>
      <c r="B3099" s="205"/>
      <c r="C3099" s="35" t="s">
        <v>68</v>
      </c>
      <c r="D3099" s="35" t="s">
        <v>12</v>
      </c>
      <c r="E3099" s="36">
        <v>0.3</v>
      </c>
      <c r="F3099" s="33">
        <v>22.961500000000001</v>
      </c>
      <c r="G3099" s="33">
        <f t="shared" si="53"/>
        <v>6.8884499999999997</v>
      </c>
      <c r="H3099" s="38">
        <f>SUM(G3099:G3100)</f>
        <v>6.8884499999999997</v>
      </c>
      <c r="I3099" s="39"/>
      <c r="J3099" s="148">
        <v>0</v>
      </c>
      <c r="K3099" s="222">
        <v>0</v>
      </c>
    </row>
    <row r="3100" spans="1:11" ht="38.25" hidden="1" x14ac:dyDescent="0.25">
      <c r="A3100" s="203"/>
      <c r="B3100" s="205"/>
      <c r="C3100" s="35" t="s">
        <v>900</v>
      </c>
      <c r="D3100" s="35" t="s">
        <v>20</v>
      </c>
      <c r="E3100" s="36">
        <v>1</v>
      </c>
      <c r="F3100" s="30" t="s">
        <v>514</v>
      </c>
      <c r="G3100" s="33" t="str">
        <f t="shared" si="53"/>
        <v/>
      </c>
      <c r="H3100" s="34"/>
      <c r="I3100" s="30"/>
      <c r="J3100" s="148">
        <v>0</v>
      </c>
      <c r="K3100" s="222">
        <v>0</v>
      </c>
    </row>
    <row r="3101" spans="1:11" ht="15.75" hidden="1" thickBot="1" x14ac:dyDescent="0.3">
      <c r="A3101" s="209"/>
      <c r="B3101" s="206"/>
      <c r="C3101" s="35"/>
      <c r="D3101" s="35"/>
      <c r="E3101" s="36"/>
      <c r="F3101" s="30" t="s">
        <v>514</v>
      </c>
      <c r="G3101" s="33" t="str">
        <f t="shared" si="53"/>
        <v/>
      </c>
      <c r="H3101" s="34"/>
      <c r="I3101" s="30"/>
      <c r="J3101" s="148">
        <v>0</v>
      </c>
      <c r="K3101" s="222">
        <v>0</v>
      </c>
    </row>
    <row r="3102" spans="1:11" ht="15.75" hidden="1" thickBot="1" x14ac:dyDescent="0.3">
      <c r="A3102" s="202" t="s">
        <v>901</v>
      </c>
      <c r="B3102" s="204" t="str">
        <f>INDEX(Orçamentária!A:B,MATCH(Composições!A3102,Orçamentária!A:A,0),2)</f>
        <v>Dobradiça pivotante inferior com trinco</v>
      </c>
      <c r="C3102" s="40"/>
      <c r="D3102" s="25" t="str">
        <f>TRIM(INDEX(Orçamentária!C:C,MATCH(Composições!A3102,Orçamentária!A:A,0),1))</f>
        <v>un</v>
      </c>
      <c r="E3102" s="26"/>
      <c r="F3102" s="41" t="s">
        <v>514</v>
      </c>
      <c r="G3102" s="27" t="str">
        <f t="shared" si="53"/>
        <v/>
      </c>
      <c r="H3102" s="28"/>
      <c r="I3102" s="29"/>
      <c r="J3102" s="148">
        <v>0</v>
      </c>
      <c r="K3102" s="222">
        <v>0</v>
      </c>
    </row>
    <row r="3103" spans="1:11" hidden="1" x14ac:dyDescent="0.25">
      <c r="A3103" s="203"/>
      <c r="B3103" s="205"/>
      <c r="C3103" s="31"/>
      <c r="D3103" s="31"/>
      <c r="E3103" s="32"/>
      <c r="F3103" s="42" t="s">
        <v>514</v>
      </c>
      <c r="G3103" s="33" t="str">
        <f t="shared" si="53"/>
        <v/>
      </c>
      <c r="H3103" s="34"/>
      <c r="I3103" s="30"/>
      <c r="J3103" s="148">
        <v>0</v>
      </c>
      <c r="K3103" s="222">
        <v>0</v>
      </c>
    </row>
    <row r="3104" spans="1:11" hidden="1" x14ac:dyDescent="0.25">
      <c r="A3104" s="203"/>
      <c r="B3104" s="205"/>
      <c r="C3104" s="35" t="s">
        <v>68</v>
      </c>
      <c r="D3104" s="35" t="s">
        <v>12</v>
      </c>
      <c r="E3104" s="36">
        <v>0.3</v>
      </c>
      <c r="F3104" s="33">
        <v>22.961500000000001</v>
      </c>
      <c r="G3104" s="33">
        <f t="shared" si="53"/>
        <v>6.8884499999999997</v>
      </c>
      <c r="H3104" s="38">
        <f>SUM(G3104:G3105)</f>
        <v>6.8884499999999997</v>
      </c>
      <c r="I3104" s="39"/>
      <c r="J3104" s="148">
        <v>0</v>
      </c>
      <c r="K3104" s="222">
        <v>0</v>
      </c>
    </row>
    <row r="3105" spans="1:11" ht="25.5" hidden="1" x14ac:dyDescent="0.25">
      <c r="A3105" s="203"/>
      <c r="B3105" s="205"/>
      <c r="C3105" s="35" t="s">
        <v>902</v>
      </c>
      <c r="D3105" s="35" t="s">
        <v>20</v>
      </c>
      <c r="E3105" s="36">
        <v>1</v>
      </c>
      <c r="F3105" s="30" t="s">
        <v>514</v>
      </c>
      <c r="G3105" s="33" t="str">
        <f t="shared" si="53"/>
        <v/>
      </c>
      <c r="H3105" s="34"/>
      <c r="I3105" s="30"/>
      <c r="J3105" s="148">
        <v>0</v>
      </c>
      <c r="K3105" s="222">
        <v>0</v>
      </c>
    </row>
    <row r="3106" spans="1:11" ht="15.75" hidden="1" thickBot="1" x14ac:dyDescent="0.3">
      <c r="A3106" s="209"/>
      <c r="B3106" s="206"/>
      <c r="C3106" s="35"/>
      <c r="D3106" s="35"/>
      <c r="E3106" s="36"/>
      <c r="F3106" s="30" t="s">
        <v>514</v>
      </c>
      <c r="G3106" s="33" t="str">
        <f t="shared" si="53"/>
        <v/>
      </c>
      <c r="H3106" s="34"/>
      <c r="I3106" s="30"/>
      <c r="J3106" s="148">
        <v>0</v>
      </c>
      <c r="K3106" s="222">
        <v>0</v>
      </c>
    </row>
    <row r="3107" spans="1:11" ht="15.75" hidden="1" thickBot="1" x14ac:dyDescent="0.3">
      <c r="A3107" s="202" t="s">
        <v>903</v>
      </c>
      <c r="B3107" s="204" t="str">
        <f>INDEX(Orçamentária!A:B,MATCH(Composições!A3107,Orçamentária!A:A,0),2)</f>
        <v>Carrinho para porta de correr 1 roldana e 2 furos</v>
      </c>
      <c r="C3107" s="40"/>
      <c r="D3107" s="25" t="str">
        <f>TRIM(INDEX(Orçamentária!C:C,MATCH(Composições!A3107,Orçamentária!A:A,0),1))</f>
        <v>un</v>
      </c>
      <c r="E3107" s="26"/>
      <c r="F3107" s="41" t="s">
        <v>514</v>
      </c>
      <c r="G3107" s="27" t="str">
        <f t="shared" si="53"/>
        <v/>
      </c>
      <c r="H3107" s="28"/>
      <c r="I3107" s="29"/>
      <c r="J3107" s="148">
        <v>0</v>
      </c>
      <c r="K3107" s="222">
        <v>0</v>
      </c>
    </row>
    <row r="3108" spans="1:11" hidden="1" x14ac:dyDescent="0.25">
      <c r="A3108" s="203"/>
      <c r="B3108" s="205"/>
      <c r="C3108" s="31"/>
      <c r="D3108" s="31"/>
      <c r="E3108" s="32"/>
      <c r="F3108" s="42" t="s">
        <v>514</v>
      </c>
      <c r="G3108" s="33" t="str">
        <f t="shared" si="53"/>
        <v/>
      </c>
      <c r="H3108" s="34"/>
      <c r="I3108" s="30"/>
      <c r="J3108" s="148">
        <v>0</v>
      </c>
      <c r="K3108" s="222">
        <v>0</v>
      </c>
    </row>
    <row r="3109" spans="1:11" hidden="1" x14ac:dyDescent="0.25">
      <c r="A3109" s="203"/>
      <c r="B3109" s="205"/>
      <c r="C3109" s="35" t="s">
        <v>68</v>
      </c>
      <c r="D3109" s="35" t="s">
        <v>12</v>
      </c>
      <c r="E3109" s="36">
        <v>0.15</v>
      </c>
      <c r="F3109" s="33">
        <v>22.961500000000001</v>
      </c>
      <c r="G3109" s="33">
        <f t="shared" si="53"/>
        <v>3.4442249999999999</v>
      </c>
      <c r="H3109" s="38">
        <f>SUM(G3109:G3110)</f>
        <v>3.4442249999999999</v>
      </c>
      <c r="I3109" s="39"/>
      <c r="J3109" s="148">
        <v>0</v>
      </c>
      <c r="K3109" s="222">
        <v>0</v>
      </c>
    </row>
    <row r="3110" spans="1:11" ht="25.5" hidden="1" x14ac:dyDescent="0.25">
      <c r="A3110" s="203"/>
      <c r="B3110" s="205"/>
      <c r="C3110" s="35" t="s">
        <v>904</v>
      </c>
      <c r="D3110" s="35" t="s">
        <v>20</v>
      </c>
      <c r="E3110" s="36">
        <v>1</v>
      </c>
      <c r="F3110" s="30" t="s">
        <v>514</v>
      </c>
      <c r="G3110" s="33" t="str">
        <f t="shared" si="53"/>
        <v/>
      </c>
      <c r="H3110" s="34"/>
      <c r="I3110" s="30"/>
      <c r="J3110" s="148">
        <v>0</v>
      </c>
      <c r="K3110" s="222">
        <v>0</v>
      </c>
    </row>
    <row r="3111" spans="1:11" ht="15.75" hidden="1" thickBot="1" x14ac:dyDescent="0.3">
      <c r="A3111" s="209"/>
      <c r="B3111" s="206"/>
      <c r="C3111" s="35"/>
      <c r="D3111" s="35"/>
      <c r="E3111" s="36"/>
      <c r="F3111" s="30" t="s">
        <v>514</v>
      </c>
      <c r="G3111" s="33" t="str">
        <f t="shared" si="53"/>
        <v/>
      </c>
      <c r="H3111" s="34"/>
      <c r="I3111" s="30"/>
      <c r="J3111" s="148">
        <v>0</v>
      </c>
      <c r="K3111" s="222">
        <v>0</v>
      </c>
    </row>
    <row r="3112" spans="1:11" ht="15.75" hidden="1" thickBot="1" x14ac:dyDescent="0.3">
      <c r="A3112" s="202" t="s">
        <v>905</v>
      </c>
      <c r="B3112" s="204" t="str">
        <f>INDEX(Orçamentária!A:B,MATCH(Composições!A3112,Orçamentária!A:A,0),2)</f>
        <v>Carrinho para porta de correr 2 roldanas e 2 furos</v>
      </c>
      <c r="C3112" s="40"/>
      <c r="D3112" s="25" t="str">
        <f>TRIM(INDEX(Orçamentária!C:C,MATCH(Composições!A3112,Orçamentária!A:A,0),1))</f>
        <v>un</v>
      </c>
      <c r="E3112" s="26"/>
      <c r="F3112" s="41" t="s">
        <v>514</v>
      </c>
      <c r="G3112" s="27" t="str">
        <f t="shared" si="53"/>
        <v/>
      </c>
      <c r="H3112" s="28"/>
      <c r="I3112" s="29"/>
      <c r="J3112" s="148">
        <v>0</v>
      </c>
      <c r="K3112" s="222">
        <v>0</v>
      </c>
    </row>
    <row r="3113" spans="1:11" hidden="1" x14ac:dyDescent="0.25">
      <c r="A3113" s="203"/>
      <c r="B3113" s="205"/>
      <c r="C3113" s="31"/>
      <c r="D3113" s="31"/>
      <c r="E3113" s="32"/>
      <c r="F3113" s="42" t="s">
        <v>514</v>
      </c>
      <c r="G3113" s="33" t="str">
        <f t="shared" si="53"/>
        <v/>
      </c>
      <c r="H3113" s="34"/>
      <c r="I3113" s="30"/>
      <c r="J3113" s="148">
        <v>0</v>
      </c>
      <c r="K3113" s="222">
        <v>0</v>
      </c>
    </row>
    <row r="3114" spans="1:11" hidden="1" x14ac:dyDescent="0.25">
      <c r="A3114" s="203"/>
      <c r="B3114" s="205"/>
      <c r="C3114" s="35" t="s">
        <v>68</v>
      </c>
      <c r="D3114" s="35" t="s">
        <v>12</v>
      </c>
      <c r="E3114" s="36">
        <v>0.15</v>
      </c>
      <c r="F3114" s="33">
        <v>22.961500000000001</v>
      </c>
      <c r="G3114" s="33">
        <f t="shared" si="53"/>
        <v>3.4442249999999999</v>
      </c>
      <c r="H3114" s="38">
        <f>SUM(G3114:G3115)</f>
        <v>3.4442249999999999</v>
      </c>
      <c r="I3114" s="39"/>
      <c r="J3114" s="148">
        <v>0</v>
      </c>
      <c r="K3114" s="222">
        <v>0</v>
      </c>
    </row>
    <row r="3115" spans="1:11" ht="25.5" hidden="1" x14ac:dyDescent="0.25">
      <c r="A3115" s="203"/>
      <c r="B3115" s="205"/>
      <c r="C3115" s="35" t="s">
        <v>906</v>
      </c>
      <c r="D3115" s="35" t="s">
        <v>20</v>
      </c>
      <c r="E3115" s="36">
        <v>1</v>
      </c>
      <c r="F3115" s="30" t="s">
        <v>514</v>
      </c>
      <c r="G3115" s="33" t="str">
        <f t="shared" si="53"/>
        <v/>
      </c>
      <c r="H3115" s="34"/>
      <c r="I3115" s="30"/>
      <c r="J3115" s="148">
        <v>0</v>
      </c>
      <c r="K3115" s="222">
        <v>0</v>
      </c>
    </row>
    <row r="3116" spans="1:11" ht="15.75" hidden="1" thickBot="1" x14ac:dyDescent="0.3">
      <c r="A3116" s="209"/>
      <c r="B3116" s="206"/>
      <c r="C3116" s="35"/>
      <c r="D3116" s="35"/>
      <c r="E3116" s="36"/>
      <c r="F3116" s="30" t="s">
        <v>514</v>
      </c>
      <c r="G3116" s="33" t="str">
        <f t="shared" si="53"/>
        <v/>
      </c>
      <c r="H3116" s="34"/>
      <c r="I3116" s="30"/>
      <c r="J3116" s="148">
        <v>0</v>
      </c>
      <c r="K3116" s="222">
        <v>0</v>
      </c>
    </row>
    <row r="3117" spans="1:11" ht="15.75" hidden="1" thickBot="1" x14ac:dyDescent="0.3">
      <c r="A3117" s="202" t="s">
        <v>907</v>
      </c>
      <c r="B3117" s="204" t="str">
        <f>INDEX(Orçamentária!A:B,MATCH(Composições!A3117,Orçamentária!A:A,0),2)</f>
        <v>Carrinho para porta de correr com roldana côncava</v>
      </c>
      <c r="C3117" s="40"/>
      <c r="D3117" s="25" t="str">
        <f>TRIM(INDEX(Orçamentária!C:C,MATCH(Composições!A3117,Orçamentária!A:A,0),1))</f>
        <v>un</v>
      </c>
      <c r="E3117" s="26"/>
      <c r="F3117" s="41" t="s">
        <v>514</v>
      </c>
      <c r="G3117" s="27" t="str">
        <f t="shared" si="53"/>
        <v/>
      </c>
      <c r="H3117" s="28"/>
      <c r="I3117" s="29"/>
      <c r="J3117" s="148">
        <v>0</v>
      </c>
      <c r="K3117" s="222">
        <v>0</v>
      </c>
    </row>
    <row r="3118" spans="1:11" hidden="1" x14ac:dyDescent="0.25">
      <c r="A3118" s="203"/>
      <c r="B3118" s="205"/>
      <c r="C3118" s="31"/>
      <c r="D3118" s="31"/>
      <c r="E3118" s="32"/>
      <c r="F3118" s="42" t="s">
        <v>514</v>
      </c>
      <c r="G3118" s="33" t="str">
        <f t="shared" si="53"/>
        <v/>
      </c>
      <c r="H3118" s="34"/>
      <c r="I3118" s="30"/>
      <c r="J3118" s="148">
        <v>0</v>
      </c>
      <c r="K3118" s="222">
        <v>0</v>
      </c>
    </row>
    <row r="3119" spans="1:11" hidden="1" x14ac:dyDescent="0.25">
      <c r="A3119" s="203"/>
      <c r="B3119" s="205"/>
      <c r="C3119" s="35" t="s">
        <v>68</v>
      </c>
      <c r="D3119" s="35" t="s">
        <v>12</v>
      </c>
      <c r="E3119" s="36">
        <v>0.15</v>
      </c>
      <c r="F3119" s="33">
        <v>22.961500000000001</v>
      </c>
      <c r="G3119" s="33">
        <f t="shared" si="53"/>
        <v>3.4442249999999999</v>
      </c>
      <c r="H3119" s="38">
        <f>SUM(G3119:G3120)</f>
        <v>3.4442249999999999</v>
      </c>
      <c r="I3119" s="39"/>
      <c r="J3119" s="148">
        <v>0</v>
      </c>
      <c r="K3119" s="222">
        <v>0</v>
      </c>
    </row>
    <row r="3120" spans="1:11" ht="25.5" hidden="1" x14ac:dyDescent="0.25">
      <c r="A3120" s="203"/>
      <c r="B3120" s="205"/>
      <c r="C3120" s="35" t="s">
        <v>908</v>
      </c>
      <c r="D3120" s="35" t="s">
        <v>20</v>
      </c>
      <c r="E3120" s="36">
        <v>1</v>
      </c>
      <c r="F3120" s="30" t="s">
        <v>514</v>
      </c>
      <c r="G3120" s="33" t="str">
        <f t="shared" si="53"/>
        <v/>
      </c>
      <c r="H3120" s="34"/>
      <c r="I3120" s="30"/>
      <c r="J3120" s="148">
        <v>0</v>
      </c>
      <c r="K3120" s="222">
        <v>0</v>
      </c>
    </row>
    <row r="3121" spans="1:11" ht="15.75" hidden="1" thickBot="1" x14ac:dyDescent="0.3">
      <c r="A3121" s="209"/>
      <c r="B3121" s="206"/>
      <c r="C3121" s="35"/>
      <c r="D3121" s="35"/>
      <c r="E3121" s="36"/>
      <c r="F3121" s="30" t="s">
        <v>514</v>
      </c>
      <c r="G3121" s="33" t="str">
        <f t="shared" si="53"/>
        <v/>
      </c>
      <c r="H3121" s="34"/>
      <c r="I3121" s="30"/>
      <c r="J3121" s="148">
        <v>0</v>
      </c>
      <c r="K3121" s="222">
        <v>0</v>
      </c>
    </row>
    <row r="3122" spans="1:11" ht="15.75" hidden="1" thickBot="1" x14ac:dyDescent="0.3">
      <c r="A3122" s="202" t="s">
        <v>909</v>
      </c>
      <c r="B3122" s="204" t="str">
        <f>INDEX(Orçamentária!A:B,MATCH(Composições!A3122,Orçamentária!A:A,0),2)</f>
        <v>Guia de nylon para porta de correr</v>
      </c>
      <c r="C3122" s="40"/>
      <c r="D3122" s="25" t="str">
        <f>TRIM(INDEX(Orçamentária!C:C,MATCH(Composições!A3122,Orçamentária!A:A,0),1))</f>
        <v>un</v>
      </c>
      <c r="E3122" s="26"/>
      <c r="F3122" s="41" t="s">
        <v>514</v>
      </c>
      <c r="G3122" s="27" t="str">
        <f t="shared" si="53"/>
        <v/>
      </c>
      <c r="H3122" s="28"/>
      <c r="I3122" s="29"/>
      <c r="J3122" s="148">
        <v>0</v>
      </c>
      <c r="K3122" s="222">
        <v>0</v>
      </c>
    </row>
    <row r="3123" spans="1:11" hidden="1" x14ac:dyDescent="0.25">
      <c r="A3123" s="203"/>
      <c r="B3123" s="205"/>
      <c r="C3123" s="31"/>
      <c r="D3123" s="31"/>
      <c r="E3123" s="32"/>
      <c r="F3123" s="42" t="s">
        <v>514</v>
      </c>
      <c r="G3123" s="33" t="str">
        <f t="shared" si="53"/>
        <v/>
      </c>
      <c r="H3123" s="34"/>
      <c r="I3123" s="30"/>
      <c r="J3123" s="148">
        <v>0</v>
      </c>
      <c r="K3123" s="222">
        <v>0</v>
      </c>
    </row>
    <row r="3124" spans="1:11" hidden="1" x14ac:dyDescent="0.25">
      <c r="A3124" s="203"/>
      <c r="B3124" s="205"/>
      <c r="C3124" s="35" t="s">
        <v>68</v>
      </c>
      <c r="D3124" s="35" t="s">
        <v>12</v>
      </c>
      <c r="E3124" s="36">
        <v>0.15</v>
      </c>
      <c r="F3124" s="33">
        <v>22.961500000000001</v>
      </c>
      <c r="G3124" s="33">
        <f t="shared" si="53"/>
        <v>3.4442249999999999</v>
      </c>
      <c r="H3124" s="38">
        <f>SUM(G3124:G3125)</f>
        <v>3.4442249999999999</v>
      </c>
      <c r="I3124" s="39"/>
      <c r="J3124" s="148">
        <v>0</v>
      </c>
      <c r="K3124" s="222">
        <v>0</v>
      </c>
    </row>
    <row r="3125" spans="1:11" hidden="1" x14ac:dyDescent="0.25">
      <c r="A3125" s="203"/>
      <c r="B3125" s="205"/>
      <c r="C3125" s="35" t="s">
        <v>910</v>
      </c>
      <c r="D3125" s="35" t="s">
        <v>20</v>
      </c>
      <c r="E3125" s="36">
        <v>1</v>
      </c>
      <c r="F3125" s="30" t="s">
        <v>514</v>
      </c>
      <c r="G3125" s="33" t="str">
        <f t="shared" si="53"/>
        <v/>
      </c>
      <c r="H3125" s="34"/>
      <c r="I3125" s="30"/>
      <c r="J3125" s="148">
        <v>0</v>
      </c>
      <c r="K3125" s="222">
        <v>0</v>
      </c>
    </row>
    <row r="3126" spans="1:11" ht="15.75" hidden="1" thickBot="1" x14ac:dyDescent="0.3">
      <c r="A3126" s="209"/>
      <c r="B3126" s="206"/>
      <c r="C3126" s="35"/>
      <c r="D3126" s="35"/>
      <c r="E3126" s="36"/>
      <c r="F3126" s="30" t="s">
        <v>514</v>
      </c>
      <c r="G3126" s="33" t="str">
        <f t="shared" si="53"/>
        <v/>
      </c>
      <c r="H3126" s="34"/>
      <c r="I3126" s="30"/>
      <c r="J3126" s="148">
        <v>0</v>
      </c>
      <c r="K3126" s="222">
        <v>0</v>
      </c>
    </row>
    <row r="3127" spans="1:11" ht="15.75" hidden="1" thickBot="1" x14ac:dyDescent="0.3">
      <c r="A3127" s="202" t="s">
        <v>911</v>
      </c>
      <c r="B3127" s="204" t="str">
        <f>INDEX(Orçamentária!A:B,MATCH(Composições!A3127,Orçamentária!A:A,0),2)</f>
        <v>Puxador H tubular em aço inox, comprimento 45cm, para portas de vidro temperado</v>
      </c>
      <c r="C3127" s="40"/>
      <c r="D3127" s="25" t="str">
        <f>TRIM(INDEX(Orçamentária!C:C,MATCH(Composições!A3127,Orçamentária!A:A,0),1))</f>
        <v>un</v>
      </c>
      <c r="E3127" s="26"/>
      <c r="F3127" s="41" t="s">
        <v>514</v>
      </c>
      <c r="G3127" s="27" t="str">
        <f t="shared" si="53"/>
        <v/>
      </c>
      <c r="H3127" s="28"/>
      <c r="I3127" s="29"/>
      <c r="J3127" s="148">
        <v>0</v>
      </c>
      <c r="K3127" s="222">
        <v>0</v>
      </c>
    </row>
    <row r="3128" spans="1:11" hidden="1" x14ac:dyDescent="0.25">
      <c r="A3128" s="203"/>
      <c r="B3128" s="205"/>
      <c r="C3128" s="31"/>
      <c r="D3128" s="31"/>
      <c r="E3128" s="32"/>
      <c r="F3128" s="42" t="s">
        <v>514</v>
      </c>
      <c r="G3128" s="33" t="str">
        <f t="shared" si="53"/>
        <v/>
      </c>
      <c r="H3128" s="34"/>
      <c r="I3128" s="30"/>
      <c r="J3128" s="148">
        <v>0</v>
      </c>
      <c r="K3128" s="222">
        <v>0</v>
      </c>
    </row>
    <row r="3129" spans="1:11" hidden="1" x14ac:dyDescent="0.25">
      <c r="A3129" s="203"/>
      <c r="B3129" s="205"/>
      <c r="C3129" s="35" t="s">
        <v>68</v>
      </c>
      <c r="D3129" s="35" t="s">
        <v>12</v>
      </c>
      <c r="E3129" s="36">
        <v>0.4</v>
      </c>
      <c r="F3129" s="33">
        <v>22.961500000000001</v>
      </c>
      <c r="G3129" s="33">
        <f t="shared" si="53"/>
        <v>9.1846000000000014</v>
      </c>
      <c r="H3129" s="38">
        <f>SUM(G3129:G3130)</f>
        <v>9.1846000000000014</v>
      </c>
      <c r="I3129" s="39"/>
      <c r="J3129" s="148">
        <v>0</v>
      </c>
      <c r="K3129" s="222">
        <v>0</v>
      </c>
    </row>
    <row r="3130" spans="1:11" ht="38.25" hidden="1" x14ac:dyDescent="0.25">
      <c r="A3130" s="203"/>
      <c r="B3130" s="205"/>
      <c r="C3130" s="35" t="s">
        <v>912</v>
      </c>
      <c r="D3130" s="35" t="s">
        <v>20</v>
      </c>
      <c r="E3130" s="36">
        <v>1</v>
      </c>
      <c r="F3130" s="30" t="s">
        <v>514</v>
      </c>
      <c r="G3130" s="33" t="str">
        <f t="shared" si="53"/>
        <v/>
      </c>
      <c r="H3130" s="34"/>
      <c r="I3130" s="30"/>
      <c r="J3130" s="148">
        <v>0</v>
      </c>
      <c r="K3130" s="222">
        <v>0</v>
      </c>
    </row>
    <row r="3131" spans="1:11" ht="15.75" hidden="1" thickBot="1" x14ac:dyDescent="0.3">
      <c r="A3131" s="209"/>
      <c r="B3131" s="206"/>
      <c r="C3131" s="35"/>
      <c r="D3131" s="35"/>
      <c r="E3131" s="36"/>
      <c r="F3131" s="30" t="s">
        <v>514</v>
      </c>
      <c r="G3131" s="33" t="str">
        <f t="shared" si="53"/>
        <v/>
      </c>
      <c r="H3131" s="34"/>
      <c r="I3131" s="30"/>
      <c r="J3131" s="148">
        <v>0</v>
      </c>
      <c r="K3131" s="222">
        <v>0</v>
      </c>
    </row>
    <row r="3132" spans="1:11" ht="15.75" hidden="1" thickBot="1" x14ac:dyDescent="0.3">
      <c r="A3132" s="202" t="s">
        <v>913</v>
      </c>
      <c r="B3132" s="204" t="str">
        <f>INDEX(Orçamentária!A:B,MATCH(Composições!A3132,Orçamentária!A:A,0),2)</f>
        <v>Transporte de vidros</v>
      </c>
      <c r="C3132" s="40"/>
      <c r="D3132" s="25" t="str">
        <f>TRIM(INDEX(Orçamentária!C:C,MATCH(Composições!A3132,Orçamentária!A:A,0),1))</f>
        <v>m2 x km</v>
      </c>
      <c r="E3132" s="26"/>
      <c r="F3132" s="41" t="s">
        <v>514</v>
      </c>
      <c r="G3132" s="27" t="str">
        <f t="shared" si="53"/>
        <v/>
      </c>
      <c r="H3132" s="28"/>
      <c r="I3132" s="29"/>
      <c r="J3132" s="148">
        <v>0</v>
      </c>
      <c r="K3132" s="222">
        <v>0</v>
      </c>
    </row>
    <row r="3133" spans="1:11" hidden="1" x14ac:dyDescent="0.25">
      <c r="A3133" s="207"/>
      <c r="B3133" s="205"/>
      <c r="C3133" s="31"/>
      <c r="D3133" s="31"/>
      <c r="E3133" s="32"/>
      <c r="F3133" s="42" t="s">
        <v>514</v>
      </c>
      <c r="G3133" s="33" t="str">
        <f t="shared" ref="G3133:G3196" si="54">IF(ISNUMBER(F3133),E3133*F3133,"")</f>
        <v/>
      </c>
      <c r="H3133" s="34"/>
      <c r="I3133" s="30"/>
      <c r="J3133" s="148">
        <v>0</v>
      </c>
      <c r="K3133" s="222">
        <v>0</v>
      </c>
    </row>
    <row r="3134" spans="1:11" hidden="1" x14ac:dyDescent="0.25">
      <c r="A3134" s="207"/>
      <c r="B3134" s="205"/>
      <c r="C3134" s="35" t="s">
        <v>23</v>
      </c>
      <c r="D3134" s="35" t="s">
        <v>12</v>
      </c>
      <c r="E3134" s="36">
        <v>2.9209999999999998</v>
      </c>
      <c r="F3134" s="33">
        <v>18.420500000000001</v>
      </c>
      <c r="G3134" s="33">
        <f t="shared" si="54"/>
        <v>53.8062805</v>
      </c>
      <c r="H3134" s="38">
        <f>SUM(G3134:G3134)</f>
        <v>53.8062805</v>
      </c>
      <c r="I3134" s="39"/>
      <c r="J3134" s="148">
        <v>0</v>
      </c>
      <c r="K3134" s="222">
        <v>0</v>
      </c>
    </row>
    <row r="3135" spans="1:11" hidden="1" x14ac:dyDescent="0.25">
      <c r="A3135" s="207"/>
      <c r="B3135" s="205"/>
      <c r="C3135" s="35"/>
      <c r="D3135" s="35"/>
      <c r="E3135" s="36"/>
      <c r="F3135" s="30" t="s">
        <v>514</v>
      </c>
      <c r="G3135" s="33" t="str">
        <f t="shared" si="54"/>
        <v/>
      </c>
      <c r="H3135" s="34"/>
      <c r="I3135" s="30"/>
      <c r="J3135" s="148">
        <v>0</v>
      </c>
      <c r="K3135" s="222">
        <v>0</v>
      </c>
    </row>
    <row r="3136" spans="1:11" hidden="1" x14ac:dyDescent="0.25">
      <c r="A3136" s="207"/>
      <c r="B3136" s="205"/>
      <c r="C3136" s="51" t="s">
        <v>884</v>
      </c>
      <c r="D3136" s="35"/>
      <c r="E3136" s="36"/>
      <c r="F3136" s="30" t="s">
        <v>514</v>
      </c>
      <c r="G3136" s="33" t="str">
        <f t="shared" si="54"/>
        <v/>
      </c>
      <c r="H3136" s="34"/>
      <c r="I3136" s="30"/>
      <c r="J3136" s="148">
        <v>0</v>
      </c>
      <c r="K3136" s="222">
        <v>0</v>
      </c>
    </row>
    <row r="3137" spans="1:11" ht="15.75" hidden="1" thickBot="1" x14ac:dyDescent="0.3">
      <c r="A3137" s="208"/>
      <c r="B3137" s="206"/>
      <c r="C3137" s="35"/>
      <c r="D3137" s="35"/>
      <c r="E3137" s="36"/>
      <c r="F3137" s="30" t="s">
        <v>514</v>
      </c>
      <c r="G3137" s="33" t="str">
        <f t="shared" si="54"/>
        <v/>
      </c>
      <c r="H3137" s="34"/>
      <c r="I3137" s="30"/>
      <c r="J3137" s="148">
        <v>0</v>
      </c>
      <c r="K3137" s="222">
        <v>0</v>
      </c>
    </row>
    <row r="3138" spans="1:11" ht="15.75" hidden="1" thickBot="1" x14ac:dyDescent="0.3">
      <c r="A3138" s="202" t="s">
        <v>914</v>
      </c>
      <c r="B3138" s="204" t="str">
        <f>INDEX(Orçamentária!A:B,MATCH(Composições!A3138,Orçamentária!A:A,0),2)</f>
        <v>Vidro fantasia 4mm (canelado, martelado, pontilhado e mini-boreal)</v>
      </c>
      <c r="C3138" s="40"/>
      <c r="D3138" s="25" t="str">
        <f>TRIM(INDEX(Orçamentária!C:C,MATCH(Composições!A3138,Orçamentária!A:A,0),1))</f>
        <v>m2</v>
      </c>
      <c r="E3138" s="26"/>
      <c r="F3138" s="41" t="s">
        <v>514</v>
      </c>
      <c r="G3138" s="27" t="str">
        <f t="shared" si="54"/>
        <v/>
      </c>
      <c r="H3138" s="28"/>
      <c r="I3138" s="29"/>
      <c r="J3138" s="148">
        <v>0</v>
      </c>
      <c r="K3138" s="222">
        <v>0</v>
      </c>
    </row>
    <row r="3139" spans="1:11" hidden="1" x14ac:dyDescent="0.25">
      <c r="A3139" s="203"/>
      <c r="B3139" s="205"/>
      <c r="C3139" s="31"/>
      <c r="D3139" s="31"/>
      <c r="E3139" s="32"/>
      <c r="F3139" s="42" t="s">
        <v>514</v>
      </c>
      <c r="G3139" s="33" t="str">
        <f t="shared" si="54"/>
        <v/>
      </c>
      <c r="H3139" s="34"/>
      <c r="I3139" s="30"/>
      <c r="J3139" s="148">
        <v>0</v>
      </c>
      <c r="K3139" s="222">
        <v>0</v>
      </c>
    </row>
    <row r="3140" spans="1:11" hidden="1" x14ac:dyDescent="0.25">
      <c r="A3140" s="203"/>
      <c r="B3140" s="205"/>
      <c r="C3140" s="35" t="s">
        <v>68</v>
      </c>
      <c r="D3140" s="35" t="s">
        <v>12</v>
      </c>
      <c r="E3140" s="36">
        <v>1.5</v>
      </c>
      <c r="F3140" s="33">
        <v>22.961500000000001</v>
      </c>
      <c r="G3140" s="33">
        <f t="shared" si="54"/>
        <v>34.442250000000001</v>
      </c>
      <c r="H3140" s="38">
        <f>SUM(G3140:G3142)</f>
        <v>129.29025000000001</v>
      </c>
      <c r="I3140" s="39"/>
      <c r="J3140" s="148">
        <v>0</v>
      </c>
      <c r="K3140" s="222">
        <v>0</v>
      </c>
    </row>
    <row r="3141" spans="1:11" hidden="1" x14ac:dyDescent="0.25">
      <c r="A3141" s="203"/>
      <c r="B3141" s="205"/>
      <c r="C3141" s="35" t="s">
        <v>23</v>
      </c>
      <c r="D3141" s="35" t="s">
        <v>12</v>
      </c>
      <c r="E3141" s="36">
        <v>1</v>
      </c>
      <c r="F3141" s="33">
        <v>18.420500000000001</v>
      </c>
      <c r="G3141" s="33">
        <f t="shared" si="54"/>
        <v>18.420500000000001</v>
      </c>
      <c r="H3141" s="34"/>
      <c r="I3141" s="30"/>
      <c r="J3141" s="148">
        <v>0</v>
      </c>
      <c r="K3141" s="222">
        <v>0</v>
      </c>
    </row>
    <row r="3142" spans="1:11" hidden="1" x14ac:dyDescent="0.25">
      <c r="A3142" s="203"/>
      <c r="B3142" s="205"/>
      <c r="C3142" s="35" t="s">
        <v>915</v>
      </c>
      <c r="D3142" s="35" t="s">
        <v>94</v>
      </c>
      <c r="E3142" s="36">
        <v>1</v>
      </c>
      <c r="F3142" s="30">
        <v>76.427499999999995</v>
      </c>
      <c r="G3142" s="33">
        <f t="shared" si="54"/>
        <v>76.427499999999995</v>
      </c>
      <c r="H3142" s="34"/>
      <c r="I3142" s="30"/>
      <c r="J3142" s="148">
        <v>0</v>
      </c>
      <c r="K3142" s="222">
        <v>0</v>
      </c>
    </row>
    <row r="3143" spans="1:11" ht="15.75" hidden="1" thickBot="1" x14ac:dyDescent="0.3">
      <c r="A3143" s="209"/>
      <c r="B3143" s="206"/>
      <c r="C3143" s="35"/>
      <c r="D3143" s="35"/>
      <c r="E3143" s="36"/>
      <c r="F3143" s="30" t="s">
        <v>514</v>
      </c>
      <c r="G3143" s="33" t="str">
        <f t="shared" si="54"/>
        <v/>
      </c>
      <c r="H3143" s="34"/>
      <c r="I3143" s="30"/>
      <c r="J3143" s="148">
        <v>0</v>
      </c>
      <c r="K3143" s="222">
        <v>0</v>
      </c>
    </row>
    <row r="3144" spans="1:11" ht="15.75" hidden="1" thickBot="1" x14ac:dyDescent="0.3">
      <c r="A3144" s="202" t="s">
        <v>916</v>
      </c>
      <c r="B3144" s="204" t="str">
        <f>INDEX(Orçamentária!A:B,MATCH(Composições!A3144,Orçamentária!A:A,0),2)</f>
        <v>Vidro fumê/bronze 5mm</v>
      </c>
      <c r="C3144" s="40"/>
      <c r="D3144" s="25" t="str">
        <f>TRIM(INDEX(Orçamentária!C:C,MATCH(Composições!A3144,Orçamentária!A:A,0),1))</f>
        <v>m2</v>
      </c>
      <c r="E3144" s="26"/>
      <c r="F3144" s="41" t="s">
        <v>514</v>
      </c>
      <c r="G3144" s="27" t="str">
        <f t="shared" si="54"/>
        <v/>
      </c>
      <c r="H3144" s="28"/>
      <c r="I3144" s="29"/>
      <c r="J3144" s="148">
        <v>0</v>
      </c>
      <c r="K3144" s="222">
        <v>0</v>
      </c>
    </row>
    <row r="3145" spans="1:11" hidden="1" x14ac:dyDescent="0.25">
      <c r="A3145" s="203"/>
      <c r="B3145" s="205"/>
      <c r="C3145" s="31"/>
      <c r="D3145" s="31"/>
      <c r="E3145" s="32"/>
      <c r="F3145" s="42" t="s">
        <v>514</v>
      </c>
      <c r="G3145" s="33" t="str">
        <f t="shared" si="54"/>
        <v/>
      </c>
      <c r="H3145" s="34"/>
      <c r="I3145" s="30"/>
      <c r="J3145" s="148">
        <v>0</v>
      </c>
      <c r="K3145" s="222">
        <v>0</v>
      </c>
    </row>
    <row r="3146" spans="1:11" hidden="1" x14ac:dyDescent="0.25">
      <c r="A3146" s="203"/>
      <c r="B3146" s="205"/>
      <c r="C3146" s="35" t="s">
        <v>68</v>
      </c>
      <c r="D3146" s="35" t="s">
        <v>12</v>
      </c>
      <c r="E3146" s="36">
        <v>1.5</v>
      </c>
      <c r="F3146" s="33">
        <v>22.961500000000001</v>
      </c>
      <c r="G3146" s="33">
        <f t="shared" si="54"/>
        <v>34.442250000000001</v>
      </c>
      <c r="H3146" s="38">
        <f>SUM(G3146:G3148)</f>
        <v>184.86524999999997</v>
      </c>
      <c r="I3146" s="39"/>
      <c r="J3146" s="148">
        <v>0</v>
      </c>
      <c r="K3146" s="222">
        <v>0</v>
      </c>
    </row>
    <row r="3147" spans="1:11" hidden="1" x14ac:dyDescent="0.25">
      <c r="A3147" s="203"/>
      <c r="B3147" s="205"/>
      <c r="C3147" s="35" t="s">
        <v>23</v>
      </c>
      <c r="D3147" s="35" t="s">
        <v>12</v>
      </c>
      <c r="E3147" s="36">
        <v>1</v>
      </c>
      <c r="F3147" s="33">
        <v>18.420500000000001</v>
      </c>
      <c r="G3147" s="33">
        <f t="shared" si="54"/>
        <v>18.420500000000001</v>
      </c>
      <c r="H3147" s="34"/>
      <c r="I3147" s="30"/>
      <c r="J3147" s="148">
        <v>0</v>
      </c>
      <c r="K3147" s="222">
        <v>0</v>
      </c>
    </row>
    <row r="3148" spans="1:11" hidden="1" x14ac:dyDescent="0.25">
      <c r="A3148" s="203"/>
      <c r="B3148" s="205"/>
      <c r="C3148" s="35" t="s">
        <v>917</v>
      </c>
      <c r="D3148" s="35" t="s">
        <v>94</v>
      </c>
      <c r="E3148" s="36">
        <v>1</v>
      </c>
      <c r="F3148" s="30">
        <v>132.00249999999997</v>
      </c>
      <c r="G3148" s="33">
        <f t="shared" si="54"/>
        <v>132.00249999999997</v>
      </c>
      <c r="H3148" s="34"/>
      <c r="I3148" s="30"/>
      <c r="J3148" s="148">
        <v>0</v>
      </c>
      <c r="K3148" s="222">
        <v>0</v>
      </c>
    </row>
    <row r="3149" spans="1:11" ht="15.75" hidden="1" thickBot="1" x14ac:dyDescent="0.3">
      <c r="A3149" s="209"/>
      <c r="B3149" s="206"/>
      <c r="C3149" s="35"/>
      <c r="D3149" s="35"/>
      <c r="E3149" s="36"/>
      <c r="F3149" s="30" t="s">
        <v>514</v>
      </c>
      <c r="G3149" s="33" t="str">
        <f t="shared" si="54"/>
        <v/>
      </c>
      <c r="H3149" s="34"/>
      <c r="I3149" s="30"/>
      <c r="J3149" s="148">
        <v>0</v>
      </c>
      <c r="K3149" s="222">
        <v>0</v>
      </c>
    </row>
    <row r="3150" spans="1:11" ht="15.75" hidden="1" thickBot="1" x14ac:dyDescent="0.3">
      <c r="A3150" s="202" t="s">
        <v>918</v>
      </c>
      <c r="B3150" s="204" t="str">
        <f>INDEX(Orçamentária!A:B,MATCH(Composições!A3150,Orçamentária!A:A,0),2)</f>
        <v>Recuperação de massa em esquadria metálica</v>
      </c>
      <c r="C3150" s="40"/>
      <c r="D3150" s="25" t="str">
        <f>TRIM(INDEX(Orçamentária!C:C,MATCH(Composições!A3150,Orçamentária!A:A,0),1))</f>
        <v>m</v>
      </c>
      <c r="E3150" s="26"/>
      <c r="F3150" s="41" t="s">
        <v>514</v>
      </c>
      <c r="G3150" s="27" t="str">
        <f t="shared" si="54"/>
        <v/>
      </c>
      <c r="H3150" s="28"/>
      <c r="I3150" s="29"/>
      <c r="J3150" s="148">
        <v>0</v>
      </c>
      <c r="K3150" s="222">
        <v>0</v>
      </c>
    </row>
    <row r="3151" spans="1:11" hidden="1" x14ac:dyDescent="0.25">
      <c r="A3151" s="203"/>
      <c r="B3151" s="205"/>
      <c r="C3151" s="31"/>
      <c r="D3151" s="31"/>
      <c r="E3151" s="32"/>
      <c r="F3151" s="42" t="s">
        <v>514</v>
      </c>
      <c r="G3151" s="33" t="str">
        <f t="shared" si="54"/>
        <v/>
      </c>
      <c r="H3151" s="34"/>
      <c r="I3151" s="30"/>
      <c r="J3151" s="148">
        <v>0</v>
      </c>
      <c r="K3151" s="222">
        <v>0</v>
      </c>
    </row>
    <row r="3152" spans="1:11" hidden="1" x14ac:dyDescent="0.25">
      <c r="A3152" s="203"/>
      <c r="B3152" s="205"/>
      <c r="C3152" s="35" t="s">
        <v>68</v>
      </c>
      <c r="D3152" s="49" t="s">
        <v>12</v>
      </c>
      <c r="E3152" s="36">
        <v>0.5</v>
      </c>
      <c r="F3152" s="33">
        <v>22.961500000000001</v>
      </c>
      <c r="G3152" s="33">
        <f t="shared" si="54"/>
        <v>11.48075</v>
      </c>
      <c r="H3152" s="38">
        <f>SUM(G3152:G3154)</f>
        <v>27.732875</v>
      </c>
      <c r="I3152" s="39"/>
      <c r="J3152" s="148">
        <v>0</v>
      </c>
      <c r="K3152" s="222">
        <v>0</v>
      </c>
    </row>
    <row r="3153" spans="1:11" hidden="1" x14ac:dyDescent="0.25">
      <c r="A3153" s="203"/>
      <c r="B3153" s="205"/>
      <c r="C3153" s="35" t="s">
        <v>23</v>
      </c>
      <c r="D3153" s="35" t="s">
        <v>12</v>
      </c>
      <c r="E3153" s="36">
        <v>0.25</v>
      </c>
      <c r="F3153" s="33">
        <v>18.420500000000001</v>
      </c>
      <c r="G3153" s="33">
        <f t="shared" si="54"/>
        <v>4.6051250000000001</v>
      </c>
      <c r="H3153" s="34"/>
      <c r="I3153" s="30"/>
      <c r="J3153" s="148">
        <v>0</v>
      </c>
      <c r="K3153" s="222">
        <v>0</v>
      </c>
    </row>
    <row r="3154" spans="1:11" hidden="1" x14ac:dyDescent="0.25">
      <c r="A3154" s="203"/>
      <c r="B3154" s="205"/>
      <c r="C3154" s="35" t="s">
        <v>287</v>
      </c>
      <c r="D3154" s="35" t="s">
        <v>787</v>
      </c>
      <c r="E3154" s="36">
        <v>2</v>
      </c>
      <c r="F3154" s="30">
        <v>5.8234999999999992</v>
      </c>
      <c r="G3154" s="33">
        <f t="shared" si="54"/>
        <v>11.646999999999998</v>
      </c>
      <c r="H3154" s="34"/>
      <c r="I3154" s="30"/>
      <c r="J3154" s="148">
        <v>0</v>
      </c>
      <c r="K3154" s="222">
        <v>0</v>
      </c>
    </row>
    <row r="3155" spans="1:11" ht="15.75" hidden="1" thickBot="1" x14ac:dyDescent="0.3">
      <c r="A3155" s="209"/>
      <c r="B3155" s="206"/>
      <c r="C3155" s="35"/>
      <c r="D3155" s="35"/>
      <c r="E3155" s="36"/>
      <c r="F3155" s="30" t="s">
        <v>514</v>
      </c>
      <c r="G3155" s="33" t="str">
        <f t="shared" si="54"/>
        <v/>
      </c>
      <c r="H3155" s="34"/>
      <c r="I3155" s="30"/>
      <c r="J3155" s="148">
        <v>0</v>
      </c>
      <c r="K3155" s="222">
        <v>0</v>
      </c>
    </row>
    <row r="3156" spans="1:11" ht="15.75" hidden="1" thickBot="1" x14ac:dyDescent="0.3">
      <c r="A3156" s="202" t="s">
        <v>919</v>
      </c>
      <c r="B3156" s="204" t="str">
        <f>INDEX(Orçamentária!A:B,MATCH(Composições!A3156,Orçamentária!A:A,0),2)</f>
        <v>Instalação de espelho reaproveitado</v>
      </c>
      <c r="C3156" s="40"/>
      <c r="D3156" s="25" t="str">
        <f>TRIM(INDEX(Orçamentária!C:C,MATCH(Composições!A3156,Orçamentária!A:A,0),1))</f>
        <v>m2</v>
      </c>
      <c r="E3156" s="26"/>
      <c r="F3156" s="41" t="s">
        <v>514</v>
      </c>
      <c r="G3156" s="27" t="str">
        <f t="shared" si="54"/>
        <v/>
      </c>
      <c r="H3156" s="28"/>
      <c r="I3156" s="29"/>
      <c r="J3156" s="148">
        <v>0</v>
      </c>
      <c r="K3156" s="222">
        <v>0</v>
      </c>
    </row>
    <row r="3157" spans="1:11" hidden="1" x14ac:dyDescent="0.25">
      <c r="A3157" s="203"/>
      <c r="B3157" s="205"/>
      <c r="C3157" s="31"/>
      <c r="D3157" s="31"/>
      <c r="E3157" s="32"/>
      <c r="F3157" s="42" t="s">
        <v>514</v>
      </c>
      <c r="G3157" s="33" t="str">
        <f t="shared" si="54"/>
        <v/>
      </c>
      <c r="H3157" s="34"/>
      <c r="I3157" s="30"/>
      <c r="J3157" s="148">
        <v>0</v>
      </c>
      <c r="K3157" s="222">
        <v>0</v>
      </c>
    </row>
    <row r="3158" spans="1:11" hidden="1" x14ac:dyDescent="0.25">
      <c r="A3158" s="203"/>
      <c r="B3158" s="205"/>
      <c r="C3158" s="35" t="s">
        <v>23</v>
      </c>
      <c r="D3158" s="35" t="s">
        <v>12</v>
      </c>
      <c r="E3158" s="36">
        <v>1</v>
      </c>
      <c r="F3158" s="33">
        <v>18.420500000000001</v>
      </c>
      <c r="G3158" s="33">
        <f t="shared" si="54"/>
        <v>18.420500000000001</v>
      </c>
      <c r="H3158" s="38">
        <f>SUM(G3158:G3159)</f>
        <v>52.862750000000005</v>
      </c>
      <c r="I3158" s="39"/>
      <c r="J3158" s="148">
        <v>0</v>
      </c>
      <c r="K3158" s="222">
        <v>0</v>
      </c>
    </row>
    <row r="3159" spans="1:11" hidden="1" x14ac:dyDescent="0.25">
      <c r="A3159" s="203"/>
      <c r="B3159" s="205"/>
      <c r="C3159" s="35" t="s">
        <v>68</v>
      </c>
      <c r="D3159" s="35" t="s">
        <v>12</v>
      </c>
      <c r="E3159" s="36">
        <v>1.5</v>
      </c>
      <c r="F3159" s="33">
        <v>22.961500000000001</v>
      </c>
      <c r="G3159" s="33">
        <f t="shared" si="54"/>
        <v>34.442250000000001</v>
      </c>
      <c r="H3159" s="34"/>
      <c r="I3159" s="30"/>
      <c r="J3159" s="148">
        <v>0</v>
      </c>
      <c r="K3159" s="222">
        <v>0</v>
      </c>
    </row>
    <row r="3160" spans="1:11" ht="15.75" hidden="1" thickBot="1" x14ac:dyDescent="0.3">
      <c r="A3160" s="209"/>
      <c r="B3160" s="206"/>
      <c r="C3160" s="35"/>
      <c r="D3160" s="35"/>
      <c r="E3160" s="36"/>
      <c r="F3160" s="30" t="s">
        <v>514</v>
      </c>
      <c r="G3160" s="33" t="str">
        <f t="shared" si="54"/>
        <v/>
      </c>
      <c r="H3160" s="34"/>
      <c r="I3160" s="30"/>
      <c r="J3160" s="148">
        <v>0</v>
      </c>
      <c r="K3160" s="222">
        <v>0</v>
      </c>
    </row>
    <row r="3161" spans="1:11" ht="15.75" hidden="1" thickBot="1" x14ac:dyDescent="0.3">
      <c r="A3161" s="202" t="s">
        <v>921</v>
      </c>
      <c r="B3161" s="204" t="str">
        <f>INDEX(Orçamentária!A:B,MATCH(Composições!A3161,Orçamentária!A:A,0),2)</f>
        <v>Espelho fumê/bronze 4mm lapidado</v>
      </c>
      <c r="C3161" s="40"/>
      <c r="D3161" s="25" t="str">
        <f>TRIM(INDEX(Orçamentária!C:C,MATCH(Composições!A3161,Orçamentária!A:A,0),1))</f>
        <v>m2</v>
      </c>
      <c r="E3161" s="26"/>
      <c r="F3161" s="41" t="s">
        <v>514</v>
      </c>
      <c r="G3161" s="27" t="str">
        <f t="shared" si="54"/>
        <v/>
      </c>
      <c r="H3161" s="28"/>
      <c r="I3161" s="29"/>
      <c r="J3161" s="148">
        <v>0</v>
      </c>
      <c r="K3161" s="222">
        <v>0</v>
      </c>
    </row>
    <row r="3162" spans="1:11" hidden="1" x14ac:dyDescent="0.25">
      <c r="A3162" s="203"/>
      <c r="B3162" s="205"/>
      <c r="C3162" s="31"/>
      <c r="D3162" s="31"/>
      <c r="E3162" s="32"/>
      <c r="F3162" s="42" t="s">
        <v>514</v>
      </c>
      <c r="G3162" s="33" t="str">
        <f t="shared" si="54"/>
        <v/>
      </c>
      <c r="H3162" s="34"/>
      <c r="I3162" s="30"/>
      <c r="J3162" s="148">
        <v>0</v>
      </c>
      <c r="K3162" s="222">
        <v>0</v>
      </c>
    </row>
    <row r="3163" spans="1:11" hidden="1" x14ac:dyDescent="0.25">
      <c r="A3163" s="203"/>
      <c r="B3163" s="205"/>
      <c r="C3163" s="35" t="s">
        <v>922</v>
      </c>
      <c r="D3163" s="46" t="s">
        <v>94</v>
      </c>
      <c r="E3163" s="36">
        <v>1</v>
      </c>
      <c r="F3163" s="33" t="s">
        <v>514</v>
      </c>
      <c r="G3163" s="33" t="str">
        <f t="shared" si="54"/>
        <v/>
      </c>
      <c r="H3163" s="38">
        <f>SUM(G3163:G3165)</f>
        <v>52.862750000000005</v>
      </c>
      <c r="I3163" s="39"/>
      <c r="J3163" s="148">
        <v>0</v>
      </c>
      <c r="K3163" s="222">
        <v>0</v>
      </c>
    </row>
    <row r="3164" spans="1:11" hidden="1" x14ac:dyDescent="0.25">
      <c r="A3164" s="203"/>
      <c r="B3164" s="205"/>
      <c r="C3164" s="35" t="s">
        <v>23</v>
      </c>
      <c r="D3164" s="46" t="s">
        <v>12</v>
      </c>
      <c r="E3164" s="36">
        <v>1</v>
      </c>
      <c r="F3164" s="30">
        <v>18.420500000000001</v>
      </c>
      <c r="G3164" s="33">
        <f t="shared" si="54"/>
        <v>18.420500000000001</v>
      </c>
      <c r="H3164" s="34"/>
      <c r="I3164" s="30"/>
      <c r="J3164" s="148">
        <v>0</v>
      </c>
      <c r="K3164" s="222">
        <v>0</v>
      </c>
    </row>
    <row r="3165" spans="1:11" hidden="1" x14ac:dyDescent="0.25">
      <c r="A3165" s="203"/>
      <c r="B3165" s="205"/>
      <c r="C3165" s="35" t="s">
        <v>68</v>
      </c>
      <c r="D3165" s="46" t="s">
        <v>12</v>
      </c>
      <c r="E3165" s="36">
        <v>1.5</v>
      </c>
      <c r="F3165" s="30">
        <v>22.961500000000001</v>
      </c>
      <c r="G3165" s="33">
        <f t="shared" si="54"/>
        <v>34.442250000000001</v>
      </c>
      <c r="H3165" s="34"/>
      <c r="I3165" s="30"/>
      <c r="J3165" s="148">
        <v>0</v>
      </c>
      <c r="K3165" s="222">
        <v>0</v>
      </c>
    </row>
    <row r="3166" spans="1:11" ht="15.75" hidden="1" thickBot="1" x14ac:dyDescent="0.3">
      <c r="A3166" s="209"/>
      <c r="B3166" s="206"/>
      <c r="C3166" s="35"/>
      <c r="D3166" s="35"/>
      <c r="E3166" s="36"/>
      <c r="F3166" s="30" t="s">
        <v>514</v>
      </c>
      <c r="G3166" s="33" t="str">
        <f t="shared" si="54"/>
        <v/>
      </c>
      <c r="H3166" s="34"/>
      <c r="I3166" s="30"/>
      <c r="J3166" s="148">
        <v>0</v>
      </c>
      <c r="K3166" s="222">
        <v>0</v>
      </c>
    </row>
    <row r="3167" spans="1:11" ht="15.75" hidden="1" thickBot="1" x14ac:dyDescent="0.3">
      <c r="A3167" s="202" t="s">
        <v>923</v>
      </c>
      <c r="B3167" s="204" t="str">
        <f>INDEX(Orçamentária!A:B,MATCH(Composições!A3167,Orçamentária!A:A,0),2)</f>
        <v>Finesson (parafuso de fixação francês)</v>
      </c>
      <c r="C3167" s="40"/>
      <c r="D3167" s="25" t="str">
        <f>TRIM(INDEX(Orçamentária!C:C,MATCH(Composições!A3167,Orçamentária!A:A,0),1))</f>
        <v>un</v>
      </c>
      <c r="E3167" s="26"/>
      <c r="F3167" s="41" t="s">
        <v>514</v>
      </c>
      <c r="G3167" s="27" t="str">
        <f t="shared" si="54"/>
        <v/>
      </c>
      <c r="H3167" s="28"/>
      <c r="I3167" s="29"/>
      <c r="J3167" s="148">
        <v>0</v>
      </c>
      <c r="K3167" s="222">
        <v>0</v>
      </c>
    </row>
    <row r="3168" spans="1:11" hidden="1" x14ac:dyDescent="0.25">
      <c r="A3168" s="203"/>
      <c r="B3168" s="205"/>
      <c r="C3168" s="31"/>
      <c r="D3168" s="31"/>
      <c r="E3168" s="32"/>
      <c r="F3168" s="42" t="s">
        <v>514</v>
      </c>
      <c r="G3168" s="33" t="str">
        <f t="shared" si="54"/>
        <v/>
      </c>
      <c r="H3168" s="34"/>
      <c r="I3168" s="30"/>
      <c r="J3168" s="148">
        <v>0</v>
      </c>
      <c r="K3168" s="222">
        <v>0</v>
      </c>
    </row>
    <row r="3169" spans="1:11" hidden="1" x14ac:dyDescent="0.25">
      <c r="A3169" s="203"/>
      <c r="B3169" s="205"/>
      <c r="C3169" s="35" t="s">
        <v>68</v>
      </c>
      <c r="D3169" s="35" t="s">
        <v>12</v>
      </c>
      <c r="E3169" s="36">
        <v>0.1</v>
      </c>
      <c r="F3169" s="33">
        <v>22.961500000000001</v>
      </c>
      <c r="G3169" s="33">
        <f t="shared" si="54"/>
        <v>2.2961500000000004</v>
      </c>
      <c r="H3169" s="38">
        <f>SUM(G3169:G3170)</f>
        <v>7.597150000000001</v>
      </c>
      <c r="I3169" s="39"/>
      <c r="J3169" s="148">
        <v>0</v>
      </c>
      <c r="K3169" s="222">
        <v>0</v>
      </c>
    </row>
    <row r="3170" spans="1:11" ht="25.5" hidden="1" x14ac:dyDescent="0.25">
      <c r="A3170" s="203"/>
      <c r="B3170" s="205"/>
      <c r="C3170" s="35" t="s">
        <v>920</v>
      </c>
      <c r="D3170" s="35" t="s">
        <v>20</v>
      </c>
      <c r="E3170" s="36">
        <v>1</v>
      </c>
      <c r="F3170" s="30">
        <v>5.3010000000000002</v>
      </c>
      <c r="G3170" s="33">
        <f t="shared" si="54"/>
        <v>5.3010000000000002</v>
      </c>
      <c r="H3170" s="34"/>
      <c r="I3170" s="30"/>
      <c r="J3170" s="148">
        <v>0</v>
      </c>
      <c r="K3170" s="222">
        <v>0</v>
      </c>
    </row>
    <row r="3171" spans="1:11" ht="15.75" hidden="1" thickBot="1" x14ac:dyDescent="0.3">
      <c r="A3171" s="209"/>
      <c r="B3171" s="206"/>
      <c r="C3171" s="35"/>
      <c r="D3171" s="35"/>
      <c r="E3171" s="36"/>
      <c r="F3171" s="30" t="s">
        <v>514</v>
      </c>
      <c r="G3171" s="33" t="str">
        <f t="shared" si="54"/>
        <v/>
      </c>
      <c r="H3171" s="34"/>
      <c r="I3171" s="30"/>
      <c r="J3171" s="148">
        <v>0</v>
      </c>
      <c r="K3171" s="222">
        <v>0</v>
      </c>
    </row>
    <row r="3172" spans="1:11" ht="15.75" hidden="1" thickBot="1" x14ac:dyDescent="0.3">
      <c r="A3172" s="202" t="s">
        <v>924</v>
      </c>
      <c r="B3172" s="204" t="str">
        <f>INDEX(Orçamentária!A:B,MATCH(Composições!A3172,Orçamentária!A:A,0),2)</f>
        <v>Graute industrializado, 50 MPa ≤ fck ≤ 60 MPa</v>
      </c>
      <c r="C3172" s="40"/>
      <c r="D3172" s="25" t="str">
        <f>TRIM(INDEX(Orçamentária!C:C,MATCH(Composições!A3172,Orçamentária!A:A,0),1))</f>
        <v>m3</v>
      </c>
      <c r="E3172" s="26"/>
      <c r="F3172" s="41" t="s">
        <v>514</v>
      </c>
      <c r="G3172" s="27" t="str">
        <f t="shared" si="54"/>
        <v/>
      </c>
      <c r="H3172" s="28"/>
      <c r="I3172" s="29"/>
      <c r="J3172" s="148">
        <v>1</v>
      </c>
      <c r="K3172" s="222" t="s">
        <v>8074</v>
      </c>
    </row>
    <row r="3173" spans="1:11" hidden="1" x14ac:dyDescent="0.25">
      <c r="A3173" s="203"/>
      <c r="B3173" s="205"/>
      <c r="C3173" s="31"/>
      <c r="D3173" s="31"/>
      <c r="E3173" s="32"/>
      <c r="F3173" s="42" t="s">
        <v>514</v>
      </c>
      <c r="G3173" s="33" t="str">
        <f t="shared" si="54"/>
        <v/>
      </c>
      <c r="H3173" s="34"/>
      <c r="I3173" s="30"/>
      <c r="J3173" s="148">
        <v>1</v>
      </c>
      <c r="K3173" s="222" t="s">
        <v>8074</v>
      </c>
    </row>
    <row r="3174" spans="1:11" hidden="1" x14ac:dyDescent="0.25">
      <c r="A3174" s="203"/>
      <c r="B3174" s="205"/>
      <c r="C3174" s="35" t="s">
        <v>703</v>
      </c>
      <c r="D3174" s="46" t="s">
        <v>695</v>
      </c>
      <c r="E3174" s="36">
        <v>4.8468999999999998</v>
      </c>
      <c r="F3174" s="30">
        <v>24.889999999999997</v>
      </c>
      <c r="G3174" s="33">
        <f t="shared" si="54"/>
        <v>120.63934099999997</v>
      </c>
      <c r="H3174" s="38">
        <f>SUM(G3174:G3176)</f>
        <v>4172.06150265</v>
      </c>
      <c r="I3174" s="39"/>
      <c r="J3174" s="148">
        <v>1</v>
      </c>
      <c r="K3174" s="222" t="s">
        <v>8074</v>
      </c>
    </row>
    <row r="3175" spans="1:11" hidden="1" x14ac:dyDescent="0.25">
      <c r="A3175" s="203"/>
      <c r="B3175" s="205"/>
      <c r="C3175" s="35" t="s">
        <v>696</v>
      </c>
      <c r="D3175" s="46" t="s">
        <v>695</v>
      </c>
      <c r="E3175" s="36">
        <v>3.2313000000000001</v>
      </c>
      <c r="F3175" s="30">
        <v>18.420500000000001</v>
      </c>
      <c r="G3175" s="33">
        <f t="shared" si="54"/>
        <v>59.522161650000001</v>
      </c>
      <c r="H3175" s="34"/>
      <c r="I3175" s="30"/>
      <c r="J3175" s="148">
        <v>1</v>
      </c>
      <c r="K3175" s="222" t="s">
        <v>8074</v>
      </c>
    </row>
    <row r="3176" spans="1:11" hidden="1" x14ac:dyDescent="0.25">
      <c r="A3176" s="203"/>
      <c r="B3176" s="205"/>
      <c r="C3176" s="35" t="s">
        <v>925</v>
      </c>
      <c r="D3176" s="46" t="s">
        <v>891</v>
      </c>
      <c r="E3176" s="36">
        <v>2200</v>
      </c>
      <c r="F3176" s="30">
        <v>1.8144999999999998</v>
      </c>
      <c r="G3176" s="33">
        <f t="shared" si="54"/>
        <v>3991.8999999999996</v>
      </c>
      <c r="H3176" s="34"/>
      <c r="I3176" s="30"/>
      <c r="J3176" s="148">
        <v>1</v>
      </c>
      <c r="K3176" s="222" t="s">
        <v>8074</v>
      </c>
    </row>
    <row r="3177" spans="1:11" hidden="1" x14ac:dyDescent="0.25">
      <c r="A3177" s="203"/>
      <c r="B3177" s="205"/>
      <c r="C3177" s="35"/>
      <c r="D3177" s="46"/>
      <c r="E3177" s="36"/>
      <c r="F3177" s="30" t="s">
        <v>514</v>
      </c>
      <c r="G3177" s="33"/>
      <c r="H3177" s="34"/>
      <c r="I3177" s="30"/>
      <c r="J3177" s="148">
        <v>1</v>
      </c>
      <c r="K3177" s="222" t="s">
        <v>8074</v>
      </c>
    </row>
    <row r="3178" spans="1:11" ht="25.5" hidden="1" x14ac:dyDescent="0.25">
      <c r="A3178" s="203"/>
      <c r="B3178" s="205"/>
      <c r="C3178" s="47" t="s">
        <v>6686</v>
      </c>
      <c r="D3178" s="46"/>
      <c r="E3178" s="36"/>
      <c r="F3178" s="30" t="s">
        <v>514</v>
      </c>
      <c r="G3178" s="33"/>
      <c r="H3178" s="34"/>
      <c r="I3178" s="30"/>
      <c r="J3178" s="148">
        <v>1</v>
      </c>
      <c r="K3178" s="222" t="s">
        <v>8074</v>
      </c>
    </row>
    <row r="3179" spans="1:11" ht="30" hidden="1" x14ac:dyDescent="0.25">
      <c r="A3179" s="203"/>
      <c r="B3179" s="205"/>
      <c r="C3179" s="154" t="s">
        <v>6687</v>
      </c>
      <c r="D3179" s="46"/>
      <c r="E3179" s="36"/>
      <c r="F3179" s="30" t="s">
        <v>514</v>
      </c>
      <c r="G3179" s="33"/>
      <c r="H3179" s="34"/>
      <c r="I3179" s="30"/>
      <c r="J3179" s="148">
        <v>1</v>
      </c>
      <c r="K3179" s="222" t="s">
        <v>8074</v>
      </c>
    </row>
    <row r="3180" spans="1:11" ht="15.75" hidden="1" thickBot="1" x14ac:dyDescent="0.3">
      <c r="A3180" s="209"/>
      <c r="B3180" s="206"/>
      <c r="C3180" s="35"/>
      <c r="D3180" s="35"/>
      <c r="E3180" s="36"/>
      <c r="F3180" s="30" t="s">
        <v>514</v>
      </c>
      <c r="G3180" s="33" t="str">
        <f t="shared" ref="G3180:G3243" si="55">IF(ISNUMBER(F3180),E3180*F3180,"")</f>
        <v/>
      </c>
      <c r="H3180" s="34"/>
      <c r="I3180" s="30"/>
      <c r="J3180" s="148">
        <v>1</v>
      </c>
      <c r="K3180" s="222" t="s">
        <v>8074</v>
      </c>
    </row>
    <row r="3181" spans="1:11" ht="15.75" hidden="1" thickBot="1" x14ac:dyDescent="0.3">
      <c r="A3181" s="202" t="s">
        <v>926</v>
      </c>
      <c r="B3181" s="204" t="str">
        <f>INDEX(Orçamentária!A:B,MATCH(Composições!A3181,Orçamentária!A:A,0),2)</f>
        <v>Armação de aço CA-50 bitolas de 10,0 mm a 12,5 mm</v>
      </c>
      <c r="C3181" s="40"/>
      <c r="D3181" s="25" t="str">
        <f>TRIM(INDEX(Orçamentária!C:C,MATCH(Composições!A3181,Orçamentária!A:A,0),1))</f>
        <v>kg</v>
      </c>
      <c r="E3181" s="26"/>
      <c r="F3181" s="41" t="s">
        <v>514</v>
      </c>
      <c r="G3181" s="27" t="str">
        <f t="shared" si="55"/>
        <v/>
      </c>
      <c r="H3181" s="28"/>
      <c r="I3181" s="29"/>
      <c r="J3181" s="148">
        <v>100</v>
      </c>
      <c r="K3181" s="222" t="s">
        <v>8074</v>
      </c>
    </row>
    <row r="3182" spans="1:11" hidden="1" x14ac:dyDescent="0.25">
      <c r="A3182" s="203"/>
      <c r="B3182" s="205"/>
      <c r="C3182" s="31"/>
      <c r="D3182" s="31"/>
      <c r="E3182" s="32"/>
      <c r="F3182" s="42" t="s">
        <v>514</v>
      </c>
      <c r="G3182" s="33" t="str">
        <f t="shared" si="55"/>
        <v/>
      </c>
      <c r="H3182" s="34"/>
      <c r="I3182" s="30"/>
      <c r="J3182" s="148">
        <v>100</v>
      </c>
      <c r="K3182" s="222" t="s">
        <v>8074</v>
      </c>
    </row>
    <row r="3183" spans="1:11" ht="38.25" hidden="1" x14ac:dyDescent="0.25">
      <c r="A3183" s="203"/>
      <c r="B3183" s="205"/>
      <c r="C3183" s="35" t="s">
        <v>892</v>
      </c>
      <c r="D3183" s="46" t="s">
        <v>278</v>
      </c>
      <c r="E3183" s="36">
        <v>0.36699999999999999</v>
      </c>
      <c r="F3183" s="30">
        <v>0.20899999999999999</v>
      </c>
      <c r="G3183" s="33">
        <f t="shared" si="55"/>
        <v>7.6702999999999993E-2</v>
      </c>
      <c r="H3183" s="38">
        <f>SUM(G3183:G3187)</f>
        <v>11.25770425</v>
      </c>
      <c r="I3183" s="39"/>
      <c r="J3183" s="148">
        <v>100</v>
      </c>
      <c r="K3183" s="222" t="s">
        <v>8074</v>
      </c>
    </row>
    <row r="3184" spans="1:11" ht="25.5" hidden="1" x14ac:dyDescent="0.25">
      <c r="A3184" s="203"/>
      <c r="B3184" s="205"/>
      <c r="C3184" s="35" t="s">
        <v>3489</v>
      </c>
      <c r="D3184" s="46" t="s">
        <v>891</v>
      </c>
      <c r="E3184" s="36">
        <v>2.5000000000000001E-2</v>
      </c>
      <c r="F3184" s="30">
        <v>22.363</v>
      </c>
      <c r="G3184" s="33">
        <f t="shared" si="55"/>
        <v>0.55907499999999999</v>
      </c>
      <c r="H3184" s="34"/>
      <c r="I3184" s="30"/>
      <c r="J3184" s="148">
        <v>100</v>
      </c>
      <c r="K3184" s="222" t="s">
        <v>8074</v>
      </c>
    </row>
    <row r="3185" spans="1:11" hidden="1" x14ac:dyDescent="0.25">
      <c r="A3185" s="203"/>
      <c r="B3185" s="205"/>
      <c r="C3185" s="35" t="s">
        <v>893</v>
      </c>
      <c r="D3185" s="46" t="s">
        <v>695</v>
      </c>
      <c r="E3185" s="36">
        <v>4.1999999999999997E-3</v>
      </c>
      <c r="F3185" s="30">
        <v>18.3825</v>
      </c>
      <c r="G3185" s="33">
        <f t="shared" si="55"/>
        <v>7.7206499999999997E-2</v>
      </c>
      <c r="H3185" s="34"/>
      <c r="I3185" s="30"/>
      <c r="J3185" s="148">
        <v>100</v>
      </c>
      <c r="K3185" s="222" t="s">
        <v>8074</v>
      </c>
    </row>
    <row r="3186" spans="1:11" hidden="1" x14ac:dyDescent="0.25">
      <c r="A3186" s="203"/>
      <c r="B3186" s="205"/>
      <c r="C3186" s="35" t="s">
        <v>894</v>
      </c>
      <c r="D3186" s="46" t="s">
        <v>695</v>
      </c>
      <c r="E3186" s="36">
        <v>2.5700000000000001E-2</v>
      </c>
      <c r="F3186" s="30">
        <v>24.747499999999999</v>
      </c>
      <c r="G3186" s="33">
        <f t="shared" si="55"/>
        <v>0.63601074999999996</v>
      </c>
      <c r="H3186" s="34"/>
      <c r="I3186" s="30"/>
      <c r="J3186" s="148">
        <v>100</v>
      </c>
      <c r="K3186" s="222" t="s">
        <v>8074</v>
      </c>
    </row>
    <row r="3187" spans="1:11" hidden="1" x14ac:dyDescent="0.25">
      <c r="A3187" s="203"/>
      <c r="B3187" s="205"/>
      <c r="C3187" s="35" t="s">
        <v>8007</v>
      </c>
      <c r="D3187" s="46" t="s">
        <v>891</v>
      </c>
      <c r="E3187" s="36">
        <v>1</v>
      </c>
      <c r="F3187" s="30">
        <v>9.908709</v>
      </c>
      <c r="G3187" s="33">
        <f t="shared" si="55"/>
        <v>9.908709</v>
      </c>
      <c r="H3187" s="34"/>
      <c r="I3187" s="30"/>
      <c r="J3187" s="148">
        <v>100</v>
      </c>
      <c r="K3187" s="222" t="s">
        <v>8074</v>
      </c>
    </row>
    <row r="3188" spans="1:11" ht="15.75" hidden="1" thickBot="1" x14ac:dyDescent="0.3">
      <c r="A3188" s="209"/>
      <c r="B3188" s="206"/>
      <c r="C3188" s="35"/>
      <c r="D3188" s="35"/>
      <c r="E3188" s="36"/>
      <c r="F3188" s="30" t="s">
        <v>514</v>
      </c>
      <c r="G3188" s="33" t="str">
        <f t="shared" si="55"/>
        <v/>
      </c>
      <c r="H3188" s="34"/>
      <c r="I3188" s="30"/>
      <c r="J3188" s="148">
        <v>100</v>
      </c>
      <c r="K3188" s="222" t="s">
        <v>8074</v>
      </c>
    </row>
    <row r="3189" spans="1:11" ht="15.75" hidden="1" thickBot="1" x14ac:dyDescent="0.3">
      <c r="A3189" s="202" t="s">
        <v>927</v>
      </c>
      <c r="B3189" s="204" t="str">
        <f>INDEX(Orçamentária!A:B,MATCH(Composições!A3189,Orçamentária!A:A,0),2)</f>
        <v>Armação de aço CA-50 bitolas de 16,0 mm a 25,0 mm</v>
      </c>
      <c r="C3189" s="40"/>
      <c r="D3189" s="25" t="str">
        <f>TRIM(INDEX(Orçamentária!C:C,MATCH(Composições!A3189,Orçamentária!A:A,0),1))</f>
        <v>kg</v>
      </c>
      <c r="E3189" s="26"/>
      <c r="F3189" s="41" t="s">
        <v>514</v>
      </c>
      <c r="G3189" s="27" t="str">
        <f t="shared" si="55"/>
        <v/>
      </c>
      <c r="H3189" s="28"/>
      <c r="I3189" s="29"/>
      <c r="J3189" s="148">
        <v>100</v>
      </c>
      <c r="K3189" s="222" t="s">
        <v>8074</v>
      </c>
    </row>
    <row r="3190" spans="1:11" hidden="1" x14ac:dyDescent="0.25">
      <c r="A3190" s="203"/>
      <c r="B3190" s="205"/>
      <c r="C3190" s="31"/>
      <c r="D3190" s="31"/>
      <c r="E3190" s="32"/>
      <c r="F3190" s="42" t="s">
        <v>514</v>
      </c>
      <c r="G3190" s="33" t="str">
        <f t="shared" si="55"/>
        <v/>
      </c>
      <c r="H3190" s="34"/>
      <c r="I3190" s="30"/>
      <c r="J3190" s="148">
        <v>100</v>
      </c>
      <c r="K3190" s="222" t="s">
        <v>8074</v>
      </c>
    </row>
    <row r="3191" spans="1:11" ht="38.25" hidden="1" x14ac:dyDescent="0.25">
      <c r="A3191" s="203"/>
      <c r="B3191" s="205"/>
      <c r="C3191" s="35" t="s">
        <v>892</v>
      </c>
      <c r="D3191" s="46" t="s">
        <v>278</v>
      </c>
      <c r="E3191" s="36">
        <v>0.21199999999999999</v>
      </c>
      <c r="F3191" s="30">
        <v>0.20899999999999999</v>
      </c>
      <c r="G3191" s="33">
        <f t="shared" si="55"/>
        <v>4.4308E-2</v>
      </c>
      <c r="H3191" s="38">
        <f>SUM(G3191:G3195)</f>
        <v>10.97939225</v>
      </c>
      <c r="I3191" s="39"/>
      <c r="J3191" s="148">
        <v>100</v>
      </c>
      <c r="K3191" s="222" t="s">
        <v>8074</v>
      </c>
    </row>
    <row r="3192" spans="1:11" ht="25.5" hidden="1" x14ac:dyDescent="0.25">
      <c r="A3192" s="203"/>
      <c r="B3192" s="205"/>
      <c r="C3192" s="35" t="s">
        <v>3489</v>
      </c>
      <c r="D3192" s="46" t="s">
        <v>891</v>
      </c>
      <c r="E3192" s="36">
        <v>2.5000000000000001E-2</v>
      </c>
      <c r="F3192" s="30">
        <v>22.363</v>
      </c>
      <c r="G3192" s="33">
        <f t="shared" si="55"/>
        <v>0.55907499999999999</v>
      </c>
      <c r="H3192" s="34"/>
      <c r="I3192" s="30"/>
      <c r="J3192" s="148">
        <v>100</v>
      </c>
      <c r="K3192" s="222" t="s">
        <v>8074</v>
      </c>
    </row>
    <row r="3193" spans="1:11" hidden="1" x14ac:dyDescent="0.25">
      <c r="A3193" s="203"/>
      <c r="B3193" s="205"/>
      <c r="C3193" s="35" t="s">
        <v>893</v>
      </c>
      <c r="D3193" s="46" t="s">
        <v>695</v>
      </c>
      <c r="E3193" s="36">
        <v>3.2000000000000002E-3</v>
      </c>
      <c r="F3193" s="30">
        <v>18.3825</v>
      </c>
      <c r="G3193" s="33">
        <f t="shared" si="55"/>
        <v>5.8824000000000001E-2</v>
      </c>
      <c r="H3193" s="34"/>
      <c r="I3193" s="30"/>
      <c r="J3193" s="148">
        <v>100</v>
      </c>
      <c r="K3193" s="222" t="s">
        <v>8074</v>
      </c>
    </row>
    <row r="3194" spans="1:11" hidden="1" x14ac:dyDescent="0.25">
      <c r="A3194" s="203"/>
      <c r="B3194" s="205"/>
      <c r="C3194" s="35" t="s">
        <v>894</v>
      </c>
      <c r="D3194" s="46" t="s">
        <v>695</v>
      </c>
      <c r="E3194" s="36">
        <v>1.9400000000000001E-2</v>
      </c>
      <c r="F3194" s="30">
        <v>24.747499999999999</v>
      </c>
      <c r="G3194" s="33">
        <f t="shared" si="55"/>
        <v>0.48010150000000001</v>
      </c>
      <c r="H3194" s="34"/>
      <c r="I3194" s="30"/>
      <c r="J3194" s="148">
        <v>100</v>
      </c>
      <c r="K3194" s="222" t="s">
        <v>8074</v>
      </c>
    </row>
    <row r="3195" spans="1:11" hidden="1" x14ac:dyDescent="0.25">
      <c r="A3195" s="203"/>
      <c r="B3195" s="205"/>
      <c r="C3195" s="35" t="s">
        <v>8008</v>
      </c>
      <c r="D3195" s="46" t="s">
        <v>891</v>
      </c>
      <c r="E3195" s="36">
        <v>1</v>
      </c>
      <c r="F3195" s="30">
        <v>9.8370837499999997</v>
      </c>
      <c r="G3195" s="33">
        <f t="shared" si="55"/>
        <v>9.8370837499999997</v>
      </c>
      <c r="H3195" s="34"/>
      <c r="I3195" s="30"/>
      <c r="J3195" s="148">
        <v>100</v>
      </c>
      <c r="K3195" s="222" t="s">
        <v>8074</v>
      </c>
    </row>
    <row r="3196" spans="1:11" ht="15.75" hidden="1" thickBot="1" x14ac:dyDescent="0.3">
      <c r="A3196" s="209"/>
      <c r="B3196" s="206"/>
      <c r="C3196" s="35"/>
      <c r="D3196" s="35"/>
      <c r="E3196" s="36"/>
      <c r="F3196" s="30" t="s">
        <v>514</v>
      </c>
      <c r="G3196" s="33" t="str">
        <f t="shared" si="55"/>
        <v/>
      </c>
      <c r="H3196" s="34"/>
      <c r="I3196" s="30"/>
      <c r="J3196" s="148">
        <v>100</v>
      </c>
      <c r="K3196" s="222" t="s">
        <v>8074</v>
      </c>
    </row>
    <row r="3197" spans="1:11" ht="15.75" hidden="1" thickBot="1" x14ac:dyDescent="0.3">
      <c r="A3197" s="202" t="s">
        <v>928</v>
      </c>
      <c r="B3197" s="204" t="str">
        <f>INDEX(Orçamentária!A:B,MATCH(Composições!A3197,Orçamentária!A:A,0),2)</f>
        <v>Remoção de mola hidráulica de piso</v>
      </c>
      <c r="C3197" s="40"/>
      <c r="D3197" s="25" t="str">
        <f>TRIM(INDEX(Orçamentária!C:C,MATCH(Composições!A3197,Orçamentária!A:A,0),1))</f>
        <v>un</v>
      </c>
      <c r="E3197" s="26"/>
      <c r="F3197" s="41" t="s">
        <v>514</v>
      </c>
      <c r="G3197" s="27" t="str">
        <f t="shared" si="55"/>
        <v/>
      </c>
      <c r="H3197" s="28"/>
      <c r="I3197" s="29"/>
      <c r="J3197" s="148">
        <v>15</v>
      </c>
      <c r="K3197" s="222" t="s">
        <v>8074</v>
      </c>
    </row>
    <row r="3198" spans="1:11" hidden="1" x14ac:dyDescent="0.25">
      <c r="A3198" s="203"/>
      <c r="B3198" s="205"/>
      <c r="C3198" s="144"/>
      <c r="D3198" s="31"/>
      <c r="E3198" s="32"/>
      <c r="F3198" s="42" t="s">
        <v>514</v>
      </c>
      <c r="G3198" s="33" t="str">
        <f t="shared" si="55"/>
        <v/>
      </c>
      <c r="H3198" s="34"/>
      <c r="I3198" s="30"/>
      <c r="J3198" s="148">
        <v>15</v>
      </c>
      <c r="K3198" s="222" t="s">
        <v>8074</v>
      </c>
    </row>
    <row r="3199" spans="1:11" hidden="1" x14ac:dyDescent="0.25">
      <c r="A3199" s="203"/>
      <c r="B3199" s="205"/>
      <c r="C3199" s="35" t="s">
        <v>23</v>
      </c>
      <c r="D3199" s="46" t="s">
        <v>12</v>
      </c>
      <c r="E3199" s="36">
        <v>0.55000000000000004</v>
      </c>
      <c r="F3199" s="30">
        <v>18.420500000000001</v>
      </c>
      <c r="G3199" s="33">
        <f t="shared" si="55"/>
        <v>10.131275</v>
      </c>
      <c r="H3199" s="38">
        <f>SUM(G3199:G3200)</f>
        <v>22.760100000000001</v>
      </c>
      <c r="I3199" s="39"/>
      <c r="J3199" s="148">
        <v>15</v>
      </c>
      <c r="K3199" s="222" t="s">
        <v>8074</v>
      </c>
    </row>
    <row r="3200" spans="1:11" hidden="1" x14ac:dyDescent="0.25">
      <c r="A3200" s="203"/>
      <c r="B3200" s="205"/>
      <c r="C3200" s="35" t="s">
        <v>68</v>
      </c>
      <c r="D3200" s="46" t="s">
        <v>12</v>
      </c>
      <c r="E3200" s="36">
        <v>0.55000000000000004</v>
      </c>
      <c r="F3200" s="30">
        <v>22.961500000000001</v>
      </c>
      <c r="G3200" s="33">
        <f t="shared" si="55"/>
        <v>12.628825000000001</v>
      </c>
      <c r="H3200" s="34"/>
      <c r="I3200" s="30"/>
      <c r="J3200" s="148">
        <v>15</v>
      </c>
      <c r="K3200" s="222" t="s">
        <v>8074</v>
      </c>
    </row>
    <row r="3201" spans="1:11" ht="15.75" hidden="1" thickBot="1" x14ac:dyDescent="0.3">
      <c r="A3201" s="209"/>
      <c r="B3201" s="206"/>
      <c r="C3201" s="35"/>
      <c r="D3201" s="35"/>
      <c r="E3201" s="36"/>
      <c r="F3201" s="30" t="s">
        <v>514</v>
      </c>
      <c r="G3201" s="33" t="str">
        <f t="shared" si="55"/>
        <v/>
      </c>
      <c r="H3201" s="34"/>
      <c r="I3201" s="30"/>
      <c r="J3201" s="148">
        <v>15</v>
      </c>
      <c r="K3201" s="222" t="s">
        <v>8074</v>
      </c>
    </row>
    <row r="3202" spans="1:11" ht="15.75" hidden="1" thickBot="1" x14ac:dyDescent="0.3">
      <c r="A3202" s="202" t="s">
        <v>929</v>
      </c>
      <c r="B3202" s="204" t="str">
        <f>INDEX(Orçamentária!A:B,MATCH(Composições!A3202,Orçamentária!A:A,0),2)</f>
        <v>Escavação manual de valas</v>
      </c>
      <c r="C3202" s="40"/>
      <c r="D3202" s="25" t="str">
        <f>TRIM(INDEX(Orçamentária!C:C,MATCH(Composições!A3202,Orçamentária!A:A,0),1))</f>
        <v>m3</v>
      </c>
      <c r="E3202" s="26"/>
      <c r="F3202" s="41" t="s">
        <v>514</v>
      </c>
      <c r="G3202" s="27" t="str">
        <f t="shared" si="55"/>
        <v/>
      </c>
      <c r="H3202" s="28"/>
      <c r="I3202" s="29"/>
      <c r="J3202" s="148">
        <v>15</v>
      </c>
      <c r="K3202" s="222" t="s">
        <v>8074</v>
      </c>
    </row>
    <row r="3203" spans="1:11" hidden="1" x14ac:dyDescent="0.25">
      <c r="A3203" s="203"/>
      <c r="B3203" s="205"/>
      <c r="C3203" s="31"/>
      <c r="D3203" s="31"/>
      <c r="E3203" s="32"/>
      <c r="F3203" s="42" t="s">
        <v>514</v>
      </c>
      <c r="G3203" s="33" t="str">
        <f t="shared" si="55"/>
        <v/>
      </c>
      <c r="H3203" s="34"/>
      <c r="I3203" s="30"/>
      <c r="J3203" s="148">
        <v>15</v>
      </c>
      <c r="K3203" s="222" t="s">
        <v>8074</v>
      </c>
    </row>
    <row r="3204" spans="1:11" hidden="1" x14ac:dyDescent="0.25">
      <c r="A3204" s="203"/>
      <c r="B3204" s="205"/>
      <c r="C3204" s="35" t="s">
        <v>23</v>
      </c>
      <c r="D3204" s="46" t="s">
        <v>12</v>
      </c>
      <c r="E3204" s="36">
        <v>3.956</v>
      </c>
      <c r="F3204" s="30">
        <v>18.420500000000001</v>
      </c>
      <c r="G3204" s="33">
        <f t="shared" si="55"/>
        <v>72.871498000000003</v>
      </c>
      <c r="H3204" s="38">
        <f>SUM(G3204:G3204)</f>
        <v>72.871498000000003</v>
      </c>
      <c r="I3204" s="39"/>
      <c r="J3204" s="148">
        <v>15</v>
      </c>
      <c r="K3204" s="222" t="s">
        <v>8074</v>
      </c>
    </row>
    <row r="3205" spans="1:11" ht="15.75" hidden="1" thickBot="1" x14ac:dyDescent="0.3">
      <c r="A3205" s="209"/>
      <c r="B3205" s="206"/>
      <c r="C3205" s="35"/>
      <c r="D3205" s="35"/>
      <c r="E3205" s="36"/>
      <c r="F3205" s="30" t="s">
        <v>514</v>
      </c>
      <c r="G3205" s="33" t="str">
        <f t="shared" si="55"/>
        <v/>
      </c>
      <c r="H3205" s="34"/>
      <c r="I3205" s="30"/>
      <c r="J3205" s="148">
        <v>15</v>
      </c>
      <c r="K3205" s="222" t="s">
        <v>8074</v>
      </c>
    </row>
    <row r="3206" spans="1:11" ht="15.75" hidden="1" thickBot="1" x14ac:dyDescent="0.3">
      <c r="A3206" s="202" t="s">
        <v>930</v>
      </c>
      <c r="B3206" s="204" t="str">
        <f>INDEX(Orçamentária!A:B,MATCH(Composições!A3206,Orçamentária!A:A,0),2)</f>
        <v>Reaterro de vala com compactação mecanizada</v>
      </c>
      <c r="C3206" s="40"/>
      <c r="D3206" s="25" t="str">
        <f>TRIM(INDEX(Orçamentária!C:C,MATCH(Composições!A3206,Orçamentária!A:A,0),1))</f>
        <v>m3</v>
      </c>
      <c r="E3206" s="26"/>
      <c r="F3206" s="41" t="s">
        <v>514</v>
      </c>
      <c r="G3206" s="27" t="str">
        <f t="shared" si="55"/>
        <v/>
      </c>
      <c r="H3206" s="28"/>
      <c r="I3206" s="29"/>
      <c r="J3206" s="148">
        <v>15</v>
      </c>
      <c r="K3206" s="222" t="s">
        <v>8074</v>
      </c>
    </row>
    <row r="3207" spans="1:11" hidden="1" x14ac:dyDescent="0.25">
      <c r="A3207" s="203"/>
      <c r="B3207" s="205"/>
      <c r="C3207" s="31"/>
      <c r="D3207" s="31"/>
      <c r="E3207" s="32"/>
      <c r="F3207" s="42" t="s">
        <v>514</v>
      </c>
      <c r="G3207" s="33" t="str">
        <f t="shared" si="55"/>
        <v/>
      </c>
      <c r="H3207" s="34"/>
      <c r="I3207" s="30"/>
      <c r="J3207" s="148">
        <v>15</v>
      </c>
      <c r="K3207" s="222" t="s">
        <v>8074</v>
      </c>
    </row>
    <row r="3208" spans="1:11" hidden="1" x14ac:dyDescent="0.25">
      <c r="A3208" s="203"/>
      <c r="B3208" s="205"/>
      <c r="C3208" s="35" t="s">
        <v>696</v>
      </c>
      <c r="D3208" s="46" t="s">
        <v>695</v>
      </c>
      <c r="E3208" s="36">
        <v>0.65</v>
      </c>
      <c r="F3208" s="30">
        <v>18.420500000000001</v>
      </c>
      <c r="G3208" s="33">
        <f t="shared" si="55"/>
        <v>11.973325000000001</v>
      </c>
      <c r="H3208" s="38">
        <f>SUM(G3208:G3211)</f>
        <v>26.565856999999998</v>
      </c>
      <c r="I3208" s="39"/>
      <c r="J3208" s="148">
        <v>15</v>
      </c>
      <c r="K3208" s="222" t="s">
        <v>8074</v>
      </c>
    </row>
    <row r="3209" spans="1:11" ht="38.25" hidden="1" x14ac:dyDescent="0.25">
      <c r="A3209" s="203"/>
      <c r="B3209" s="205"/>
      <c r="C3209" s="35" t="s">
        <v>931</v>
      </c>
      <c r="D3209" s="46" t="s">
        <v>932</v>
      </c>
      <c r="E3209" s="36">
        <v>0.27400000000000002</v>
      </c>
      <c r="F3209" s="30">
        <v>26.485999999999997</v>
      </c>
      <c r="G3209" s="33">
        <f t="shared" si="55"/>
        <v>7.2571639999999995</v>
      </c>
      <c r="H3209" s="34"/>
      <c r="I3209" s="30"/>
      <c r="J3209" s="148">
        <v>15</v>
      </c>
      <c r="K3209" s="222" t="s">
        <v>8074</v>
      </c>
    </row>
    <row r="3210" spans="1:11" ht="38.25" hidden="1" x14ac:dyDescent="0.25">
      <c r="A3210" s="203"/>
      <c r="B3210" s="205"/>
      <c r="C3210" s="35" t="s">
        <v>933</v>
      </c>
      <c r="D3210" s="46" t="s">
        <v>934</v>
      </c>
      <c r="E3210" s="36">
        <v>0.254</v>
      </c>
      <c r="F3210" s="30">
        <v>20.225499999999997</v>
      </c>
      <c r="G3210" s="33">
        <f t="shared" si="55"/>
        <v>5.1372769999999992</v>
      </c>
      <c r="H3210" s="34"/>
      <c r="I3210" s="30"/>
      <c r="J3210" s="148">
        <v>15</v>
      </c>
      <c r="K3210" s="222" t="s">
        <v>8074</v>
      </c>
    </row>
    <row r="3211" spans="1:11" ht="25.5" hidden="1" x14ac:dyDescent="0.25">
      <c r="A3211" s="203"/>
      <c r="B3211" s="205"/>
      <c r="C3211" s="35" t="s">
        <v>935</v>
      </c>
      <c r="D3211" s="35" t="s">
        <v>119</v>
      </c>
      <c r="E3211" s="36">
        <v>1</v>
      </c>
      <c r="F3211" s="30">
        <v>2.1980910000000002</v>
      </c>
      <c r="G3211" s="33">
        <f t="shared" si="55"/>
        <v>2.1980910000000002</v>
      </c>
      <c r="H3211" s="34"/>
      <c r="I3211" s="30"/>
      <c r="J3211" s="148">
        <v>15</v>
      </c>
      <c r="K3211" s="222" t="s">
        <v>8074</v>
      </c>
    </row>
    <row r="3212" spans="1:11" ht="15.75" hidden="1" thickBot="1" x14ac:dyDescent="0.3">
      <c r="A3212" s="209"/>
      <c r="B3212" s="206"/>
      <c r="C3212" s="35"/>
      <c r="D3212" s="35"/>
      <c r="E3212" s="36"/>
      <c r="F3212" s="30" t="s">
        <v>514</v>
      </c>
      <c r="G3212" s="33" t="str">
        <f t="shared" si="55"/>
        <v/>
      </c>
      <c r="H3212" s="34"/>
      <c r="I3212" s="30"/>
      <c r="J3212" s="148">
        <v>15</v>
      </c>
      <c r="K3212" s="222" t="s">
        <v>8074</v>
      </c>
    </row>
    <row r="3213" spans="1:11" ht="15.75" hidden="1" thickBot="1" x14ac:dyDescent="0.3">
      <c r="A3213" s="202" t="s">
        <v>936</v>
      </c>
      <c r="B3213" s="204" t="str">
        <f>INDEX(Orçamentária!A:B,MATCH(Composições!A3213,Orçamentária!A:A,0),2)</f>
        <v>Aterro de vala com compactação mecanizada</v>
      </c>
      <c r="C3213" s="40"/>
      <c r="D3213" s="25" t="str">
        <f>TRIM(INDEX(Orçamentária!C:C,MATCH(Composições!A3213,Orçamentária!A:A,0),1))</f>
        <v>m3</v>
      </c>
      <c r="E3213" s="26"/>
      <c r="F3213" s="41" t="s">
        <v>514</v>
      </c>
      <c r="G3213" s="27" t="str">
        <f t="shared" si="55"/>
        <v/>
      </c>
      <c r="H3213" s="28"/>
      <c r="I3213" s="29"/>
      <c r="J3213" s="148">
        <v>15</v>
      </c>
      <c r="K3213" s="222" t="s">
        <v>8074</v>
      </c>
    </row>
    <row r="3214" spans="1:11" hidden="1" x14ac:dyDescent="0.25">
      <c r="A3214" s="203"/>
      <c r="B3214" s="205"/>
      <c r="C3214" s="31"/>
      <c r="D3214" s="31"/>
      <c r="E3214" s="32"/>
      <c r="F3214" s="42" t="s">
        <v>514</v>
      </c>
      <c r="G3214" s="33" t="str">
        <f t="shared" si="55"/>
        <v/>
      </c>
      <c r="H3214" s="34"/>
      <c r="I3214" s="30"/>
      <c r="J3214" s="148">
        <v>15</v>
      </c>
      <c r="K3214" s="222" t="s">
        <v>8074</v>
      </c>
    </row>
    <row r="3215" spans="1:11" ht="51" hidden="1" x14ac:dyDescent="0.25">
      <c r="A3215" s="203"/>
      <c r="B3215" s="205"/>
      <c r="C3215" s="35" t="s">
        <v>937</v>
      </c>
      <c r="D3215" s="46" t="s">
        <v>932</v>
      </c>
      <c r="E3215" s="36">
        <v>6.0000000000000001E-3</v>
      </c>
      <c r="F3215" s="30">
        <v>312.78749999999997</v>
      </c>
      <c r="G3215" s="33">
        <f t="shared" si="55"/>
        <v>1.8767249999999998</v>
      </c>
      <c r="H3215" s="38">
        <f>SUM(G3215:G3222)</f>
        <v>188.5833920625</v>
      </c>
      <c r="I3215" s="39"/>
      <c r="J3215" s="148">
        <v>15</v>
      </c>
      <c r="K3215" s="222" t="s">
        <v>8074</v>
      </c>
    </row>
    <row r="3216" spans="1:11" ht="51" hidden="1" x14ac:dyDescent="0.25">
      <c r="A3216" s="203"/>
      <c r="B3216" s="205"/>
      <c r="C3216" s="35" t="s">
        <v>938</v>
      </c>
      <c r="D3216" s="46" t="s">
        <v>934</v>
      </c>
      <c r="E3216" s="36">
        <v>3.0000000000000001E-3</v>
      </c>
      <c r="F3216" s="30">
        <v>51.860500000000002</v>
      </c>
      <c r="G3216" s="33">
        <f t="shared" si="55"/>
        <v>0.15558150000000001</v>
      </c>
      <c r="H3216" s="34"/>
      <c r="I3216" s="30"/>
      <c r="J3216" s="148">
        <v>15</v>
      </c>
      <c r="K3216" s="222" t="s">
        <v>8074</v>
      </c>
    </row>
    <row r="3217" spans="1:11" ht="25.5" hidden="1" x14ac:dyDescent="0.25">
      <c r="A3217" s="203"/>
      <c r="B3217" s="205"/>
      <c r="C3217" s="35" t="s">
        <v>939</v>
      </c>
      <c r="D3217" s="46" t="s">
        <v>119</v>
      </c>
      <c r="E3217" s="36">
        <v>1.25</v>
      </c>
      <c r="F3217" s="30">
        <v>69.378500000000003</v>
      </c>
      <c r="G3217" s="33">
        <f t="shared" si="55"/>
        <v>86.72312500000001</v>
      </c>
      <c r="H3217" s="34"/>
      <c r="I3217" s="30"/>
      <c r="J3217" s="148">
        <v>15</v>
      </c>
      <c r="K3217" s="222" t="s">
        <v>8074</v>
      </c>
    </row>
    <row r="3218" spans="1:11" hidden="1" x14ac:dyDescent="0.25">
      <c r="A3218" s="203"/>
      <c r="B3218" s="205"/>
      <c r="C3218" s="35" t="s">
        <v>696</v>
      </c>
      <c r="D3218" s="35" t="s">
        <v>695</v>
      </c>
      <c r="E3218" s="36">
        <v>0.65900000000000003</v>
      </c>
      <c r="F3218" s="30">
        <v>18.420500000000001</v>
      </c>
      <c r="G3218" s="33">
        <f t="shared" si="55"/>
        <v>12.139109500000002</v>
      </c>
      <c r="H3218" s="34"/>
      <c r="I3218" s="30"/>
      <c r="J3218" s="148">
        <v>15</v>
      </c>
      <c r="K3218" s="222" t="s">
        <v>8074</v>
      </c>
    </row>
    <row r="3219" spans="1:11" ht="38.25" hidden="1" x14ac:dyDescent="0.25">
      <c r="A3219" s="203"/>
      <c r="B3219" s="205"/>
      <c r="C3219" s="35" t="s">
        <v>931</v>
      </c>
      <c r="D3219" s="35" t="s">
        <v>932</v>
      </c>
      <c r="E3219" s="36">
        <v>0.27400000000000002</v>
      </c>
      <c r="F3219" s="30">
        <v>26.485999999999997</v>
      </c>
      <c r="G3219" s="33">
        <f t="shared" si="55"/>
        <v>7.2571639999999995</v>
      </c>
      <c r="H3219" s="34"/>
      <c r="I3219" s="30"/>
      <c r="J3219" s="148">
        <v>15</v>
      </c>
      <c r="K3219" s="222" t="s">
        <v>8074</v>
      </c>
    </row>
    <row r="3220" spans="1:11" ht="38.25" hidden="1" x14ac:dyDescent="0.25">
      <c r="A3220" s="203"/>
      <c r="B3220" s="205"/>
      <c r="C3220" s="35" t="s">
        <v>933</v>
      </c>
      <c r="D3220" s="35" t="s">
        <v>934</v>
      </c>
      <c r="E3220" s="36">
        <v>0.254</v>
      </c>
      <c r="F3220" s="30">
        <v>20.225499999999997</v>
      </c>
      <c r="G3220" s="33">
        <f t="shared" si="55"/>
        <v>5.1372769999999992</v>
      </c>
      <c r="H3220" s="34"/>
      <c r="I3220" s="30"/>
      <c r="J3220" s="148">
        <v>15</v>
      </c>
      <c r="K3220" s="222" t="s">
        <v>8074</v>
      </c>
    </row>
    <row r="3221" spans="1:11" ht="51" hidden="1" x14ac:dyDescent="0.25">
      <c r="A3221" s="203"/>
      <c r="B3221" s="205"/>
      <c r="C3221" s="35" t="s">
        <v>3507</v>
      </c>
      <c r="D3221" s="35" t="s">
        <v>108</v>
      </c>
      <c r="E3221" s="36">
        <f>E3217*1</f>
        <v>1.25</v>
      </c>
      <c r="F3221" s="33">
        <v>7.7750840499999994</v>
      </c>
      <c r="G3221" s="33">
        <f t="shared" si="55"/>
        <v>9.7188550624999994</v>
      </c>
      <c r="H3221" s="34"/>
      <c r="I3221" s="30"/>
      <c r="J3221" s="148">
        <v>15</v>
      </c>
      <c r="K3221" s="222" t="s">
        <v>8074</v>
      </c>
    </row>
    <row r="3222" spans="1:11" ht="38.25" hidden="1" x14ac:dyDescent="0.25">
      <c r="A3222" s="203"/>
      <c r="B3222" s="205"/>
      <c r="C3222" s="35" t="s">
        <v>120</v>
      </c>
      <c r="D3222" s="46" t="s">
        <v>121</v>
      </c>
      <c r="E3222" s="36">
        <f>E3217*20</f>
        <v>25</v>
      </c>
      <c r="F3222" s="33">
        <v>2.6230221999999994</v>
      </c>
      <c r="G3222" s="33">
        <f t="shared" si="55"/>
        <v>65.57555499999998</v>
      </c>
      <c r="H3222" s="34"/>
      <c r="I3222" s="30"/>
      <c r="J3222" s="148">
        <v>15</v>
      </c>
      <c r="K3222" s="222" t="s">
        <v>8074</v>
      </c>
    </row>
    <row r="3223" spans="1:11" hidden="1" x14ac:dyDescent="0.25">
      <c r="A3223" s="203"/>
      <c r="B3223" s="205"/>
      <c r="C3223" s="50"/>
      <c r="D3223" s="46"/>
      <c r="E3223" s="36"/>
      <c r="F3223" s="33" t="s">
        <v>514</v>
      </c>
      <c r="G3223" s="33" t="str">
        <f t="shared" si="55"/>
        <v/>
      </c>
      <c r="H3223" s="34"/>
      <c r="I3223" s="30"/>
      <c r="J3223" s="148">
        <v>15</v>
      </c>
      <c r="K3223" s="222" t="s">
        <v>8074</v>
      </c>
    </row>
    <row r="3224" spans="1:11" ht="25.5" hidden="1" x14ac:dyDescent="0.25">
      <c r="A3224" s="203"/>
      <c r="B3224" s="205"/>
      <c r="C3224" s="47" t="s">
        <v>940</v>
      </c>
      <c r="D3224" s="46"/>
      <c r="E3224" s="36"/>
      <c r="F3224" s="33" t="s">
        <v>514</v>
      </c>
      <c r="G3224" s="33" t="str">
        <f t="shared" si="55"/>
        <v/>
      </c>
      <c r="H3224" s="34"/>
      <c r="I3224" s="30"/>
      <c r="J3224" s="148">
        <v>15</v>
      </c>
      <c r="K3224" s="222" t="s">
        <v>8074</v>
      </c>
    </row>
    <row r="3225" spans="1:11" ht="15.75" hidden="1" thickBot="1" x14ac:dyDescent="0.3">
      <c r="A3225" s="209"/>
      <c r="B3225" s="206"/>
      <c r="C3225" s="35"/>
      <c r="D3225" s="35"/>
      <c r="E3225" s="36"/>
      <c r="F3225" s="30" t="s">
        <v>514</v>
      </c>
      <c r="G3225" s="30" t="str">
        <f t="shared" si="55"/>
        <v/>
      </c>
      <c r="H3225" s="34"/>
      <c r="I3225" s="30"/>
      <c r="J3225" s="148">
        <v>15</v>
      </c>
      <c r="K3225" s="222" t="s">
        <v>8074</v>
      </c>
    </row>
    <row r="3226" spans="1:11" ht="15.75" hidden="1" thickBot="1" x14ac:dyDescent="0.3">
      <c r="A3226" s="202" t="s">
        <v>941</v>
      </c>
      <c r="B3226" s="204" t="str">
        <f>INDEX(Orçamentária!A:B,MATCH(Composições!A3226,Orçamentária!A:A,0),2)</f>
        <v>Tubo de cobre classe "E" 22 mm</v>
      </c>
      <c r="C3226" s="40"/>
      <c r="D3226" s="25" t="str">
        <f>TRIM(INDEX(Orçamentária!C:C,MATCH(Composições!A3226,Orçamentária!A:A,0),1))</f>
        <v>m</v>
      </c>
      <c r="E3226" s="26"/>
      <c r="F3226" s="41" t="s">
        <v>514</v>
      </c>
      <c r="G3226" s="27" t="str">
        <f t="shared" si="55"/>
        <v/>
      </c>
      <c r="H3226" s="28"/>
      <c r="I3226" s="29"/>
      <c r="J3226" s="148">
        <v>10</v>
      </c>
      <c r="K3226" s="222" t="s">
        <v>8074</v>
      </c>
    </row>
    <row r="3227" spans="1:11" hidden="1" x14ac:dyDescent="0.25">
      <c r="A3227" s="203"/>
      <c r="B3227" s="205"/>
      <c r="C3227" s="31"/>
      <c r="D3227" s="31"/>
      <c r="E3227" s="32"/>
      <c r="F3227" s="42" t="s">
        <v>514</v>
      </c>
      <c r="G3227" s="33" t="str">
        <f t="shared" si="55"/>
        <v/>
      </c>
      <c r="H3227" s="34"/>
      <c r="I3227" s="30"/>
      <c r="J3227" s="148">
        <v>10</v>
      </c>
      <c r="K3227" s="222" t="s">
        <v>8074</v>
      </c>
    </row>
    <row r="3228" spans="1:11" ht="25.5" hidden="1" x14ac:dyDescent="0.25">
      <c r="A3228" s="203"/>
      <c r="B3228" s="205"/>
      <c r="C3228" s="35" t="s">
        <v>942</v>
      </c>
      <c r="D3228" s="35" t="s">
        <v>473</v>
      </c>
      <c r="E3228" s="36">
        <v>1.0210999999999999</v>
      </c>
      <c r="F3228" s="30">
        <v>56.087999999999994</v>
      </c>
      <c r="G3228" s="33">
        <f t="shared" si="55"/>
        <v>57.271456799999989</v>
      </c>
      <c r="H3228" s="38">
        <f>SUM(G3228:G3230)</f>
        <v>63.520480799999987</v>
      </c>
      <c r="I3228" s="39"/>
      <c r="J3228" s="148">
        <v>10</v>
      </c>
      <c r="K3228" s="222" t="s">
        <v>8074</v>
      </c>
    </row>
    <row r="3229" spans="1:11" ht="25.5" hidden="1" x14ac:dyDescent="0.25">
      <c r="A3229" s="203"/>
      <c r="B3229" s="205"/>
      <c r="C3229" s="35" t="s">
        <v>943</v>
      </c>
      <c r="D3229" s="46" t="s">
        <v>695</v>
      </c>
      <c r="E3229" s="36">
        <v>0.14399999999999999</v>
      </c>
      <c r="F3229" s="30">
        <v>19.094999999999999</v>
      </c>
      <c r="G3229" s="33">
        <f t="shared" si="55"/>
        <v>2.7496799999999997</v>
      </c>
      <c r="H3229" s="34"/>
      <c r="I3229" s="30"/>
      <c r="J3229" s="148">
        <v>10</v>
      </c>
      <c r="K3229" s="222" t="s">
        <v>8074</v>
      </c>
    </row>
    <row r="3230" spans="1:11" ht="25.5" hidden="1" x14ac:dyDescent="0.25">
      <c r="A3230" s="203"/>
      <c r="B3230" s="205"/>
      <c r="C3230" s="35" t="s">
        <v>944</v>
      </c>
      <c r="D3230" s="46" t="s">
        <v>695</v>
      </c>
      <c r="E3230" s="36">
        <v>0.14399999999999999</v>
      </c>
      <c r="F3230" s="30">
        <v>24.300999999999998</v>
      </c>
      <c r="G3230" s="33">
        <f t="shared" si="55"/>
        <v>3.4993439999999993</v>
      </c>
      <c r="H3230" s="34"/>
      <c r="I3230" s="30"/>
      <c r="J3230" s="148">
        <v>10</v>
      </c>
      <c r="K3230" s="222" t="s">
        <v>8074</v>
      </c>
    </row>
    <row r="3231" spans="1:11" ht="15.75" hidden="1" thickBot="1" x14ac:dyDescent="0.3">
      <c r="A3231" s="209"/>
      <c r="B3231" s="206"/>
      <c r="C3231" s="35"/>
      <c r="D3231" s="35"/>
      <c r="E3231" s="36"/>
      <c r="F3231" s="30" t="s">
        <v>514</v>
      </c>
      <c r="G3231" s="33" t="str">
        <f t="shared" si="55"/>
        <v/>
      </c>
      <c r="H3231" s="34"/>
      <c r="I3231" s="30"/>
      <c r="J3231" s="148">
        <v>10</v>
      </c>
      <c r="K3231" s="222" t="s">
        <v>8074</v>
      </c>
    </row>
    <row r="3232" spans="1:11" ht="15.75" hidden="1" thickBot="1" x14ac:dyDescent="0.3">
      <c r="A3232" s="202" t="s">
        <v>945</v>
      </c>
      <c r="B3232" s="204" t="str">
        <f>INDEX(Orçamentária!A:B,MATCH(Composições!A3232,Orçamentária!A:A,0),2)</f>
        <v>Tubo de cobre classe "E" 28 mm</v>
      </c>
      <c r="C3232" s="40"/>
      <c r="D3232" s="25" t="str">
        <f>TRIM(INDEX(Orçamentária!C:C,MATCH(Composições!A3232,Orçamentária!A:A,0),1))</f>
        <v>m</v>
      </c>
      <c r="E3232" s="26"/>
      <c r="F3232" s="41" t="s">
        <v>514</v>
      </c>
      <c r="G3232" s="27" t="str">
        <f t="shared" si="55"/>
        <v/>
      </c>
      <c r="H3232" s="28"/>
      <c r="I3232" s="29"/>
      <c r="J3232" s="148">
        <v>10</v>
      </c>
      <c r="K3232" s="222" t="s">
        <v>8074</v>
      </c>
    </row>
    <row r="3233" spans="1:11" hidden="1" x14ac:dyDescent="0.25">
      <c r="A3233" s="203"/>
      <c r="B3233" s="205"/>
      <c r="C3233" s="31"/>
      <c r="D3233" s="31"/>
      <c r="E3233" s="32"/>
      <c r="F3233" s="42" t="s">
        <v>514</v>
      </c>
      <c r="G3233" s="33" t="str">
        <f t="shared" si="55"/>
        <v/>
      </c>
      <c r="H3233" s="34"/>
      <c r="I3233" s="30"/>
      <c r="J3233" s="148">
        <v>10</v>
      </c>
      <c r="K3233" s="222" t="s">
        <v>8074</v>
      </c>
    </row>
    <row r="3234" spans="1:11" ht="25.5" hidden="1" x14ac:dyDescent="0.25">
      <c r="A3234" s="203"/>
      <c r="B3234" s="205"/>
      <c r="C3234" s="35" t="s">
        <v>946</v>
      </c>
      <c r="D3234" s="35" t="s">
        <v>473</v>
      </c>
      <c r="E3234" s="36">
        <v>1.0210999999999999</v>
      </c>
      <c r="F3234" s="30">
        <v>71.183500000000009</v>
      </c>
      <c r="G3234" s="33">
        <f t="shared" si="55"/>
        <v>72.685471849999999</v>
      </c>
      <c r="H3234" s="38">
        <f>SUM(G3234:G3236)</f>
        <v>79.628831849999997</v>
      </c>
      <c r="I3234" s="39"/>
      <c r="J3234" s="148">
        <v>10</v>
      </c>
      <c r="K3234" s="222" t="s">
        <v>8074</v>
      </c>
    </row>
    <row r="3235" spans="1:11" ht="25.5" hidden="1" x14ac:dyDescent="0.25">
      <c r="A3235" s="203"/>
      <c r="B3235" s="205"/>
      <c r="C3235" s="35" t="s">
        <v>943</v>
      </c>
      <c r="D3235" s="46" t="s">
        <v>695</v>
      </c>
      <c r="E3235" s="36">
        <v>0.16</v>
      </c>
      <c r="F3235" s="30">
        <v>19.094999999999999</v>
      </c>
      <c r="G3235" s="33">
        <f t="shared" si="55"/>
        <v>3.0551999999999997</v>
      </c>
      <c r="H3235" s="34"/>
      <c r="I3235" s="30"/>
      <c r="J3235" s="148">
        <v>10</v>
      </c>
      <c r="K3235" s="222" t="s">
        <v>8074</v>
      </c>
    </row>
    <row r="3236" spans="1:11" ht="25.5" hidden="1" x14ac:dyDescent="0.25">
      <c r="A3236" s="203"/>
      <c r="B3236" s="205"/>
      <c r="C3236" s="35" t="s">
        <v>944</v>
      </c>
      <c r="D3236" s="46" t="s">
        <v>695</v>
      </c>
      <c r="E3236" s="36">
        <v>0.16</v>
      </c>
      <c r="F3236" s="30">
        <v>24.300999999999998</v>
      </c>
      <c r="G3236" s="33">
        <f t="shared" si="55"/>
        <v>3.8881599999999996</v>
      </c>
      <c r="H3236" s="34"/>
      <c r="I3236" s="30"/>
      <c r="J3236" s="148">
        <v>10</v>
      </c>
      <c r="K3236" s="222" t="s">
        <v>8074</v>
      </c>
    </row>
    <row r="3237" spans="1:11" ht="15.75" hidden="1" thickBot="1" x14ac:dyDescent="0.3">
      <c r="A3237" s="209"/>
      <c r="B3237" s="206"/>
      <c r="C3237" s="35"/>
      <c r="D3237" s="35"/>
      <c r="E3237" s="36"/>
      <c r="F3237" s="30" t="s">
        <v>514</v>
      </c>
      <c r="G3237" s="33" t="str">
        <f t="shared" si="55"/>
        <v/>
      </c>
      <c r="H3237" s="34"/>
      <c r="I3237" s="30"/>
      <c r="J3237" s="148">
        <v>10</v>
      </c>
      <c r="K3237" s="222" t="s">
        <v>8074</v>
      </c>
    </row>
    <row r="3238" spans="1:11" ht="15.75" hidden="1" thickBot="1" x14ac:dyDescent="0.3">
      <c r="A3238" s="202" t="s">
        <v>947</v>
      </c>
      <c r="B3238" s="204" t="str">
        <f>INDEX(Orçamentária!A:B,MATCH(Composições!A3238,Orçamentária!A:A,0),2)</f>
        <v>Tubo de cobre classe "E" 42 mm</v>
      </c>
      <c r="C3238" s="40"/>
      <c r="D3238" s="25" t="str">
        <f>TRIM(INDEX(Orçamentária!C:C,MATCH(Composições!A3238,Orçamentária!A:A,0),1))</f>
        <v>m</v>
      </c>
      <c r="E3238" s="26"/>
      <c r="F3238" s="41" t="s">
        <v>514</v>
      </c>
      <c r="G3238" s="27" t="str">
        <f t="shared" si="55"/>
        <v/>
      </c>
      <c r="H3238" s="28"/>
      <c r="I3238" s="29"/>
      <c r="J3238" s="148">
        <v>10</v>
      </c>
      <c r="K3238" s="222" t="s">
        <v>8074</v>
      </c>
    </row>
    <row r="3239" spans="1:11" hidden="1" x14ac:dyDescent="0.25">
      <c r="A3239" s="203"/>
      <c r="B3239" s="205"/>
      <c r="C3239" s="31"/>
      <c r="D3239" s="31"/>
      <c r="E3239" s="32"/>
      <c r="F3239" s="42" t="s">
        <v>514</v>
      </c>
      <c r="G3239" s="33" t="str">
        <f t="shared" si="55"/>
        <v/>
      </c>
      <c r="H3239" s="34"/>
      <c r="I3239" s="30"/>
      <c r="J3239" s="148">
        <v>10</v>
      </c>
      <c r="K3239" s="222" t="s">
        <v>8074</v>
      </c>
    </row>
    <row r="3240" spans="1:11" ht="25.5" hidden="1" x14ac:dyDescent="0.25">
      <c r="A3240" s="203"/>
      <c r="B3240" s="205"/>
      <c r="C3240" s="35" t="s">
        <v>948</v>
      </c>
      <c r="D3240" s="46" t="s">
        <v>473</v>
      </c>
      <c r="E3240" s="36">
        <v>1.0210999999999999</v>
      </c>
      <c r="F3240" s="30">
        <v>139.58349999999999</v>
      </c>
      <c r="G3240" s="33">
        <f t="shared" si="55"/>
        <v>142.52871184999998</v>
      </c>
      <c r="H3240" s="38">
        <f>SUM(G3240:G3242)</f>
        <v>145.82680784999999</v>
      </c>
      <c r="I3240" s="39"/>
      <c r="J3240" s="148">
        <v>10</v>
      </c>
      <c r="K3240" s="222" t="s">
        <v>8074</v>
      </c>
    </row>
    <row r="3241" spans="1:11" ht="25.5" hidden="1" x14ac:dyDescent="0.25">
      <c r="A3241" s="203"/>
      <c r="B3241" s="205"/>
      <c r="C3241" s="35" t="s">
        <v>943</v>
      </c>
      <c r="D3241" s="46" t="s">
        <v>695</v>
      </c>
      <c r="E3241" s="36">
        <v>7.5999999999999998E-2</v>
      </c>
      <c r="F3241" s="30">
        <v>19.094999999999999</v>
      </c>
      <c r="G3241" s="33">
        <f t="shared" si="55"/>
        <v>1.45122</v>
      </c>
      <c r="H3241" s="34"/>
      <c r="I3241" s="30"/>
      <c r="J3241" s="148">
        <v>10</v>
      </c>
      <c r="K3241" s="222" t="s">
        <v>8074</v>
      </c>
    </row>
    <row r="3242" spans="1:11" ht="25.5" hidden="1" x14ac:dyDescent="0.25">
      <c r="A3242" s="203"/>
      <c r="B3242" s="205"/>
      <c r="C3242" s="35" t="s">
        <v>944</v>
      </c>
      <c r="D3242" s="46" t="s">
        <v>695</v>
      </c>
      <c r="E3242" s="36">
        <v>7.5999999999999998E-2</v>
      </c>
      <c r="F3242" s="30">
        <v>24.300999999999998</v>
      </c>
      <c r="G3242" s="33">
        <f t="shared" si="55"/>
        <v>1.8468759999999997</v>
      </c>
      <c r="H3242" s="34"/>
      <c r="I3242" s="30"/>
      <c r="J3242" s="148">
        <v>10</v>
      </c>
      <c r="K3242" s="222" t="s">
        <v>8074</v>
      </c>
    </row>
    <row r="3243" spans="1:11" ht="15.75" hidden="1" thickBot="1" x14ac:dyDescent="0.3">
      <c r="A3243" s="209"/>
      <c r="B3243" s="206"/>
      <c r="C3243" s="35"/>
      <c r="D3243" s="35"/>
      <c r="E3243" s="36"/>
      <c r="F3243" s="30" t="s">
        <v>514</v>
      </c>
      <c r="G3243" s="33" t="str">
        <f t="shared" si="55"/>
        <v/>
      </c>
      <c r="H3243" s="34"/>
      <c r="I3243" s="30"/>
      <c r="J3243" s="148">
        <v>10</v>
      </c>
      <c r="K3243" s="222" t="s">
        <v>8074</v>
      </c>
    </row>
    <row r="3244" spans="1:11" ht="15.75" hidden="1" thickBot="1" x14ac:dyDescent="0.3">
      <c r="A3244" s="202" t="s">
        <v>949</v>
      </c>
      <c r="B3244" s="204" t="str">
        <f>INDEX(Orçamentária!A:B,MATCH(Composições!A3244,Orçamentária!A:A,0),2)</f>
        <v>Bacia conforto (h=44 cm) – Linha Acessibilidade</v>
      </c>
      <c r="C3244" s="40"/>
      <c r="D3244" s="25" t="str">
        <f>TRIM(INDEX(Orçamentária!C:C,MATCH(Composições!A3244,Orçamentária!A:A,0),1))</f>
        <v>un</v>
      </c>
      <c r="E3244" s="26"/>
      <c r="F3244" s="41" t="s">
        <v>514</v>
      </c>
      <c r="G3244" s="27" t="str">
        <f t="shared" ref="G3244:G3307" si="56">IF(ISNUMBER(F3244),E3244*F3244,"")</f>
        <v/>
      </c>
      <c r="H3244" s="28"/>
      <c r="I3244" s="29"/>
      <c r="J3244" s="148">
        <v>5</v>
      </c>
      <c r="K3244" s="222" t="s">
        <v>8074</v>
      </c>
    </row>
    <row r="3245" spans="1:11" hidden="1" x14ac:dyDescent="0.25">
      <c r="A3245" s="203"/>
      <c r="B3245" s="205"/>
      <c r="C3245" s="31"/>
      <c r="D3245" s="31"/>
      <c r="E3245" s="32"/>
      <c r="F3245" s="42" t="s">
        <v>514</v>
      </c>
      <c r="G3245" s="33" t="str">
        <f t="shared" si="56"/>
        <v/>
      </c>
      <c r="H3245" s="34"/>
      <c r="I3245" s="30"/>
      <c r="J3245" s="148">
        <v>5</v>
      </c>
      <c r="K3245" s="222" t="s">
        <v>8074</v>
      </c>
    </row>
    <row r="3246" spans="1:11" ht="38.25" hidden="1" x14ac:dyDescent="0.25">
      <c r="A3246" s="203"/>
      <c r="B3246" s="205"/>
      <c r="C3246" s="35" t="s">
        <v>950</v>
      </c>
      <c r="D3246" s="46" t="s">
        <v>278</v>
      </c>
      <c r="E3246" s="36">
        <v>2</v>
      </c>
      <c r="F3246" s="30">
        <v>21.716999999999999</v>
      </c>
      <c r="G3246" s="33">
        <f t="shared" si="56"/>
        <v>43.433999999999997</v>
      </c>
      <c r="H3246" s="38">
        <f>SUM(G3246:G3252)</f>
        <v>799.90529614999991</v>
      </c>
      <c r="I3246" s="39"/>
      <c r="J3246" s="148">
        <v>5</v>
      </c>
      <c r="K3246" s="222" t="s">
        <v>8074</v>
      </c>
    </row>
    <row r="3247" spans="1:11" ht="25.5" hidden="1" x14ac:dyDescent="0.25">
      <c r="A3247" s="203"/>
      <c r="B3247" s="205"/>
      <c r="C3247" s="35" t="s">
        <v>6598</v>
      </c>
      <c r="D3247" s="46" t="s">
        <v>278</v>
      </c>
      <c r="E3247" s="36">
        <v>1</v>
      </c>
      <c r="F3247" s="30">
        <v>14.3925</v>
      </c>
      <c r="G3247" s="33">
        <f t="shared" si="56"/>
        <v>14.3925</v>
      </c>
      <c r="H3247" s="34"/>
      <c r="I3247" s="30"/>
      <c r="J3247" s="148">
        <v>5</v>
      </c>
      <c r="K3247" s="222" t="s">
        <v>8074</v>
      </c>
    </row>
    <row r="3248" spans="1:11" ht="25.5" hidden="1" x14ac:dyDescent="0.25">
      <c r="A3248" s="203"/>
      <c r="B3248" s="205"/>
      <c r="C3248" s="35" t="s">
        <v>6613</v>
      </c>
      <c r="D3248" s="46" t="s">
        <v>278</v>
      </c>
      <c r="E3248" s="36">
        <v>1</v>
      </c>
      <c r="F3248" s="30">
        <v>570.16149999999993</v>
      </c>
      <c r="G3248" s="33">
        <f t="shared" si="56"/>
        <v>570.16149999999993</v>
      </c>
      <c r="H3248" s="34"/>
      <c r="I3248" s="30"/>
      <c r="J3248" s="148">
        <v>5</v>
      </c>
      <c r="K3248" s="222" t="s">
        <v>8074</v>
      </c>
    </row>
    <row r="3249" spans="1:11" hidden="1" x14ac:dyDescent="0.25">
      <c r="A3249" s="203"/>
      <c r="B3249" s="205"/>
      <c r="C3249" s="35" t="s">
        <v>3514</v>
      </c>
      <c r="D3249" s="46" t="s">
        <v>891</v>
      </c>
      <c r="E3249" s="36">
        <v>8.8099999999999998E-2</v>
      </c>
      <c r="F3249" s="30">
        <v>64.619</v>
      </c>
      <c r="G3249" s="33">
        <f t="shared" si="56"/>
        <v>5.6929338999999999</v>
      </c>
      <c r="H3249" s="34"/>
      <c r="I3249" s="30"/>
      <c r="J3249" s="148">
        <v>5</v>
      </c>
      <c r="K3249" s="222" t="s">
        <v>8074</v>
      </c>
    </row>
    <row r="3250" spans="1:11" ht="25.5" hidden="1" x14ac:dyDescent="0.25">
      <c r="A3250" s="203"/>
      <c r="B3250" s="205"/>
      <c r="C3250" s="35" t="s">
        <v>944</v>
      </c>
      <c r="D3250" s="46" t="s">
        <v>695</v>
      </c>
      <c r="E3250" s="36">
        <v>1.1539999999999999</v>
      </c>
      <c r="F3250" s="30">
        <v>24.300999999999998</v>
      </c>
      <c r="G3250" s="33">
        <f t="shared" si="56"/>
        <v>28.043353999999997</v>
      </c>
      <c r="H3250" s="34"/>
      <c r="I3250" s="30"/>
      <c r="J3250" s="148">
        <v>5</v>
      </c>
      <c r="K3250" s="222" t="s">
        <v>8074</v>
      </c>
    </row>
    <row r="3251" spans="1:11" hidden="1" x14ac:dyDescent="0.25">
      <c r="A3251" s="203"/>
      <c r="B3251" s="205"/>
      <c r="C3251" s="35" t="s">
        <v>696</v>
      </c>
      <c r="D3251" s="46" t="s">
        <v>695</v>
      </c>
      <c r="E3251" s="36">
        <v>0.55649999999999999</v>
      </c>
      <c r="F3251" s="30">
        <v>18.420500000000001</v>
      </c>
      <c r="G3251" s="33">
        <f t="shared" si="56"/>
        <v>10.25100825</v>
      </c>
      <c r="H3251" s="34"/>
      <c r="I3251" s="30"/>
      <c r="J3251" s="148">
        <v>5</v>
      </c>
      <c r="K3251" s="222" t="s">
        <v>8074</v>
      </c>
    </row>
    <row r="3252" spans="1:11" ht="25.5" hidden="1" x14ac:dyDescent="0.25">
      <c r="A3252" s="203"/>
      <c r="B3252" s="205"/>
      <c r="C3252" s="35" t="s">
        <v>301</v>
      </c>
      <c r="D3252" s="35" t="s">
        <v>20</v>
      </c>
      <c r="E3252" s="36">
        <v>1</v>
      </c>
      <c r="F3252" s="33">
        <v>127.93</v>
      </c>
      <c r="G3252" s="33">
        <f t="shared" si="56"/>
        <v>127.93</v>
      </c>
      <c r="H3252" s="34"/>
      <c r="I3252" s="30"/>
      <c r="J3252" s="148">
        <v>5</v>
      </c>
      <c r="K3252" s="222" t="s">
        <v>8074</v>
      </c>
    </row>
    <row r="3253" spans="1:11" ht="15.75" hidden="1" thickBot="1" x14ac:dyDescent="0.3">
      <c r="A3253" s="209"/>
      <c r="B3253" s="206"/>
      <c r="C3253" s="35"/>
      <c r="D3253" s="35"/>
      <c r="E3253" s="36"/>
      <c r="F3253" s="30" t="s">
        <v>514</v>
      </c>
      <c r="G3253" s="33" t="str">
        <f t="shared" si="56"/>
        <v/>
      </c>
      <c r="H3253" s="34"/>
      <c r="I3253" s="30"/>
      <c r="J3253" s="148">
        <v>5</v>
      </c>
      <c r="K3253" s="222" t="s">
        <v>8074</v>
      </c>
    </row>
    <row r="3254" spans="1:11" ht="15.75" hidden="1" thickBot="1" x14ac:dyDescent="0.3">
      <c r="A3254" s="202" t="s">
        <v>951</v>
      </c>
      <c r="B3254" s="204" t="str">
        <f>INDEX(Orçamentária!A:B,MATCH(Composições!A3254,Orçamentária!A:A,0),2)</f>
        <v>Assento para bacia convencional - Linha Acessibilidade</v>
      </c>
      <c r="C3254" s="40"/>
      <c r="D3254" s="25" t="str">
        <f>TRIM(INDEX(Orçamentária!C:C,MATCH(Composições!A3254,Orçamentária!A:A,0),1))</f>
        <v>un</v>
      </c>
      <c r="E3254" s="26"/>
      <c r="F3254" s="41" t="s">
        <v>514</v>
      </c>
      <c r="G3254" s="27" t="str">
        <f t="shared" si="56"/>
        <v/>
      </c>
      <c r="H3254" s="28"/>
      <c r="I3254" s="29"/>
      <c r="J3254" s="148">
        <v>20</v>
      </c>
      <c r="K3254" s="222" t="s">
        <v>8074</v>
      </c>
    </row>
    <row r="3255" spans="1:11" hidden="1" x14ac:dyDescent="0.25">
      <c r="A3255" s="203"/>
      <c r="B3255" s="205"/>
      <c r="C3255" s="31"/>
      <c r="D3255" s="31"/>
      <c r="E3255" s="32"/>
      <c r="F3255" s="42" t="s">
        <v>514</v>
      </c>
      <c r="G3255" s="33" t="str">
        <f t="shared" si="56"/>
        <v/>
      </c>
      <c r="H3255" s="34"/>
      <c r="I3255" s="30"/>
      <c r="J3255" s="148">
        <v>20</v>
      </c>
      <c r="K3255" s="222" t="s">
        <v>8074</v>
      </c>
    </row>
    <row r="3256" spans="1:11" ht="25.5" hidden="1" x14ac:dyDescent="0.25">
      <c r="A3256" s="203"/>
      <c r="B3256" s="205"/>
      <c r="C3256" s="35" t="s">
        <v>952</v>
      </c>
      <c r="D3256" s="46" t="s">
        <v>143</v>
      </c>
      <c r="E3256" s="36">
        <v>1</v>
      </c>
      <c r="F3256" s="30">
        <v>1271.78</v>
      </c>
      <c r="G3256" s="33">
        <f t="shared" si="56"/>
        <v>1271.78</v>
      </c>
      <c r="H3256" s="38">
        <f>SUM(G3256:G3257)</f>
        <v>1273.6220499999999</v>
      </c>
      <c r="I3256" s="39"/>
      <c r="J3256" s="148">
        <v>20</v>
      </c>
      <c r="K3256" s="222" t="s">
        <v>8074</v>
      </c>
    </row>
    <row r="3257" spans="1:11" hidden="1" x14ac:dyDescent="0.25">
      <c r="A3257" s="203"/>
      <c r="B3257" s="205"/>
      <c r="C3257" s="35" t="s">
        <v>953</v>
      </c>
      <c r="D3257" s="46" t="s">
        <v>12</v>
      </c>
      <c r="E3257" s="36">
        <v>0.1</v>
      </c>
      <c r="F3257" s="30">
        <v>18.420500000000001</v>
      </c>
      <c r="G3257" s="33">
        <f t="shared" si="56"/>
        <v>1.8420500000000002</v>
      </c>
      <c r="H3257" s="34"/>
      <c r="I3257" s="30"/>
      <c r="J3257" s="148">
        <v>20</v>
      </c>
      <c r="K3257" s="222" t="s">
        <v>8074</v>
      </c>
    </row>
    <row r="3258" spans="1:11" ht="15.75" hidden="1" thickBot="1" x14ac:dyDescent="0.3">
      <c r="A3258" s="209"/>
      <c r="B3258" s="206"/>
      <c r="C3258" s="35"/>
      <c r="D3258" s="35"/>
      <c r="E3258" s="36"/>
      <c r="F3258" s="30" t="s">
        <v>514</v>
      </c>
      <c r="G3258" s="33" t="str">
        <f t="shared" si="56"/>
        <v/>
      </c>
      <c r="H3258" s="34"/>
      <c r="I3258" s="30"/>
      <c r="J3258" s="148">
        <v>20</v>
      </c>
      <c r="K3258" s="222" t="s">
        <v>8074</v>
      </c>
    </row>
    <row r="3259" spans="1:11" ht="15.75" hidden="1" thickBot="1" x14ac:dyDescent="0.3">
      <c r="A3259" s="202" t="s">
        <v>954</v>
      </c>
      <c r="B3259" s="204" t="str">
        <f>INDEX(Orçamentária!A:B,MATCH(Composições!A3259,Orçamentária!A:A,0),2)</f>
        <v>Base registro de gaveta 1 1/2”</v>
      </c>
      <c r="C3259" s="40"/>
      <c r="D3259" s="25" t="str">
        <f>TRIM(INDEX(Orçamentária!C:C,MATCH(Composições!A3259,Orçamentária!A:A,0),1))</f>
        <v>un</v>
      </c>
      <c r="E3259" s="26"/>
      <c r="F3259" s="41" t="s">
        <v>514</v>
      </c>
      <c r="G3259" s="27" t="str">
        <f t="shared" si="56"/>
        <v/>
      </c>
      <c r="H3259" s="28"/>
      <c r="I3259" s="29"/>
      <c r="J3259" s="148">
        <v>10</v>
      </c>
      <c r="K3259" s="222" t="s">
        <v>8074</v>
      </c>
    </row>
    <row r="3260" spans="1:11" hidden="1" x14ac:dyDescent="0.25">
      <c r="A3260" s="203"/>
      <c r="B3260" s="205"/>
      <c r="C3260" s="31"/>
      <c r="D3260" s="31"/>
      <c r="E3260" s="32"/>
      <c r="F3260" s="42" t="s">
        <v>514</v>
      </c>
      <c r="G3260" s="33" t="str">
        <f t="shared" si="56"/>
        <v/>
      </c>
      <c r="H3260" s="34"/>
      <c r="I3260" s="30"/>
      <c r="J3260" s="148">
        <v>10</v>
      </c>
      <c r="K3260" s="222" t="s">
        <v>8074</v>
      </c>
    </row>
    <row r="3261" spans="1:11" ht="25.5" hidden="1" x14ac:dyDescent="0.25">
      <c r="A3261" s="203"/>
      <c r="B3261" s="205"/>
      <c r="C3261" s="35" t="s">
        <v>955</v>
      </c>
      <c r="D3261" s="46" t="s">
        <v>143</v>
      </c>
      <c r="E3261" s="36">
        <v>1</v>
      </c>
      <c r="F3261" s="30">
        <v>102.03</v>
      </c>
      <c r="G3261" s="33">
        <f t="shared" si="56"/>
        <v>102.03</v>
      </c>
      <c r="H3261" s="38">
        <f>SUM(G3261:G3264)</f>
        <v>113.7419876</v>
      </c>
      <c r="I3261" s="39"/>
      <c r="J3261" s="148">
        <v>10</v>
      </c>
      <c r="K3261" s="222" t="s">
        <v>8074</v>
      </c>
    </row>
    <row r="3262" spans="1:11" hidden="1" x14ac:dyDescent="0.25">
      <c r="A3262" s="203"/>
      <c r="B3262" s="205"/>
      <c r="C3262" s="35" t="s">
        <v>317</v>
      </c>
      <c r="D3262" s="46" t="s">
        <v>278</v>
      </c>
      <c r="E3262" s="36">
        <v>1.9199999999999998E-2</v>
      </c>
      <c r="F3262" s="30">
        <v>14.8865</v>
      </c>
      <c r="G3262" s="33">
        <f t="shared" si="56"/>
        <v>0.28582079999999999</v>
      </c>
      <c r="H3262" s="34"/>
      <c r="I3262" s="30"/>
      <c r="J3262" s="148">
        <v>10</v>
      </c>
      <c r="K3262" s="222" t="s">
        <v>8074</v>
      </c>
    </row>
    <row r="3263" spans="1:11" hidden="1" x14ac:dyDescent="0.25">
      <c r="A3263" s="203"/>
      <c r="B3263" s="205"/>
      <c r="C3263" s="35" t="s">
        <v>39</v>
      </c>
      <c r="D3263" s="46" t="s">
        <v>12</v>
      </c>
      <c r="E3263" s="36">
        <v>0.26329999999999998</v>
      </c>
      <c r="F3263" s="30">
        <v>24.300999999999998</v>
      </c>
      <c r="G3263" s="33">
        <f t="shared" si="56"/>
        <v>6.398453299999999</v>
      </c>
      <c r="H3263" s="34"/>
      <c r="I3263" s="30"/>
      <c r="J3263" s="148">
        <v>10</v>
      </c>
      <c r="K3263" s="222" t="s">
        <v>8074</v>
      </c>
    </row>
    <row r="3264" spans="1:11" ht="25.5" hidden="1" x14ac:dyDescent="0.25">
      <c r="A3264" s="203"/>
      <c r="B3264" s="205"/>
      <c r="C3264" s="35" t="s">
        <v>943</v>
      </c>
      <c r="D3264" s="35" t="s">
        <v>12</v>
      </c>
      <c r="E3264" s="36">
        <v>0.26329999999999998</v>
      </c>
      <c r="F3264" s="30">
        <v>19.094999999999999</v>
      </c>
      <c r="G3264" s="33">
        <f t="shared" si="56"/>
        <v>5.0277134999999991</v>
      </c>
      <c r="H3264" s="34"/>
      <c r="I3264" s="30"/>
      <c r="J3264" s="148">
        <v>10</v>
      </c>
      <c r="K3264" s="222" t="s">
        <v>8074</v>
      </c>
    </row>
    <row r="3265" spans="1:11" ht="15.75" hidden="1" thickBot="1" x14ac:dyDescent="0.3">
      <c r="A3265" s="209"/>
      <c r="B3265" s="206"/>
      <c r="C3265" s="35"/>
      <c r="D3265" s="35"/>
      <c r="E3265" s="36"/>
      <c r="F3265" s="30" t="s">
        <v>514</v>
      </c>
      <c r="G3265" s="33" t="str">
        <f t="shared" si="56"/>
        <v/>
      </c>
      <c r="H3265" s="34"/>
      <c r="I3265" s="30"/>
      <c r="J3265" s="148">
        <v>10</v>
      </c>
      <c r="K3265" s="222" t="s">
        <v>8074</v>
      </c>
    </row>
    <row r="3266" spans="1:11" ht="15.75" hidden="1" thickBot="1" x14ac:dyDescent="0.3">
      <c r="A3266" s="202" t="s">
        <v>956</v>
      </c>
      <c r="B3266" s="204" t="str">
        <f>INDEX(Orçamentária!A:B,MATCH(Composições!A3266,Orçamentária!A:A,0),2)</f>
        <v>Condutor 25 mm²</v>
      </c>
      <c r="C3266" s="40"/>
      <c r="D3266" s="25" t="str">
        <f>TRIM(INDEX(Orçamentária!C:C,MATCH(Composições!A3266,Orçamentária!A:A,0),1))</f>
        <v>m</v>
      </c>
      <c r="E3266" s="26"/>
      <c r="F3266" s="41" t="s">
        <v>514</v>
      </c>
      <c r="G3266" s="27" t="str">
        <f t="shared" si="56"/>
        <v/>
      </c>
      <c r="H3266" s="28"/>
      <c r="I3266" s="29"/>
      <c r="J3266" s="148">
        <v>0</v>
      </c>
      <c r="K3266" s="222">
        <v>0</v>
      </c>
    </row>
    <row r="3267" spans="1:11" hidden="1" x14ac:dyDescent="0.25">
      <c r="A3267" s="203"/>
      <c r="B3267" s="205"/>
      <c r="C3267" s="31"/>
      <c r="D3267" s="31"/>
      <c r="E3267" s="32"/>
      <c r="F3267" s="42" t="s">
        <v>514</v>
      </c>
      <c r="G3267" s="33" t="str">
        <f t="shared" si="56"/>
        <v/>
      </c>
      <c r="H3267" s="34"/>
      <c r="I3267" s="30"/>
      <c r="J3267" s="148">
        <v>0</v>
      </c>
      <c r="K3267" s="222">
        <v>0</v>
      </c>
    </row>
    <row r="3268" spans="1:11" hidden="1" x14ac:dyDescent="0.25">
      <c r="A3268" s="203"/>
      <c r="B3268" s="205"/>
      <c r="C3268" s="35" t="s">
        <v>957</v>
      </c>
      <c r="D3268" s="35" t="s">
        <v>92</v>
      </c>
      <c r="E3268" s="36">
        <v>1.0149999999999999</v>
      </c>
      <c r="F3268" s="30">
        <v>0</v>
      </c>
      <c r="G3268" s="33">
        <f t="shared" si="56"/>
        <v>0</v>
      </c>
      <c r="H3268" s="38">
        <f>SUM(G3268:G3271)</f>
        <v>2.8899949999999999</v>
      </c>
      <c r="I3268" s="39"/>
      <c r="J3268" s="148">
        <v>0</v>
      </c>
      <c r="K3268" s="222">
        <v>0</v>
      </c>
    </row>
    <row r="3269" spans="1:11" hidden="1" x14ac:dyDescent="0.25">
      <c r="A3269" s="203"/>
      <c r="B3269" s="205"/>
      <c r="C3269" s="35" t="s">
        <v>546</v>
      </c>
      <c r="D3269" s="46" t="s">
        <v>278</v>
      </c>
      <c r="E3269" s="36">
        <v>8.9999999999999993E-3</v>
      </c>
      <c r="F3269" s="30">
        <v>4.2749999999999995</v>
      </c>
      <c r="G3269" s="33">
        <f t="shared" si="56"/>
        <v>3.8474999999999995E-2</v>
      </c>
      <c r="H3269" s="34"/>
      <c r="I3269" s="30"/>
      <c r="J3269" s="148">
        <v>0</v>
      </c>
      <c r="K3269" s="222">
        <v>0</v>
      </c>
    </row>
    <row r="3270" spans="1:11" hidden="1" x14ac:dyDescent="0.25">
      <c r="A3270" s="203"/>
      <c r="B3270" s="205"/>
      <c r="C3270" s="35" t="s">
        <v>74</v>
      </c>
      <c r="D3270" s="35" t="s">
        <v>12</v>
      </c>
      <c r="E3270" s="36">
        <v>6.4000000000000001E-2</v>
      </c>
      <c r="F3270" s="30">
        <v>19.4085</v>
      </c>
      <c r="G3270" s="33">
        <f t="shared" si="56"/>
        <v>1.2421440000000001</v>
      </c>
      <c r="H3270" s="34"/>
      <c r="I3270" s="30"/>
      <c r="J3270" s="148">
        <v>0</v>
      </c>
      <c r="K3270" s="222">
        <v>0</v>
      </c>
    </row>
    <row r="3271" spans="1:11" hidden="1" x14ac:dyDescent="0.25">
      <c r="A3271" s="203"/>
      <c r="B3271" s="205"/>
      <c r="C3271" s="35" t="s">
        <v>30</v>
      </c>
      <c r="D3271" s="35" t="s">
        <v>12</v>
      </c>
      <c r="E3271" s="36">
        <v>6.4000000000000001E-2</v>
      </c>
      <c r="F3271" s="30">
        <v>25.146499999999996</v>
      </c>
      <c r="G3271" s="33">
        <f t="shared" si="56"/>
        <v>1.6093759999999997</v>
      </c>
      <c r="H3271" s="34"/>
      <c r="I3271" s="30"/>
      <c r="J3271" s="148">
        <v>0</v>
      </c>
      <c r="K3271" s="222">
        <v>0</v>
      </c>
    </row>
    <row r="3272" spans="1:11" ht="15.75" hidden="1" thickBot="1" x14ac:dyDescent="0.3">
      <c r="A3272" s="209"/>
      <c r="B3272" s="206"/>
      <c r="C3272" s="35"/>
      <c r="D3272" s="35"/>
      <c r="E3272" s="36"/>
      <c r="F3272" s="30" t="s">
        <v>514</v>
      </c>
      <c r="G3272" s="33" t="str">
        <f t="shared" si="56"/>
        <v/>
      </c>
      <c r="H3272" s="34"/>
      <c r="I3272" s="30"/>
      <c r="J3272" s="148">
        <v>0</v>
      </c>
      <c r="K3272" s="222">
        <v>0</v>
      </c>
    </row>
    <row r="3273" spans="1:11" ht="15.75" hidden="1" thickBot="1" x14ac:dyDescent="0.3">
      <c r="A3273" s="202" t="s">
        <v>958</v>
      </c>
      <c r="B3273" s="204" t="str">
        <f>INDEX(Orçamentária!A:B,MATCH(Composições!A3273,Orçamentária!A:A,0),2)</f>
        <v>Condutor 35 mm²</v>
      </c>
      <c r="C3273" s="40"/>
      <c r="D3273" s="25" t="str">
        <f>TRIM(INDEX(Orçamentária!C:C,MATCH(Composições!A3273,Orçamentária!A:A,0),1))</f>
        <v>m</v>
      </c>
      <c r="E3273" s="26"/>
      <c r="F3273" s="41" t="s">
        <v>514</v>
      </c>
      <c r="G3273" s="27" t="str">
        <f t="shared" si="56"/>
        <v/>
      </c>
      <c r="H3273" s="28"/>
      <c r="I3273" s="29"/>
      <c r="J3273" s="148">
        <v>0</v>
      </c>
      <c r="K3273" s="222">
        <v>0</v>
      </c>
    </row>
    <row r="3274" spans="1:11" hidden="1" x14ac:dyDescent="0.25">
      <c r="A3274" s="203"/>
      <c r="B3274" s="205"/>
      <c r="C3274" s="31"/>
      <c r="D3274" s="31"/>
      <c r="E3274" s="32"/>
      <c r="F3274" s="42" t="s">
        <v>514</v>
      </c>
      <c r="G3274" s="33" t="str">
        <f t="shared" si="56"/>
        <v/>
      </c>
      <c r="H3274" s="34"/>
      <c r="I3274" s="30"/>
      <c r="J3274" s="148">
        <v>0</v>
      </c>
      <c r="K3274" s="222">
        <v>0</v>
      </c>
    </row>
    <row r="3275" spans="1:11" hidden="1" x14ac:dyDescent="0.25">
      <c r="A3275" s="203"/>
      <c r="B3275" s="205"/>
      <c r="C3275" s="35" t="s">
        <v>959</v>
      </c>
      <c r="D3275" s="35" t="s">
        <v>92</v>
      </c>
      <c r="E3275" s="36">
        <v>1.0149999999999999</v>
      </c>
      <c r="F3275" s="30">
        <v>0</v>
      </c>
      <c r="G3275" s="33">
        <f t="shared" si="56"/>
        <v>0</v>
      </c>
      <c r="H3275" s="38">
        <f>SUM(G3275:G3278)</f>
        <v>3.2909899999999994</v>
      </c>
      <c r="I3275" s="39"/>
      <c r="J3275" s="148">
        <v>0</v>
      </c>
      <c r="K3275" s="222">
        <v>0</v>
      </c>
    </row>
    <row r="3276" spans="1:11" hidden="1" x14ac:dyDescent="0.25">
      <c r="A3276" s="203"/>
      <c r="B3276" s="205"/>
      <c r="C3276" s="35" t="s">
        <v>546</v>
      </c>
      <c r="D3276" s="46" t="s">
        <v>278</v>
      </c>
      <c r="E3276" s="36">
        <v>8.9999999999999993E-3</v>
      </c>
      <c r="F3276" s="30">
        <v>4.2749999999999995</v>
      </c>
      <c r="G3276" s="33">
        <f t="shared" si="56"/>
        <v>3.8474999999999995E-2</v>
      </c>
      <c r="H3276" s="34"/>
      <c r="I3276" s="30"/>
      <c r="J3276" s="148">
        <v>0</v>
      </c>
      <c r="K3276" s="222">
        <v>0</v>
      </c>
    </row>
    <row r="3277" spans="1:11" hidden="1" x14ac:dyDescent="0.25">
      <c r="A3277" s="203"/>
      <c r="B3277" s="205"/>
      <c r="C3277" s="35" t="s">
        <v>74</v>
      </c>
      <c r="D3277" s="35" t="s">
        <v>12</v>
      </c>
      <c r="E3277" s="36">
        <v>7.2999999999999995E-2</v>
      </c>
      <c r="F3277" s="30">
        <v>19.4085</v>
      </c>
      <c r="G3277" s="33">
        <f t="shared" si="56"/>
        <v>1.4168204999999998</v>
      </c>
      <c r="H3277" s="34"/>
      <c r="I3277" s="30"/>
      <c r="J3277" s="148">
        <v>0</v>
      </c>
      <c r="K3277" s="222">
        <v>0</v>
      </c>
    </row>
    <row r="3278" spans="1:11" hidden="1" x14ac:dyDescent="0.25">
      <c r="A3278" s="203"/>
      <c r="B3278" s="205"/>
      <c r="C3278" s="35" t="s">
        <v>30</v>
      </c>
      <c r="D3278" s="35" t="s">
        <v>12</v>
      </c>
      <c r="E3278" s="36">
        <v>7.2999999999999995E-2</v>
      </c>
      <c r="F3278" s="30">
        <v>25.146499999999996</v>
      </c>
      <c r="G3278" s="33">
        <f t="shared" si="56"/>
        <v>1.8356944999999996</v>
      </c>
      <c r="H3278" s="34"/>
      <c r="I3278" s="30"/>
      <c r="J3278" s="148">
        <v>0</v>
      </c>
      <c r="K3278" s="222">
        <v>0</v>
      </c>
    </row>
    <row r="3279" spans="1:11" ht="15.75" hidden="1" thickBot="1" x14ac:dyDescent="0.3">
      <c r="A3279" s="209"/>
      <c r="B3279" s="206"/>
      <c r="C3279" s="35"/>
      <c r="D3279" s="35"/>
      <c r="E3279" s="36"/>
      <c r="F3279" s="30" t="s">
        <v>514</v>
      </c>
      <c r="G3279" s="33" t="str">
        <f t="shared" si="56"/>
        <v/>
      </c>
      <c r="H3279" s="34"/>
      <c r="I3279" s="30"/>
      <c r="J3279" s="148">
        <v>0</v>
      </c>
      <c r="K3279" s="222">
        <v>0</v>
      </c>
    </row>
    <row r="3280" spans="1:11" ht="15.75" hidden="1" thickBot="1" x14ac:dyDescent="0.3">
      <c r="A3280" s="202" t="s">
        <v>960</v>
      </c>
      <c r="B3280" s="204" t="str">
        <f>INDEX(Orçamentária!A:B,MATCH(Composições!A3280,Orçamentária!A:A,0),2)</f>
        <v>Condutor 50 mm²</v>
      </c>
      <c r="C3280" s="40"/>
      <c r="D3280" s="25" t="str">
        <f>TRIM(INDEX(Orçamentária!C:C,MATCH(Composições!A3280,Orçamentária!A:A,0),1))</f>
        <v>m</v>
      </c>
      <c r="E3280" s="26"/>
      <c r="F3280" s="41" t="s">
        <v>514</v>
      </c>
      <c r="G3280" s="27" t="str">
        <f t="shared" si="56"/>
        <v/>
      </c>
      <c r="H3280" s="28"/>
      <c r="I3280" s="29"/>
      <c r="J3280" s="148">
        <v>0</v>
      </c>
      <c r="K3280" s="222">
        <v>0</v>
      </c>
    </row>
    <row r="3281" spans="1:11" hidden="1" x14ac:dyDescent="0.25">
      <c r="A3281" s="203"/>
      <c r="B3281" s="205"/>
      <c r="C3281" s="31"/>
      <c r="D3281" s="31"/>
      <c r="E3281" s="32"/>
      <c r="F3281" s="42" t="s">
        <v>514</v>
      </c>
      <c r="G3281" s="33" t="str">
        <f t="shared" si="56"/>
        <v/>
      </c>
      <c r="H3281" s="34"/>
      <c r="I3281" s="30"/>
      <c r="J3281" s="148">
        <v>0</v>
      </c>
      <c r="K3281" s="222">
        <v>0</v>
      </c>
    </row>
    <row r="3282" spans="1:11" hidden="1" x14ac:dyDescent="0.25">
      <c r="A3282" s="203"/>
      <c r="B3282" s="205"/>
      <c r="C3282" s="35" t="s">
        <v>961</v>
      </c>
      <c r="D3282" s="35" t="s">
        <v>92</v>
      </c>
      <c r="E3282" s="36">
        <v>1.0149999999999999</v>
      </c>
      <c r="F3282" s="30">
        <v>0</v>
      </c>
      <c r="G3282" s="33">
        <f t="shared" si="56"/>
        <v>0</v>
      </c>
      <c r="H3282" s="38">
        <f>SUM(G3282:G3285)</f>
        <v>3.9147599999999994</v>
      </c>
      <c r="I3282" s="39"/>
      <c r="J3282" s="148">
        <v>0</v>
      </c>
      <c r="K3282" s="222">
        <v>0</v>
      </c>
    </row>
    <row r="3283" spans="1:11" hidden="1" x14ac:dyDescent="0.25">
      <c r="A3283" s="203"/>
      <c r="B3283" s="205"/>
      <c r="C3283" s="35" t="s">
        <v>546</v>
      </c>
      <c r="D3283" s="46" t="s">
        <v>278</v>
      </c>
      <c r="E3283" s="36">
        <v>8.9999999999999993E-3</v>
      </c>
      <c r="F3283" s="30">
        <v>4.2749999999999995</v>
      </c>
      <c r="G3283" s="33">
        <f t="shared" si="56"/>
        <v>3.8474999999999995E-2</v>
      </c>
      <c r="H3283" s="34"/>
      <c r="I3283" s="30"/>
      <c r="J3283" s="148">
        <v>0</v>
      </c>
      <c r="K3283" s="222">
        <v>0</v>
      </c>
    </row>
    <row r="3284" spans="1:11" hidden="1" x14ac:dyDescent="0.25">
      <c r="A3284" s="203"/>
      <c r="B3284" s="205"/>
      <c r="C3284" s="35" t="s">
        <v>74</v>
      </c>
      <c r="D3284" s="35" t="s">
        <v>12</v>
      </c>
      <c r="E3284" s="36">
        <v>8.6999999999999994E-2</v>
      </c>
      <c r="F3284" s="30">
        <v>19.4085</v>
      </c>
      <c r="G3284" s="33">
        <f t="shared" si="56"/>
        <v>1.6885394999999999</v>
      </c>
      <c r="H3284" s="34"/>
      <c r="I3284" s="30"/>
      <c r="J3284" s="148">
        <v>0</v>
      </c>
      <c r="K3284" s="222">
        <v>0</v>
      </c>
    </row>
    <row r="3285" spans="1:11" hidden="1" x14ac:dyDescent="0.25">
      <c r="A3285" s="203"/>
      <c r="B3285" s="205"/>
      <c r="C3285" s="35" t="s">
        <v>30</v>
      </c>
      <c r="D3285" s="35" t="s">
        <v>12</v>
      </c>
      <c r="E3285" s="36">
        <v>8.6999999999999994E-2</v>
      </c>
      <c r="F3285" s="30">
        <v>25.146499999999996</v>
      </c>
      <c r="G3285" s="33">
        <f t="shared" si="56"/>
        <v>2.1877454999999997</v>
      </c>
      <c r="H3285" s="34"/>
      <c r="I3285" s="30"/>
      <c r="J3285" s="148">
        <v>0</v>
      </c>
      <c r="K3285" s="222">
        <v>0</v>
      </c>
    </row>
    <row r="3286" spans="1:11" ht="15.75" hidden="1" thickBot="1" x14ac:dyDescent="0.3">
      <c r="A3286" s="209"/>
      <c r="B3286" s="206"/>
      <c r="C3286" s="35"/>
      <c r="D3286" s="35"/>
      <c r="E3286" s="36"/>
      <c r="F3286" s="30" t="s">
        <v>514</v>
      </c>
      <c r="G3286" s="33" t="str">
        <f t="shared" si="56"/>
        <v/>
      </c>
      <c r="H3286" s="34"/>
      <c r="I3286" s="30"/>
      <c r="J3286" s="148">
        <v>0</v>
      </c>
      <c r="K3286" s="222">
        <v>0</v>
      </c>
    </row>
    <row r="3287" spans="1:11" ht="15.75" hidden="1" thickBot="1" x14ac:dyDescent="0.3">
      <c r="A3287" s="202" t="s">
        <v>962</v>
      </c>
      <c r="B3287" s="204" t="str">
        <f>INDEX(Orçamentária!A:B,MATCH(Composições!A3287,Orçamentária!A:A,0),2)</f>
        <v>Condutor 70 mm²</v>
      </c>
      <c r="C3287" s="40"/>
      <c r="D3287" s="25" t="str">
        <f>TRIM(INDEX(Orçamentária!C:C,MATCH(Composições!A3287,Orçamentária!A:A,0),1))</f>
        <v>m</v>
      </c>
      <c r="E3287" s="26"/>
      <c r="F3287" s="41" t="s">
        <v>514</v>
      </c>
      <c r="G3287" s="27" t="str">
        <f t="shared" si="56"/>
        <v/>
      </c>
      <c r="H3287" s="28"/>
      <c r="I3287" s="29"/>
      <c r="J3287" s="148">
        <v>0</v>
      </c>
      <c r="K3287" s="222">
        <v>0</v>
      </c>
    </row>
    <row r="3288" spans="1:11" hidden="1" x14ac:dyDescent="0.25">
      <c r="A3288" s="203"/>
      <c r="B3288" s="205"/>
      <c r="C3288" s="31"/>
      <c r="D3288" s="31"/>
      <c r="E3288" s="32"/>
      <c r="F3288" s="42" t="s">
        <v>514</v>
      </c>
      <c r="G3288" s="33" t="str">
        <f t="shared" si="56"/>
        <v/>
      </c>
      <c r="H3288" s="34"/>
      <c r="I3288" s="30"/>
      <c r="J3288" s="148">
        <v>0</v>
      </c>
      <c r="K3288" s="222">
        <v>0</v>
      </c>
    </row>
    <row r="3289" spans="1:11" hidden="1" x14ac:dyDescent="0.25">
      <c r="A3289" s="203"/>
      <c r="B3289" s="205"/>
      <c r="C3289" s="35" t="s">
        <v>963</v>
      </c>
      <c r="D3289" s="35" t="s">
        <v>92</v>
      </c>
      <c r="E3289" s="36">
        <v>1.0149999999999999</v>
      </c>
      <c r="F3289" s="30">
        <v>0</v>
      </c>
      <c r="G3289" s="33">
        <f t="shared" si="56"/>
        <v>0</v>
      </c>
      <c r="H3289" s="38">
        <f>SUM(G3289:G3292)</f>
        <v>4.7167499999999993</v>
      </c>
      <c r="I3289" s="39"/>
      <c r="J3289" s="148">
        <v>0</v>
      </c>
      <c r="K3289" s="222">
        <v>0</v>
      </c>
    </row>
    <row r="3290" spans="1:11" hidden="1" x14ac:dyDescent="0.25">
      <c r="A3290" s="203"/>
      <c r="B3290" s="205"/>
      <c r="C3290" s="35" t="s">
        <v>546</v>
      </c>
      <c r="D3290" s="46" t="s">
        <v>278</v>
      </c>
      <c r="E3290" s="36">
        <v>8.9999999999999993E-3</v>
      </c>
      <c r="F3290" s="30">
        <v>4.2749999999999995</v>
      </c>
      <c r="G3290" s="33">
        <f t="shared" si="56"/>
        <v>3.8474999999999995E-2</v>
      </c>
      <c r="H3290" s="34"/>
      <c r="I3290" s="30"/>
      <c r="J3290" s="148">
        <v>0</v>
      </c>
      <c r="K3290" s="222">
        <v>0</v>
      </c>
    </row>
    <row r="3291" spans="1:11" hidden="1" x14ac:dyDescent="0.25">
      <c r="A3291" s="203"/>
      <c r="B3291" s="205"/>
      <c r="C3291" s="35" t="s">
        <v>74</v>
      </c>
      <c r="D3291" s="35" t="s">
        <v>12</v>
      </c>
      <c r="E3291" s="36">
        <v>0.105</v>
      </c>
      <c r="F3291" s="30">
        <v>19.4085</v>
      </c>
      <c r="G3291" s="33">
        <f t="shared" si="56"/>
        <v>2.0378924999999999</v>
      </c>
      <c r="H3291" s="34"/>
      <c r="I3291" s="30"/>
      <c r="J3291" s="148">
        <v>0</v>
      </c>
      <c r="K3291" s="222">
        <v>0</v>
      </c>
    </row>
    <row r="3292" spans="1:11" hidden="1" x14ac:dyDescent="0.25">
      <c r="A3292" s="203"/>
      <c r="B3292" s="205"/>
      <c r="C3292" s="35" t="s">
        <v>30</v>
      </c>
      <c r="D3292" s="35" t="s">
        <v>12</v>
      </c>
      <c r="E3292" s="36">
        <v>0.105</v>
      </c>
      <c r="F3292" s="30">
        <v>25.146499999999996</v>
      </c>
      <c r="G3292" s="33">
        <f t="shared" si="56"/>
        <v>2.6403824999999994</v>
      </c>
      <c r="H3292" s="34"/>
      <c r="I3292" s="30"/>
      <c r="J3292" s="148">
        <v>0</v>
      </c>
      <c r="K3292" s="222">
        <v>0</v>
      </c>
    </row>
    <row r="3293" spans="1:11" ht="15.75" hidden="1" thickBot="1" x14ac:dyDescent="0.3">
      <c r="A3293" s="209"/>
      <c r="B3293" s="206"/>
      <c r="C3293" s="35"/>
      <c r="D3293" s="35"/>
      <c r="E3293" s="36"/>
      <c r="F3293" s="30" t="s">
        <v>514</v>
      </c>
      <c r="G3293" s="33" t="str">
        <f t="shared" si="56"/>
        <v/>
      </c>
      <c r="H3293" s="34"/>
      <c r="I3293" s="30"/>
      <c r="J3293" s="148">
        <v>0</v>
      </c>
      <c r="K3293" s="222">
        <v>0</v>
      </c>
    </row>
    <row r="3294" spans="1:11" ht="15.75" hidden="1" thickBot="1" x14ac:dyDescent="0.3">
      <c r="A3294" s="202" t="s">
        <v>964</v>
      </c>
      <c r="B3294" s="204" t="str">
        <f>INDEX(Orçamentária!A:B,MATCH(Composições!A3294,Orçamentária!A:A,0),2)</f>
        <v>Condutor 95 mm²</v>
      </c>
      <c r="C3294" s="40"/>
      <c r="D3294" s="25" t="str">
        <f>TRIM(INDEX(Orçamentária!C:C,MATCH(Composições!A3294,Orçamentária!A:A,0),1))</f>
        <v>m</v>
      </c>
      <c r="E3294" s="26"/>
      <c r="F3294" s="41" t="s">
        <v>514</v>
      </c>
      <c r="G3294" s="27" t="str">
        <f t="shared" si="56"/>
        <v/>
      </c>
      <c r="H3294" s="28"/>
      <c r="I3294" s="29"/>
      <c r="J3294" s="148">
        <v>0</v>
      </c>
      <c r="K3294" s="222">
        <v>0</v>
      </c>
    </row>
    <row r="3295" spans="1:11" hidden="1" x14ac:dyDescent="0.25">
      <c r="A3295" s="203"/>
      <c r="B3295" s="205"/>
      <c r="C3295" s="31"/>
      <c r="D3295" s="31"/>
      <c r="E3295" s="32"/>
      <c r="F3295" s="42" t="s">
        <v>514</v>
      </c>
      <c r="G3295" s="33" t="str">
        <f t="shared" si="56"/>
        <v/>
      </c>
      <c r="H3295" s="34"/>
      <c r="I3295" s="30"/>
      <c r="J3295" s="148">
        <v>0</v>
      </c>
      <c r="K3295" s="222">
        <v>0</v>
      </c>
    </row>
    <row r="3296" spans="1:11" hidden="1" x14ac:dyDescent="0.25">
      <c r="A3296" s="203"/>
      <c r="B3296" s="205"/>
      <c r="C3296" s="35" t="s">
        <v>965</v>
      </c>
      <c r="D3296" s="35" t="s">
        <v>92</v>
      </c>
      <c r="E3296" s="36">
        <v>1.0149999999999999</v>
      </c>
      <c r="F3296" s="30">
        <v>0</v>
      </c>
      <c r="G3296" s="33">
        <f t="shared" si="56"/>
        <v>0</v>
      </c>
      <c r="H3296" s="38">
        <f>SUM(G3296:G3299)</f>
        <v>5.7415149999999997</v>
      </c>
      <c r="I3296" s="39"/>
      <c r="J3296" s="148">
        <v>0</v>
      </c>
      <c r="K3296" s="222">
        <v>0</v>
      </c>
    </row>
    <row r="3297" spans="1:11" hidden="1" x14ac:dyDescent="0.25">
      <c r="A3297" s="203"/>
      <c r="B3297" s="205"/>
      <c r="C3297" s="35" t="s">
        <v>546</v>
      </c>
      <c r="D3297" s="46" t="s">
        <v>278</v>
      </c>
      <c r="E3297" s="36">
        <v>8.9999999999999993E-3</v>
      </c>
      <c r="F3297" s="30">
        <v>4.2749999999999995</v>
      </c>
      <c r="G3297" s="33">
        <f t="shared" si="56"/>
        <v>3.8474999999999995E-2</v>
      </c>
      <c r="H3297" s="34"/>
      <c r="I3297" s="30"/>
      <c r="J3297" s="148">
        <v>0</v>
      </c>
      <c r="K3297" s="222">
        <v>0</v>
      </c>
    </row>
    <row r="3298" spans="1:11" hidden="1" x14ac:dyDescent="0.25">
      <c r="A3298" s="203"/>
      <c r="B3298" s="205"/>
      <c r="C3298" s="35" t="s">
        <v>74</v>
      </c>
      <c r="D3298" s="35" t="s">
        <v>12</v>
      </c>
      <c r="E3298" s="36">
        <v>0.128</v>
      </c>
      <c r="F3298" s="30">
        <v>19.4085</v>
      </c>
      <c r="G3298" s="33">
        <f t="shared" si="56"/>
        <v>2.4842880000000003</v>
      </c>
      <c r="H3298" s="34"/>
      <c r="I3298" s="30"/>
      <c r="J3298" s="148">
        <v>0</v>
      </c>
      <c r="K3298" s="222">
        <v>0</v>
      </c>
    </row>
    <row r="3299" spans="1:11" hidden="1" x14ac:dyDescent="0.25">
      <c r="A3299" s="203"/>
      <c r="B3299" s="205"/>
      <c r="C3299" s="35" t="s">
        <v>30</v>
      </c>
      <c r="D3299" s="35" t="s">
        <v>12</v>
      </c>
      <c r="E3299" s="36">
        <v>0.128</v>
      </c>
      <c r="F3299" s="30">
        <v>25.146499999999996</v>
      </c>
      <c r="G3299" s="33">
        <f t="shared" si="56"/>
        <v>3.2187519999999994</v>
      </c>
      <c r="H3299" s="34"/>
      <c r="I3299" s="30"/>
      <c r="J3299" s="148">
        <v>0</v>
      </c>
      <c r="K3299" s="222">
        <v>0</v>
      </c>
    </row>
    <row r="3300" spans="1:11" ht="15.75" hidden="1" thickBot="1" x14ac:dyDescent="0.3">
      <c r="A3300" s="209"/>
      <c r="B3300" s="206"/>
      <c r="C3300" s="35"/>
      <c r="D3300" s="35"/>
      <c r="E3300" s="36"/>
      <c r="F3300" s="30" t="s">
        <v>514</v>
      </c>
      <c r="G3300" s="33" t="str">
        <f t="shared" si="56"/>
        <v/>
      </c>
      <c r="H3300" s="34"/>
      <c r="I3300" s="30"/>
      <c r="J3300" s="148">
        <v>0</v>
      </c>
      <c r="K3300" s="222">
        <v>0</v>
      </c>
    </row>
    <row r="3301" spans="1:11" ht="15.75" hidden="1" thickBot="1" x14ac:dyDescent="0.3">
      <c r="A3301" s="202" t="s">
        <v>966</v>
      </c>
      <c r="B3301" s="204" t="str">
        <f>INDEX(Orçamentária!A:B,MATCH(Composições!A3301,Orçamentária!A:A,0),2)</f>
        <v>Condutor 120 mm²</v>
      </c>
      <c r="C3301" s="40"/>
      <c r="D3301" s="25" t="str">
        <f>TRIM(INDEX(Orçamentária!C:C,MATCH(Composições!A3301,Orçamentária!A:A,0),1))</f>
        <v>m</v>
      </c>
      <c r="E3301" s="26"/>
      <c r="F3301" s="41" t="s">
        <v>514</v>
      </c>
      <c r="G3301" s="27" t="str">
        <f t="shared" si="56"/>
        <v/>
      </c>
      <c r="H3301" s="28"/>
      <c r="I3301" s="29"/>
      <c r="J3301" s="148">
        <v>0</v>
      </c>
      <c r="K3301" s="222">
        <v>0</v>
      </c>
    </row>
    <row r="3302" spans="1:11" hidden="1" x14ac:dyDescent="0.25">
      <c r="A3302" s="203"/>
      <c r="B3302" s="205"/>
      <c r="C3302" s="31"/>
      <c r="D3302" s="31"/>
      <c r="E3302" s="32"/>
      <c r="F3302" s="42" t="s">
        <v>514</v>
      </c>
      <c r="G3302" s="33" t="str">
        <f t="shared" si="56"/>
        <v/>
      </c>
      <c r="H3302" s="34"/>
      <c r="I3302" s="30"/>
      <c r="J3302" s="148">
        <v>0</v>
      </c>
      <c r="K3302" s="222">
        <v>0</v>
      </c>
    </row>
    <row r="3303" spans="1:11" hidden="1" x14ac:dyDescent="0.25">
      <c r="A3303" s="203"/>
      <c r="B3303" s="205"/>
      <c r="C3303" s="35" t="s">
        <v>967</v>
      </c>
      <c r="D3303" s="35" t="s">
        <v>92</v>
      </c>
      <c r="E3303" s="36">
        <v>1.0149999999999999</v>
      </c>
      <c r="F3303" s="30">
        <v>0</v>
      </c>
      <c r="G3303" s="33">
        <f t="shared" si="56"/>
        <v>0</v>
      </c>
      <c r="H3303" s="38">
        <f>SUM(G3303:G3306)</f>
        <v>6.8108349999999991</v>
      </c>
      <c r="I3303" s="39"/>
      <c r="J3303" s="148">
        <v>0</v>
      </c>
      <c r="K3303" s="222">
        <v>0</v>
      </c>
    </row>
    <row r="3304" spans="1:11" hidden="1" x14ac:dyDescent="0.25">
      <c r="A3304" s="203"/>
      <c r="B3304" s="205"/>
      <c r="C3304" s="35" t="s">
        <v>546</v>
      </c>
      <c r="D3304" s="46" t="s">
        <v>278</v>
      </c>
      <c r="E3304" s="36">
        <v>8.9999999999999993E-3</v>
      </c>
      <c r="F3304" s="30">
        <v>4.2749999999999995</v>
      </c>
      <c r="G3304" s="33">
        <f t="shared" si="56"/>
        <v>3.8474999999999995E-2</v>
      </c>
      <c r="H3304" s="34"/>
      <c r="I3304" s="30"/>
      <c r="J3304" s="148">
        <v>0</v>
      </c>
      <c r="K3304" s="222">
        <v>0</v>
      </c>
    </row>
    <row r="3305" spans="1:11" hidden="1" x14ac:dyDescent="0.25">
      <c r="A3305" s="203"/>
      <c r="B3305" s="205"/>
      <c r="C3305" s="35" t="s">
        <v>74</v>
      </c>
      <c r="D3305" s="35" t="s">
        <v>12</v>
      </c>
      <c r="E3305" s="36">
        <v>0.152</v>
      </c>
      <c r="F3305" s="30">
        <v>19.4085</v>
      </c>
      <c r="G3305" s="33">
        <f t="shared" si="56"/>
        <v>2.9500920000000002</v>
      </c>
      <c r="H3305" s="34"/>
      <c r="I3305" s="30"/>
      <c r="J3305" s="148">
        <v>0</v>
      </c>
      <c r="K3305" s="222">
        <v>0</v>
      </c>
    </row>
    <row r="3306" spans="1:11" hidden="1" x14ac:dyDescent="0.25">
      <c r="A3306" s="203"/>
      <c r="B3306" s="205"/>
      <c r="C3306" s="35" t="s">
        <v>30</v>
      </c>
      <c r="D3306" s="35" t="s">
        <v>12</v>
      </c>
      <c r="E3306" s="36">
        <v>0.152</v>
      </c>
      <c r="F3306" s="30">
        <v>25.146499999999996</v>
      </c>
      <c r="G3306" s="33">
        <f t="shared" si="56"/>
        <v>3.8222679999999993</v>
      </c>
      <c r="H3306" s="34"/>
      <c r="I3306" s="30"/>
      <c r="J3306" s="148">
        <v>0</v>
      </c>
      <c r="K3306" s="222">
        <v>0</v>
      </c>
    </row>
    <row r="3307" spans="1:11" ht="15.75" hidden="1" thickBot="1" x14ac:dyDescent="0.3">
      <c r="A3307" s="209"/>
      <c r="B3307" s="206"/>
      <c r="C3307" s="35"/>
      <c r="D3307" s="35"/>
      <c r="E3307" s="36"/>
      <c r="F3307" s="30" t="s">
        <v>514</v>
      </c>
      <c r="G3307" s="33" t="str">
        <f t="shared" si="56"/>
        <v/>
      </c>
      <c r="H3307" s="34"/>
      <c r="I3307" s="30"/>
      <c r="J3307" s="148">
        <v>0</v>
      </c>
      <c r="K3307" s="222">
        <v>0</v>
      </c>
    </row>
    <row r="3308" spans="1:11" ht="15.75" hidden="1" thickBot="1" x14ac:dyDescent="0.3">
      <c r="A3308" s="202" t="s">
        <v>968</v>
      </c>
      <c r="B3308" s="204" t="str">
        <f>INDEX(Orçamentária!A:B,MATCH(Composições!A3308,Orçamentária!A:A,0),2)</f>
        <v>Condutor 150 mm²</v>
      </c>
      <c r="C3308" s="40"/>
      <c r="D3308" s="25" t="str">
        <f>TRIM(INDEX(Orçamentária!C:C,MATCH(Composições!A3308,Orçamentária!A:A,0),1))</f>
        <v>m</v>
      </c>
      <c r="E3308" s="26"/>
      <c r="F3308" s="41" t="s">
        <v>514</v>
      </c>
      <c r="G3308" s="27" t="str">
        <f t="shared" ref="G3308:G3371" si="57">IF(ISNUMBER(F3308),E3308*F3308,"")</f>
        <v/>
      </c>
      <c r="H3308" s="28"/>
      <c r="I3308" s="29"/>
      <c r="J3308" s="148">
        <v>0</v>
      </c>
      <c r="K3308" s="222">
        <v>0</v>
      </c>
    </row>
    <row r="3309" spans="1:11" hidden="1" x14ac:dyDescent="0.25">
      <c r="A3309" s="203"/>
      <c r="B3309" s="205"/>
      <c r="C3309" s="31"/>
      <c r="D3309" s="31"/>
      <c r="E3309" s="32"/>
      <c r="F3309" s="42" t="s">
        <v>514</v>
      </c>
      <c r="G3309" s="33" t="str">
        <f t="shared" si="57"/>
        <v/>
      </c>
      <c r="H3309" s="34"/>
      <c r="I3309" s="30"/>
      <c r="J3309" s="148">
        <v>0</v>
      </c>
      <c r="K3309" s="222">
        <v>0</v>
      </c>
    </row>
    <row r="3310" spans="1:11" hidden="1" x14ac:dyDescent="0.25">
      <c r="A3310" s="203"/>
      <c r="B3310" s="205"/>
      <c r="C3310" s="35" t="s">
        <v>969</v>
      </c>
      <c r="D3310" s="35" t="s">
        <v>92</v>
      </c>
      <c r="E3310" s="36">
        <v>1.0149999999999999</v>
      </c>
      <c r="F3310" s="30">
        <v>0</v>
      </c>
      <c r="G3310" s="33">
        <f t="shared" si="57"/>
        <v>0</v>
      </c>
      <c r="H3310" s="38">
        <f>SUM(G3310:G3313)</f>
        <v>8.0138199999999991</v>
      </c>
      <c r="I3310" s="39"/>
      <c r="J3310" s="148">
        <v>0</v>
      </c>
      <c r="K3310" s="222">
        <v>0</v>
      </c>
    </row>
    <row r="3311" spans="1:11" hidden="1" x14ac:dyDescent="0.25">
      <c r="A3311" s="203"/>
      <c r="B3311" s="205"/>
      <c r="C3311" s="35" t="s">
        <v>546</v>
      </c>
      <c r="D3311" s="46" t="s">
        <v>278</v>
      </c>
      <c r="E3311" s="36">
        <v>8.9999999999999993E-3</v>
      </c>
      <c r="F3311" s="30">
        <v>4.2749999999999995</v>
      </c>
      <c r="G3311" s="33">
        <f t="shared" si="57"/>
        <v>3.8474999999999995E-2</v>
      </c>
      <c r="H3311" s="34"/>
      <c r="I3311" s="30"/>
      <c r="J3311" s="148">
        <v>0</v>
      </c>
      <c r="K3311" s="222">
        <v>0</v>
      </c>
    </row>
    <row r="3312" spans="1:11" hidden="1" x14ac:dyDescent="0.25">
      <c r="A3312" s="203"/>
      <c r="B3312" s="205"/>
      <c r="C3312" s="35" t="s">
        <v>74</v>
      </c>
      <c r="D3312" s="35" t="s">
        <v>12</v>
      </c>
      <c r="E3312" s="36">
        <v>0.17899999999999999</v>
      </c>
      <c r="F3312" s="30">
        <v>19.4085</v>
      </c>
      <c r="G3312" s="33">
        <f t="shared" si="57"/>
        <v>3.4741214999999999</v>
      </c>
      <c r="H3312" s="34"/>
      <c r="I3312" s="30"/>
      <c r="J3312" s="148">
        <v>0</v>
      </c>
      <c r="K3312" s="222">
        <v>0</v>
      </c>
    </row>
    <row r="3313" spans="1:11" hidden="1" x14ac:dyDescent="0.25">
      <c r="A3313" s="203"/>
      <c r="B3313" s="205"/>
      <c r="C3313" s="35" t="s">
        <v>30</v>
      </c>
      <c r="D3313" s="35" t="s">
        <v>12</v>
      </c>
      <c r="E3313" s="36">
        <v>0.17899999999999999</v>
      </c>
      <c r="F3313" s="30">
        <v>25.146499999999996</v>
      </c>
      <c r="G3313" s="33">
        <f t="shared" si="57"/>
        <v>4.5012234999999992</v>
      </c>
      <c r="H3313" s="34"/>
      <c r="I3313" s="30"/>
      <c r="J3313" s="148">
        <v>0</v>
      </c>
      <c r="K3313" s="222">
        <v>0</v>
      </c>
    </row>
    <row r="3314" spans="1:11" ht="15.75" hidden="1" thickBot="1" x14ac:dyDescent="0.3">
      <c r="A3314" s="209"/>
      <c r="B3314" s="206"/>
      <c r="C3314" s="35"/>
      <c r="D3314" s="35"/>
      <c r="E3314" s="36"/>
      <c r="F3314" s="30" t="s">
        <v>514</v>
      </c>
      <c r="G3314" s="33" t="str">
        <f t="shared" si="57"/>
        <v/>
      </c>
      <c r="H3314" s="34"/>
      <c r="I3314" s="30"/>
      <c r="J3314" s="148">
        <v>0</v>
      </c>
      <c r="K3314" s="222">
        <v>0</v>
      </c>
    </row>
    <row r="3315" spans="1:11" ht="15.75" hidden="1" thickBot="1" x14ac:dyDescent="0.3">
      <c r="A3315" s="202" t="s">
        <v>970</v>
      </c>
      <c r="B3315" s="204" t="str">
        <f>INDEX(Orçamentária!A:B,MATCH(Composições!A3315,Orçamentária!A:A,0),2)</f>
        <v>Condutor 185 mm²</v>
      </c>
      <c r="C3315" s="40"/>
      <c r="D3315" s="25" t="str">
        <f>TRIM(INDEX(Orçamentária!C:C,MATCH(Composições!A3315,Orçamentária!A:A,0),1))</f>
        <v>m</v>
      </c>
      <c r="E3315" s="26"/>
      <c r="F3315" s="41" t="s">
        <v>514</v>
      </c>
      <c r="G3315" s="27" t="str">
        <f t="shared" si="57"/>
        <v/>
      </c>
      <c r="H3315" s="28"/>
      <c r="I3315" s="29"/>
      <c r="J3315" s="148">
        <v>0</v>
      </c>
      <c r="K3315" s="222">
        <v>0</v>
      </c>
    </row>
    <row r="3316" spans="1:11" hidden="1" x14ac:dyDescent="0.25">
      <c r="A3316" s="203"/>
      <c r="B3316" s="205"/>
      <c r="C3316" s="31"/>
      <c r="D3316" s="31"/>
      <c r="E3316" s="32"/>
      <c r="F3316" s="42" t="s">
        <v>514</v>
      </c>
      <c r="G3316" s="33" t="str">
        <f t="shared" si="57"/>
        <v/>
      </c>
      <c r="H3316" s="34"/>
      <c r="I3316" s="30"/>
      <c r="J3316" s="148">
        <v>0</v>
      </c>
      <c r="K3316" s="222">
        <v>0</v>
      </c>
    </row>
    <row r="3317" spans="1:11" hidden="1" x14ac:dyDescent="0.25">
      <c r="A3317" s="203"/>
      <c r="B3317" s="205"/>
      <c r="C3317" s="35" t="s">
        <v>971</v>
      </c>
      <c r="D3317" s="35" t="s">
        <v>92</v>
      </c>
      <c r="E3317" s="36">
        <v>1.0149999999999999</v>
      </c>
      <c r="F3317" s="30">
        <v>0</v>
      </c>
      <c r="G3317" s="33">
        <f t="shared" si="57"/>
        <v>0</v>
      </c>
      <c r="H3317" s="38">
        <f>SUM(G3317:G3320)</f>
        <v>9.4841349999999984</v>
      </c>
      <c r="I3317" s="39"/>
      <c r="J3317" s="148">
        <v>0</v>
      </c>
      <c r="K3317" s="222">
        <v>0</v>
      </c>
    </row>
    <row r="3318" spans="1:11" hidden="1" x14ac:dyDescent="0.25">
      <c r="A3318" s="203"/>
      <c r="B3318" s="205"/>
      <c r="C3318" s="35" t="s">
        <v>546</v>
      </c>
      <c r="D3318" s="46" t="s">
        <v>278</v>
      </c>
      <c r="E3318" s="36">
        <v>8.9999999999999993E-3</v>
      </c>
      <c r="F3318" s="30">
        <v>4.2749999999999995</v>
      </c>
      <c r="G3318" s="33">
        <f t="shared" si="57"/>
        <v>3.8474999999999995E-2</v>
      </c>
      <c r="H3318" s="34"/>
      <c r="I3318" s="30"/>
      <c r="J3318" s="148">
        <v>0</v>
      </c>
      <c r="K3318" s="222">
        <v>0</v>
      </c>
    </row>
    <row r="3319" spans="1:11" hidden="1" x14ac:dyDescent="0.25">
      <c r="A3319" s="203"/>
      <c r="B3319" s="205"/>
      <c r="C3319" s="35" t="s">
        <v>74</v>
      </c>
      <c r="D3319" s="35" t="s">
        <v>12</v>
      </c>
      <c r="E3319" s="36">
        <v>0.21199999999999999</v>
      </c>
      <c r="F3319" s="30">
        <v>19.4085</v>
      </c>
      <c r="G3319" s="33">
        <f t="shared" si="57"/>
        <v>4.1146019999999996</v>
      </c>
      <c r="H3319" s="34"/>
      <c r="I3319" s="30"/>
      <c r="J3319" s="148">
        <v>0</v>
      </c>
      <c r="K3319" s="222">
        <v>0</v>
      </c>
    </row>
    <row r="3320" spans="1:11" hidden="1" x14ac:dyDescent="0.25">
      <c r="A3320" s="203"/>
      <c r="B3320" s="205"/>
      <c r="C3320" s="35" t="s">
        <v>30</v>
      </c>
      <c r="D3320" s="35" t="s">
        <v>12</v>
      </c>
      <c r="E3320" s="36">
        <v>0.21199999999999999</v>
      </c>
      <c r="F3320" s="30">
        <v>25.146499999999996</v>
      </c>
      <c r="G3320" s="33">
        <f t="shared" si="57"/>
        <v>5.3310579999999987</v>
      </c>
      <c r="H3320" s="34"/>
      <c r="I3320" s="30"/>
      <c r="J3320" s="148">
        <v>0</v>
      </c>
      <c r="K3320" s="222">
        <v>0</v>
      </c>
    </row>
    <row r="3321" spans="1:11" ht="15.75" hidden="1" thickBot="1" x14ac:dyDescent="0.3">
      <c r="A3321" s="209"/>
      <c r="B3321" s="206"/>
      <c r="C3321" s="35"/>
      <c r="D3321" s="35"/>
      <c r="E3321" s="36"/>
      <c r="F3321" s="30" t="s">
        <v>514</v>
      </c>
      <c r="G3321" s="33" t="str">
        <f t="shared" si="57"/>
        <v/>
      </c>
      <c r="H3321" s="34"/>
      <c r="I3321" s="30"/>
      <c r="J3321" s="148">
        <v>0</v>
      </c>
      <c r="K3321" s="222">
        <v>0</v>
      </c>
    </row>
    <row r="3322" spans="1:11" ht="15.75" hidden="1" thickBot="1" x14ac:dyDescent="0.3">
      <c r="A3322" s="202" t="s">
        <v>972</v>
      </c>
      <c r="B3322" s="204" t="str">
        <f>INDEX(Orçamentária!A:B,MATCH(Composições!A3322,Orçamentária!A:A,0),2)</f>
        <v>Condutor 240 mm²</v>
      </c>
      <c r="C3322" s="40"/>
      <c r="D3322" s="25" t="str">
        <f>TRIM(INDEX(Orçamentária!C:C,MATCH(Composições!A3322,Orçamentária!A:A,0),1))</f>
        <v>m</v>
      </c>
      <c r="E3322" s="26"/>
      <c r="F3322" s="41" t="s">
        <v>514</v>
      </c>
      <c r="G3322" s="27" t="str">
        <f t="shared" si="57"/>
        <v/>
      </c>
      <c r="H3322" s="28"/>
      <c r="I3322" s="29"/>
      <c r="J3322" s="148">
        <v>0</v>
      </c>
      <c r="K3322" s="222">
        <v>0</v>
      </c>
    </row>
    <row r="3323" spans="1:11" hidden="1" x14ac:dyDescent="0.25">
      <c r="A3323" s="203"/>
      <c r="B3323" s="205"/>
      <c r="C3323" s="31"/>
      <c r="D3323" s="31"/>
      <c r="E3323" s="32"/>
      <c r="F3323" s="42" t="s">
        <v>514</v>
      </c>
      <c r="G3323" s="33" t="str">
        <f t="shared" si="57"/>
        <v/>
      </c>
      <c r="H3323" s="34"/>
      <c r="I3323" s="30"/>
      <c r="J3323" s="148">
        <v>0</v>
      </c>
      <c r="K3323" s="222">
        <v>0</v>
      </c>
    </row>
    <row r="3324" spans="1:11" hidden="1" x14ac:dyDescent="0.25">
      <c r="A3324" s="203"/>
      <c r="B3324" s="205"/>
      <c r="C3324" s="35" t="s">
        <v>973</v>
      </c>
      <c r="D3324" s="35" t="s">
        <v>92</v>
      </c>
      <c r="E3324" s="36">
        <v>1.0149999999999999</v>
      </c>
      <c r="F3324" s="30">
        <v>0</v>
      </c>
      <c r="G3324" s="33">
        <f t="shared" si="57"/>
        <v>0</v>
      </c>
      <c r="H3324" s="38">
        <f>SUM(G3324:G3327)</f>
        <v>11.75644</v>
      </c>
      <c r="I3324" s="39"/>
      <c r="J3324" s="148">
        <v>0</v>
      </c>
      <c r="K3324" s="222">
        <v>0</v>
      </c>
    </row>
    <row r="3325" spans="1:11" hidden="1" x14ac:dyDescent="0.25">
      <c r="A3325" s="203"/>
      <c r="B3325" s="205"/>
      <c r="C3325" s="35" t="s">
        <v>546</v>
      </c>
      <c r="D3325" s="46" t="s">
        <v>278</v>
      </c>
      <c r="E3325" s="36">
        <v>8.9999999999999993E-3</v>
      </c>
      <c r="F3325" s="30">
        <v>4.2749999999999995</v>
      </c>
      <c r="G3325" s="33">
        <f t="shared" si="57"/>
        <v>3.8474999999999995E-2</v>
      </c>
      <c r="H3325" s="34"/>
      <c r="I3325" s="30"/>
      <c r="J3325" s="148">
        <v>0</v>
      </c>
      <c r="K3325" s="222">
        <v>0</v>
      </c>
    </row>
    <row r="3326" spans="1:11" hidden="1" x14ac:dyDescent="0.25">
      <c r="A3326" s="203"/>
      <c r="B3326" s="205"/>
      <c r="C3326" s="35" t="s">
        <v>74</v>
      </c>
      <c r="D3326" s="35" t="s">
        <v>12</v>
      </c>
      <c r="E3326" s="36">
        <v>0.26300000000000001</v>
      </c>
      <c r="F3326" s="30">
        <v>19.4085</v>
      </c>
      <c r="G3326" s="33">
        <f t="shared" si="57"/>
        <v>5.1044355000000001</v>
      </c>
      <c r="H3326" s="34"/>
      <c r="I3326" s="30"/>
      <c r="J3326" s="148">
        <v>0</v>
      </c>
      <c r="K3326" s="222">
        <v>0</v>
      </c>
    </row>
    <row r="3327" spans="1:11" hidden="1" x14ac:dyDescent="0.25">
      <c r="A3327" s="203"/>
      <c r="B3327" s="205"/>
      <c r="C3327" s="35" t="s">
        <v>30</v>
      </c>
      <c r="D3327" s="35" t="s">
        <v>12</v>
      </c>
      <c r="E3327" s="36">
        <v>0.26300000000000001</v>
      </c>
      <c r="F3327" s="30">
        <v>25.146499999999996</v>
      </c>
      <c r="G3327" s="33">
        <f t="shared" si="57"/>
        <v>6.6135294999999994</v>
      </c>
      <c r="H3327" s="34"/>
      <c r="I3327" s="30"/>
      <c r="J3327" s="148">
        <v>0</v>
      </c>
      <c r="K3327" s="222">
        <v>0</v>
      </c>
    </row>
    <row r="3328" spans="1:11" ht="15.75" hidden="1" thickBot="1" x14ac:dyDescent="0.3">
      <c r="A3328" s="209"/>
      <c r="B3328" s="206"/>
      <c r="C3328" s="35"/>
      <c r="D3328" s="35"/>
      <c r="E3328" s="36"/>
      <c r="F3328" s="30" t="s">
        <v>514</v>
      </c>
      <c r="G3328" s="33" t="str">
        <f t="shared" si="57"/>
        <v/>
      </c>
      <c r="H3328" s="34"/>
      <c r="I3328" s="30"/>
      <c r="J3328" s="148">
        <v>0</v>
      </c>
      <c r="K3328" s="222">
        <v>0</v>
      </c>
    </row>
    <row r="3329" spans="1:11" ht="15.75" hidden="1" thickBot="1" x14ac:dyDescent="0.3">
      <c r="A3329" s="202" t="s">
        <v>974</v>
      </c>
      <c r="B3329" s="204" t="str">
        <f>INDEX(Orçamentária!A:B,MATCH(Composições!A3329,Orçamentária!A:A,0),2)</f>
        <v>Montagem e desmontagem de andaime fachadeiro</v>
      </c>
      <c r="C3329" s="40"/>
      <c r="D3329" s="25" t="str">
        <f>TRIM(INDEX(Orçamentária!C:C,MATCH(Composições!A3329,Orçamentária!A:A,0),1))</f>
        <v>m2</v>
      </c>
      <c r="E3329" s="26"/>
      <c r="F3329" s="41" t="s">
        <v>514</v>
      </c>
      <c r="G3329" s="27" t="str">
        <f t="shared" si="57"/>
        <v/>
      </c>
      <c r="H3329" s="28"/>
      <c r="I3329" s="29"/>
      <c r="J3329" s="148">
        <v>265</v>
      </c>
      <c r="K3329" s="222" t="s">
        <v>8074</v>
      </c>
    </row>
    <row r="3330" spans="1:11" hidden="1" x14ac:dyDescent="0.25">
      <c r="A3330" s="203"/>
      <c r="B3330" s="205"/>
      <c r="C3330" s="31"/>
      <c r="D3330" s="31"/>
      <c r="E3330" s="32"/>
      <c r="F3330" s="42" t="s">
        <v>514</v>
      </c>
      <c r="G3330" s="33" t="str">
        <f t="shared" si="57"/>
        <v/>
      </c>
      <c r="H3330" s="34"/>
      <c r="I3330" s="30"/>
      <c r="J3330" s="148">
        <v>265</v>
      </c>
      <c r="K3330" s="222" t="s">
        <v>8074</v>
      </c>
    </row>
    <row r="3331" spans="1:11" ht="25.5" hidden="1" x14ac:dyDescent="0.25">
      <c r="A3331" s="203"/>
      <c r="B3331" s="205"/>
      <c r="C3331" s="35" t="s">
        <v>975</v>
      </c>
      <c r="D3331" s="46" t="s">
        <v>695</v>
      </c>
      <c r="E3331" s="36">
        <v>0.29509999999999997</v>
      </c>
      <c r="F3331" s="30">
        <v>18.933499999999999</v>
      </c>
      <c r="G3331" s="33">
        <f t="shared" si="57"/>
        <v>5.5872758499999993</v>
      </c>
      <c r="H3331" s="38">
        <f>SUM(G3331:G3333)</f>
        <v>8.559499785869999</v>
      </c>
      <c r="I3331" s="39"/>
      <c r="J3331" s="148">
        <v>265</v>
      </c>
      <c r="K3331" s="222" t="s">
        <v>8074</v>
      </c>
    </row>
    <row r="3332" spans="1:11" hidden="1" x14ac:dyDescent="0.25">
      <c r="A3332" s="203"/>
      <c r="B3332" s="205"/>
      <c r="C3332" s="35" t="s">
        <v>696</v>
      </c>
      <c r="D3332" s="46" t="s">
        <v>695</v>
      </c>
      <c r="E3332" s="36">
        <v>5.8999999999999997E-2</v>
      </c>
      <c r="F3332" s="30">
        <v>18.420500000000001</v>
      </c>
      <c r="G3332" s="33">
        <f t="shared" si="57"/>
        <v>1.0868095</v>
      </c>
      <c r="H3332" s="34"/>
      <c r="I3332" s="30"/>
      <c r="J3332" s="148">
        <v>265</v>
      </c>
      <c r="K3332" s="222" t="s">
        <v>8074</v>
      </c>
    </row>
    <row r="3333" spans="1:11" ht="51" hidden="1" x14ac:dyDescent="0.25">
      <c r="A3333" s="203"/>
      <c r="B3333" s="205"/>
      <c r="C3333" s="35" t="s">
        <v>976</v>
      </c>
      <c r="D3333" s="46" t="s">
        <v>977</v>
      </c>
      <c r="E3333" s="36">
        <v>0.1673</v>
      </c>
      <c r="F3333" s="30">
        <v>11.269661899999999</v>
      </c>
      <c r="G3333" s="33">
        <f t="shared" si="57"/>
        <v>1.8854144358699998</v>
      </c>
      <c r="H3333" s="34"/>
      <c r="I3333" s="30"/>
      <c r="J3333" s="148">
        <v>265</v>
      </c>
      <c r="K3333" s="222" t="s">
        <v>8074</v>
      </c>
    </row>
    <row r="3334" spans="1:11" ht="15.75" hidden="1" thickBot="1" x14ac:dyDescent="0.3">
      <c r="A3334" s="209"/>
      <c r="B3334" s="206"/>
      <c r="C3334" s="35"/>
      <c r="D3334" s="35"/>
      <c r="E3334" s="36"/>
      <c r="F3334" s="30" t="s">
        <v>514</v>
      </c>
      <c r="G3334" s="33" t="str">
        <f t="shared" si="57"/>
        <v/>
      </c>
      <c r="H3334" s="34"/>
      <c r="I3334" s="30"/>
      <c r="J3334" s="148">
        <v>265</v>
      </c>
      <c r="K3334" s="222" t="s">
        <v>8074</v>
      </c>
    </row>
    <row r="3335" spans="1:11" ht="15.75" hidden="1" thickBot="1" x14ac:dyDescent="0.3">
      <c r="A3335" s="202" t="s">
        <v>978</v>
      </c>
      <c r="B3335" s="204" t="str">
        <f>INDEX(Orçamentária!A:B,MATCH(Composições!A3335,Orçamentária!A:A,0),2)</f>
        <v>Montagem e desmontagem de andaime tubular</v>
      </c>
      <c r="C3335" s="40"/>
      <c r="D3335" s="25" t="str">
        <f>TRIM(INDEX(Orçamentária!C:C,MATCH(Composições!A3335,Orçamentária!A:A,0),1))</f>
        <v>m</v>
      </c>
      <c r="E3335" s="26"/>
      <c r="F3335" s="41" t="s">
        <v>514</v>
      </c>
      <c r="G3335" s="27" t="str">
        <f t="shared" si="57"/>
        <v/>
      </c>
      <c r="H3335" s="28"/>
      <c r="I3335" s="29"/>
      <c r="J3335" s="148">
        <v>55</v>
      </c>
      <c r="K3335" s="222" t="s">
        <v>8074</v>
      </c>
    </row>
    <row r="3336" spans="1:11" hidden="1" x14ac:dyDescent="0.25">
      <c r="A3336" s="203"/>
      <c r="B3336" s="205"/>
      <c r="C3336" s="31"/>
      <c r="D3336" s="31"/>
      <c r="E3336" s="32"/>
      <c r="F3336" s="42" t="s">
        <v>514</v>
      </c>
      <c r="G3336" s="33" t="str">
        <f t="shared" si="57"/>
        <v/>
      </c>
      <c r="H3336" s="34"/>
      <c r="I3336" s="30"/>
      <c r="J3336" s="148">
        <v>55</v>
      </c>
      <c r="K3336" s="222" t="s">
        <v>8074</v>
      </c>
    </row>
    <row r="3337" spans="1:11" ht="25.5" hidden="1" x14ac:dyDescent="0.25">
      <c r="A3337" s="203"/>
      <c r="B3337" s="205"/>
      <c r="C3337" s="35" t="s">
        <v>975</v>
      </c>
      <c r="D3337" s="46" t="s">
        <v>695</v>
      </c>
      <c r="E3337" s="36">
        <v>0.5</v>
      </c>
      <c r="F3337" s="30">
        <v>18.933499999999999</v>
      </c>
      <c r="G3337" s="33">
        <f t="shared" si="57"/>
        <v>9.4667499999999993</v>
      </c>
      <c r="H3337" s="38">
        <f>SUM(G3337:G3339)</f>
        <v>15.839204083799999</v>
      </c>
      <c r="I3337" s="39"/>
      <c r="J3337" s="148">
        <v>55</v>
      </c>
      <c r="K3337" s="222" t="s">
        <v>8074</v>
      </c>
    </row>
    <row r="3338" spans="1:11" hidden="1" x14ac:dyDescent="0.25">
      <c r="A3338" s="203"/>
      <c r="B3338" s="205"/>
      <c r="C3338" s="35" t="s">
        <v>696</v>
      </c>
      <c r="D3338" s="46" t="s">
        <v>695</v>
      </c>
      <c r="E3338" s="36">
        <v>0.1</v>
      </c>
      <c r="F3338" s="30">
        <v>18.420500000000001</v>
      </c>
      <c r="G3338" s="33">
        <f t="shared" si="57"/>
        <v>1.8420500000000002</v>
      </c>
      <c r="H3338" s="38"/>
      <c r="I3338" s="39"/>
      <c r="J3338" s="148">
        <v>55</v>
      </c>
      <c r="K3338" s="222" t="s">
        <v>8074</v>
      </c>
    </row>
    <row r="3339" spans="1:11" ht="51" hidden="1" x14ac:dyDescent="0.25">
      <c r="A3339" s="203"/>
      <c r="B3339" s="205"/>
      <c r="C3339" s="35" t="s">
        <v>976</v>
      </c>
      <c r="D3339" s="46" t="s">
        <v>977</v>
      </c>
      <c r="E3339" s="36">
        <v>0.40200000000000002</v>
      </c>
      <c r="F3339" s="30">
        <v>11.269661899999999</v>
      </c>
      <c r="G3339" s="33">
        <f t="shared" si="57"/>
        <v>4.5304040837999997</v>
      </c>
      <c r="H3339" s="34"/>
      <c r="I3339" s="30"/>
      <c r="J3339" s="148">
        <v>55</v>
      </c>
      <c r="K3339" s="222" t="s">
        <v>8074</v>
      </c>
    </row>
    <row r="3340" spans="1:11" ht="15.75" hidden="1" thickBot="1" x14ac:dyDescent="0.3">
      <c r="A3340" s="209"/>
      <c r="B3340" s="206"/>
      <c r="C3340" s="35"/>
      <c r="D3340" s="35"/>
      <c r="E3340" s="36"/>
      <c r="F3340" s="30" t="s">
        <v>514</v>
      </c>
      <c r="G3340" s="33" t="str">
        <f t="shared" si="57"/>
        <v/>
      </c>
      <c r="H3340" s="34"/>
      <c r="I3340" s="30"/>
      <c r="J3340" s="148">
        <v>55</v>
      </c>
      <c r="K3340" s="222" t="s">
        <v>8074</v>
      </c>
    </row>
    <row r="3341" spans="1:11" ht="15.75" hidden="1" thickBot="1" x14ac:dyDescent="0.3">
      <c r="A3341" s="202" t="s">
        <v>979</v>
      </c>
      <c r="B3341" s="204" t="str">
        <f>INDEX(Orçamentária!A:B,MATCH(Composições!A3341,Orçamentária!A:A,0),2)</f>
        <v>Tela de proteção para andaime</v>
      </c>
      <c r="C3341" s="40"/>
      <c r="D3341" s="25" t="str">
        <f>TRIM(INDEX(Orçamentária!C:C,MATCH(Composições!A3341,Orçamentária!A:A,0),1))</f>
        <v>m2 x mês</v>
      </c>
      <c r="E3341" s="26"/>
      <c r="F3341" s="41" t="s">
        <v>514</v>
      </c>
      <c r="G3341" s="27" t="str">
        <f t="shared" si="57"/>
        <v/>
      </c>
      <c r="H3341" s="28"/>
      <c r="I3341" s="29"/>
      <c r="J3341" s="148">
        <v>265</v>
      </c>
      <c r="K3341" s="222" t="s">
        <v>8074</v>
      </c>
    </row>
    <row r="3342" spans="1:11" hidden="1" x14ac:dyDescent="0.25">
      <c r="A3342" s="203"/>
      <c r="B3342" s="205"/>
      <c r="C3342" s="31"/>
      <c r="D3342" s="31"/>
      <c r="E3342" s="32"/>
      <c r="F3342" s="42" t="s">
        <v>514</v>
      </c>
      <c r="G3342" s="33" t="str">
        <f t="shared" si="57"/>
        <v/>
      </c>
      <c r="H3342" s="34"/>
      <c r="I3342" s="30"/>
      <c r="J3342" s="148">
        <v>265</v>
      </c>
      <c r="K3342" s="222" t="s">
        <v>8074</v>
      </c>
    </row>
    <row r="3343" spans="1:11" ht="25.5" hidden="1" x14ac:dyDescent="0.25">
      <c r="A3343" s="203"/>
      <c r="B3343" s="205"/>
      <c r="C3343" s="35" t="s">
        <v>980</v>
      </c>
      <c r="D3343" s="46" t="s">
        <v>278</v>
      </c>
      <c r="E3343" s="36">
        <v>0.89449999999999996</v>
      </c>
      <c r="F3343" s="30">
        <v>0.152</v>
      </c>
      <c r="G3343" s="33">
        <f t="shared" si="57"/>
        <v>0.135964</v>
      </c>
      <c r="H3343" s="38">
        <f>SUM(G3343:G3346)</f>
        <v>4.3353041000000001</v>
      </c>
      <c r="I3343" s="39"/>
      <c r="J3343" s="148">
        <v>265</v>
      </c>
      <c r="K3343" s="222" t="s">
        <v>8074</v>
      </c>
    </row>
    <row r="3344" spans="1:11" ht="25.5" hidden="1" x14ac:dyDescent="0.25">
      <c r="A3344" s="203"/>
      <c r="B3344" s="205"/>
      <c r="C3344" s="35" t="s">
        <v>981</v>
      </c>
      <c r="D3344" s="46" t="s">
        <v>982</v>
      </c>
      <c r="E3344" s="36">
        <f>ROUND(1.177*(1/3),4)</f>
        <v>0.39229999999999998</v>
      </c>
      <c r="F3344" s="30">
        <v>2.6219999999999999</v>
      </c>
      <c r="G3344" s="33">
        <f t="shared" si="57"/>
        <v>1.0286105999999999</v>
      </c>
      <c r="H3344" s="34"/>
      <c r="I3344" s="30"/>
      <c r="J3344" s="148">
        <v>265</v>
      </c>
      <c r="K3344" s="222" t="s">
        <v>8074</v>
      </c>
    </row>
    <row r="3345" spans="1:11" hidden="1" x14ac:dyDescent="0.25">
      <c r="A3345" s="203"/>
      <c r="B3345" s="205"/>
      <c r="C3345" s="35" t="s">
        <v>778</v>
      </c>
      <c r="D3345" s="46" t="s">
        <v>695</v>
      </c>
      <c r="E3345" s="36">
        <v>6.9900000000000004E-2</v>
      </c>
      <c r="F3345" s="30">
        <v>19.494</v>
      </c>
      <c r="G3345" s="33">
        <f t="shared" si="57"/>
        <v>1.3626306000000001</v>
      </c>
      <c r="H3345" s="34"/>
      <c r="I3345" s="30"/>
      <c r="J3345" s="148">
        <v>265</v>
      </c>
      <c r="K3345" s="222" t="s">
        <v>8074</v>
      </c>
    </row>
    <row r="3346" spans="1:11" hidden="1" x14ac:dyDescent="0.25">
      <c r="A3346" s="203"/>
      <c r="B3346" s="205"/>
      <c r="C3346" s="35" t="s">
        <v>983</v>
      </c>
      <c r="D3346" s="46" t="s">
        <v>695</v>
      </c>
      <c r="E3346" s="36">
        <v>7.3400000000000007E-2</v>
      </c>
      <c r="F3346" s="30">
        <v>24.633499999999998</v>
      </c>
      <c r="G3346" s="33">
        <f t="shared" si="57"/>
        <v>1.8080989000000001</v>
      </c>
      <c r="H3346" s="34"/>
      <c r="I3346" s="30"/>
      <c r="J3346" s="148">
        <v>265</v>
      </c>
      <c r="K3346" s="222" t="s">
        <v>8074</v>
      </c>
    </row>
    <row r="3347" spans="1:11" hidden="1" x14ac:dyDescent="0.25">
      <c r="A3347" s="203"/>
      <c r="B3347" s="205"/>
      <c r="C3347" s="35"/>
      <c r="D3347" s="46"/>
      <c r="E3347" s="36"/>
      <c r="F3347" s="30" t="s">
        <v>514</v>
      </c>
      <c r="G3347" s="33" t="str">
        <f t="shared" si="57"/>
        <v/>
      </c>
      <c r="H3347" s="34"/>
      <c r="I3347" s="30"/>
      <c r="J3347" s="148">
        <v>265</v>
      </c>
      <c r="K3347" s="222" t="s">
        <v>8074</v>
      </c>
    </row>
    <row r="3348" spans="1:11" ht="25.5" hidden="1" x14ac:dyDescent="0.25">
      <c r="A3348" s="203"/>
      <c r="B3348" s="205"/>
      <c r="C3348" s="51" t="s">
        <v>984</v>
      </c>
      <c r="D3348" s="46"/>
      <c r="E3348" s="36"/>
      <c r="F3348" s="30" t="s">
        <v>514</v>
      </c>
      <c r="G3348" s="33" t="str">
        <f t="shared" si="57"/>
        <v/>
      </c>
      <c r="H3348" s="34"/>
      <c r="I3348" s="30"/>
      <c r="J3348" s="148">
        <v>265</v>
      </c>
      <c r="K3348" s="222" t="s">
        <v>8074</v>
      </c>
    </row>
    <row r="3349" spans="1:11" ht="15.75" hidden="1" thickBot="1" x14ac:dyDescent="0.3">
      <c r="A3349" s="209"/>
      <c r="B3349" s="206"/>
      <c r="C3349" s="54"/>
      <c r="D3349" s="54"/>
      <c r="E3349" s="65"/>
      <c r="F3349" s="66" t="s">
        <v>514</v>
      </c>
      <c r="G3349" s="67" t="str">
        <f t="shared" si="57"/>
        <v/>
      </c>
      <c r="H3349" s="68"/>
      <c r="I3349" s="30"/>
      <c r="J3349" s="148">
        <v>265</v>
      </c>
      <c r="K3349" s="222" t="s">
        <v>8074</v>
      </c>
    </row>
    <row r="3350" spans="1:11" ht="15.75" hidden="1" thickBot="1" x14ac:dyDescent="0.3">
      <c r="A3350" s="202" t="s">
        <v>985</v>
      </c>
      <c r="B3350" s="204" t="str">
        <f>INDEX(Orçamentária!A:B,MATCH(Composições!A3350,Orçamentária!A:A,0),2)</f>
        <v>Remoção de folha de porta de enrolar</v>
      </c>
      <c r="C3350" s="40"/>
      <c r="D3350" s="25" t="str">
        <f>TRIM(INDEX(Orçamentária!C:C,MATCH(Composições!A3350,Orçamentária!A:A,0),1))</f>
        <v>un</v>
      </c>
      <c r="E3350" s="26"/>
      <c r="F3350" s="41" t="s">
        <v>514</v>
      </c>
      <c r="G3350" s="27" t="str">
        <f t="shared" si="57"/>
        <v/>
      </c>
      <c r="H3350" s="28"/>
      <c r="I3350" s="29"/>
      <c r="J3350" s="148">
        <v>0</v>
      </c>
      <c r="K3350" s="222">
        <v>0</v>
      </c>
    </row>
    <row r="3351" spans="1:11" hidden="1" x14ac:dyDescent="0.25">
      <c r="A3351" s="203"/>
      <c r="B3351" s="205"/>
      <c r="C3351" s="31"/>
      <c r="D3351" s="31"/>
      <c r="E3351" s="32"/>
      <c r="F3351" s="42" t="s">
        <v>514</v>
      </c>
      <c r="G3351" s="33" t="str">
        <f t="shared" si="57"/>
        <v/>
      </c>
      <c r="H3351" s="34"/>
      <c r="I3351" s="30"/>
      <c r="J3351" s="148">
        <v>0</v>
      </c>
      <c r="K3351" s="222">
        <v>0</v>
      </c>
    </row>
    <row r="3352" spans="1:11" hidden="1" x14ac:dyDescent="0.25">
      <c r="A3352" s="203"/>
      <c r="B3352" s="205"/>
      <c r="C3352" s="35" t="s">
        <v>608</v>
      </c>
      <c r="D3352" s="35" t="s">
        <v>12</v>
      </c>
      <c r="E3352" s="36">
        <v>2.5</v>
      </c>
      <c r="F3352" s="30">
        <v>24.747499999999999</v>
      </c>
      <c r="G3352" s="33">
        <f t="shared" si="57"/>
        <v>61.868749999999999</v>
      </c>
      <c r="H3352" s="38">
        <f>SUM(G3352:G3353)</f>
        <v>159.81375</v>
      </c>
      <c r="I3352" s="39"/>
      <c r="J3352" s="148">
        <v>0</v>
      </c>
      <c r="K3352" s="222">
        <v>0</v>
      </c>
    </row>
    <row r="3353" spans="1:11" hidden="1" x14ac:dyDescent="0.25">
      <c r="A3353" s="203"/>
      <c r="B3353" s="205"/>
      <c r="C3353" s="35" t="s">
        <v>609</v>
      </c>
      <c r="D3353" s="35" t="s">
        <v>12</v>
      </c>
      <c r="E3353" s="36">
        <v>5</v>
      </c>
      <c r="F3353" s="30">
        <v>19.588999999999999</v>
      </c>
      <c r="G3353" s="33">
        <f t="shared" si="57"/>
        <v>97.944999999999993</v>
      </c>
      <c r="H3353" s="34"/>
      <c r="I3353" s="30"/>
      <c r="J3353" s="148">
        <v>0</v>
      </c>
      <c r="K3353" s="222">
        <v>0</v>
      </c>
    </row>
    <row r="3354" spans="1:11" ht="15.75" hidden="1" thickBot="1" x14ac:dyDescent="0.3">
      <c r="A3354" s="209"/>
      <c r="B3354" s="206"/>
      <c r="C3354" s="35"/>
      <c r="D3354" s="35"/>
      <c r="E3354" s="36"/>
      <c r="F3354" s="30" t="s">
        <v>514</v>
      </c>
      <c r="G3354" s="33" t="str">
        <f t="shared" si="57"/>
        <v/>
      </c>
      <c r="H3354" s="34"/>
      <c r="I3354" s="30"/>
      <c r="J3354" s="148">
        <v>0</v>
      </c>
      <c r="K3354" s="222">
        <v>0</v>
      </c>
    </row>
    <row r="3355" spans="1:11" ht="15.75" hidden="1" thickBot="1" x14ac:dyDescent="0.3">
      <c r="A3355" s="202" t="s">
        <v>986</v>
      </c>
      <c r="B3355" s="204" t="str">
        <f>INDEX(Orçamentária!A:B,MATCH(Composições!A3355,Orçamentária!A:A,0),2)</f>
        <v>Base registro de gaveta 1"</v>
      </c>
      <c r="C3355" s="40"/>
      <c r="D3355" s="25" t="str">
        <f>TRIM(INDEX(Orçamentária!C:C,MATCH(Composições!A3355,Orçamentária!A:A,0),1))</f>
        <v>un</v>
      </c>
      <c r="E3355" s="26"/>
      <c r="F3355" s="41" t="s">
        <v>514</v>
      </c>
      <c r="G3355" s="27" t="str">
        <f t="shared" si="57"/>
        <v/>
      </c>
      <c r="H3355" s="28"/>
      <c r="I3355" s="29"/>
      <c r="J3355" s="148">
        <v>0</v>
      </c>
      <c r="K3355" s="222">
        <v>0</v>
      </c>
    </row>
    <row r="3356" spans="1:11" hidden="1" x14ac:dyDescent="0.25">
      <c r="A3356" s="203"/>
      <c r="B3356" s="205"/>
      <c r="C3356" s="31"/>
      <c r="D3356" s="31"/>
      <c r="E3356" s="32"/>
      <c r="F3356" s="42" t="s">
        <v>514</v>
      </c>
      <c r="G3356" s="33" t="str">
        <f t="shared" si="57"/>
        <v/>
      </c>
      <c r="H3356" s="34"/>
      <c r="I3356" s="30"/>
      <c r="J3356" s="148">
        <v>0</v>
      </c>
      <c r="K3356" s="222">
        <v>0</v>
      </c>
    </row>
    <row r="3357" spans="1:11" ht="25.5" hidden="1" x14ac:dyDescent="0.25">
      <c r="A3357" s="203"/>
      <c r="B3357" s="205"/>
      <c r="C3357" s="35" t="s">
        <v>987</v>
      </c>
      <c r="D3357" s="46" t="s">
        <v>143</v>
      </c>
      <c r="E3357" s="36">
        <v>1</v>
      </c>
      <c r="F3357" s="30" t="s">
        <v>514</v>
      </c>
      <c r="G3357" s="33" t="str">
        <f t="shared" si="57"/>
        <v/>
      </c>
      <c r="H3357" s="38">
        <f>SUM(G3357:G3360)</f>
        <v>6.6408077999999993</v>
      </c>
      <c r="I3357" s="39"/>
      <c r="J3357" s="148">
        <v>0</v>
      </c>
      <c r="K3357" s="222">
        <v>0</v>
      </c>
    </row>
    <row r="3358" spans="1:11" hidden="1" x14ac:dyDescent="0.25">
      <c r="A3358" s="203"/>
      <c r="B3358" s="205"/>
      <c r="C3358" s="35" t="s">
        <v>317</v>
      </c>
      <c r="D3358" s="46" t="s">
        <v>278</v>
      </c>
      <c r="E3358" s="36">
        <v>1.32E-2</v>
      </c>
      <c r="F3358" s="30">
        <v>14.8865</v>
      </c>
      <c r="G3358" s="33">
        <f t="shared" si="57"/>
        <v>0.1965018</v>
      </c>
      <c r="H3358" s="34"/>
      <c r="I3358" s="30"/>
      <c r="J3358" s="148">
        <v>0</v>
      </c>
      <c r="K3358" s="222">
        <v>0</v>
      </c>
    </row>
    <row r="3359" spans="1:11" hidden="1" x14ac:dyDescent="0.25">
      <c r="A3359" s="203"/>
      <c r="B3359" s="205"/>
      <c r="C3359" s="35" t="s">
        <v>39</v>
      </c>
      <c r="D3359" s="46" t="s">
        <v>12</v>
      </c>
      <c r="E3359" s="36">
        <v>0.14849999999999999</v>
      </c>
      <c r="F3359" s="30">
        <v>24.300999999999998</v>
      </c>
      <c r="G3359" s="33">
        <f t="shared" si="57"/>
        <v>3.6086984999999996</v>
      </c>
      <c r="H3359" s="34"/>
      <c r="I3359" s="30"/>
      <c r="J3359" s="148">
        <v>0</v>
      </c>
      <c r="K3359" s="222">
        <v>0</v>
      </c>
    </row>
    <row r="3360" spans="1:11" ht="25.5" hidden="1" x14ac:dyDescent="0.25">
      <c r="A3360" s="203"/>
      <c r="B3360" s="205"/>
      <c r="C3360" s="35" t="s">
        <v>106</v>
      </c>
      <c r="D3360" s="35" t="s">
        <v>12</v>
      </c>
      <c r="E3360" s="36">
        <v>0.14849999999999999</v>
      </c>
      <c r="F3360" s="30">
        <v>19.094999999999999</v>
      </c>
      <c r="G3360" s="33">
        <f t="shared" si="57"/>
        <v>2.8356074999999996</v>
      </c>
      <c r="H3360" s="34"/>
      <c r="I3360" s="30"/>
      <c r="J3360" s="148">
        <v>0</v>
      </c>
      <c r="K3360" s="222">
        <v>0</v>
      </c>
    </row>
    <row r="3361" spans="1:11" ht="15.75" hidden="1" thickBot="1" x14ac:dyDescent="0.3">
      <c r="A3361" s="209"/>
      <c r="B3361" s="206"/>
      <c r="C3361" s="35"/>
      <c r="D3361" s="35"/>
      <c r="E3361" s="36"/>
      <c r="F3361" s="30" t="s">
        <v>514</v>
      </c>
      <c r="G3361" s="33" t="str">
        <f t="shared" si="57"/>
        <v/>
      </c>
      <c r="H3361" s="34"/>
      <c r="I3361" s="30"/>
      <c r="J3361" s="148">
        <v>0</v>
      </c>
      <c r="K3361" s="222">
        <v>0</v>
      </c>
    </row>
    <row r="3362" spans="1:11" ht="15.75" hidden="1" thickBot="1" x14ac:dyDescent="0.3">
      <c r="A3362" s="202" t="s">
        <v>988</v>
      </c>
      <c r="B3362" s="204" t="str">
        <f>INDEX(Orçamentária!A:B,MATCH(Composições!A3362,Orçamentária!A:A,0),2)</f>
        <v>Base registro de pressão 3/4"</v>
      </c>
      <c r="C3362" s="40"/>
      <c r="D3362" s="25" t="str">
        <f>TRIM(INDEX(Orçamentária!C:C,MATCH(Composições!A3362,Orçamentária!A:A,0),1))</f>
        <v>un</v>
      </c>
      <c r="E3362" s="26"/>
      <c r="F3362" s="41" t="s">
        <v>514</v>
      </c>
      <c r="G3362" s="27" t="str">
        <f t="shared" si="57"/>
        <v/>
      </c>
      <c r="H3362" s="28"/>
      <c r="I3362" s="29"/>
      <c r="J3362" s="148">
        <v>0</v>
      </c>
      <c r="K3362" s="222">
        <v>0</v>
      </c>
    </row>
    <row r="3363" spans="1:11" hidden="1" x14ac:dyDescent="0.25">
      <c r="A3363" s="203"/>
      <c r="B3363" s="205"/>
      <c r="C3363" s="31"/>
      <c r="D3363" s="31"/>
      <c r="E3363" s="32"/>
      <c r="F3363" s="42" t="s">
        <v>514</v>
      </c>
      <c r="G3363" s="33" t="str">
        <f t="shared" si="57"/>
        <v/>
      </c>
      <c r="H3363" s="34"/>
      <c r="I3363" s="30"/>
      <c r="J3363" s="148">
        <v>0</v>
      </c>
      <c r="K3363" s="222">
        <v>0</v>
      </c>
    </row>
    <row r="3364" spans="1:11" hidden="1" x14ac:dyDescent="0.25">
      <c r="A3364" s="203"/>
      <c r="B3364" s="205"/>
      <c r="C3364" s="35" t="s">
        <v>317</v>
      </c>
      <c r="D3364" s="46" t="s">
        <v>278</v>
      </c>
      <c r="E3364" s="36">
        <v>1.06E-2</v>
      </c>
      <c r="F3364" s="30">
        <v>14.8865</v>
      </c>
      <c r="G3364" s="33">
        <f t="shared" si="57"/>
        <v>0.15779689999999999</v>
      </c>
      <c r="H3364" s="38">
        <f>SUM(G3364:G3367)</f>
        <v>4.9400361000000004</v>
      </c>
      <c r="I3364" s="39"/>
      <c r="J3364" s="148">
        <v>0</v>
      </c>
      <c r="K3364" s="222">
        <v>0</v>
      </c>
    </row>
    <row r="3365" spans="1:11" ht="25.5" hidden="1" x14ac:dyDescent="0.25">
      <c r="A3365" s="203"/>
      <c r="B3365" s="205"/>
      <c r="C3365" s="35" t="s">
        <v>989</v>
      </c>
      <c r="D3365" s="46" t="s">
        <v>143</v>
      </c>
      <c r="E3365" s="36">
        <v>1</v>
      </c>
      <c r="F3365" s="30" t="s">
        <v>514</v>
      </c>
      <c r="G3365" s="33" t="str">
        <f t="shared" si="57"/>
        <v/>
      </c>
      <c r="H3365" s="34"/>
      <c r="I3365" s="30"/>
      <c r="J3365" s="148">
        <v>0</v>
      </c>
      <c r="K3365" s="222">
        <v>0</v>
      </c>
    </row>
    <row r="3366" spans="1:11" ht="25.5" hidden="1" x14ac:dyDescent="0.25">
      <c r="A3366" s="203"/>
      <c r="B3366" s="205"/>
      <c r="C3366" s="35" t="s">
        <v>106</v>
      </c>
      <c r="D3366" s="46" t="s">
        <v>12</v>
      </c>
      <c r="E3366" s="36">
        <v>0.11020000000000001</v>
      </c>
      <c r="F3366" s="30">
        <v>19.094999999999999</v>
      </c>
      <c r="G3366" s="33">
        <f t="shared" si="57"/>
        <v>2.1042689999999999</v>
      </c>
      <c r="H3366" s="34"/>
      <c r="I3366" s="30"/>
      <c r="J3366" s="148">
        <v>0</v>
      </c>
      <c r="K3366" s="222">
        <v>0</v>
      </c>
    </row>
    <row r="3367" spans="1:11" hidden="1" x14ac:dyDescent="0.25">
      <c r="A3367" s="203"/>
      <c r="B3367" s="205"/>
      <c r="C3367" s="35" t="s">
        <v>39</v>
      </c>
      <c r="D3367" s="35" t="s">
        <v>12</v>
      </c>
      <c r="E3367" s="36">
        <v>0.11020000000000001</v>
      </c>
      <c r="F3367" s="30">
        <v>24.300999999999998</v>
      </c>
      <c r="G3367" s="33">
        <f t="shared" si="57"/>
        <v>2.6779701999999999</v>
      </c>
      <c r="H3367" s="34"/>
      <c r="I3367" s="30"/>
      <c r="J3367" s="148">
        <v>0</v>
      </c>
      <c r="K3367" s="222">
        <v>0</v>
      </c>
    </row>
    <row r="3368" spans="1:11" ht="15.75" hidden="1" thickBot="1" x14ac:dyDescent="0.3">
      <c r="A3368" s="209"/>
      <c r="B3368" s="206"/>
      <c r="C3368" s="35"/>
      <c r="D3368" s="35"/>
      <c r="E3368" s="36"/>
      <c r="F3368" s="30" t="s">
        <v>514</v>
      </c>
      <c r="G3368" s="33" t="str">
        <f t="shared" si="57"/>
        <v/>
      </c>
      <c r="H3368" s="34"/>
      <c r="I3368" s="30"/>
      <c r="J3368" s="148">
        <v>0</v>
      </c>
      <c r="K3368" s="222">
        <v>0</v>
      </c>
    </row>
    <row r="3369" spans="1:11" ht="15.75" hidden="1" thickBot="1" x14ac:dyDescent="0.3">
      <c r="A3369" s="202" t="s">
        <v>990</v>
      </c>
      <c r="B3369" s="204" t="str">
        <f>INDEX(Orçamentária!A:B,MATCH(Composições!A3369,Orçamentária!A:A,0),2)</f>
        <v>Tampa em ferro fundido T33</v>
      </c>
      <c r="C3369" s="40"/>
      <c r="D3369" s="25" t="str">
        <f>TRIM(INDEX(Orçamentária!C:C,MATCH(Composições!A3369,Orçamentária!A:A,0),1))</f>
        <v>un</v>
      </c>
      <c r="E3369" s="26"/>
      <c r="F3369" s="41" t="s">
        <v>514</v>
      </c>
      <c r="G3369" s="27" t="str">
        <f t="shared" si="57"/>
        <v/>
      </c>
      <c r="H3369" s="28"/>
      <c r="I3369" s="29"/>
      <c r="J3369" s="148">
        <v>0</v>
      </c>
      <c r="K3369" s="222">
        <v>0</v>
      </c>
    </row>
    <row r="3370" spans="1:11" hidden="1" x14ac:dyDescent="0.25">
      <c r="A3370" s="203"/>
      <c r="B3370" s="205"/>
      <c r="C3370" s="31"/>
      <c r="D3370" s="31"/>
      <c r="E3370" s="32"/>
      <c r="F3370" s="42" t="s">
        <v>514</v>
      </c>
      <c r="G3370" s="33" t="str">
        <f t="shared" si="57"/>
        <v/>
      </c>
      <c r="H3370" s="34"/>
      <c r="I3370" s="30"/>
      <c r="J3370" s="148">
        <v>0</v>
      </c>
      <c r="K3370" s="222">
        <v>0</v>
      </c>
    </row>
    <row r="3371" spans="1:11" ht="25.5" hidden="1" x14ac:dyDescent="0.25">
      <c r="A3371" s="203"/>
      <c r="B3371" s="205"/>
      <c r="C3371" s="35" t="s">
        <v>991</v>
      </c>
      <c r="D3371" s="46" t="s">
        <v>278</v>
      </c>
      <c r="E3371" s="36">
        <v>1</v>
      </c>
      <c r="F3371" s="30">
        <v>265.9905</v>
      </c>
      <c r="G3371" s="33">
        <f t="shared" si="57"/>
        <v>265.9905</v>
      </c>
      <c r="H3371" s="38">
        <f>SUM(G3371:G3374)</f>
        <v>308.48467098249955</v>
      </c>
      <c r="I3371" s="39"/>
      <c r="J3371" s="148">
        <v>0</v>
      </c>
      <c r="K3371" s="222">
        <v>0</v>
      </c>
    </row>
    <row r="3372" spans="1:11" ht="25.5" hidden="1" x14ac:dyDescent="0.25">
      <c r="A3372" s="203"/>
      <c r="B3372" s="205"/>
      <c r="C3372" s="35" t="s">
        <v>3212</v>
      </c>
      <c r="D3372" s="46" t="s">
        <v>119</v>
      </c>
      <c r="E3372" s="36">
        <v>4.4000000000000003E-3</v>
      </c>
      <c r="F3372" s="30">
        <v>631.98173465899993</v>
      </c>
      <c r="G3372" s="33">
        <f t="shared" ref="G3372:G3435" si="58">IF(ISNUMBER(F3372),E3372*F3372,"")</f>
        <v>2.7807196324995997</v>
      </c>
      <c r="H3372" s="34"/>
      <c r="I3372" s="30"/>
      <c r="J3372" s="148">
        <v>0</v>
      </c>
      <c r="K3372" s="222">
        <v>0</v>
      </c>
    </row>
    <row r="3373" spans="1:11" hidden="1" x14ac:dyDescent="0.25">
      <c r="A3373" s="203"/>
      <c r="B3373" s="205"/>
      <c r="C3373" s="35" t="s">
        <v>22</v>
      </c>
      <c r="D3373" s="35" t="s">
        <v>12</v>
      </c>
      <c r="E3373" s="36">
        <v>1.0088999999999999</v>
      </c>
      <c r="F3373" s="30">
        <v>24.889999999999997</v>
      </c>
      <c r="G3373" s="33">
        <f t="shared" si="58"/>
        <v>25.111520999999996</v>
      </c>
      <c r="H3373" s="34"/>
      <c r="I3373" s="30"/>
      <c r="J3373" s="148">
        <v>0</v>
      </c>
      <c r="K3373" s="222">
        <v>0</v>
      </c>
    </row>
    <row r="3374" spans="1:11" hidden="1" x14ac:dyDescent="0.25">
      <c r="A3374" s="203"/>
      <c r="B3374" s="205"/>
      <c r="C3374" s="35" t="s">
        <v>23</v>
      </c>
      <c r="D3374" s="35" t="s">
        <v>12</v>
      </c>
      <c r="E3374" s="36">
        <v>0.79269999999999996</v>
      </c>
      <c r="F3374" s="30">
        <v>18.420500000000001</v>
      </c>
      <c r="G3374" s="33">
        <f t="shared" si="58"/>
        <v>14.60193035</v>
      </c>
      <c r="H3374" s="34"/>
      <c r="I3374" s="30"/>
      <c r="J3374" s="148">
        <v>0</v>
      </c>
      <c r="K3374" s="222">
        <v>0</v>
      </c>
    </row>
    <row r="3375" spans="1:11" ht="15.75" hidden="1" thickBot="1" x14ac:dyDescent="0.3">
      <c r="A3375" s="209"/>
      <c r="B3375" s="206"/>
      <c r="C3375" s="54"/>
      <c r="D3375" s="54"/>
      <c r="E3375" s="65"/>
      <c r="F3375" s="66" t="s">
        <v>514</v>
      </c>
      <c r="G3375" s="67" t="str">
        <f t="shared" si="58"/>
        <v/>
      </c>
      <c r="H3375" s="68"/>
      <c r="I3375" s="30"/>
      <c r="J3375" s="148">
        <v>0</v>
      </c>
      <c r="K3375" s="222">
        <v>0</v>
      </c>
    </row>
    <row r="3376" spans="1:11" ht="15.75" hidden="1" thickBot="1" x14ac:dyDescent="0.3">
      <c r="A3376" s="207" t="s">
        <v>993</v>
      </c>
      <c r="B3376" s="205" t="str">
        <f>INDEX(Orçamentária!A:B,MATCH(Composições!A3376,Orçamentária!A:A,0),2)</f>
        <v>Arquiteto(a) com experiência em intervenção no patrimônio cultural</v>
      </c>
      <c r="C3376" s="151"/>
      <c r="D3376" s="25" t="str">
        <f>TRIM(INDEX(Orçamentária!C:C,MATCH(Composições!A3376,Orçamentária!A:A,0),1))</f>
        <v>hh</v>
      </c>
      <c r="E3376" s="69"/>
      <c r="F3376" s="70" t="s">
        <v>514</v>
      </c>
      <c r="G3376" s="70" t="str">
        <f t="shared" si="58"/>
        <v/>
      </c>
      <c r="H3376" s="71"/>
      <c r="I3376" s="29"/>
      <c r="J3376" s="148">
        <v>0</v>
      </c>
      <c r="K3376" s="222">
        <v>0</v>
      </c>
    </row>
    <row r="3377" spans="1:11" hidden="1" x14ac:dyDescent="0.25">
      <c r="A3377" s="203"/>
      <c r="B3377" s="205"/>
      <c r="C3377" s="31"/>
      <c r="D3377" s="31"/>
      <c r="E3377" s="32"/>
      <c r="F3377" s="30" t="s">
        <v>514</v>
      </c>
      <c r="G3377" s="33" t="str">
        <f t="shared" si="58"/>
        <v/>
      </c>
      <c r="H3377" s="34"/>
      <c r="I3377" s="30"/>
      <c r="J3377" s="148">
        <v>0</v>
      </c>
      <c r="K3377" s="222">
        <v>0</v>
      </c>
    </row>
    <row r="3378" spans="1:11" hidden="1" x14ac:dyDescent="0.25">
      <c r="A3378" s="203"/>
      <c r="B3378" s="205"/>
      <c r="C3378" s="35" t="s">
        <v>994</v>
      </c>
      <c r="D3378" s="35" t="s">
        <v>12</v>
      </c>
      <c r="E3378" s="36">
        <v>1</v>
      </c>
      <c r="F3378" s="30">
        <v>99.997</v>
      </c>
      <c r="G3378" s="33">
        <f t="shared" si="58"/>
        <v>99.997</v>
      </c>
      <c r="H3378" s="38">
        <f>SUM(G3378:G3378)</f>
        <v>99.997</v>
      </c>
      <c r="I3378" s="39"/>
      <c r="J3378" s="148">
        <v>0</v>
      </c>
      <c r="K3378" s="222">
        <v>0</v>
      </c>
    </row>
    <row r="3379" spans="1:11" ht="15.75" hidden="1" thickBot="1" x14ac:dyDescent="0.3">
      <c r="A3379" s="209"/>
      <c r="B3379" s="206"/>
      <c r="C3379" s="35"/>
      <c r="D3379" s="35"/>
      <c r="E3379" s="36"/>
      <c r="F3379" s="30" t="s">
        <v>514</v>
      </c>
      <c r="G3379" s="33" t="str">
        <f t="shared" si="58"/>
        <v/>
      </c>
      <c r="H3379" s="34"/>
      <c r="I3379" s="30"/>
      <c r="J3379" s="148">
        <v>0</v>
      </c>
      <c r="K3379" s="222">
        <v>0</v>
      </c>
    </row>
    <row r="3380" spans="1:11" ht="15.75" hidden="1" thickBot="1" x14ac:dyDescent="0.3">
      <c r="A3380" s="202" t="s">
        <v>995</v>
      </c>
      <c r="B3380" s="204" t="str">
        <f>INDEX(Orçamentária!A:B,MATCH(Composições!A3380,Orçamentária!A:A,0),2)</f>
        <v>Locação de andaime suspenso tipo leve</v>
      </c>
      <c r="C3380" s="40"/>
      <c r="D3380" s="25" t="str">
        <f>TRIM(INDEX(Orçamentária!C:C,MATCH(Composições!A3380,Orçamentária!A:A,0),1))</f>
        <v>un x mês</v>
      </c>
      <c r="E3380" s="26"/>
      <c r="F3380" s="41" t="s">
        <v>514</v>
      </c>
      <c r="G3380" s="27" t="str">
        <f t="shared" si="58"/>
        <v/>
      </c>
      <c r="H3380" s="28"/>
      <c r="I3380" s="29"/>
      <c r="J3380" s="148">
        <v>0</v>
      </c>
      <c r="K3380" s="222">
        <v>0</v>
      </c>
    </row>
    <row r="3381" spans="1:11" hidden="1" x14ac:dyDescent="0.25">
      <c r="A3381" s="207"/>
      <c r="B3381" s="205"/>
      <c r="C3381" s="31"/>
      <c r="D3381" s="31"/>
      <c r="E3381" s="32"/>
      <c r="F3381" s="42" t="s">
        <v>514</v>
      </c>
      <c r="G3381" s="33" t="str">
        <f t="shared" si="58"/>
        <v/>
      </c>
      <c r="H3381" s="34"/>
      <c r="I3381" s="30"/>
      <c r="J3381" s="148">
        <v>0</v>
      </c>
      <c r="K3381" s="222">
        <v>0</v>
      </c>
    </row>
    <row r="3382" spans="1:11" ht="38.25" hidden="1" x14ac:dyDescent="0.25">
      <c r="A3382" s="207"/>
      <c r="B3382" s="205"/>
      <c r="C3382" s="35" t="s">
        <v>996</v>
      </c>
      <c r="D3382" s="35" t="s">
        <v>126</v>
      </c>
      <c r="E3382" s="36">
        <v>1</v>
      </c>
      <c r="F3382" s="30">
        <v>570</v>
      </c>
      <c r="G3382" s="33">
        <f t="shared" si="58"/>
        <v>570</v>
      </c>
      <c r="H3382" s="38">
        <f>SUM(G3382:G3382)</f>
        <v>570</v>
      </c>
      <c r="I3382" s="39"/>
      <c r="J3382" s="148">
        <v>0</v>
      </c>
      <c r="K3382" s="222">
        <v>0</v>
      </c>
    </row>
    <row r="3383" spans="1:11" ht="15.75" hidden="1" thickBot="1" x14ac:dyDescent="0.3">
      <c r="A3383" s="208"/>
      <c r="B3383" s="206"/>
      <c r="C3383" s="35"/>
      <c r="D3383" s="35"/>
      <c r="E3383" s="36"/>
      <c r="F3383" s="30" t="s">
        <v>514</v>
      </c>
      <c r="G3383" s="33" t="str">
        <f t="shared" si="58"/>
        <v/>
      </c>
      <c r="H3383" s="34"/>
      <c r="I3383" s="30"/>
      <c r="J3383" s="148">
        <v>0</v>
      </c>
      <c r="K3383" s="222">
        <v>0</v>
      </c>
    </row>
    <row r="3384" spans="1:11" ht="15.75" hidden="1" thickBot="1" x14ac:dyDescent="0.3">
      <c r="A3384" s="202" t="s">
        <v>997</v>
      </c>
      <c r="B3384" s="204" t="str">
        <f>INDEX(Orçamentária!A:B,MATCH(Composições!A3384,Orçamentária!A:A,0),2)</f>
        <v>Limpeza de superfície por hidrojateamento de média pressão</v>
      </c>
      <c r="C3384" s="40"/>
      <c r="D3384" s="25" t="str">
        <f>TRIM(INDEX(Orçamentária!C:C,MATCH(Composições!A3384,Orçamentária!A:A,0),1))</f>
        <v>m2</v>
      </c>
      <c r="E3384" s="26"/>
      <c r="F3384" s="41" t="s">
        <v>514</v>
      </c>
      <c r="G3384" s="27" t="str">
        <f t="shared" si="58"/>
        <v/>
      </c>
      <c r="H3384" s="28"/>
      <c r="I3384" s="29"/>
      <c r="J3384" s="148">
        <v>0</v>
      </c>
      <c r="K3384" s="222">
        <v>0</v>
      </c>
    </row>
    <row r="3385" spans="1:11" hidden="1" x14ac:dyDescent="0.25">
      <c r="A3385" s="203"/>
      <c r="B3385" s="205"/>
      <c r="C3385" s="31"/>
      <c r="D3385" s="31"/>
      <c r="E3385" s="32"/>
      <c r="F3385" s="42" t="s">
        <v>514</v>
      </c>
      <c r="G3385" s="33" t="str">
        <f t="shared" si="58"/>
        <v/>
      </c>
      <c r="H3385" s="34"/>
      <c r="I3385" s="30"/>
      <c r="J3385" s="148">
        <v>0</v>
      </c>
      <c r="K3385" s="222">
        <v>0</v>
      </c>
    </row>
    <row r="3386" spans="1:11" hidden="1" x14ac:dyDescent="0.25">
      <c r="A3386" s="203"/>
      <c r="B3386" s="205"/>
      <c r="C3386" s="35" t="s">
        <v>23</v>
      </c>
      <c r="D3386" s="35" t="s">
        <v>12</v>
      </c>
      <c r="E3386" s="36">
        <v>8.8999999999999996E-2</v>
      </c>
      <c r="F3386" s="30">
        <v>18.420500000000001</v>
      </c>
      <c r="G3386" s="33">
        <f t="shared" si="58"/>
        <v>1.6394245000000001</v>
      </c>
      <c r="H3386" s="38">
        <f>SUM(G3386:G3387)</f>
        <v>1.680607</v>
      </c>
      <c r="I3386" s="39"/>
      <c r="J3386" s="148">
        <v>0</v>
      </c>
      <c r="K3386" s="222">
        <v>0</v>
      </c>
    </row>
    <row r="3387" spans="1:11" ht="38.25" hidden="1" x14ac:dyDescent="0.25">
      <c r="A3387" s="203"/>
      <c r="B3387" s="205"/>
      <c r="C3387" s="35" t="s">
        <v>998</v>
      </c>
      <c r="D3387" s="35" t="s">
        <v>33</v>
      </c>
      <c r="E3387" s="36">
        <v>1.4999999999999999E-2</v>
      </c>
      <c r="F3387" s="30">
        <v>2.7454999999999998</v>
      </c>
      <c r="G3387" s="33">
        <f t="shared" si="58"/>
        <v>4.1182499999999997E-2</v>
      </c>
      <c r="H3387" s="34"/>
      <c r="I3387" s="30"/>
      <c r="J3387" s="148">
        <v>0</v>
      </c>
      <c r="K3387" s="222">
        <v>0</v>
      </c>
    </row>
    <row r="3388" spans="1:11" ht="15.75" hidden="1" thickBot="1" x14ac:dyDescent="0.3">
      <c r="A3388" s="209"/>
      <c r="B3388" s="206"/>
      <c r="C3388" s="35"/>
      <c r="D3388" s="35"/>
      <c r="E3388" s="36"/>
      <c r="F3388" s="30" t="s">
        <v>514</v>
      </c>
      <c r="G3388" s="33" t="str">
        <f t="shared" si="58"/>
        <v/>
      </c>
      <c r="H3388" s="34"/>
      <c r="I3388" s="30"/>
      <c r="J3388" s="148">
        <v>0</v>
      </c>
      <c r="K3388" s="222">
        <v>0</v>
      </c>
    </row>
    <row r="3389" spans="1:11" ht="15.75" hidden="1" thickBot="1" x14ac:dyDescent="0.3">
      <c r="A3389" s="202" t="s">
        <v>999</v>
      </c>
      <c r="B3389" s="204" t="str">
        <f>INDEX(Orçamentária!A:B,MATCH(Composições!A3389,Orçamentária!A:A,0),2)</f>
        <v>Inspeção da integridade e adesão de placas de rocha ornamental por percussão</v>
      </c>
      <c r="C3389" s="40"/>
      <c r="D3389" s="25" t="str">
        <f>TRIM(INDEX(Orçamentária!C:C,MATCH(Composições!A3389,Orçamentária!A:A,0),1))</f>
        <v>m2</v>
      </c>
      <c r="E3389" s="26"/>
      <c r="F3389" s="48" t="s">
        <v>514</v>
      </c>
      <c r="G3389" s="27" t="str">
        <f t="shared" si="58"/>
        <v/>
      </c>
      <c r="H3389" s="28"/>
      <c r="I3389" s="29"/>
      <c r="J3389" s="148">
        <v>0</v>
      </c>
      <c r="K3389" s="222">
        <v>0</v>
      </c>
    </row>
    <row r="3390" spans="1:11" hidden="1" x14ac:dyDescent="0.25">
      <c r="A3390" s="203"/>
      <c r="B3390" s="205"/>
      <c r="C3390" s="31"/>
      <c r="D3390" s="31"/>
      <c r="E3390" s="32"/>
      <c r="F3390" s="53" t="s">
        <v>514</v>
      </c>
      <c r="G3390" s="53" t="str">
        <f t="shared" si="58"/>
        <v/>
      </c>
      <c r="H3390" s="72"/>
      <c r="I3390" s="73"/>
      <c r="J3390" s="148">
        <v>0</v>
      </c>
      <c r="K3390" s="222">
        <v>0</v>
      </c>
    </row>
    <row r="3391" spans="1:11" hidden="1" x14ac:dyDescent="0.25">
      <c r="A3391" s="203"/>
      <c r="B3391" s="205"/>
      <c r="C3391" s="35" t="s">
        <v>54</v>
      </c>
      <c r="D3391" s="35" t="s">
        <v>12</v>
      </c>
      <c r="E3391" s="36">
        <v>0.25</v>
      </c>
      <c r="F3391" s="53">
        <v>24.795000000000002</v>
      </c>
      <c r="G3391" s="53">
        <f t="shared" si="58"/>
        <v>6.1987500000000004</v>
      </c>
      <c r="H3391" s="38">
        <f>SUM(G3391:G3392)</f>
        <v>6.1987500000000004</v>
      </c>
      <c r="I3391" s="39"/>
      <c r="J3391" s="148">
        <v>0</v>
      </c>
      <c r="K3391" s="222">
        <v>0</v>
      </c>
    </row>
    <row r="3392" spans="1:11" ht="15.75" hidden="1" thickBot="1" x14ac:dyDescent="0.3">
      <c r="A3392" s="209"/>
      <c r="B3392" s="206"/>
      <c r="C3392" s="35"/>
      <c r="D3392" s="35"/>
      <c r="E3392" s="36"/>
      <c r="F3392" s="53" t="s">
        <v>514</v>
      </c>
      <c r="G3392" s="53" t="str">
        <f t="shared" si="58"/>
        <v/>
      </c>
      <c r="H3392" s="72"/>
      <c r="I3392" s="73"/>
      <c r="J3392" s="148">
        <v>0</v>
      </c>
      <c r="K3392" s="222">
        <v>0</v>
      </c>
    </row>
    <row r="3393" spans="1:11" ht="15.75" hidden="1" thickBot="1" x14ac:dyDescent="0.3">
      <c r="A3393" s="202" t="s">
        <v>1000</v>
      </c>
      <c r="B3393" s="204" t="str">
        <f>INDEX(Orçamentária!A:B,MATCH(Composições!A3393,Orçamentária!A:A,0),2)</f>
        <v>Demolição de proteção mecânica de impermeabilização</v>
      </c>
      <c r="C3393" s="40"/>
      <c r="D3393" s="25" t="str">
        <f>TRIM(INDEX(Orçamentária!C:C,MATCH(Composições!A3393,Orçamentária!A:A,0),1))</f>
        <v>m2</v>
      </c>
      <c r="E3393" s="26"/>
      <c r="F3393" s="48" t="s">
        <v>514</v>
      </c>
      <c r="G3393" s="27" t="str">
        <f t="shared" si="58"/>
        <v/>
      </c>
      <c r="H3393" s="28"/>
      <c r="I3393" s="29"/>
      <c r="J3393" s="148">
        <v>0</v>
      </c>
      <c r="K3393" s="222">
        <v>0</v>
      </c>
    </row>
    <row r="3394" spans="1:11" hidden="1" x14ac:dyDescent="0.25">
      <c r="A3394" s="203"/>
      <c r="B3394" s="205"/>
      <c r="C3394" s="31"/>
      <c r="D3394" s="31"/>
      <c r="E3394" s="32"/>
      <c r="F3394" s="53" t="s">
        <v>514</v>
      </c>
      <c r="G3394" s="53" t="str">
        <f t="shared" si="58"/>
        <v/>
      </c>
      <c r="H3394" s="72"/>
      <c r="I3394" s="73"/>
      <c r="J3394" s="148">
        <v>0</v>
      </c>
      <c r="K3394" s="222">
        <v>0</v>
      </c>
    </row>
    <row r="3395" spans="1:11" hidden="1" x14ac:dyDescent="0.25">
      <c r="A3395" s="203"/>
      <c r="B3395" s="205"/>
      <c r="C3395" s="35" t="s">
        <v>23</v>
      </c>
      <c r="D3395" s="35" t="s">
        <v>695</v>
      </c>
      <c r="E3395" s="36">
        <v>1.25</v>
      </c>
      <c r="F3395" s="53">
        <v>18.420500000000001</v>
      </c>
      <c r="G3395" s="53">
        <f t="shared" si="58"/>
        <v>23.025625000000002</v>
      </c>
      <c r="H3395" s="38">
        <f>SUM(G3395:G3395)</f>
        <v>23.025625000000002</v>
      </c>
      <c r="I3395" s="39"/>
      <c r="J3395" s="148">
        <v>0</v>
      </c>
      <c r="K3395" s="222">
        <v>0</v>
      </c>
    </row>
    <row r="3396" spans="1:11" ht="15.75" hidden="1" thickBot="1" x14ac:dyDescent="0.3">
      <c r="A3396" s="209"/>
      <c r="B3396" s="206"/>
      <c r="C3396" s="35"/>
      <c r="D3396" s="35"/>
      <c r="E3396" s="36"/>
      <c r="F3396" s="53" t="s">
        <v>514</v>
      </c>
      <c r="G3396" s="53" t="str">
        <f t="shared" si="58"/>
        <v/>
      </c>
      <c r="H3396" s="72"/>
      <c r="I3396" s="73"/>
      <c r="J3396" s="148">
        <v>0</v>
      </c>
      <c r="K3396" s="222">
        <v>0</v>
      </c>
    </row>
    <row r="3397" spans="1:11" ht="15.75" hidden="1" thickBot="1" x14ac:dyDescent="0.3">
      <c r="A3397" s="202" t="s">
        <v>1001</v>
      </c>
      <c r="B3397" s="204" t="str">
        <f>INDEX(Orçamentária!A:B,MATCH(Composições!A3397,Orçamentária!A:A,0),2)</f>
        <v>Impermeabilização com emulsão asfáltica</v>
      </c>
      <c r="C3397" s="40"/>
      <c r="D3397" s="25" t="str">
        <f>TRIM(INDEX(Orçamentária!C:C,MATCH(Composições!A3397,Orçamentária!A:A,0),1))</f>
        <v>m2</v>
      </c>
      <c r="E3397" s="26"/>
      <c r="F3397" s="48" t="s">
        <v>514</v>
      </c>
      <c r="G3397" s="27" t="str">
        <f t="shared" si="58"/>
        <v/>
      </c>
      <c r="H3397" s="28"/>
      <c r="I3397" s="29"/>
      <c r="J3397" s="148">
        <v>0</v>
      </c>
      <c r="K3397" s="222">
        <v>0</v>
      </c>
    </row>
    <row r="3398" spans="1:11" hidden="1" x14ac:dyDescent="0.25">
      <c r="A3398" s="203"/>
      <c r="B3398" s="205"/>
      <c r="C3398" s="31"/>
      <c r="D3398" s="31"/>
      <c r="E3398" s="32"/>
      <c r="F3398" s="53" t="s">
        <v>514</v>
      </c>
      <c r="G3398" s="53" t="str">
        <f t="shared" si="58"/>
        <v/>
      </c>
      <c r="H3398" s="72"/>
      <c r="I3398" s="73"/>
      <c r="J3398" s="148">
        <v>0</v>
      </c>
      <c r="K3398" s="222">
        <v>0</v>
      </c>
    </row>
    <row r="3399" spans="1:11" ht="38.25" hidden="1" x14ac:dyDescent="0.25">
      <c r="A3399" s="203"/>
      <c r="B3399" s="205"/>
      <c r="C3399" s="35" t="s">
        <v>1002</v>
      </c>
      <c r="D3399" s="35" t="s">
        <v>891</v>
      </c>
      <c r="E3399" s="36">
        <v>1.5</v>
      </c>
      <c r="F3399" s="53">
        <v>17.413499999999999</v>
      </c>
      <c r="G3399" s="53">
        <f t="shared" si="58"/>
        <v>26.120249999999999</v>
      </c>
      <c r="H3399" s="38">
        <f>SUM(G3399:G3402)</f>
        <v>47.353196499999996</v>
      </c>
      <c r="I3399" s="39"/>
      <c r="J3399" s="148">
        <v>0</v>
      </c>
      <c r="K3399" s="222">
        <v>0</v>
      </c>
    </row>
    <row r="3400" spans="1:11" hidden="1" x14ac:dyDescent="0.25">
      <c r="A3400" s="203"/>
      <c r="B3400" s="205"/>
      <c r="C3400" s="35" t="s">
        <v>3370</v>
      </c>
      <c r="D3400" s="35" t="s">
        <v>982</v>
      </c>
      <c r="E3400" s="36">
        <v>1.351</v>
      </c>
      <c r="F3400" s="53">
        <v>6.7164999999999999</v>
      </c>
      <c r="G3400" s="53">
        <f t="shared" si="58"/>
        <v>9.0739915</v>
      </c>
      <c r="H3400" s="72"/>
      <c r="I3400" s="39"/>
      <c r="J3400" s="148">
        <v>0</v>
      </c>
      <c r="K3400" s="222">
        <v>0</v>
      </c>
    </row>
    <row r="3401" spans="1:11" hidden="1" x14ac:dyDescent="0.25">
      <c r="A3401" s="203"/>
      <c r="B3401" s="205"/>
      <c r="C3401" s="35" t="s">
        <v>1003</v>
      </c>
      <c r="D3401" s="35" t="s">
        <v>695</v>
      </c>
      <c r="E3401" s="36">
        <v>8.5000000000000006E-2</v>
      </c>
      <c r="F3401" s="53">
        <v>19.474999999999998</v>
      </c>
      <c r="G3401" s="53">
        <f t="shared" si="58"/>
        <v>1.655375</v>
      </c>
      <c r="H3401" s="72"/>
      <c r="I3401" s="73"/>
      <c r="J3401" s="148">
        <v>0</v>
      </c>
      <c r="K3401" s="222">
        <v>0</v>
      </c>
    </row>
    <row r="3402" spans="1:11" hidden="1" x14ac:dyDescent="0.25">
      <c r="A3402" s="203"/>
      <c r="B3402" s="205"/>
      <c r="C3402" s="35" t="s">
        <v>1004</v>
      </c>
      <c r="D3402" s="35" t="s">
        <v>695</v>
      </c>
      <c r="E3402" s="36">
        <v>0.42199999999999999</v>
      </c>
      <c r="F3402" s="53">
        <v>24.889999999999997</v>
      </c>
      <c r="G3402" s="53">
        <f t="shared" si="58"/>
        <v>10.503579999999998</v>
      </c>
      <c r="H3402" s="72"/>
      <c r="I3402" s="73"/>
      <c r="J3402" s="148">
        <v>0</v>
      </c>
      <c r="K3402" s="222">
        <v>0</v>
      </c>
    </row>
    <row r="3403" spans="1:11" ht="15.75" hidden="1" thickBot="1" x14ac:dyDescent="0.3">
      <c r="A3403" s="209"/>
      <c r="B3403" s="206"/>
      <c r="C3403" s="35"/>
      <c r="D3403" s="35"/>
      <c r="E3403" s="36"/>
      <c r="F3403" s="53" t="s">
        <v>514</v>
      </c>
      <c r="G3403" s="53" t="str">
        <f t="shared" si="58"/>
        <v/>
      </c>
      <c r="H3403" s="72"/>
      <c r="I3403" s="73"/>
      <c r="J3403" s="148">
        <v>0</v>
      </c>
      <c r="K3403" s="222">
        <v>0</v>
      </c>
    </row>
    <row r="3404" spans="1:11" ht="15.75" hidden="1" thickBot="1" x14ac:dyDescent="0.3">
      <c r="A3404" s="202" t="s">
        <v>1005</v>
      </c>
      <c r="B3404" s="204" t="str">
        <f>INDEX(Orçamentária!A:B,MATCH(Composições!A3404,Orçamentária!A:A,0),2)</f>
        <v>Camada de proteção mecânica simples de impermeabilização</v>
      </c>
      <c r="C3404" s="40"/>
      <c r="D3404" s="25" t="str">
        <f>TRIM(INDEX(Orçamentária!C:C,MATCH(Composições!A3404,Orçamentária!A:A,0),1))</f>
        <v>m2</v>
      </c>
      <c r="E3404" s="26"/>
      <c r="F3404" s="48" t="s">
        <v>514</v>
      </c>
      <c r="G3404" s="27" t="str">
        <f t="shared" si="58"/>
        <v/>
      </c>
      <c r="H3404" s="28"/>
      <c r="I3404" s="29"/>
      <c r="J3404" s="148">
        <v>0</v>
      </c>
      <c r="K3404" s="222">
        <v>0</v>
      </c>
    </row>
    <row r="3405" spans="1:11" hidden="1" x14ac:dyDescent="0.25">
      <c r="A3405" s="203"/>
      <c r="B3405" s="205"/>
      <c r="C3405" s="31"/>
      <c r="D3405" s="31"/>
      <c r="E3405" s="32"/>
      <c r="F3405" s="53" t="s">
        <v>514</v>
      </c>
      <c r="G3405" s="53" t="str">
        <f t="shared" si="58"/>
        <v/>
      </c>
      <c r="H3405" s="72"/>
      <c r="I3405" s="73"/>
      <c r="J3405" s="148">
        <v>0</v>
      </c>
      <c r="K3405" s="222">
        <v>0</v>
      </c>
    </row>
    <row r="3406" spans="1:11" hidden="1" x14ac:dyDescent="0.25">
      <c r="A3406" s="203"/>
      <c r="B3406" s="205"/>
      <c r="C3406" s="35" t="s">
        <v>1006</v>
      </c>
      <c r="D3406" s="35" t="s">
        <v>982</v>
      </c>
      <c r="E3406" s="36">
        <v>1.04</v>
      </c>
      <c r="F3406" s="53">
        <v>1.9854999999999998</v>
      </c>
      <c r="G3406" s="53">
        <f t="shared" si="58"/>
        <v>2.0649199999999999</v>
      </c>
      <c r="H3406" s="38">
        <f>SUM(G3406:G3409)</f>
        <v>51.560679774375004</v>
      </c>
      <c r="I3406" s="39"/>
      <c r="J3406" s="148">
        <v>0</v>
      </c>
      <c r="K3406" s="222">
        <v>0</v>
      </c>
    </row>
    <row r="3407" spans="1:11" ht="25.5" hidden="1" x14ac:dyDescent="0.25">
      <c r="A3407" s="203"/>
      <c r="B3407" s="205"/>
      <c r="C3407" s="35" t="s">
        <v>1007</v>
      </c>
      <c r="D3407" s="35" t="s">
        <v>119</v>
      </c>
      <c r="E3407" s="36">
        <v>3.5000000000000003E-2</v>
      </c>
      <c r="F3407" s="53">
        <v>875.52352212500011</v>
      </c>
      <c r="G3407" s="53">
        <f t="shared" si="58"/>
        <v>30.643323274375007</v>
      </c>
      <c r="H3407" s="72"/>
      <c r="I3407" s="73"/>
      <c r="J3407" s="148">
        <v>0</v>
      </c>
      <c r="K3407" s="222">
        <v>0</v>
      </c>
    </row>
    <row r="3408" spans="1:11" hidden="1" x14ac:dyDescent="0.25">
      <c r="A3408" s="203"/>
      <c r="B3408" s="205"/>
      <c r="C3408" s="35" t="s">
        <v>22</v>
      </c>
      <c r="D3408" s="35" t="s">
        <v>695</v>
      </c>
      <c r="E3408" s="36">
        <v>0.65900000000000003</v>
      </c>
      <c r="F3408" s="53">
        <v>24.889999999999997</v>
      </c>
      <c r="G3408" s="53">
        <f t="shared" si="58"/>
        <v>16.402509999999999</v>
      </c>
      <c r="H3408" s="72"/>
      <c r="I3408" s="73"/>
      <c r="J3408" s="148">
        <v>0</v>
      </c>
      <c r="K3408" s="222">
        <v>0</v>
      </c>
    </row>
    <row r="3409" spans="1:11" hidden="1" x14ac:dyDescent="0.25">
      <c r="A3409" s="203"/>
      <c r="B3409" s="205"/>
      <c r="C3409" s="35" t="s">
        <v>23</v>
      </c>
      <c r="D3409" s="35" t="s">
        <v>695</v>
      </c>
      <c r="E3409" s="36">
        <v>0.13300000000000001</v>
      </c>
      <c r="F3409" s="53">
        <v>18.420500000000001</v>
      </c>
      <c r="G3409" s="53">
        <f t="shared" si="58"/>
        <v>2.4499265000000001</v>
      </c>
      <c r="H3409" s="72"/>
      <c r="I3409" s="73"/>
      <c r="J3409" s="148">
        <v>0</v>
      </c>
      <c r="K3409" s="222">
        <v>0</v>
      </c>
    </row>
    <row r="3410" spans="1:11" ht="15.75" hidden="1" thickBot="1" x14ac:dyDescent="0.3">
      <c r="A3410" s="209"/>
      <c r="B3410" s="206"/>
      <c r="C3410" s="35"/>
      <c r="D3410" s="35"/>
      <c r="E3410" s="36"/>
      <c r="F3410" s="53" t="s">
        <v>514</v>
      </c>
      <c r="G3410" s="53" t="str">
        <f t="shared" si="58"/>
        <v/>
      </c>
      <c r="H3410" s="72"/>
      <c r="I3410" s="73"/>
      <c r="J3410" s="148">
        <v>0</v>
      </c>
      <c r="K3410" s="222">
        <v>0</v>
      </c>
    </row>
    <row r="3411" spans="1:11" ht="15.75" hidden="1" thickBot="1" x14ac:dyDescent="0.3">
      <c r="A3411" s="202" t="s">
        <v>1008</v>
      </c>
      <c r="B3411" s="204" t="str">
        <f>INDEX(Orçamentária!A:B,MATCH(Composições!A3411,Orçamentária!A:A,0),2)</f>
        <v>Camada de proteção mecânica estruturada de impermeabilização</v>
      </c>
      <c r="C3411" s="40"/>
      <c r="D3411" s="25" t="str">
        <f>TRIM(INDEX(Orçamentária!C:C,MATCH(Composições!A3411,Orçamentária!A:A,0),1))</f>
        <v>m2</v>
      </c>
      <c r="E3411" s="26"/>
      <c r="F3411" s="48" t="s">
        <v>514</v>
      </c>
      <c r="G3411" s="27" t="str">
        <f t="shared" si="58"/>
        <v/>
      </c>
      <c r="H3411" s="28"/>
      <c r="I3411" s="29"/>
      <c r="J3411" s="148">
        <v>0</v>
      </c>
      <c r="K3411" s="222">
        <v>0</v>
      </c>
    </row>
    <row r="3412" spans="1:11" hidden="1" x14ac:dyDescent="0.25">
      <c r="A3412" s="203"/>
      <c r="B3412" s="205"/>
      <c r="C3412" s="31"/>
      <c r="D3412" s="31"/>
      <c r="E3412" s="32"/>
      <c r="F3412" s="53" t="s">
        <v>514</v>
      </c>
      <c r="G3412" s="53" t="str">
        <f t="shared" si="58"/>
        <v/>
      </c>
      <c r="H3412" s="72"/>
      <c r="I3412" s="73"/>
      <c r="J3412" s="148">
        <v>0</v>
      </c>
      <c r="K3412" s="222">
        <v>0</v>
      </c>
    </row>
    <row r="3413" spans="1:11" ht="25.5" hidden="1" x14ac:dyDescent="0.25">
      <c r="A3413" s="203"/>
      <c r="B3413" s="205"/>
      <c r="C3413" s="35" t="s">
        <v>1009</v>
      </c>
      <c r="D3413" s="35" t="s">
        <v>982</v>
      </c>
      <c r="E3413" s="36">
        <v>1.05</v>
      </c>
      <c r="F3413" s="53">
        <v>14.829499999999999</v>
      </c>
      <c r="G3413" s="53">
        <f t="shared" si="58"/>
        <v>15.570975000000001</v>
      </c>
      <c r="H3413" s="38">
        <f>SUM(G3413:G3416)</f>
        <v>66.420769774375003</v>
      </c>
      <c r="I3413" s="39"/>
      <c r="J3413" s="148">
        <v>0</v>
      </c>
      <c r="K3413" s="222">
        <v>0</v>
      </c>
    </row>
    <row r="3414" spans="1:11" ht="25.5" hidden="1" x14ac:dyDescent="0.25">
      <c r="A3414" s="203"/>
      <c r="B3414" s="205"/>
      <c r="C3414" s="35" t="s">
        <v>1007</v>
      </c>
      <c r="D3414" s="35" t="s">
        <v>119</v>
      </c>
      <c r="E3414" s="36">
        <v>3.5000000000000003E-2</v>
      </c>
      <c r="F3414" s="53">
        <v>875.52352212500011</v>
      </c>
      <c r="G3414" s="53">
        <f t="shared" si="58"/>
        <v>30.643323274375007</v>
      </c>
      <c r="H3414" s="72"/>
      <c r="I3414" s="73"/>
      <c r="J3414" s="148">
        <v>0</v>
      </c>
      <c r="K3414" s="222">
        <v>0</v>
      </c>
    </row>
    <row r="3415" spans="1:11" hidden="1" x14ac:dyDescent="0.25">
      <c r="A3415" s="203"/>
      <c r="B3415" s="205"/>
      <c r="C3415" s="35" t="s">
        <v>22</v>
      </c>
      <c r="D3415" s="35" t="s">
        <v>695</v>
      </c>
      <c r="E3415" s="36">
        <v>0.70599999999999996</v>
      </c>
      <c r="F3415" s="53">
        <v>24.889999999999997</v>
      </c>
      <c r="G3415" s="53">
        <f t="shared" si="58"/>
        <v>17.572339999999997</v>
      </c>
      <c r="H3415" s="72"/>
      <c r="I3415" s="73"/>
      <c r="J3415" s="148">
        <v>0</v>
      </c>
      <c r="K3415" s="222">
        <v>0</v>
      </c>
    </row>
    <row r="3416" spans="1:11" hidden="1" x14ac:dyDescent="0.25">
      <c r="A3416" s="203"/>
      <c r="B3416" s="205"/>
      <c r="C3416" s="35" t="s">
        <v>23</v>
      </c>
      <c r="D3416" s="35" t="s">
        <v>695</v>
      </c>
      <c r="E3416" s="36">
        <v>0.14299999999999999</v>
      </c>
      <c r="F3416" s="53">
        <v>18.420500000000001</v>
      </c>
      <c r="G3416" s="53">
        <f t="shared" si="58"/>
        <v>2.6341315000000001</v>
      </c>
      <c r="H3416" s="72"/>
      <c r="I3416" s="73"/>
      <c r="J3416" s="148">
        <v>0</v>
      </c>
      <c r="K3416" s="222">
        <v>0</v>
      </c>
    </row>
    <row r="3417" spans="1:11" ht="15.75" hidden="1" thickBot="1" x14ac:dyDescent="0.3">
      <c r="A3417" s="209"/>
      <c r="B3417" s="206"/>
      <c r="C3417" s="35"/>
      <c r="D3417" s="35"/>
      <c r="E3417" s="36"/>
      <c r="F3417" s="53" t="s">
        <v>514</v>
      </c>
      <c r="G3417" s="53" t="str">
        <f t="shared" si="58"/>
        <v/>
      </c>
      <c r="H3417" s="72"/>
      <c r="I3417" s="73"/>
      <c r="J3417" s="148">
        <v>0</v>
      </c>
      <c r="K3417" s="222">
        <v>0</v>
      </c>
    </row>
    <row r="3418" spans="1:11" ht="15.75" hidden="1" thickBot="1" x14ac:dyDescent="0.3">
      <c r="A3418" s="202" t="s">
        <v>1010</v>
      </c>
      <c r="B3418" s="204" t="str">
        <f>INDEX(Orçamentária!A:B,MATCH(Composições!A3418,Orçamentária!A:A,0),2)</f>
        <v>Remoção de placas  de mármore encaixadas por fixadores metálicos (modelo Ed. Principal)</v>
      </c>
      <c r="C3418" s="40"/>
      <c r="D3418" s="25" t="str">
        <f>TRIM(INDEX(Orçamentária!C:C,MATCH(Composições!A3418,Orçamentária!A:A,0),1))</f>
        <v>m2</v>
      </c>
      <c r="E3418" s="26"/>
      <c r="F3418" s="48" t="s">
        <v>514</v>
      </c>
      <c r="G3418" s="27" t="str">
        <f t="shared" si="58"/>
        <v/>
      </c>
      <c r="H3418" s="28"/>
      <c r="I3418" s="29"/>
      <c r="J3418" s="148">
        <v>0</v>
      </c>
      <c r="K3418" s="222">
        <v>0</v>
      </c>
    </row>
    <row r="3419" spans="1:11" hidden="1" x14ac:dyDescent="0.25">
      <c r="A3419" s="203"/>
      <c r="B3419" s="205"/>
      <c r="C3419" s="31"/>
      <c r="D3419" s="31"/>
      <c r="E3419" s="32"/>
      <c r="F3419" s="53" t="s">
        <v>514</v>
      </c>
      <c r="G3419" s="53" t="str">
        <f t="shared" si="58"/>
        <v/>
      </c>
      <c r="H3419" s="72"/>
      <c r="I3419" s="73"/>
      <c r="J3419" s="148">
        <v>0</v>
      </c>
      <c r="K3419" s="222">
        <v>0</v>
      </c>
    </row>
    <row r="3420" spans="1:11" hidden="1" x14ac:dyDescent="0.25">
      <c r="A3420" s="203"/>
      <c r="B3420" s="205"/>
      <c r="C3420" s="35" t="s">
        <v>54</v>
      </c>
      <c r="D3420" s="35" t="s">
        <v>12</v>
      </c>
      <c r="E3420" s="36">
        <v>0.4</v>
      </c>
      <c r="F3420" s="53">
        <v>24.795000000000002</v>
      </c>
      <c r="G3420" s="53">
        <f t="shared" si="58"/>
        <v>9.918000000000001</v>
      </c>
      <c r="H3420" s="38">
        <f>SUM(G3420:G3421)</f>
        <v>17.286200000000001</v>
      </c>
      <c r="I3420" s="39"/>
      <c r="J3420" s="148">
        <v>0</v>
      </c>
      <c r="K3420" s="222">
        <v>0</v>
      </c>
    </row>
    <row r="3421" spans="1:11" hidden="1" x14ac:dyDescent="0.25">
      <c r="A3421" s="203"/>
      <c r="B3421" s="205"/>
      <c r="C3421" s="35" t="s">
        <v>23</v>
      </c>
      <c r="D3421" s="35" t="s">
        <v>12</v>
      </c>
      <c r="E3421" s="36">
        <v>0.4</v>
      </c>
      <c r="F3421" s="53">
        <v>18.420500000000001</v>
      </c>
      <c r="G3421" s="53">
        <f t="shared" si="58"/>
        <v>7.3682000000000007</v>
      </c>
      <c r="H3421" s="72"/>
      <c r="I3421" s="73"/>
      <c r="J3421" s="148">
        <v>0</v>
      </c>
      <c r="K3421" s="222">
        <v>0</v>
      </c>
    </row>
    <row r="3422" spans="1:11" ht="15.75" hidden="1" thickBot="1" x14ac:dyDescent="0.3">
      <c r="A3422" s="209"/>
      <c r="B3422" s="206"/>
      <c r="C3422" s="35"/>
      <c r="D3422" s="35"/>
      <c r="E3422" s="36"/>
      <c r="F3422" s="53" t="s">
        <v>514</v>
      </c>
      <c r="G3422" s="53" t="str">
        <f t="shared" si="58"/>
        <v/>
      </c>
      <c r="H3422" s="72"/>
      <c r="I3422" s="73"/>
      <c r="J3422" s="148">
        <v>0</v>
      </c>
      <c r="K3422" s="222">
        <v>0</v>
      </c>
    </row>
    <row r="3423" spans="1:11" ht="15.75" hidden="1" thickBot="1" x14ac:dyDescent="0.3">
      <c r="A3423" s="202" t="s">
        <v>1011</v>
      </c>
      <c r="B3423" s="204" t="str">
        <f>INDEX(Orçamentária!A:B,MATCH(Composições!A3423,Orçamentária!A:A,0),2)</f>
        <v>Remoção de placas de rocha ornamental argamassada, para reaproveitamento</v>
      </c>
      <c r="C3423" s="40"/>
      <c r="D3423" s="25" t="str">
        <f>TRIM(INDEX(Orçamentária!C:C,MATCH(Composições!A3423,Orçamentária!A:A,0),1))</f>
        <v>m2</v>
      </c>
      <c r="E3423" s="26"/>
      <c r="F3423" s="48" t="s">
        <v>514</v>
      </c>
      <c r="G3423" s="27" t="str">
        <f t="shared" si="58"/>
        <v/>
      </c>
      <c r="H3423" s="28"/>
      <c r="I3423" s="29"/>
      <c r="J3423" s="148">
        <v>0</v>
      </c>
      <c r="K3423" s="222">
        <v>0</v>
      </c>
    </row>
    <row r="3424" spans="1:11" hidden="1" x14ac:dyDescent="0.25">
      <c r="A3424" s="203"/>
      <c r="B3424" s="205"/>
      <c r="C3424" s="31"/>
      <c r="D3424" s="31"/>
      <c r="E3424" s="32"/>
      <c r="F3424" s="53" t="s">
        <v>514</v>
      </c>
      <c r="G3424" s="53" t="str">
        <f t="shared" si="58"/>
        <v/>
      </c>
      <c r="H3424" s="72"/>
      <c r="I3424" s="73"/>
      <c r="J3424" s="148">
        <v>0</v>
      </c>
      <c r="K3424" s="222">
        <v>0</v>
      </c>
    </row>
    <row r="3425" spans="1:11" hidden="1" x14ac:dyDescent="0.25">
      <c r="A3425" s="203"/>
      <c r="B3425" s="205"/>
      <c r="C3425" s="35" t="s">
        <v>54</v>
      </c>
      <c r="D3425" s="35" t="s">
        <v>12</v>
      </c>
      <c r="E3425" s="36">
        <v>1.2</v>
      </c>
      <c r="F3425" s="53">
        <v>24.795000000000002</v>
      </c>
      <c r="G3425" s="53">
        <f t="shared" si="58"/>
        <v>29.754000000000001</v>
      </c>
      <c r="H3425" s="38">
        <f>SUM(G3425:G3426)</f>
        <v>51.858600000000003</v>
      </c>
      <c r="I3425" s="39"/>
      <c r="J3425" s="148">
        <v>0</v>
      </c>
      <c r="K3425" s="222">
        <v>0</v>
      </c>
    </row>
    <row r="3426" spans="1:11" hidden="1" x14ac:dyDescent="0.25">
      <c r="A3426" s="203"/>
      <c r="B3426" s="205"/>
      <c r="C3426" s="35" t="s">
        <v>23</v>
      </c>
      <c r="D3426" s="35" t="s">
        <v>12</v>
      </c>
      <c r="E3426" s="36">
        <v>1.2</v>
      </c>
      <c r="F3426" s="53">
        <v>18.420500000000001</v>
      </c>
      <c r="G3426" s="53">
        <f t="shared" si="58"/>
        <v>22.104600000000001</v>
      </c>
      <c r="H3426" s="72"/>
      <c r="I3426" s="73"/>
      <c r="J3426" s="148">
        <v>0</v>
      </c>
      <c r="K3426" s="222">
        <v>0</v>
      </c>
    </row>
    <row r="3427" spans="1:11" ht="15.75" hidden="1" thickBot="1" x14ac:dyDescent="0.3">
      <c r="A3427" s="209"/>
      <c r="B3427" s="206"/>
      <c r="C3427" s="35"/>
      <c r="D3427" s="35"/>
      <c r="E3427" s="36"/>
      <c r="F3427" s="53" t="s">
        <v>514</v>
      </c>
      <c r="G3427" s="53" t="str">
        <f t="shared" si="58"/>
        <v/>
      </c>
      <c r="H3427" s="72"/>
      <c r="I3427" s="73"/>
      <c r="J3427" s="148">
        <v>0</v>
      </c>
      <c r="K3427" s="222">
        <v>0</v>
      </c>
    </row>
    <row r="3428" spans="1:11" ht="15.75" hidden="1" thickBot="1" x14ac:dyDescent="0.3">
      <c r="A3428" s="202" t="s">
        <v>1012</v>
      </c>
      <c r="B3428" s="204" t="str">
        <f>INDEX(Orçamentária!A:B,MATCH(Composições!A3428,Orçamentária!A:A,0),2)</f>
        <v>Identificação e acondicionamento de placas de rocha ornamental</v>
      </c>
      <c r="C3428" s="40"/>
      <c r="D3428" s="25" t="str">
        <f>TRIM(INDEX(Orçamentária!C:C,MATCH(Composições!A3428,Orçamentária!A:A,0),1))</f>
        <v>m2</v>
      </c>
      <c r="E3428" s="26"/>
      <c r="F3428" s="48" t="s">
        <v>514</v>
      </c>
      <c r="G3428" s="27" t="str">
        <f t="shared" si="58"/>
        <v/>
      </c>
      <c r="H3428" s="28"/>
      <c r="I3428" s="29"/>
      <c r="J3428" s="148">
        <v>0</v>
      </c>
      <c r="K3428" s="222">
        <v>0</v>
      </c>
    </row>
    <row r="3429" spans="1:11" hidden="1" x14ac:dyDescent="0.25">
      <c r="A3429" s="203"/>
      <c r="B3429" s="205"/>
      <c r="C3429" s="31"/>
      <c r="D3429" s="31"/>
      <c r="E3429" s="32"/>
      <c r="F3429" s="53" t="s">
        <v>514</v>
      </c>
      <c r="G3429" s="53" t="str">
        <f t="shared" si="58"/>
        <v/>
      </c>
      <c r="H3429" s="72"/>
      <c r="I3429" s="73"/>
      <c r="J3429" s="148">
        <v>0</v>
      </c>
      <c r="K3429" s="222">
        <v>0</v>
      </c>
    </row>
    <row r="3430" spans="1:11" hidden="1" x14ac:dyDescent="0.25">
      <c r="A3430" s="203"/>
      <c r="B3430" s="205"/>
      <c r="C3430" s="35" t="s">
        <v>1013</v>
      </c>
      <c r="D3430" s="35" t="s">
        <v>94</v>
      </c>
      <c r="E3430" s="36">
        <v>1.05</v>
      </c>
      <c r="F3430" s="53">
        <v>5.2534999999999998</v>
      </c>
      <c r="G3430" s="53">
        <f t="shared" si="58"/>
        <v>5.5161750000000005</v>
      </c>
      <c r="H3430" s="38">
        <f>SUM(G3430:G3431)</f>
        <v>9.2002750000000013</v>
      </c>
      <c r="I3430" s="39"/>
      <c r="J3430" s="148">
        <v>0</v>
      </c>
      <c r="K3430" s="222">
        <v>0</v>
      </c>
    </row>
    <row r="3431" spans="1:11" hidden="1" x14ac:dyDescent="0.25">
      <c r="A3431" s="203"/>
      <c r="B3431" s="205"/>
      <c r="C3431" s="35" t="s">
        <v>23</v>
      </c>
      <c r="D3431" s="35" t="s">
        <v>12</v>
      </c>
      <c r="E3431" s="36">
        <v>0.2</v>
      </c>
      <c r="F3431" s="53">
        <v>18.420500000000001</v>
      </c>
      <c r="G3431" s="53">
        <f t="shared" si="58"/>
        <v>3.6841000000000004</v>
      </c>
      <c r="H3431" s="72"/>
      <c r="I3431" s="73"/>
      <c r="J3431" s="148">
        <v>0</v>
      </c>
      <c r="K3431" s="222">
        <v>0</v>
      </c>
    </row>
    <row r="3432" spans="1:11" ht="15.75" hidden="1" thickBot="1" x14ac:dyDescent="0.3">
      <c r="A3432" s="209"/>
      <c r="B3432" s="206"/>
      <c r="C3432" s="35"/>
      <c r="D3432" s="35"/>
      <c r="E3432" s="36"/>
      <c r="F3432" s="53" t="s">
        <v>514</v>
      </c>
      <c r="G3432" s="53" t="str">
        <f t="shared" si="58"/>
        <v/>
      </c>
      <c r="H3432" s="72"/>
      <c r="I3432" s="73"/>
      <c r="J3432" s="148">
        <v>0</v>
      </c>
      <c r="K3432" s="222">
        <v>0</v>
      </c>
    </row>
    <row r="3433" spans="1:11" ht="15.75" hidden="1" thickBot="1" x14ac:dyDescent="0.3">
      <c r="A3433" s="202" t="s">
        <v>1014</v>
      </c>
      <c r="B3433" s="204" t="str">
        <f>INDEX(Orçamentária!A:B,MATCH(Composições!A3433,Orçamentária!A:A,0),2)</f>
        <v>Limpeza de placas de rocha ornamental argamassada, para reaproveitamento</v>
      </c>
      <c r="C3433" s="40"/>
      <c r="D3433" s="25" t="str">
        <f>TRIM(INDEX(Orçamentária!C:C,MATCH(Composições!A3433,Orçamentária!A:A,0),1))</f>
        <v>m2</v>
      </c>
      <c r="E3433" s="26"/>
      <c r="F3433" s="48" t="s">
        <v>514</v>
      </c>
      <c r="G3433" s="27" t="str">
        <f t="shared" si="58"/>
        <v/>
      </c>
      <c r="H3433" s="28"/>
      <c r="I3433" s="29"/>
      <c r="J3433" s="148">
        <v>0</v>
      </c>
      <c r="K3433" s="222">
        <v>0</v>
      </c>
    </row>
    <row r="3434" spans="1:11" hidden="1" x14ac:dyDescent="0.25">
      <c r="A3434" s="203"/>
      <c r="B3434" s="205"/>
      <c r="C3434" s="31"/>
      <c r="D3434" s="31"/>
      <c r="E3434" s="32"/>
      <c r="F3434" s="53" t="s">
        <v>514</v>
      </c>
      <c r="G3434" s="53" t="str">
        <f t="shared" si="58"/>
        <v/>
      </c>
      <c r="H3434" s="72"/>
      <c r="I3434" s="73"/>
      <c r="J3434" s="148">
        <v>0</v>
      </c>
      <c r="K3434" s="222">
        <v>0</v>
      </c>
    </row>
    <row r="3435" spans="1:11" hidden="1" x14ac:dyDescent="0.25">
      <c r="A3435" s="203"/>
      <c r="B3435" s="205"/>
      <c r="C3435" s="35" t="s">
        <v>23</v>
      </c>
      <c r="D3435" s="35" t="s">
        <v>12</v>
      </c>
      <c r="E3435" s="36">
        <v>0.3</v>
      </c>
      <c r="F3435" s="53">
        <v>18.420500000000001</v>
      </c>
      <c r="G3435" s="53">
        <f t="shared" si="58"/>
        <v>5.5261500000000003</v>
      </c>
      <c r="H3435" s="38">
        <f>SUM(G3435)</f>
        <v>5.5261500000000003</v>
      </c>
      <c r="I3435" s="39"/>
      <c r="J3435" s="148">
        <v>0</v>
      </c>
      <c r="K3435" s="222">
        <v>0</v>
      </c>
    </row>
    <row r="3436" spans="1:11" ht="15.75" hidden="1" thickBot="1" x14ac:dyDescent="0.3">
      <c r="A3436" s="209"/>
      <c r="B3436" s="206"/>
      <c r="C3436" s="35"/>
      <c r="D3436" s="35"/>
      <c r="E3436" s="36"/>
      <c r="F3436" s="53" t="s">
        <v>514</v>
      </c>
      <c r="G3436" s="53" t="str">
        <f t="shared" ref="G3436:G3499" si="59">IF(ISNUMBER(F3436),E3436*F3436,"")</f>
        <v/>
      </c>
      <c r="H3436" s="72"/>
      <c r="I3436" s="73"/>
      <c r="J3436" s="148">
        <v>0</v>
      </c>
      <c r="K3436" s="222">
        <v>0</v>
      </c>
    </row>
    <row r="3437" spans="1:11" ht="15.75" hidden="1" thickBot="1" x14ac:dyDescent="0.3">
      <c r="A3437" s="202" t="s">
        <v>1015</v>
      </c>
      <c r="B3437" s="204" t="str">
        <f>INDEX(Orçamentária!A:B,MATCH(Composições!A3437,Orçamentária!A:A,0),2)</f>
        <v>Remoção e acondicionamento de fixadores metálicos para placas de mármore em fachada (modelo Ed. Principal)</v>
      </c>
      <c r="C3437" s="40"/>
      <c r="D3437" s="25" t="str">
        <f>TRIM(INDEX(Orçamentária!C:C,MATCH(Composições!A3437,Orçamentária!A:A,0),1))</f>
        <v>un</v>
      </c>
      <c r="E3437" s="26"/>
      <c r="F3437" s="48" t="s">
        <v>514</v>
      </c>
      <c r="G3437" s="27" t="str">
        <f t="shared" si="59"/>
        <v/>
      </c>
      <c r="H3437" s="28"/>
      <c r="I3437" s="29"/>
      <c r="J3437" s="148">
        <v>0</v>
      </c>
      <c r="K3437" s="222">
        <v>0</v>
      </c>
    </row>
    <row r="3438" spans="1:11" hidden="1" x14ac:dyDescent="0.25">
      <c r="A3438" s="203"/>
      <c r="B3438" s="205"/>
      <c r="C3438" s="31"/>
      <c r="D3438" s="31"/>
      <c r="E3438" s="32"/>
      <c r="F3438" s="53" t="s">
        <v>514</v>
      </c>
      <c r="G3438" s="53" t="str">
        <f t="shared" si="59"/>
        <v/>
      </c>
      <c r="H3438" s="72"/>
      <c r="I3438" s="73"/>
      <c r="J3438" s="148">
        <v>0</v>
      </c>
      <c r="K3438" s="222">
        <v>0</v>
      </c>
    </row>
    <row r="3439" spans="1:11" hidden="1" x14ac:dyDescent="0.25">
      <c r="A3439" s="203"/>
      <c r="B3439" s="205"/>
      <c r="C3439" s="35" t="s">
        <v>23</v>
      </c>
      <c r="D3439" s="35" t="s">
        <v>12</v>
      </c>
      <c r="E3439" s="36">
        <v>0.1</v>
      </c>
      <c r="F3439" s="53">
        <v>18.420500000000001</v>
      </c>
      <c r="G3439" s="53">
        <f t="shared" si="59"/>
        <v>1.8420500000000002</v>
      </c>
      <c r="H3439" s="38">
        <f>SUM(G3439)</f>
        <v>1.8420500000000002</v>
      </c>
      <c r="I3439" s="39"/>
      <c r="J3439" s="148">
        <v>0</v>
      </c>
      <c r="K3439" s="222">
        <v>0</v>
      </c>
    </row>
    <row r="3440" spans="1:11" ht="15.75" hidden="1" thickBot="1" x14ac:dyDescent="0.3">
      <c r="A3440" s="209"/>
      <c r="B3440" s="206"/>
      <c r="C3440" s="35"/>
      <c r="D3440" s="35"/>
      <c r="E3440" s="36"/>
      <c r="F3440" s="53" t="s">
        <v>514</v>
      </c>
      <c r="G3440" s="53" t="str">
        <f t="shared" si="59"/>
        <v/>
      </c>
      <c r="H3440" s="72"/>
      <c r="I3440" s="73"/>
      <c r="J3440" s="148">
        <v>0</v>
      </c>
      <c r="K3440" s="222">
        <v>0</v>
      </c>
    </row>
    <row r="3441" spans="1:11" ht="15.75" hidden="1" thickBot="1" x14ac:dyDescent="0.3">
      <c r="A3441" s="202" t="s">
        <v>1016</v>
      </c>
      <c r="B3441" s="204" t="str">
        <f>INDEX(Orçamentária!A:B,MATCH(Composições!A3441,Orçamentária!A:A,0),2)</f>
        <v>Instalação de fixadores metálicos para placas de mármore em fachada reaproveitados (modelo Ed. Principal)</v>
      </c>
      <c r="C3441" s="40"/>
      <c r="D3441" s="25" t="str">
        <f>TRIM(INDEX(Orçamentária!C:C,MATCH(Composições!A3441,Orçamentária!A:A,0),1))</f>
        <v>un</v>
      </c>
      <c r="E3441" s="26"/>
      <c r="F3441" s="48" t="s">
        <v>514</v>
      </c>
      <c r="G3441" s="27" t="str">
        <f t="shared" si="59"/>
        <v/>
      </c>
      <c r="H3441" s="28"/>
      <c r="I3441" s="29"/>
      <c r="J3441" s="148">
        <v>0</v>
      </c>
      <c r="K3441" s="222">
        <v>0</v>
      </c>
    </row>
    <row r="3442" spans="1:11" hidden="1" x14ac:dyDescent="0.25">
      <c r="A3442" s="203"/>
      <c r="B3442" s="205"/>
      <c r="C3442" s="31"/>
      <c r="D3442" s="31"/>
      <c r="E3442" s="32"/>
      <c r="F3442" s="53" t="s">
        <v>514</v>
      </c>
      <c r="G3442" s="53" t="str">
        <f t="shared" si="59"/>
        <v/>
      </c>
      <c r="H3442" s="72"/>
      <c r="I3442" s="73"/>
      <c r="J3442" s="148">
        <v>0</v>
      </c>
      <c r="K3442" s="222">
        <v>0</v>
      </c>
    </row>
    <row r="3443" spans="1:11" hidden="1" x14ac:dyDescent="0.25">
      <c r="A3443" s="203"/>
      <c r="B3443" s="205"/>
      <c r="C3443" s="35" t="s">
        <v>22</v>
      </c>
      <c r="D3443" s="35" t="s">
        <v>12</v>
      </c>
      <c r="E3443" s="36">
        <f>0.1+0.1</f>
        <v>0.2</v>
      </c>
      <c r="F3443" s="53">
        <v>24.889999999999997</v>
      </c>
      <c r="G3443" s="53">
        <f t="shared" si="59"/>
        <v>4.9779999999999998</v>
      </c>
      <c r="H3443" s="38">
        <f>SUM(G3443:G3447)</f>
        <v>8.939299933584465</v>
      </c>
      <c r="I3443" s="39"/>
      <c r="J3443" s="148">
        <v>0</v>
      </c>
      <c r="K3443" s="222">
        <v>0</v>
      </c>
    </row>
    <row r="3444" spans="1:11" hidden="1" x14ac:dyDescent="0.25">
      <c r="A3444" s="203"/>
      <c r="B3444" s="205"/>
      <c r="C3444" s="35" t="s">
        <v>23</v>
      </c>
      <c r="D3444" s="35" t="s">
        <v>12</v>
      </c>
      <c r="E3444" s="36">
        <f>0.1+0.1</f>
        <v>0.2</v>
      </c>
      <c r="F3444" s="53">
        <v>18.420500000000001</v>
      </c>
      <c r="G3444" s="53">
        <f t="shared" si="59"/>
        <v>3.6841000000000004</v>
      </c>
      <c r="H3444" s="72"/>
      <c r="I3444" s="73"/>
      <c r="J3444" s="148">
        <v>0</v>
      </c>
      <c r="K3444" s="222">
        <v>0</v>
      </c>
    </row>
    <row r="3445" spans="1:11" hidden="1" x14ac:dyDescent="0.25">
      <c r="A3445" s="203"/>
      <c r="B3445" s="205"/>
      <c r="C3445" s="35" t="s">
        <v>1017</v>
      </c>
      <c r="D3445" s="35" t="s">
        <v>143</v>
      </c>
      <c r="E3445" s="36">
        <f>0.016*2</f>
        <v>3.2000000000000001E-2</v>
      </c>
      <c r="F3445" s="53">
        <v>0</v>
      </c>
      <c r="G3445" s="53">
        <f t="shared" si="59"/>
        <v>0</v>
      </c>
      <c r="H3445" s="72"/>
      <c r="I3445" s="73"/>
      <c r="J3445" s="148">
        <v>0</v>
      </c>
      <c r="K3445" s="222">
        <v>0</v>
      </c>
    </row>
    <row r="3446" spans="1:11" hidden="1" x14ac:dyDescent="0.25">
      <c r="A3446" s="203"/>
      <c r="B3446" s="205"/>
      <c r="C3446" s="35" t="s">
        <v>1018</v>
      </c>
      <c r="D3446" s="35" t="s">
        <v>1019</v>
      </c>
      <c r="E3446" s="36">
        <f>0.1*2</f>
        <v>0.2</v>
      </c>
      <c r="F3446" s="53">
        <v>0</v>
      </c>
      <c r="G3446" s="53">
        <f t="shared" si="59"/>
        <v>0</v>
      </c>
      <c r="H3446" s="72"/>
      <c r="I3446" s="73"/>
      <c r="J3446" s="148">
        <v>0</v>
      </c>
      <c r="K3446" s="222">
        <v>0</v>
      </c>
    </row>
    <row r="3447" spans="1:11" ht="38.25" hidden="1" x14ac:dyDescent="0.25">
      <c r="A3447" s="203"/>
      <c r="B3447" s="205"/>
      <c r="C3447" s="35" t="s">
        <v>1020</v>
      </c>
      <c r="D3447" s="35" t="s">
        <v>108</v>
      </c>
      <c r="E3447" s="36">
        <f>ROUND(0.15*0.05*0.05,4)</f>
        <v>4.0000000000000002E-4</v>
      </c>
      <c r="F3447" s="53">
        <v>692.99983396115999</v>
      </c>
      <c r="G3447" s="53">
        <f t="shared" si="59"/>
        <v>0.27719993358446399</v>
      </c>
      <c r="H3447" s="72"/>
      <c r="I3447" s="73"/>
      <c r="J3447" s="148">
        <v>0</v>
      </c>
      <c r="K3447" s="222">
        <v>0</v>
      </c>
    </row>
    <row r="3448" spans="1:11" hidden="1" x14ac:dyDescent="0.25">
      <c r="A3448" s="203"/>
      <c r="B3448" s="205"/>
      <c r="C3448" s="35"/>
      <c r="D3448" s="35"/>
      <c r="E3448" s="36"/>
      <c r="F3448" s="53" t="s">
        <v>514</v>
      </c>
      <c r="G3448" s="53" t="str">
        <f t="shared" si="59"/>
        <v/>
      </c>
      <c r="H3448" s="72"/>
      <c r="I3448" s="73"/>
      <c r="J3448" s="148">
        <v>0</v>
      </c>
      <c r="K3448" s="222">
        <v>0</v>
      </c>
    </row>
    <row r="3449" spans="1:11" hidden="1" x14ac:dyDescent="0.25">
      <c r="A3449" s="203"/>
      <c r="B3449" s="205"/>
      <c r="C3449" s="145" t="s">
        <v>1021</v>
      </c>
      <c r="D3449" s="35"/>
      <c r="E3449" s="36"/>
      <c r="F3449" s="53" t="s">
        <v>514</v>
      </c>
      <c r="G3449" s="53" t="str">
        <f t="shared" si="59"/>
        <v/>
      </c>
      <c r="H3449" s="72"/>
      <c r="I3449" s="73"/>
      <c r="J3449" s="148">
        <v>0</v>
      </c>
      <c r="K3449" s="222">
        <v>0</v>
      </c>
    </row>
    <row r="3450" spans="1:11" ht="15.75" hidden="1" thickBot="1" x14ac:dyDescent="0.3">
      <c r="A3450" s="209"/>
      <c r="B3450" s="206"/>
      <c r="C3450" s="35"/>
      <c r="D3450" s="35"/>
      <c r="E3450" s="36"/>
      <c r="F3450" s="53" t="s">
        <v>514</v>
      </c>
      <c r="G3450" s="53" t="str">
        <f t="shared" si="59"/>
        <v/>
      </c>
      <c r="H3450" s="72"/>
      <c r="I3450" s="73"/>
      <c r="J3450" s="148">
        <v>0</v>
      </c>
      <c r="K3450" s="222">
        <v>0</v>
      </c>
    </row>
    <row r="3451" spans="1:11" ht="15.75" hidden="1" thickBot="1" x14ac:dyDescent="0.3">
      <c r="A3451" s="202" t="s">
        <v>1022</v>
      </c>
      <c r="B3451" s="204" t="str">
        <f>INDEX(Orçamentária!A:B,MATCH(Composições!A3451,Orçamentária!A:A,0),2)</f>
        <v>Fixadores metálicos para rochas ornamentais (tipo Ed. Principal, peça superior)</v>
      </c>
      <c r="C3451" s="40"/>
      <c r="D3451" s="25" t="str">
        <f>TRIM(INDEX(Orçamentária!C:C,MATCH(Composições!A3451,Orçamentária!A:A,0),1))</f>
        <v>un</v>
      </c>
      <c r="E3451" s="26"/>
      <c r="F3451" s="48" t="s">
        <v>514</v>
      </c>
      <c r="G3451" s="27" t="str">
        <f t="shared" si="59"/>
        <v/>
      </c>
      <c r="H3451" s="28"/>
      <c r="I3451" s="29"/>
      <c r="J3451" s="148">
        <v>0</v>
      </c>
      <c r="K3451" s="222">
        <v>0</v>
      </c>
    </row>
    <row r="3452" spans="1:11" hidden="1" x14ac:dyDescent="0.25">
      <c r="A3452" s="203"/>
      <c r="B3452" s="205"/>
      <c r="C3452" s="31"/>
      <c r="D3452" s="31"/>
      <c r="E3452" s="32"/>
      <c r="F3452" s="53" t="s">
        <v>514</v>
      </c>
      <c r="G3452" s="53" t="str">
        <f t="shared" si="59"/>
        <v/>
      </c>
      <c r="H3452" s="72"/>
      <c r="I3452" s="73"/>
      <c r="J3452" s="148">
        <v>0</v>
      </c>
      <c r="K3452" s="222">
        <v>0</v>
      </c>
    </row>
    <row r="3453" spans="1:11" hidden="1" x14ac:dyDescent="0.25">
      <c r="A3453" s="203"/>
      <c r="B3453" s="205"/>
      <c r="C3453" s="35" t="s">
        <v>22</v>
      </c>
      <c r="D3453" s="35" t="s">
        <v>12</v>
      </c>
      <c r="E3453" s="36">
        <f>0.1+0.1</f>
        <v>0.2</v>
      </c>
      <c r="F3453" s="53">
        <v>24.889999999999997</v>
      </c>
      <c r="G3453" s="53">
        <f t="shared" si="59"/>
        <v>4.9779999999999998</v>
      </c>
      <c r="H3453" s="38">
        <f>SUM(G3453:G3458)</f>
        <v>8.939299933584465</v>
      </c>
      <c r="I3453" s="39"/>
      <c r="J3453" s="148">
        <v>0</v>
      </c>
      <c r="K3453" s="222">
        <v>0</v>
      </c>
    </row>
    <row r="3454" spans="1:11" hidden="1" x14ac:dyDescent="0.25">
      <c r="A3454" s="203"/>
      <c r="B3454" s="205"/>
      <c r="C3454" s="35" t="s">
        <v>23</v>
      </c>
      <c r="D3454" s="35" t="s">
        <v>12</v>
      </c>
      <c r="E3454" s="36">
        <f>0.1+0.1</f>
        <v>0.2</v>
      </c>
      <c r="F3454" s="53">
        <v>18.420500000000001</v>
      </c>
      <c r="G3454" s="53">
        <f t="shared" si="59"/>
        <v>3.6841000000000004</v>
      </c>
      <c r="H3454" s="72"/>
      <c r="I3454" s="73"/>
      <c r="J3454" s="148">
        <v>0</v>
      </c>
      <c r="K3454" s="222">
        <v>0</v>
      </c>
    </row>
    <row r="3455" spans="1:11" hidden="1" x14ac:dyDescent="0.25">
      <c r="A3455" s="203"/>
      <c r="B3455" s="205"/>
      <c r="C3455" s="35" t="s">
        <v>1017</v>
      </c>
      <c r="D3455" s="35" t="s">
        <v>143</v>
      </c>
      <c r="E3455" s="36">
        <f>0.016*2</f>
        <v>3.2000000000000001E-2</v>
      </c>
      <c r="F3455" s="53">
        <v>0</v>
      </c>
      <c r="G3455" s="53">
        <f t="shared" si="59"/>
        <v>0</v>
      </c>
      <c r="H3455" s="72"/>
      <c r="I3455" s="73"/>
      <c r="J3455" s="148">
        <v>0</v>
      </c>
      <c r="K3455" s="222">
        <v>0</v>
      </c>
    </row>
    <row r="3456" spans="1:11" hidden="1" x14ac:dyDescent="0.25">
      <c r="A3456" s="203"/>
      <c r="B3456" s="205"/>
      <c r="C3456" s="35" t="s">
        <v>1018</v>
      </c>
      <c r="D3456" s="35" t="s">
        <v>1019</v>
      </c>
      <c r="E3456" s="36">
        <f>0.1*2</f>
        <v>0.2</v>
      </c>
      <c r="F3456" s="53">
        <v>0</v>
      </c>
      <c r="G3456" s="53">
        <f t="shared" si="59"/>
        <v>0</v>
      </c>
      <c r="H3456" s="72"/>
      <c r="I3456" s="73"/>
      <c r="J3456" s="148">
        <v>0</v>
      </c>
      <c r="K3456" s="222">
        <v>0</v>
      </c>
    </row>
    <row r="3457" spans="1:11" hidden="1" x14ac:dyDescent="0.25">
      <c r="A3457" s="203"/>
      <c r="B3457" s="205"/>
      <c r="C3457" s="35" t="s">
        <v>1023</v>
      </c>
      <c r="D3457" s="35" t="s">
        <v>143</v>
      </c>
      <c r="E3457" s="36">
        <v>1</v>
      </c>
      <c r="F3457" s="53" t="s">
        <v>514</v>
      </c>
      <c r="G3457" s="53" t="str">
        <f t="shared" si="59"/>
        <v/>
      </c>
      <c r="H3457" s="72"/>
      <c r="I3457" s="73"/>
      <c r="J3457" s="148">
        <v>0</v>
      </c>
      <c r="K3457" s="222">
        <v>0</v>
      </c>
    </row>
    <row r="3458" spans="1:11" ht="38.25" hidden="1" x14ac:dyDescent="0.25">
      <c r="A3458" s="203"/>
      <c r="B3458" s="205"/>
      <c r="C3458" s="35" t="s">
        <v>1020</v>
      </c>
      <c r="D3458" s="35" t="s">
        <v>108</v>
      </c>
      <c r="E3458" s="36">
        <f>ROUND(0.15*0.05*0.05,4)</f>
        <v>4.0000000000000002E-4</v>
      </c>
      <c r="F3458" s="53">
        <v>692.99983396115999</v>
      </c>
      <c r="G3458" s="53">
        <f t="shared" si="59"/>
        <v>0.27719993358446399</v>
      </c>
      <c r="H3458" s="72"/>
      <c r="I3458" s="73"/>
      <c r="J3458" s="148">
        <v>0</v>
      </c>
      <c r="K3458" s="222">
        <v>0</v>
      </c>
    </row>
    <row r="3459" spans="1:11" hidden="1" x14ac:dyDescent="0.25">
      <c r="A3459" s="203"/>
      <c r="B3459" s="205"/>
      <c r="C3459" s="35"/>
      <c r="D3459" s="35"/>
      <c r="E3459" s="36"/>
      <c r="F3459" s="53" t="s">
        <v>514</v>
      </c>
      <c r="G3459" s="53" t="str">
        <f t="shared" si="59"/>
        <v/>
      </c>
      <c r="H3459" s="72"/>
      <c r="I3459" s="73"/>
      <c r="J3459" s="148">
        <v>0</v>
      </c>
      <c r="K3459" s="222">
        <v>0</v>
      </c>
    </row>
    <row r="3460" spans="1:11" hidden="1" x14ac:dyDescent="0.25">
      <c r="A3460" s="203"/>
      <c r="B3460" s="205"/>
      <c r="C3460" s="145" t="s">
        <v>1021</v>
      </c>
      <c r="D3460" s="35"/>
      <c r="E3460" s="36"/>
      <c r="F3460" s="53" t="s">
        <v>514</v>
      </c>
      <c r="G3460" s="53" t="str">
        <f t="shared" si="59"/>
        <v/>
      </c>
      <c r="H3460" s="72"/>
      <c r="I3460" s="73"/>
      <c r="J3460" s="148">
        <v>0</v>
      </c>
      <c r="K3460" s="222">
        <v>0</v>
      </c>
    </row>
    <row r="3461" spans="1:11" ht="15.75" hidden="1" thickBot="1" x14ac:dyDescent="0.3">
      <c r="A3461" s="209"/>
      <c r="B3461" s="206"/>
      <c r="C3461" s="35"/>
      <c r="D3461" s="35"/>
      <c r="E3461" s="36"/>
      <c r="F3461" s="53" t="s">
        <v>514</v>
      </c>
      <c r="G3461" s="53" t="str">
        <f t="shared" si="59"/>
        <v/>
      </c>
      <c r="H3461" s="72"/>
      <c r="I3461" s="73"/>
      <c r="J3461" s="148">
        <v>0</v>
      </c>
      <c r="K3461" s="222">
        <v>0</v>
      </c>
    </row>
    <row r="3462" spans="1:11" ht="15.75" hidden="1" thickBot="1" x14ac:dyDescent="0.3">
      <c r="A3462" s="202" t="s">
        <v>2797</v>
      </c>
      <c r="B3462" s="204" t="str">
        <f>INDEX(Orçamentária!A:B,MATCH(Composições!A3462,Orçamentária!A:A,0),2)</f>
        <v>Fixadores metálicos para rochas ornamentais, sob medida</v>
      </c>
      <c r="C3462" s="40"/>
      <c r="D3462" s="25" t="str">
        <f>TRIM(INDEX(Orçamentária!C:C,MATCH(Composições!A3462,Orçamentária!A:A,0),1))</f>
        <v>un</v>
      </c>
      <c r="E3462" s="26"/>
      <c r="F3462" s="48" t="s">
        <v>514</v>
      </c>
      <c r="G3462" s="27" t="str">
        <f t="shared" si="59"/>
        <v/>
      </c>
      <c r="H3462" s="28"/>
      <c r="I3462" s="29"/>
      <c r="J3462" s="148">
        <v>0</v>
      </c>
      <c r="K3462" s="222">
        <v>0</v>
      </c>
    </row>
    <row r="3463" spans="1:11" hidden="1" x14ac:dyDescent="0.25">
      <c r="A3463" s="203"/>
      <c r="B3463" s="205"/>
      <c r="C3463" s="31"/>
      <c r="D3463" s="31"/>
      <c r="E3463" s="32"/>
      <c r="F3463" s="53" t="s">
        <v>514</v>
      </c>
      <c r="G3463" s="53" t="str">
        <f t="shared" si="59"/>
        <v/>
      </c>
      <c r="H3463" s="72"/>
      <c r="I3463" s="73"/>
      <c r="J3463" s="148">
        <v>0</v>
      </c>
      <c r="K3463" s="222">
        <v>0</v>
      </c>
    </row>
    <row r="3464" spans="1:11" hidden="1" x14ac:dyDescent="0.25">
      <c r="A3464" s="203"/>
      <c r="B3464" s="205"/>
      <c r="C3464" s="35" t="s">
        <v>22</v>
      </c>
      <c r="D3464" s="35" t="s">
        <v>12</v>
      </c>
      <c r="E3464" s="36">
        <f>0.1+0.1</f>
        <v>0.2</v>
      </c>
      <c r="F3464" s="53">
        <v>24.889999999999997</v>
      </c>
      <c r="G3464" s="53">
        <f t="shared" si="59"/>
        <v>4.9779999999999998</v>
      </c>
      <c r="H3464" s="38">
        <f>SUM(G3464:G3469)</f>
        <v>8.939299933584465</v>
      </c>
      <c r="I3464" s="39"/>
      <c r="J3464" s="148">
        <v>0</v>
      </c>
      <c r="K3464" s="222">
        <v>0</v>
      </c>
    </row>
    <row r="3465" spans="1:11" hidden="1" x14ac:dyDescent="0.25">
      <c r="A3465" s="203"/>
      <c r="B3465" s="205"/>
      <c r="C3465" s="35" t="s">
        <v>23</v>
      </c>
      <c r="D3465" s="35" t="s">
        <v>12</v>
      </c>
      <c r="E3465" s="36">
        <f>0.1+0.1</f>
        <v>0.2</v>
      </c>
      <c r="F3465" s="53">
        <v>18.420500000000001</v>
      </c>
      <c r="G3465" s="53">
        <f t="shared" si="59"/>
        <v>3.6841000000000004</v>
      </c>
      <c r="H3465" s="72"/>
      <c r="I3465" s="73"/>
      <c r="J3465" s="148">
        <v>0</v>
      </c>
      <c r="K3465" s="222">
        <v>0</v>
      </c>
    </row>
    <row r="3466" spans="1:11" hidden="1" x14ac:dyDescent="0.25">
      <c r="A3466" s="203"/>
      <c r="B3466" s="205"/>
      <c r="C3466" s="35" t="s">
        <v>1017</v>
      </c>
      <c r="D3466" s="35" t="s">
        <v>143</v>
      </c>
      <c r="E3466" s="36">
        <f>0.016*2</f>
        <v>3.2000000000000001E-2</v>
      </c>
      <c r="F3466" s="53">
        <v>0</v>
      </c>
      <c r="G3466" s="53">
        <f t="shared" si="59"/>
        <v>0</v>
      </c>
      <c r="H3466" s="72"/>
      <c r="I3466" s="73"/>
      <c r="J3466" s="148">
        <v>0</v>
      </c>
      <c r="K3466" s="222">
        <v>0</v>
      </c>
    </row>
    <row r="3467" spans="1:11" hidden="1" x14ac:dyDescent="0.25">
      <c r="A3467" s="203"/>
      <c r="B3467" s="205"/>
      <c r="C3467" s="35" t="s">
        <v>1018</v>
      </c>
      <c r="D3467" s="35" t="s">
        <v>1019</v>
      </c>
      <c r="E3467" s="36">
        <f>0.1*2</f>
        <v>0.2</v>
      </c>
      <c r="F3467" s="53">
        <v>0</v>
      </c>
      <c r="G3467" s="53">
        <f t="shared" si="59"/>
        <v>0</v>
      </c>
      <c r="H3467" s="72"/>
      <c r="I3467" s="73"/>
      <c r="J3467" s="148">
        <v>0</v>
      </c>
      <c r="K3467" s="222">
        <v>0</v>
      </c>
    </row>
    <row r="3468" spans="1:11" hidden="1" x14ac:dyDescent="0.25">
      <c r="A3468" s="203"/>
      <c r="B3468" s="205"/>
      <c r="C3468" s="35" t="s">
        <v>1096</v>
      </c>
      <c r="D3468" s="35" t="s">
        <v>143</v>
      </c>
      <c r="E3468" s="36">
        <v>1</v>
      </c>
      <c r="F3468" s="53" t="s">
        <v>514</v>
      </c>
      <c r="G3468" s="53" t="str">
        <f t="shared" si="59"/>
        <v/>
      </c>
      <c r="H3468" s="72"/>
      <c r="I3468" s="73"/>
      <c r="J3468" s="148">
        <v>0</v>
      </c>
      <c r="K3468" s="222">
        <v>0</v>
      </c>
    </row>
    <row r="3469" spans="1:11" ht="38.25" hidden="1" x14ac:dyDescent="0.25">
      <c r="A3469" s="203"/>
      <c r="B3469" s="205"/>
      <c r="C3469" s="35" t="s">
        <v>1020</v>
      </c>
      <c r="D3469" s="35" t="s">
        <v>108</v>
      </c>
      <c r="E3469" s="36">
        <f>ROUND(0.15*0.05*0.05,4)</f>
        <v>4.0000000000000002E-4</v>
      </c>
      <c r="F3469" s="53">
        <v>692.99983396115999</v>
      </c>
      <c r="G3469" s="53">
        <f t="shared" si="59"/>
        <v>0.27719993358446399</v>
      </c>
      <c r="H3469" s="72"/>
      <c r="I3469" s="73"/>
      <c r="J3469" s="148">
        <v>0</v>
      </c>
      <c r="K3469" s="222">
        <v>0</v>
      </c>
    </row>
    <row r="3470" spans="1:11" hidden="1" x14ac:dyDescent="0.25">
      <c r="A3470" s="203"/>
      <c r="B3470" s="205"/>
      <c r="C3470" s="35"/>
      <c r="D3470" s="35"/>
      <c r="E3470" s="36"/>
      <c r="F3470" s="53" t="s">
        <v>514</v>
      </c>
      <c r="G3470" s="53" t="str">
        <f t="shared" si="59"/>
        <v/>
      </c>
      <c r="H3470" s="72"/>
      <c r="I3470" s="73"/>
      <c r="J3470" s="148">
        <v>0</v>
      </c>
      <c r="K3470" s="222">
        <v>0</v>
      </c>
    </row>
    <row r="3471" spans="1:11" hidden="1" x14ac:dyDescent="0.25">
      <c r="A3471" s="203"/>
      <c r="B3471" s="205"/>
      <c r="C3471" s="145" t="s">
        <v>1021</v>
      </c>
      <c r="D3471" s="35"/>
      <c r="E3471" s="36"/>
      <c r="F3471" s="53" t="s">
        <v>514</v>
      </c>
      <c r="G3471" s="53" t="str">
        <f t="shared" si="59"/>
        <v/>
      </c>
      <c r="H3471" s="72"/>
      <c r="I3471" s="73"/>
      <c r="J3471" s="148">
        <v>0</v>
      </c>
      <c r="K3471" s="222">
        <v>0</v>
      </c>
    </row>
    <row r="3472" spans="1:11" ht="15.75" hidden="1" thickBot="1" x14ac:dyDescent="0.3">
      <c r="A3472" s="209"/>
      <c r="B3472" s="206"/>
      <c r="C3472" s="35"/>
      <c r="D3472" s="35"/>
      <c r="E3472" s="36"/>
      <c r="F3472" s="53" t="s">
        <v>514</v>
      </c>
      <c r="G3472" s="53" t="str">
        <f t="shared" si="59"/>
        <v/>
      </c>
      <c r="H3472" s="72"/>
      <c r="I3472" s="73"/>
      <c r="J3472" s="148">
        <v>0</v>
      </c>
      <c r="K3472" s="222">
        <v>0</v>
      </c>
    </row>
    <row r="3473" spans="1:11" ht="15.75" hidden="1" thickBot="1" x14ac:dyDescent="0.3">
      <c r="A3473" s="202" t="s">
        <v>1024</v>
      </c>
      <c r="B3473" s="204" t="str">
        <f>INDEX(Orçamentária!A:B,MATCH(Composições!A3473,Orçamentária!A:A,0),2)</f>
        <v>Mármore Branco Especial 20 mm argamassado (Ed. Principal e Anexo 1)</v>
      </c>
      <c r="C3473" s="40"/>
      <c r="D3473" s="25" t="str">
        <f>TRIM(INDEX(Orçamentária!C:C,MATCH(Composições!A3473,Orçamentária!A:A,0),1))</f>
        <v>m2</v>
      </c>
      <c r="E3473" s="26"/>
      <c r="F3473" s="48" t="s">
        <v>514</v>
      </c>
      <c r="G3473" s="27" t="str">
        <f t="shared" si="59"/>
        <v/>
      </c>
      <c r="H3473" s="28"/>
      <c r="I3473" s="29"/>
      <c r="J3473" s="148">
        <v>0</v>
      </c>
      <c r="K3473" s="222">
        <v>0</v>
      </c>
    </row>
    <row r="3474" spans="1:11" hidden="1" x14ac:dyDescent="0.25">
      <c r="A3474" s="203"/>
      <c r="B3474" s="205"/>
      <c r="C3474" s="31"/>
      <c r="D3474" s="31"/>
      <c r="E3474" s="32"/>
      <c r="F3474" s="53" t="s">
        <v>514</v>
      </c>
      <c r="G3474" s="53" t="str">
        <f t="shared" si="59"/>
        <v/>
      </c>
      <c r="H3474" s="72"/>
      <c r="I3474" s="73"/>
      <c r="J3474" s="148">
        <v>0</v>
      </c>
      <c r="K3474" s="222">
        <v>0</v>
      </c>
    </row>
    <row r="3475" spans="1:11" hidden="1" x14ac:dyDescent="0.25">
      <c r="A3475" s="203"/>
      <c r="B3475" s="205"/>
      <c r="C3475" s="35" t="s">
        <v>1025</v>
      </c>
      <c r="D3475" s="35" t="s">
        <v>94</v>
      </c>
      <c r="E3475" s="36">
        <v>1.05</v>
      </c>
      <c r="F3475" s="53" t="s">
        <v>514</v>
      </c>
      <c r="G3475" s="53" t="str">
        <f t="shared" si="59"/>
        <v/>
      </c>
      <c r="H3475" s="38">
        <f>SUM(G3475:G3479)</f>
        <v>52.668000000000006</v>
      </c>
      <c r="I3475" s="39"/>
      <c r="J3475" s="148">
        <v>0</v>
      </c>
      <c r="K3475" s="222">
        <v>0</v>
      </c>
    </row>
    <row r="3476" spans="1:11" hidden="1" x14ac:dyDescent="0.25">
      <c r="A3476" s="203"/>
      <c r="B3476" s="205"/>
      <c r="C3476" s="35" t="s">
        <v>54</v>
      </c>
      <c r="D3476" s="35" t="s">
        <v>12</v>
      </c>
      <c r="E3476" s="36">
        <v>1.35</v>
      </c>
      <c r="F3476" s="53">
        <v>24.795000000000002</v>
      </c>
      <c r="G3476" s="53">
        <f t="shared" si="59"/>
        <v>33.473250000000007</v>
      </c>
      <c r="H3476" s="72"/>
      <c r="I3476" s="73"/>
      <c r="J3476" s="148">
        <v>0</v>
      </c>
      <c r="K3476" s="222">
        <v>0</v>
      </c>
    </row>
    <row r="3477" spans="1:11" hidden="1" x14ac:dyDescent="0.25">
      <c r="A3477" s="203"/>
      <c r="B3477" s="205"/>
      <c r="C3477" s="35" t="s">
        <v>23</v>
      </c>
      <c r="D3477" s="35" t="s">
        <v>12</v>
      </c>
      <c r="E3477" s="36">
        <v>0.6</v>
      </c>
      <c r="F3477" s="53">
        <v>18.420500000000001</v>
      </c>
      <c r="G3477" s="53">
        <f t="shared" si="59"/>
        <v>11.052300000000001</v>
      </c>
      <c r="H3477" s="72"/>
      <c r="I3477" s="73"/>
      <c r="J3477" s="148">
        <v>0</v>
      </c>
      <c r="K3477" s="222">
        <v>0</v>
      </c>
    </row>
    <row r="3478" spans="1:11" hidden="1" x14ac:dyDescent="0.25">
      <c r="A3478" s="203"/>
      <c r="B3478" s="205"/>
      <c r="C3478" s="35" t="s">
        <v>3512</v>
      </c>
      <c r="D3478" s="35" t="s">
        <v>42</v>
      </c>
      <c r="E3478" s="36">
        <v>4.5</v>
      </c>
      <c r="F3478" s="53">
        <v>1.6054999999999999</v>
      </c>
      <c r="G3478" s="53">
        <f t="shared" si="59"/>
        <v>7.2247499999999993</v>
      </c>
      <c r="H3478" s="72"/>
      <c r="I3478" s="73"/>
      <c r="J3478" s="148">
        <v>0</v>
      </c>
      <c r="K3478" s="222">
        <v>0</v>
      </c>
    </row>
    <row r="3479" spans="1:11" hidden="1" x14ac:dyDescent="0.25">
      <c r="A3479" s="203"/>
      <c r="B3479" s="205"/>
      <c r="C3479" s="35" t="s">
        <v>3511</v>
      </c>
      <c r="D3479" s="35" t="s">
        <v>42</v>
      </c>
      <c r="E3479" s="36">
        <v>0.3</v>
      </c>
      <c r="F3479" s="53">
        <v>3.0590000000000002</v>
      </c>
      <c r="G3479" s="53">
        <f t="shared" si="59"/>
        <v>0.91769999999999996</v>
      </c>
      <c r="H3479" s="72"/>
      <c r="I3479" s="73"/>
      <c r="J3479" s="148">
        <v>0</v>
      </c>
      <c r="K3479" s="222">
        <v>0</v>
      </c>
    </row>
    <row r="3480" spans="1:11" ht="15.75" hidden="1" thickBot="1" x14ac:dyDescent="0.3">
      <c r="A3480" s="209"/>
      <c r="B3480" s="206"/>
      <c r="C3480" s="35"/>
      <c r="D3480" s="35"/>
      <c r="E3480" s="36"/>
      <c r="F3480" s="53" t="s">
        <v>514</v>
      </c>
      <c r="G3480" s="53" t="str">
        <f t="shared" si="59"/>
        <v/>
      </c>
      <c r="H3480" s="72"/>
      <c r="I3480" s="73"/>
      <c r="J3480" s="148">
        <v>0</v>
      </c>
      <c r="K3480" s="222">
        <v>0</v>
      </c>
    </row>
    <row r="3481" spans="1:11" ht="15.75" hidden="1" thickBot="1" x14ac:dyDescent="0.3">
      <c r="A3481" s="202" t="s">
        <v>1026</v>
      </c>
      <c r="B3481" s="204" t="str">
        <f>INDEX(Orçamentária!A:B,MATCH(Composições!A3481,Orçamentária!A:A,0),2)</f>
        <v>Mármore Branco Especial 20 mm com inserts e argamassa (Ed. Principal e Anexo 1)</v>
      </c>
      <c r="C3481" s="40"/>
      <c r="D3481" s="25" t="str">
        <f>TRIM(INDEX(Orçamentária!C:C,MATCH(Composições!A3481,Orçamentária!A:A,0),1))</f>
        <v>m2</v>
      </c>
      <c r="E3481" s="26"/>
      <c r="F3481" s="48" t="s">
        <v>514</v>
      </c>
      <c r="G3481" s="27" t="str">
        <f t="shared" si="59"/>
        <v/>
      </c>
      <c r="H3481" s="28"/>
      <c r="I3481" s="29"/>
      <c r="J3481" s="148">
        <v>0</v>
      </c>
      <c r="K3481" s="222">
        <v>0</v>
      </c>
    </row>
    <row r="3482" spans="1:11" hidden="1" x14ac:dyDescent="0.25">
      <c r="A3482" s="203"/>
      <c r="B3482" s="205"/>
      <c r="C3482" s="31"/>
      <c r="D3482" s="31"/>
      <c r="E3482" s="32"/>
      <c r="F3482" s="53" t="s">
        <v>514</v>
      </c>
      <c r="G3482" s="53" t="str">
        <f t="shared" si="59"/>
        <v/>
      </c>
      <c r="H3482" s="72"/>
      <c r="I3482" s="73"/>
      <c r="J3482" s="148">
        <v>0</v>
      </c>
      <c r="K3482" s="222">
        <v>0</v>
      </c>
    </row>
    <row r="3483" spans="1:11" hidden="1" x14ac:dyDescent="0.25">
      <c r="A3483" s="203"/>
      <c r="B3483" s="205"/>
      <c r="C3483" s="35" t="s">
        <v>1025</v>
      </c>
      <c r="D3483" s="35" t="s">
        <v>94</v>
      </c>
      <c r="E3483" s="36">
        <v>1.05</v>
      </c>
      <c r="F3483" s="53" t="s">
        <v>514</v>
      </c>
      <c r="G3483" s="53" t="str">
        <f t="shared" si="59"/>
        <v/>
      </c>
      <c r="H3483" s="38">
        <f>SUM(G3483:G3493)</f>
        <v>73.27914998339611</v>
      </c>
      <c r="I3483" s="39"/>
      <c r="J3483" s="148">
        <v>0</v>
      </c>
      <c r="K3483" s="222">
        <v>0</v>
      </c>
    </row>
    <row r="3484" spans="1:11" hidden="1" x14ac:dyDescent="0.25">
      <c r="A3484" s="203"/>
      <c r="B3484" s="205"/>
      <c r="C3484" s="35" t="s">
        <v>54</v>
      </c>
      <c r="D3484" s="35" t="s">
        <v>12</v>
      </c>
      <c r="E3484" s="36">
        <f>1.35</f>
        <v>1.35</v>
      </c>
      <c r="F3484" s="53">
        <v>24.795000000000002</v>
      </c>
      <c r="G3484" s="53">
        <f t="shared" si="59"/>
        <v>33.473250000000007</v>
      </c>
      <c r="H3484" s="72"/>
      <c r="I3484" s="73"/>
      <c r="J3484" s="148">
        <v>0</v>
      </c>
      <c r="K3484" s="222">
        <v>0</v>
      </c>
    </row>
    <row r="3485" spans="1:11" hidden="1" x14ac:dyDescent="0.25">
      <c r="A3485" s="203"/>
      <c r="B3485" s="205"/>
      <c r="C3485" s="35" t="s">
        <v>22</v>
      </c>
      <c r="D3485" s="35" t="s">
        <v>12</v>
      </c>
      <c r="E3485" s="36">
        <v>0.1</v>
      </c>
      <c r="F3485" s="53">
        <v>24.889999999999997</v>
      </c>
      <c r="G3485" s="53">
        <f t="shared" si="59"/>
        <v>2.4889999999999999</v>
      </c>
      <c r="H3485" s="72"/>
      <c r="I3485" s="73"/>
      <c r="J3485" s="148">
        <v>0</v>
      </c>
      <c r="K3485" s="222">
        <v>0</v>
      </c>
    </row>
    <row r="3486" spans="1:11" hidden="1" x14ac:dyDescent="0.25">
      <c r="A3486" s="203"/>
      <c r="B3486" s="205"/>
      <c r="C3486" s="35" t="s">
        <v>23</v>
      </c>
      <c r="D3486" s="35" t="s">
        <v>12</v>
      </c>
      <c r="E3486" s="36">
        <f>0.6+0.1+0.1</f>
        <v>0.79999999999999993</v>
      </c>
      <c r="F3486" s="53">
        <v>18.420500000000001</v>
      </c>
      <c r="G3486" s="53">
        <f t="shared" si="59"/>
        <v>14.7364</v>
      </c>
      <c r="H3486" s="72"/>
      <c r="I3486" s="73"/>
      <c r="J3486" s="148">
        <v>0</v>
      </c>
      <c r="K3486" s="222">
        <v>0</v>
      </c>
    </row>
    <row r="3487" spans="1:11" hidden="1" x14ac:dyDescent="0.25">
      <c r="A3487" s="203"/>
      <c r="B3487" s="205"/>
      <c r="C3487" s="35" t="s">
        <v>3512</v>
      </c>
      <c r="D3487" s="35" t="s">
        <v>42</v>
      </c>
      <c r="E3487" s="36">
        <v>4.5</v>
      </c>
      <c r="F3487" s="53">
        <v>1.6054999999999999</v>
      </c>
      <c r="G3487" s="53">
        <f t="shared" si="59"/>
        <v>7.2247499999999993</v>
      </c>
      <c r="H3487" s="72"/>
      <c r="I3487" s="73"/>
      <c r="J3487" s="148">
        <v>0</v>
      </c>
      <c r="K3487" s="222">
        <v>0</v>
      </c>
    </row>
    <row r="3488" spans="1:11" hidden="1" x14ac:dyDescent="0.25">
      <c r="A3488" s="203"/>
      <c r="B3488" s="205"/>
      <c r="C3488" s="35" t="s">
        <v>3511</v>
      </c>
      <c r="D3488" s="35" t="s">
        <v>42</v>
      </c>
      <c r="E3488" s="36">
        <v>0.3</v>
      </c>
      <c r="F3488" s="53">
        <v>3.0590000000000002</v>
      </c>
      <c r="G3488" s="53">
        <f t="shared" si="59"/>
        <v>0.91769999999999996</v>
      </c>
      <c r="H3488" s="72"/>
      <c r="I3488" s="73"/>
      <c r="J3488" s="148">
        <v>0</v>
      </c>
      <c r="K3488" s="222">
        <v>0</v>
      </c>
    </row>
    <row r="3489" spans="1:11" ht="25.5" hidden="1" x14ac:dyDescent="0.25">
      <c r="A3489" s="203"/>
      <c r="B3489" s="205"/>
      <c r="C3489" s="35" t="s">
        <v>1027</v>
      </c>
      <c r="D3489" s="35" t="s">
        <v>278</v>
      </c>
      <c r="E3489" s="36">
        <f>2/(0.4*0.8)</f>
        <v>6.2499999999999991</v>
      </c>
      <c r="F3489" s="53">
        <v>2.2989999999999999</v>
      </c>
      <c r="G3489" s="53">
        <f t="shared" si="59"/>
        <v>14.368749999999997</v>
      </c>
      <c r="H3489" s="72"/>
      <c r="I3489" s="73"/>
      <c r="J3489" s="148">
        <v>0</v>
      </c>
      <c r="K3489" s="222">
        <v>0</v>
      </c>
    </row>
    <row r="3490" spans="1:11" hidden="1" x14ac:dyDescent="0.25">
      <c r="A3490" s="203"/>
      <c r="B3490" s="205"/>
      <c r="C3490" s="35" t="s">
        <v>1017</v>
      </c>
      <c r="D3490" s="35" t="s">
        <v>143</v>
      </c>
      <c r="E3490" s="36">
        <f>(2/(0.4*0.8))*(0.016)*1.5</f>
        <v>0.15</v>
      </c>
      <c r="F3490" s="53">
        <v>0</v>
      </c>
      <c r="G3490" s="53">
        <f t="shared" si="59"/>
        <v>0</v>
      </c>
      <c r="H3490" s="72"/>
      <c r="I3490" s="73"/>
      <c r="J3490" s="148">
        <v>0</v>
      </c>
      <c r="K3490" s="222">
        <v>0</v>
      </c>
    </row>
    <row r="3491" spans="1:11" hidden="1" x14ac:dyDescent="0.25">
      <c r="A3491" s="203"/>
      <c r="B3491" s="205"/>
      <c r="C3491" s="35" t="s">
        <v>1018</v>
      </c>
      <c r="D3491" s="35" t="s">
        <v>1019</v>
      </c>
      <c r="E3491" s="36">
        <f>(2/(0.4*0.8))*0.1*1.5</f>
        <v>0.9375</v>
      </c>
      <c r="F3491" s="53">
        <v>0</v>
      </c>
      <c r="G3491" s="53">
        <f t="shared" si="59"/>
        <v>0</v>
      </c>
      <c r="H3491" s="72"/>
      <c r="I3491" s="73"/>
      <c r="J3491" s="148">
        <v>0</v>
      </c>
      <c r="K3491" s="222">
        <v>0</v>
      </c>
    </row>
    <row r="3492" spans="1:11" hidden="1" x14ac:dyDescent="0.25">
      <c r="A3492" s="203"/>
      <c r="B3492" s="205"/>
      <c r="C3492" s="35" t="s">
        <v>1028</v>
      </c>
      <c r="D3492" s="35" t="s">
        <v>143</v>
      </c>
      <c r="E3492" s="36">
        <f>2/(0.4*0.8)</f>
        <v>6.2499999999999991</v>
      </c>
      <c r="F3492" s="53" t="s">
        <v>514</v>
      </c>
      <c r="G3492" s="53" t="str">
        <f t="shared" si="59"/>
        <v/>
      </c>
      <c r="H3492" s="72"/>
      <c r="I3492" s="73"/>
      <c r="J3492" s="148">
        <v>0</v>
      </c>
      <c r="K3492" s="222">
        <v>0</v>
      </c>
    </row>
    <row r="3493" spans="1:11" ht="38.25" hidden="1" x14ac:dyDescent="0.25">
      <c r="A3493" s="203"/>
      <c r="B3493" s="205"/>
      <c r="C3493" s="35" t="s">
        <v>1020</v>
      </c>
      <c r="D3493" s="35" t="s">
        <v>108</v>
      </c>
      <c r="E3493" s="36">
        <v>1E-4</v>
      </c>
      <c r="F3493" s="53">
        <v>692.99983396115999</v>
      </c>
      <c r="G3493" s="53">
        <f t="shared" si="59"/>
        <v>6.9299983396115997E-2</v>
      </c>
      <c r="H3493" s="72"/>
      <c r="I3493" s="73"/>
      <c r="J3493" s="148">
        <v>0</v>
      </c>
      <c r="K3493" s="222">
        <v>0</v>
      </c>
    </row>
    <row r="3494" spans="1:11" hidden="1" x14ac:dyDescent="0.25">
      <c r="A3494" s="203"/>
      <c r="B3494" s="205"/>
      <c r="C3494" s="35"/>
      <c r="D3494" s="35"/>
      <c r="E3494" s="36"/>
      <c r="F3494" s="53" t="s">
        <v>514</v>
      </c>
      <c r="G3494" s="53" t="str">
        <f t="shared" si="59"/>
        <v/>
      </c>
      <c r="H3494" s="72"/>
      <c r="I3494" s="73"/>
      <c r="J3494" s="148">
        <v>0</v>
      </c>
      <c r="K3494" s="222">
        <v>0</v>
      </c>
    </row>
    <row r="3495" spans="1:11" hidden="1" x14ac:dyDescent="0.25">
      <c r="A3495" s="203"/>
      <c r="B3495" s="205"/>
      <c r="C3495" s="145" t="s">
        <v>1029</v>
      </c>
      <c r="D3495" s="35"/>
      <c r="E3495" s="36"/>
      <c r="F3495" s="53" t="s">
        <v>514</v>
      </c>
      <c r="G3495" s="53" t="str">
        <f t="shared" si="59"/>
        <v/>
      </c>
      <c r="H3495" s="72"/>
      <c r="I3495" s="73"/>
      <c r="J3495" s="148">
        <v>0</v>
      </c>
      <c r="K3495" s="222">
        <v>0</v>
      </c>
    </row>
    <row r="3496" spans="1:11" ht="25.5" hidden="1" x14ac:dyDescent="0.25">
      <c r="A3496" s="203"/>
      <c r="B3496" s="205"/>
      <c r="C3496" s="145" t="s">
        <v>1030</v>
      </c>
      <c r="D3496" s="35"/>
      <c r="E3496" s="36"/>
      <c r="F3496" s="53" t="s">
        <v>514</v>
      </c>
      <c r="G3496" s="53" t="str">
        <f t="shared" si="59"/>
        <v/>
      </c>
      <c r="H3496" s="72"/>
      <c r="I3496" s="73"/>
      <c r="J3496" s="148">
        <v>0</v>
      </c>
      <c r="K3496" s="222">
        <v>0</v>
      </c>
    </row>
    <row r="3497" spans="1:11" ht="15.75" hidden="1" thickBot="1" x14ac:dyDescent="0.3">
      <c r="A3497" s="209"/>
      <c r="B3497" s="206"/>
      <c r="C3497" s="35"/>
      <c r="D3497" s="35"/>
      <c r="E3497" s="36"/>
      <c r="F3497" s="53" t="s">
        <v>514</v>
      </c>
      <c r="G3497" s="53" t="str">
        <f t="shared" si="59"/>
        <v/>
      </c>
      <c r="H3497" s="72"/>
      <c r="I3497" s="73"/>
      <c r="J3497" s="148">
        <v>0</v>
      </c>
      <c r="K3497" s="222">
        <v>0</v>
      </c>
    </row>
    <row r="3498" spans="1:11" ht="15.75" hidden="1" thickBot="1" x14ac:dyDescent="0.3">
      <c r="A3498" s="202" t="s">
        <v>1031</v>
      </c>
      <c r="B3498" s="204" t="str">
        <f>INDEX(Orçamentária!A:B,MATCH(Composições!A3498,Orçamentária!A:A,0),2)</f>
        <v>Mármore Branco Especial 30 mm argamassado (Ed. Principal e Anexo 1)</v>
      </c>
      <c r="C3498" s="40"/>
      <c r="D3498" s="25" t="str">
        <f>TRIM(INDEX(Orçamentária!C:C,MATCH(Composições!A3498,Orçamentária!A:A,0),1))</f>
        <v>m2</v>
      </c>
      <c r="E3498" s="26"/>
      <c r="F3498" s="48" t="s">
        <v>514</v>
      </c>
      <c r="G3498" s="27" t="str">
        <f t="shared" si="59"/>
        <v/>
      </c>
      <c r="H3498" s="28"/>
      <c r="I3498" s="29"/>
      <c r="J3498" s="148">
        <v>0</v>
      </c>
      <c r="K3498" s="222">
        <v>0</v>
      </c>
    </row>
    <row r="3499" spans="1:11" hidden="1" x14ac:dyDescent="0.25">
      <c r="A3499" s="203"/>
      <c r="B3499" s="205"/>
      <c r="C3499" s="31"/>
      <c r="D3499" s="31"/>
      <c r="E3499" s="32"/>
      <c r="F3499" s="53" t="s">
        <v>514</v>
      </c>
      <c r="G3499" s="53" t="str">
        <f t="shared" si="59"/>
        <v/>
      </c>
      <c r="H3499" s="72"/>
      <c r="I3499" s="73"/>
      <c r="J3499" s="148">
        <v>0</v>
      </c>
      <c r="K3499" s="222">
        <v>0</v>
      </c>
    </row>
    <row r="3500" spans="1:11" hidden="1" x14ac:dyDescent="0.25">
      <c r="A3500" s="203"/>
      <c r="B3500" s="205"/>
      <c r="C3500" s="35" t="s">
        <v>1032</v>
      </c>
      <c r="D3500" s="35" t="s">
        <v>94</v>
      </c>
      <c r="E3500" s="36">
        <v>1.05</v>
      </c>
      <c r="F3500" s="53" t="s">
        <v>514</v>
      </c>
      <c r="G3500" s="53" t="str">
        <f t="shared" ref="G3500:G3563" si="60">IF(ISNUMBER(F3500),E3500*F3500,"")</f>
        <v/>
      </c>
      <c r="H3500" s="38">
        <f>SUM(G3500:G3504)</f>
        <v>52.668000000000006</v>
      </c>
      <c r="I3500" s="39"/>
      <c r="J3500" s="148">
        <v>0</v>
      </c>
      <c r="K3500" s="222">
        <v>0</v>
      </c>
    </row>
    <row r="3501" spans="1:11" hidden="1" x14ac:dyDescent="0.25">
      <c r="A3501" s="203"/>
      <c r="B3501" s="205"/>
      <c r="C3501" s="35" t="s">
        <v>54</v>
      </c>
      <c r="D3501" s="35" t="s">
        <v>12</v>
      </c>
      <c r="E3501" s="36">
        <v>1.35</v>
      </c>
      <c r="F3501" s="53">
        <v>24.795000000000002</v>
      </c>
      <c r="G3501" s="53">
        <f t="shared" si="60"/>
        <v>33.473250000000007</v>
      </c>
      <c r="H3501" s="72"/>
      <c r="I3501" s="73"/>
      <c r="J3501" s="148">
        <v>0</v>
      </c>
      <c r="K3501" s="222">
        <v>0</v>
      </c>
    </row>
    <row r="3502" spans="1:11" hidden="1" x14ac:dyDescent="0.25">
      <c r="A3502" s="203"/>
      <c r="B3502" s="205"/>
      <c r="C3502" s="35" t="s">
        <v>23</v>
      </c>
      <c r="D3502" s="35" t="s">
        <v>12</v>
      </c>
      <c r="E3502" s="36">
        <v>0.6</v>
      </c>
      <c r="F3502" s="53">
        <v>18.420500000000001</v>
      </c>
      <c r="G3502" s="53">
        <f t="shared" si="60"/>
        <v>11.052300000000001</v>
      </c>
      <c r="H3502" s="72"/>
      <c r="I3502" s="73"/>
      <c r="J3502" s="148">
        <v>0</v>
      </c>
      <c r="K3502" s="222">
        <v>0</v>
      </c>
    </row>
    <row r="3503" spans="1:11" hidden="1" x14ac:dyDescent="0.25">
      <c r="A3503" s="203"/>
      <c r="B3503" s="205"/>
      <c r="C3503" s="35" t="s">
        <v>3512</v>
      </c>
      <c r="D3503" s="35" t="s">
        <v>42</v>
      </c>
      <c r="E3503" s="36">
        <v>4.5</v>
      </c>
      <c r="F3503" s="53">
        <v>1.6054999999999999</v>
      </c>
      <c r="G3503" s="53">
        <f t="shared" si="60"/>
        <v>7.2247499999999993</v>
      </c>
      <c r="H3503" s="72"/>
      <c r="I3503" s="73"/>
      <c r="J3503" s="148">
        <v>0</v>
      </c>
      <c r="K3503" s="222">
        <v>0</v>
      </c>
    </row>
    <row r="3504" spans="1:11" hidden="1" x14ac:dyDescent="0.25">
      <c r="A3504" s="203"/>
      <c r="B3504" s="205"/>
      <c r="C3504" s="35" t="s">
        <v>3511</v>
      </c>
      <c r="D3504" s="35" t="s">
        <v>42</v>
      </c>
      <c r="E3504" s="36">
        <v>0.3</v>
      </c>
      <c r="F3504" s="53">
        <v>3.0590000000000002</v>
      </c>
      <c r="G3504" s="53">
        <f t="shared" si="60"/>
        <v>0.91769999999999996</v>
      </c>
      <c r="H3504" s="72"/>
      <c r="I3504" s="73"/>
      <c r="J3504" s="148">
        <v>0</v>
      </c>
      <c r="K3504" s="222">
        <v>0</v>
      </c>
    </row>
    <row r="3505" spans="1:11" ht="15.75" hidden="1" thickBot="1" x14ac:dyDescent="0.3">
      <c r="A3505" s="209"/>
      <c r="B3505" s="206"/>
      <c r="C3505" s="35"/>
      <c r="D3505" s="35"/>
      <c r="E3505" s="36"/>
      <c r="F3505" s="53" t="s">
        <v>514</v>
      </c>
      <c r="G3505" s="53" t="str">
        <f t="shared" si="60"/>
        <v/>
      </c>
      <c r="H3505" s="72"/>
      <c r="I3505" s="73"/>
      <c r="J3505" s="148">
        <v>0</v>
      </c>
      <c r="K3505" s="222">
        <v>0</v>
      </c>
    </row>
    <row r="3506" spans="1:11" ht="15.75" hidden="1" thickBot="1" x14ac:dyDescent="0.3">
      <c r="A3506" s="202" t="s">
        <v>1033</v>
      </c>
      <c r="B3506" s="204" t="str">
        <f>INDEX(Orçamentária!A:B,MATCH(Composições!A3506,Orçamentária!A:A,0),2)</f>
        <v>Mármore Branco Especial 30 mm com inserts e argamassa (Ed. Principal e Anexo 1)</v>
      </c>
      <c r="C3506" s="40"/>
      <c r="D3506" s="25" t="str">
        <f>TRIM(INDEX(Orçamentária!C:C,MATCH(Composições!A3506,Orçamentária!A:A,0),1))</f>
        <v>m2</v>
      </c>
      <c r="E3506" s="26"/>
      <c r="F3506" s="48" t="s">
        <v>514</v>
      </c>
      <c r="G3506" s="27" t="str">
        <f t="shared" si="60"/>
        <v/>
      </c>
      <c r="H3506" s="28"/>
      <c r="I3506" s="29"/>
      <c r="J3506" s="148">
        <v>0</v>
      </c>
      <c r="K3506" s="222">
        <v>0</v>
      </c>
    </row>
    <row r="3507" spans="1:11" hidden="1" x14ac:dyDescent="0.25">
      <c r="A3507" s="203"/>
      <c r="B3507" s="205"/>
      <c r="C3507" s="31"/>
      <c r="D3507" s="31"/>
      <c r="E3507" s="32"/>
      <c r="F3507" s="53" t="s">
        <v>514</v>
      </c>
      <c r="G3507" s="53" t="str">
        <f t="shared" si="60"/>
        <v/>
      </c>
      <c r="H3507" s="72"/>
      <c r="I3507" s="73"/>
      <c r="J3507" s="148">
        <v>0</v>
      </c>
      <c r="K3507" s="222">
        <v>0</v>
      </c>
    </row>
    <row r="3508" spans="1:11" hidden="1" x14ac:dyDescent="0.25">
      <c r="A3508" s="203"/>
      <c r="B3508" s="205"/>
      <c r="C3508" s="35" t="s">
        <v>1032</v>
      </c>
      <c r="D3508" s="35" t="s">
        <v>94</v>
      </c>
      <c r="E3508" s="36">
        <v>1.05</v>
      </c>
      <c r="F3508" s="53" t="s">
        <v>514</v>
      </c>
      <c r="G3508" s="53" t="str">
        <f t="shared" si="60"/>
        <v/>
      </c>
      <c r="H3508" s="38">
        <f>SUM(G3508:G3518)</f>
        <v>73.27914998339611</v>
      </c>
      <c r="I3508" s="39"/>
      <c r="J3508" s="148">
        <v>0</v>
      </c>
      <c r="K3508" s="222">
        <v>0</v>
      </c>
    </row>
    <row r="3509" spans="1:11" hidden="1" x14ac:dyDescent="0.25">
      <c r="A3509" s="203"/>
      <c r="B3509" s="205"/>
      <c r="C3509" s="35" t="s">
        <v>54</v>
      </c>
      <c r="D3509" s="35" t="s">
        <v>12</v>
      </c>
      <c r="E3509" s="36">
        <f>1.35</f>
        <v>1.35</v>
      </c>
      <c r="F3509" s="53">
        <v>24.795000000000002</v>
      </c>
      <c r="G3509" s="53">
        <f t="shared" si="60"/>
        <v>33.473250000000007</v>
      </c>
      <c r="H3509" s="72"/>
      <c r="I3509" s="73"/>
      <c r="J3509" s="148">
        <v>0</v>
      </c>
      <c r="K3509" s="222">
        <v>0</v>
      </c>
    </row>
    <row r="3510" spans="1:11" hidden="1" x14ac:dyDescent="0.25">
      <c r="A3510" s="203"/>
      <c r="B3510" s="205"/>
      <c r="C3510" s="35" t="s">
        <v>22</v>
      </c>
      <c r="D3510" s="35" t="s">
        <v>12</v>
      </c>
      <c r="E3510" s="36">
        <v>0.1</v>
      </c>
      <c r="F3510" s="53">
        <v>24.889999999999997</v>
      </c>
      <c r="G3510" s="53">
        <f t="shared" si="60"/>
        <v>2.4889999999999999</v>
      </c>
      <c r="H3510" s="72"/>
      <c r="I3510" s="73"/>
      <c r="J3510" s="148">
        <v>0</v>
      </c>
      <c r="K3510" s="222">
        <v>0</v>
      </c>
    </row>
    <row r="3511" spans="1:11" hidden="1" x14ac:dyDescent="0.25">
      <c r="A3511" s="203"/>
      <c r="B3511" s="205"/>
      <c r="C3511" s="35" t="s">
        <v>23</v>
      </c>
      <c r="D3511" s="35" t="s">
        <v>12</v>
      </c>
      <c r="E3511" s="36">
        <f>0.6+0.1+0.1</f>
        <v>0.79999999999999993</v>
      </c>
      <c r="F3511" s="53">
        <v>18.420500000000001</v>
      </c>
      <c r="G3511" s="53">
        <f t="shared" si="60"/>
        <v>14.7364</v>
      </c>
      <c r="H3511" s="72"/>
      <c r="I3511" s="73"/>
      <c r="J3511" s="148">
        <v>0</v>
      </c>
      <c r="K3511" s="222">
        <v>0</v>
      </c>
    </row>
    <row r="3512" spans="1:11" hidden="1" x14ac:dyDescent="0.25">
      <c r="A3512" s="203"/>
      <c r="B3512" s="205"/>
      <c r="C3512" s="35" t="s">
        <v>3512</v>
      </c>
      <c r="D3512" s="35" t="s">
        <v>42</v>
      </c>
      <c r="E3512" s="36">
        <v>4.5</v>
      </c>
      <c r="F3512" s="53">
        <v>1.6054999999999999</v>
      </c>
      <c r="G3512" s="53">
        <f t="shared" si="60"/>
        <v>7.2247499999999993</v>
      </c>
      <c r="H3512" s="72"/>
      <c r="I3512" s="73"/>
      <c r="J3512" s="148">
        <v>0</v>
      </c>
      <c r="K3512" s="222">
        <v>0</v>
      </c>
    </row>
    <row r="3513" spans="1:11" hidden="1" x14ac:dyDescent="0.25">
      <c r="A3513" s="203"/>
      <c r="B3513" s="205"/>
      <c r="C3513" s="35" t="s">
        <v>3511</v>
      </c>
      <c r="D3513" s="35" t="s">
        <v>42</v>
      </c>
      <c r="E3513" s="36">
        <v>0.3</v>
      </c>
      <c r="F3513" s="53">
        <v>3.0590000000000002</v>
      </c>
      <c r="G3513" s="53">
        <f t="shared" si="60"/>
        <v>0.91769999999999996</v>
      </c>
      <c r="H3513" s="72"/>
      <c r="I3513" s="73"/>
      <c r="J3513" s="148">
        <v>0</v>
      </c>
      <c r="K3513" s="222">
        <v>0</v>
      </c>
    </row>
    <row r="3514" spans="1:11" ht="25.5" hidden="1" x14ac:dyDescent="0.25">
      <c r="A3514" s="203"/>
      <c r="B3514" s="205"/>
      <c r="C3514" s="35" t="s">
        <v>1027</v>
      </c>
      <c r="D3514" s="35" t="s">
        <v>278</v>
      </c>
      <c r="E3514" s="36">
        <f>2/(0.4*0.8)</f>
        <v>6.2499999999999991</v>
      </c>
      <c r="F3514" s="53">
        <v>2.2989999999999999</v>
      </c>
      <c r="G3514" s="53">
        <f t="shared" si="60"/>
        <v>14.368749999999997</v>
      </c>
      <c r="H3514" s="72"/>
      <c r="I3514" s="73"/>
      <c r="J3514" s="148">
        <v>0</v>
      </c>
      <c r="K3514" s="222">
        <v>0</v>
      </c>
    </row>
    <row r="3515" spans="1:11" hidden="1" x14ac:dyDescent="0.25">
      <c r="A3515" s="203"/>
      <c r="B3515" s="205"/>
      <c r="C3515" s="35" t="s">
        <v>1017</v>
      </c>
      <c r="D3515" s="35" t="s">
        <v>143</v>
      </c>
      <c r="E3515" s="36">
        <f>(2/(0.4*0.8))*(0.016)*1.5</f>
        <v>0.15</v>
      </c>
      <c r="F3515" s="53">
        <v>0</v>
      </c>
      <c r="G3515" s="53">
        <f t="shared" si="60"/>
        <v>0</v>
      </c>
      <c r="H3515" s="72"/>
      <c r="I3515" s="73"/>
      <c r="J3515" s="148">
        <v>0</v>
      </c>
      <c r="K3515" s="222">
        <v>0</v>
      </c>
    </row>
    <row r="3516" spans="1:11" hidden="1" x14ac:dyDescent="0.25">
      <c r="A3516" s="203"/>
      <c r="B3516" s="205"/>
      <c r="C3516" s="35" t="s">
        <v>1018</v>
      </c>
      <c r="D3516" s="35" t="s">
        <v>1019</v>
      </c>
      <c r="E3516" s="36">
        <f>(2/(0.4*0.8))*0.1*1.5</f>
        <v>0.9375</v>
      </c>
      <c r="F3516" s="53">
        <v>0</v>
      </c>
      <c r="G3516" s="53">
        <f t="shared" si="60"/>
        <v>0</v>
      </c>
      <c r="H3516" s="72"/>
      <c r="I3516" s="73"/>
      <c r="J3516" s="148">
        <v>0</v>
      </c>
      <c r="K3516" s="222">
        <v>0</v>
      </c>
    </row>
    <row r="3517" spans="1:11" hidden="1" x14ac:dyDescent="0.25">
      <c r="A3517" s="203"/>
      <c r="B3517" s="205"/>
      <c r="C3517" s="35" t="s">
        <v>1028</v>
      </c>
      <c r="D3517" s="35" t="s">
        <v>143</v>
      </c>
      <c r="E3517" s="36">
        <f>2/(0.4*0.8)</f>
        <v>6.2499999999999991</v>
      </c>
      <c r="F3517" s="53" t="s">
        <v>514</v>
      </c>
      <c r="G3517" s="53" t="str">
        <f t="shared" si="60"/>
        <v/>
      </c>
      <c r="H3517" s="72"/>
      <c r="I3517" s="73"/>
      <c r="J3517" s="148">
        <v>0</v>
      </c>
      <c r="K3517" s="222">
        <v>0</v>
      </c>
    </row>
    <row r="3518" spans="1:11" ht="38.25" hidden="1" x14ac:dyDescent="0.25">
      <c r="A3518" s="203"/>
      <c r="B3518" s="205"/>
      <c r="C3518" s="35" t="s">
        <v>1020</v>
      </c>
      <c r="D3518" s="35" t="s">
        <v>108</v>
      </c>
      <c r="E3518" s="36">
        <v>1E-4</v>
      </c>
      <c r="F3518" s="53">
        <v>692.99983396115999</v>
      </c>
      <c r="G3518" s="53">
        <f t="shared" si="60"/>
        <v>6.9299983396115997E-2</v>
      </c>
      <c r="H3518" s="72"/>
      <c r="I3518" s="73"/>
      <c r="J3518" s="148">
        <v>0</v>
      </c>
      <c r="K3518" s="222">
        <v>0</v>
      </c>
    </row>
    <row r="3519" spans="1:11" hidden="1" x14ac:dyDescent="0.25">
      <c r="A3519" s="203"/>
      <c r="B3519" s="205"/>
      <c r="C3519" s="35"/>
      <c r="D3519" s="35"/>
      <c r="E3519" s="36"/>
      <c r="F3519" s="53" t="s">
        <v>514</v>
      </c>
      <c r="G3519" s="53" t="str">
        <f t="shared" si="60"/>
        <v/>
      </c>
      <c r="H3519" s="72"/>
      <c r="I3519" s="73"/>
      <c r="J3519" s="148">
        <v>0</v>
      </c>
      <c r="K3519" s="222">
        <v>0</v>
      </c>
    </row>
    <row r="3520" spans="1:11" hidden="1" x14ac:dyDescent="0.25">
      <c r="A3520" s="203"/>
      <c r="B3520" s="205"/>
      <c r="C3520" s="145" t="s">
        <v>1029</v>
      </c>
      <c r="D3520" s="35"/>
      <c r="E3520" s="36"/>
      <c r="F3520" s="53" t="s">
        <v>514</v>
      </c>
      <c r="G3520" s="53" t="str">
        <f t="shared" si="60"/>
        <v/>
      </c>
      <c r="H3520" s="72"/>
      <c r="I3520" s="73"/>
      <c r="J3520" s="148">
        <v>0</v>
      </c>
      <c r="K3520" s="222">
        <v>0</v>
      </c>
    </row>
    <row r="3521" spans="1:11" ht="25.5" hidden="1" x14ac:dyDescent="0.25">
      <c r="A3521" s="203"/>
      <c r="B3521" s="205"/>
      <c r="C3521" s="145" t="s">
        <v>1030</v>
      </c>
      <c r="D3521" s="35"/>
      <c r="E3521" s="36"/>
      <c r="F3521" s="53" t="s">
        <v>514</v>
      </c>
      <c r="G3521" s="53" t="str">
        <f t="shared" si="60"/>
        <v/>
      </c>
      <c r="H3521" s="72"/>
      <c r="I3521" s="73"/>
      <c r="J3521" s="148">
        <v>0</v>
      </c>
      <c r="K3521" s="222">
        <v>0</v>
      </c>
    </row>
    <row r="3522" spans="1:11" ht="15.75" hidden="1" thickBot="1" x14ac:dyDescent="0.3">
      <c r="A3522" s="209"/>
      <c r="B3522" s="206"/>
      <c r="C3522" s="35"/>
      <c r="D3522" s="35"/>
      <c r="E3522" s="36"/>
      <c r="F3522" s="53" t="s">
        <v>514</v>
      </c>
      <c r="G3522" s="53" t="str">
        <f t="shared" si="60"/>
        <v/>
      </c>
      <c r="H3522" s="72"/>
      <c r="I3522" s="73"/>
      <c r="J3522" s="148">
        <v>0</v>
      </c>
      <c r="K3522" s="222">
        <v>0</v>
      </c>
    </row>
    <row r="3523" spans="1:11" ht="15.75" hidden="1" thickBot="1" x14ac:dyDescent="0.3">
      <c r="A3523" s="202" t="s">
        <v>1034</v>
      </c>
      <c r="B3523" s="204" t="str">
        <f>INDEX(Orçamentária!A:B,MATCH(Composições!A3523,Orçamentária!A:A,0),2)</f>
        <v>Mármore branco especial, e=30 mm, instalação em fixadores metálicos existentes (modelo Edifício Principal)</v>
      </c>
      <c r="C3523" s="40"/>
      <c r="D3523" s="25" t="str">
        <f>TRIM(INDEX(Orçamentária!C:C,MATCH(Composições!A3523,Orçamentária!A:A,0),1))</f>
        <v>m2</v>
      </c>
      <c r="E3523" s="26"/>
      <c r="F3523" s="48" t="s">
        <v>514</v>
      </c>
      <c r="G3523" s="27" t="str">
        <f t="shared" si="60"/>
        <v/>
      </c>
      <c r="H3523" s="28"/>
      <c r="I3523" s="29"/>
      <c r="J3523" s="148">
        <v>0</v>
      </c>
      <c r="K3523" s="222">
        <v>0</v>
      </c>
    </row>
    <row r="3524" spans="1:11" hidden="1" x14ac:dyDescent="0.25">
      <c r="A3524" s="203"/>
      <c r="B3524" s="205"/>
      <c r="C3524" s="31"/>
      <c r="D3524" s="31"/>
      <c r="E3524" s="32"/>
      <c r="F3524" s="53" t="s">
        <v>514</v>
      </c>
      <c r="G3524" s="53" t="str">
        <f t="shared" si="60"/>
        <v/>
      </c>
      <c r="H3524" s="72"/>
      <c r="I3524" s="73"/>
      <c r="J3524" s="148">
        <v>0</v>
      </c>
      <c r="K3524" s="222">
        <v>0</v>
      </c>
    </row>
    <row r="3525" spans="1:11" hidden="1" x14ac:dyDescent="0.25">
      <c r="A3525" s="203"/>
      <c r="B3525" s="205"/>
      <c r="C3525" s="35" t="s">
        <v>1032</v>
      </c>
      <c r="D3525" s="35" t="s">
        <v>94</v>
      </c>
      <c r="E3525" s="36">
        <v>1.05</v>
      </c>
      <c r="F3525" s="53" t="s">
        <v>514</v>
      </c>
      <c r="G3525" s="53" t="str">
        <f t="shared" si="60"/>
        <v/>
      </c>
      <c r="H3525" s="38">
        <f>SUM(G3525:G3529)</f>
        <v>8.0408000000000008</v>
      </c>
      <c r="I3525" s="39"/>
      <c r="J3525" s="148">
        <v>0</v>
      </c>
      <c r="K3525" s="222">
        <v>0</v>
      </c>
    </row>
    <row r="3526" spans="1:11" hidden="1" x14ac:dyDescent="0.25">
      <c r="A3526" s="203"/>
      <c r="B3526" s="205"/>
      <c r="C3526" s="35" t="s">
        <v>54</v>
      </c>
      <c r="D3526" s="35" t="s">
        <v>12</v>
      </c>
      <c r="E3526" s="36">
        <v>0.25</v>
      </c>
      <c r="F3526" s="53">
        <v>24.795000000000002</v>
      </c>
      <c r="G3526" s="53">
        <f t="shared" si="60"/>
        <v>6.1987500000000004</v>
      </c>
      <c r="H3526" s="72"/>
      <c r="I3526" s="73"/>
      <c r="J3526" s="148">
        <v>0</v>
      </c>
      <c r="K3526" s="222">
        <v>0</v>
      </c>
    </row>
    <row r="3527" spans="1:11" hidden="1" x14ac:dyDescent="0.25">
      <c r="A3527" s="203"/>
      <c r="B3527" s="205"/>
      <c r="C3527" s="35" t="s">
        <v>23</v>
      </c>
      <c r="D3527" s="35" t="s">
        <v>12</v>
      </c>
      <c r="E3527" s="36">
        <v>0.1</v>
      </c>
      <c r="F3527" s="53">
        <v>18.420500000000001</v>
      </c>
      <c r="G3527" s="53">
        <f t="shared" si="60"/>
        <v>1.8420500000000002</v>
      </c>
      <c r="H3527" s="72"/>
      <c r="I3527" s="73"/>
      <c r="J3527" s="148">
        <v>0</v>
      </c>
      <c r="K3527" s="222">
        <v>0</v>
      </c>
    </row>
    <row r="3528" spans="1:11" hidden="1" x14ac:dyDescent="0.25">
      <c r="A3528" s="203"/>
      <c r="B3528" s="205"/>
      <c r="C3528" s="35" t="s">
        <v>1017</v>
      </c>
      <c r="D3528" s="35" t="s">
        <v>143</v>
      </c>
      <c r="E3528" s="36">
        <f>(2/(0.4*0.8))*0.016/2</f>
        <v>4.9999999999999996E-2</v>
      </c>
      <c r="F3528" s="53">
        <v>0</v>
      </c>
      <c r="G3528" s="53">
        <f t="shared" si="60"/>
        <v>0</v>
      </c>
      <c r="H3528" s="72"/>
      <c r="I3528" s="73"/>
      <c r="J3528" s="148">
        <v>0</v>
      </c>
      <c r="K3528" s="222">
        <v>0</v>
      </c>
    </row>
    <row r="3529" spans="1:11" hidden="1" x14ac:dyDescent="0.25">
      <c r="A3529" s="203"/>
      <c r="B3529" s="205"/>
      <c r="C3529" s="35" t="s">
        <v>1018</v>
      </c>
      <c r="D3529" s="35" t="s">
        <v>1019</v>
      </c>
      <c r="E3529" s="36">
        <f>(2/(0.4*0.8))*0.1/2</f>
        <v>0.3125</v>
      </c>
      <c r="F3529" s="53">
        <v>0</v>
      </c>
      <c r="G3529" s="53">
        <f t="shared" si="60"/>
        <v>0</v>
      </c>
      <c r="H3529" s="72"/>
      <c r="I3529" s="73"/>
      <c r="J3529" s="148">
        <v>0</v>
      </c>
      <c r="K3529" s="222">
        <v>0</v>
      </c>
    </row>
    <row r="3530" spans="1:11" hidden="1" x14ac:dyDescent="0.25">
      <c r="A3530" s="203"/>
      <c r="B3530" s="205"/>
      <c r="C3530" s="35"/>
      <c r="D3530" s="35"/>
      <c r="E3530" s="36"/>
      <c r="F3530" s="53" t="s">
        <v>514</v>
      </c>
      <c r="G3530" s="53" t="str">
        <f t="shared" si="60"/>
        <v/>
      </c>
      <c r="H3530" s="72"/>
      <c r="I3530" s="73"/>
      <c r="J3530" s="148">
        <v>0</v>
      </c>
      <c r="K3530" s="222">
        <v>0</v>
      </c>
    </row>
    <row r="3531" spans="1:11" hidden="1" x14ac:dyDescent="0.25">
      <c r="A3531" s="203"/>
      <c r="B3531" s="205"/>
      <c r="C3531" s="145" t="s">
        <v>1035</v>
      </c>
      <c r="D3531" s="35"/>
      <c r="E3531" s="36"/>
      <c r="F3531" s="53" t="s">
        <v>514</v>
      </c>
      <c r="G3531" s="53" t="str">
        <f t="shared" si="60"/>
        <v/>
      </c>
      <c r="H3531" s="72"/>
      <c r="I3531" s="73"/>
      <c r="J3531" s="148">
        <v>0</v>
      </c>
      <c r="K3531" s="222">
        <v>0</v>
      </c>
    </row>
    <row r="3532" spans="1:11" ht="15.75" hidden="1" thickBot="1" x14ac:dyDescent="0.3">
      <c r="A3532" s="209"/>
      <c r="B3532" s="206"/>
      <c r="C3532" s="35"/>
      <c r="D3532" s="35"/>
      <c r="E3532" s="36"/>
      <c r="F3532" s="53" t="s">
        <v>514</v>
      </c>
      <c r="G3532" s="53" t="str">
        <f t="shared" si="60"/>
        <v/>
      </c>
      <c r="H3532" s="72"/>
      <c r="I3532" s="73"/>
      <c r="J3532" s="148">
        <v>0</v>
      </c>
      <c r="K3532" s="222">
        <v>0</v>
      </c>
    </row>
    <row r="3533" spans="1:11" ht="15.75" hidden="1" thickBot="1" x14ac:dyDescent="0.3">
      <c r="A3533" s="202" t="s">
        <v>2799</v>
      </c>
      <c r="B3533" s="204" t="str">
        <f>INDEX(Orçamentária!A:B,MATCH(Composições!A3533,Orçamentária!A:A,0),2)</f>
        <v>Instalação de placas de mármore 30 mm reaproveitadas em fixadores metálicos existentes (modelo Edifício Principal)</v>
      </c>
      <c r="C3533" s="40"/>
      <c r="D3533" s="25" t="str">
        <f>TRIM(INDEX(Orçamentária!C:C,MATCH(Composições!A3533,Orçamentária!A:A,0),1))</f>
        <v>m2</v>
      </c>
      <c r="E3533" s="26"/>
      <c r="F3533" s="48" t="s">
        <v>514</v>
      </c>
      <c r="G3533" s="27" t="str">
        <f t="shared" si="60"/>
        <v/>
      </c>
      <c r="H3533" s="28"/>
      <c r="I3533" s="29"/>
      <c r="J3533" s="148">
        <v>0</v>
      </c>
      <c r="K3533" s="222">
        <v>0</v>
      </c>
    </row>
    <row r="3534" spans="1:11" hidden="1" x14ac:dyDescent="0.25">
      <c r="A3534" s="203"/>
      <c r="B3534" s="205"/>
      <c r="C3534" s="31"/>
      <c r="D3534" s="31"/>
      <c r="E3534" s="32"/>
      <c r="F3534" s="53" t="s">
        <v>514</v>
      </c>
      <c r="G3534" s="53" t="str">
        <f t="shared" si="60"/>
        <v/>
      </c>
      <c r="H3534" s="72"/>
      <c r="I3534" s="73"/>
      <c r="J3534" s="148">
        <v>0</v>
      </c>
      <c r="K3534" s="222">
        <v>0</v>
      </c>
    </row>
    <row r="3535" spans="1:11" hidden="1" x14ac:dyDescent="0.25">
      <c r="A3535" s="203"/>
      <c r="B3535" s="205"/>
      <c r="C3535" s="35" t="s">
        <v>54</v>
      </c>
      <c r="D3535" s="35" t="s">
        <v>12</v>
      </c>
      <c r="E3535" s="36">
        <v>0.25</v>
      </c>
      <c r="F3535" s="53">
        <v>24.795000000000002</v>
      </c>
      <c r="G3535" s="53">
        <f t="shared" si="60"/>
        <v>6.1987500000000004</v>
      </c>
      <c r="H3535" s="38">
        <f>SUM(G3535:G3538)</f>
        <v>8.0408000000000008</v>
      </c>
      <c r="I3535" s="39"/>
      <c r="J3535" s="148">
        <v>0</v>
      </c>
      <c r="K3535" s="222">
        <v>0</v>
      </c>
    </row>
    <row r="3536" spans="1:11" hidden="1" x14ac:dyDescent="0.25">
      <c r="A3536" s="203"/>
      <c r="B3536" s="205"/>
      <c r="C3536" s="35" t="s">
        <v>23</v>
      </c>
      <c r="D3536" s="35" t="s">
        <v>12</v>
      </c>
      <c r="E3536" s="36">
        <v>0.1</v>
      </c>
      <c r="F3536" s="53">
        <v>18.420500000000001</v>
      </c>
      <c r="G3536" s="53">
        <f t="shared" si="60"/>
        <v>1.8420500000000002</v>
      </c>
      <c r="H3536" s="72"/>
      <c r="I3536" s="73"/>
      <c r="J3536" s="148">
        <v>0</v>
      </c>
      <c r="K3536" s="222">
        <v>0</v>
      </c>
    </row>
    <row r="3537" spans="1:11" hidden="1" x14ac:dyDescent="0.25">
      <c r="A3537" s="203"/>
      <c r="B3537" s="205"/>
      <c r="C3537" s="35" t="s">
        <v>1017</v>
      </c>
      <c r="D3537" s="35" t="s">
        <v>143</v>
      </c>
      <c r="E3537" s="36">
        <f>(2/(0.4*0.8))*0.016/2</f>
        <v>4.9999999999999996E-2</v>
      </c>
      <c r="F3537" s="53">
        <v>0</v>
      </c>
      <c r="G3537" s="53">
        <f t="shared" si="60"/>
        <v>0</v>
      </c>
      <c r="H3537" s="72"/>
      <c r="I3537" s="73"/>
      <c r="J3537" s="148">
        <v>0</v>
      </c>
      <c r="K3537" s="222">
        <v>0</v>
      </c>
    </row>
    <row r="3538" spans="1:11" hidden="1" x14ac:dyDescent="0.25">
      <c r="A3538" s="203"/>
      <c r="B3538" s="205"/>
      <c r="C3538" s="35" t="s">
        <v>1018</v>
      </c>
      <c r="D3538" s="35" t="s">
        <v>1019</v>
      </c>
      <c r="E3538" s="36">
        <f>(2/(0.4*0.8))*0.1/2</f>
        <v>0.3125</v>
      </c>
      <c r="F3538" s="53">
        <v>0</v>
      </c>
      <c r="G3538" s="53">
        <f t="shared" si="60"/>
        <v>0</v>
      </c>
      <c r="H3538" s="72"/>
      <c r="I3538" s="73"/>
      <c r="J3538" s="148">
        <v>0</v>
      </c>
      <c r="K3538" s="222">
        <v>0</v>
      </c>
    </row>
    <row r="3539" spans="1:11" hidden="1" x14ac:dyDescent="0.25">
      <c r="A3539" s="203"/>
      <c r="B3539" s="205"/>
      <c r="C3539" s="35"/>
      <c r="D3539" s="35"/>
      <c r="E3539" s="36"/>
      <c r="F3539" s="53" t="s">
        <v>514</v>
      </c>
      <c r="G3539" s="53" t="str">
        <f t="shared" si="60"/>
        <v/>
      </c>
      <c r="H3539" s="72"/>
      <c r="I3539" s="73"/>
      <c r="J3539" s="148">
        <v>0</v>
      </c>
      <c r="K3539" s="222">
        <v>0</v>
      </c>
    </row>
    <row r="3540" spans="1:11" hidden="1" x14ac:dyDescent="0.25">
      <c r="A3540" s="203"/>
      <c r="B3540" s="205"/>
      <c r="C3540" s="145" t="s">
        <v>1035</v>
      </c>
      <c r="D3540" s="35"/>
      <c r="E3540" s="36"/>
      <c r="F3540" s="53" t="s">
        <v>514</v>
      </c>
      <c r="G3540" s="53" t="str">
        <f t="shared" si="60"/>
        <v/>
      </c>
      <c r="H3540" s="72"/>
      <c r="I3540" s="73"/>
      <c r="J3540" s="148">
        <v>0</v>
      </c>
      <c r="K3540" s="222">
        <v>0</v>
      </c>
    </row>
    <row r="3541" spans="1:11" ht="15.75" hidden="1" thickBot="1" x14ac:dyDescent="0.3">
      <c r="A3541" s="209"/>
      <c r="B3541" s="206"/>
      <c r="C3541" s="35"/>
      <c r="D3541" s="35"/>
      <c r="E3541" s="36"/>
      <c r="F3541" s="53" t="s">
        <v>514</v>
      </c>
      <c r="G3541" s="53" t="str">
        <f t="shared" si="60"/>
        <v/>
      </c>
      <c r="H3541" s="72"/>
      <c r="I3541" s="73"/>
      <c r="J3541" s="148">
        <v>0</v>
      </c>
      <c r="K3541" s="222">
        <v>0</v>
      </c>
    </row>
    <row r="3542" spans="1:11" ht="15.75" hidden="1" thickBot="1" x14ac:dyDescent="0.3">
      <c r="A3542" s="202" t="s">
        <v>1036</v>
      </c>
      <c r="B3542" s="204" t="str">
        <f>INDEX(Orçamentária!A:B,MATCH(Composições!A3542,Orçamentária!A:A,0),2)</f>
        <v>Instalação de placas de rocha ornamental reaproveitadas, por meio de argamassa</v>
      </c>
      <c r="C3542" s="40"/>
      <c r="D3542" s="25" t="str">
        <f>TRIM(INDEX(Orçamentária!C:C,MATCH(Composições!A3542,Orçamentária!A:A,0),1))</f>
        <v>m2</v>
      </c>
      <c r="E3542" s="26"/>
      <c r="F3542" s="48" t="s">
        <v>514</v>
      </c>
      <c r="G3542" s="27" t="str">
        <f t="shared" si="60"/>
        <v/>
      </c>
      <c r="H3542" s="28"/>
      <c r="I3542" s="29"/>
      <c r="J3542" s="148">
        <v>0</v>
      </c>
      <c r="K3542" s="222">
        <v>0</v>
      </c>
    </row>
    <row r="3543" spans="1:11" hidden="1" x14ac:dyDescent="0.25">
      <c r="A3543" s="203"/>
      <c r="B3543" s="205"/>
      <c r="C3543" s="31"/>
      <c r="D3543" s="31"/>
      <c r="E3543" s="32"/>
      <c r="F3543" s="53" t="s">
        <v>514</v>
      </c>
      <c r="G3543" s="53" t="str">
        <f t="shared" si="60"/>
        <v/>
      </c>
      <c r="H3543" s="72"/>
      <c r="I3543" s="73"/>
      <c r="J3543" s="148">
        <v>0</v>
      </c>
      <c r="K3543" s="222">
        <v>0</v>
      </c>
    </row>
    <row r="3544" spans="1:11" hidden="1" x14ac:dyDescent="0.25">
      <c r="A3544" s="203"/>
      <c r="B3544" s="205"/>
      <c r="C3544" s="35" t="s">
        <v>54</v>
      </c>
      <c r="D3544" s="35" t="s">
        <v>12</v>
      </c>
      <c r="E3544" s="36">
        <v>1.35</v>
      </c>
      <c r="F3544" s="53">
        <v>24.795000000000002</v>
      </c>
      <c r="G3544" s="53">
        <f t="shared" si="60"/>
        <v>33.473250000000007</v>
      </c>
      <c r="H3544" s="38">
        <f>SUM(G3544:G3547)</f>
        <v>52.668000000000006</v>
      </c>
      <c r="I3544" s="39"/>
      <c r="J3544" s="148">
        <v>0</v>
      </c>
      <c r="K3544" s="222">
        <v>0</v>
      </c>
    </row>
    <row r="3545" spans="1:11" hidden="1" x14ac:dyDescent="0.25">
      <c r="A3545" s="203"/>
      <c r="B3545" s="205"/>
      <c r="C3545" s="35" t="s">
        <v>23</v>
      </c>
      <c r="D3545" s="35" t="s">
        <v>12</v>
      </c>
      <c r="E3545" s="36">
        <v>0.6</v>
      </c>
      <c r="F3545" s="53">
        <v>18.420500000000001</v>
      </c>
      <c r="G3545" s="53">
        <f t="shared" si="60"/>
        <v>11.052300000000001</v>
      </c>
      <c r="H3545" s="72"/>
      <c r="I3545" s="73"/>
      <c r="J3545" s="148">
        <v>0</v>
      </c>
      <c r="K3545" s="222">
        <v>0</v>
      </c>
    </row>
    <row r="3546" spans="1:11" hidden="1" x14ac:dyDescent="0.25">
      <c r="A3546" s="203"/>
      <c r="B3546" s="205"/>
      <c r="C3546" s="35" t="s">
        <v>3512</v>
      </c>
      <c r="D3546" s="35" t="s">
        <v>42</v>
      </c>
      <c r="E3546" s="36">
        <v>4.5</v>
      </c>
      <c r="F3546" s="53">
        <v>1.6054999999999999</v>
      </c>
      <c r="G3546" s="53">
        <f t="shared" si="60"/>
        <v>7.2247499999999993</v>
      </c>
      <c r="H3546" s="72"/>
      <c r="I3546" s="73"/>
      <c r="J3546" s="148">
        <v>0</v>
      </c>
      <c r="K3546" s="222">
        <v>0</v>
      </c>
    </row>
    <row r="3547" spans="1:11" hidden="1" x14ac:dyDescent="0.25">
      <c r="A3547" s="203"/>
      <c r="B3547" s="205"/>
      <c r="C3547" s="35" t="s">
        <v>3511</v>
      </c>
      <c r="D3547" s="35" t="s">
        <v>42</v>
      </c>
      <c r="E3547" s="36">
        <v>0.3</v>
      </c>
      <c r="F3547" s="53">
        <v>3.0590000000000002</v>
      </c>
      <c r="G3547" s="53">
        <f t="shared" si="60"/>
        <v>0.91769999999999996</v>
      </c>
      <c r="H3547" s="72"/>
      <c r="I3547" s="73"/>
      <c r="J3547" s="148">
        <v>0</v>
      </c>
      <c r="K3547" s="222">
        <v>0</v>
      </c>
    </row>
    <row r="3548" spans="1:11" ht="15.75" hidden="1" thickBot="1" x14ac:dyDescent="0.3">
      <c r="A3548" s="209"/>
      <c r="B3548" s="206"/>
      <c r="C3548" s="35"/>
      <c r="D3548" s="35"/>
      <c r="E3548" s="36"/>
      <c r="F3548" s="53" t="s">
        <v>514</v>
      </c>
      <c r="G3548" s="53" t="str">
        <f t="shared" si="60"/>
        <v/>
      </c>
      <c r="H3548" s="72"/>
      <c r="I3548" s="73"/>
      <c r="J3548" s="148">
        <v>0</v>
      </c>
      <c r="K3548" s="222">
        <v>0</v>
      </c>
    </row>
    <row r="3549" spans="1:11" ht="15.75" hidden="1" thickBot="1" x14ac:dyDescent="0.3">
      <c r="A3549" s="202" t="s">
        <v>1037</v>
      </c>
      <c r="B3549" s="204" t="str">
        <f>INDEX(Orçamentária!A:B,MATCH(Composições!A3549,Orçamentária!A:A,0),2)</f>
        <v>Instalação de placas de rocha ornamental reaproveitadas, por meio de argamassa e fixadores metálicos</v>
      </c>
      <c r="C3549" s="40"/>
      <c r="D3549" s="25" t="str">
        <f>TRIM(INDEX(Orçamentária!C:C,MATCH(Composições!A3549,Orçamentária!A:A,0),1))</f>
        <v>m2</v>
      </c>
      <c r="E3549" s="26"/>
      <c r="F3549" s="48" t="s">
        <v>514</v>
      </c>
      <c r="G3549" s="27" t="str">
        <f t="shared" si="60"/>
        <v/>
      </c>
      <c r="H3549" s="28"/>
      <c r="I3549" s="29"/>
      <c r="J3549" s="148">
        <v>0</v>
      </c>
      <c r="K3549" s="222">
        <v>0</v>
      </c>
    </row>
    <row r="3550" spans="1:11" hidden="1" x14ac:dyDescent="0.25">
      <c r="A3550" s="203"/>
      <c r="B3550" s="205"/>
      <c r="C3550" s="31"/>
      <c r="D3550" s="31"/>
      <c r="E3550" s="32"/>
      <c r="F3550" s="53" t="s">
        <v>514</v>
      </c>
      <c r="G3550" s="53" t="str">
        <f t="shared" si="60"/>
        <v/>
      </c>
      <c r="H3550" s="72"/>
      <c r="I3550" s="73"/>
      <c r="J3550" s="148">
        <v>0</v>
      </c>
      <c r="K3550" s="222">
        <v>0</v>
      </c>
    </row>
    <row r="3551" spans="1:11" hidden="1" x14ac:dyDescent="0.25">
      <c r="A3551" s="203"/>
      <c r="B3551" s="205"/>
      <c r="C3551" s="35" t="s">
        <v>54</v>
      </c>
      <c r="D3551" s="35" t="s">
        <v>12</v>
      </c>
      <c r="E3551" s="36">
        <f>1.35</f>
        <v>1.35</v>
      </c>
      <c r="F3551" s="53">
        <v>24.795000000000002</v>
      </c>
      <c r="G3551" s="53">
        <f t="shared" si="60"/>
        <v>33.473250000000007</v>
      </c>
      <c r="H3551" s="38">
        <f>SUM(G3551:G3560)</f>
        <v>73.27914998339611</v>
      </c>
      <c r="I3551" s="39"/>
      <c r="J3551" s="148">
        <v>0</v>
      </c>
      <c r="K3551" s="222">
        <v>0</v>
      </c>
    </row>
    <row r="3552" spans="1:11" hidden="1" x14ac:dyDescent="0.25">
      <c r="A3552" s="203"/>
      <c r="B3552" s="205"/>
      <c r="C3552" s="35" t="s">
        <v>22</v>
      </c>
      <c r="D3552" s="35" t="s">
        <v>12</v>
      </c>
      <c r="E3552" s="36">
        <v>0.1</v>
      </c>
      <c r="F3552" s="53">
        <v>24.889999999999997</v>
      </c>
      <c r="G3552" s="53">
        <f t="shared" si="60"/>
        <v>2.4889999999999999</v>
      </c>
      <c r="H3552" s="72"/>
      <c r="I3552" s="73"/>
      <c r="J3552" s="148">
        <v>0</v>
      </c>
      <c r="K3552" s="222">
        <v>0</v>
      </c>
    </row>
    <row r="3553" spans="1:11" hidden="1" x14ac:dyDescent="0.25">
      <c r="A3553" s="203"/>
      <c r="B3553" s="205"/>
      <c r="C3553" s="35" t="s">
        <v>23</v>
      </c>
      <c r="D3553" s="35" t="s">
        <v>12</v>
      </c>
      <c r="E3553" s="36">
        <f>0.6+0.1+0.1</f>
        <v>0.79999999999999993</v>
      </c>
      <c r="F3553" s="53">
        <v>18.420500000000001</v>
      </c>
      <c r="G3553" s="53">
        <f t="shared" si="60"/>
        <v>14.7364</v>
      </c>
      <c r="H3553" s="72"/>
      <c r="I3553" s="73"/>
      <c r="J3553" s="148">
        <v>0</v>
      </c>
      <c r="K3553" s="222">
        <v>0</v>
      </c>
    </row>
    <row r="3554" spans="1:11" hidden="1" x14ac:dyDescent="0.25">
      <c r="A3554" s="203"/>
      <c r="B3554" s="205"/>
      <c r="C3554" s="35" t="s">
        <v>3512</v>
      </c>
      <c r="D3554" s="35" t="s">
        <v>42</v>
      </c>
      <c r="E3554" s="36">
        <v>4.5</v>
      </c>
      <c r="F3554" s="53">
        <v>1.6054999999999999</v>
      </c>
      <c r="G3554" s="53">
        <f t="shared" si="60"/>
        <v>7.2247499999999993</v>
      </c>
      <c r="H3554" s="72"/>
      <c r="I3554" s="73"/>
      <c r="J3554" s="148">
        <v>0</v>
      </c>
      <c r="K3554" s="222">
        <v>0</v>
      </c>
    </row>
    <row r="3555" spans="1:11" hidden="1" x14ac:dyDescent="0.25">
      <c r="A3555" s="203"/>
      <c r="B3555" s="205"/>
      <c r="C3555" s="35" t="s">
        <v>3511</v>
      </c>
      <c r="D3555" s="35" t="s">
        <v>42</v>
      </c>
      <c r="E3555" s="36">
        <v>0.3</v>
      </c>
      <c r="F3555" s="53">
        <v>3.0590000000000002</v>
      </c>
      <c r="G3555" s="53">
        <f t="shared" si="60"/>
        <v>0.91769999999999996</v>
      </c>
      <c r="H3555" s="72"/>
      <c r="I3555" s="73"/>
      <c r="J3555" s="148">
        <v>0</v>
      </c>
      <c r="K3555" s="222">
        <v>0</v>
      </c>
    </row>
    <row r="3556" spans="1:11" ht="25.5" hidden="1" x14ac:dyDescent="0.25">
      <c r="A3556" s="203"/>
      <c r="B3556" s="205"/>
      <c r="C3556" s="35" t="s">
        <v>1027</v>
      </c>
      <c r="D3556" s="35" t="s">
        <v>278</v>
      </c>
      <c r="E3556" s="36">
        <f>2/(0.4*0.8)</f>
        <v>6.2499999999999991</v>
      </c>
      <c r="F3556" s="53">
        <v>2.2989999999999999</v>
      </c>
      <c r="G3556" s="53">
        <f t="shared" si="60"/>
        <v>14.368749999999997</v>
      </c>
      <c r="H3556" s="72"/>
      <c r="I3556" s="73"/>
      <c r="J3556" s="148">
        <v>0</v>
      </c>
      <c r="K3556" s="222">
        <v>0</v>
      </c>
    </row>
    <row r="3557" spans="1:11" hidden="1" x14ac:dyDescent="0.25">
      <c r="A3557" s="203"/>
      <c r="B3557" s="205"/>
      <c r="C3557" s="35" t="s">
        <v>1017</v>
      </c>
      <c r="D3557" s="35" t="s">
        <v>143</v>
      </c>
      <c r="E3557" s="36">
        <f>(2/(0.4*0.8))*(0.016)*1.5</f>
        <v>0.15</v>
      </c>
      <c r="F3557" s="53">
        <v>0</v>
      </c>
      <c r="G3557" s="53">
        <f t="shared" si="60"/>
        <v>0</v>
      </c>
      <c r="H3557" s="72"/>
      <c r="I3557" s="73"/>
      <c r="J3557" s="148">
        <v>0</v>
      </c>
      <c r="K3557" s="222">
        <v>0</v>
      </c>
    </row>
    <row r="3558" spans="1:11" hidden="1" x14ac:dyDescent="0.25">
      <c r="A3558" s="203"/>
      <c r="B3558" s="205"/>
      <c r="C3558" s="35" t="s">
        <v>1018</v>
      </c>
      <c r="D3558" s="35" t="s">
        <v>1019</v>
      </c>
      <c r="E3558" s="36">
        <f>(2/(0.4*0.8))*0.1*1.5</f>
        <v>0.9375</v>
      </c>
      <c r="F3558" s="53">
        <v>0</v>
      </c>
      <c r="G3558" s="53">
        <f t="shared" si="60"/>
        <v>0</v>
      </c>
      <c r="H3558" s="72"/>
      <c r="I3558" s="73"/>
      <c r="J3558" s="148">
        <v>0</v>
      </c>
      <c r="K3558" s="222">
        <v>0</v>
      </c>
    </row>
    <row r="3559" spans="1:11" hidden="1" x14ac:dyDescent="0.25">
      <c r="A3559" s="203"/>
      <c r="B3559" s="205"/>
      <c r="C3559" s="35" t="s">
        <v>1028</v>
      </c>
      <c r="D3559" s="35" t="s">
        <v>143</v>
      </c>
      <c r="E3559" s="36">
        <f>2/(0.4*0.8)</f>
        <v>6.2499999999999991</v>
      </c>
      <c r="F3559" s="53" t="s">
        <v>514</v>
      </c>
      <c r="G3559" s="53" t="str">
        <f t="shared" si="60"/>
        <v/>
      </c>
      <c r="H3559" s="72"/>
      <c r="I3559" s="73"/>
      <c r="J3559" s="148">
        <v>0</v>
      </c>
      <c r="K3559" s="222">
        <v>0</v>
      </c>
    </row>
    <row r="3560" spans="1:11" ht="38.25" hidden="1" x14ac:dyDescent="0.25">
      <c r="A3560" s="203"/>
      <c r="B3560" s="205"/>
      <c r="C3560" s="35" t="s">
        <v>1020</v>
      </c>
      <c r="D3560" s="35" t="s">
        <v>108</v>
      </c>
      <c r="E3560" s="36">
        <v>1E-4</v>
      </c>
      <c r="F3560" s="53">
        <v>692.99983396115999</v>
      </c>
      <c r="G3560" s="53">
        <f t="shared" si="60"/>
        <v>6.9299983396115997E-2</v>
      </c>
      <c r="H3560" s="72"/>
      <c r="I3560" s="73"/>
      <c r="J3560" s="148">
        <v>0</v>
      </c>
      <c r="K3560" s="222">
        <v>0</v>
      </c>
    </row>
    <row r="3561" spans="1:11" hidden="1" x14ac:dyDescent="0.25">
      <c r="A3561" s="203"/>
      <c r="B3561" s="205"/>
      <c r="C3561" s="35"/>
      <c r="D3561" s="35"/>
      <c r="E3561" s="36"/>
      <c r="F3561" s="53" t="s">
        <v>514</v>
      </c>
      <c r="G3561" s="53" t="str">
        <f t="shared" si="60"/>
        <v/>
      </c>
      <c r="H3561" s="72"/>
      <c r="I3561" s="73"/>
      <c r="J3561" s="148">
        <v>0</v>
      </c>
      <c r="K3561" s="222">
        <v>0</v>
      </c>
    </row>
    <row r="3562" spans="1:11" hidden="1" x14ac:dyDescent="0.25">
      <c r="A3562" s="203"/>
      <c r="B3562" s="205"/>
      <c r="C3562" s="145" t="s">
        <v>1029</v>
      </c>
      <c r="D3562" s="35"/>
      <c r="E3562" s="36"/>
      <c r="F3562" s="53" t="s">
        <v>514</v>
      </c>
      <c r="G3562" s="53" t="str">
        <f t="shared" si="60"/>
        <v/>
      </c>
      <c r="H3562" s="72"/>
      <c r="I3562" s="73"/>
      <c r="J3562" s="148">
        <v>0</v>
      </c>
      <c r="K3562" s="222">
        <v>0</v>
      </c>
    </row>
    <row r="3563" spans="1:11" ht="25.5" hidden="1" x14ac:dyDescent="0.25">
      <c r="A3563" s="203"/>
      <c r="B3563" s="205"/>
      <c r="C3563" s="145" t="s">
        <v>1030</v>
      </c>
      <c r="D3563" s="35"/>
      <c r="E3563" s="36"/>
      <c r="F3563" s="53" t="s">
        <v>514</v>
      </c>
      <c r="G3563" s="53" t="str">
        <f t="shared" si="60"/>
        <v/>
      </c>
      <c r="H3563" s="72"/>
      <c r="I3563" s="73"/>
      <c r="J3563" s="148">
        <v>0</v>
      </c>
      <c r="K3563" s="222">
        <v>0</v>
      </c>
    </row>
    <row r="3564" spans="1:11" ht="15.75" hidden="1" thickBot="1" x14ac:dyDescent="0.3">
      <c r="A3564" s="209"/>
      <c r="B3564" s="206"/>
      <c r="C3564" s="35"/>
      <c r="D3564" s="35"/>
      <c r="E3564" s="36"/>
      <c r="F3564" s="53" t="s">
        <v>514</v>
      </c>
      <c r="G3564" s="53" t="str">
        <f t="shared" ref="G3564:G3627" si="61">IF(ISNUMBER(F3564),E3564*F3564,"")</f>
        <v/>
      </c>
      <c r="H3564" s="72"/>
      <c r="I3564" s="73"/>
      <c r="J3564" s="148">
        <v>0</v>
      </c>
      <c r="K3564" s="222">
        <v>0</v>
      </c>
    </row>
    <row r="3565" spans="1:11" ht="15.75" hidden="1" thickBot="1" x14ac:dyDescent="0.3">
      <c r="A3565" s="202" t="s">
        <v>1038</v>
      </c>
      <c r="B3565" s="204" t="str">
        <f>INDEX(Orçamentária!A:B,MATCH(Composições!A3565,Orçamentária!A:A,0),2)</f>
        <v>Aplicação de hidrofugante à base de silano e silicone</v>
      </c>
      <c r="C3565" s="40"/>
      <c r="D3565" s="25" t="str">
        <f>TRIM(INDEX(Orçamentária!C:C,MATCH(Composições!A3565,Orçamentária!A:A,0),1))</f>
        <v>m2</v>
      </c>
      <c r="E3565" s="26"/>
      <c r="F3565" s="48" t="s">
        <v>514</v>
      </c>
      <c r="G3565" s="27" t="str">
        <f t="shared" si="61"/>
        <v/>
      </c>
      <c r="H3565" s="28"/>
      <c r="I3565" s="29"/>
      <c r="J3565" s="148">
        <v>0</v>
      </c>
      <c r="K3565" s="222">
        <v>0</v>
      </c>
    </row>
    <row r="3566" spans="1:11" hidden="1" x14ac:dyDescent="0.25">
      <c r="A3566" s="207"/>
      <c r="B3566" s="205"/>
      <c r="C3566" s="31"/>
      <c r="D3566" s="31"/>
      <c r="E3566" s="32"/>
      <c r="F3566" s="53" t="s">
        <v>514</v>
      </c>
      <c r="G3566" s="53" t="str">
        <f t="shared" si="61"/>
        <v/>
      </c>
      <c r="H3566" s="72"/>
      <c r="I3566" s="73"/>
      <c r="J3566" s="148">
        <v>0</v>
      </c>
      <c r="K3566" s="222">
        <v>0</v>
      </c>
    </row>
    <row r="3567" spans="1:11" hidden="1" x14ac:dyDescent="0.25">
      <c r="A3567" s="207"/>
      <c r="B3567" s="205"/>
      <c r="C3567" s="35" t="s">
        <v>99</v>
      </c>
      <c r="D3567" s="35" t="s">
        <v>12</v>
      </c>
      <c r="E3567" s="36">
        <v>0.4</v>
      </c>
      <c r="F3567" s="53">
        <v>25.887499999999999</v>
      </c>
      <c r="G3567" s="53">
        <f t="shared" si="61"/>
        <v>10.355</v>
      </c>
      <c r="H3567" s="38">
        <f>SUM(G3567:G3569)</f>
        <v>12.425050000000001</v>
      </c>
      <c r="I3567" s="39"/>
      <c r="J3567" s="148">
        <v>0</v>
      </c>
      <c r="K3567" s="222">
        <v>0</v>
      </c>
    </row>
    <row r="3568" spans="1:11" hidden="1" x14ac:dyDescent="0.25">
      <c r="A3568" s="207"/>
      <c r="B3568" s="205"/>
      <c r="C3568" s="35" t="s">
        <v>1039</v>
      </c>
      <c r="D3568" s="35" t="s">
        <v>695</v>
      </c>
      <c r="E3568" s="36">
        <v>0.1</v>
      </c>
      <c r="F3568" s="53">
        <v>20.700499999999998</v>
      </c>
      <c r="G3568" s="53">
        <f t="shared" si="61"/>
        <v>2.0700499999999997</v>
      </c>
      <c r="H3568" s="72"/>
      <c r="I3568" s="73"/>
      <c r="J3568" s="148">
        <v>0</v>
      </c>
      <c r="K3568" s="222">
        <v>0</v>
      </c>
    </row>
    <row r="3569" spans="1:11" hidden="1" x14ac:dyDescent="0.25">
      <c r="A3569" s="207"/>
      <c r="B3569" s="205"/>
      <c r="C3569" s="35" t="s">
        <v>1040</v>
      </c>
      <c r="D3569" s="49" t="s">
        <v>101</v>
      </c>
      <c r="E3569" s="36">
        <v>0.33</v>
      </c>
      <c r="F3569" s="53">
        <v>0</v>
      </c>
      <c r="G3569" s="53">
        <f t="shared" si="61"/>
        <v>0</v>
      </c>
      <c r="H3569" s="72"/>
      <c r="I3569" s="73"/>
      <c r="J3569" s="148">
        <v>0</v>
      </c>
      <c r="K3569" s="222">
        <v>0</v>
      </c>
    </row>
    <row r="3570" spans="1:11" ht="15.75" hidden="1" thickBot="1" x14ac:dyDescent="0.3">
      <c r="A3570" s="208"/>
      <c r="B3570" s="206"/>
      <c r="C3570" s="35"/>
      <c r="D3570" s="35"/>
      <c r="E3570" s="36"/>
      <c r="F3570" s="53" t="s">
        <v>514</v>
      </c>
      <c r="G3570" s="53" t="str">
        <f t="shared" si="61"/>
        <v/>
      </c>
      <c r="H3570" s="72"/>
      <c r="I3570" s="73"/>
      <c r="J3570" s="148">
        <v>0</v>
      </c>
      <c r="K3570" s="222">
        <v>0</v>
      </c>
    </row>
    <row r="3571" spans="1:11" ht="15.75" hidden="1" thickBot="1" x14ac:dyDescent="0.3">
      <c r="A3571" s="202" t="s">
        <v>1041</v>
      </c>
      <c r="B3571" s="204" t="str">
        <f>INDEX(Orçamentária!A:B,MATCH(Composições!A3571,Orçamentária!A:A,0),2)</f>
        <v>Cantoneira em alumínio abas iguais 1" x 1/8" – Pingadeira “L”</v>
      </c>
      <c r="C3571" s="40"/>
      <c r="D3571" s="25" t="str">
        <f>TRIM(INDEX(Orçamentária!C:C,MATCH(Composições!A3571,Orçamentária!A:A,0),1))</f>
        <v>m</v>
      </c>
      <c r="E3571" s="26"/>
      <c r="F3571" s="48" t="s">
        <v>514</v>
      </c>
      <c r="G3571" s="27" t="str">
        <f t="shared" si="61"/>
        <v/>
      </c>
      <c r="H3571" s="28"/>
      <c r="I3571" s="29"/>
      <c r="J3571" s="148">
        <v>0</v>
      </c>
      <c r="K3571" s="222">
        <v>0</v>
      </c>
    </row>
    <row r="3572" spans="1:11" hidden="1" x14ac:dyDescent="0.25">
      <c r="A3572" s="207"/>
      <c r="B3572" s="205"/>
      <c r="C3572" s="31"/>
      <c r="D3572" s="31"/>
      <c r="E3572" s="32"/>
      <c r="F3572" s="53" t="s">
        <v>514</v>
      </c>
      <c r="G3572" s="53" t="str">
        <f t="shared" si="61"/>
        <v/>
      </c>
      <c r="H3572" s="72"/>
      <c r="I3572" s="73"/>
      <c r="J3572" s="148">
        <v>0</v>
      </c>
      <c r="K3572" s="222">
        <v>0</v>
      </c>
    </row>
    <row r="3573" spans="1:11" hidden="1" x14ac:dyDescent="0.25">
      <c r="A3573" s="207"/>
      <c r="B3573" s="205"/>
      <c r="C3573" s="35" t="s">
        <v>54</v>
      </c>
      <c r="D3573" s="35" t="s">
        <v>12</v>
      </c>
      <c r="E3573" s="36">
        <v>0.6</v>
      </c>
      <c r="F3573" s="53">
        <v>24.795000000000002</v>
      </c>
      <c r="G3573" s="53">
        <f t="shared" si="61"/>
        <v>14.877000000000001</v>
      </c>
      <c r="H3573" s="38">
        <f>SUM(G3573:G3575)</f>
        <v>22.245200000000001</v>
      </c>
      <c r="I3573" s="39"/>
      <c r="J3573" s="148">
        <v>0</v>
      </c>
      <c r="K3573" s="222">
        <v>0</v>
      </c>
    </row>
    <row r="3574" spans="1:11" hidden="1" x14ac:dyDescent="0.25">
      <c r="A3574" s="207"/>
      <c r="B3574" s="205"/>
      <c r="C3574" s="35" t="s">
        <v>23</v>
      </c>
      <c r="D3574" s="35" t="s">
        <v>12</v>
      </c>
      <c r="E3574" s="36">
        <v>0.4</v>
      </c>
      <c r="F3574" s="53">
        <v>18.420500000000001</v>
      </c>
      <c r="G3574" s="53">
        <f t="shared" si="61"/>
        <v>7.3682000000000007</v>
      </c>
      <c r="H3574" s="72"/>
      <c r="I3574" s="73"/>
      <c r="J3574" s="148">
        <v>0</v>
      </c>
      <c r="K3574" s="222">
        <v>0</v>
      </c>
    </row>
    <row r="3575" spans="1:11" ht="25.5" hidden="1" x14ac:dyDescent="0.25">
      <c r="A3575" s="207"/>
      <c r="B3575" s="205"/>
      <c r="C3575" s="35" t="s">
        <v>1042</v>
      </c>
      <c r="D3575" s="46" t="s">
        <v>92</v>
      </c>
      <c r="E3575" s="36">
        <v>1</v>
      </c>
      <c r="F3575" s="53" t="s">
        <v>514</v>
      </c>
      <c r="G3575" s="53" t="str">
        <f t="shared" si="61"/>
        <v/>
      </c>
      <c r="H3575" s="72"/>
      <c r="I3575" s="73"/>
      <c r="J3575" s="148">
        <v>0</v>
      </c>
      <c r="K3575" s="222">
        <v>0</v>
      </c>
    </row>
    <row r="3576" spans="1:11" ht="15.75" hidden="1" thickBot="1" x14ac:dyDescent="0.3">
      <c r="A3576" s="208"/>
      <c r="B3576" s="206"/>
      <c r="C3576" s="35"/>
      <c r="D3576" s="35"/>
      <c r="E3576" s="36"/>
      <c r="F3576" s="53" t="s">
        <v>514</v>
      </c>
      <c r="G3576" s="53" t="str">
        <f t="shared" si="61"/>
        <v/>
      </c>
      <c r="H3576" s="72"/>
      <c r="I3576" s="73"/>
      <c r="J3576" s="148">
        <v>0</v>
      </c>
      <c r="K3576" s="222">
        <v>0</v>
      </c>
    </row>
    <row r="3577" spans="1:11" ht="15.75" hidden="1" thickBot="1" x14ac:dyDescent="0.3">
      <c r="A3577" s="202" t="s">
        <v>1043</v>
      </c>
      <c r="B3577" s="204" t="str">
        <f>INDEX(Orçamentária!A:B,MATCH(Composições!A3577,Orçamentária!A:A,0),2)</f>
        <v>Granito Amarelo Maracujá para rodapé</v>
      </c>
      <c r="C3577" s="40"/>
      <c r="D3577" s="25" t="str">
        <f>TRIM(INDEX(Orçamentária!C:C,MATCH(Composições!A3577,Orçamentária!A:A,0),1))</f>
        <v>m2</v>
      </c>
      <c r="E3577" s="26"/>
      <c r="F3577" s="48" t="s">
        <v>514</v>
      </c>
      <c r="G3577" s="27" t="str">
        <f t="shared" si="61"/>
        <v/>
      </c>
      <c r="H3577" s="28"/>
      <c r="I3577" s="29"/>
      <c r="J3577" s="148">
        <v>0</v>
      </c>
      <c r="K3577" s="222">
        <v>0</v>
      </c>
    </row>
    <row r="3578" spans="1:11" hidden="1" x14ac:dyDescent="0.25">
      <c r="A3578" s="207"/>
      <c r="B3578" s="205"/>
      <c r="C3578" s="31"/>
      <c r="D3578" s="31"/>
      <c r="E3578" s="32"/>
      <c r="F3578" s="53" t="s">
        <v>514</v>
      </c>
      <c r="G3578" s="53" t="str">
        <f t="shared" si="61"/>
        <v/>
      </c>
      <c r="H3578" s="72"/>
      <c r="I3578" s="73"/>
      <c r="J3578" s="148">
        <v>0</v>
      </c>
      <c r="K3578" s="222">
        <v>0</v>
      </c>
    </row>
    <row r="3579" spans="1:11" hidden="1" x14ac:dyDescent="0.25">
      <c r="A3579" s="207"/>
      <c r="B3579" s="205"/>
      <c r="C3579" s="35" t="s">
        <v>1044</v>
      </c>
      <c r="D3579" s="35" t="s">
        <v>94</v>
      </c>
      <c r="E3579" s="36">
        <v>1.05</v>
      </c>
      <c r="F3579" s="53" t="s">
        <v>514</v>
      </c>
      <c r="G3579" s="53" t="str">
        <f t="shared" si="61"/>
        <v/>
      </c>
      <c r="H3579" s="38">
        <f>SUM(G3579:G3583)</f>
        <v>119.26837699999999</v>
      </c>
      <c r="I3579" s="39"/>
      <c r="J3579" s="148">
        <v>0</v>
      </c>
      <c r="K3579" s="222">
        <v>0</v>
      </c>
    </row>
    <row r="3580" spans="1:11" hidden="1" x14ac:dyDescent="0.25">
      <c r="A3580" s="207"/>
      <c r="B3580" s="205"/>
      <c r="C3580" s="35" t="s">
        <v>3512</v>
      </c>
      <c r="D3580" s="35" t="s">
        <v>42</v>
      </c>
      <c r="E3580" s="36">
        <f>0.8614/0.1</f>
        <v>8.6140000000000008</v>
      </c>
      <c r="F3580" s="53">
        <v>1.6054999999999999</v>
      </c>
      <c r="G3580" s="53">
        <f t="shared" si="61"/>
        <v>13.829777</v>
      </c>
      <c r="H3580" s="72"/>
      <c r="I3580" s="73"/>
      <c r="J3580" s="148">
        <v>0</v>
      </c>
      <c r="K3580" s="222">
        <v>0</v>
      </c>
    </row>
    <row r="3581" spans="1:11" hidden="1" x14ac:dyDescent="0.25">
      <c r="A3581" s="207"/>
      <c r="B3581" s="205"/>
      <c r="C3581" s="35" t="s">
        <v>54</v>
      </c>
      <c r="D3581" s="35" t="s">
        <v>12</v>
      </c>
      <c r="E3581" s="36">
        <f>0.299/0.1</f>
        <v>2.9899999999999998</v>
      </c>
      <c r="F3581" s="53">
        <v>24.795000000000002</v>
      </c>
      <c r="G3581" s="53">
        <f t="shared" si="61"/>
        <v>74.137050000000002</v>
      </c>
      <c r="H3581" s="72"/>
      <c r="I3581" s="73"/>
      <c r="J3581" s="148">
        <v>0</v>
      </c>
      <c r="K3581" s="222">
        <v>0</v>
      </c>
    </row>
    <row r="3582" spans="1:11" hidden="1" x14ac:dyDescent="0.25">
      <c r="A3582" s="207"/>
      <c r="B3582" s="205"/>
      <c r="C3582" s="35" t="s">
        <v>23</v>
      </c>
      <c r="D3582" s="35" t="s">
        <v>12</v>
      </c>
      <c r="E3582" s="36">
        <f>0.15/0.1</f>
        <v>1.4999999999999998</v>
      </c>
      <c r="F3582" s="53">
        <v>18.420500000000001</v>
      </c>
      <c r="G3582" s="53">
        <f t="shared" si="61"/>
        <v>27.630749999999995</v>
      </c>
      <c r="H3582" s="72"/>
      <c r="I3582" s="73"/>
      <c r="J3582" s="148">
        <v>0</v>
      </c>
      <c r="K3582" s="222">
        <v>0</v>
      </c>
    </row>
    <row r="3583" spans="1:11" hidden="1" x14ac:dyDescent="0.25">
      <c r="A3583" s="207"/>
      <c r="B3583" s="205"/>
      <c r="C3583" s="35" t="s">
        <v>3511</v>
      </c>
      <c r="D3583" s="35" t="s">
        <v>42</v>
      </c>
      <c r="E3583" s="36">
        <f>0.12/0.1</f>
        <v>1.2</v>
      </c>
      <c r="F3583" s="53">
        <v>3.0590000000000002</v>
      </c>
      <c r="G3583" s="53">
        <f t="shared" si="61"/>
        <v>3.6707999999999998</v>
      </c>
      <c r="H3583" s="72"/>
      <c r="I3583" s="73"/>
      <c r="J3583" s="148">
        <v>0</v>
      </c>
      <c r="K3583" s="222">
        <v>0</v>
      </c>
    </row>
    <row r="3584" spans="1:11" hidden="1" x14ac:dyDescent="0.25">
      <c r="A3584" s="207"/>
      <c r="B3584" s="205"/>
      <c r="C3584" s="35"/>
      <c r="D3584" s="35"/>
      <c r="E3584" s="36"/>
      <c r="F3584" s="53" t="s">
        <v>514</v>
      </c>
      <c r="G3584" s="53" t="str">
        <f t="shared" si="61"/>
        <v/>
      </c>
      <c r="H3584" s="72"/>
      <c r="I3584" s="73"/>
      <c r="J3584" s="148">
        <v>0</v>
      </c>
      <c r="K3584" s="222">
        <v>0</v>
      </c>
    </row>
    <row r="3585" spans="1:11" ht="15.75" hidden="1" thickBot="1" x14ac:dyDescent="0.3">
      <c r="A3585" s="202" t="s">
        <v>1045</v>
      </c>
      <c r="B3585" s="204" t="str">
        <f>INDEX(Orçamentária!A:B,MATCH(Composições!A3585,Orçamentária!A:A,0),2)</f>
        <v>Acabamento das extremidades aparentes dos parafusos de fixação (lixamento e revestimento)</v>
      </c>
      <c r="C3585" s="40"/>
      <c r="D3585" s="25" t="str">
        <f>TRIM(INDEX(Orçamentária!C:C,MATCH(Composições!A3585,Orçamentária!A:A,0),1))</f>
        <v>un</v>
      </c>
      <c r="E3585" s="26"/>
      <c r="F3585" s="48" t="s">
        <v>514</v>
      </c>
      <c r="G3585" s="27" t="str">
        <f t="shared" si="61"/>
        <v/>
      </c>
      <c r="H3585" s="28"/>
      <c r="I3585" s="29"/>
      <c r="J3585" s="148">
        <v>0</v>
      </c>
      <c r="K3585" s="222">
        <v>0</v>
      </c>
    </row>
    <row r="3586" spans="1:11" hidden="1" x14ac:dyDescent="0.25">
      <c r="A3586" s="207"/>
      <c r="B3586" s="205"/>
      <c r="C3586" s="31"/>
      <c r="D3586" s="31"/>
      <c r="E3586" s="32"/>
      <c r="F3586" s="53" t="s">
        <v>514</v>
      </c>
      <c r="G3586" s="53" t="str">
        <f t="shared" si="61"/>
        <v/>
      </c>
      <c r="H3586" s="72"/>
      <c r="I3586" s="73"/>
      <c r="J3586" s="148">
        <v>0</v>
      </c>
      <c r="K3586" s="222">
        <v>0</v>
      </c>
    </row>
    <row r="3587" spans="1:11" hidden="1" x14ac:dyDescent="0.25">
      <c r="A3587" s="207"/>
      <c r="B3587" s="205"/>
      <c r="C3587" s="35" t="s">
        <v>23</v>
      </c>
      <c r="D3587" s="35" t="s">
        <v>12</v>
      </c>
      <c r="E3587" s="36">
        <v>0.05</v>
      </c>
      <c r="F3587" s="53">
        <v>18.420500000000001</v>
      </c>
      <c r="G3587" s="53">
        <f t="shared" si="61"/>
        <v>0.92102500000000009</v>
      </c>
      <c r="H3587" s="38">
        <f>SUM(G3587:G3590)</f>
        <v>1.0739750000000001</v>
      </c>
      <c r="I3587" s="39"/>
      <c r="J3587" s="148">
        <v>0</v>
      </c>
      <c r="K3587" s="222">
        <v>0</v>
      </c>
    </row>
    <row r="3588" spans="1:11" hidden="1" x14ac:dyDescent="0.25">
      <c r="A3588" s="207"/>
      <c r="B3588" s="205"/>
      <c r="C3588" s="35" t="s">
        <v>1046</v>
      </c>
      <c r="D3588" s="35" t="s">
        <v>1047</v>
      </c>
      <c r="E3588" s="36">
        <f>0.25/10</f>
        <v>2.5000000000000001E-2</v>
      </c>
      <c r="F3588" s="53">
        <v>0</v>
      </c>
      <c r="G3588" s="53">
        <f t="shared" si="61"/>
        <v>0</v>
      </c>
      <c r="H3588" s="72"/>
      <c r="I3588" s="73"/>
      <c r="J3588" s="148">
        <v>0</v>
      </c>
      <c r="K3588" s="222">
        <v>0</v>
      </c>
    </row>
    <row r="3589" spans="1:11" hidden="1" x14ac:dyDescent="0.25">
      <c r="A3589" s="207"/>
      <c r="B3589" s="205"/>
      <c r="C3589" s="35" t="s">
        <v>1048</v>
      </c>
      <c r="D3589" s="35" t="s">
        <v>20</v>
      </c>
      <c r="E3589" s="36">
        <v>0.25</v>
      </c>
      <c r="F3589" s="53" t="s">
        <v>514</v>
      </c>
      <c r="G3589" s="53" t="str">
        <f t="shared" si="61"/>
        <v/>
      </c>
      <c r="H3589" s="72"/>
      <c r="I3589" s="73"/>
      <c r="J3589" s="148">
        <v>0</v>
      </c>
      <c r="K3589" s="222">
        <v>0</v>
      </c>
    </row>
    <row r="3590" spans="1:11" hidden="1" x14ac:dyDescent="0.25">
      <c r="A3590" s="207"/>
      <c r="B3590" s="205"/>
      <c r="C3590" s="35" t="s">
        <v>3511</v>
      </c>
      <c r="D3590" s="46" t="s">
        <v>42</v>
      </c>
      <c r="E3590" s="36">
        <v>0.05</v>
      </c>
      <c r="F3590" s="53">
        <v>3.0590000000000002</v>
      </c>
      <c r="G3590" s="53">
        <f t="shared" si="61"/>
        <v>0.15295000000000003</v>
      </c>
      <c r="H3590" s="72"/>
      <c r="I3590" s="73"/>
      <c r="J3590" s="148">
        <v>0</v>
      </c>
      <c r="K3590" s="222">
        <v>0</v>
      </c>
    </row>
    <row r="3591" spans="1:11" ht="15.75" hidden="1" thickBot="1" x14ac:dyDescent="0.3">
      <c r="A3591" s="208"/>
      <c r="B3591" s="206"/>
      <c r="C3591" s="35"/>
      <c r="D3591" s="35"/>
      <c r="E3591" s="36"/>
      <c r="F3591" s="53" t="s">
        <v>514</v>
      </c>
      <c r="G3591" s="53" t="str">
        <f t="shared" si="61"/>
        <v/>
      </c>
      <c r="H3591" s="72"/>
      <c r="I3591" s="73"/>
      <c r="J3591" s="148">
        <v>0</v>
      </c>
      <c r="K3591" s="222">
        <v>0</v>
      </c>
    </row>
    <row r="3592" spans="1:11" ht="15.75" hidden="1" thickBot="1" x14ac:dyDescent="0.3">
      <c r="A3592" s="202" t="s">
        <v>1049</v>
      </c>
      <c r="B3592" s="204" t="str">
        <f>INDEX(Orçamentária!A:B,MATCH(Composições!A3592,Orçamentária!A:A,0),2)</f>
        <v>Rejuntamento de placas de rocha ornamental em fachada</v>
      </c>
      <c r="C3592" s="40"/>
      <c r="D3592" s="25" t="str">
        <f>TRIM(INDEX(Orçamentária!C:C,MATCH(Composições!A3592,Orçamentária!A:A,0),1))</f>
        <v>m2</v>
      </c>
      <c r="E3592" s="26"/>
      <c r="F3592" s="48" t="s">
        <v>514</v>
      </c>
      <c r="G3592" s="27" t="str">
        <f t="shared" si="61"/>
        <v/>
      </c>
      <c r="H3592" s="28"/>
      <c r="I3592" s="29"/>
      <c r="J3592" s="148">
        <v>0</v>
      </c>
      <c r="K3592" s="222">
        <v>0</v>
      </c>
    </row>
    <row r="3593" spans="1:11" hidden="1" x14ac:dyDescent="0.25">
      <c r="A3593" s="207"/>
      <c r="B3593" s="205"/>
      <c r="C3593" s="31"/>
      <c r="D3593" s="31"/>
      <c r="E3593" s="32"/>
      <c r="F3593" s="53" t="s">
        <v>514</v>
      </c>
      <c r="G3593" s="53" t="str">
        <f t="shared" si="61"/>
        <v/>
      </c>
      <c r="H3593" s="72"/>
      <c r="I3593" s="73"/>
      <c r="J3593" s="148">
        <v>0</v>
      </c>
      <c r="K3593" s="222">
        <v>0</v>
      </c>
    </row>
    <row r="3594" spans="1:11" hidden="1" x14ac:dyDescent="0.25">
      <c r="A3594" s="207"/>
      <c r="B3594" s="205"/>
      <c r="C3594" s="35" t="s">
        <v>23</v>
      </c>
      <c r="D3594" s="35" t="s">
        <v>12</v>
      </c>
      <c r="E3594" s="36">
        <v>0.25</v>
      </c>
      <c r="F3594" s="53">
        <v>18.420500000000001</v>
      </c>
      <c r="G3594" s="53">
        <f t="shared" si="61"/>
        <v>4.6051250000000001</v>
      </c>
      <c r="H3594" s="38">
        <f>SUM(G3594:G3595)</f>
        <v>6.2233359999999998</v>
      </c>
      <c r="I3594" s="39"/>
      <c r="J3594" s="148">
        <v>0</v>
      </c>
      <c r="K3594" s="222">
        <v>0</v>
      </c>
    </row>
    <row r="3595" spans="1:11" hidden="1" x14ac:dyDescent="0.25">
      <c r="A3595" s="207"/>
      <c r="B3595" s="205"/>
      <c r="C3595" s="35" t="s">
        <v>3511</v>
      </c>
      <c r="D3595" s="46" t="s">
        <v>42</v>
      </c>
      <c r="E3595" s="36">
        <v>0.52900000000000003</v>
      </c>
      <c r="F3595" s="53">
        <v>3.0590000000000002</v>
      </c>
      <c r="G3595" s="53">
        <f t="shared" si="61"/>
        <v>1.6182110000000001</v>
      </c>
      <c r="H3595" s="72"/>
      <c r="I3595" s="73"/>
      <c r="J3595" s="148">
        <v>0</v>
      </c>
      <c r="K3595" s="222">
        <v>0</v>
      </c>
    </row>
    <row r="3596" spans="1:11" ht="15.75" hidden="1" thickBot="1" x14ac:dyDescent="0.3">
      <c r="A3596" s="208"/>
      <c r="B3596" s="206"/>
      <c r="C3596" s="35"/>
      <c r="D3596" s="35"/>
      <c r="E3596" s="36"/>
      <c r="F3596" s="53" t="s">
        <v>514</v>
      </c>
      <c r="G3596" s="53" t="str">
        <f t="shared" si="61"/>
        <v/>
      </c>
      <c r="H3596" s="72"/>
      <c r="I3596" s="73"/>
      <c r="J3596" s="148">
        <v>0</v>
      </c>
      <c r="K3596" s="222">
        <v>0</v>
      </c>
    </row>
    <row r="3597" spans="1:11" ht="15.75" hidden="1" thickBot="1" x14ac:dyDescent="0.3">
      <c r="A3597" s="202" t="s">
        <v>1050</v>
      </c>
      <c r="B3597" s="204" t="str">
        <f>INDEX(Orçamentária!A:B,MATCH(Composições!A3597,Orçamentária!A:A,0),2)</f>
        <v>Junta de movimentação em fachada</v>
      </c>
      <c r="C3597" s="40"/>
      <c r="D3597" s="25" t="str">
        <f>TRIM(INDEX(Orçamentária!C:C,MATCH(Composições!A3597,Orçamentária!A:A,0),1))</f>
        <v>m</v>
      </c>
      <c r="E3597" s="26"/>
      <c r="F3597" s="48" t="s">
        <v>514</v>
      </c>
      <c r="G3597" s="27" t="str">
        <f t="shared" si="61"/>
        <v/>
      </c>
      <c r="H3597" s="28"/>
      <c r="I3597" s="29"/>
      <c r="J3597" s="148">
        <v>0</v>
      </c>
      <c r="K3597" s="222">
        <v>0</v>
      </c>
    </row>
    <row r="3598" spans="1:11" hidden="1" x14ac:dyDescent="0.25">
      <c r="A3598" s="207"/>
      <c r="B3598" s="205"/>
      <c r="C3598" s="31"/>
      <c r="D3598" s="31"/>
      <c r="E3598" s="32"/>
      <c r="F3598" s="53" t="s">
        <v>514</v>
      </c>
      <c r="G3598" s="53" t="str">
        <f t="shared" si="61"/>
        <v/>
      </c>
      <c r="H3598" s="72"/>
      <c r="I3598" s="73"/>
      <c r="J3598" s="148">
        <v>0</v>
      </c>
      <c r="K3598" s="222">
        <v>0</v>
      </c>
    </row>
    <row r="3599" spans="1:11" hidden="1" x14ac:dyDescent="0.25">
      <c r="A3599" s="207"/>
      <c r="B3599" s="205"/>
      <c r="C3599" s="35" t="s">
        <v>22</v>
      </c>
      <c r="D3599" s="35" t="s">
        <v>12</v>
      </c>
      <c r="E3599" s="36">
        <v>0.33</v>
      </c>
      <c r="F3599" s="53">
        <v>24.889999999999997</v>
      </c>
      <c r="G3599" s="53">
        <f t="shared" si="61"/>
        <v>8.2136999999999993</v>
      </c>
      <c r="H3599" s="38">
        <f>SUM(G3599:G3603)</f>
        <v>27.933677449999998</v>
      </c>
      <c r="I3599" s="39"/>
      <c r="J3599" s="148">
        <v>0</v>
      </c>
      <c r="K3599" s="222">
        <v>0</v>
      </c>
    </row>
    <row r="3600" spans="1:11" hidden="1" x14ac:dyDescent="0.25">
      <c r="A3600" s="207"/>
      <c r="B3600" s="205"/>
      <c r="C3600" s="35" t="s">
        <v>23</v>
      </c>
      <c r="D3600" s="35" t="s">
        <v>12</v>
      </c>
      <c r="E3600" s="36">
        <v>0.1</v>
      </c>
      <c r="F3600" s="53">
        <v>18.420500000000001</v>
      </c>
      <c r="G3600" s="53">
        <f t="shared" si="61"/>
        <v>1.8420500000000002</v>
      </c>
      <c r="H3600" s="72"/>
      <c r="I3600" s="73"/>
      <c r="J3600" s="148">
        <v>0</v>
      </c>
      <c r="K3600" s="222">
        <v>0</v>
      </c>
    </row>
    <row r="3601" spans="1:11" hidden="1" x14ac:dyDescent="0.25">
      <c r="A3601" s="207"/>
      <c r="B3601" s="205"/>
      <c r="C3601" s="35" t="s">
        <v>1051</v>
      </c>
      <c r="D3601" s="49" t="s">
        <v>101</v>
      </c>
      <c r="E3601" s="36">
        <v>0.15</v>
      </c>
      <c r="F3601" s="53">
        <v>0</v>
      </c>
      <c r="G3601" s="53">
        <f t="shared" si="61"/>
        <v>0</v>
      </c>
      <c r="H3601" s="72"/>
      <c r="I3601" s="73"/>
      <c r="J3601" s="148">
        <v>0</v>
      </c>
      <c r="K3601" s="222">
        <v>0</v>
      </c>
    </row>
    <row r="3602" spans="1:11" hidden="1" x14ac:dyDescent="0.25">
      <c r="A3602" s="207"/>
      <c r="B3602" s="205"/>
      <c r="C3602" s="35" t="s">
        <v>1052</v>
      </c>
      <c r="D3602" s="46" t="s">
        <v>92</v>
      </c>
      <c r="E3602" s="36">
        <v>1</v>
      </c>
      <c r="F3602" s="53">
        <v>0</v>
      </c>
      <c r="G3602" s="53">
        <f t="shared" si="61"/>
        <v>0</v>
      </c>
      <c r="H3602" s="72"/>
      <c r="I3602" s="73"/>
      <c r="J3602" s="148">
        <v>0</v>
      </c>
      <c r="K3602" s="222">
        <v>0</v>
      </c>
    </row>
    <row r="3603" spans="1:11" ht="25.5" hidden="1" x14ac:dyDescent="0.25">
      <c r="A3603" s="207"/>
      <c r="B3603" s="205"/>
      <c r="C3603" s="35" t="s">
        <v>1053</v>
      </c>
      <c r="D3603" s="46" t="s">
        <v>1054</v>
      </c>
      <c r="E3603" s="36">
        <f>ROUND(0.15/0.31,4)</f>
        <v>0.4839</v>
      </c>
      <c r="F3603" s="53">
        <v>36.945499999999996</v>
      </c>
      <c r="G3603" s="53">
        <f t="shared" si="61"/>
        <v>17.877927449999998</v>
      </c>
      <c r="H3603" s="72"/>
      <c r="I3603" s="73"/>
      <c r="J3603" s="148">
        <v>0</v>
      </c>
      <c r="K3603" s="222">
        <v>0</v>
      </c>
    </row>
    <row r="3604" spans="1:11" ht="15.75" hidden="1" thickBot="1" x14ac:dyDescent="0.3">
      <c r="A3604" s="208"/>
      <c r="B3604" s="206"/>
      <c r="C3604" s="35"/>
      <c r="D3604" s="35"/>
      <c r="E3604" s="36"/>
      <c r="F3604" s="53" t="s">
        <v>514</v>
      </c>
      <c r="G3604" s="53" t="str">
        <f t="shared" si="61"/>
        <v/>
      </c>
      <c r="H3604" s="72"/>
      <c r="I3604" s="73"/>
      <c r="J3604" s="148">
        <v>0</v>
      </c>
      <c r="K3604" s="222">
        <v>0</v>
      </c>
    </row>
    <row r="3605" spans="1:11" ht="15.75" hidden="1" thickBot="1" x14ac:dyDescent="0.3">
      <c r="A3605" s="202" t="s">
        <v>1055</v>
      </c>
      <c r="B3605" s="204" t="str">
        <f>INDEX(Orçamentária!A:B,MATCH(Composições!A3605,Orçamentária!A:A,0),2)</f>
        <v>Adesivo Selante Poliuretano – fornecimento e aplicação</v>
      </c>
      <c r="C3605" s="40"/>
      <c r="D3605" s="25" t="str">
        <f>TRIM(INDEX(Orçamentária!C:C,MATCH(Composições!A3605,Orçamentária!A:A,0),1))</f>
        <v>m</v>
      </c>
      <c r="E3605" s="26"/>
      <c r="F3605" s="48" t="s">
        <v>514</v>
      </c>
      <c r="G3605" s="27" t="str">
        <f t="shared" si="61"/>
        <v/>
      </c>
      <c r="H3605" s="28"/>
      <c r="I3605" s="29"/>
      <c r="J3605" s="148">
        <v>20</v>
      </c>
      <c r="K3605" s="222" t="s">
        <v>8074</v>
      </c>
    </row>
    <row r="3606" spans="1:11" hidden="1" x14ac:dyDescent="0.25">
      <c r="A3606" s="207"/>
      <c r="B3606" s="205"/>
      <c r="C3606" s="31"/>
      <c r="D3606" s="31"/>
      <c r="E3606" s="32"/>
      <c r="F3606" s="53" t="s">
        <v>514</v>
      </c>
      <c r="G3606" s="53" t="str">
        <f t="shared" si="61"/>
        <v/>
      </c>
      <c r="H3606" s="72"/>
      <c r="I3606" s="73"/>
      <c r="J3606" s="148">
        <v>20</v>
      </c>
      <c r="K3606" s="222" t="s">
        <v>8074</v>
      </c>
    </row>
    <row r="3607" spans="1:11" hidden="1" x14ac:dyDescent="0.25">
      <c r="A3607" s="207"/>
      <c r="B3607" s="205"/>
      <c r="C3607" s="35" t="s">
        <v>22</v>
      </c>
      <c r="D3607" s="35" t="s">
        <v>12</v>
      </c>
      <c r="E3607" s="36">
        <v>0.16500000000000001</v>
      </c>
      <c r="F3607" s="53">
        <v>24.889999999999997</v>
      </c>
      <c r="G3607" s="53">
        <f t="shared" si="61"/>
        <v>4.1068499999999997</v>
      </c>
      <c r="H3607" s="38">
        <f>SUM(G3607:G3609)</f>
        <v>18.259140599999998</v>
      </c>
      <c r="I3607" s="39"/>
      <c r="J3607" s="148">
        <v>20</v>
      </c>
      <c r="K3607" s="222" t="s">
        <v>8074</v>
      </c>
    </row>
    <row r="3608" spans="1:11" hidden="1" x14ac:dyDescent="0.25">
      <c r="A3608" s="207"/>
      <c r="B3608" s="205"/>
      <c r="C3608" s="35" t="s">
        <v>23</v>
      </c>
      <c r="D3608" s="35" t="s">
        <v>12</v>
      </c>
      <c r="E3608" s="36">
        <v>0.1</v>
      </c>
      <c r="F3608" s="53">
        <v>18.420500000000001</v>
      </c>
      <c r="G3608" s="53">
        <f t="shared" si="61"/>
        <v>1.8420500000000002</v>
      </c>
      <c r="H3608" s="72"/>
      <c r="I3608" s="73"/>
      <c r="J3608" s="148">
        <v>20</v>
      </c>
      <c r="K3608" s="222" t="s">
        <v>8074</v>
      </c>
    </row>
    <row r="3609" spans="1:11" ht="25.5" hidden="1" x14ac:dyDescent="0.25">
      <c r="A3609" s="207"/>
      <c r="B3609" s="205"/>
      <c r="C3609" s="35" t="s">
        <v>1053</v>
      </c>
      <c r="D3609" s="46" t="s">
        <v>1054</v>
      </c>
      <c r="E3609" s="36">
        <f>ROUND(0.1033/0.31,4)</f>
        <v>0.3332</v>
      </c>
      <c r="F3609" s="53">
        <v>36.945499999999996</v>
      </c>
      <c r="G3609" s="53">
        <f t="shared" si="61"/>
        <v>12.310240599999998</v>
      </c>
      <c r="H3609" s="72"/>
      <c r="I3609" s="73"/>
      <c r="J3609" s="148">
        <v>20</v>
      </c>
      <c r="K3609" s="222" t="s">
        <v>8074</v>
      </c>
    </row>
    <row r="3610" spans="1:11" ht="15.75" hidden="1" thickBot="1" x14ac:dyDescent="0.3">
      <c r="A3610" s="208"/>
      <c r="B3610" s="206"/>
      <c r="C3610" s="35"/>
      <c r="D3610" s="35"/>
      <c r="E3610" s="36"/>
      <c r="F3610" s="53" t="s">
        <v>514</v>
      </c>
      <c r="G3610" s="53" t="str">
        <f t="shared" si="61"/>
        <v/>
      </c>
      <c r="H3610" s="72"/>
      <c r="I3610" s="73"/>
      <c r="J3610" s="148">
        <v>20</v>
      </c>
      <c r="K3610" s="222" t="s">
        <v>8074</v>
      </c>
    </row>
    <row r="3611" spans="1:11" ht="15.75" hidden="1" thickBot="1" x14ac:dyDescent="0.3">
      <c r="A3611" s="202" t="s">
        <v>1056</v>
      </c>
      <c r="B3611" s="204" t="str">
        <f>INDEX(Orçamentária!A:B,MATCH(Composições!A3611,Orçamentária!A:A,0),2)</f>
        <v>Chuveiro elétrico</v>
      </c>
      <c r="C3611" s="40"/>
      <c r="D3611" s="25" t="str">
        <f>TRIM(INDEX(Orçamentária!C:C,MATCH(Composições!A3611,Orçamentária!A:A,0),1))</f>
        <v>un</v>
      </c>
      <c r="E3611" s="26"/>
      <c r="F3611" s="48" t="s">
        <v>514</v>
      </c>
      <c r="G3611" s="27" t="str">
        <f t="shared" si="61"/>
        <v/>
      </c>
      <c r="H3611" s="28"/>
      <c r="I3611" s="29"/>
      <c r="J3611" s="148">
        <v>0</v>
      </c>
      <c r="K3611" s="222">
        <v>0</v>
      </c>
    </row>
    <row r="3612" spans="1:11" hidden="1" x14ac:dyDescent="0.25">
      <c r="A3612" s="207"/>
      <c r="B3612" s="205"/>
      <c r="C3612" s="31"/>
      <c r="D3612" s="31"/>
      <c r="E3612" s="32"/>
      <c r="F3612" s="53" t="s">
        <v>514</v>
      </c>
      <c r="G3612" s="53" t="str">
        <f t="shared" si="61"/>
        <v/>
      </c>
      <c r="H3612" s="72"/>
      <c r="I3612" s="73"/>
      <c r="J3612" s="148">
        <v>0</v>
      </c>
      <c r="K3612" s="222">
        <v>0</v>
      </c>
    </row>
    <row r="3613" spans="1:11" ht="25.5" hidden="1" x14ac:dyDescent="0.25">
      <c r="A3613" s="207"/>
      <c r="B3613" s="205"/>
      <c r="C3613" s="35" t="s">
        <v>1057</v>
      </c>
      <c r="D3613" s="35" t="s">
        <v>278</v>
      </c>
      <c r="E3613" s="36">
        <v>1</v>
      </c>
      <c r="F3613" s="53">
        <v>67.849000000000004</v>
      </c>
      <c r="G3613" s="53">
        <f t="shared" si="61"/>
        <v>67.849000000000004</v>
      </c>
      <c r="H3613" s="38">
        <f>SUM(G3613:G3616)</f>
        <v>81.380808550000012</v>
      </c>
      <c r="I3613" s="39"/>
      <c r="J3613" s="148">
        <v>0</v>
      </c>
      <c r="K3613" s="222">
        <v>0</v>
      </c>
    </row>
    <row r="3614" spans="1:11" hidden="1" x14ac:dyDescent="0.25">
      <c r="A3614" s="207"/>
      <c r="B3614" s="205"/>
      <c r="C3614" s="35" t="s">
        <v>1058</v>
      </c>
      <c r="D3614" s="35" t="s">
        <v>278</v>
      </c>
      <c r="E3614" s="36">
        <v>2.1000000000000001E-2</v>
      </c>
      <c r="F3614" s="53">
        <v>4.0374999999999996</v>
      </c>
      <c r="G3614" s="53">
        <f t="shared" si="61"/>
        <v>8.4787500000000002E-2</v>
      </c>
      <c r="H3614" s="72"/>
      <c r="I3614" s="73"/>
      <c r="J3614" s="148">
        <v>0</v>
      </c>
      <c r="K3614" s="222">
        <v>0</v>
      </c>
    </row>
    <row r="3615" spans="1:11" ht="25.5" hidden="1" x14ac:dyDescent="0.25">
      <c r="A3615" s="207"/>
      <c r="B3615" s="205"/>
      <c r="C3615" s="35" t="s">
        <v>944</v>
      </c>
      <c r="D3615" s="35" t="s">
        <v>695</v>
      </c>
      <c r="E3615" s="36">
        <v>0.44669999999999999</v>
      </c>
      <c r="F3615" s="53">
        <v>24.300999999999998</v>
      </c>
      <c r="G3615" s="53">
        <f t="shared" si="61"/>
        <v>10.855256699999998</v>
      </c>
      <c r="H3615" s="72"/>
      <c r="I3615" s="73"/>
      <c r="J3615" s="148">
        <v>0</v>
      </c>
      <c r="K3615" s="222">
        <v>0</v>
      </c>
    </row>
    <row r="3616" spans="1:11" hidden="1" x14ac:dyDescent="0.25">
      <c r="A3616" s="207"/>
      <c r="B3616" s="205"/>
      <c r="C3616" s="35" t="s">
        <v>696</v>
      </c>
      <c r="D3616" s="35" t="s">
        <v>695</v>
      </c>
      <c r="E3616" s="36">
        <v>0.14069999999999999</v>
      </c>
      <c r="F3616" s="53">
        <v>18.420500000000001</v>
      </c>
      <c r="G3616" s="53">
        <f t="shared" si="61"/>
        <v>2.5917643500000001</v>
      </c>
      <c r="H3616" s="72"/>
      <c r="I3616" s="73"/>
      <c r="J3616" s="148">
        <v>0</v>
      </c>
      <c r="K3616" s="222">
        <v>0</v>
      </c>
    </row>
    <row r="3617" spans="1:11" ht="15.75" hidden="1" thickBot="1" x14ac:dyDescent="0.3">
      <c r="A3617" s="208"/>
      <c r="B3617" s="206"/>
      <c r="C3617" s="35"/>
      <c r="D3617" s="35"/>
      <c r="E3617" s="36"/>
      <c r="F3617" s="53" t="s">
        <v>514</v>
      </c>
      <c r="G3617" s="53" t="str">
        <f t="shared" si="61"/>
        <v/>
      </c>
      <c r="H3617" s="72"/>
      <c r="I3617" s="73"/>
      <c r="J3617" s="148">
        <v>0</v>
      </c>
      <c r="K3617" s="222">
        <v>0</v>
      </c>
    </row>
    <row r="3618" spans="1:11" ht="15.75" hidden="1" thickBot="1" x14ac:dyDescent="0.3">
      <c r="A3618" s="202" t="s">
        <v>1059</v>
      </c>
      <c r="B3618" s="204" t="str">
        <f>INDEX(Orçamentária!A:B,MATCH(Composições!A3618,Orçamentária!A:A,0),2)</f>
        <v>Lastro em concreto magro</v>
      </c>
      <c r="C3618" s="40"/>
      <c r="D3618" s="25" t="str">
        <f>TRIM(INDEX(Orçamentária!C:C,MATCH(Composições!A3618,Orçamentária!A:A,0),1))</f>
        <v>m3</v>
      </c>
      <c r="E3618" s="26"/>
      <c r="F3618" s="48" t="s">
        <v>514</v>
      </c>
      <c r="G3618" s="27" t="str">
        <f t="shared" si="61"/>
        <v/>
      </c>
      <c r="H3618" s="28"/>
      <c r="I3618" s="29"/>
      <c r="J3618" s="148">
        <v>0</v>
      </c>
      <c r="K3618" s="222">
        <v>0</v>
      </c>
    </row>
    <row r="3619" spans="1:11" hidden="1" x14ac:dyDescent="0.25">
      <c r="A3619" s="207"/>
      <c r="B3619" s="205"/>
      <c r="C3619" s="31"/>
      <c r="D3619" s="31"/>
      <c r="E3619" s="32"/>
      <c r="F3619" s="53" t="s">
        <v>514</v>
      </c>
      <c r="G3619" s="53" t="str">
        <f t="shared" si="61"/>
        <v/>
      </c>
      <c r="H3619" s="72"/>
      <c r="I3619" s="73"/>
      <c r="J3619" s="148">
        <v>0</v>
      </c>
      <c r="K3619" s="222">
        <v>0</v>
      </c>
    </row>
    <row r="3620" spans="1:11" hidden="1" x14ac:dyDescent="0.25">
      <c r="A3620" s="207"/>
      <c r="B3620" s="205"/>
      <c r="C3620" s="35" t="s">
        <v>22</v>
      </c>
      <c r="D3620" s="35" t="s">
        <v>695</v>
      </c>
      <c r="E3620" s="36">
        <v>5.4370000000000003</v>
      </c>
      <c r="F3620" s="53">
        <v>24.889999999999997</v>
      </c>
      <c r="G3620" s="53">
        <f t="shared" si="61"/>
        <v>135.32693</v>
      </c>
      <c r="H3620" s="38">
        <f>SUM(G3620:G3622)</f>
        <v>760.59716687992238</v>
      </c>
      <c r="I3620" s="39"/>
      <c r="J3620" s="148">
        <v>0</v>
      </c>
      <c r="K3620" s="222">
        <v>0</v>
      </c>
    </row>
    <row r="3621" spans="1:11" hidden="1" x14ac:dyDescent="0.25">
      <c r="A3621" s="207"/>
      <c r="B3621" s="205"/>
      <c r="C3621" s="35" t="s">
        <v>23</v>
      </c>
      <c r="D3621" s="35" t="s">
        <v>695</v>
      </c>
      <c r="E3621" s="36">
        <v>1.4830000000000001</v>
      </c>
      <c r="F3621" s="53">
        <v>18.420500000000001</v>
      </c>
      <c r="G3621" s="53">
        <f t="shared" si="61"/>
        <v>27.317601500000002</v>
      </c>
      <c r="H3621" s="72"/>
      <c r="I3621" s="73"/>
      <c r="J3621" s="148">
        <v>0</v>
      </c>
      <c r="K3621" s="222">
        <v>0</v>
      </c>
    </row>
    <row r="3622" spans="1:11" ht="38.25" hidden="1" x14ac:dyDescent="0.25">
      <c r="A3622" s="207"/>
      <c r="B3622" s="205"/>
      <c r="C3622" s="35" t="s">
        <v>1060</v>
      </c>
      <c r="D3622" s="46" t="s">
        <v>119</v>
      </c>
      <c r="E3622" s="36">
        <v>1.1299999999999999</v>
      </c>
      <c r="F3622" s="53">
        <v>529.16162423001992</v>
      </c>
      <c r="G3622" s="53">
        <f t="shared" si="61"/>
        <v>597.95263537992241</v>
      </c>
      <c r="H3622" s="72"/>
      <c r="I3622" s="73"/>
      <c r="J3622" s="148">
        <v>0</v>
      </c>
      <c r="K3622" s="222">
        <v>0</v>
      </c>
    </row>
    <row r="3623" spans="1:11" ht="15.75" hidden="1" thickBot="1" x14ac:dyDescent="0.3">
      <c r="A3623" s="208"/>
      <c r="B3623" s="206"/>
      <c r="C3623" s="35"/>
      <c r="D3623" s="35"/>
      <c r="E3623" s="36"/>
      <c r="F3623" s="53" t="s">
        <v>514</v>
      </c>
      <c r="G3623" s="53" t="str">
        <f t="shared" si="61"/>
        <v/>
      </c>
      <c r="H3623" s="72"/>
      <c r="I3623" s="73"/>
      <c r="J3623" s="148">
        <v>0</v>
      </c>
      <c r="K3623" s="222">
        <v>0</v>
      </c>
    </row>
    <row r="3624" spans="1:11" ht="15.75" hidden="1" thickBot="1" x14ac:dyDescent="0.3">
      <c r="A3624" s="202" t="s">
        <v>1061</v>
      </c>
      <c r="B3624" s="204" t="str">
        <f>INDEX(Orçamentária!A:B,MATCH(Composições!A3624,Orçamentária!A:A,0),2)</f>
        <v>Pavimentação em concreto armado simples</v>
      </c>
      <c r="C3624" s="40"/>
      <c r="D3624" s="25" t="str">
        <f>TRIM(INDEX(Orçamentária!C:C,MATCH(Composições!A3624,Orçamentária!A:A,0),1))</f>
        <v>m2</v>
      </c>
      <c r="E3624" s="26"/>
      <c r="F3624" s="48" t="s">
        <v>514</v>
      </c>
      <c r="G3624" s="27" t="str">
        <f t="shared" si="61"/>
        <v/>
      </c>
      <c r="H3624" s="28"/>
      <c r="I3624" s="29"/>
      <c r="J3624" s="148">
        <v>0</v>
      </c>
      <c r="K3624" s="222">
        <v>0</v>
      </c>
    </row>
    <row r="3625" spans="1:11" hidden="1" x14ac:dyDescent="0.25">
      <c r="A3625" s="203"/>
      <c r="B3625" s="205"/>
      <c r="C3625" s="31"/>
      <c r="D3625" s="31"/>
      <c r="E3625" s="32"/>
      <c r="F3625" s="53" t="s">
        <v>514</v>
      </c>
      <c r="G3625" s="53" t="str">
        <f t="shared" si="61"/>
        <v/>
      </c>
      <c r="H3625" s="72"/>
      <c r="I3625" s="73"/>
      <c r="J3625" s="148">
        <v>0</v>
      </c>
      <c r="K3625" s="222">
        <v>0</v>
      </c>
    </row>
    <row r="3626" spans="1:11" ht="38.25" hidden="1" x14ac:dyDescent="0.25">
      <c r="A3626" s="203"/>
      <c r="B3626" s="205"/>
      <c r="C3626" s="35" t="s">
        <v>3248</v>
      </c>
      <c r="D3626" s="35" t="s">
        <v>119</v>
      </c>
      <c r="E3626" s="36">
        <v>8.14E-2</v>
      </c>
      <c r="F3626" s="53">
        <v>426.07499999999999</v>
      </c>
      <c r="G3626" s="53">
        <f t="shared" si="61"/>
        <v>34.682504999999999</v>
      </c>
      <c r="H3626" s="38">
        <f>SUM(G3626:G3632)</f>
        <v>117.52668499999999</v>
      </c>
      <c r="I3626" s="39"/>
      <c r="J3626" s="148">
        <v>0</v>
      </c>
      <c r="K3626" s="222">
        <v>0</v>
      </c>
    </row>
    <row r="3627" spans="1:11" ht="25.5" hidden="1" x14ac:dyDescent="0.25">
      <c r="A3627" s="203"/>
      <c r="B3627" s="205"/>
      <c r="C3627" s="35" t="s">
        <v>3301</v>
      </c>
      <c r="D3627" s="35" t="s">
        <v>891</v>
      </c>
      <c r="E3627" s="36">
        <v>4</v>
      </c>
      <c r="F3627" s="53">
        <v>9.4809999999999999</v>
      </c>
      <c r="G3627" s="53">
        <f t="shared" si="61"/>
        <v>37.923999999999999</v>
      </c>
      <c r="H3627" s="72"/>
      <c r="I3627" s="73"/>
      <c r="J3627" s="148">
        <v>0</v>
      </c>
      <c r="K3627" s="222">
        <v>0</v>
      </c>
    </row>
    <row r="3628" spans="1:11" hidden="1" x14ac:dyDescent="0.25">
      <c r="A3628" s="203"/>
      <c r="B3628" s="205"/>
      <c r="C3628" s="35" t="s">
        <v>703</v>
      </c>
      <c r="D3628" s="35" t="s">
        <v>695</v>
      </c>
      <c r="E3628" s="36">
        <v>0.1119</v>
      </c>
      <c r="F3628" s="53">
        <v>24.889999999999997</v>
      </c>
      <c r="G3628" s="53">
        <f t="shared" ref="G3628:G3691" si="62">IF(ISNUMBER(F3628),E3628*F3628,"")</f>
        <v>2.7851909999999998</v>
      </c>
      <c r="H3628" s="72"/>
      <c r="I3628" s="73"/>
      <c r="J3628" s="148">
        <v>0</v>
      </c>
      <c r="K3628" s="222">
        <v>0</v>
      </c>
    </row>
    <row r="3629" spans="1:11" hidden="1" x14ac:dyDescent="0.25">
      <c r="A3629" s="203"/>
      <c r="B3629" s="205"/>
      <c r="C3629" s="35" t="s">
        <v>696</v>
      </c>
      <c r="D3629" s="46" t="s">
        <v>695</v>
      </c>
      <c r="E3629" s="36">
        <v>4.6600000000000003E-2</v>
      </c>
      <c r="F3629" s="53">
        <v>18.420500000000001</v>
      </c>
      <c r="G3629" s="53">
        <f t="shared" si="62"/>
        <v>0.85839530000000008</v>
      </c>
      <c r="H3629" s="72"/>
      <c r="I3629" s="73"/>
      <c r="J3629" s="148">
        <v>0</v>
      </c>
      <c r="K3629" s="222">
        <v>0</v>
      </c>
    </row>
    <row r="3630" spans="1:11" ht="25.5" hidden="1" x14ac:dyDescent="0.25">
      <c r="A3630" s="203"/>
      <c r="B3630" s="205"/>
      <c r="C3630" s="35" t="s">
        <v>3183</v>
      </c>
      <c r="D3630" s="46" t="s">
        <v>932</v>
      </c>
      <c r="E3630" s="36">
        <v>7.0000000000000001E-3</v>
      </c>
      <c r="F3630" s="53">
        <v>8.5214999999999996</v>
      </c>
      <c r="G3630" s="53">
        <f t="shared" si="62"/>
        <v>5.9650499999999995E-2</v>
      </c>
      <c r="H3630" s="72"/>
      <c r="I3630" s="73"/>
      <c r="J3630" s="148">
        <v>0</v>
      </c>
      <c r="K3630" s="222">
        <v>0</v>
      </c>
    </row>
    <row r="3631" spans="1:11" ht="38.25" hidden="1" x14ac:dyDescent="0.25">
      <c r="A3631" s="203"/>
      <c r="B3631" s="205"/>
      <c r="C3631" s="35" t="s">
        <v>1062</v>
      </c>
      <c r="D3631" s="46" t="s">
        <v>982</v>
      </c>
      <c r="E3631" s="36">
        <v>1.1224000000000001</v>
      </c>
      <c r="F3631" s="53">
        <v>33.430499999999995</v>
      </c>
      <c r="G3631" s="53">
        <f t="shared" si="62"/>
        <v>37.522393199999996</v>
      </c>
      <c r="H3631" s="72"/>
      <c r="I3631" s="73"/>
      <c r="J3631" s="148">
        <v>0</v>
      </c>
      <c r="K3631" s="222">
        <v>0</v>
      </c>
    </row>
    <row r="3632" spans="1:11" ht="25.5" hidden="1" x14ac:dyDescent="0.25">
      <c r="A3632" s="203"/>
      <c r="B3632" s="205"/>
      <c r="C3632" s="35" t="s">
        <v>1053</v>
      </c>
      <c r="D3632" s="46" t="s">
        <v>1064</v>
      </c>
      <c r="E3632" s="36">
        <v>0.1</v>
      </c>
      <c r="F3632" s="53">
        <v>36.945499999999996</v>
      </c>
      <c r="G3632" s="53">
        <f t="shared" si="62"/>
        <v>3.6945499999999996</v>
      </c>
      <c r="H3632" s="72"/>
      <c r="I3632" s="73"/>
      <c r="J3632" s="148">
        <v>0</v>
      </c>
      <c r="K3632" s="222">
        <v>0</v>
      </c>
    </row>
    <row r="3633" spans="1:11" ht="15.75" hidden="1" thickBot="1" x14ac:dyDescent="0.3">
      <c r="A3633" s="209"/>
      <c r="B3633" s="206"/>
      <c r="C3633" s="35"/>
      <c r="D3633" s="35"/>
      <c r="E3633" s="36"/>
      <c r="F3633" s="53" t="s">
        <v>514</v>
      </c>
      <c r="G3633" s="53" t="str">
        <f t="shared" si="62"/>
        <v/>
      </c>
      <c r="H3633" s="72"/>
      <c r="I3633" s="73"/>
      <c r="J3633" s="148">
        <v>0</v>
      </c>
      <c r="K3633" s="222">
        <v>0</v>
      </c>
    </row>
    <row r="3634" spans="1:11" ht="15.75" hidden="1" thickBot="1" x14ac:dyDescent="0.3">
      <c r="A3634" s="202" t="s">
        <v>1065</v>
      </c>
      <c r="B3634" s="204" t="str">
        <f>INDEX(Orçamentária!A:B,MATCH(Composições!A3634,Orçamentária!A:A,0),2)</f>
        <v>Remoção de reservatório d’água</v>
      </c>
      <c r="C3634" s="40"/>
      <c r="D3634" s="25" t="str">
        <f>TRIM(INDEX(Orçamentária!C:C,MATCH(Composições!A3634,Orçamentária!A:A,0),1))</f>
        <v>un</v>
      </c>
      <c r="E3634" s="26"/>
      <c r="F3634" s="48" t="s">
        <v>514</v>
      </c>
      <c r="G3634" s="27" t="str">
        <f t="shared" si="62"/>
        <v/>
      </c>
      <c r="H3634" s="28"/>
      <c r="I3634" s="29"/>
      <c r="J3634" s="148">
        <v>0</v>
      </c>
      <c r="K3634" s="222">
        <v>0</v>
      </c>
    </row>
    <row r="3635" spans="1:11" hidden="1" x14ac:dyDescent="0.25">
      <c r="A3635" s="207"/>
      <c r="B3635" s="205"/>
      <c r="C3635" s="31"/>
      <c r="D3635" s="31"/>
      <c r="E3635" s="32"/>
      <c r="F3635" s="53" t="s">
        <v>514</v>
      </c>
      <c r="G3635" s="53" t="str">
        <f t="shared" si="62"/>
        <v/>
      </c>
      <c r="H3635" s="72"/>
      <c r="I3635" s="73"/>
      <c r="J3635" s="148">
        <v>0</v>
      </c>
      <c r="K3635" s="222">
        <v>0</v>
      </c>
    </row>
    <row r="3636" spans="1:11" hidden="1" x14ac:dyDescent="0.25">
      <c r="A3636" s="207"/>
      <c r="B3636" s="205"/>
      <c r="C3636" s="35" t="s">
        <v>39</v>
      </c>
      <c r="D3636" s="49" t="s">
        <v>12</v>
      </c>
      <c r="E3636" s="36">
        <v>4</v>
      </c>
      <c r="F3636" s="53">
        <v>24.300999999999998</v>
      </c>
      <c r="G3636" s="53">
        <f t="shared" si="62"/>
        <v>97.203999999999994</v>
      </c>
      <c r="H3636" s="38">
        <f>SUM(G3636:G3637)</f>
        <v>170.886</v>
      </c>
      <c r="I3636" s="39"/>
      <c r="J3636" s="148">
        <v>0</v>
      </c>
      <c r="K3636" s="222">
        <v>0</v>
      </c>
    </row>
    <row r="3637" spans="1:11" hidden="1" x14ac:dyDescent="0.25">
      <c r="A3637" s="207"/>
      <c r="B3637" s="205"/>
      <c r="C3637" s="35" t="s">
        <v>23</v>
      </c>
      <c r="D3637" s="35" t="s">
        <v>12</v>
      </c>
      <c r="E3637" s="36">
        <v>4</v>
      </c>
      <c r="F3637" s="53">
        <v>18.420500000000001</v>
      </c>
      <c r="G3637" s="53">
        <f t="shared" si="62"/>
        <v>73.682000000000002</v>
      </c>
      <c r="H3637" s="72"/>
      <c r="I3637" s="73"/>
      <c r="J3637" s="148">
        <v>0</v>
      </c>
      <c r="K3637" s="222">
        <v>0</v>
      </c>
    </row>
    <row r="3638" spans="1:11" ht="15.75" hidden="1" thickBot="1" x14ac:dyDescent="0.3">
      <c r="A3638" s="208"/>
      <c r="B3638" s="206"/>
      <c r="C3638" s="35"/>
      <c r="D3638" s="35"/>
      <c r="E3638" s="36"/>
      <c r="F3638" s="53" t="s">
        <v>514</v>
      </c>
      <c r="G3638" s="53" t="str">
        <f t="shared" si="62"/>
        <v/>
      </c>
      <c r="H3638" s="72"/>
      <c r="I3638" s="73"/>
      <c r="J3638" s="148">
        <v>0</v>
      </c>
      <c r="K3638" s="222">
        <v>0</v>
      </c>
    </row>
    <row r="3639" spans="1:11" ht="15.75" hidden="1" thickBot="1" x14ac:dyDescent="0.3">
      <c r="A3639" s="202" t="s">
        <v>1066</v>
      </c>
      <c r="B3639" s="204" t="str">
        <f>INDEX(Orçamentária!A:B,MATCH(Composições!A3639,Orçamentária!A:A,0),2)</f>
        <v>Transporte e destinação final de entulho para distâncias até 30 km</v>
      </c>
      <c r="C3639" s="40"/>
      <c r="D3639" s="25" t="str">
        <f>TRIM(INDEX(Orçamentária!C:C,MATCH(Composições!A3639,Orçamentária!A:A,0),1))</f>
        <v>m3 x km</v>
      </c>
      <c r="E3639" s="26"/>
      <c r="F3639" s="48" t="s">
        <v>514</v>
      </c>
      <c r="G3639" s="27" t="str">
        <f t="shared" si="62"/>
        <v/>
      </c>
      <c r="H3639" s="28"/>
      <c r="I3639" s="29"/>
      <c r="J3639" s="148">
        <v>0</v>
      </c>
      <c r="K3639" s="222">
        <v>0</v>
      </c>
    </row>
    <row r="3640" spans="1:11" hidden="1" x14ac:dyDescent="0.25">
      <c r="A3640" s="207"/>
      <c r="B3640" s="205"/>
      <c r="C3640" s="31"/>
      <c r="D3640" s="31"/>
      <c r="E3640" s="32"/>
      <c r="F3640" s="53" t="s">
        <v>514</v>
      </c>
      <c r="G3640" s="53" t="str">
        <f t="shared" si="62"/>
        <v/>
      </c>
      <c r="H3640" s="72"/>
      <c r="I3640" s="73"/>
      <c r="J3640" s="148">
        <v>0</v>
      </c>
      <c r="K3640" s="222">
        <v>0</v>
      </c>
    </row>
    <row r="3641" spans="1:11" ht="51" hidden="1" x14ac:dyDescent="0.25">
      <c r="A3641" s="207"/>
      <c r="B3641" s="205"/>
      <c r="C3641" s="35" t="s">
        <v>1067</v>
      </c>
      <c r="D3641" s="35" t="s">
        <v>932</v>
      </c>
      <c r="E3641" s="36">
        <v>1.3899999999999999E-2</v>
      </c>
      <c r="F3641" s="53">
        <v>169.70799999999997</v>
      </c>
      <c r="G3641" s="53">
        <f t="shared" si="62"/>
        <v>2.3589411999999994</v>
      </c>
      <c r="H3641" s="38">
        <f>SUM(G3641:G3642)</f>
        <v>2.6230221999999994</v>
      </c>
      <c r="I3641" s="39"/>
      <c r="J3641" s="148">
        <v>0</v>
      </c>
      <c r="K3641" s="222">
        <v>0</v>
      </c>
    </row>
    <row r="3642" spans="1:11" ht="51" hidden="1" x14ac:dyDescent="0.25">
      <c r="A3642" s="207"/>
      <c r="B3642" s="205"/>
      <c r="C3642" s="35" t="s">
        <v>1068</v>
      </c>
      <c r="D3642" s="35" t="s">
        <v>934</v>
      </c>
      <c r="E3642" s="36">
        <v>6.0000000000000001E-3</v>
      </c>
      <c r="F3642" s="53">
        <v>44.013499999999993</v>
      </c>
      <c r="G3642" s="53">
        <f t="shared" si="62"/>
        <v>0.26408099999999995</v>
      </c>
      <c r="H3642" s="72"/>
      <c r="I3642" s="73"/>
      <c r="J3642" s="148">
        <v>0</v>
      </c>
      <c r="K3642" s="222">
        <v>0</v>
      </c>
    </row>
    <row r="3643" spans="1:11" ht="15.75" hidden="1" thickBot="1" x14ac:dyDescent="0.3">
      <c r="A3643" s="208"/>
      <c r="B3643" s="206"/>
      <c r="C3643" s="35"/>
      <c r="D3643" s="35"/>
      <c r="E3643" s="36"/>
      <c r="F3643" s="53" t="s">
        <v>514</v>
      </c>
      <c r="G3643" s="53" t="str">
        <f t="shared" si="62"/>
        <v/>
      </c>
      <c r="H3643" s="72"/>
      <c r="I3643" s="73"/>
      <c r="J3643" s="148">
        <v>0</v>
      </c>
      <c r="K3643" s="222">
        <v>0</v>
      </c>
    </row>
    <row r="3644" spans="1:11" ht="15.75" hidden="1" thickBot="1" x14ac:dyDescent="0.3">
      <c r="A3644" s="202" t="s">
        <v>1069</v>
      </c>
      <c r="B3644" s="204" t="str">
        <f>INDEX(Orçamentária!A:B,MATCH(Composições!A3644,Orçamentária!A:A,0),2)</f>
        <v>Demolição de estrutura metálica</v>
      </c>
      <c r="C3644" s="40"/>
      <c r="D3644" s="25" t="str">
        <f>TRIM(INDEX(Orçamentária!C:C,MATCH(Composições!A3644,Orçamentária!A:A,0),1))</f>
        <v>kg</v>
      </c>
      <c r="E3644" s="26"/>
      <c r="F3644" s="48" t="s">
        <v>514</v>
      </c>
      <c r="G3644" s="27" t="str">
        <f t="shared" si="62"/>
        <v/>
      </c>
      <c r="H3644" s="28"/>
      <c r="I3644" s="29"/>
      <c r="J3644" s="148">
        <v>0</v>
      </c>
      <c r="K3644" s="222">
        <v>0</v>
      </c>
    </row>
    <row r="3645" spans="1:11" hidden="1" x14ac:dyDescent="0.25">
      <c r="A3645" s="207"/>
      <c r="B3645" s="205"/>
      <c r="C3645" s="31"/>
      <c r="D3645" s="31"/>
      <c r="E3645" s="32"/>
      <c r="F3645" s="53" t="s">
        <v>514</v>
      </c>
      <c r="G3645" s="53" t="str">
        <f t="shared" si="62"/>
        <v/>
      </c>
      <c r="H3645" s="72"/>
      <c r="I3645" s="73"/>
      <c r="J3645" s="148">
        <v>0</v>
      </c>
      <c r="K3645" s="222">
        <v>0</v>
      </c>
    </row>
    <row r="3646" spans="1:11" ht="25.5" hidden="1" x14ac:dyDescent="0.25">
      <c r="A3646" s="207"/>
      <c r="B3646" s="205"/>
      <c r="C3646" s="35" t="s">
        <v>132</v>
      </c>
      <c r="D3646" s="35" t="s">
        <v>108</v>
      </c>
      <c r="E3646" s="36">
        <v>2.1999999999999999E-2</v>
      </c>
      <c r="F3646" s="53">
        <v>12.748999999999999</v>
      </c>
      <c r="G3646" s="53">
        <f t="shared" si="62"/>
        <v>0.28047799999999995</v>
      </c>
      <c r="H3646" s="38">
        <f>SUM(G3646:G3650)</f>
        <v>3.5413055</v>
      </c>
      <c r="I3646" s="39"/>
      <c r="J3646" s="148">
        <v>0</v>
      </c>
      <c r="K3646" s="222">
        <v>0</v>
      </c>
    </row>
    <row r="3647" spans="1:11" ht="38.25" hidden="1" x14ac:dyDescent="0.25">
      <c r="A3647" s="207"/>
      <c r="B3647" s="205"/>
      <c r="C3647" s="35" t="s">
        <v>7757</v>
      </c>
      <c r="D3647" s="35" t="s">
        <v>42</v>
      </c>
      <c r="E3647" s="36">
        <v>5.0000000000000001E-3</v>
      </c>
      <c r="F3647" s="53">
        <v>58.1875</v>
      </c>
      <c r="G3647" s="53">
        <f t="shared" si="62"/>
        <v>0.29093750000000002</v>
      </c>
      <c r="H3647" s="72"/>
      <c r="I3647" s="73"/>
      <c r="J3647" s="148">
        <v>0</v>
      </c>
      <c r="K3647" s="222">
        <v>0</v>
      </c>
    </row>
    <row r="3648" spans="1:11" ht="25.5" hidden="1" x14ac:dyDescent="0.25">
      <c r="A3648" s="207"/>
      <c r="B3648" s="205"/>
      <c r="C3648" s="35" t="s">
        <v>1070</v>
      </c>
      <c r="D3648" s="35" t="s">
        <v>932</v>
      </c>
      <c r="E3648" s="36">
        <f>E3649</f>
        <v>4.3999999999999997E-2</v>
      </c>
      <c r="F3648" s="53">
        <v>23.5505</v>
      </c>
      <c r="G3648" s="53">
        <f t="shared" si="62"/>
        <v>1.036222</v>
      </c>
      <c r="H3648" s="72"/>
      <c r="I3648" s="73"/>
      <c r="J3648" s="148">
        <v>0</v>
      </c>
      <c r="K3648" s="222">
        <v>0</v>
      </c>
    </row>
    <row r="3649" spans="1:11" hidden="1" x14ac:dyDescent="0.25">
      <c r="A3649" s="207"/>
      <c r="B3649" s="205"/>
      <c r="C3649" s="35" t="s">
        <v>1071</v>
      </c>
      <c r="D3649" s="35" t="s">
        <v>12</v>
      </c>
      <c r="E3649" s="36">
        <v>4.3999999999999997E-2</v>
      </c>
      <c r="F3649" s="53">
        <v>25.526499999999999</v>
      </c>
      <c r="G3649" s="53">
        <f t="shared" si="62"/>
        <v>1.1231659999999999</v>
      </c>
      <c r="H3649" s="72"/>
      <c r="I3649" s="73"/>
      <c r="J3649" s="148">
        <v>0</v>
      </c>
      <c r="K3649" s="222">
        <v>0</v>
      </c>
    </row>
    <row r="3650" spans="1:11" hidden="1" x14ac:dyDescent="0.25">
      <c r="A3650" s="207"/>
      <c r="B3650" s="205"/>
      <c r="C3650" s="35" t="s">
        <v>23</v>
      </c>
      <c r="D3650" s="35" t="s">
        <v>12</v>
      </c>
      <c r="E3650" s="36">
        <v>4.3999999999999997E-2</v>
      </c>
      <c r="F3650" s="53">
        <v>18.420500000000001</v>
      </c>
      <c r="G3650" s="53">
        <f t="shared" si="62"/>
        <v>0.81050199999999994</v>
      </c>
      <c r="H3650" s="72"/>
      <c r="I3650" s="73"/>
      <c r="J3650" s="148">
        <v>0</v>
      </c>
      <c r="K3650" s="222">
        <v>0</v>
      </c>
    </row>
    <row r="3651" spans="1:11" ht="15.75" hidden="1" thickBot="1" x14ac:dyDescent="0.3">
      <c r="A3651" s="208"/>
      <c r="B3651" s="206"/>
      <c r="C3651" s="35"/>
      <c r="D3651" s="35"/>
      <c r="E3651" s="36"/>
      <c r="F3651" s="53" t="s">
        <v>514</v>
      </c>
      <c r="G3651" s="53" t="str">
        <f t="shared" si="62"/>
        <v/>
      </c>
      <c r="H3651" s="72"/>
      <c r="I3651" s="73"/>
      <c r="J3651" s="148">
        <v>0</v>
      </c>
      <c r="K3651" s="222">
        <v>0</v>
      </c>
    </row>
    <row r="3652" spans="1:11" ht="15.75" hidden="1" thickBot="1" x14ac:dyDescent="0.3">
      <c r="A3652" s="202" t="s">
        <v>1072</v>
      </c>
      <c r="B3652" s="204" t="str">
        <f>INDEX(Orçamentária!A:B,MATCH(Composições!A3652,Orçamentária!A:A,0),2)</f>
        <v>Escavação manual com profundidade maior do que 1,30 m</v>
      </c>
      <c r="C3652" s="40"/>
      <c r="D3652" s="25" t="str">
        <f>TRIM(INDEX(Orçamentária!C:C,MATCH(Composições!A3652,Orçamentária!A:A,0),1))</f>
        <v>m3</v>
      </c>
      <c r="E3652" s="26"/>
      <c r="F3652" s="48" t="s">
        <v>514</v>
      </c>
      <c r="G3652" s="27" t="str">
        <f t="shared" si="62"/>
        <v/>
      </c>
      <c r="H3652" s="28"/>
      <c r="I3652" s="29"/>
      <c r="J3652" s="148">
        <v>0</v>
      </c>
      <c r="K3652" s="222">
        <v>0</v>
      </c>
    </row>
    <row r="3653" spans="1:11" hidden="1" x14ac:dyDescent="0.25">
      <c r="A3653" s="207"/>
      <c r="B3653" s="205"/>
      <c r="C3653" s="31"/>
      <c r="D3653" s="31"/>
      <c r="E3653" s="32"/>
      <c r="F3653" s="53" t="s">
        <v>514</v>
      </c>
      <c r="G3653" s="53" t="str">
        <f t="shared" si="62"/>
        <v/>
      </c>
      <c r="H3653" s="72"/>
      <c r="I3653" s="73"/>
      <c r="J3653" s="148">
        <v>0</v>
      </c>
      <c r="K3653" s="222">
        <v>0</v>
      </c>
    </row>
    <row r="3654" spans="1:11" hidden="1" x14ac:dyDescent="0.25">
      <c r="A3654" s="207"/>
      <c r="B3654" s="205"/>
      <c r="C3654" s="35" t="s">
        <v>23</v>
      </c>
      <c r="D3654" s="35" t="s">
        <v>12</v>
      </c>
      <c r="E3654" s="36">
        <v>4.3</v>
      </c>
      <c r="F3654" s="53">
        <v>18.420500000000001</v>
      </c>
      <c r="G3654" s="53">
        <f t="shared" si="62"/>
        <v>79.208150000000003</v>
      </c>
      <c r="H3654" s="38">
        <f>SUM(G3654:G3654)</f>
        <v>79.208150000000003</v>
      </c>
      <c r="I3654" s="39"/>
      <c r="J3654" s="148">
        <v>0</v>
      </c>
      <c r="K3654" s="222">
        <v>0</v>
      </c>
    </row>
    <row r="3655" spans="1:11" ht="15.75" hidden="1" thickBot="1" x14ac:dyDescent="0.3">
      <c r="A3655" s="208"/>
      <c r="B3655" s="206"/>
      <c r="C3655" s="35"/>
      <c r="D3655" s="35"/>
      <c r="E3655" s="36"/>
      <c r="F3655" s="53" t="s">
        <v>514</v>
      </c>
      <c r="G3655" s="53" t="str">
        <f t="shared" si="62"/>
        <v/>
      </c>
      <c r="H3655" s="72"/>
      <c r="I3655" s="73"/>
      <c r="J3655" s="148">
        <v>0</v>
      </c>
      <c r="K3655" s="222">
        <v>0</v>
      </c>
    </row>
    <row r="3656" spans="1:11" ht="15.75" hidden="1" thickBot="1" x14ac:dyDescent="0.3">
      <c r="A3656" s="202" t="s">
        <v>1073</v>
      </c>
      <c r="B3656" s="204" t="str">
        <f>INDEX(Orçamentária!A:B,MATCH(Composições!A3656,Orçamentária!A:A,0),2)</f>
        <v>Escavação mecânica com profundidade maior do que 1,30 m</v>
      </c>
      <c r="C3656" s="40"/>
      <c r="D3656" s="25" t="str">
        <f>TRIM(INDEX(Orçamentária!C:C,MATCH(Composições!A3656,Orçamentária!A:A,0),1))</f>
        <v>m3</v>
      </c>
      <c r="E3656" s="26"/>
      <c r="F3656" s="48" t="s">
        <v>514</v>
      </c>
      <c r="G3656" s="27" t="str">
        <f t="shared" si="62"/>
        <v/>
      </c>
      <c r="H3656" s="28"/>
      <c r="I3656" s="29"/>
      <c r="J3656" s="148">
        <v>0</v>
      </c>
      <c r="K3656" s="222">
        <v>0</v>
      </c>
    </row>
    <row r="3657" spans="1:11" hidden="1" x14ac:dyDescent="0.25">
      <c r="A3657" s="207"/>
      <c r="B3657" s="205"/>
      <c r="C3657" s="31"/>
      <c r="D3657" s="31"/>
      <c r="E3657" s="32"/>
      <c r="F3657" s="53" t="s">
        <v>514</v>
      </c>
      <c r="G3657" s="53" t="str">
        <f t="shared" si="62"/>
        <v/>
      </c>
      <c r="H3657" s="72"/>
      <c r="I3657" s="73"/>
      <c r="J3657" s="148">
        <v>0</v>
      </c>
      <c r="K3657" s="222">
        <v>0</v>
      </c>
    </row>
    <row r="3658" spans="1:11" ht="63.75" hidden="1" x14ac:dyDescent="0.25">
      <c r="A3658" s="207"/>
      <c r="B3658" s="205"/>
      <c r="C3658" s="35" t="s">
        <v>3179</v>
      </c>
      <c r="D3658" s="35" t="s">
        <v>932</v>
      </c>
      <c r="E3658" s="36">
        <v>2.4799999999999999E-2</v>
      </c>
      <c r="F3658" s="53">
        <v>138.96600000000001</v>
      </c>
      <c r="G3658" s="53">
        <f t="shared" si="62"/>
        <v>3.4463568000000002</v>
      </c>
      <c r="H3658" s="38">
        <f>SUM(G3658:G3660)</f>
        <v>5.9733416000000004</v>
      </c>
      <c r="I3658" s="39"/>
      <c r="J3658" s="148">
        <v>0</v>
      </c>
      <c r="K3658" s="222">
        <v>0</v>
      </c>
    </row>
    <row r="3659" spans="1:11" ht="63.75" hidden="1" x14ac:dyDescent="0.25">
      <c r="A3659" s="207"/>
      <c r="B3659" s="205"/>
      <c r="C3659" s="35" t="s">
        <v>3185</v>
      </c>
      <c r="D3659" s="35" t="s">
        <v>934</v>
      </c>
      <c r="E3659" s="36">
        <v>2.9899999999999999E-2</v>
      </c>
      <c r="F3659" s="53">
        <v>50.8155</v>
      </c>
      <c r="G3659" s="53">
        <f t="shared" si="62"/>
        <v>1.5193834500000001</v>
      </c>
      <c r="H3659" s="72"/>
      <c r="I3659" s="73"/>
      <c r="J3659" s="148">
        <v>0</v>
      </c>
      <c r="K3659" s="222">
        <v>0</v>
      </c>
    </row>
    <row r="3660" spans="1:11" hidden="1" x14ac:dyDescent="0.25">
      <c r="A3660" s="207"/>
      <c r="B3660" s="205"/>
      <c r="C3660" s="35" t="s">
        <v>696</v>
      </c>
      <c r="D3660" s="35" t="s">
        <v>695</v>
      </c>
      <c r="E3660" s="36">
        <v>5.4699999999999999E-2</v>
      </c>
      <c r="F3660" s="53">
        <v>18.420500000000001</v>
      </c>
      <c r="G3660" s="53">
        <f t="shared" si="62"/>
        <v>1.0076013500000001</v>
      </c>
      <c r="H3660" s="72"/>
      <c r="I3660" s="73"/>
      <c r="J3660" s="148">
        <v>0</v>
      </c>
      <c r="K3660" s="222">
        <v>0</v>
      </c>
    </row>
    <row r="3661" spans="1:11" ht="15.75" hidden="1" thickBot="1" x14ac:dyDescent="0.3">
      <c r="A3661" s="208"/>
      <c r="B3661" s="206"/>
      <c r="C3661" s="74"/>
      <c r="D3661" s="35"/>
      <c r="E3661" s="36"/>
      <c r="F3661" s="53" t="s">
        <v>514</v>
      </c>
      <c r="G3661" s="53" t="str">
        <f t="shared" si="62"/>
        <v/>
      </c>
      <c r="H3661" s="72"/>
      <c r="I3661" s="73"/>
      <c r="J3661" s="148">
        <v>0</v>
      </c>
      <c r="K3661" s="222">
        <v>0</v>
      </c>
    </row>
    <row r="3662" spans="1:11" ht="15.75" hidden="1" thickBot="1" x14ac:dyDescent="0.3">
      <c r="A3662" s="202" t="s">
        <v>1074</v>
      </c>
      <c r="B3662" s="204" t="str">
        <f>INDEX(Orçamentária!A:B,MATCH(Composições!A3662,Orçamentária!A:A,0),2)</f>
        <v>Grama Batatais em placas de 40 x 40 cm</v>
      </c>
      <c r="C3662" s="40"/>
      <c r="D3662" s="25" t="str">
        <f>TRIM(INDEX(Orçamentária!C:C,MATCH(Composições!A3662,Orçamentária!A:A,0),1))</f>
        <v>m2</v>
      </c>
      <c r="E3662" s="26"/>
      <c r="F3662" s="48" t="s">
        <v>514</v>
      </c>
      <c r="G3662" s="27" t="str">
        <f t="shared" si="62"/>
        <v/>
      </c>
      <c r="H3662" s="28"/>
      <c r="I3662" s="29"/>
      <c r="J3662" s="148">
        <v>0</v>
      </c>
      <c r="K3662" s="222">
        <v>0</v>
      </c>
    </row>
    <row r="3663" spans="1:11" hidden="1" x14ac:dyDescent="0.25">
      <c r="A3663" s="203"/>
      <c r="B3663" s="205"/>
      <c r="C3663" s="31"/>
      <c r="D3663" s="31"/>
      <c r="E3663" s="32"/>
      <c r="F3663" s="53" t="s">
        <v>514</v>
      </c>
      <c r="G3663" s="53" t="str">
        <f t="shared" si="62"/>
        <v/>
      </c>
      <c r="H3663" s="72"/>
      <c r="I3663" s="73"/>
      <c r="J3663" s="148">
        <v>0</v>
      </c>
      <c r="K3663" s="222">
        <v>0</v>
      </c>
    </row>
    <row r="3664" spans="1:11" hidden="1" x14ac:dyDescent="0.25">
      <c r="A3664" s="203"/>
      <c r="B3664" s="205"/>
      <c r="C3664" s="35" t="s">
        <v>1075</v>
      </c>
      <c r="D3664" s="49" t="s">
        <v>94</v>
      </c>
      <c r="E3664" s="36">
        <v>1</v>
      </c>
      <c r="F3664" s="53">
        <v>9.3574999999999999</v>
      </c>
      <c r="G3664" s="53">
        <f t="shared" si="62"/>
        <v>9.3574999999999999</v>
      </c>
      <c r="H3664" s="38">
        <f>SUM(G3664:G3674)</f>
        <v>56.006986709913001</v>
      </c>
      <c r="I3664" s="39"/>
      <c r="J3664" s="148">
        <v>0</v>
      </c>
      <c r="K3664" s="222">
        <v>0</v>
      </c>
    </row>
    <row r="3665" spans="1:11" hidden="1" x14ac:dyDescent="0.25">
      <c r="A3665" s="203"/>
      <c r="B3665" s="205"/>
      <c r="C3665" s="35" t="s">
        <v>23</v>
      </c>
      <c r="D3665" s="35" t="s">
        <v>12</v>
      </c>
      <c r="E3665" s="36">
        <v>0.15640000000000001</v>
      </c>
      <c r="F3665" s="53">
        <v>18.420500000000001</v>
      </c>
      <c r="G3665" s="53">
        <f t="shared" si="62"/>
        <v>2.8809662000000005</v>
      </c>
      <c r="H3665" s="72"/>
      <c r="I3665" s="73"/>
      <c r="J3665" s="148">
        <v>0</v>
      </c>
      <c r="K3665" s="222">
        <v>0</v>
      </c>
    </row>
    <row r="3666" spans="1:11" hidden="1" x14ac:dyDescent="0.25">
      <c r="A3666" s="203"/>
      <c r="B3666" s="205"/>
      <c r="C3666" s="35" t="s">
        <v>1076</v>
      </c>
      <c r="D3666" s="35" t="s">
        <v>12</v>
      </c>
      <c r="E3666" s="36">
        <v>3.9100000000000003E-2</v>
      </c>
      <c r="F3666" s="53">
        <v>19.522500000000001</v>
      </c>
      <c r="G3666" s="53">
        <f t="shared" si="62"/>
        <v>0.76332975000000014</v>
      </c>
      <c r="H3666" s="72"/>
      <c r="I3666" s="73"/>
      <c r="J3666" s="148">
        <v>0</v>
      </c>
      <c r="K3666" s="222">
        <v>0</v>
      </c>
    </row>
    <row r="3667" spans="1:11" hidden="1" x14ac:dyDescent="0.25">
      <c r="A3667" s="203"/>
      <c r="B3667" s="205"/>
      <c r="C3667" s="35" t="s">
        <v>23</v>
      </c>
      <c r="D3667" s="35" t="s">
        <v>12</v>
      </c>
      <c r="E3667" s="36">
        <f>1.6*0.25</f>
        <v>0.4</v>
      </c>
      <c r="F3667" s="53">
        <v>18.420500000000001</v>
      </c>
      <c r="G3667" s="53">
        <f t="shared" si="62"/>
        <v>7.3682000000000007</v>
      </c>
      <c r="H3667" s="72"/>
      <c r="I3667" s="73"/>
      <c r="J3667" s="148">
        <v>0</v>
      </c>
      <c r="K3667" s="222">
        <v>0</v>
      </c>
    </row>
    <row r="3668" spans="1:11" ht="25.5" hidden="1" x14ac:dyDescent="0.25">
      <c r="A3668" s="203"/>
      <c r="B3668" s="205"/>
      <c r="C3668" s="35" t="s">
        <v>1077</v>
      </c>
      <c r="D3668" s="35" t="s">
        <v>42</v>
      </c>
      <c r="E3668" s="36">
        <f>1*0.25</f>
        <v>0.25</v>
      </c>
      <c r="F3668" s="53">
        <v>0.22799999999999998</v>
      </c>
      <c r="G3668" s="53">
        <f t="shared" si="62"/>
        <v>5.6999999999999995E-2</v>
      </c>
      <c r="H3668" s="72"/>
      <c r="I3668" s="73"/>
      <c r="J3668" s="148">
        <v>0</v>
      </c>
      <c r="K3668" s="222">
        <v>0</v>
      </c>
    </row>
    <row r="3669" spans="1:11" hidden="1" x14ac:dyDescent="0.25">
      <c r="A3669" s="203"/>
      <c r="B3669" s="205"/>
      <c r="C3669" s="35" t="s">
        <v>1078</v>
      </c>
      <c r="D3669" s="35" t="s">
        <v>108</v>
      </c>
      <c r="E3669" s="36">
        <f>0.9*0.25</f>
        <v>0.22500000000000001</v>
      </c>
      <c r="F3669" s="53">
        <v>152.67449999999999</v>
      </c>
      <c r="G3669" s="53">
        <f t="shared" si="62"/>
        <v>34.3517625</v>
      </c>
      <c r="H3669" s="72"/>
      <c r="I3669" s="73"/>
      <c r="J3669" s="148">
        <v>0</v>
      </c>
      <c r="K3669" s="222">
        <v>0</v>
      </c>
    </row>
    <row r="3670" spans="1:11" hidden="1" x14ac:dyDescent="0.25">
      <c r="A3670" s="203"/>
      <c r="B3670" s="205"/>
      <c r="C3670" s="35" t="s">
        <v>1079</v>
      </c>
      <c r="D3670" s="46" t="s">
        <v>42</v>
      </c>
      <c r="E3670" s="36">
        <f>1*0.25</f>
        <v>0.25</v>
      </c>
      <c r="F3670" s="53">
        <v>4.75</v>
      </c>
      <c r="G3670" s="53">
        <f t="shared" si="62"/>
        <v>1.1875</v>
      </c>
      <c r="H3670" s="72"/>
      <c r="I3670" s="73"/>
      <c r="J3670" s="148">
        <v>0</v>
      </c>
      <c r="K3670" s="222">
        <v>0</v>
      </c>
    </row>
    <row r="3671" spans="1:11" hidden="1" x14ac:dyDescent="0.25">
      <c r="A3671" s="203"/>
      <c r="B3671" s="205"/>
      <c r="C3671" s="35" t="s">
        <v>1080</v>
      </c>
      <c r="D3671" s="46" t="s">
        <v>42</v>
      </c>
      <c r="E3671" s="36">
        <f>0.1*0.25</f>
        <v>2.5000000000000001E-2</v>
      </c>
      <c r="F3671" s="53">
        <v>1.216</v>
      </c>
      <c r="G3671" s="53">
        <f t="shared" si="62"/>
        <v>3.04E-2</v>
      </c>
      <c r="H3671" s="72"/>
      <c r="I3671" s="73"/>
      <c r="J3671" s="148">
        <v>0</v>
      </c>
      <c r="K3671" s="222">
        <v>0</v>
      </c>
    </row>
    <row r="3672" spans="1:11" ht="38.25" hidden="1" x14ac:dyDescent="0.25">
      <c r="A3672" s="203"/>
      <c r="B3672" s="205"/>
      <c r="C3672" s="35" t="s">
        <v>118</v>
      </c>
      <c r="D3672" s="35" t="s">
        <v>1081</v>
      </c>
      <c r="E3672" s="36">
        <f>ROUND(1*E3668/1000,4)</f>
        <v>2.9999999999999997E-4</v>
      </c>
      <c r="F3672" s="33">
        <v>5.1885597099999998</v>
      </c>
      <c r="G3672" s="33">
        <f t="shared" si="62"/>
        <v>1.5565679129999998E-3</v>
      </c>
      <c r="H3672" s="34"/>
      <c r="I3672" s="30"/>
      <c r="J3672" s="148">
        <v>0</v>
      </c>
      <c r="K3672" s="222">
        <v>0</v>
      </c>
    </row>
    <row r="3673" spans="1:11" ht="38.25" hidden="1" x14ac:dyDescent="0.25">
      <c r="A3673" s="203"/>
      <c r="B3673" s="205"/>
      <c r="C3673" s="35" t="s">
        <v>745</v>
      </c>
      <c r="D3673" s="35" t="s">
        <v>746</v>
      </c>
      <c r="E3673" s="36">
        <f>20*E3668*1/1000</f>
        <v>5.0000000000000001E-3</v>
      </c>
      <c r="F3673" s="53">
        <v>1.7543383999999995</v>
      </c>
      <c r="G3673" s="53">
        <f t="shared" si="62"/>
        <v>8.7716919999999976E-3</v>
      </c>
      <c r="H3673" s="72"/>
      <c r="I3673" s="73"/>
      <c r="J3673" s="148">
        <v>0</v>
      </c>
      <c r="K3673" s="222">
        <v>0</v>
      </c>
    </row>
    <row r="3674" spans="1:11" hidden="1" x14ac:dyDescent="0.25">
      <c r="A3674" s="203"/>
      <c r="B3674" s="205"/>
      <c r="C3674" s="35"/>
      <c r="D3674" s="35"/>
      <c r="E3674" s="36"/>
      <c r="F3674" s="53" t="s">
        <v>514</v>
      </c>
      <c r="G3674" s="53" t="str">
        <f t="shared" si="62"/>
        <v/>
      </c>
      <c r="H3674" s="72"/>
      <c r="I3674" s="73"/>
      <c r="J3674" s="148">
        <v>0</v>
      </c>
      <c r="K3674" s="222">
        <v>0</v>
      </c>
    </row>
    <row r="3675" spans="1:11" ht="25.5" hidden="1" x14ac:dyDescent="0.25">
      <c r="A3675" s="203"/>
      <c r="B3675" s="205"/>
      <c r="C3675" s="47" t="s">
        <v>1082</v>
      </c>
      <c r="D3675" s="35"/>
      <c r="E3675" s="36"/>
      <c r="F3675" s="53" t="s">
        <v>514</v>
      </c>
      <c r="G3675" s="53" t="str">
        <f t="shared" si="62"/>
        <v/>
      </c>
      <c r="H3675" s="72"/>
      <c r="I3675" s="73"/>
      <c r="J3675" s="148">
        <v>0</v>
      </c>
      <c r="K3675" s="222">
        <v>0</v>
      </c>
    </row>
    <row r="3676" spans="1:11" ht="15.75" hidden="1" thickBot="1" x14ac:dyDescent="0.3">
      <c r="A3676" s="209"/>
      <c r="B3676" s="206"/>
      <c r="C3676" s="35"/>
      <c r="D3676" s="35"/>
      <c r="E3676" s="36"/>
      <c r="F3676" s="53" t="s">
        <v>514</v>
      </c>
      <c r="G3676" s="53" t="str">
        <f t="shared" si="62"/>
        <v/>
      </c>
      <c r="H3676" s="72"/>
      <c r="I3676" s="73"/>
      <c r="J3676" s="148">
        <v>0</v>
      </c>
      <c r="K3676" s="222">
        <v>0</v>
      </c>
    </row>
    <row r="3677" spans="1:11" ht="15.75" hidden="1" thickBot="1" x14ac:dyDescent="0.3">
      <c r="A3677" s="202" t="s">
        <v>1083</v>
      </c>
      <c r="B3677" s="204" t="str">
        <f>INDEX(Orçamentária!A:B,MATCH(Composições!A3677,Orçamentária!A:A,0),2)</f>
        <v>Pintura de meios-fios com tinta acrílica</v>
      </c>
      <c r="C3677" s="40"/>
      <c r="D3677" s="25" t="str">
        <f>TRIM(INDEX(Orçamentária!C:C,MATCH(Composições!A3677,Orçamentária!A:A,0),1))</f>
        <v>m</v>
      </c>
      <c r="E3677" s="26"/>
      <c r="F3677" s="48" t="s">
        <v>514</v>
      </c>
      <c r="G3677" s="27" t="str">
        <f t="shared" si="62"/>
        <v/>
      </c>
      <c r="H3677" s="28"/>
      <c r="I3677" s="29"/>
      <c r="J3677" s="148">
        <v>0</v>
      </c>
      <c r="K3677" s="222">
        <v>0</v>
      </c>
    </row>
    <row r="3678" spans="1:11" hidden="1" x14ac:dyDescent="0.25">
      <c r="A3678" s="207"/>
      <c r="B3678" s="205"/>
      <c r="C3678" s="31"/>
      <c r="D3678" s="31"/>
      <c r="E3678" s="32"/>
      <c r="F3678" s="53" t="s">
        <v>514</v>
      </c>
      <c r="G3678" s="53" t="str">
        <f t="shared" si="62"/>
        <v/>
      </c>
      <c r="H3678" s="72"/>
      <c r="I3678" s="73"/>
      <c r="J3678" s="148">
        <v>0</v>
      </c>
      <c r="K3678" s="222">
        <v>0</v>
      </c>
    </row>
    <row r="3679" spans="1:11" hidden="1" x14ac:dyDescent="0.25">
      <c r="A3679" s="207"/>
      <c r="B3679" s="205"/>
      <c r="C3679" s="35" t="s">
        <v>1084</v>
      </c>
      <c r="D3679" s="49" t="s">
        <v>101</v>
      </c>
      <c r="E3679" s="36">
        <f>ROUND(0.427/2*(0.25+0.13+0.25),4)</f>
        <v>0.13450000000000001</v>
      </c>
      <c r="F3679" s="53">
        <v>16.928999999999998</v>
      </c>
      <c r="G3679" s="53">
        <f t="shared" si="62"/>
        <v>2.2769504999999999</v>
      </c>
      <c r="H3679" s="38">
        <f>SUM(G3679:G3681)</f>
        <v>5.1867378000000004</v>
      </c>
      <c r="I3679" s="39"/>
      <c r="J3679" s="148">
        <v>0</v>
      </c>
      <c r="K3679" s="222">
        <v>0</v>
      </c>
    </row>
    <row r="3680" spans="1:11" hidden="1" x14ac:dyDescent="0.25">
      <c r="A3680" s="207"/>
      <c r="B3680" s="205"/>
      <c r="C3680" s="35" t="s">
        <v>1085</v>
      </c>
      <c r="D3680" s="35" t="s">
        <v>695</v>
      </c>
      <c r="E3680" s="36">
        <f>0.275*(0.25+0.13+0.25)/2</f>
        <v>8.6625000000000008E-2</v>
      </c>
      <c r="F3680" s="53">
        <v>25.887499999999999</v>
      </c>
      <c r="G3680" s="53">
        <f t="shared" si="62"/>
        <v>2.2425046875000003</v>
      </c>
      <c r="H3680" s="72"/>
      <c r="I3680" s="73"/>
      <c r="J3680" s="148">
        <v>0</v>
      </c>
      <c r="K3680" s="222">
        <v>0</v>
      </c>
    </row>
    <row r="3681" spans="1:11" hidden="1" x14ac:dyDescent="0.25">
      <c r="A3681" s="207"/>
      <c r="B3681" s="205"/>
      <c r="C3681" s="35" t="s">
        <v>23</v>
      </c>
      <c r="D3681" s="35" t="s">
        <v>695</v>
      </c>
      <c r="E3681" s="36">
        <f>0.115*(0.25+0.13+0.25)/2</f>
        <v>3.6225E-2</v>
      </c>
      <c r="F3681" s="53">
        <v>18.420500000000001</v>
      </c>
      <c r="G3681" s="53">
        <f t="shared" si="62"/>
        <v>0.66728261249999998</v>
      </c>
      <c r="H3681" s="72"/>
      <c r="I3681" s="73"/>
      <c r="J3681" s="148">
        <v>0</v>
      </c>
      <c r="K3681" s="222">
        <v>0</v>
      </c>
    </row>
    <row r="3682" spans="1:11" hidden="1" x14ac:dyDescent="0.25">
      <c r="A3682" s="207"/>
      <c r="B3682" s="205"/>
      <c r="C3682" s="35"/>
      <c r="D3682" s="35"/>
      <c r="E3682" s="36"/>
      <c r="F3682" s="53" t="s">
        <v>514</v>
      </c>
      <c r="G3682" s="53" t="str">
        <f t="shared" si="62"/>
        <v/>
      </c>
      <c r="H3682" s="72"/>
      <c r="I3682" s="73"/>
      <c r="J3682" s="148">
        <v>0</v>
      </c>
      <c r="K3682" s="222">
        <v>0</v>
      </c>
    </row>
    <row r="3683" spans="1:11" ht="25.5" hidden="1" x14ac:dyDescent="0.25">
      <c r="A3683" s="207"/>
      <c r="B3683" s="205"/>
      <c r="C3683" s="47" t="s">
        <v>1086</v>
      </c>
      <c r="D3683" s="35"/>
      <c r="E3683" s="36"/>
      <c r="F3683" s="53" t="s">
        <v>514</v>
      </c>
      <c r="G3683" s="53" t="str">
        <f t="shared" si="62"/>
        <v/>
      </c>
      <c r="H3683" s="72"/>
      <c r="I3683" s="73"/>
      <c r="J3683" s="148">
        <v>0</v>
      </c>
      <c r="K3683" s="222">
        <v>0</v>
      </c>
    </row>
    <row r="3684" spans="1:11" ht="15.75" hidden="1" thickBot="1" x14ac:dyDescent="0.3">
      <c r="A3684" s="208"/>
      <c r="B3684" s="206"/>
      <c r="C3684" s="35"/>
      <c r="D3684" s="35"/>
      <c r="E3684" s="36"/>
      <c r="F3684" s="53" t="s">
        <v>514</v>
      </c>
      <c r="G3684" s="53" t="str">
        <f t="shared" si="62"/>
        <v/>
      </c>
      <c r="H3684" s="72"/>
      <c r="I3684" s="73"/>
      <c r="J3684" s="148">
        <v>0</v>
      </c>
      <c r="K3684" s="222">
        <v>0</v>
      </c>
    </row>
    <row r="3685" spans="1:11" ht="15.75" hidden="1" thickBot="1" x14ac:dyDescent="0.3">
      <c r="A3685" s="202" t="s">
        <v>1087</v>
      </c>
      <c r="B3685" s="204" t="str">
        <f>INDEX(Orçamentária!A:B,MATCH(Composições!A3685,Orçamentária!A:A,0),2)</f>
        <v>Meios-fios em concreto pré-moldado</v>
      </c>
      <c r="C3685" s="40"/>
      <c r="D3685" s="25" t="str">
        <f>TRIM(INDEX(Orçamentária!C:C,MATCH(Composições!A3685,Orçamentária!A:A,0),1))</f>
        <v>m</v>
      </c>
      <c r="E3685" s="26"/>
      <c r="F3685" s="48" t="s">
        <v>514</v>
      </c>
      <c r="G3685" s="27" t="str">
        <f t="shared" si="62"/>
        <v/>
      </c>
      <c r="H3685" s="28"/>
      <c r="I3685" s="29"/>
      <c r="J3685" s="148">
        <v>0</v>
      </c>
      <c r="K3685" s="222">
        <v>0</v>
      </c>
    </row>
    <row r="3686" spans="1:11" hidden="1" x14ac:dyDescent="0.25">
      <c r="A3686" s="203"/>
      <c r="B3686" s="205"/>
      <c r="C3686" s="31"/>
      <c r="D3686" s="31"/>
      <c r="E3686" s="32"/>
      <c r="F3686" s="53" t="s">
        <v>514</v>
      </c>
      <c r="G3686" s="53" t="str">
        <f t="shared" si="62"/>
        <v/>
      </c>
      <c r="H3686" s="72"/>
      <c r="I3686" s="73"/>
      <c r="J3686" s="148">
        <v>0</v>
      </c>
      <c r="K3686" s="222">
        <v>0</v>
      </c>
    </row>
    <row r="3687" spans="1:11" ht="25.5" hidden="1" x14ac:dyDescent="0.25">
      <c r="A3687" s="203"/>
      <c r="B3687" s="205"/>
      <c r="C3687" s="35" t="s">
        <v>744</v>
      </c>
      <c r="D3687" s="35" t="s">
        <v>108</v>
      </c>
      <c r="E3687" s="36">
        <v>7.0000000000000001E-3</v>
      </c>
      <c r="F3687" s="53">
        <v>185.66799999999998</v>
      </c>
      <c r="G3687" s="53">
        <f t="shared" si="62"/>
        <v>1.2996759999999998</v>
      </c>
      <c r="H3687" s="38">
        <f>SUM(G3687:G3695)</f>
        <v>51.730755455667996</v>
      </c>
      <c r="I3687" s="39"/>
      <c r="J3687" s="148">
        <v>0</v>
      </c>
      <c r="K3687" s="222">
        <v>0</v>
      </c>
    </row>
    <row r="3688" spans="1:11" ht="25.5" hidden="1" x14ac:dyDescent="0.25">
      <c r="A3688" s="203"/>
      <c r="B3688" s="205"/>
      <c r="C3688" s="35" t="s">
        <v>3681</v>
      </c>
      <c r="D3688" s="35" t="s">
        <v>92</v>
      </c>
      <c r="E3688" s="36">
        <v>1.0049999999999999</v>
      </c>
      <c r="F3688" s="53">
        <v>31.340499999999999</v>
      </c>
      <c r="G3688" s="53">
        <f t="shared" si="62"/>
        <v>31.497202499999997</v>
      </c>
      <c r="H3688" s="72"/>
      <c r="I3688" s="73"/>
      <c r="J3688" s="148">
        <v>0</v>
      </c>
      <c r="K3688" s="222">
        <v>0</v>
      </c>
    </row>
    <row r="3689" spans="1:11" hidden="1" x14ac:dyDescent="0.25">
      <c r="A3689" s="203"/>
      <c r="B3689" s="205"/>
      <c r="C3689" s="35" t="s">
        <v>22</v>
      </c>
      <c r="D3689" s="35" t="s">
        <v>12</v>
      </c>
      <c r="E3689" s="36">
        <v>0.39400000000000002</v>
      </c>
      <c r="F3689" s="53">
        <v>24.889999999999997</v>
      </c>
      <c r="G3689" s="53">
        <f t="shared" si="62"/>
        <v>9.806659999999999</v>
      </c>
      <c r="H3689" s="72"/>
      <c r="I3689" s="73"/>
      <c r="J3689" s="148">
        <v>0</v>
      </c>
      <c r="K3689" s="222">
        <v>0</v>
      </c>
    </row>
    <row r="3690" spans="1:11" hidden="1" x14ac:dyDescent="0.25">
      <c r="A3690" s="203"/>
      <c r="B3690" s="205"/>
      <c r="C3690" s="35" t="s">
        <v>23</v>
      </c>
      <c r="D3690" s="35" t="s">
        <v>12</v>
      </c>
      <c r="E3690" s="36">
        <v>0.39400000000000002</v>
      </c>
      <c r="F3690" s="53">
        <v>18.420500000000001</v>
      </c>
      <c r="G3690" s="53">
        <f t="shared" si="62"/>
        <v>7.2576770000000002</v>
      </c>
      <c r="H3690" s="72"/>
      <c r="I3690" s="73"/>
      <c r="J3690" s="148">
        <v>0</v>
      </c>
      <c r="K3690" s="222">
        <v>0</v>
      </c>
    </row>
    <row r="3691" spans="1:11" ht="25.5" hidden="1" x14ac:dyDescent="0.25">
      <c r="A3691" s="203"/>
      <c r="B3691" s="205"/>
      <c r="C3691" s="35" t="s">
        <v>107</v>
      </c>
      <c r="D3691" s="35" t="s">
        <v>108</v>
      </c>
      <c r="E3691" s="36">
        <v>2E-3</v>
      </c>
      <c r="F3691" s="53">
        <v>723.94562965900002</v>
      </c>
      <c r="G3691" s="53">
        <f t="shared" si="62"/>
        <v>1.447891259318</v>
      </c>
      <c r="H3691" s="72"/>
      <c r="I3691" s="73"/>
      <c r="J3691" s="148">
        <v>0</v>
      </c>
      <c r="K3691" s="222">
        <v>0</v>
      </c>
    </row>
    <row r="3692" spans="1:11" ht="51" hidden="1" x14ac:dyDescent="0.25">
      <c r="A3692" s="203"/>
      <c r="B3692" s="205"/>
      <c r="C3692" s="35" t="s">
        <v>3507</v>
      </c>
      <c r="D3692" s="35" t="s">
        <v>108</v>
      </c>
      <c r="E3692" s="36">
        <f>1*E3687</f>
        <v>7.0000000000000001E-3</v>
      </c>
      <c r="F3692" s="33">
        <v>7.7750840499999994</v>
      </c>
      <c r="G3692" s="33">
        <f t="shared" ref="G3692:G3755" si="63">IF(ISNUMBER(F3692),E3692*F3692,"")</f>
        <v>5.4425588349999998E-2</v>
      </c>
      <c r="H3692" s="34"/>
      <c r="I3692" s="30"/>
      <c r="J3692" s="148">
        <v>0</v>
      </c>
      <c r="K3692" s="222">
        <v>0</v>
      </c>
    </row>
    <row r="3693" spans="1:11" ht="38.25" hidden="1" x14ac:dyDescent="0.25">
      <c r="A3693" s="203"/>
      <c r="B3693" s="205"/>
      <c r="C3693" s="35" t="s">
        <v>120</v>
      </c>
      <c r="D3693" s="35" t="s">
        <v>121</v>
      </c>
      <c r="E3693" s="36">
        <f>0.007*20</f>
        <v>0.14000000000000001</v>
      </c>
      <c r="F3693" s="53">
        <v>2.6230221999999994</v>
      </c>
      <c r="G3693" s="53">
        <f t="shared" si="63"/>
        <v>0.36722310799999996</v>
      </c>
      <c r="H3693" s="72"/>
      <c r="I3693" s="73"/>
      <c r="J3693" s="148">
        <v>0</v>
      </c>
      <c r="K3693" s="222">
        <v>0</v>
      </c>
    </row>
    <row r="3694" spans="1:11" hidden="1" x14ac:dyDescent="0.25">
      <c r="A3694" s="203"/>
      <c r="B3694" s="205"/>
      <c r="C3694" s="35"/>
      <c r="D3694" s="35"/>
      <c r="E3694" s="36"/>
      <c r="F3694" s="53" t="s">
        <v>514</v>
      </c>
      <c r="G3694" s="53" t="str">
        <f t="shared" si="63"/>
        <v/>
      </c>
      <c r="H3694" s="72"/>
      <c r="I3694" s="73"/>
      <c r="J3694" s="148">
        <v>0</v>
      </c>
      <c r="K3694" s="222">
        <v>0</v>
      </c>
    </row>
    <row r="3695" spans="1:11" hidden="1" x14ac:dyDescent="0.25">
      <c r="A3695" s="203"/>
      <c r="B3695" s="205"/>
      <c r="C3695" s="47" t="s">
        <v>1088</v>
      </c>
      <c r="D3695" s="35"/>
      <c r="E3695" s="36"/>
      <c r="F3695" s="53" t="s">
        <v>514</v>
      </c>
      <c r="G3695" s="53" t="str">
        <f t="shared" si="63"/>
        <v/>
      </c>
      <c r="H3695" s="72"/>
      <c r="I3695" s="73"/>
      <c r="J3695" s="148">
        <v>0</v>
      </c>
      <c r="K3695" s="222">
        <v>0</v>
      </c>
    </row>
    <row r="3696" spans="1:11" ht="15.75" hidden="1" thickBot="1" x14ac:dyDescent="0.3">
      <c r="A3696" s="209"/>
      <c r="B3696" s="206"/>
      <c r="C3696" s="35"/>
      <c r="D3696" s="35"/>
      <c r="E3696" s="36"/>
      <c r="F3696" s="53" t="s">
        <v>514</v>
      </c>
      <c r="G3696" s="53" t="str">
        <f t="shared" si="63"/>
        <v/>
      </c>
      <c r="H3696" s="72"/>
      <c r="I3696" s="73"/>
      <c r="J3696" s="148">
        <v>0</v>
      </c>
      <c r="K3696" s="222">
        <v>0</v>
      </c>
    </row>
    <row r="3697" spans="1:11" ht="15.75" hidden="1" thickBot="1" x14ac:dyDescent="0.3">
      <c r="A3697" s="202" t="s">
        <v>1089</v>
      </c>
      <c r="B3697" s="204" t="str">
        <f>INDEX(Orçamentária!A:B,MATCH(Composições!A3697,Orçamentária!A:A,0),2)</f>
        <v>Tubo PEAD corrugado para drenagem – Diâmetro 100 mm</v>
      </c>
      <c r="C3697" s="40"/>
      <c r="D3697" s="25" t="str">
        <f>TRIM(INDEX(Orçamentária!C:C,MATCH(Composições!A3697,Orçamentária!A:A,0),1))</f>
        <v>m</v>
      </c>
      <c r="E3697" s="26"/>
      <c r="F3697" s="48" t="s">
        <v>514</v>
      </c>
      <c r="G3697" s="27" t="str">
        <f t="shared" si="63"/>
        <v/>
      </c>
      <c r="H3697" s="28"/>
      <c r="I3697" s="29"/>
      <c r="J3697" s="148">
        <v>0</v>
      </c>
      <c r="K3697" s="222">
        <v>0</v>
      </c>
    </row>
    <row r="3698" spans="1:11" hidden="1" x14ac:dyDescent="0.25">
      <c r="A3698" s="203"/>
      <c r="B3698" s="205"/>
      <c r="C3698" s="31"/>
      <c r="D3698" s="31"/>
      <c r="E3698" s="32"/>
      <c r="F3698" s="53" t="s">
        <v>514</v>
      </c>
      <c r="G3698" s="53" t="str">
        <f t="shared" si="63"/>
        <v/>
      </c>
      <c r="H3698" s="72"/>
      <c r="I3698" s="73"/>
      <c r="J3698" s="148">
        <v>0</v>
      </c>
      <c r="K3698" s="222">
        <v>0</v>
      </c>
    </row>
    <row r="3699" spans="1:11" ht="25.5" hidden="1" x14ac:dyDescent="0.25">
      <c r="A3699" s="203"/>
      <c r="B3699" s="205"/>
      <c r="C3699" s="35" t="s">
        <v>1090</v>
      </c>
      <c r="D3699" s="35" t="s">
        <v>119</v>
      </c>
      <c r="E3699" s="36">
        <v>0.23</v>
      </c>
      <c r="F3699" s="53">
        <v>152</v>
      </c>
      <c r="G3699" s="53">
        <f t="shared" si="63"/>
        <v>34.96</v>
      </c>
      <c r="H3699" s="38">
        <f>SUM(G3699:G3709)</f>
        <v>142.23973645149999</v>
      </c>
      <c r="I3699" s="39"/>
      <c r="J3699" s="148">
        <v>0</v>
      </c>
      <c r="K3699" s="222">
        <v>0</v>
      </c>
    </row>
    <row r="3700" spans="1:11" ht="38.25" hidden="1" x14ac:dyDescent="0.25">
      <c r="A3700" s="203"/>
      <c r="B3700" s="205"/>
      <c r="C3700" s="35" t="s">
        <v>1092</v>
      </c>
      <c r="D3700" s="35" t="s">
        <v>473</v>
      </c>
      <c r="E3700" s="36">
        <v>1.01</v>
      </c>
      <c r="F3700" s="53">
        <v>10.801499999999999</v>
      </c>
      <c r="G3700" s="53">
        <f t="shared" si="63"/>
        <v>10.909514999999999</v>
      </c>
      <c r="H3700" s="72"/>
      <c r="I3700" s="73"/>
      <c r="J3700" s="148">
        <v>0</v>
      </c>
      <c r="K3700" s="222">
        <v>0</v>
      </c>
    </row>
    <row r="3701" spans="1:11" ht="25.5" hidden="1" x14ac:dyDescent="0.25">
      <c r="A3701" s="203"/>
      <c r="B3701" s="205"/>
      <c r="C3701" s="35" t="s">
        <v>944</v>
      </c>
      <c r="D3701" s="35" t="s">
        <v>695</v>
      </c>
      <c r="E3701" s="36">
        <v>0.5</v>
      </c>
      <c r="F3701" s="53">
        <v>24.300999999999998</v>
      </c>
      <c r="G3701" s="53">
        <f t="shared" si="63"/>
        <v>12.150499999999999</v>
      </c>
      <c r="H3701" s="72"/>
      <c r="I3701" s="73"/>
      <c r="J3701" s="148">
        <v>0</v>
      </c>
      <c r="K3701" s="222">
        <v>0</v>
      </c>
    </row>
    <row r="3702" spans="1:11" hidden="1" x14ac:dyDescent="0.25">
      <c r="A3702" s="203"/>
      <c r="B3702" s="205"/>
      <c r="C3702" s="35" t="s">
        <v>696</v>
      </c>
      <c r="D3702" s="35" t="s">
        <v>695</v>
      </c>
      <c r="E3702" s="36">
        <v>0.7</v>
      </c>
      <c r="F3702" s="53">
        <v>18.420500000000001</v>
      </c>
      <c r="G3702" s="53">
        <f t="shared" si="63"/>
        <v>12.894349999999999</v>
      </c>
      <c r="H3702" s="72"/>
      <c r="I3702" s="73"/>
      <c r="J3702" s="148">
        <v>0</v>
      </c>
      <c r="K3702" s="222">
        <v>0</v>
      </c>
    </row>
    <row r="3703" spans="1:11" ht="25.5" hidden="1" x14ac:dyDescent="0.25">
      <c r="A3703" s="203"/>
      <c r="B3703" s="205"/>
      <c r="C3703" s="35" t="s">
        <v>3305</v>
      </c>
      <c r="D3703" s="35" t="s">
        <v>982</v>
      </c>
      <c r="E3703" s="36">
        <v>2.2000000000000002</v>
      </c>
      <c r="F3703" s="53">
        <v>21.7835</v>
      </c>
      <c r="G3703" s="53">
        <f t="shared" si="63"/>
        <v>47.923700000000004</v>
      </c>
      <c r="H3703" s="72"/>
      <c r="I3703" s="73"/>
      <c r="J3703" s="148">
        <v>0</v>
      </c>
      <c r="K3703" s="222">
        <v>0</v>
      </c>
    </row>
    <row r="3704" spans="1:11" ht="25.5" hidden="1" x14ac:dyDescent="0.25">
      <c r="A3704" s="203"/>
      <c r="B3704" s="205"/>
      <c r="C3704" s="35" t="s">
        <v>106</v>
      </c>
      <c r="D3704" s="35" t="s">
        <v>695</v>
      </c>
      <c r="E3704" s="36">
        <v>0.5</v>
      </c>
      <c r="F3704" s="53">
        <v>19.094999999999999</v>
      </c>
      <c r="G3704" s="53">
        <f t="shared" si="63"/>
        <v>9.5474999999999994</v>
      </c>
      <c r="H3704" s="72"/>
      <c r="I3704" s="73"/>
      <c r="J3704" s="148">
        <v>0</v>
      </c>
      <c r="K3704" s="222">
        <v>0</v>
      </c>
    </row>
    <row r="3705" spans="1:11" ht="51" hidden="1" x14ac:dyDescent="0.25">
      <c r="A3705" s="203"/>
      <c r="B3705" s="205"/>
      <c r="C3705" s="35" t="s">
        <v>3507</v>
      </c>
      <c r="D3705" s="35" t="s">
        <v>108</v>
      </c>
      <c r="E3705" s="36">
        <f>1*E3699</f>
        <v>0.23</v>
      </c>
      <c r="F3705" s="33">
        <v>7.7750840499999994</v>
      </c>
      <c r="G3705" s="33">
        <f t="shared" si="63"/>
        <v>1.7882693315</v>
      </c>
      <c r="H3705" s="34"/>
      <c r="I3705" s="30"/>
      <c r="J3705" s="148">
        <v>0</v>
      </c>
      <c r="K3705" s="222">
        <v>0</v>
      </c>
    </row>
    <row r="3706" spans="1:11" ht="38.25" hidden="1" x14ac:dyDescent="0.25">
      <c r="A3706" s="203"/>
      <c r="B3706" s="205"/>
      <c r="C3706" s="35" t="s">
        <v>120</v>
      </c>
      <c r="D3706" s="35" t="s">
        <v>121</v>
      </c>
      <c r="E3706" s="36">
        <f>E3699*20</f>
        <v>4.6000000000000005</v>
      </c>
      <c r="F3706" s="53">
        <v>2.6230221999999994</v>
      </c>
      <c r="G3706" s="53">
        <f t="shared" si="63"/>
        <v>12.065902119999999</v>
      </c>
      <c r="H3706" s="72"/>
      <c r="I3706" s="73"/>
      <c r="J3706" s="148">
        <v>0</v>
      </c>
      <c r="K3706" s="222">
        <v>0</v>
      </c>
    </row>
    <row r="3707" spans="1:11" hidden="1" x14ac:dyDescent="0.25">
      <c r="A3707" s="203"/>
      <c r="B3707" s="205"/>
      <c r="C3707" s="35"/>
      <c r="D3707" s="35"/>
      <c r="E3707" s="36"/>
      <c r="F3707" s="53" t="s">
        <v>514</v>
      </c>
      <c r="G3707" s="53" t="str">
        <f t="shared" si="63"/>
        <v/>
      </c>
      <c r="H3707" s="72"/>
      <c r="I3707" s="73"/>
      <c r="J3707" s="148">
        <v>0</v>
      </c>
      <c r="K3707" s="222">
        <v>0</v>
      </c>
    </row>
    <row r="3708" spans="1:11" hidden="1" x14ac:dyDescent="0.25">
      <c r="A3708" s="203"/>
      <c r="B3708" s="205"/>
      <c r="C3708" s="47" t="s">
        <v>1094</v>
      </c>
      <c r="D3708" s="35"/>
      <c r="E3708" s="36"/>
      <c r="F3708" s="53" t="s">
        <v>514</v>
      </c>
      <c r="G3708" s="53" t="str">
        <f t="shared" si="63"/>
        <v/>
      </c>
      <c r="H3708" s="72"/>
      <c r="I3708" s="73"/>
      <c r="J3708" s="148">
        <v>0</v>
      </c>
      <c r="K3708" s="222">
        <v>0</v>
      </c>
    </row>
    <row r="3709" spans="1:11" hidden="1" x14ac:dyDescent="0.25">
      <c r="A3709" s="203"/>
      <c r="B3709" s="205"/>
      <c r="C3709" s="35"/>
      <c r="D3709" s="35"/>
      <c r="E3709" s="36"/>
      <c r="F3709" s="53" t="s">
        <v>514</v>
      </c>
      <c r="G3709" s="53" t="str">
        <f t="shared" si="63"/>
        <v/>
      </c>
      <c r="H3709" s="72"/>
      <c r="I3709" s="73"/>
      <c r="J3709" s="148">
        <v>0</v>
      </c>
      <c r="K3709" s="222">
        <v>0</v>
      </c>
    </row>
    <row r="3710" spans="1:11" ht="15.75" hidden="1" thickBot="1" x14ac:dyDescent="0.3">
      <c r="A3710" s="202" t="s">
        <v>1095</v>
      </c>
      <c r="B3710" s="204" t="str">
        <f>INDEX(Orçamentária!A:B,MATCH(Composições!A3710,Orçamentária!A:A,0),2)</f>
        <v>Fixadores metálicos para rochas ornamentais (Modelo Edifício Principal, peça inferior)</v>
      </c>
      <c r="C3710" s="40"/>
      <c r="D3710" s="25" t="str">
        <f>TRIM(INDEX(Orçamentária!C:C,MATCH(Composições!A3710,Orçamentária!A:A,0),1))</f>
        <v>un</v>
      </c>
      <c r="E3710" s="26"/>
      <c r="F3710" s="48" t="s">
        <v>514</v>
      </c>
      <c r="G3710" s="27" t="str">
        <f t="shared" si="63"/>
        <v/>
      </c>
      <c r="H3710" s="28"/>
      <c r="I3710" s="29"/>
      <c r="J3710" s="148">
        <v>0</v>
      </c>
      <c r="K3710" s="222">
        <v>0</v>
      </c>
    </row>
    <row r="3711" spans="1:11" hidden="1" x14ac:dyDescent="0.25">
      <c r="A3711" s="203"/>
      <c r="B3711" s="205"/>
      <c r="C3711" s="31"/>
      <c r="D3711" s="31"/>
      <c r="E3711" s="32"/>
      <c r="F3711" s="53" t="s">
        <v>514</v>
      </c>
      <c r="G3711" s="53" t="str">
        <f t="shared" si="63"/>
        <v/>
      </c>
      <c r="H3711" s="72"/>
      <c r="I3711" s="73"/>
      <c r="J3711" s="148">
        <v>0</v>
      </c>
      <c r="K3711" s="222">
        <v>0</v>
      </c>
    </row>
    <row r="3712" spans="1:11" hidden="1" x14ac:dyDescent="0.25">
      <c r="A3712" s="203"/>
      <c r="B3712" s="205"/>
      <c r="C3712" s="35" t="s">
        <v>22</v>
      </c>
      <c r="D3712" s="35" t="s">
        <v>12</v>
      </c>
      <c r="E3712" s="36">
        <f>0.1+0.1</f>
        <v>0.2</v>
      </c>
      <c r="F3712" s="53">
        <v>24.889999999999997</v>
      </c>
      <c r="G3712" s="53">
        <f t="shared" si="63"/>
        <v>4.9779999999999998</v>
      </c>
      <c r="H3712" s="38">
        <f>SUM(G3712:G3717)</f>
        <v>8.939299933584465</v>
      </c>
      <c r="I3712" s="39"/>
      <c r="J3712" s="148">
        <v>0</v>
      </c>
      <c r="K3712" s="222">
        <v>0</v>
      </c>
    </row>
    <row r="3713" spans="1:11" hidden="1" x14ac:dyDescent="0.25">
      <c r="A3713" s="203"/>
      <c r="B3713" s="205"/>
      <c r="C3713" s="35" t="s">
        <v>23</v>
      </c>
      <c r="D3713" s="35" t="s">
        <v>12</v>
      </c>
      <c r="E3713" s="36">
        <f>0.1+0.1</f>
        <v>0.2</v>
      </c>
      <c r="F3713" s="53">
        <v>18.420500000000001</v>
      </c>
      <c r="G3713" s="53">
        <f t="shared" si="63"/>
        <v>3.6841000000000004</v>
      </c>
      <c r="H3713" s="72"/>
      <c r="I3713" s="73"/>
      <c r="J3713" s="148">
        <v>0</v>
      </c>
      <c r="K3713" s="222">
        <v>0</v>
      </c>
    </row>
    <row r="3714" spans="1:11" hidden="1" x14ac:dyDescent="0.25">
      <c r="A3714" s="203"/>
      <c r="B3714" s="205"/>
      <c r="C3714" s="35" t="s">
        <v>1017</v>
      </c>
      <c r="D3714" s="35" t="s">
        <v>143</v>
      </c>
      <c r="E3714" s="36">
        <f>0.016*2</f>
        <v>3.2000000000000001E-2</v>
      </c>
      <c r="F3714" s="53">
        <v>0</v>
      </c>
      <c r="G3714" s="53">
        <f t="shared" si="63"/>
        <v>0</v>
      </c>
      <c r="H3714" s="72"/>
      <c r="I3714" s="73"/>
      <c r="J3714" s="148">
        <v>0</v>
      </c>
      <c r="K3714" s="222">
        <v>0</v>
      </c>
    </row>
    <row r="3715" spans="1:11" hidden="1" x14ac:dyDescent="0.25">
      <c r="A3715" s="203"/>
      <c r="B3715" s="205"/>
      <c r="C3715" s="35" t="s">
        <v>1018</v>
      </c>
      <c r="D3715" s="35" t="s">
        <v>1019</v>
      </c>
      <c r="E3715" s="36">
        <f>0.1*2</f>
        <v>0.2</v>
      </c>
      <c r="F3715" s="53">
        <v>0</v>
      </c>
      <c r="G3715" s="53">
        <f t="shared" si="63"/>
        <v>0</v>
      </c>
      <c r="H3715" s="72"/>
      <c r="I3715" s="73"/>
      <c r="J3715" s="148">
        <v>0</v>
      </c>
      <c r="K3715" s="222">
        <v>0</v>
      </c>
    </row>
    <row r="3716" spans="1:11" hidden="1" x14ac:dyDescent="0.25">
      <c r="A3716" s="203"/>
      <c r="B3716" s="205"/>
      <c r="C3716" s="35" t="s">
        <v>1096</v>
      </c>
      <c r="D3716" s="35" t="s">
        <v>143</v>
      </c>
      <c r="E3716" s="36">
        <v>1</v>
      </c>
      <c r="F3716" s="53" t="s">
        <v>514</v>
      </c>
      <c r="G3716" s="53" t="str">
        <f t="shared" si="63"/>
        <v/>
      </c>
      <c r="H3716" s="72"/>
      <c r="I3716" s="73"/>
      <c r="J3716" s="148">
        <v>0</v>
      </c>
      <c r="K3716" s="222">
        <v>0</v>
      </c>
    </row>
    <row r="3717" spans="1:11" ht="38.25" hidden="1" x14ac:dyDescent="0.25">
      <c r="A3717" s="203"/>
      <c r="B3717" s="205"/>
      <c r="C3717" s="35" t="s">
        <v>1020</v>
      </c>
      <c r="D3717" s="35" t="s">
        <v>108</v>
      </c>
      <c r="E3717" s="36">
        <f>ROUND(0.15*0.05*0.05,4)</f>
        <v>4.0000000000000002E-4</v>
      </c>
      <c r="F3717" s="53">
        <v>692.99983396115999</v>
      </c>
      <c r="G3717" s="53">
        <f t="shared" si="63"/>
        <v>0.27719993358446399</v>
      </c>
      <c r="H3717" s="72"/>
      <c r="I3717" s="73"/>
      <c r="J3717" s="148">
        <v>0</v>
      </c>
      <c r="K3717" s="222">
        <v>0</v>
      </c>
    </row>
    <row r="3718" spans="1:11" hidden="1" x14ac:dyDescent="0.25">
      <c r="A3718" s="203"/>
      <c r="B3718" s="205"/>
      <c r="C3718" s="35"/>
      <c r="D3718" s="35"/>
      <c r="E3718" s="36"/>
      <c r="F3718" s="53" t="s">
        <v>514</v>
      </c>
      <c r="G3718" s="53" t="str">
        <f t="shared" si="63"/>
        <v/>
      </c>
      <c r="H3718" s="72"/>
      <c r="I3718" s="73"/>
      <c r="J3718" s="148">
        <v>0</v>
      </c>
      <c r="K3718" s="222">
        <v>0</v>
      </c>
    </row>
    <row r="3719" spans="1:11" hidden="1" x14ac:dyDescent="0.25">
      <c r="A3719" s="203"/>
      <c r="B3719" s="205"/>
      <c r="C3719" s="145" t="s">
        <v>1021</v>
      </c>
      <c r="D3719" s="35"/>
      <c r="E3719" s="36"/>
      <c r="F3719" s="53" t="s">
        <v>514</v>
      </c>
      <c r="G3719" s="53" t="str">
        <f t="shared" si="63"/>
        <v/>
      </c>
      <c r="H3719" s="72"/>
      <c r="I3719" s="73"/>
      <c r="J3719" s="148">
        <v>0</v>
      </c>
      <c r="K3719" s="222">
        <v>0</v>
      </c>
    </row>
    <row r="3720" spans="1:11" ht="15.75" hidden="1" thickBot="1" x14ac:dyDescent="0.3">
      <c r="A3720" s="209"/>
      <c r="B3720" s="206"/>
      <c r="C3720" s="54"/>
      <c r="D3720" s="54"/>
      <c r="E3720" s="65"/>
      <c r="F3720" s="75" t="s">
        <v>514</v>
      </c>
      <c r="G3720" s="75" t="str">
        <f t="shared" si="63"/>
        <v/>
      </c>
      <c r="H3720" s="76"/>
      <c r="I3720" s="73"/>
      <c r="J3720" s="148">
        <v>0</v>
      </c>
      <c r="K3720" s="222">
        <v>0</v>
      </c>
    </row>
    <row r="3721" spans="1:11" ht="15.75" hidden="1" thickBot="1" x14ac:dyDescent="0.3">
      <c r="A3721" s="202" t="s">
        <v>1097</v>
      </c>
      <c r="B3721" s="204" t="str">
        <f>INDEX(Orçamentária!A:B,MATCH(Composições!A3721,Orçamentária!A:A,0),2)</f>
        <v>Locação de Container - Escritório</v>
      </c>
      <c r="C3721" s="40"/>
      <c r="D3721" s="25" t="str">
        <f>TRIM(INDEX(Orçamentária!C:C,MATCH(Composições!A3721,Orçamentária!A:A,0),1))</f>
        <v>mês</v>
      </c>
      <c r="E3721" s="26"/>
      <c r="F3721" s="48" t="s">
        <v>514</v>
      </c>
      <c r="G3721" s="27" t="str">
        <f t="shared" si="63"/>
        <v/>
      </c>
      <c r="H3721" s="28"/>
      <c r="I3721" s="29"/>
      <c r="J3721" s="148">
        <v>0</v>
      </c>
      <c r="K3721" s="222">
        <v>0</v>
      </c>
    </row>
    <row r="3722" spans="1:11" hidden="1" x14ac:dyDescent="0.25">
      <c r="A3722" s="207"/>
      <c r="B3722" s="205"/>
      <c r="C3722" s="31"/>
      <c r="D3722" s="31"/>
      <c r="E3722" s="32"/>
      <c r="F3722" s="53" t="s">
        <v>514</v>
      </c>
      <c r="G3722" s="53" t="str">
        <f t="shared" si="63"/>
        <v/>
      </c>
      <c r="H3722" s="72"/>
      <c r="I3722" s="73"/>
      <c r="J3722" s="148">
        <v>0</v>
      </c>
      <c r="K3722" s="222">
        <v>0</v>
      </c>
    </row>
    <row r="3723" spans="1:11" ht="38.25" hidden="1" x14ac:dyDescent="0.25">
      <c r="A3723" s="207"/>
      <c r="B3723" s="205"/>
      <c r="C3723" s="35" t="s">
        <v>7758</v>
      </c>
      <c r="D3723" s="49" t="s">
        <v>126</v>
      </c>
      <c r="E3723" s="36">
        <v>1</v>
      </c>
      <c r="F3723" s="53">
        <v>1021.25</v>
      </c>
      <c r="G3723" s="53">
        <f t="shared" si="63"/>
        <v>1021.25</v>
      </c>
      <c r="H3723" s="38">
        <f>SUM(G3723:G3723)</f>
        <v>1021.25</v>
      </c>
      <c r="I3723" s="39"/>
      <c r="J3723" s="148">
        <v>0</v>
      </c>
      <c r="K3723" s="222">
        <v>0</v>
      </c>
    </row>
    <row r="3724" spans="1:11" ht="15.75" hidden="1" thickBot="1" x14ac:dyDescent="0.3">
      <c r="A3724" s="208"/>
      <c r="B3724" s="206"/>
      <c r="C3724" s="35"/>
      <c r="D3724" s="35"/>
      <c r="E3724" s="36"/>
      <c r="F3724" s="53" t="s">
        <v>514</v>
      </c>
      <c r="G3724" s="53" t="str">
        <f t="shared" si="63"/>
        <v/>
      </c>
      <c r="H3724" s="72"/>
      <c r="I3724" s="73"/>
      <c r="J3724" s="148">
        <v>0</v>
      </c>
      <c r="K3724" s="222">
        <v>0</v>
      </c>
    </row>
    <row r="3725" spans="1:11" ht="15.75" hidden="1" thickBot="1" x14ac:dyDescent="0.3">
      <c r="A3725" s="202" t="s">
        <v>1098</v>
      </c>
      <c r="B3725" s="204" t="str">
        <f>INDEX(Orçamentária!A:B,MATCH(Composições!A3725,Orçamentária!A:A,0),2)</f>
        <v>Abertura/fechamento de rasgo em concreto</v>
      </c>
      <c r="C3725" s="40"/>
      <c r="D3725" s="25" t="str">
        <f>TRIM(INDEX(Orçamentária!C:C,MATCH(Composições!A3725,Orçamentária!A:A,0),1))</f>
        <v>m</v>
      </c>
      <c r="E3725" s="26"/>
      <c r="F3725" s="41" t="s">
        <v>514</v>
      </c>
      <c r="G3725" s="27" t="str">
        <f t="shared" si="63"/>
        <v/>
      </c>
      <c r="H3725" s="28"/>
      <c r="I3725" s="29"/>
      <c r="J3725" s="148">
        <v>0</v>
      </c>
      <c r="K3725" s="222">
        <v>0</v>
      </c>
    </row>
    <row r="3726" spans="1:11" hidden="1" x14ac:dyDescent="0.25">
      <c r="A3726" s="203"/>
      <c r="B3726" s="205"/>
      <c r="C3726" s="31"/>
      <c r="D3726" s="31"/>
      <c r="E3726" s="32"/>
      <c r="F3726" s="42" t="s">
        <v>514</v>
      </c>
      <c r="G3726" s="30" t="str">
        <f t="shared" si="63"/>
        <v/>
      </c>
      <c r="H3726" s="34"/>
      <c r="I3726" s="30"/>
      <c r="J3726" s="148">
        <v>0</v>
      </c>
      <c r="K3726" s="222">
        <v>0</v>
      </c>
    </row>
    <row r="3727" spans="1:11" ht="25.5" hidden="1" x14ac:dyDescent="0.25">
      <c r="A3727" s="203"/>
      <c r="B3727" s="205"/>
      <c r="C3727" s="35" t="s">
        <v>1099</v>
      </c>
      <c r="D3727" s="35" t="s">
        <v>932</v>
      </c>
      <c r="E3727" s="36">
        <v>0.183</v>
      </c>
      <c r="F3727" s="30">
        <v>22.001999999999999</v>
      </c>
      <c r="G3727" s="30">
        <f t="shared" si="63"/>
        <v>4.0263659999999994</v>
      </c>
      <c r="H3727" s="38">
        <f>SUM(G3727:G3733)</f>
        <v>41.397536537272003</v>
      </c>
      <c r="I3727" s="39"/>
      <c r="J3727" s="148">
        <v>0</v>
      </c>
      <c r="K3727" s="222">
        <v>0</v>
      </c>
    </row>
    <row r="3728" spans="1:11" ht="25.5" hidden="1" x14ac:dyDescent="0.25">
      <c r="A3728" s="203"/>
      <c r="B3728" s="205"/>
      <c r="C3728" s="35" t="s">
        <v>1100</v>
      </c>
      <c r="D3728" s="35" t="s">
        <v>934</v>
      </c>
      <c r="E3728" s="36">
        <v>0.40100000000000002</v>
      </c>
      <c r="F3728" s="30">
        <v>20.795500000000001</v>
      </c>
      <c r="G3728" s="30">
        <f t="shared" si="63"/>
        <v>8.3389955000000011</v>
      </c>
      <c r="H3728" s="34"/>
      <c r="I3728" s="30"/>
      <c r="J3728" s="148">
        <v>0</v>
      </c>
      <c r="K3728" s="222">
        <v>0</v>
      </c>
    </row>
    <row r="3729" spans="1:11" ht="25.5" hidden="1" x14ac:dyDescent="0.25">
      <c r="A3729" s="203"/>
      <c r="B3729" s="205"/>
      <c r="C3729" s="35" t="s">
        <v>106</v>
      </c>
      <c r="D3729" s="35" t="s">
        <v>12</v>
      </c>
      <c r="E3729" s="36">
        <v>9.0999999999999998E-2</v>
      </c>
      <c r="F3729" s="30">
        <v>19.094999999999999</v>
      </c>
      <c r="G3729" s="30">
        <f t="shared" si="63"/>
        <v>1.7376449999999999</v>
      </c>
      <c r="H3729" s="34"/>
      <c r="I3729" s="30"/>
      <c r="J3729" s="148">
        <v>0</v>
      </c>
      <c r="K3729" s="222">
        <v>0</v>
      </c>
    </row>
    <row r="3730" spans="1:11" hidden="1" x14ac:dyDescent="0.25">
      <c r="A3730" s="203"/>
      <c r="B3730" s="205"/>
      <c r="C3730" s="35" t="s">
        <v>39</v>
      </c>
      <c r="D3730" s="46" t="s">
        <v>12</v>
      </c>
      <c r="E3730" s="36">
        <v>0.58299999999999996</v>
      </c>
      <c r="F3730" s="30">
        <v>24.300999999999998</v>
      </c>
      <c r="G3730" s="30">
        <f t="shared" si="63"/>
        <v>14.167482999999999</v>
      </c>
      <c r="H3730" s="34"/>
      <c r="I3730" s="30"/>
      <c r="J3730" s="148">
        <v>0</v>
      </c>
      <c r="K3730" s="222">
        <v>0</v>
      </c>
    </row>
    <row r="3731" spans="1:11" ht="25.5" hidden="1" x14ac:dyDescent="0.25">
      <c r="A3731" s="203"/>
      <c r="B3731" s="205"/>
      <c r="C3731" s="35" t="s">
        <v>106</v>
      </c>
      <c r="D3731" s="35" t="s">
        <v>12</v>
      </c>
      <c r="E3731" s="36">
        <v>3.7999999999999999E-2</v>
      </c>
      <c r="F3731" s="30">
        <v>19.094999999999999</v>
      </c>
      <c r="G3731" s="30">
        <f t="shared" si="63"/>
        <v>0.72560999999999998</v>
      </c>
      <c r="H3731" s="34"/>
      <c r="I3731" s="30"/>
      <c r="J3731" s="148">
        <v>0</v>
      </c>
      <c r="K3731" s="222">
        <v>0</v>
      </c>
    </row>
    <row r="3732" spans="1:11" hidden="1" x14ac:dyDescent="0.25">
      <c r="A3732" s="203"/>
      <c r="B3732" s="205"/>
      <c r="C3732" s="35" t="s">
        <v>39</v>
      </c>
      <c r="D3732" s="46" t="s">
        <v>12</v>
      </c>
      <c r="E3732" s="36">
        <v>0.27200000000000002</v>
      </c>
      <c r="F3732" s="30">
        <v>24.300999999999998</v>
      </c>
      <c r="G3732" s="30">
        <f t="shared" si="63"/>
        <v>6.6098720000000002</v>
      </c>
      <c r="H3732" s="34"/>
      <c r="I3732" s="30"/>
      <c r="J3732" s="148">
        <v>0</v>
      </c>
      <c r="K3732" s="222">
        <v>0</v>
      </c>
    </row>
    <row r="3733" spans="1:11" ht="25.5" hidden="1" x14ac:dyDescent="0.25">
      <c r="A3733" s="203"/>
      <c r="B3733" s="205"/>
      <c r="C3733" s="35" t="s">
        <v>107</v>
      </c>
      <c r="D3733" s="35" t="s">
        <v>108</v>
      </c>
      <c r="E3733" s="36">
        <v>8.0000000000000002E-3</v>
      </c>
      <c r="F3733" s="33">
        <v>723.94562965900002</v>
      </c>
      <c r="G3733" s="33">
        <f t="shared" si="63"/>
        <v>5.791565037272</v>
      </c>
      <c r="H3733" s="34"/>
      <c r="I3733" s="30"/>
      <c r="J3733" s="148">
        <v>0</v>
      </c>
      <c r="K3733" s="222">
        <v>0</v>
      </c>
    </row>
    <row r="3734" spans="1:11" ht="15.75" hidden="1" thickBot="1" x14ac:dyDescent="0.3">
      <c r="A3734" s="209"/>
      <c r="B3734" s="206"/>
      <c r="C3734" s="35"/>
      <c r="D3734" s="35"/>
      <c r="E3734" s="36"/>
      <c r="F3734" s="30" t="s">
        <v>514</v>
      </c>
      <c r="G3734" s="30" t="str">
        <f t="shared" si="63"/>
        <v/>
      </c>
      <c r="H3734" s="34"/>
      <c r="I3734" s="30"/>
      <c r="J3734" s="148">
        <v>0</v>
      </c>
      <c r="K3734" s="222">
        <v>0</v>
      </c>
    </row>
    <row r="3735" spans="1:11" ht="15.75" hidden="1" thickBot="1" x14ac:dyDescent="0.3">
      <c r="A3735" s="202" t="s">
        <v>1101</v>
      </c>
      <c r="B3735" s="204" t="str">
        <f>INDEX(Orçamentária!A:B,MATCH(Composições!A3735,Orçamentária!A:A,0),2)</f>
        <v>Recomposição de rejuntamento sobre revestimentos</v>
      </c>
      <c r="C3735" s="40"/>
      <c r="D3735" s="25" t="str">
        <f>TRIM(INDEX(Orçamentária!C:C,MATCH(Composições!A3735,Orçamentária!A:A,0),1))</f>
        <v>m2</v>
      </c>
      <c r="E3735" s="26"/>
      <c r="F3735" s="48" t="s">
        <v>514</v>
      </c>
      <c r="G3735" s="27" t="str">
        <f t="shared" si="63"/>
        <v/>
      </c>
      <c r="H3735" s="28"/>
      <c r="I3735" s="29"/>
      <c r="J3735" s="148">
        <v>0</v>
      </c>
      <c r="K3735" s="222">
        <v>0</v>
      </c>
    </row>
    <row r="3736" spans="1:11" hidden="1" x14ac:dyDescent="0.25">
      <c r="A3736" s="207"/>
      <c r="B3736" s="205"/>
      <c r="C3736" s="31"/>
      <c r="D3736" s="31"/>
      <c r="E3736" s="32"/>
      <c r="F3736" s="53" t="s">
        <v>514</v>
      </c>
      <c r="G3736" s="53" t="str">
        <f t="shared" si="63"/>
        <v/>
      </c>
      <c r="H3736" s="72"/>
      <c r="I3736" s="73"/>
      <c r="J3736" s="148">
        <v>0</v>
      </c>
      <c r="K3736" s="222">
        <v>0</v>
      </c>
    </row>
    <row r="3737" spans="1:11" hidden="1" x14ac:dyDescent="0.25">
      <c r="A3737" s="207"/>
      <c r="B3737" s="205"/>
      <c r="C3737" s="35" t="s">
        <v>3511</v>
      </c>
      <c r="D3737" s="49" t="s">
        <v>42</v>
      </c>
      <c r="E3737" s="36">
        <v>0.25900000000000001</v>
      </c>
      <c r="F3737" s="53">
        <v>3.0590000000000002</v>
      </c>
      <c r="G3737" s="53">
        <f t="shared" si="63"/>
        <v>0.79228100000000001</v>
      </c>
      <c r="H3737" s="38">
        <f>SUM(G3737:G3738)</f>
        <v>10.002531000000001</v>
      </c>
      <c r="I3737" s="39"/>
      <c r="J3737" s="148">
        <v>0</v>
      </c>
      <c r="K3737" s="222">
        <v>0</v>
      </c>
    </row>
    <row r="3738" spans="1:11" hidden="1" x14ac:dyDescent="0.25">
      <c r="A3738" s="207"/>
      <c r="B3738" s="205"/>
      <c r="C3738" s="35" t="s">
        <v>23</v>
      </c>
      <c r="D3738" s="35" t="s">
        <v>12</v>
      </c>
      <c r="E3738" s="36">
        <f>0.25*2</f>
        <v>0.5</v>
      </c>
      <c r="F3738" s="53">
        <v>18.420500000000001</v>
      </c>
      <c r="G3738" s="53">
        <f t="shared" si="63"/>
        <v>9.2102500000000003</v>
      </c>
      <c r="H3738" s="72"/>
      <c r="I3738" s="73"/>
      <c r="J3738" s="148">
        <v>0</v>
      </c>
      <c r="K3738" s="222">
        <v>0</v>
      </c>
    </row>
    <row r="3739" spans="1:11" ht="15.75" hidden="1" thickBot="1" x14ac:dyDescent="0.3">
      <c r="A3739" s="208"/>
      <c r="B3739" s="206"/>
      <c r="C3739" s="35"/>
      <c r="D3739" s="35"/>
      <c r="E3739" s="36"/>
      <c r="F3739" s="53" t="s">
        <v>514</v>
      </c>
      <c r="G3739" s="53" t="str">
        <f t="shared" si="63"/>
        <v/>
      </c>
      <c r="H3739" s="72"/>
      <c r="I3739" s="73"/>
      <c r="J3739" s="148">
        <v>0</v>
      </c>
      <c r="K3739" s="222">
        <v>0</v>
      </c>
    </row>
    <row r="3740" spans="1:11" ht="15.75" hidden="1" thickBot="1" x14ac:dyDescent="0.3">
      <c r="A3740" s="202" t="s">
        <v>1102</v>
      </c>
      <c r="B3740" s="204" t="str">
        <f>INDEX(Orçamentária!A:B,MATCH(Composições!A3740,Orçamentária!A:A,0),2)</f>
        <v>Impermeabilização de revestimentos em pedra</v>
      </c>
      <c r="C3740" s="40"/>
      <c r="D3740" s="25" t="str">
        <f>TRIM(INDEX(Orçamentária!C:C,MATCH(Composições!A3740,Orçamentária!A:A,0),1))</f>
        <v>m2</v>
      </c>
      <c r="E3740" s="26"/>
      <c r="F3740" s="48" t="s">
        <v>514</v>
      </c>
      <c r="G3740" s="27" t="str">
        <f t="shared" si="63"/>
        <v/>
      </c>
      <c r="H3740" s="28"/>
      <c r="I3740" s="29"/>
      <c r="J3740" s="148">
        <v>0</v>
      </c>
      <c r="K3740" s="222">
        <v>0</v>
      </c>
    </row>
    <row r="3741" spans="1:11" hidden="1" x14ac:dyDescent="0.25">
      <c r="A3741" s="207"/>
      <c r="B3741" s="205"/>
      <c r="C3741" s="31"/>
      <c r="D3741" s="31"/>
      <c r="E3741" s="32"/>
      <c r="F3741" s="53" t="s">
        <v>514</v>
      </c>
      <c r="G3741" s="53" t="str">
        <f t="shared" si="63"/>
        <v/>
      </c>
      <c r="H3741" s="72"/>
      <c r="I3741" s="73"/>
      <c r="J3741" s="148">
        <v>0</v>
      </c>
      <c r="K3741" s="222">
        <v>0</v>
      </c>
    </row>
    <row r="3742" spans="1:11" hidden="1" x14ac:dyDescent="0.25">
      <c r="A3742" s="207"/>
      <c r="B3742" s="205"/>
      <c r="C3742" s="35" t="s">
        <v>1103</v>
      </c>
      <c r="D3742" s="49" t="s">
        <v>101</v>
      </c>
      <c r="E3742" s="36">
        <f>ROUND(1/12,4)</f>
        <v>8.3299999999999999E-2</v>
      </c>
      <c r="F3742" s="53" t="s">
        <v>514</v>
      </c>
      <c r="G3742" s="53" t="str">
        <f t="shared" si="63"/>
        <v/>
      </c>
      <c r="H3742" s="38">
        <f>SUM(G3742:G3744)</f>
        <v>20.460149999999999</v>
      </c>
      <c r="I3742" s="39"/>
      <c r="J3742" s="148">
        <v>0</v>
      </c>
      <c r="K3742" s="222">
        <v>0</v>
      </c>
    </row>
    <row r="3743" spans="1:11" hidden="1" x14ac:dyDescent="0.25">
      <c r="A3743" s="207"/>
      <c r="B3743" s="205"/>
      <c r="C3743" s="35" t="s">
        <v>1004</v>
      </c>
      <c r="D3743" s="35" t="s">
        <v>695</v>
      </c>
      <c r="E3743" s="36">
        <f>1.2/2</f>
        <v>0.6</v>
      </c>
      <c r="F3743" s="53">
        <v>24.889999999999997</v>
      </c>
      <c r="G3743" s="53">
        <f t="shared" si="63"/>
        <v>14.933999999999997</v>
      </c>
      <c r="H3743" s="72"/>
      <c r="I3743" s="73"/>
      <c r="J3743" s="148">
        <v>0</v>
      </c>
      <c r="K3743" s="222">
        <v>0</v>
      </c>
    </row>
    <row r="3744" spans="1:11" hidden="1" x14ac:dyDescent="0.25">
      <c r="A3744" s="207"/>
      <c r="B3744" s="205"/>
      <c r="C3744" s="35" t="s">
        <v>23</v>
      </c>
      <c r="D3744" s="35" t="s">
        <v>695</v>
      </c>
      <c r="E3744" s="36">
        <f>0.6/2</f>
        <v>0.3</v>
      </c>
      <c r="F3744" s="53">
        <v>18.420500000000001</v>
      </c>
      <c r="G3744" s="53">
        <f t="shared" si="63"/>
        <v>5.5261500000000003</v>
      </c>
      <c r="H3744" s="72"/>
      <c r="I3744" s="73"/>
      <c r="J3744" s="148">
        <v>0</v>
      </c>
      <c r="K3744" s="222">
        <v>0</v>
      </c>
    </row>
    <row r="3745" spans="1:11" hidden="1" x14ac:dyDescent="0.25">
      <c r="A3745" s="207"/>
      <c r="B3745" s="205"/>
      <c r="C3745" s="35"/>
      <c r="D3745" s="35"/>
      <c r="E3745" s="36"/>
      <c r="F3745" s="53" t="s">
        <v>514</v>
      </c>
      <c r="G3745" s="53" t="str">
        <f t="shared" si="63"/>
        <v/>
      </c>
      <c r="H3745" s="72"/>
      <c r="I3745" s="73"/>
      <c r="J3745" s="148">
        <v>0</v>
      </c>
      <c r="K3745" s="222">
        <v>0</v>
      </c>
    </row>
    <row r="3746" spans="1:11" ht="25.5" hidden="1" x14ac:dyDescent="0.25">
      <c r="A3746" s="207"/>
      <c r="B3746" s="205"/>
      <c r="C3746" s="47" t="s">
        <v>1104</v>
      </c>
      <c r="D3746" s="35"/>
      <c r="E3746" s="36"/>
      <c r="F3746" s="53" t="s">
        <v>514</v>
      </c>
      <c r="G3746" s="53" t="str">
        <f t="shared" si="63"/>
        <v/>
      </c>
      <c r="H3746" s="72"/>
      <c r="I3746" s="73"/>
      <c r="J3746" s="148">
        <v>0</v>
      </c>
      <c r="K3746" s="222">
        <v>0</v>
      </c>
    </row>
    <row r="3747" spans="1:11" hidden="1" x14ac:dyDescent="0.25">
      <c r="A3747" s="207"/>
      <c r="B3747" s="205"/>
      <c r="C3747" s="47" t="s">
        <v>1105</v>
      </c>
      <c r="D3747" s="35"/>
      <c r="E3747" s="36"/>
      <c r="F3747" s="53" t="s">
        <v>514</v>
      </c>
      <c r="G3747" s="53" t="str">
        <f t="shared" si="63"/>
        <v/>
      </c>
      <c r="H3747" s="72"/>
      <c r="I3747" s="73"/>
      <c r="J3747" s="148">
        <v>0</v>
      </c>
      <c r="K3747" s="222">
        <v>0</v>
      </c>
    </row>
    <row r="3748" spans="1:11" ht="15.75" hidden="1" thickBot="1" x14ac:dyDescent="0.3">
      <c r="A3748" s="208"/>
      <c r="B3748" s="206"/>
      <c r="C3748" s="35"/>
      <c r="D3748" s="35"/>
      <c r="E3748" s="36"/>
      <c r="F3748" s="53" t="s">
        <v>514</v>
      </c>
      <c r="G3748" s="53" t="str">
        <f t="shared" si="63"/>
        <v/>
      </c>
      <c r="H3748" s="72"/>
      <c r="I3748" s="73"/>
      <c r="J3748" s="148">
        <v>0</v>
      </c>
      <c r="K3748" s="222">
        <v>0</v>
      </c>
    </row>
    <row r="3749" spans="1:11" ht="15.75" hidden="1" thickBot="1" x14ac:dyDescent="0.3">
      <c r="A3749" s="202" t="s">
        <v>1106</v>
      </c>
      <c r="B3749" s="204" t="str">
        <f>INDEX(Orçamentária!A:B,MATCH(Composições!A3749,Orçamentária!A:A,0),2)</f>
        <v>Piso vinílico semiflexível</v>
      </c>
      <c r="C3749" s="40"/>
      <c r="D3749" s="25" t="str">
        <f>TRIM(INDEX(Orçamentária!C:C,MATCH(Composições!A3749,Orçamentária!A:A,0),1))</f>
        <v>m2</v>
      </c>
      <c r="E3749" s="26"/>
      <c r="F3749" s="48" t="s">
        <v>514</v>
      </c>
      <c r="G3749" s="27" t="str">
        <f t="shared" si="63"/>
        <v/>
      </c>
      <c r="H3749" s="28"/>
      <c r="I3749" s="29"/>
      <c r="J3749" s="148">
        <v>300</v>
      </c>
      <c r="K3749" s="222" t="s">
        <v>8074</v>
      </c>
    </row>
    <row r="3750" spans="1:11" hidden="1" x14ac:dyDescent="0.25">
      <c r="A3750" s="203"/>
      <c r="B3750" s="205"/>
      <c r="C3750" s="31"/>
      <c r="D3750" s="31"/>
      <c r="E3750" s="32"/>
      <c r="F3750" s="53" t="s">
        <v>514</v>
      </c>
      <c r="G3750" s="53" t="str">
        <f t="shared" si="63"/>
        <v/>
      </c>
      <c r="H3750" s="72"/>
      <c r="I3750" s="73"/>
      <c r="J3750" s="148">
        <v>300</v>
      </c>
      <c r="K3750" s="222" t="s">
        <v>8074</v>
      </c>
    </row>
    <row r="3751" spans="1:11" hidden="1" x14ac:dyDescent="0.25">
      <c r="A3751" s="203"/>
      <c r="B3751" s="205"/>
      <c r="C3751" s="35" t="s">
        <v>6597</v>
      </c>
      <c r="D3751" s="35" t="s">
        <v>891</v>
      </c>
      <c r="E3751" s="36">
        <v>9.5000000000000001E-2</v>
      </c>
      <c r="F3751" s="53">
        <v>45.637999999999998</v>
      </c>
      <c r="G3751" s="53">
        <f t="shared" si="63"/>
        <v>4.33561</v>
      </c>
      <c r="H3751" s="38">
        <f>SUM(G3751:G3754)</f>
        <v>112.3913175</v>
      </c>
      <c r="I3751" s="39"/>
      <c r="J3751" s="148">
        <v>300</v>
      </c>
      <c r="K3751" s="222" t="s">
        <v>8074</v>
      </c>
    </row>
    <row r="3752" spans="1:11" ht="25.5" hidden="1" x14ac:dyDescent="0.25">
      <c r="A3752" s="203"/>
      <c r="B3752" s="205"/>
      <c r="C3752" s="35" t="s">
        <v>1107</v>
      </c>
      <c r="D3752" s="35" t="s">
        <v>982</v>
      </c>
      <c r="E3752" s="36">
        <v>1.1100000000000001</v>
      </c>
      <c r="F3752" s="53">
        <v>92.102499999999992</v>
      </c>
      <c r="G3752" s="53">
        <f t="shared" si="63"/>
        <v>102.23377499999999</v>
      </c>
      <c r="H3752" s="72"/>
      <c r="I3752" s="73"/>
      <c r="J3752" s="148">
        <v>300</v>
      </c>
      <c r="K3752" s="222" t="s">
        <v>8074</v>
      </c>
    </row>
    <row r="3753" spans="1:11" hidden="1" x14ac:dyDescent="0.25">
      <c r="A3753" s="203"/>
      <c r="B3753" s="205"/>
      <c r="C3753" s="35" t="s">
        <v>703</v>
      </c>
      <c r="D3753" s="35" t="s">
        <v>695</v>
      </c>
      <c r="E3753" s="36">
        <v>0.17100000000000001</v>
      </c>
      <c r="F3753" s="53">
        <v>24.889999999999997</v>
      </c>
      <c r="G3753" s="53">
        <f t="shared" si="63"/>
        <v>4.2561900000000001</v>
      </c>
      <c r="H3753" s="72"/>
      <c r="I3753" s="73"/>
      <c r="J3753" s="148">
        <v>300</v>
      </c>
      <c r="K3753" s="222" t="s">
        <v>8074</v>
      </c>
    </row>
    <row r="3754" spans="1:11" hidden="1" x14ac:dyDescent="0.25">
      <c r="A3754" s="203"/>
      <c r="B3754" s="205"/>
      <c r="C3754" s="35" t="s">
        <v>696</v>
      </c>
      <c r="D3754" s="35" t="s">
        <v>695</v>
      </c>
      <c r="E3754" s="36">
        <v>8.5000000000000006E-2</v>
      </c>
      <c r="F3754" s="53">
        <v>18.420500000000001</v>
      </c>
      <c r="G3754" s="53">
        <f t="shared" si="63"/>
        <v>1.5657425000000003</v>
      </c>
      <c r="H3754" s="72"/>
      <c r="I3754" s="73"/>
      <c r="J3754" s="148">
        <v>300</v>
      </c>
      <c r="K3754" s="222" t="s">
        <v>8074</v>
      </c>
    </row>
    <row r="3755" spans="1:11" hidden="1" x14ac:dyDescent="0.25">
      <c r="A3755" s="203"/>
      <c r="B3755" s="205"/>
      <c r="C3755" s="35"/>
      <c r="D3755" s="35"/>
      <c r="E3755" s="36"/>
      <c r="F3755" s="53" t="s">
        <v>514</v>
      </c>
      <c r="G3755" s="53" t="str">
        <f t="shared" si="63"/>
        <v/>
      </c>
      <c r="H3755" s="72"/>
      <c r="I3755" s="73"/>
      <c r="J3755" s="148">
        <v>300</v>
      </c>
      <c r="K3755" s="222" t="s">
        <v>8074</v>
      </c>
    </row>
    <row r="3756" spans="1:11" ht="15.75" hidden="1" thickBot="1" x14ac:dyDescent="0.3">
      <c r="A3756" s="202" t="s">
        <v>1108</v>
      </c>
      <c r="B3756" s="204" t="str">
        <f>INDEX(Orçamentária!A:B,MATCH(Composições!A3756,Orçamentária!A:A,0),2)</f>
        <v>Locação de Container - Sanitário</v>
      </c>
      <c r="C3756" s="40"/>
      <c r="D3756" s="25" t="str">
        <f>TRIM(INDEX(Orçamentária!C:C,MATCH(Composições!A3756,Orçamentária!A:A,0),1))</f>
        <v>mês</v>
      </c>
      <c r="E3756" s="26"/>
      <c r="F3756" s="48" t="s">
        <v>514</v>
      </c>
      <c r="G3756" s="27" t="str">
        <f t="shared" ref="G3756:G3819" si="64">IF(ISNUMBER(F3756),E3756*F3756,"")</f>
        <v/>
      </c>
      <c r="H3756" s="28"/>
      <c r="I3756" s="29"/>
      <c r="J3756" s="148">
        <v>0</v>
      </c>
      <c r="K3756" s="222">
        <v>0</v>
      </c>
    </row>
    <row r="3757" spans="1:11" hidden="1" x14ac:dyDescent="0.25">
      <c r="A3757" s="207"/>
      <c r="B3757" s="205"/>
      <c r="C3757" s="31"/>
      <c r="D3757" s="31"/>
      <c r="E3757" s="32"/>
      <c r="F3757" s="53" t="s">
        <v>514</v>
      </c>
      <c r="G3757" s="53" t="str">
        <f t="shared" si="64"/>
        <v/>
      </c>
      <c r="H3757" s="72"/>
      <c r="I3757" s="73"/>
      <c r="J3757" s="148">
        <v>0</v>
      </c>
      <c r="K3757" s="222">
        <v>0</v>
      </c>
    </row>
    <row r="3758" spans="1:11" ht="38.25" hidden="1" x14ac:dyDescent="0.25">
      <c r="A3758" s="207"/>
      <c r="B3758" s="205"/>
      <c r="C3758" s="35" t="s">
        <v>7760</v>
      </c>
      <c r="D3758" s="49" t="s">
        <v>126</v>
      </c>
      <c r="E3758" s="36">
        <v>1</v>
      </c>
      <c r="F3758" s="53">
        <v>1276.5625</v>
      </c>
      <c r="G3758" s="53">
        <f t="shared" si="64"/>
        <v>1276.5625</v>
      </c>
      <c r="H3758" s="38">
        <f>SUM(G3758:G3758)</f>
        <v>1276.5625</v>
      </c>
      <c r="I3758" s="39"/>
      <c r="J3758" s="148">
        <v>0</v>
      </c>
      <c r="K3758" s="222">
        <v>0</v>
      </c>
    </row>
    <row r="3759" spans="1:11" ht="15.75" hidden="1" thickBot="1" x14ac:dyDescent="0.3">
      <c r="A3759" s="208"/>
      <c r="B3759" s="206"/>
      <c r="C3759" s="35"/>
      <c r="D3759" s="35"/>
      <c r="E3759" s="36"/>
      <c r="F3759" s="53" t="s">
        <v>514</v>
      </c>
      <c r="G3759" s="53" t="str">
        <f t="shared" si="64"/>
        <v/>
      </c>
      <c r="H3759" s="72"/>
      <c r="I3759" s="73"/>
      <c r="J3759" s="148">
        <v>0</v>
      </c>
      <c r="K3759" s="222">
        <v>0</v>
      </c>
    </row>
    <row r="3760" spans="1:11" ht="15.75" hidden="1" thickBot="1" x14ac:dyDescent="0.3">
      <c r="A3760" s="202" t="s">
        <v>1109</v>
      </c>
      <c r="B3760" s="204" t="str">
        <f>INDEX(Orçamentária!A:B,MATCH(Composições!A3760,Orçamentária!A:A,0),2)</f>
        <v>Locação de Container - Almoxarifado</v>
      </c>
      <c r="C3760" s="40"/>
      <c r="D3760" s="25" t="str">
        <f>TRIM(INDEX(Orçamentária!C:C,MATCH(Composições!A3760,Orçamentária!A:A,0),1))</f>
        <v>mês</v>
      </c>
      <c r="E3760" s="26"/>
      <c r="F3760" s="48" t="s">
        <v>514</v>
      </c>
      <c r="G3760" s="27" t="str">
        <f t="shared" si="64"/>
        <v/>
      </c>
      <c r="H3760" s="28"/>
      <c r="I3760" s="29"/>
      <c r="J3760" s="148">
        <v>0</v>
      </c>
      <c r="K3760" s="222">
        <v>0</v>
      </c>
    </row>
    <row r="3761" spans="1:11" hidden="1" x14ac:dyDescent="0.25">
      <c r="A3761" s="207"/>
      <c r="B3761" s="205"/>
      <c r="C3761" s="31"/>
      <c r="D3761" s="31"/>
      <c r="E3761" s="32"/>
      <c r="F3761" s="53" t="s">
        <v>514</v>
      </c>
      <c r="G3761" s="53" t="str">
        <f t="shared" si="64"/>
        <v/>
      </c>
      <c r="H3761" s="72"/>
      <c r="I3761" s="73"/>
      <c r="J3761" s="148">
        <v>0</v>
      </c>
      <c r="K3761" s="222">
        <v>0</v>
      </c>
    </row>
    <row r="3762" spans="1:11" ht="38.25" hidden="1" x14ac:dyDescent="0.25">
      <c r="A3762" s="207"/>
      <c r="B3762" s="205"/>
      <c r="C3762" s="35" t="s">
        <v>7759</v>
      </c>
      <c r="D3762" s="49" t="s">
        <v>126</v>
      </c>
      <c r="E3762" s="36">
        <v>1</v>
      </c>
      <c r="F3762" s="53">
        <v>797.84799999999996</v>
      </c>
      <c r="G3762" s="53">
        <f t="shared" si="64"/>
        <v>797.84799999999996</v>
      </c>
      <c r="H3762" s="38">
        <f>SUM(G3762:G3762)</f>
        <v>797.84799999999996</v>
      </c>
      <c r="I3762" s="39"/>
      <c r="J3762" s="148">
        <v>0</v>
      </c>
      <c r="K3762" s="222">
        <v>0</v>
      </c>
    </row>
    <row r="3763" spans="1:11" ht="15.75" hidden="1" thickBot="1" x14ac:dyDescent="0.3">
      <c r="A3763" s="208"/>
      <c r="B3763" s="206"/>
      <c r="C3763" s="35"/>
      <c r="D3763" s="35"/>
      <c r="E3763" s="36"/>
      <c r="F3763" s="53" t="s">
        <v>514</v>
      </c>
      <c r="G3763" s="53" t="str">
        <f t="shared" si="64"/>
        <v/>
      </c>
      <c r="H3763" s="72"/>
      <c r="I3763" s="73"/>
      <c r="J3763" s="148">
        <v>0</v>
      </c>
      <c r="K3763" s="222">
        <v>0</v>
      </c>
    </row>
    <row r="3764" spans="1:11" ht="15.75" hidden="1" thickBot="1" x14ac:dyDescent="0.3">
      <c r="A3764" s="202" t="s">
        <v>1110</v>
      </c>
      <c r="B3764" s="204" t="str">
        <f>INDEX(Orçamentária!A:B,MATCH(Composições!A3764,Orçamentária!A:A,0),2)</f>
        <v>Placa de Obra</v>
      </c>
      <c r="C3764" s="40"/>
      <c r="D3764" s="25" t="str">
        <f>TRIM(INDEX(Orçamentária!C:C,MATCH(Composições!A3764,Orçamentária!A:A,0),1))</f>
        <v>m2</v>
      </c>
      <c r="E3764" s="26"/>
      <c r="F3764" s="48" t="s">
        <v>514</v>
      </c>
      <c r="G3764" s="27" t="str">
        <f t="shared" si="64"/>
        <v/>
      </c>
      <c r="H3764" s="28"/>
      <c r="I3764" s="29"/>
      <c r="J3764" s="148">
        <v>0</v>
      </c>
      <c r="K3764" s="222">
        <v>0</v>
      </c>
    </row>
    <row r="3765" spans="1:11" hidden="1" x14ac:dyDescent="0.25">
      <c r="A3765" s="203"/>
      <c r="B3765" s="205"/>
      <c r="C3765" s="31"/>
      <c r="D3765" s="31"/>
      <c r="E3765" s="32"/>
      <c r="F3765" s="53" t="s">
        <v>514</v>
      </c>
      <c r="G3765" s="53" t="str">
        <f t="shared" si="64"/>
        <v/>
      </c>
      <c r="H3765" s="72"/>
      <c r="I3765" s="73"/>
      <c r="J3765" s="148">
        <v>0</v>
      </c>
      <c r="K3765" s="222">
        <v>0</v>
      </c>
    </row>
    <row r="3766" spans="1:11" ht="38.25" hidden="1" x14ac:dyDescent="0.25">
      <c r="A3766" s="203"/>
      <c r="B3766" s="205"/>
      <c r="C3766" s="35" t="s">
        <v>6779</v>
      </c>
      <c r="D3766" s="35" t="s">
        <v>982</v>
      </c>
      <c r="E3766" s="36">
        <v>1</v>
      </c>
      <c r="F3766" s="53">
        <v>422.75</v>
      </c>
      <c r="G3766" s="53">
        <f t="shared" si="64"/>
        <v>422.75</v>
      </c>
      <c r="H3766" s="38">
        <f>SUM(G3766:G3767)</f>
        <v>422.75</v>
      </c>
      <c r="I3766" s="39"/>
      <c r="J3766" s="148">
        <v>0</v>
      </c>
      <c r="K3766" s="222">
        <v>0</v>
      </c>
    </row>
    <row r="3767" spans="1:11" ht="15.75" hidden="1" thickBot="1" x14ac:dyDescent="0.3">
      <c r="A3767" s="209"/>
      <c r="B3767" s="206"/>
      <c r="C3767" s="54"/>
      <c r="D3767" s="54"/>
      <c r="E3767" s="65"/>
      <c r="F3767" s="75" t="s">
        <v>514</v>
      </c>
      <c r="G3767" s="75" t="str">
        <f t="shared" si="64"/>
        <v/>
      </c>
      <c r="H3767" s="76"/>
      <c r="I3767" s="73"/>
      <c r="J3767" s="148">
        <v>0</v>
      </c>
      <c r="K3767" s="222">
        <v>0</v>
      </c>
    </row>
    <row r="3768" spans="1:11" ht="15.75" hidden="1" thickBot="1" x14ac:dyDescent="0.3">
      <c r="A3768" s="202" t="s">
        <v>2896</v>
      </c>
      <c r="B3768" s="204" t="str">
        <f>INDEX(Orçamentária!A:B,MATCH(Composições!A3768,Orçamentária!A:A,0),2)</f>
        <v>Supervisor(a) de Obras e Manutenção – Apoio a Projetos de Obras – Arquitetura, civil e hidrossanitária</v>
      </c>
      <c r="C3768" s="40"/>
      <c r="D3768" s="25" t="str">
        <f>TRIM(INDEX(Orçamentária!C:C,MATCH(Composições!A3768,Orçamentária!A:A,0),1))</f>
        <v>Profissional</v>
      </c>
      <c r="E3768" s="26"/>
      <c r="F3768" s="48" t="s">
        <v>514</v>
      </c>
      <c r="G3768" s="27" t="str">
        <f t="shared" si="64"/>
        <v/>
      </c>
      <c r="H3768" s="28"/>
      <c r="I3768" s="29"/>
      <c r="J3768" s="148">
        <v>0</v>
      </c>
      <c r="K3768" s="222">
        <v>0</v>
      </c>
    </row>
    <row r="3769" spans="1:11" hidden="1" x14ac:dyDescent="0.25">
      <c r="A3769" s="203"/>
      <c r="B3769" s="205"/>
      <c r="C3769" s="31"/>
      <c r="D3769" s="31"/>
      <c r="E3769" s="32"/>
      <c r="F3769" s="53" t="s">
        <v>514</v>
      </c>
      <c r="G3769" s="53" t="str">
        <f t="shared" si="64"/>
        <v/>
      </c>
      <c r="H3769" s="72"/>
      <c r="I3769" s="73"/>
      <c r="J3769" s="148">
        <v>0</v>
      </c>
      <c r="K3769" s="222">
        <v>0</v>
      </c>
    </row>
    <row r="3770" spans="1:11" hidden="1" x14ac:dyDescent="0.25">
      <c r="A3770" s="203"/>
      <c r="B3770" s="205"/>
      <c r="C3770" s="35" t="s">
        <v>1203</v>
      </c>
      <c r="D3770" s="35" t="s">
        <v>126</v>
      </c>
      <c r="E3770" s="36">
        <f>ROUND(1/(1+70.03%),4)</f>
        <v>0.58809999999999996</v>
      </c>
      <c r="F3770" s="53">
        <v>2852.1849999999999</v>
      </c>
      <c r="G3770" s="53">
        <f t="shared" si="64"/>
        <v>1677.3699984999998</v>
      </c>
      <c r="H3770" s="38">
        <f>SUM(G3770:G3773)</f>
        <v>1677.3699984999998</v>
      </c>
      <c r="I3770" s="39"/>
      <c r="J3770" s="148">
        <v>0</v>
      </c>
      <c r="K3770" s="222">
        <v>0</v>
      </c>
    </row>
    <row r="3771" spans="1:11" hidden="1" x14ac:dyDescent="0.25">
      <c r="A3771" s="203"/>
      <c r="B3771" s="205"/>
      <c r="C3771" s="35"/>
      <c r="D3771" s="35"/>
      <c r="E3771" s="36"/>
      <c r="F3771" s="53" t="s">
        <v>514</v>
      </c>
      <c r="G3771" s="53" t="str">
        <f t="shared" si="64"/>
        <v/>
      </c>
      <c r="H3771" s="72"/>
      <c r="I3771" s="73"/>
      <c r="J3771" s="148">
        <v>0</v>
      </c>
      <c r="K3771" s="222">
        <v>0</v>
      </c>
    </row>
    <row r="3772" spans="1:11" ht="25.5" hidden="1" x14ac:dyDescent="0.25">
      <c r="A3772" s="203"/>
      <c r="B3772" s="205"/>
      <c r="C3772" s="47" t="s">
        <v>773</v>
      </c>
      <c r="D3772" s="35"/>
      <c r="E3772" s="36"/>
      <c r="F3772" s="53" t="s">
        <v>514</v>
      </c>
      <c r="G3772" s="53" t="str">
        <f t="shared" si="64"/>
        <v/>
      </c>
      <c r="H3772" s="72"/>
      <c r="I3772" s="73"/>
      <c r="J3772" s="148">
        <v>0</v>
      </c>
      <c r="K3772" s="222">
        <v>0</v>
      </c>
    </row>
    <row r="3773" spans="1:11" ht="15.75" hidden="1" thickBot="1" x14ac:dyDescent="0.3">
      <c r="A3773" s="209"/>
      <c r="B3773" s="206"/>
      <c r="C3773" s="54"/>
      <c r="D3773" s="54"/>
      <c r="E3773" s="65"/>
      <c r="F3773" s="75" t="s">
        <v>514</v>
      </c>
      <c r="G3773" s="75" t="str">
        <f t="shared" si="64"/>
        <v/>
      </c>
      <c r="H3773" s="76"/>
      <c r="I3773" s="73"/>
      <c r="J3773" s="148">
        <v>0</v>
      </c>
      <c r="K3773" s="222">
        <v>0</v>
      </c>
    </row>
    <row r="3774" spans="1:11" ht="15.75" hidden="1" thickBot="1" x14ac:dyDescent="0.3">
      <c r="A3774" s="202" t="s">
        <v>2898</v>
      </c>
      <c r="B3774" s="204" t="str">
        <f>INDEX(Orçamentária!A:B,MATCH(Composições!A3774,Orçamentária!A:A,0),2)</f>
        <v>Supervisor de Obras e Manutenção - Apoio a Projetos e Obras - Eletromecânico</v>
      </c>
      <c r="C3774" s="40"/>
      <c r="D3774" s="25" t="str">
        <f>TRIM(INDEX(Orçamentária!C:C,MATCH(Composições!A3774,Orçamentária!A:A,0),1))</f>
        <v>Profissional</v>
      </c>
      <c r="E3774" s="26"/>
      <c r="F3774" s="48" t="s">
        <v>514</v>
      </c>
      <c r="G3774" s="27" t="str">
        <f t="shared" si="64"/>
        <v/>
      </c>
      <c r="H3774" s="28"/>
      <c r="I3774" s="29"/>
      <c r="J3774" s="148">
        <v>0</v>
      </c>
      <c r="K3774" s="222">
        <v>0</v>
      </c>
    </row>
    <row r="3775" spans="1:11" hidden="1" x14ac:dyDescent="0.25">
      <c r="A3775" s="203"/>
      <c r="B3775" s="205"/>
      <c r="C3775" s="31"/>
      <c r="D3775" s="31"/>
      <c r="E3775" s="32"/>
      <c r="F3775" s="53" t="s">
        <v>514</v>
      </c>
      <c r="G3775" s="53" t="str">
        <f t="shared" si="64"/>
        <v/>
      </c>
      <c r="H3775" s="72"/>
      <c r="I3775" s="73"/>
      <c r="J3775" s="148">
        <v>0</v>
      </c>
      <c r="K3775" s="222">
        <v>0</v>
      </c>
    </row>
    <row r="3776" spans="1:11" hidden="1" x14ac:dyDescent="0.25">
      <c r="A3776" s="203"/>
      <c r="B3776" s="205"/>
      <c r="C3776" s="35" t="s">
        <v>1203</v>
      </c>
      <c r="D3776" s="35" t="s">
        <v>126</v>
      </c>
      <c r="E3776" s="36">
        <f t="shared" ref="E3776" si="65">ROUND(1/(1+70.03%),4)</f>
        <v>0.58809999999999996</v>
      </c>
      <c r="F3776" s="53">
        <v>2852.1849999999999</v>
      </c>
      <c r="G3776" s="53">
        <f t="shared" si="64"/>
        <v>1677.3699984999998</v>
      </c>
      <c r="H3776" s="38">
        <f>SUM(G3776:G3779)</f>
        <v>1677.3699984999998</v>
      </c>
      <c r="I3776" s="39"/>
      <c r="J3776" s="148">
        <v>0</v>
      </c>
      <c r="K3776" s="222">
        <v>0</v>
      </c>
    </row>
    <row r="3777" spans="1:11" hidden="1" x14ac:dyDescent="0.25">
      <c r="A3777" s="203"/>
      <c r="B3777" s="205"/>
      <c r="C3777" s="35"/>
      <c r="D3777" s="35"/>
      <c r="E3777" s="36"/>
      <c r="F3777" s="53" t="s">
        <v>514</v>
      </c>
      <c r="G3777" s="53" t="str">
        <f t="shared" si="64"/>
        <v/>
      </c>
      <c r="H3777" s="72"/>
      <c r="I3777" s="73"/>
      <c r="J3777" s="148">
        <v>0</v>
      </c>
      <c r="K3777" s="222">
        <v>0</v>
      </c>
    </row>
    <row r="3778" spans="1:11" ht="25.5" hidden="1" x14ac:dyDescent="0.25">
      <c r="A3778" s="203"/>
      <c r="B3778" s="205"/>
      <c r="C3778" s="47" t="s">
        <v>773</v>
      </c>
      <c r="D3778" s="35"/>
      <c r="E3778" s="36"/>
      <c r="F3778" s="53" t="s">
        <v>514</v>
      </c>
      <c r="G3778" s="53" t="str">
        <f t="shared" si="64"/>
        <v/>
      </c>
      <c r="H3778" s="72"/>
      <c r="I3778" s="73"/>
      <c r="J3778" s="148">
        <v>0</v>
      </c>
      <c r="K3778" s="222">
        <v>0</v>
      </c>
    </row>
    <row r="3779" spans="1:11" ht="15.75" hidden="1" thickBot="1" x14ac:dyDescent="0.3">
      <c r="A3779" s="209"/>
      <c r="B3779" s="206"/>
      <c r="C3779" s="54"/>
      <c r="D3779" s="54"/>
      <c r="E3779" s="65"/>
      <c r="F3779" s="75" t="s">
        <v>514</v>
      </c>
      <c r="G3779" s="75" t="str">
        <f t="shared" si="64"/>
        <v/>
      </c>
      <c r="H3779" s="76"/>
      <c r="I3779" s="73"/>
      <c r="J3779" s="148">
        <v>0</v>
      </c>
      <c r="K3779" s="222">
        <v>0</v>
      </c>
    </row>
    <row r="3780" spans="1:11" ht="15.75" hidden="1" thickBot="1" x14ac:dyDescent="0.3">
      <c r="A3780" s="202" t="s">
        <v>2900</v>
      </c>
      <c r="B3780" s="204" t="str">
        <f>INDEX(Orçamentária!A:B,MATCH(Composições!A3780,Orçamentária!A:A,0),2)</f>
        <v>Supervisor de Obras e Manutenção – Apoio a projetos e obras - Orçamentos</v>
      </c>
      <c r="C3780" s="40"/>
      <c r="D3780" s="25" t="str">
        <f>TRIM(INDEX(Orçamentária!C:C,MATCH(Composições!A3780,Orçamentária!A:A,0),1))</f>
        <v>Profissional</v>
      </c>
      <c r="E3780" s="26"/>
      <c r="F3780" s="48" t="s">
        <v>514</v>
      </c>
      <c r="G3780" s="27" t="str">
        <f t="shared" si="64"/>
        <v/>
      </c>
      <c r="H3780" s="28"/>
      <c r="I3780" s="29"/>
      <c r="J3780" s="148">
        <v>0</v>
      </c>
      <c r="K3780" s="222">
        <v>0</v>
      </c>
    </row>
    <row r="3781" spans="1:11" hidden="1" x14ac:dyDescent="0.25">
      <c r="A3781" s="203"/>
      <c r="B3781" s="205"/>
      <c r="C3781" s="31"/>
      <c r="D3781" s="31"/>
      <c r="E3781" s="32"/>
      <c r="F3781" s="53" t="s">
        <v>514</v>
      </c>
      <c r="G3781" s="53" t="str">
        <f t="shared" si="64"/>
        <v/>
      </c>
      <c r="H3781" s="72"/>
      <c r="I3781" s="73"/>
      <c r="J3781" s="148">
        <v>0</v>
      </c>
      <c r="K3781" s="222">
        <v>0</v>
      </c>
    </row>
    <row r="3782" spans="1:11" hidden="1" x14ac:dyDescent="0.25">
      <c r="A3782" s="203"/>
      <c r="B3782" s="205"/>
      <c r="C3782" s="35" t="s">
        <v>1203</v>
      </c>
      <c r="D3782" s="35" t="s">
        <v>126</v>
      </c>
      <c r="E3782" s="36">
        <f t="shared" ref="E3782" si="66">ROUND(1/(1+70.03%),4)</f>
        <v>0.58809999999999996</v>
      </c>
      <c r="F3782" s="53">
        <v>2852.1849999999999</v>
      </c>
      <c r="G3782" s="53">
        <f t="shared" si="64"/>
        <v>1677.3699984999998</v>
      </c>
      <c r="H3782" s="38">
        <f>SUM(G3782:G3785)</f>
        <v>1677.3699984999998</v>
      </c>
      <c r="I3782" s="39"/>
      <c r="J3782" s="148">
        <v>0</v>
      </c>
      <c r="K3782" s="222">
        <v>0</v>
      </c>
    </row>
    <row r="3783" spans="1:11" hidden="1" x14ac:dyDescent="0.25">
      <c r="A3783" s="203"/>
      <c r="B3783" s="205"/>
      <c r="C3783" s="35"/>
      <c r="D3783" s="35"/>
      <c r="E3783" s="36"/>
      <c r="F3783" s="53" t="s">
        <v>514</v>
      </c>
      <c r="G3783" s="53" t="str">
        <f t="shared" si="64"/>
        <v/>
      </c>
      <c r="H3783" s="72"/>
      <c r="I3783" s="73"/>
      <c r="J3783" s="148">
        <v>0</v>
      </c>
      <c r="K3783" s="222">
        <v>0</v>
      </c>
    </row>
    <row r="3784" spans="1:11" ht="25.5" hidden="1" x14ac:dyDescent="0.25">
      <c r="A3784" s="203"/>
      <c r="B3784" s="205"/>
      <c r="C3784" s="47" t="s">
        <v>773</v>
      </c>
      <c r="D3784" s="35"/>
      <c r="E3784" s="36"/>
      <c r="F3784" s="53" t="s">
        <v>514</v>
      </c>
      <c r="G3784" s="53" t="str">
        <f t="shared" si="64"/>
        <v/>
      </c>
      <c r="H3784" s="72"/>
      <c r="I3784" s="73"/>
      <c r="J3784" s="148">
        <v>0</v>
      </c>
      <c r="K3784" s="222">
        <v>0</v>
      </c>
    </row>
    <row r="3785" spans="1:11" ht="15.75" hidden="1" thickBot="1" x14ac:dyDescent="0.3">
      <c r="A3785" s="209"/>
      <c r="B3785" s="206"/>
      <c r="C3785" s="54"/>
      <c r="D3785" s="54"/>
      <c r="E3785" s="65"/>
      <c r="F3785" s="75" t="s">
        <v>514</v>
      </c>
      <c r="G3785" s="75" t="str">
        <f t="shared" si="64"/>
        <v/>
      </c>
      <c r="H3785" s="76"/>
      <c r="I3785" s="73"/>
      <c r="J3785" s="148">
        <v>0</v>
      </c>
      <c r="K3785" s="222">
        <v>0</v>
      </c>
    </row>
    <row r="3786" spans="1:11" ht="15.75" hidden="1" thickBot="1" x14ac:dyDescent="0.3">
      <c r="A3786" s="202" t="s">
        <v>2902</v>
      </c>
      <c r="B3786" s="204" t="str">
        <f>INDEX(Orçamentária!A:B,MATCH(Composições!A3786,Orçamentária!A:A,0),2)</f>
        <v>Supervisor de Obras e Manutenção – Apoio de campo – Sistemas de climatização</v>
      </c>
      <c r="C3786" s="40"/>
      <c r="D3786" s="25" t="str">
        <f>TRIM(INDEX(Orçamentária!C:C,MATCH(Composições!A3786,Orçamentária!A:A,0),1))</f>
        <v>Profissional</v>
      </c>
      <c r="E3786" s="26"/>
      <c r="F3786" s="48" t="s">
        <v>514</v>
      </c>
      <c r="G3786" s="27" t="str">
        <f t="shared" si="64"/>
        <v/>
      </c>
      <c r="H3786" s="28"/>
      <c r="I3786" s="29"/>
      <c r="J3786" s="148">
        <v>0</v>
      </c>
      <c r="K3786" s="222">
        <v>0</v>
      </c>
    </row>
    <row r="3787" spans="1:11" hidden="1" x14ac:dyDescent="0.25">
      <c r="A3787" s="203"/>
      <c r="B3787" s="205"/>
      <c r="C3787" s="31"/>
      <c r="D3787" s="31"/>
      <c r="E3787" s="32"/>
      <c r="F3787" s="53" t="s">
        <v>514</v>
      </c>
      <c r="G3787" s="53" t="str">
        <f t="shared" si="64"/>
        <v/>
      </c>
      <c r="H3787" s="72"/>
      <c r="I3787" s="73"/>
      <c r="J3787" s="148">
        <v>0</v>
      </c>
      <c r="K3787" s="222">
        <v>0</v>
      </c>
    </row>
    <row r="3788" spans="1:11" hidden="1" x14ac:dyDescent="0.25">
      <c r="A3788" s="203"/>
      <c r="B3788" s="205"/>
      <c r="C3788" s="35" t="s">
        <v>1203</v>
      </c>
      <c r="D3788" s="35" t="s">
        <v>126</v>
      </c>
      <c r="E3788" s="36">
        <f t="shared" ref="E3788" si="67">ROUND(1/(1+70.03%),4)</f>
        <v>0.58809999999999996</v>
      </c>
      <c r="F3788" s="53">
        <v>2852.1849999999999</v>
      </c>
      <c r="G3788" s="53">
        <f t="shared" si="64"/>
        <v>1677.3699984999998</v>
      </c>
      <c r="H3788" s="38">
        <f>SUM(G3788:G3791)</f>
        <v>1677.3699984999998</v>
      </c>
      <c r="I3788" s="39"/>
      <c r="J3788" s="148">
        <v>0</v>
      </c>
      <c r="K3788" s="222">
        <v>0</v>
      </c>
    </row>
    <row r="3789" spans="1:11" hidden="1" x14ac:dyDescent="0.25">
      <c r="A3789" s="203"/>
      <c r="B3789" s="205"/>
      <c r="C3789" s="35"/>
      <c r="D3789" s="35"/>
      <c r="E3789" s="36"/>
      <c r="F3789" s="53" t="s">
        <v>514</v>
      </c>
      <c r="G3789" s="53" t="str">
        <f t="shared" si="64"/>
        <v/>
      </c>
      <c r="H3789" s="72"/>
      <c r="I3789" s="73"/>
      <c r="J3789" s="148">
        <v>0</v>
      </c>
      <c r="K3789" s="222">
        <v>0</v>
      </c>
    </row>
    <row r="3790" spans="1:11" ht="25.5" hidden="1" x14ac:dyDescent="0.25">
      <c r="A3790" s="203"/>
      <c r="B3790" s="205"/>
      <c r="C3790" s="47" t="s">
        <v>773</v>
      </c>
      <c r="D3790" s="35"/>
      <c r="E3790" s="36"/>
      <c r="F3790" s="53" t="s">
        <v>514</v>
      </c>
      <c r="G3790" s="53" t="str">
        <f t="shared" si="64"/>
        <v/>
      </c>
      <c r="H3790" s="72"/>
      <c r="I3790" s="73"/>
      <c r="J3790" s="148">
        <v>0</v>
      </c>
      <c r="K3790" s="222">
        <v>0</v>
      </c>
    </row>
    <row r="3791" spans="1:11" ht="15.75" hidden="1" thickBot="1" x14ac:dyDescent="0.3">
      <c r="A3791" s="209"/>
      <c r="B3791" s="206"/>
      <c r="C3791" s="54"/>
      <c r="D3791" s="54"/>
      <c r="E3791" s="65"/>
      <c r="F3791" s="75" t="s">
        <v>514</v>
      </c>
      <c r="G3791" s="75" t="str">
        <f t="shared" si="64"/>
        <v/>
      </c>
      <c r="H3791" s="76"/>
      <c r="I3791" s="73"/>
      <c r="J3791" s="148">
        <v>0</v>
      </c>
      <c r="K3791" s="222">
        <v>0</v>
      </c>
    </row>
    <row r="3792" spans="1:11" ht="15.75" hidden="1" thickBot="1" x14ac:dyDescent="0.3">
      <c r="A3792" s="202" t="s">
        <v>2904</v>
      </c>
      <c r="B3792" s="204" t="str">
        <f>INDEX(Orçamentária!A:B,MATCH(Composições!A3792,Orçamentária!A:A,0),2)</f>
        <v>Supervisor de Obras e Manutenção – Apoio de campo - Elevadores</v>
      </c>
      <c r="C3792" s="40"/>
      <c r="D3792" s="25" t="str">
        <f>TRIM(INDEX(Orçamentária!C:C,MATCH(Composições!A3792,Orçamentária!A:A,0),1))</f>
        <v>Profissional</v>
      </c>
      <c r="E3792" s="26"/>
      <c r="F3792" s="48" t="s">
        <v>514</v>
      </c>
      <c r="G3792" s="27" t="str">
        <f t="shared" si="64"/>
        <v/>
      </c>
      <c r="H3792" s="28"/>
      <c r="I3792" s="29"/>
      <c r="J3792" s="148">
        <v>0</v>
      </c>
      <c r="K3792" s="222">
        <v>0</v>
      </c>
    </row>
    <row r="3793" spans="1:11" hidden="1" x14ac:dyDescent="0.25">
      <c r="A3793" s="203"/>
      <c r="B3793" s="205"/>
      <c r="C3793" s="31"/>
      <c r="D3793" s="31"/>
      <c r="E3793" s="32"/>
      <c r="F3793" s="53" t="s">
        <v>514</v>
      </c>
      <c r="G3793" s="53" t="str">
        <f t="shared" si="64"/>
        <v/>
      </c>
      <c r="H3793" s="72"/>
      <c r="I3793" s="73"/>
      <c r="J3793" s="148">
        <v>0</v>
      </c>
      <c r="K3793" s="222">
        <v>0</v>
      </c>
    </row>
    <row r="3794" spans="1:11" hidden="1" x14ac:dyDescent="0.25">
      <c r="A3794" s="203"/>
      <c r="B3794" s="205"/>
      <c r="C3794" s="35" t="s">
        <v>1203</v>
      </c>
      <c r="D3794" s="35" t="s">
        <v>126</v>
      </c>
      <c r="E3794" s="36">
        <f t="shared" ref="E3794" si="68">ROUND(1/(1+70.03%),4)</f>
        <v>0.58809999999999996</v>
      </c>
      <c r="F3794" s="53">
        <v>2852.1849999999999</v>
      </c>
      <c r="G3794" s="53">
        <f t="shared" si="64"/>
        <v>1677.3699984999998</v>
      </c>
      <c r="H3794" s="38">
        <f>SUM(G3794:G3797)</f>
        <v>1677.3699984999998</v>
      </c>
      <c r="I3794" s="39"/>
      <c r="J3794" s="148">
        <v>0</v>
      </c>
      <c r="K3794" s="222">
        <v>0</v>
      </c>
    </row>
    <row r="3795" spans="1:11" hidden="1" x14ac:dyDescent="0.25">
      <c r="A3795" s="203"/>
      <c r="B3795" s="205"/>
      <c r="C3795" s="35"/>
      <c r="D3795" s="35"/>
      <c r="E3795" s="36"/>
      <c r="F3795" s="53" t="s">
        <v>514</v>
      </c>
      <c r="G3795" s="53" t="str">
        <f t="shared" si="64"/>
        <v/>
      </c>
      <c r="H3795" s="72"/>
      <c r="I3795" s="73"/>
      <c r="J3795" s="148">
        <v>0</v>
      </c>
      <c r="K3795" s="222">
        <v>0</v>
      </c>
    </row>
    <row r="3796" spans="1:11" ht="25.5" hidden="1" x14ac:dyDescent="0.25">
      <c r="A3796" s="203"/>
      <c r="B3796" s="205"/>
      <c r="C3796" s="47" t="s">
        <v>773</v>
      </c>
      <c r="D3796" s="35"/>
      <c r="E3796" s="36"/>
      <c r="F3796" s="53" t="s">
        <v>514</v>
      </c>
      <c r="G3796" s="53" t="str">
        <f t="shared" si="64"/>
        <v/>
      </c>
      <c r="H3796" s="72"/>
      <c r="I3796" s="73"/>
      <c r="J3796" s="148">
        <v>0</v>
      </c>
      <c r="K3796" s="222">
        <v>0</v>
      </c>
    </row>
    <row r="3797" spans="1:11" ht="15.75" hidden="1" thickBot="1" x14ac:dyDescent="0.3">
      <c r="A3797" s="209"/>
      <c r="B3797" s="206"/>
      <c r="C3797" s="54"/>
      <c r="D3797" s="54"/>
      <c r="E3797" s="65"/>
      <c r="F3797" s="75" t="s">
        <v>514</v>
      </c>
      <c r="G3797" s="75" t="str">
        <f t="shared" si="64"/>
        <v/>
      </c>
      <c r="H3797" s="76"/>
      <c r="I3797" s="73"/>
      <c r="J3797" s="148">
        <v>0</v>
      </c>
      <c r="K3797" s="222">
        <v>0</v>
      </c>
    </row>
    <row r="3798" spans="1:11" ht="15.75" hidden="1" thickBot="1" x14ac:dyDescent="0.3">
      <c r="A3798" s="202" t="s">
        <v>2906</v>
      </c>
      <c r="B3798" s="204" t="str">
        <f>INDEX(Orçamentária!A:B,MATCH(Composições!A3798,Orçamentária!A:A,0),2)</f>
        <v>Supervisor de Obras e Manutenção – Apoio de campo - Eletrotécnico</v>
      </c>
      <c r="C3798" s="40"/>
      <c r="D3798" s="25" t="str">
        <f>TRIM(INDEX(Orçamentária!C:C,MATCH(Composições!A3798,Orçamentária!A:A,0),1))</f>
        <v>Profissional</v>
      </c>
      <c r="E3798" s="26"/>
      <c r="F3798" s="48" t="s">
        <v>514</v>
      </c>
      <c r="G3798" s="27" t="str">
        <f t="shared" si="64"/>
        <v/>
      </c>
      <c r="H3798" s="28"/>
      <c r="I3798" s="29"/>
      <c r="J3798" s="148">
        <v>0</v>
      </c>
      <c r="K3798" s="222">
        <v>0</v>
      </c>
    </row>
    <row r="3799" spans="1:11" hidden="1" x14ac:dyDescent="0.25">
      <c r="A3799" s="203"/>
      <c r="B3799" s="205"/>
      <c r="C3799" s="31"/>
      <c r="D3799" s="31"/>
      <c r="E3799" s="32"/>
      <c r="F3799" s="53" t="s">
        <v>514</v>
      </c>
      <c r="G3799" s="53" t="str">
        <f t="shared" si="64"/>
        <v/>
      </c>
      <c r="H3799" s="72"/>
      <c r="I3799" s="73"/>
      <c r="J3799" s="148">
        <v>0</v>
      </c>
      <c r="K3799" s="222">
        <v>0</v>
      </c>
    </row>
    <row r="3800" spans="1:11" hidden="1" x14ac:dyDescent="0.25">
      <c r="A3800" s="203"/>
      <c r="B3800" s="205"/>
      <c r="C3800" s="35" t="s">
        <v>1203</v>
      </c>
      <c r="D3800" s="35" t="s">
        <v>126</v>
      </c>
      <c r="E3800" s="36">
        <f t="shared" ref="E3800" si="69">ROUND(1/(1+70.03%),4)</f>
        <v>0.58809999999999996</v>
      </c>
      <c r="F3800" s="53">
        <v>2852.1849999999999</v>
      </c>
      <c r="G3800" s="53">
        <f t="shared" si="64"/>
        <v>1677.3699984999998</v>
      </c>
      <c r="H3800" s="38">
        <f>SUM(G3800:G3803)</f>
        <v>1677.3699984999998</v>
      </c>
      <c r="I3800" s="39"/>
      <c r="J3800" s="148">
        <v>0</v>
      </c>
      <c r="K3800" s="222">
        <v>0</v>
      </c>
    </row>
    <row r="3801" spans="1:11" hidden="1" x14ac:dyDescent="0.25">
      <c r="A3801" s="203"/>
      <c r="B3801" s="205"/>
      <c r="C3801" s="35"/>
      <c r="D3801" s="35"/>
      <c r="E3801" s="36"/>
      <c r="F3801" s="53" t="s">
        <v>514</v>
      </c>
      <c r="G3801" s="53" t="str">
        <f t="shared" si="64"/>
        <v/>
      </c>
      <c r="H3801" s="72"/>
      <c r="I3801" s="73"/>
      <c r="J3801" s="148">
        <v>0</v>
      </c>
      <c r="K3801" s="222">
        <v>0</v>
      </c>
    </row>
    <row r="3802" spans="1:11" ht="25.5" hidden="1" x14ac:dyDescent="0.25">
      <c r="A3802" s="203"/>
      <c r="B3802" s="205"/>
      <c r="C3802" s="47" t="s">
        <v>773</v>
      </c>
      <c r="D3802" s="35"/>
      <c r="E3802" s="36"/>
      <c r="F3802" s="53" t="s">
        <v>514</v>
      </c>
      <c r="G3802" s="53" t="str">
        <f t="shared" si="64"/>
        <v/>
      </c>
      <c r="H3802" s="72"/>
      <c r="I3802" s="73"/>
      <c r="J3802" s="148">
        <v>0</v>
      </c>
      <c r="K3802" s="222">
        <v>0</v>
      </c>
    </row>
    <row r="3803" spans="1:11" ht="15.75" hidden="1" thickBot="1" x14ac:dyDescent="0.3">
      <c r="A3803" s="209"/>
      <c r="B3803" s="206"/>
      <c r="C3803" s="54"/>
      <c r="D3803" s="54"/>
      <c r="E3803" s="65"/>
      <c r="F3803" s="75" t="s">
        <v>514</v>
      </c>
      <c r="G3803" s="75" t="str">
        <f t="shared" si="64"/>
        <v/>
      </c>
      <c r="H3803" s="76"/>
      <c r="I3803" s="73"/>
      <c r="J3803" s="148">
        <v>0</v>
      </c>
      <c r="K3803" s="222">
        <v>0</v>
      </c>
    </row>
    <row r="3804" spans="1:11" ht="15.75" hidden="1" thickBot="1" x14ac:dyDescent="0.3">
      <c r="A3804" s="202" t="s">
        <v>2908</v>
      </c>
      <c r="B3804" s="204" t="str">
        <f>INDEX(Orçamentária!A:B,MATCH(Composições!A3804,Orçamentária!A:A,0),2)</f>
        <v>Supervisor de Obras e Manutenção – Apoio de Campo - Obras Civis</v>
      </c>
      <c r="C3804" s="40"/>
      <c r="D3804" s="25" t="str">
        <f>TRIM(INDEX(Orçamentária!C:C,MATCH(Composições!A3804,Orçamentária!A:A,0),1))</f>
        <v>Profissional</v>
      </c>
      <c r="E3804" s="26"/>
      <c r="F3804" s="48" t="s">
        <v>514</v>
      </c>
      <c r="G3804" s="27" t="str">
        <f t="shared" si="64"/>
        <v/>
      </c>
      <c r="H3804" s="28"/>
      <c r="I3804" s="29"/>
      <c r="J3804" s="148">
        <v>0</v>
      </c>
      <c r="K3804" s="222">
        <v>0</v>
      </c>
    </row>
    <row r="3805" spans="1:11" hidden="1" x14ac:dyDescent="0.25">
      <c r="A3805" s="203"/>
      <c r="B3805" s="205"/>
      <c r="C3805" s="31"/>
      <c r="D3805" s="31"/>
      <c r="E3805" s="32"/>
      <c r="F3805" s="53" t="s">
        <v>514</v>
      </c>
      <c r="G3805" s="53" t="str">
        <f t="shared" si="64"/>
        <v/>
      </c>
      <c r="H3805" s="72"/>
      <c r="I3805" s="73"/>
      <c r="J3805" s="148">
        <v>0</v>
      </c>
      <c r="K3805" s="222">
        <v>0</v>
      </c>
    </row>
    <row r="3806" spans="1:11" hidden="1" x14ac:dyDescent="0.25">
      <c r="A3806" s="203"/>
      <c r="B3806" s="205"/>
      <c r="C3806" s="35" t="s">
        <v>1203</v>
      </c>
      <c r="D3806" s="35" t="s">
        <v>126</v>
      </c>
      <c r="E3806" s="36">
        <f t="shared" ref="E3806" si="70">ROUND(1/(1+70.03%),4)</f>
        <v>0.58809999999999996</v>
      </c>
      <c r="F3806" s="53">
        <v>2852.1849999999999</v>
      </c>
      <c r="G3806" s="53">
        <f t="shared" si="64"/>
        <v>1677.3699984999998</v>
      </c>
      <c r="H3806" s="38">
        <f>SUM(G3806:G3809)</f>
        <v>1677.3699984999998</v>
      </c>
      <c r="I3806" s="39"/>
      <c r="J3806" s="148">
        <v>0</v>
      </c>
      <c r="K3806" s="222">
        <v>0</v>
      </c>
    </row>
    <row r="3807" spans="1:11" hidden="1" x14ac:dyDescent="0.25">
      <c r="A3807" s="203"/>
      <c r="B3807" s="205"/>
      <c r="C3807" s="35"/>
      <c r="D3807" s="35"/>
      <c r="E3807" s="36"/>
      <c r="F3807" s="53" t="s">
        <v>514</v>
      </c>
      <c r="G3807" s="53" t="str">
        <f t="shared" si="64"/>
        <v/>
      </c>
      <c r="H3807" s="72"/>
      <c r="I3807" s="73"/>
      <c r="J3807" s="148">
        <v>0</v>
      </c>
      <c r="K3807" s="222">
        <v>0</v>
      </c>
    </row>
    <row r="3808" spans="1:11" ht="25.5" hidden="1" x14ac:dyDescent="0.25">
      <c r="A3808" s="203"/>
      <c r="B3808" s="205"/>
      <c r="C3808" s="47" t="s">
        <v>773</v>
      </c>
      <c r="D3808" s="35"/>
      <c r="E3808" s="36"/>
      <c r="F3808" s="53" t="s">
        <v>514</v>
      </c>
      <c r="G3808" s="53" t="str">
        <f t="shared" si="64"/>
        <v/>
      </c>
      <c r="H3808" s="72"/>
      <c r="I3808" s="73"/>
      <c r="J3808" s="148">
        <v>0</v>
      </c>
      <c r="K3808" s="222">
        <v>0</v>
      </c>
    </row>
    <row r="3809" spans="1:11" ht="15.75" hidden="1" thickBot="1" x14ac:dyDescent="0.3">
      <c r="A3809" s="209"/>
      <c r="B3809" s="206"/>
      <c r="C3809" s="54"/>
      <c r="D3809" s="54"/>
      <c r="E3809" s="65"/>
      <c r="F3809" s="75" t="s">
        <v>514</v>
      </c>
      <c r="G3809" s="75" t="str">
        <f t="shared" si="64"/>
        <v/>
      </c>
      <c r="H3809" s="76"/>
      <c r="I3809" s="73"/>
      <c r="J3809" s="148">
        <v>0</v>
      </c>
      <c r="K3809" s="222">
        <v>0</v>
      </c>
    </row>
    <row r="3810" spans="1:11" ht="15.75" hidden="1" thickBot="1" x14ac:dyDescent="0.3">
      <c r="A3810" s="202" t="s">
        <v>2910</v>
      </c>
      <c r="B3810" s="204" t="str">
        <f>INDEX(Orçamentária!A:B,MATCH(Composições!A3810,Orçamentária!A:A,0),2)</f>
        <v>Supervisor de Obras e Manutenção – Apoio de Campo - Hidrossanitário</v>
      </c>
      <c r="C3810" s="40"/>
      <c r="D3810" s="25" t="str">
        <f>TRIM(INDEX(Orçamentária!C:C,MATCH(Composições!A3810,Orçamentária!A:A,0),1))</f>
        <v>Profissional</v>
      </c>
      <c r="E3810" s="26"/>
      <c r="F3810" s="48" t="s">
        <v>514</v>
      </c>
      <c r="G3810" s="27" t="str">
        <f t="shared" si="64"/>
        <v/>
      </c>
      <c r="H3810" s="28"/>
      <c r="I3810" s="29"/>
      <c r="J3810" s="148">
        <v>0</v>
      </c>
      <c r="K3810" s="222">
        <v>0</v>
      </c>
    </row>
    <row r="3811" spans="1:11" hidden="1" x14ac:dyDescent="0.25">
      <c r="A3811" s="203"/>
      <c r="B3811" s="205"/>
      <c r="C3811" s="31"/>
      <c r="D3811" s="31"/>
      <c r="E3811" s="32"/>
      <c r="F3811" s="53" t="s">
        <v>514</v>
      </c>
      <c r="G3811" s="53" t="str">
        <f t="shared" si="64"/>
        <v/>
      </c>
      <c r="H3811" s="72"/>
      <c r="I3811" s="73"/>
      <c r="J3811" s="148">
        <v>0</v>
      </c>
      <c r="K3811" s="222">
        <v>0</v>
      </c>
    </row>
    <row r="3812" spans="1:11" hidden="1" x14ac:dyDescent="0.25">
      <c r="A3812" s="203"/>
      <c r="B3812" s="205"/>
      <c r="C3812" s="35" t="s">
        <v>1203</v>
      </c>
      <c r="D3812" s="35" t="s">
        <v>126</v>
      </c>
      <c r="E3812" s="36">
        <f t="shared" ref="E3812" si="71">ROUND(1/(1+70.03%),4)</f>
        <v>0.58809999999999996</v>
      </c>
      <c r="F3812" s="53">
        <v>2852.1849999999999</v>
      </c>
      <c r="G3812" s="53">
        <f t="shared" si="64"/>
        <v>1677.3699984999998</v>
      </c>
      <c r="H3812" s="38">
        <f>SUM(G3812:G3815)</f>
        <v>1677.3699984999998</v>
      </c>
      <c r="I3812" s="39"/>
      <c r="J3812" s="148">
        <v>0</v>
      </c>
      <c r="K3812" s="222">
        <v>0</v>
      </c>
    </row>
    <row r="3813" spans="1:11" hidden="1" x14ac:dyDescent="0.25">
      <c r="A3813" s="203"/>
      <c r="B3813" s="205"/>
      <c r="C3813" s="35"/>
      <c r="D3813" s="35"/>
      <c r="E3813" s="36"/>
      <c r="F3813" s="53" t="s">
        <v>514</v>
      </c>
      <c r="G3813" s="53" t="str">
        <f t="shared" si="64"/>
        <v/>
      </c>
      <c r="H3813" s="72"/>
      <c r="I3813" s="73"/>
      <c r="J3813" s="148">
        <v>0</v>
      </c>
      <c r="K3813" s="222">
        <v>0</v>
      </c>
    </row>
    <row r="3814" spans="1:11" ht="25.5" hidden="1" x14ac:dyDescent="0.25">
      <c r="A3814" s="203"/>
      <c r="B3814" s="205"/>
      <c r="C3814" s="47" t="s">
        <v>773</v>
      </c>
      <c r="D3814" s="35"/>
      <c r="E3814" s="36"/>
      <c r="F3814" s="53" t="s">
        <v>514</v>
      </c>
      <c r="G3814" s="53" t="str">
        <f t="shared" si="64"/>
        <v/>
      </c>
      <c r="H3814" s="72"/>
      <c r="I3814" s="73"/>
      <c r="J3814" s="148">
        <v>0</v>
      </c>
      <c r="K3814" s="222">
        <v>0</v>
      </c>
    </row>
    <row r="3815" spans="1:11" ht="15.75" hidden="1" thickBot="1" x14ac:dyDescent="0.3">
      <c r="A3815" s="209"/>
      <c r="B3815" s="206"/>
      <c r="C3815" s="54"/>
      <c r="D3815" s="54"/>
      <c r="E3815" s="65"/>
      <c r="F3815" s="75" t="s">
        <v>514</v>
      </c>
      <c r="G3815" s="75" t="str">
        <f t="shared" si="64"/>
        <v/>
      </c>
      <c r="H3815" s="76"/>
      <c r="I3815" s="73"/>
      <c r="J3815" s="148">
        <v>0</v>
      </c>
      <c r="K3815" s="222">
        <v>0</v>
      </c>
    </row>
    <row r="3816" spans="1:11" ht="15.75" hidden="1" thickBot="1" x14ac:dyDescent="0.3">
      <c r="A3816" s="202" t="s">
        <v>2912</v>
      </c>
      <c r="B3816" s="204" t="str">
        <f>INDEX(Orçamentária!A:B,MATCH(Composições!A3816,Orçamentária!A:A,0),2)</f>
        <v>Supervisor de Obras e Manutenção – Apoio de campo – Planejamento</v>
      </c>
      <c r="C3816" s="40"/>
      <c r="D3816" s="25" t="str">
        <f>TRIM(INDEX(Orçamentária!C:C,MATCH(Composições!A3816,Orçamentária!A:A,0),1))</f>
        <v>Profissional</v>
      </c>
      <c r="E3816" s="26"/>
      <c r="F3816" s="48" t="s">
        <v>514</v>
      </c>
      <c r="G3816" s="27" t="str">
        <f t="shared" si="64"/>
        <v/>
      </c>
      <c r="H3816" s="28"/>
      <c r="I3816" s="29"/>
      <c r="J3816" s="148">
        <v>0</v>
      </c>
      <c r="K3816" s="222">
        <v>0</v>
      </c>
    </row>
    <row r="3817" spans="1:11" hidden="1" x14ac:dyDescent="0.25">
      <c r="A3817" s="203"/>
      <c r="B3817" s="205"/>
      <c r="C3817" s="31"/>
      <c r="D3817" s="31"/>
      <c r="E3817" s="32"/>
      <c r="F3817" s="53" t="s">
        <v>514</v>
      </c>
      <c r="G3817" s="53" t="str">
        <f t="shared" si="64"/>
        <v/>
      </c>
      <c r="H3817" s="72"/>
      <c r="I3817" s="73"/>
      <c r="J3817" s="148">
        <v>0</v>
      </c>
      <c r="K3817" s="222">
        <v>0</v>
      </c>
    </row>
    <row r="3818" spans="1:11" hidden="1" x14ac:dyDescent="0.25">
      <c r="A3818" s="203"/>
      <c r="B3818" s="205"/>
      <c r="C3818" s="35" t="s">
        <v>1203</v>
      </c>
      <c r="D3818" s="35" t="s">
        <v>126</v>
      </c>
      <c r="E3818" s="36">
        <f t="shared" ref="E3818" si="72">ROUND(1/(1+70.03%),4)</f>
        <v>0.58809999999999996</v>
      </c>
      <c r="F3818" s="53">
        <v>2852.1849999999999</v>
      </c>
      <c r="G3818" s="53">
        <f t="shared" si="64"/>
        <v>1677.3699984999998</v>
      </c>
      <c r="H3818" s="38">
        <f>SUM(G3818:G3821)</f>
        <v>1677.3699984999998</v>
      </c>
      <c r="I3818" s="39"/>
      <c r="J3818" s="148">
        <v>0</v>
      </c>
      <c r="K3818" s="222">
        <v>0</v>
      </c>
    </row>
    <row r="3819" spans="1:11" hidden="1" x14ac:dyDescent="0.25">
      <c r="A3819" s="203"/>
      <c r="B3819" s="205"/>
      <c r="C3819" s="35"/>
      <c r="D3819" s="35"/>
      <c r="E3819" s="36"/>
      <c r="F3819" s="53" t="s">
        <v>514</v>
      </c>
      <c r="G3819" s="53" t="str">
        <f t="shared" si="64"/>
        <v/>
      </c>
      <c r="H3819" s="72"/>
      <c r="I3819" s="73"/>
      <c r="J3819" s="148">
        <v>0</v>
      </c>
      <c r="K3819" s="222">
        <v>0</v>
      </c>
    </row>
    <row r="3820" spans="1:11" ht="25.5" hidden="1" x14ac:dyDescent="0.25">
      <c r="A3820" s="203"/>
      <c r="B3820" s="205"/>
      <c r="C3820" s="47" t="s">
        <v>773</v>
      </c>
      <c r="D3820" s="35"/>
      <c r="E3820" s="36"/>
      <c r="F3820" s="53" t="s">
        <v>514</v>
      </c>
      <c r="G3820" s="53" t="str">
        <f t="shared" ref="G3820:G3883" si="73">IF(ISNUMBER(F3820),E3820*F3820,"")</f>
        <v/>
      </c>
      <c r="H3820" s="72"/>
      <c r="I3820" s="73"/>
      <c r="J3820" s="148">
        <v>0</v>
      </c>
      <c r="K3820" s="222">
        <v>0</v>
      </c>
    </row>
    <row r="3821" spans="1:11" ht="15.75" hidden="1" thickBot="1" x14ac:dyDescent="0.3">
      <c r="A3821" s="209"/>
      <c r="B3821" s="206"/>
      <c r="C3821" s="54"/>
      <c r="D3821" s="54"/>
      <c r="E3821" s="65"/>
      <c r="F3821" s="75" t="s">
        <v>514</v>
      </c>
      <c r="G3821" s="75" t="str">
        <f t="shared" si="73"/>
        <v/>
      </c>
      <c r="H3821" s="76"/>
      <c r="I3821" s="73"/>
      <c r="J3821" s="148">
        <v>0</v>
      </c>
      <c r="K3821" s="222">
        <v>0</v>
      </c>
    </row>
    <row r="3822" spans="1:11" ht="15.75" hidden="1" thickBot="1" x14ac:dyDescent="0.3">
      <c r="A3822" s="202" t="s">
        <v>1111</v>
      </c>
      <c r="B3822" s="204" t="str">
        <f>INDEX(Orçamentária!A:B,MATCH(Composições!A3822,Orçamentária!A:A,0),2)</f>
        <v>Supervisor de Obras e Manutenção – Apoio de campo – Segurança do Trabalho</v>
      </c>
      <c r="C3822" s="40"/>
      <c r="D3822" s="25" t="str">
        <f>TRIM(INDEX(Orçamentária!C:C,MATCH(Composições!A3822,Orçamentária!A:A,0),1))</f>
        <v>Profissional</v>
      </c>
      <c r="E3822" s="26"/>
      <c r="F3822" s="48" t="s">
        <v>514</v>
      </c>
      <c r="G3822" s="27" t="str">
        <f t="shared" si="73"/>
        <v/>
      </c>
      <c r="H3822" s="28"/>
      <c r="I3822" s="29"/>
      <c r="J3822" s="148">
        <v>0</v>
      </c>
      <c r="K3822" s="222">
        <v>0</v>
      </c>
    </row>
    <row r="3823" spans="1:11" hidden="1" x14ac:dyDescent="0.25">
      <c r="A3823" s="203"/>
      <c r="B3823" s="205"/>
      <c r="C3823" s="31"/>
      <c r="D3823" s="31"/>
      <c r="E3823" s="32"/>
      <c r="F3823" s="53" t="s">
        <v>514</v>
      </c>
      <c r="G3823" s="53" t="str">
        <f t="shared" si="73"/>
        <v/>
      </c>
      <c r="H3823" s="72"/>
      <c r="I3823" s="73"/>
      <c r="J3823" s="148">
        <v>0</v>
      </c>
      <c r="K3823" s="222">
        <v>0</v>
      </c>
    </row>
    <row r="3824" spans="1:11" ht="25.5" hidden="1" x14ac:dyDescent="0.25">
      <c r="A3824" s="203"/>
      <c r="B3824" s="205"/>
      <c r="C3824" s="35" t="s">
        <v>1112</v>
      </c>
      <c r="D3824" s="35" t="s">
        <v>126</v>
      </c>
      <c r="E3824" s="36">
        <f>ROUND(1/(1+72.54%),4)</f>
        <v>0.5796</v>
      </c>
      <c r="F3824" s="53">
        <v>7398.0014999999994</v>
      </c>
      <c r="G3824" s="53">
        <f t="shared" si="73"/>
        <v>4287.8816693999997</v>
      </c>
      <c r="H3824" s="38">
        <f>SUM(G3824:G3827)</f>
        <v>4287.8816693999997</v>
      </c>
      <c r="I3824" s="39"/>
      <c r="J3824" s="148">
        <v>0</v>
      </c>
      <c r="K3824" s="222">
        <v>0</v>
      </c>
    </row>
    <row r="3825" spans="1:11" hidden="1" x14ac:dyDescent="0.25">
      <c r="A3825" s="203"/>
      <c r="B3825" s="205"/>
      <c r="C3825" s="35"/>
      <c r="D3825" s="35"/>
      <c r="E3825" s="36"/>
      <c r="F3825" s="53" t="s">
        <v>514</v>
      </c>
      <c r="G3825" s="53" t="str">
        <f t="shared" si="73"/>
        <v/>
      </c>
      <c r="H3825" s="72"/>
      <c r="I3825" s="73"/>
      <c r="J3825" s="148">
        <v>0</v>
      </c>
      <c r="K3825" s="222">
        <v>0</v>
      </c>
    </row>
    <row r="3826" spans="1:11" ht="25.5" hidden="1" x14ac:dyDescent="0.25">
      <c r="A3826" s="203"/>
      <c r="B3826" s="205"/>
      <c r="C3826" s="47" t="s">
        <v>773</v>
      </c>
      <c r="D3826" s="35"/>
      <c r="E3826" s="36"/>
      <c r="F3826" s="53" t="s">
        <v>514</v>
      </c>
      <c r="G3826" s="53" t="str">
        <f t="shared" si="73"/>
        <v/>
      </c>
      <c r="H3826" s="72"/>
      <c r="I3826" s="73"/>
      <c r="J3826" s="148">
        <v>0</v>
      </c>
      <c r="K3826" s="222">
        <v>0</v>
      </c>
    </row>
    <row r="3827" spans="1:11" ht="15.75" hidden="1" thickBot="1" x14ac:dyDescent="0.3">
      <c r="A3827" s="209"/>
      <c r="B3827" s="206"/>
      <c r="C3827" s="54"/>
      <c r="D3827" s="54"/>
      <c r="E3827" s="65"/>
      <c r="F3827" s="75" t="s">
        <v>514</v>
      </c>
      <c r="G3827" s="75" t="str">
        <f t="shared" si="73"/>
        <v/>
      </c>
      <c r="H3827" s="76"/>
      <c r="I3827" s="73"/>
      <c r="J3827" s="148">
        <v>0</v>
      </c>
      <c r="K3827" s="222">
        <v>0</v>
      </c>
    </row>
    <row r="3828" spans="1:11" ht="15.75" hidden="1" thickBot="1" x14ac:dyDescent="0.3">
      <c r="A3828" s="202" t="s">
        <v>1113</v>
      </c>
      <c r="B3828" s="204" t="str">
        <f>INDEX(Orçamentária!A:B,MATCH(Composições!A3828,Orçamentária!A:A,0),2)</f>
        <v xml:space="preserve">Reparo de placas de mármore com adesivo estrutural epóxi branco/transparente </v>
      </c>
      <c r="C3828" s="40"/>
      <c r="D3828" s="25" t="str">
        <f>TRIM(INDEX(Orçamentária!C:C,MATCH(Composições!A3828,Orçamentária!A:A,0),1))</f>
        <v>cm3</v>
      </c>
      <c r="E3828" s="26"/>
      <c r="F3828" s="48" t="s">
        <v>514</v>
      </c>
      <c r="G3828" s="27" t="str">
        <f t="shared" si="73"/>
        <v/>
      </c>
      <c r="H3828" s="28"/>
      <c r="I3828" s="29"/>
      <c r="J3828" s="148">
        <v>0</v>
      </c>
      <c r="K3828" s="222">
        <v>0</v>
      </c>
    </row>
    <row r="3829" spans="1:11" hidden="1" x14ac:dyDescent="0.25">
      <c r="A3829" s="207"/>
      <c r="B3829" s="205"/>
      <c r="C3829" s="31"/>
      <c r="D3829" s="31"/>
      <c r="E3829" s="32"/>
      <c r="F3829" s="53" t="s">
        <v>514</v>
      </c>
      <c r="G3829" s="53" t="str">
        <f t="shared" si="73"/>
        <v/>
      </c>
      <c r="H3829" s="72"/>
      <c r="I3829" s="73"/>
      <c r="J3829" s="148">
        <v>0</v>
      </c>
      <c r="K3829" s="222">
        <v>0</v>
      </c>
    </row>
    <row r="3830" spans="1:11" hidden="1" x14ac:dyDescent="0.25">
      <c r="A3830" s="207"/>
      <c r="B3830" s="205"/>
      <c r="C3830" s="35" t="s">
        <v>54</v>
      </c>
      <c r="D3830" s="35" t="s">
        <v>12</v>
      </c>
      <c r="E3830" s="36">
        <f>0.5/50</f>
        <v>0.01</v>
      </c>
      <c r="F3830" s="53">
        <v>24.795000000000002</v>
      </c>
      <c r="G3830" s="53">
        <f t="shared" si="73"/>
        <v>0.24795000000000003</v>
      </c>
      <c r="H3830" s="38">
        <f>SUM(G3830:G3831)</f>
        <v>0.24795000000000003</v>
      </c>
      <c r="I3830" s="39"/>
      <c r="J3830" s="148">
        <v>0</v>
      </c>
      <c r="K3830" s="222">
        <v>0</v>
      </c>
    </row>
    <row r="3831" spans="1:11" hidden="1" x14ac:dyDescent="0.25">
      <c r="A3831" s="207"/>
      <c r="B3831" s="205"/>
      <c r="C3831" s="35" t="s">
        <v>1114</v>
      </c>
      <c r="D3831" s="35" t="s">
        <v>143</v>
      </c>
      <c r="E3831" s="36">
        <f>1/50</f>
        <v>0.02</v>
      </c>
      <c r="F3831" s="53" t="s">
        <v>514</v>
      </c>
      <c r="G3831" s="53" t="str">
        <f t="shared" si="73"/>
        <v/>
      </c>
      <c r="H3831" s="72"/>
      <c r="I3831" s="73"/>
      <c r="J3831" s="148">
        <v>0</v>
      </c>
      <c r="K3831" s="222">
        <v>0</v>
      </c>
    </row>
    <row r="3832" spans="1:11" ht="15.75" hidden="1" thickBot="1" x14ac:dyDescent="0.3">
      <c r="A3832" s="208"/>
      <c r="B3832" s="206"/>
      <c r="C3832" s="35"/>
      <c r="D3832" s="35"/>
      <c r="E3832" s="36"/>
      <c r="F3832" s="53" t="s">
        <v>514</v>
      </c>
      <c r="G3832" s="53" t="str">
        <f t="shared" si="73"/>
        <v/>
      </c>
      <c r="H3832" s="72"/>
      <c r="I3832" s="73"/>
      <c r="J3832" s="148">
        <v>0</v>
      </c>
      <c r="K3832" s="222">
        <v>0</v>
      </c>
    </row>
    <row r="3833" spans="1:11" ht="15.75" hidden="1" thickBot="1" x14ac:dyDescent="0.3">
      <c r="A3833" s="202" t="s">
        <v>1115</v>
      </c>
      <c r="B3833" s="204" t="str">
        <f>INDEX(Orçamentária!A:B,MATCH(Composições!A3833,Orçamentária!A:A,0),2)</f>
        <v>Perfil de chapa de aço galvanizado para esquadria (Anexo 1)</v>
      </c>
      <c r="C3833" s="40"/>
      <c r="D3833" s="25" t="str">
        <f>TRIM(INDEX(Orçamentária!C:C,MATCH(Composições!A3833,Orçamentária!A:A,0),1))</f>
        <v>m</v>
      </c>
      <c r="E3833" s="26"/>
      <c r="F3833" s="48" t="s">
        <v>514</v>
      </c>
      <c r="G3833" s="27" t="str">
        <f t="shared" si="73"/>
        <v/>
      </c>
      <c r="H3833" s="28"/>
      <c r="I3833" s="29"/>
      <c r="J3833" s="148">
        <v>0</v>
      </c>
      <c r="K3833" s="222">
        <v>0</v>
      </c>
    </row>
    <row r="3834" spans="1:11" hidden="1" x14ac:dyDescent="0.25">
      <c r="A3834" s="207"/>
      <c r="B3834" s="205"/>
      <c r="C3834" s="31"/>
      <c r="D3834" s="31"/>
      <c r="E3834" s="32"/>
      <c r="F3834" s="53" t="s">
        <v>514</v>
      </c>
      <c r="G3834" s="53" t="str">
        <f t="shared" si="73"/>
        <v/>
      </c>
      <c r="H3834" s="72"/>
      <c r="I3834" s="73"/>
      <c r="J3834" s="148">
        <v>0</v>
      </c>
      <c r="K3834" s="222">
        <v>0</v>
      </c>
    </row>
    <row r="3835" spans="1:11" hidden="1" x14ac:dyDescent="0.25">
      <c r="A3835" s="207"/>
      <c r="B3835" s="205"/>
      <c r="C3835" s="35" t="s">
        <v>22</v>
      </c>
      <c r="D3835" s="35" t="s">
        <v>12</v>
      </c>
      <c r="E3835" s="36">
        <v>0.5</v>
      </c>
      <c r="F3835" s="53">
        <v>24.889999999999997</v>
      </c>
      <c r="G3835" s="53">
        <f t="shared" si="73"/>
        <v>12.444999999999999</v>
      </c>
      <c r="H3835" s="38">
        <f>SUM(G3835:G3840)</f>
        <v>35.4959020589218</v>
      </c>
      <c r="I3835" s="39"/>
      <c r="J3835" s="148">
        <v>0</v>
      </c>
      <c r="K3835" s="222">
        <v>0</v>
      </c>
    </row>
    <row r="3836" spans="1:11" hidden="1" x14ac:dyDescent="0.25">
      <c r="A3836" s="207"/>
      <c r="B3836" s="205"/>
      <c r="C3836" s="35" t="s">
        <v>23</v>
      </c>
      <c r="D3836" s="35" t="s">
        <v>12</v>
      </c>
      <c r="E3836" s="36">
        <v>0.51</v>
      </c>
      <c r="F3836" s="53">
        <v>18.420500000000001</v>
      </c>
      <c r="G3836" s="53">
        <f t="shared" si="73"/>
        <v>9.3944550000000007</v>
      </c>
      <c r="H3836" s="72"/>
      <c r="I3836" s="73"/>
      <c r="J3836" s="148">
        <v>0</v>
      </c>
      <c r="K3836" s="222">
        <v>0</v>
      </c>
    </row>
    <row r="3837" spans="1:11" ht="38.25" hidden="1" x14ac:dyDescent="0.25">
      <c r="A3837" s="207"/>
      <c r="B3837" s="205"/>
      <c r="C3837" s="35" t="s">
        <v>176</v>
      </c>
      <c r="D3837" s="46" t="s">
        <v>108</v>
      </c>
      <c r="E3837" s="36">
        <v>3.0999999999999999E-3</v>
      </c>
      <c r="F3837" s="53">
        <v>701.5405028780001</v>
      </c>
      <c r="G3837" s="53">
        <f t="shared" si="73"/>
        <v>2.1747755589218003</v>
      </c>
      <c r="H3837" s="72"/>
      <c r="I3837" s="73"/>
      <c r="J3837" s="148">
        <v>0</v>
      </c>
      <c r="K3837" s="222">
        <v>0</v>
      </c>
    </row>
    <row r="3838" spans="1:11" hidden="1" x14ac:dyDescent="0.25">
      <c r="A3838" s="207"/>
      <c r="B3838" s="205"/>
      <c r="C3838" s="35" t="s">
        <v>1116</v>
      </c>
      <c r="D3838" s="46" t="s">
        <v>92</v>
      </c>
      <c r="E3838" s="36">
        <v>1</v>
      </c>
      <c r="F3838" s="53" t="s">
        <v>514</v>
      </c>
      <c r="G3838" s="53" t="str">
        <f t="shared" si="73"/>
        <v/>
      </c>
      <c r="H3838" s="72"/>
      <c r="I3838" s="73"/>
      <c r="J3838" s="148">
        <v>0</v>
      </c>
      <c r="K3838" s="222">
        <v>0</v>
      </c>
    </row>
    <row r="3839" spans="1:11" hidden="1" x14ac:dyDescent="0.25">
      <c r="A3839" s="207"/>
      <c r="B3839" s="205"/>
      <c r="C3839" s="35" t="s">
        <v>23</v>
      </c>
      <c r="D3839" s="35" t="s">
        <v>12</v>
      </c>
      <c r="E3839" s="36">
        <v>0.15</v>
      </c>
      <c r="F3839" s="53">
        <v>18.420500000000001</v>
      </c>
      <c r="G3839" s="53">
        <f t="shared" si="73"/>
        <v>2.7630750000000002</v>
      </c>
      <c r="H3839" s="72"/>
      <c r="I3839" s="73"/>
      <c r="J3839" s="148">
        <v>0</v>
      </c>
      <c r="K3839" s="222">
        <v>0</v>
      </c>
    </row>
    <row r="3840" spans="1:11" hidden="1" x14ac:dyDescent="0.25">
      <c r="A3840" s="207"/>
      <c r="B3840" s="205"/>
      <c r="C3840" s="35" t="s">
        <v>1117</v>
      </c>
      <c r="D3840" s="35" t="s">
        <v>278</v>
      </c>
      <c r="E3840" s="36">
        <f>ROUND(0.1/0.28,4)</f>
        <v>0.35709999999999997</v>
      </c>
      <c r="F3840" s="53">
        <v>24.414999999999999</v>
      </c>
      <c r="G3840" s="53">
        <f t="shared" si="73"/>
        <v>8.7185964999999985</v>
      </c>
      <c r="H3840" s="72"/>
      <c r="I3840" s="73"/>
      <c r="J3840" s="148">
        <v>0</v>
      </c>
      <c r="K3840" s="222">
        <v>0</v>
      </c>
    </row>
    <row r="3841" spans="1:11" hidden="1" x14ac:dyDescent="0.25">
      <c r="A3841" s="207"/>
      <c r="B3841" s="205"/>
      <c r="C3841" s="35"/>
      <c r="D3841" s="46"/>
      <c r="E3841" s="36"/>
      <c r="F3841" s="53" t="s">
        <v>514</v>
      </c>
      <c r="G3841" s="53" t="str">
        <f t="shared" si="73"/>
        <v/>
      </c>
      <c r="H3841" s="72"/>
      <c r="I3841" s="73"/>
      <c r="J3841" s="148">
        <v>0</v>
      </c>
      <c r="K3841" s="222">
        <v>0</v>
      </c>
    </row>
    <row r="3842" spans="1:11" hidden="1" x14ac:dyDescent="0.25">
      <c r="A3842" s="207"/>
      <c r="B3842" s="205"/>
      <c r="C3842" s="145" t="s">
        <v>1118</v>
      </c>
      <c r="D3842" s="46"/>
      <c r="E3842" s="36"/>
      <c r="F3842" s="53" t="s">
        <v>514</v>
      </c>
      <c r="G3842" s="53" t="str">
        <f t="shared" si="73"/>
        <v/>
      </c>
      <c r="H3842" s="72"/>
      <c r="I3842" s="73"/>
      <c r="J3842" s="148">
        <v>0</v>
      </c>
      <c r="K3842" s="222">
        <v>0</v>
      </c>
    </row>
    <row r="3843" spans="1:11" ht="15.75" hidden="1" thickBot="1" x14ac:dyDescent="0.3">
      <c r="A3843" s="207"/>
      <c r="B3843" s="205"/>
      <c r="C3843" s="54"/>
      <c r="D3843" s="54"/>
      <c r="E3843" s="65"/>
      <c r="F3843" s="75" t="s">
        <v>514</v>
      </c>
      <c r="G3843" s="75" t="str">
        <f t="shared" si="73"/>
        <v/>
      </c>
      <c r="H3843" s="76"/>
      <c r="I3843" s="73"/>
      <c r="J3843" s="148">
        <v>0</v>
      </c>
      <c r="K3843" s="222">
        <v>0</v>
      </c>
    </row>
    <row r="3844" spans="1:11" ht="15.75" hidden="1" thickBot="1" x14ac:dyDescent="0.3">
      <c r="A3844" s="202" t="s">
        <v>1119</v>
      </c>
      <c r="B3844" s="204" t="str">
        <f>INDEX(Orçamentária!A:B,MATCH(Composições!A3844,Orçamentária!A:A,0),2)</f>
        <v>Granito Vermelho Brasília 20 mm para bancadas</v>
      </c>
      <c r="C3844" s="40"/>
      <c r="D3844" s="25" t="str">
        <f>TRIM(INDEX(Orçamentária!C:C,MATCH(Composições!A3844,Orçamentária!A:A,0),1))</f>
        <v>m2</v>
      </c>
      <c r="E3844" s="26"/>
      <c r="F3844" s="48" t="s">
        <v>514</v>
      </c>
      <c r="G3844" s="27" t="str">
        <f t="shared" si="73"/>
        <v/>
      </c>
      <c r="H3844" s="28"/>
      <c r="I3844" s="29"/>
      <c r="J3844" s="148">
        <v>0</v>
      </c>
      <c r="K3844" s="222">
        <v>0</v>
      </c>
    </row>
    <row r="3845" spans="1:11" hidden="1" x14ac:dyDescent="0.25">
      <c r="A3845" s="207"/>
      <c r="B3845" s="205"/>
      <c r="C3845" s="31"/>
      <c r="D3845" s="31"/>
      <c r="E3845" s="32"/>
      <c r="F3845" s="53" t="s">
        <v>514</v>
      </c>
      <c r="G3845" s="53" t="str">
        <f t="shared" si="73"/>
        <v/>
      </c>
      <c r="H3845" s="72"/>
      <c r="I3845" s="73"/>
      <c r="J3845" s="148">
        <v>0</v>
      </c>
      <c r="K3845" s="222">
        <v>0</v>
      </c>
    </row>
    <row r="3846" spans="1:11" hidden="1" x14ac:dyDescent="0.25">
      <c r="A3846" s="207"/>
      <c r="B3846" s="205"/>
      <c r="C3846" s="35" t="s">
        <v>3325</v>
      </c>
      <c r="D3846" s="35" t="s">
        <v>891</v>
      </c>
      <c r="E3846" s="36">
        <f>ROUND(0.5228/(1.5*0.6),4)</f>
        <v>0.58089999999999997</v>
      </c>
      <c r="F3846" s="53">
        <v>32.755999999999993</v>
      </c>
      <c r="G3846" s="53">
        <f t="shared" si="73"/>
        <v>19.027960399999994</v>
      </c>
      <c r="H3846" s="38">
        <f>SUM(G3846:G3852)</f>
        <v>151.69382734999999</v>
      </c>
      <c r="I3846" s="39"/>
      <c r="J3846" s="148">
        <v>0</v>
      </c>
      <c r="K3846" s="222">
        <v>0</v>
      </c>
    </row>
    <row r="3847" spans="1:11" ht="38.25" hidden="1" x14ac:dyDescent="0.25">
      <c r="A3847" s="207"/>
      <c r="B3847" s="205"/>
      <c r="C3847" s="35" t="s">
        <v>1122</v>
      </c>
      <c r="D3847" s="35" t="s">
        <v>278</v>
      </c>
      <c r="E3847" s="36">
        <f>ROUND(6/(1.5*0.6),4)</f>
        <v>6.6666999999999996</v>
      </c>
      <c r="F3847" s="53">
        <v>1.159</v>
      </c>
      <c r="G3847" s="53">
        <f t="shared" si="73"/>
        <v>7.7267052999999999</v>
      </c>
      <c r="H3847" s="72"/>
      <c r="I3847" s="73"/>
      <c r="J3847" s="148">
        <v>0</v>
      </c>
      <c r="K3847" s="222">
        <v>0</v>
      </c>
    </row>
    <row r="3848" spans="1:11" ht="25.5" hidden="1" x14ac:dyDescent="0.25">
      <c r="A3848" s="207"/>
      <c r="B3848" s="205"/>
      <c r="C3848" s="35" t="s">
        <v>1120</v>
      </c>
      <c r="D3848" s="35" t="s">
        <v>982</v>
      </c>
      <c r="E3848" s="36">
        <f>ROUND(1.005/(1.5*0.6),4)</f>
        <v>1.1167</v>
      </c>
      <c r="F3848" s="53" t="s">
        <v>514</v>
      </c>
      <c r="G3848" s="53" t="str">
        <f t="shared" si="73"/>
        <v/>
      </c>
      <c r="H3848" s="72"/>
      <c r="I3848" s="73"/>
      <c r="J3848" s="148">
        <v>0</v>
      </c>
      <c r="K3848" s="222">
        <v>0</v>
      </c>
    </row>
    <row r="3849" spans="1:11" hidden="1" x14ac:dyDescent="0.25">
      <c r="A3849" s="207"/>
      <c r="B3849" s="205"/>
      <c r="C3849" s="35" t="s">
        <v>3497</v>
      </c>
      <c r="D3849" s="35" t="s">
        <v>891</v>
      </c>
      <c r="E3849" s="36">
        <f>ROUND(0.0211/(1.5*0.6),4)</f>
        <v>2.3400000000000001E-2</v>
      </c>
      <c r="F3849" s="53">
        <v>64.619</v>
      </c>
      <c r="G3849" s="53">
        <f t="shared" si="73"/>
        <v>1.5120846000000001</v>
      </c>
      <c r="H3849" s="72"/>
      <c r="I3849" s="73"/>
      <c r="J3849" s="148">
        <v>0</v>
      </c>
      <c r="K3849" s="222">
        <v>0</v>
      </c>
    </row>
    <row r="3850" spans="1:11" ht="25.5" hidden="1" x14ac:dyDescent="0.25">
      <c r="A3850" s="207"/>
      <c r="B3850" s="205"/>
      <c r="C3850" s="35" t="s">
        <v>3341</v>
      </c>
      <c r="D3850" s="35" t="s">
        <v>278</v>
      </c>
      <c r="E3850" s="36">
        <f>ROUND(2/(1.5*0.6),4)</f>
        <v>2.2222</v>
      </c>
      <c r="F3850" s="53">
        <v>27.958499999999997</v>
      </c>
      <c r="G3850" s="53">
        <f t="shared" si="73"/>
        <v>62.12937869999999</v>
      </c>
      <c r="H3850" s="72"/>
      <c r="I3850" s="73"/>
      <c r="J3850" s="148">
        <v>0</v>
      </c>
      <c r="K3850" s="222">
        <v>0</v>
      </c>
    </row>
    <row r="3851" spans="1:11" hidden="1" x14ac:dyDescent="0.25">
      <c r="A3851" s="207"/>
      <c r="B3851" s="205"/>
      <c r="C3851" s="35" t="s">
        <v>3218</v>
      </c>
      <c r="D3851" s="35" t="s">
        <v>695</v>
      </c>
      <c r="E3851" s="36">
        <f>ROUND(1.4944/(1.5*0.6),4)</f>
        <v>1.6604000000000001</v>
      </c>
      <c r="F3851" s="53">
        <v>24.795000000000002</v>
      </c>
      <c r="G3851" s="53">
        <f t="shared" si="73"/>
        <v>41.169618000000007</v>
      </c>
      <c r="H3851" s="72"/>
      <c r="I3851" s="73"/>
      <c r="J3851" s="148">
        <v>0</v>
      </c>
      <c r="K3851" s="222">
        <v>0</v>
      </c>
    </row>
    <row r="3852" spans="1:11" hidden="1" x14ac:dyDescent="0.25">
      <c r="A3852" s="207"/>
      <c r="B3852" s="205"/>
      <c r="C3852" s="35" t="s">
        <v>696</v>
      </c>
      <c r="D3852" s="35" t="s">
        <v>695</v>
      </c>
      <c r="E3852" s="36">
        <f>ROUND(0.9834/(1.5*0.6),4)</f>
        <v>1.0927</v>
      </c>
      <c r="F3852" s="53">
        <v>18.420500000000001</v>
      </c>
      <c r="G3852" s="53">
        <f t="shared" si="73"/>
        <v>20.128080350000001</v>
      </c>
      <c r="H3852" s="72"/>
      <c r="I3852" s="73"/>
      <c r="J3852" s="148">
        <v>0</v>
      </c>
      <c r="K3852" s="222">
        <v>0</v>
      </c>
    </row>
    <row r="3853" spans="1:11" hidden="1" x14ac:dyDescent="0.25">
      <c r="A3853" s="207"/>
      <c r="B3853" s="205"/>
      <c r="C3853" s="35"/>
      <c r="D3853" s="35"/>
      <c r="E3853" s="36"/>
      <c r="F3853" s="53" t="s">
        <v>514</v>
      </c>
      <c r="G3853" s="53" t="str">
        <f t="shared" si="73"/>
        <v/>
      </c>
      <c r="H3853" s="72"/>
      <c r="I3853" s="73"/>
      <c r="J3853" s="148">
        <v>0</v>
      </c>
      <c r="K3853" s="222">
        <v>0</v>
      </c>
    </row>
    <row r="3854" spans="1:11" ht="15.75" hidden="1" thickBot="1" x14ac:dyDescent="0.3">
      <c r="A3854" s="202" t="s">
        <v>1121</v>
      </c>
      <c r="B3854" s="204" t="str">
        <f>INDEX(Orçamentária!A:B,MATCH(Composições!A3854,Orçamentária!A:A,0),2)</f>
        <v>Porta em alumínio tipo veneziana</v>
      </c>
      <c r="C3854" s="40"/>
      <c r="D3854" s="25" t="str">
        <f>TRIM(INDEX(Orçamentária!C:C,MATCH(Composições!A3854,Orçamentária!A:A,0),1))</f>
        <v>m2</v>
      </c>
      <c r="E3854" s="26"/>
      <c r="F3854" s="48" t="s">
        <v>514</v>
      </c>
      <c r="G3854" s="27" t="str">
        <f t="shared" si="73"/>
        <v/>
      </c>
      <c r="H3854" s="28"/>
      <c r="I3854" s="29"/>
      <c r="J3854" s="148">
        <v>0</v>
      </c>
      <c r="K3854" s="222">
        <v>0</v>
      </c>
    </row>
    <row r="3855" spans="1:11" hidden="1" x14ac:dyDescent="0.25">
      <c r="A3855" s="207"/>
      <c r="B3855" s="205"/>
      <c r="C3855" s="31"/>
      <c r="D3855" s="31"/>
      <c r="E3855" s="32"/>
      <c r="F3855" s="53" t="s">
        <v>514</v>
      </c>
      <c r="G3855" s="53" t="str">
        <f t="shared" si="73"/>
        <v/>
      </c>
      <c r="H3855" s="72"/>
      <c r="I3855" s="73"/>
      <c r="J3855" s="148">
        <v>0</v>
      </c>
      <c r="K3855" s="222">
        <v>0</v>
      </c>
    </row>
    <row r="3856" spans="1:11" ht="25.5" hidden="1" x14ac:dyDescent="0.25">
      <c r="A3856" s="207"/>
      <c r="B3856" s="205"/>
      <c r="C3856" s="35" t="s">
        <v>1053</v>
      </c>
      <c r="D3856" s="46" t="s">
        <v>1064</v>
      </c>
      <c r="E3856" s="36">
        <v>0.88290000000000002</v>
      </c>
      <c r="F3856" s="53">
        <v>36.945499999999996</v>
      </c>
      <c r="G3856" s="53">
        <f t="shared" si="73"/>
        <v>32.619181949999998</v>
      </c>
      <c r="H3856" s="38">
        <f>SUM(G3856:G3861)</f>
        <v>664.18412574999991</v>
      </c>
      <c r="I3856" s="39"/>
      <c r="J3856" s="148">
        <v>0</v>
      </c>
      <c r="K3856" s="222">
        <v>0</v>
      </c>
    </row>
    <row r="3857" spans="1:11" ht="38.25" hidden="1" x14ac:dyDescent="0.25">
      <c r="A3857" s="207"/>
      <c r="B3857" s="205"/>
      <c r="C3857" s="35" t="s">
        <v>1122</v>
      </c>
      <c r="D3857" s="46" t="s">
        <v>278</v>
      </c>
      <c r="E3857" s="36">
        <v>4.8166000000000002</v>
      </c>
      <c r="F3857" s="53">
        <v>1.159</v>
      </c>
      <c r="G3857" s="53">
        <f t="shared" si="73"/>
        <v>5.5824394000000002</v>
      </c>
      <c r="H3857" s="72"/>
      <c r="I3857" s="73"/>
      <c r="J3857" s="148">
        <v>0</v>
      </c>
      <c r="K3857" s="222">
        <v>0</v>
      </c>
    </row>
    <row r="3858" spans="1:11" ht="38.25" hidden="1" x14ac:dyDescent="0.25">
      <c r="A3858" s="207"/>
      <c r="B3858" s="205"/>
      <c r="C3858" s="35" t="s">
        <v>6769</v>
      </c>
      <c r="D3858" s="35" t="s">
        <v>473</v>
      </c>
      <c r="E3858" s="36">
        <v>6.8503999999999996</v>
      </c>
      <c r="F3858" s="53">
        <v>29.012999999999998</v>
      </c>
      <c r="G3858" s="53">
        <f t="shared" si="73"/>
        <v>198.75065519999998</v>
      </c>
      <c r="H3858" s="72"/>
      <c r="I3858" s="73"/>
      <c r="J3858" s="148">
        <v>0</v>
      </c>
      <c r="K3858" s="222">
        <v>0</v>
      </c>
    </row>
    <row r="3859" spans="1:11" ht="25.5" hidden="1" x14ac:dyDescent="0.25">
      <c r="A3859" s="207"/>
      <c r="B3859" s="205"/>
      <c r="C3859" s="35" t="s">
        <v>1123</v>
      </c>
      <c r="D3859" s="35" t="s">
        <v>278</v>
      </c>
      <c r="E3859" s="36">
        <v>0.54730000000000001</v>
      </c>
      <c r="F3859" s="53">
        <v>756.78899999999999</v>
      </c>
      <c r="G3859" s="53">
        <f t="shared" si="73"/>
        <v>414.19061970000001</v>
      </c>
      <c r="H3859" s="72"/>
      <c r="I3859" s="73"/>
      <c r="J3859" s="148">
        <v>0</v>
      </c>
      <c r="K3859" s="222">
        <v>0</v>
      </c>
    </row>
    <row r="3860" spans="1:11" hidden="1" x14ac:dyDescent="0.25">
      <c r="A3860" s="207"/>
      <c r="B3860" s="205"/>
      <c r="C3860" s="35" t="s">
        <v>1124</v>
      </c>
      <c r="D3860" s="46" t="s">
        <v>695</v>
      </c>
      <c r="E3860" s="36">
        <v>0.3826</v>
      </c>
      <c r="F3860" s="53">
        <v>24.889999999999997</v>
      </c>
      <c r="G3860" s="53">
        <f t="shared" si="73"/>
        <v>9.5229139999999983</v>
      </c>
      <c r="H3860" s="72"/>
      <c r="I3860" s="73"/>
      <c r="J3860" s="148">
        <v>0</v>
      </c>
      <c r="K3860" s="222">
        <v>0</v>
      </c>
    </row>
    <row r="3861" spans="1:11" hidden="1" x14ac:dyDescent="0.25">
      <c r="A3861" s="207"/>
      <c r="B3861" s="205"/>
      <c r="C3861" s="35" t="s">
        <v>23</v>
      </c>
      <c r="D3861" s="46" t="s">
        <v>695</v>
      </c>
      <c r="E3861" s="36">
        <v>0.191</v>
      </c>
      <c r="F3861" s="53">
        <v>18.420500000000001</v>
      </c>
      <c r="G3861" s="53">
        <f t="shared" si="73"/>
        <v>3.5183155000000004</v>
      </c>
      <c r="H3861" s="72"/>
      <c r="I3861" s="73"/>
      <c r="J3861" s="148">
        <v>0</v>
      </c>
      <c r="K3861" s="222">
        <v>0</v>
      </c>
    </row>
    <row r="3862" spans="1:11" hidden="1" x14ac:dyDescent="0.25">
      <c r="A3862" s="207"/>
      <c r="B3862" s="205"/>
      <c r="C3862" s="35"/>
      <c r="D3862" s="46"/>
      <c r="E3862" s="36"/>
      <c r="F3862" s="53" t="s">
        <v>514</v>
      </c>
      <c r="G3862" s="53" t="str">
        <f t="shared" si="73"/>
        <v/>
      </c>
      <c r="H3862" s="72"/>
      <c r="I3862" s="73"/>
      <c r="J3862" s="148">
        <v>0</v>
      </c>
      <c r="K3862" s="222">
        <v>0</v>
      </c>
    </row>
    <row r="3863" spans="1:11" ht="15.75" hidden="1" thickBot="1" x14ac:dyDescent="0.3">
      <c r="A3863" s="202" t="s">
        <v>1125</v>
      </c>
      <c r="B3863" s="204" t="str">
        <f>INDEX(Orçamentária!A:B,MATCH(Composições!A3863,Orçamentária!A:A,0),2)</f>
        <v>Janela em alumínio</v>
      </c>
      <c r="C3863" s="40"/>
      <c r="D3863" s="25" t="str">
        <f>TRIM(INDEX(Orçamentária!C:C,MATCH(Composições!A3863,Orçamentária!A:A,0),1))</f>
        <v>m2</v>
      </c>
      <c r="E3863" s="26"/>
      <c r="F3863" s="48" t="s">
        <v>514</v>
      </c>
      <c r="G3863" s="27" t="str">
        <f t="shared" si="73"/>
        <v/>
      </c>
      <c r="H3863" s="28"/>
      <c r="I3863" s="29"/>
      <c r="J3863" s="148">
        <v>0</v>
      </c>
      <c r="K3863" s="222">
        <v>0</v>
      </c>
    </row>
    <row r="3864" spans="1:11" hidden="1" x14ac:dyDescent="0.25">
      <c r="A3864" s="207"/>
      <c r="B3864" s="205"/>
      <c r="C3864" s="31"/>
      <c r="D3864" s="31"/>
      <c r="E3864" s="32"/>
      <c r="F3864" s="53" t="s">
        <v>514</v>
      </c>
      <c r="G3864" s="53" t="str">
        <f t="shared" si="73"/>
        <v/>
      </c>
      <c r="H3864" s="72"/>
      <c r="I3864" s="73"/>
      <c r="J3864" s="148">
        <v>0</v>
      </c>
      <c r="K3864" s="222">
        <v>0</v>
      </c>
    </row>
    <row r="3865" spans="1:11" ht="38.25" hidden="1" x14ac:dyDescent="0.25">
      <c r="A3865" s="207"/>
      <c r="B3865" s="205"/>
      <c r="C3865" s="35" t="s">
        <v>1126</v>
      </c>
      <c r="D3865" s="46" t="s">
        <v>278</v>
      </c>
      <c r="E3865" s="36">
        <v>24.4</v>
      </c>
      <c r="F3865" s="53">
        <v>0.18049999999999999</v>
      </c>
      <c r="G3865" s="53">
        <f t="shared" si="73"/>
        <v>4.4041999999999994</v>
      </c>
      <c r="H3865" s="38">
        <f>SUM(G3865:G3869)</f>
        <v>700.06279284999982</v>
      </c>
      <c r="I3865" s="39"/>
      <c r="J3865" s="148">
        <v>0</v>
      </c>
      <c r="K3865" s="222">
        <v>0</v>
      </c>
    </row>
    <row r="3866" spans="1:11" ht="38.25" hidden="1" x14ac:dyDescent="0.25">
      <c r="A3866" s="207"/>
      <c r="B3866" s="205"/>
      <c r="C3866" s="35" t="s">
        <v>6770</v>
      </c>
      <c r="D3866" s="46" t="s">
        <v>278</v>
      </c>
      <c r="E3866" s="36">
        <v>2.0832999999999999</v>
      </c>
      <c r="F3866" s="53">
        <v>291.37449999999995</v>
      </c>
      <c r="G3866" s="53">
        <f t="shared" si="73"/>
        <v>607.02049584999986</v>
      </c>
      <c r="H3866" s="72"/>
      <c r="I3866" s="73"/>
      <c r="J3866" s="148">
        <v>0</v>
      </c>
      <c r="K3866" s="222">
        <v>0</v>
      </c>
    </row>
    <row r="3867" spans="1:11" hidden="1" x14ac:dyDescent="0.25">
      <c r="A3867" s="207"/>
      <c r="B3867" s="205"/>
      <c r="C3867" s="35" t="s">
        <v>1117</v>
      </c>
      <c r="D3867" s="35" t="s">
        <v>278</v>
      </c>
      <c r="E3867" s="36">
        <v>1.2466999999999999</v>
      </c>
      <c r="F3867" s="53">
        <v>24.414999999999999</v>
      </c>
      <c r="G3867" s="53">
        <f t="shared" si="73"/>
        <v>30.438180499999998</v>
      </c>
      <c r="H3867" s="72"/>
      <c r="I3867" s="73"/>
      <c r="J3867" s="148">
        <v>0</v>
      </c>
      <c r="K3867" s="222">
        <v>0</v>
      </c>
    </row>
    <row r="3868" spans="1:11" hidden="1" x14ac:dyDescent="0.25">
      <c r="A3868" s="207"/>
      <c r="B3868" s="205"/>
      <c r="C3868" s="35" t="s">
        <v>703</v>
      </c>
      <c r="D3868" s="35" t="s">
        <v>695</v>
      </c>
      <c r="E3868" s="36">
        <v>1.7070000000000001</v>
      </c>
      <c r="F3868" s="53">
        <v>24.889999999999997</v>
      </c>
      <c r="G3868" s="53">
        <f t="shared" si="73"/>
        <v>42.487229999999997</v>
      </c>
      <c r="H3868" s="72"/>
      <c r="I3868" s="73"/>
      <c r="J3868" s="148">
        <v>0</v>
      </c>
      <c r="K3868" s="222">
        <v>0</v>
      </c>
    </row>
    <row r="3869" spans="1:11" hidden="1" x14ac:dyDescent="0.25">
      <c r="A3869" s="207"/>
      <c r="B3869" s="205"/>
      <c r="C3869" s="35" t="s">
        <v>696</v>
      </c>
      <c r="D3869" s="46" t="s">
        <v>695</v>
      </c>
      <c r="E3869" s="36">
        <v>0.85299999999999998</v>
      </c>
      <c r="F3869" s="53">
        <v>18.420500000000001</v>
      </c>
      <c r="G3869" s="53">
        <f t="shared" si="73"/>
        <v>15.7126865</v>
      </c>
      <c r="H3869" s="72"/>
      <c r="I3869" s="73"/>
      <c r="J3869" s="148">
        <v>0</v>
      </c>
      <c r="K3869" s="222">
        <v>0</v>
      </c>
    </row>
    <row r="3870" spans="1:11" hidden="1" x14ac:dyDescent="0.25">
      <c r="A3870" s="207"/>
      <c r="B3870" s="205"/>
      <c r="C3870" s="35"/>
      <c r="D3870" s="46"/>
      <c r="E3870" s="36"/>
      <c r="F3870" s="53" t="s">
        <v>514</v>
      </c>
      <c r="G3870" s="53" t="str">
        <f t="shared" si="73"/>
        <v/>
      </c>
      <c r="H3870" s="72"/>
      <c r="I3870" s="73"/>
      <c r="J3870" s="148">
        <v>0</v>
      </c>
      <c r="K3870" s="222">
        <v>0</v>
      </c>
    </row>
    <row r="3871" spans="1:11" ht="15.75" hidden="1" thickBot="1" x14ac:dyDescent="0.3">
      <c r="A3871" s="202" t="s">
        <v>1127</v>
      </c>
      <c r="B3871" s="204" t="str">
        <f>INDEX(Orçamentária!A:B,MATCH(Composições!A3871,Orçamentária!A:A,0),2)</f>
        <v>Porta metálica de enrolar</v>
      </c>
      <c r="C3871" s="40"/>
      <c r="D3871" s="25" t="str">
        <f>TRIM(INDEX(Orçamentária!C:C,MATCH(Composições!A3871,Orçamentária!A:A,0),1))</f>
        <v>m2</v>
      </c>
      <c r="E3871" s="26"/>
      <c r="F3871" s="48" t="s">
        <v>514</v>
      </c>
      <c r="G3871" s="27" t="str">
        <f t="shared" si="73"/>
        <v/>
      </c>
      <c r="H3871" s="28"/>
      <c r="I3871" s="29"/>
      <c r="J3871" s="148">
        <v>0</v>
      </c>
      <c r="K3871" s="222">
        <v>0</v>
      </c>
    </row>
    <row r="3872" spans="1:11" hidden="1" x14ac:dyDescent="0.25">
      <c r="A3872" s="207"/>
      <c r="B3872" s="205"/>
      <c r="C3872" s="31"/>
      <c r="D3872" s="31"/>
      <c r="E3872" s="32"/>
      <c r="F3872" s="53" t="s">
        <v>514</v>
      </c>
      <c r="G3872" s="53" t="str">
        <f t="shared" si="73"/>
        <v/>
      </c>
      <c r="H3872" s="72"/>
      <c r="I3872" s="73"/>
      <c r="J3872" s="148">
        <v>0</v>
      </c>
      <c r="K3872" s="222">
        <v>0</v>
      </c>
    </row>
    <row r="3873" spans="1:11" ht="38.25" hidden="1" x14ac:dyDescent="0.25">
      <c r="A3873" s="207"/>
      <c r="B3873" s="205"/>
      <c r="C3873" s="35" t="s">
        <v>1128</v>
      </c>
      <c r="D3873" s="46" t="s">
        <v>982</v>
      </c>
      <c r="E3873" s="36">
        <v>1</v>
      </c>
      <c r="F3873" s="53">
        <v>410.97</v>
      </c>
      <c r="G3873" s="53">
        <f t="shared" si="73"/>
        <v>410.97</v>
      </c>
      <c r="H3873" s="38">
        <f>SUM(G3873:G3879)</f>
        <v>462.19095586464999</v>
      </c>
      <c r="I3873" s="39"/>
      <c r="J3873" s="148">
        <v>0</v>
      </c>
      <c r="K3873" s="222">
        <v>0</v>
      </c>
    </row>
    <row r="3874" spans="1:11" hidden="1" x14ac:dyDescent="0.25">
      <c r="A3874" s="207"/>
      <c r="B3874" s="205"/>
      <c r="C3874" s="35" t="s">
        <v>703</v>
      </c>
      <c r="D3874" s="46" t="s">
        <v>695</v>
      </c>
      <c r="E3874" s="36">
        <v>1</v>
      </c>
      <c r="F3874" s="53">
        <v>24.889999999999997</v>
      </c>
      <c r="G3874" s="53">
        <f t="shared" si="73"/>
        <v>24.889999999999997</v>
      </c>
      <c r="H3874" s="72"/>
      <c r="I3874" s="73"/>
      <c r="J3874" s="148">
        <v>0</v>
      </c>
      <c r="K3874" s="222">
        <v>0</v>
      </c>
    </row>
    <row r="3875" spans="1:11" hidden="1" x14ac:dyDescent="0.25">
      <c r="A3875" s="207"/>
      <c r="B3875" s="205"/>
      <c r="C3875" s="35" t="s">
        <v>696</v>
      </c>
      <c r="D3875" s="35" t="s">
        <v>695</v>
      </c>
      <c r="E3875" s="36">
        <v>1.1000000000000001</v>
      </c>
      <c r="F3875" s="53">
        <v>18.420500000000001</v>
      </c>
      <c r="G3875" s="53">
        <f t="shared" si="73"/>
        <v>20.262550000000001</v>
      </c>
      <c r="H3875" s="72"/>
      <c r="I3875" s="73"/>
      <c r="J3875" s="148">
        <v>0</v>
      </c>
      <c r="K3875" s="222">
        <v>0</v>
      </c>
    </row>
    <row r="3876" spans="1:11" ht="25.5" hidden="1" x14ac:dyDescent="0.25">
      <c r="A3876" s="207"/>
      <c r="B3876" s="205"/>
      <c r="C3876" s="35" t="s">
        <v>744</v>
      </c>
      <c r="D3876" s="46" t="s">
        <v>119</v>
      </c>
      <c r="E3876" s="36">
        <v>1.2999999999999999E-2</v>
      </c>
      <c r="F3876" s="53">
        <v>185.66799999999998</v>
      </c>
      <c r="G3876" s="53">
        <f t="shared" si="73"/>
        <v>2.4136839999999995</v>
      </c>
      <c r="H3876" s="72"/>
      <c r="I3876" s="73"/>
      <c r="J3876" s="148">
        <v>0</v>
      </c>
      <c r="K3876" s="222">
        <v>0</v>
      </c>
    </row>
    <row r="3877" spans="1:11" hidden="1" x14ac:dyDescent="0.25">
      <c r="A3877" s="207"/>
      <c r="B3877" s="205"/>
      <c r="C3877" s="35" t="s">
        <v>740</v>
      </c>
      <c r="D3877" s="46" t="s">
        <v>891</v>
      </c>
      <c r="E3877" s="36">
        <v>4.58</v>
      </c>
      <c r="F3877" s="53">
        <v>0.627</v>
      </c>
      <c r="G3877" s="53">
        <f t="shared" si="73"/>
        <v>2.8716599999999999</v>
      </c>
      <c r="H3877" s="72"/>
      <c r="I3877" s="73"/>
      <c r="J3877" s="148">
        <v>0</v>
      </c>
      <c r="K3877" s="222">
        <v>0</v>
      </c>
    </row>
    <row r="3878" spans="1:11" ht="51" hidden="1" x14ac:dyDescent="0.25">
      <c r="A3878" s="207"/>
      <c r="B3878" s="205"/>
      <c r="C3878" s="35" t="s">
        <v>3507</v>
      </c>
      <c r="D3878" s="35" t="s">
        <v>108</v>
      </c>
      <c r="E3878" s="36">
        <f>1*E3876</f>
        <v>1.2999999999999999E-2</v>
      </c>
      <c r="F3878" s="33">
        <v>7.7750840499999994</v>
      </c>
      <c r="G3878" s="33">
        <f t="shared" si="73"/>
        <v>0.10107609264999999</v>
      </c>
      <c r="H3878" s="34"/>
      <c r="I3878" s="30"/>
      <c r="J3878" s="148">
        <v>0</v>
      </c>
      <c r="K3878" s="222">
        <v>0</v>
      </c>
    </row>
    <row r="3879" spans="1:11" ht="38.25" hidden="1" x14ac:dyDescent="0.25">
      <c r="A3879" s="207"/>
      <c r="B3879" s="205"/>
      <c r="C3879" s="35" t="s">
        <v>120</v>
      </c>
      <c r="D3879" s="46" t="s">
        <v>121</v>
      </c>
      <c r="E3879" s="36">
        <f>E3876*20</f>
        <v>0.26</v>
      </c>
      <c r="F3879" s="53">
        <v>2.6230221999999994</v>
      </c>
      <c r="G3879" s="53">
        <f t="shared" si="73"/>
        <v>0.68198577199999988</v>
      </c>
      <c r="H3879" s="72"/>
      <c r="I3879" s="73"/>
      <c r="J3879" s="148">
        <v>0</v>
      </c>
      <c r="K3879" s="222">
        <v>0</v>
      </c>
    </row>
    <row r="3880" spans="1:11" hidden="1" x14ac:dyDescent="0.25">
      <c r="A3880" s="207"/>
      <c r="B3880" s="205"/>
      <c r="C3880" s="50"/>
      <c r="D3880" s="46"/>
      <c r="E3880" s="36"/>
      <c r="F3880" s="53" t="s">
        <v>514</v>
      </c>
      <c r="G3880" s="53" t="str">
        <f t="shared" si="73"/>
        <v/>
      </c>
      <c r="H3880" s="72"/>
      <c r="I3880" s="73"/>
      <c r="J3880" s="148">
        <v>0</v>
      </c>
      <c r="K3880" s="222">
        <v>0</v>
      </c>
    </row>
    <row r="3881" spans="1:11" hidden="1" x14ac:dyDescent="0.25">
      <c r="A3881" s="207"/>
      <c r="B3881" s="205"/>
      <c r="C3881" s="47" t="s">
        <v>747</v>
      </c>
      <c r="D3881" s="46"/>
      <c r="E3881" s="36"/>
      <c r="F3881" s="53" t="s">
        <v>514</v>
      </c>
      <c r="G3881" s="53" t="str">
        <f t="shared" si="73"/>
        <v/>
      </c>
      <c r="H3881" s="72"/>
      <c r="I3881" s="73"/>
      <c r="J3881" s="148">
        <v>0</v>
      </c>
      <c r="K3881" s="222">
        <v>0</v>
      </c>
    </row>
    <row r="3882" spans="1:11" ht="15.75" hidden="1" thickBot="1" x14ac:dyDescent="0.3">
      <c r="A3882" s="208"/>
      <c r="B3882" s="206"/>
      <c r="C3882" s="47"/>
      <c r="D3882" s="46"/>
      <c r="E3882" s="36"/>
      <c r="F3882" s="53" t="s">
        <v>514</v>
      </c>
      <c r="G3882" s="53" t="str">
        <f t="shared" si="73"/>
        <v/>
      </c>
      <c r="H3882" s="72"/>
      <c r="I3882" s="73"/>
      <c r="J3882" s="148">
        <v>0</v>
      </c>
      <c r="K3882" s="222">
        <v>0</v>
      </c>
    </row>
    <row r="3883" spans="1:11" ht="15.75" hidden="1" thickBot="1" x14ac:dyDescent="0.3">
      <c r="A3883" s="202" t="s">
        <v>1129</v>
      </c>
      <c r="B3883" s="204" t="str">
        <f>INDEX(Orçamentária!A:B,MATCH(Composições!A3883,Orçamentária!A:A,0),2)</f>
        <v>Medidor de Gás</v>
      </c>
      <c r="C3883" s="40"/>
      <c r="D3883" s="25" t="str">
        <f>TRIM(INDEX(Orçamentária!C:C,MATCH(Composições!A3883,Orçamentária!A:A,0),1))</f>
        <v>un</v>
      </c>
      <c r="E3883" s="26"/>
      <c r="F3883" s="48" t="s">
        <v>514</v>
      </c>
      <c r="G3883" s="27" t="str">
        <f t="shared" si="73"/>
        <v/>
      </c>
      <c r="H3883" s="28"/>
      <c r="I3883" s="29"/>
      <c r="J3883" s="148">
        <v>0</v>
      </c>
      <c r="K3883" s="222">
        <v>0</v>
      </c>
    </row>
    <row r="3884" spans="1:11" hidden="1" x14ac:dyDescent="0.25">
      <c r="A3884" s="207"/>
      <c r="B3884" s="205"/>
      <c r="C3884" s="31"/>
      <c r="D3884" s="31"/>
      <c r="E3884" s="32"/>
      <c r="F3884" s="53" t="s">
        <v>514</v>
      </c>
      <c r="G3884" s="53" t="str">
        <f t="shared" ref="G3884:G3947" si="74">IF(ISNUMBER(F3884),E3884*F3884,"")</f>
        <v/>
      </c>
      <c r="H3884" s="72"/>
      <c r="I3884" s="73"/>
      <c r="J3884" s="148">
        <v>0</v>
      </c>
      <c r="K3884" s="222">
        <v>0</v>
      </c>
    </row>
    <row r="3885" spans="1:11" hidden="1" x14ac:dyDescent="0.25">
      <c r="A3885" s="207"/>
      <c r="B3885" s="205"/>
      <c r="C3885" s="35" t="s">
        <v>317</v>
      </c>
      <c r="D3885" s="46" t="s">
        <v>278</v>
      </c>
      <c r="E3885" s="36">
        <v>0.20519999999999999</v>
      </c>
      <c r="F3885" s="53">
        <v>14.8865</v>
      </c>
      <c r="G3885" s="53">
        <f t="shared" si="74"/>
        <v>3.0547097999999999</v>
      </c>
      <c r="H3885" s="38">
        <f>SUM(G3885:G3896)</f>
        <v>713.58876839999994</v>
      </c>
      <c r="I3885" s="39"/>
      <c r="J3885" s="148">
        <v>0</v>
      </c>
      <c r="K3885" s="222">
        <v>0</v>
      </c>
    </row>
    <row r="3886" spans="1:11" ht="25.5" hidden="1" x14ac:dyDescent="0.25">
      <c r="A3886" s="207"/>
      <c r="B3886" s="205"/>
      <c r="C3886" s="35" t="s">
        <v>1130</v>
      </c>
      <c r="D3886" s="46" t="s">
        <v>278</v>
      </c>
      <c r="E3886" s="36">
        <v>2</v>
      </c>
      <c r="F3886" s="53">
        <v>15.513499999999997</v>
      </c>
      <c r="G3886" s="53">
        <f t="shared" si="74"/>
        <v>31.026999999999994</v>
      </c>
      <c r="H3886" s="72"/>
      <c r="I3886" s="73"/>
      <c r="J3886" s="148">
        <v>0</v>
      </c>
      <c r="K3886" s="222">
        <v>0</v>
      </c>
    </row>
    <row r="3887" spans="1:11" hidden="1" x14ac:dyDescent="0.25">
      <c r="A3887" s="207"/>
      <c r="B3887" s="205"/>
      <c r="C3887" s="35" t="s">
        <v>1131</v>
      </c>
      <c r="D3887" s="46" t="s">
        <v>278</v>
      </c>
      <c r="E3887" s="36">
        <v>4</v>
      </c>
      <c r="F3887" s="53">
        <v>11.504499999999998</v>
      </c>
      <c r="G3887" s="53">
        <f t="shared" si="74"/>
        <v>46.017999999999994</v>
      </c>
      <c r="H3887" s="72"/>
      <c r="I3887" s="73"/>
      <c r="J3887" s="148">
        <v>0</v>
      </c>
      <c r="K3887" s="222">
        <v>0</v>
      </c>
    </row>
    <row r="3888" spans="1:11" hidden="1" x14ac:dyDescent="0.25">
      <c r="A3888" s="207"/>
      <c r="B3888" s="205"/>
      <c r="C3888" s="35" t="s">
        <v>1132</v>
      </c>
      <c r="D3888" s="46" t="s">
        <v>278</v>
      </c>
      <c r="E3888" s="36">
        <v>2</v>
      </c>
      <c r="F3888" s="53">
        <v>4.1040000000000001</v>
      </c>
      <c r="G3888" s="53">
        <f t="shared" si="74"/>
        <v>8.2080000000000002</v>
      </c>
      <c r="H3888" s="72"/>
      <c r="I3888" s="73"/>
      <c r="J3888" s="148">
        <v>0</v>
      </c>
      <c r="K3888" s="222">
        <v>0</v>
      </c>
    </row>
    <row r="3889" spans="1:11" ht="25.5" hidden="1" x14ac:dyDescent="0.25">
      <c r="A3889" s="207"/>
      <c r="B3889" s="205"/>
      <c r="C3889" s="35" t="s">
        <v>1133</v>
      </c>
      <c r="D3889" s="46" t="s">
        <v>278</v>
      </c>
      <c r="E3889" s="36">
        <v>2</v>
      </c>
      <c r="F3889" s="53">
        <v>25.231999999999999</v>
      </c>
      <c r="G3889" s="53">
        <f t="shared" si="74"/>
        <v>50.463999999999999</v>
      </c>
      <c r="H3889" s="72"/>
      <c r="I3889" s="73"/>
      <c r="J3889" s="148">
        <v>0</v>
      </c>
      <c r="K3889" s="222">
        <v>0</v>
      </c>
    </row>
    <row r="3890" spans="1:11" ht="25.5" hidden="1" x14ac:dyDescent="0.25">
      <c r="A3890" s="207"/>
      <c r="B3890" s="205"/>
      <c r="C3890" s="35" t="s">
        <v>1134</v>
      </c>
      <c r="D3890" s="46" t="s">
        <v>278</v>
      </c>
      <c r="E3890" s="36">
        <v>1</v>
      </c>
      <c r="F3890" s="53">
        <v>33.126499999999993</v>
      </c>
      <c r="G3890" s="53">
        <f t="shared" si="74"/>
        <v>33.126499999999993</v>
      </c>
      <c r="H3890" s="72"/>
      <c r="I3890" s="73"/>
      <c r="J3890" s="148">
        <v>0</v>
      </c>
      <c r="K3890" s="222">
        <v>0</v>
      </c>
    </row>
    <row r="3891" spans="1:11" hidden="1" x14ac:dyDescent="0.25">
      <c r="A3891" s="207"/>
      <c r="B3891" s="205"/>
      <c r="C3891" s="35" t="s">
        <v>1135</v>
      </c>
      <c r="D3891" s="46" t="s">
        <v>278</v>
      </c>
      <c r="E3891" s="36">
        <v>3</v>
      </c>
      <c r="F3891" s="53">
        <v>81.348499999999987</v>
      </c>
      <c r="G3891" s="53">
        <f t="shared" si="74"/>
        <v>244.04549999999995</v>
      </c>
      <c r="H3891" s="72"/>
      <c r="I3891" s="73"/>
      <c r="J3891" s="148">
        <v>0</v>
      </c>
      <c r="K3891" s="222">
        <v>0</v>
      </c>
    </row>
    <row r="3892" spans="1:11" hidden="1" x14ac:dyDescent="0.25">
      <c r="A3892" s="207"/>
      <c r="B3892" s="205"/>
      <c r="C3892" s="35" t="s">
        <v>1136</v>
      </c>
      <c r="D3892" s="46" t="s">
        <v>278</v>
      </c>
      <c r="E3892" s="36">
        <v>2</v>
      </c>
      <c r="F3892" s="53">
        <v>52.202500000000001</v>
      </c>
      <c r="G3892" s="53">
        <f t="shared" si="74"/>
        <v>104.405</v>
      </c>
      <c r="H3892" s="72"/>
      <c r="I3892" s="73"/>
      <c r="J3892" s="148">
        <v>0</v>
      </c>
      <c r="K3892" s="222">
        <v>0</v>
      </c>
    </row>
    <row r="3893" spans="1:11" ht="25.5" hidden="1" x14ac:dyDescent="0.25">
      <c r="A3893" s="207"/>
      <c r="B3893" s="205"/>
      <c r="C3893" s="35" t="s">
        <v>1137</v>
      </c>
      <c r="D3893" s="46" t="s">
        <v>473</v>
      </c>
      <c r="E3893" s="36">
        <v>0.72729999999999995</v>
      </c>
      <c r="F3893" s="53">
        <v>40.963999999999999</v>
      </c>
      <c r="G3893" s="53">
        <f t="shared" si="74"/>
        <v>29.793117199999998</v>
      </c>
      <c r="H3893" s="72"/>
      <c r="I3893" s="73"/>
      <c r="J3893" s="148">
        <v>0</v>
      </c>
      <c r="K3893" s="222">
        <v>0</v>
      </c>
    </row>
    <row r="3894" spans="1:11" ht="25.5" hidden="1" x14ac:dyDescent="0.25">
      <c r="A3894" s="207"/>
      <c r="B3894" s="205"/>
      <c r="C3894" s="35" t="s">
        <v>943</v>
      </c>
      <c r="D3894" s="46" t="s">
        <v>695</v>
      </c>
      <c r="E3894" s="36">
        <v>1.6462000000000001</v>
      </c>
      <c r="F3894" s="53">
        <v>19.094999999999999</v>
      </c>
      <c r="G3894" s="53">
        <f t="shared" si="74"/>
        <v>31.434189</v>
      </c>
      <c r="H3894" s="72"/>
      <c r="I3894" s="73"/>
      <c r="J3894" s="148">
        <v>0</v>
      </c>
      <c r="K3894" s="222">
        <v>0</v>
      </c>
    </row>
    <row r="3895" spans="1:11" ht="25.5" hidden="1" x14ac:dyDescent="0.25">
      <c r="A3895" s="207"/>
      <c r="B3895" s="205"/>
      <c r="C3895" s="35" t="s">
        <v>944</v>
      </c>
      <c r="D3895" s="46" t="s">
        <v>695</v>
      </c>
      <c r="E3895" s="36">
        <v>5.4324000000000003</v>
      </c>
      <c r="F3895" s="53">
        <v>24.300999999999998</v>
      </c>
      <c r="G3895" s="53">
        <f t="shared" si="74"/>
        <v>132.01275240000001</v>
      </c>
      <c r="H3895" s="72"/>
      <c r="I3895" s="73"/>
      <c r="J3895" s="148">
        <v>0</v>
      </c>
      <c r="K3895" s="222">
        <v>0</v>
      </c>
    </row>
    <row r="3896" spans="1:11" hidden="1" x14ac:dyDescent="0.25">
      <c r="A3896" s="207"/>
      <c r="B3896" s="205"/>
      <c r="C3896" s="35" t="s">
        <v>1138</v>
      </c>
      <c r="D3896" s="46" t="s">
        <v>278</v>
      </c>
      <c r="E3896" s="36">
        <v>1</v>
      </c>
      <c r="F3896" s="53" t="s">
        <v>514</v>
      </c>
      <c r="G3896" s="53" t="str">
        <f t="shared" si="74"/>
        <v/>
      </c>
      <c r="H3896" s="72"/>
      <c r="I3896" s="73"/>
      <c r="J3896" s="148">
        <v>0</v>
      </c>
      <c r="K3896" s="222">
        <v>0</v>
      </c>
    </row>
    <row r="3897" spans="1:11" ht="15.75" hidden="1" thickBot="1" x14ac:dyDescent="0.3">
      <c r="A3897" s="207"/>
      <c r="B3897" s="205"/>
      <c r="C3897" s="54"/>
      <c r="D3897" s="54"/>
      <c r="E3897" s="65"/>
      <c r="F3897" s="75" t="s">
        <v>514</v>
      </c>
      <c r="G3897" s="75" t="str">
        <f t="shared" si="74"/>
        <v/>
      </c>
      <c r="H3897" s="76"/>
      <c r="I3897" s="73"/>
      <c r="J3897" s="148">
        <v>0</v>
      </c>
      <c r="K3897" s="222">
        <v>0</v>
      </c>
    </row>
    <row r="3898" spans="1:11" ht="15.75" hidden="1" thickBot="1" x14ac:dyDescent="0.3">
      <c r="A3898" s="202" t="s">
        <v>1139</v>
      </c>
      <c r="B3898" s="204" t="str">
        <f>INDEX(Orçamentária!A:B,MATCH(Composições!A3898,Orçamentária!A:A,0),2)</f>
        <v>Registro Esfera para Gás 3/4”</v>
      </c>
      <c r="C3898" s="40"/>
      <c r="D3898" s="25" t="str">
        <f>TRIM(INDEX(Orçamentária!C:C,MATCH(Composições!A3898,Orçamentária!A:A,0),1))</f>
        <v>un</v>
      </c>
      <c r="E3898" s="26"/>
      <c r="F3898" s="48" t="s">
        <v>514</v>
      </c>
      <c r="G3898" s="27" t="str">
        <f t="shared" si="74"/>
        <v/>
      </c>
      <c r="H3898" s="28"/>
      <c r="I3898" s="29"/>
      <c r="J3898" s="148">
        <v>0</v>
      </c>
      <c r="K3898" s="222">
        <v>0</v>
      </c>
    </row>
    <row r="3899" spans="1:11" hidden="1" x14ac:dyDescent="0.25">
      <c r="A3899" s="207"/>
      <c r="B3899" s="205"/>
      <c r="C3899" s="31"/>
      <c r="D3899" s="31"/>
      <c r="E3899" s="32"/>
      <c r="F3899" s="53" t="s">
        <v>514</v>
      </c>
      <c r="G3899" s="53" t="str">
        <f t="shared" si="74"/>
        <v/>
      </c>
      <c r="H3899" s="72"/>
      <c r="I3899" s="73"/>
      <c r="J3899" s="148">
        <v>0</v>
      </c>
      <c r="K3899" s="222">
        <v>0</v>
      </c>
    </row>
    <row r="3900" spans="1:11" hidden="1" x14ac:dyDescent="0.25">
      <c r="A3900" s="207"/>
      <c r="B3900" s="205"/>
      <c r="C3900" s="35" t="s">
        <v>317</v>
      </c>
      <c r="D3900" s="35" t="s">
        <v>278</v>
      </c>
      <c r="E3900" s="36">
        <v>1.06E-2</v>
      </c>
      <c r="F3900" s="53">
        <v>14.8865</v>
      </c>
      <c r="G3900" s="53">
        <f t="shared" si="74"/>
        <v>0.15779689999999999</v>
      </c>
      <c r="H3900" s="38">
        <f>SUM(G3900:G3903)</f>
        <v>4.9400361000000004</v>
      </c>
      <c r="I3900" s="39"/>
      <c r="J3900" s="148">
        <v>0</v>
      </c>
      <c r="K3900" s="222">
        <v>0</v>
      </c>
    </row>
    <row r="3901" spans="1:11" hidden="1" x14ac:dyDescent="0.25">
      <c r="A3901" s="207"/>
      <c r="B3901" s="205"/>
      <c r="C3901" s="35" t="s">
        <v>1140</v>
      </c>
      <c r="D3901" s="35" t="s">
        <v>278</v>
      </c>
      <c r="E3901" s="36">
        <v>1</v>
      </c>
      <c r="F3901" s="53" t="s">
        <v>514</v>
      </c>
      <c r="G3901" s="53" t="str">
        <f t="shared" si="74"/>
        <v/>
      </c>
      <c r="H3901" s="72"/>
      <c r="I3901" s="73"/>
      <c r="J3901" s="148">
        <v>0</v>
      </c>
      <c r="K3901" s="222">
        <v>0</v>
      </c>
    </row>
    <row r="3902" spans="1:11" ht="25.5" hidden="1" x14ac:dyDescent="0.25">
      <c r="A3902" s="207"/>
      <c r="B3902" s="205"/>
      <c r="C3902" s="35" t="s">
        <v>943</v>
      </c>
      <c r="D3902" s="35" t="s">
        <v>695</v>
      </c>
      <c r="E3902" s="36">
        <v>0.11020000000000001</v>
      </c>
      <c r="F3902" s="53">
        <v>19.094999999999999</v>
      </c>
      <c r="G3902" s="53">
        <f t="shared" si="74"/>
        <v>2.1042689999999999</v>
      </c>
      <c r="H3902" s="72"/>
      <c r="I3902" s="73"/>
      <c r="J3902" s="148">
        <v>0</v>
      </c>
      <c r="K3902" s="222">
        <v>0</v>
      </c>
    </row>
    <row r="3903" spans="1:11" ht="25.5" hidden="1" x14ac:dyDescent="0.25">
      <c r="A3903" s="207"/>
      <c r="B3903" s="205"/>
      <c r="C3903" s="35" t="s">
        <v>944</v>
      </c>
      <c r="D3903" s="35" t="s">
        <v>695</v>
      </c>
      <c r="E3903" s="36">
        <v>0.11020000000000001</v>
      </c>
      <c r="F3903" s="53">
        <v>24.300999999999998</v>
      </c>
      <c r="G3903" s="53">
        <f t="shared" si="74"/>
        <v>2.6779701999999999</v>
      </c>
      <c r="H3903" s="72"/>
      <c r="I3903" s="73"/>
      <c r="J3903" s="148">
        <v>0</v>
      </c>
      <c r="K3903" s="222">
        <v>0</v>
      </c>
    </row>
    <row r="3904" spans="1:11" ht="15.75" hidden="1" thickBot="1" x14ac:dyDescent="0.3">
      <c r="A3904" s="207"/>
      <c r="B3904" s="205"/>
      <c r="C3904" s="54"/>
      <c r="D3904" s="54"/>
      <c r="E3904" s="65"/>
      <c r="F3904" s="75" t="s">
        <v>514</v>
      </c>
      <c r="G3904" s="75" t="str">
        <f t="shared" si="74"/>
        <v/>
      </c>
      <c r="H3904" s="76"/>
      <c r="I3904" s="73"/>
      <c r="J3904" s="148">
        <v>0</v>
      </c>
      <c r="K3904" s="222">
        <v>0</v>
      </c>
    </row>
    <row r="3905" spans="1:11" ht="15.75" hidden="1" thickBot="1" x14ac:dyDescent="0.3">
      <c r="A3905" s="202" t="s">
        <v>1141</v>
      </c>
      <c r="B3905" s="204" t="str">
        <f>INDEX(Orçamentária!A:B,MATCH(Composições!A3905,Orçamentária!A:A,0),2)</f>
        <v>Placa de Concreto Pré-Moldado 15 Mpa</v>
      </c>
      <c r="C3905" s="40"/>
      <c r="D3905" s="25" t="str">
        <f>TRIM(INDEX(Orçamentária!C:C,MATCH(Composições!A3905,Orçamentária!A:A,0),1))</f>
        <v>m3</v>
      </c>
      <c r="E3905" s="26"/>
      <c r="F3905" s="48" t="s">
        <v>514</v>
      </c>
      <c r="G3905" s="27" t="str">
        <f t="shared" si="74"/>
        <v/>
      </c>
      <c r="H3905" s="28"/>
      <c r="I3905" s="29"/>
      <c r="J3905" s="148">
        <v>0</v>
      </c>
      <c r="K3905" s="222">
        <v>0</v>
      </c>
    </row>
    <row r="3906" spans="1:11" hidden="1" x14ac:dyDescent="0.25">
      <c r="A3906" s="207"/>
      <c r="B3906" s="205"/>
      <c r="C3906" s="31"/>
      <c r="D3906" s="31"/>
      <c r="E3906" s="32"/>
      <c r="F3906" s="53" t="s">
        <v>514</v>
      </c>
      <c r="G3906" s="53" t="str">
        <f t="shared" si="74"/>
        <v/>
      </c>
      <c r="H3906" s="72"/>
      <c r="I3906" s="73"/>
      <c r="J3906" s="148">
        <v>0</v>
      </c>
      <c r="K3906" s="222">
        <v>0</v>
      </c>
    </row>
    <row r="3907" spans="1:11" ht="38.25" hidden="1" x14ac:dyDescent="0.25">
      <c r="A3907" s="207"/>
      <c r="B3907" s="205"/>
      <c r="C3907" s="35" t="s">
        <v>6768</v>
      </c>
      <c r="D3907" s="35" t="s">
        <v>982</v>
      </c>
      <c r="E3907" s="36">
        <v>0.75829999999999997</v>
      </c>
      <c r="F3907" s="53">
        <v>60.391500000000001</v>
      </c>
      <c r="G3907" s="53">
        <f t="shared" si="74"/>
        <v>45.794874450000002</v>
      </c>
      <c r="H3907" s="38">
        <f>SUM(G3907:G3921)</f>
        <v>1593.4366731368411</v>
      </c>
      <c r="I3907" s="39"/>
      <c r="J3907" s="148">
        <v>0</v>
      </c>
      <c r="K3907" s="222">
        <v>0</v>
      </c>
    </row>
    <row r="3908" spans="1:11" ht="25.5" hidden="1" x14ac:dyDescent="0.25">
      <c r="A3908" s="207"/>
      <c r="B3908" s="205"/>
      <c r="C3908" s="35" t="s">
        <v>1142</v>
      </c>
      <c r="D3908" s="35" t="s">
        <v>101</v>
      </c>
      <c r="E3908" s="36">
        <v>3.3399999999999999E-2</v>
      </c>
      <c r="F3908" s="53">
        <v>7.4005000000000001</v>
      </c>
      <c r="G3908" s="53">
        <f t="shared" si="74"/>
        <v>0.2471767</v>
      </c>
      <c r="H3908" s="72"/>
      <c r="I3908" s="73"/>
      <c r="J3908" s="148">
        <v>0</v>
      </c>
      <c r="K3908" s="222">
        <v>0</v>
      </c>
    </row>
    <row r="3909" spans="1:11" ht="25.5" hidden="1" x14ac:dyDescent="0.25">
      <c r="A3909" s="207"/>
      <c r="B3909" s="205"/>
      <c r="C3909" s="35" t="s">
        <v>3686</v>
      </c>
      <c r="D3909" s="35" t="s">
        <v>473</v>
      </c>
      <c r="E3909" s="36">
        <v>2.8315999999999999</v>
      </c>
      <c r="F3909" s="53">
        <v>2.907</v>
      </c>
      <c r="G3909" s="53">
        <f t="shared" si="74"/>
        <v>8.2314612</v>
      </c>
      <c r="H3909" s="72"/>
      <c r="I3909" s="73"/>
      <c r="J3909" s="148">
        <v>0</v>
      </c>
      <c r="K3909" s="222">
        <v>0</v>
      </c>
    </row>
    <row r="3910" spans="1:11" hidden="1" x14ac:dyDescent="0.25">
      <c r="A3910" s="207"/>
      <c r="B3910" s="205"/>
      <c r="C3910" s="35" t="s">
        <v>1143</v>
      </c>
      <c r="D3910" s="35" t="s">
        <v>891</v>
      </c>
      <c r="E3910" s="36">
        <v>6.0100000000000001E-2</v>
      </c>
      <c r="F3910" s="53">
        <v>25.060999999999996</v>
      </c>
      <c r="G3910" s="53">
        <f t="shared" si="74"/>
        <v>1.5061660999999997</v>
      </c>
      <c r="H3910" s="72"/>
      <c r="I3910" s="73"/>
      <c r="J3910" s="148">
        <v>0</v>
      </c>
      <c r="K3910" s="222">
        <v>0</v>
      </c>
    </row>
    <row r="3911" spans="1:11" hidden="1" x14ac:dyDescent="0.25">
      <c r="A3911" s="207"/>
      <c r="B3911" s="205"/>
      <c r="C3911" s="35" t="s">
        <v>6785</v>
      </c>
      <c r="D3911" s="35" t="s">
        <v>119</v>
      </c>
      <c r="E3911" s="36">
        <v>0.18540000000000001</v>
      </c>
      <c r="F3911" s="53">
        <v>323.45600000000002</v>
      </c>
      <c r="G3911" s="53">
        <f t="shared" si="74"/>
        <v>59.968742400000004</v>
      </c>
      <c r="H3911" s="72"/>
      <c r="I3911" s="73"/>
      <c r="J3911" s="148">
        <v>0</v>
      </c>
      <c r="K3911" s="222">
        <v>0</v>
      </c>
    </row>
    <row r="3912" spans="1:11" hidden="1" x14ac:dyDescent="0.25">
      <c r="A3912" s="207"/>
      <c r="B3912" s="205"/>
      <c r="C3912" s="35" t="s">
        <v>778</v>
      </c>
      <c r="D3912" s="35" t="s">
        <v>695</v>
      </c>
      <c r="E3912" s="36">
        <v>0.1865</v>
      </c>
      <c r="F3912" s="53">
        <v>19.494</v>
      </c>
      <c r="G3912" s="53">
        <f t="shared" si="74"/>
        <v>3.6356310000000001</v>
      </c>
      <c r="H3912" s="72"/>
      <c r="I3912" s="73"/>
      <c r="J3912" s="148">
        <v>0</v>
      </c>
      <c r="K3912" s="222">
        <v>0</v>
      </c>
    </row>
    <row r="3913" spans="1:11" hidden="1" x14ac:dyDescent="0.25">
      <c r="A3913" s="207"/>
      <c r="B3913" s="205"/>
      <c r="C3913" s="35" t="s">
        <v>694</v>
      </c>
      <c r="D3913" s="35" t="s">
        <v>695</v>
      </c>
      <c r="E3913" s="36">
        <v>0.93259999999999998</v>
      </c>
      <c r="F3913" s="53">
        <v>23.616999999999997</v>
      </c>
      <c r="G3913" s="53">
        <f t="shared" si="74"/>
        <v>22.025214199999997</v>
      </c>
      <c r="H3913" s="72"/>
      <c r="I3913" s="73"/>
      <c r="J3913" s="148">
        <v>0</v>
      </c>
      <c r="K3913" s="222">
        <v>0</v>
      </c>
    </row>
    <row r="3914" spans="1:11" hidden="1" x14ac:dyDescent="0.25">
      <c r="A3914" s="207"/>
      <c r="B3914" s="205"/>
      <c r="C3914" s="35" t="s">
        <v>703</v>
      </c>
      <c r="D3914" s="35" t="s">
        <v>695</v>
      </c>
      <c r="E3914" s="36">
        <v>6.7480000000000002</v>
      </c>
      <c r="F3914" s="53">
        <v>24.889999999999997</v>
      </c>
      <c r="G3914" s="53">
        <f t="shared" si="74"/>
        <v>167.95771999999999</v>
      </c>
      <c r="H3914" s="72"/>
      <c r="I3914" s="73"/>
      <c r="J3914" s="148">
        <v>0</v>
      </c>
      <c r="K3914" s="222">
        <v>0</v>
      </c>
    </row>
    <row r="3915" spans="1:11" hidden="1" x14ac:dyDescent="0.25">
      <c r="A3915" s="207"/>
      <c r="B3915" s="205"/>
      <c r="C3915" s="35" t="s">
        <v>696</v>
      </c>
      <c r="D3915" s="35" t="s">
        <v>695</v>
      </c>
      <c r="E3915" s="36">
        <v>6.7480000000000002</v>
      </c>
      <c r="F3915" s="53">
        <v>18.420500000000001</v>
      </c>
      <c r="G3915" s="53">
        <f t="shared" si="74"/>
        <v>124.301534</v>
      </c>
      <c r="H3915" s="72"/>
      <c r="I3915" s="73"/>
      <c r="J3915" s="148">
        <v>0</v>
      </c>
      <c r="K3915" s="222">
        <v>0</v>
      </c>
    </row>
    <row r="3916" spans="1:11" ht="25.5" hidden="1" x14ac:dyDescent="0.25">
      <c r="A3916" s="207"/>
      <c r="B3916" s="205"/>
      <c r="C3916" s="35" t="s">
        <v>1144</v>
      </c>
      <c r="D3916" s="35" t="s">
        <v>932</v>
      </c>
      <c r="E3916" s="36">
        <v>0.86770000000000003</v>
      </c>
      <c r="F3916" s="53">
        <v>1.1779999999999999</v>
      </c>
      <c r="G3916" s="53">
        <f t="shared" si="74"/>
        <v>1.0221506</v>
      </c>
      <c r="H3916" s="72"/>
      <c r="I3916" s="73"/>
      <c r="J3916" s="148">
        <v>0</v>
      </c>
      <c r="K3916" s="222">
        <v>0</v>
      </c>
    </row>
    <row r="3917" spans="1:11" ht="25.5" hidden="1" x14ac:dyDescent="0.25">
      <c r="A3917" s="207"/>
      <c r="B3917" s="205"/>
      <c r="C3917" s="35" t="s">
        <v>1145</v>
      </c>
      <c r="D3917" s="35" t="s">
        <v>934</v>
      </c>
      <c r="E3917" s="36">
        <v>2.3860000000000001</v>
      </c>
      <c r="F3917" s="53">
        <v>0.53200000000000003</v>
      </c>
      <c r="G3917" s="53">
        <f t="shared" si="74"/>
        <v>1.269352</v>
      </c>
      <c r="H3917" s="72"/>
      <c r="I3917" s="73"/>
      <c r="J3917" s="148">
        <v>0</v>
      </c>
      <c r="K3917" s="222">
        <v>0</v>
      </c>
    </row>
    <row r="3918" spans="1:11" ht="25.5" hidden="1" x14ac:dyDescent="0.25">
      <c r="A3918" s="207"/>
      <c r="B3918" s="205"/>
      <c r="C3918" s="35" t="s">
        <v>1146</v>
      </c>
      <c r="D3918" s="35" t="s">
        <v>932</v>
      </c>
      <c r="E3918" s="36">
        <v>8.9399999999999993E-2</v>
      </c>
      <c r="F3918" s="53">
        <v>20.234999999999999</v>
      </c>
      <c r="G3918" s="53">
        <f t="shared" si="74"/>
        <v>1.8090089999999999</v>
      </c>
      <c r="H3918" s="72"/>
      <c r="I3918" s="73"/>
      <c r="J3918" s="148">
        <v>0</v>
      </c>
      <c r="K3918" s="222">
        <v>0</v>
      </c>
    </row>
    <row r="3919" spans="1:11" ht="25.5" hidden="1" x14ac:dyDescent="0.25">
      <c r="A3919" s="207"/>
      <c r="B3919" s="205"/>
      <c r="C3919" s="35" t="s">
        <v>1147</v>
      </c>
      <c r="D3919" s="35" t="s">
        <v>934</v>
      </c>
      <c r="E3919" s="36">
        <v>9.7100000000000006E-2</v>
      </c>
      <c r="F3919" s="53">
        <v>19.456</v>
      </c>
      <c r="G3919" s="53">
        <f t="shared" si="74"/>
        <v>1.8891776</v>
      </c>
      <c r="H3919" s="72"/>
      <c r="I3919" s="73"/>
      <c r="J3919" s="148">
        <v>0</v>
      </c>
      <c r="K3919" s="222">
        <v>0</v>
      </c>
    </row>
    <row r="3920" spans="1:11" ht="38.25" hidden="1" x14ac:dyDescent="0.25">
      <c r="A3920" s="207"/>
      <c r="B3920" s="205"/>
      <c r="C3920" s="35" t="s">
        <v>3193</v>
      </c>
      <c r="D3920" s="35" t="s">
        <v>891</v>
      </c>
      <c r="E3920" s="36">
        <v>31.7318</v>
      </c>
      <c r="F3920" s="53">
        <v>15.206341250000001</v>
      </c>
      <c r="G3920" s="53">
        <f t="shared" si="74"/>
        <v>482.52457927675005</v>
      </c>
      <c r="H3920" s="72"/>
      <c r="I3920" s="73"/>
      <c r="J3920" s="148">
        <v>0</v>
      </c>
      <c r="K3920" s="222">
        <v>0</v>
      </c>
    </row>
    <row r="3921" spans="1:11" ht="38.25" hidden="1" x14ac:dyDescent="0.25">
      <c r="A3921" s="207"/>
      <c r="B3921" s="205"/>
      <c r="C3921" s="35" t="s">
        <v>6591</v>
      </c>
      <c r="D3921" s="35" t="s">
        <v>119</v>
      </c>
      <c r="E3921" s="36">
        <v>1.103</v>
      </c>
      <c r="F3921" s="53">
        <v>608.57106492302</v>
      </c>
      <c r="G3921" s="53">
        <f t="shared" si="74"/>
        <v>671.25388461009106</v>
      </c>
      <c r="H3921" s="72"/>
      <c r="I3921" s="73"/>
      <c r="J3921" s="148">
        <v>0</v>
      </c>
      <c r="K3921" s="222">
        <v>0</v>
      </c>
    </row>
    <row r="3922" spans="1:11" ht="15.75" hidden="1" thickBot="1" x14ac:dyDescent="0.3">
      <c r="A3922" s="208"/>
      <c r="B3922" s="206"/>
      <c r="C3922" s="54"/>
      <c r="D3922" s="54"/>
      <c r="E3922" s="65"/>
      <c r="F3922" s="75" t="s">
        <v>514</v>
      </c>
      <c r="G3922" s="75" t="str">
        <f t="shared" si="74"/>
        <v/>
      </c>
      <c r="H3922" s="76"/>
      <c r="I3922" s="73"/>
      <c r="J3922" s="148">
        <v>0</v>
      </c>
      <c r="K3922" s="222">
        <v>0</v>
      </c>
    </row>
    <row r="3923" spans="1:11" ht="15.75" hidden="1" thickBot="1" x14ac:dyDescent="0.3">
      <c r="A3923" s="202" t="s">
        <v>1149</v>
      </c>
      <c r="B3923" s="204" t="str">
        <f>INDEX(Orçamentária!A:B,MATCH(Composições!A3923,Orçamentária!A:A,0),2)</f>
        <v>Eletroduto PEAD 3”</v>
      </c>
      <c r="C3923" s="40"/>
      <c r="D3923" s="25" t="str">
        <f>TRIM(INDEX(Orçamentária!C:C,MATCH(Composições!A3923,Orçamentária!A:A,0),1))</f>
        <v>m</v>
      </c>
      <c r="E3923" s="26"/>
      <c r="F3923" s="48" t="s">
        <v>514</v>
      </c>
      <c r="G3923" s="27" t="str">
        <f t="shared" si="74"/>
        <v/>
      </c>
      <c r="H3923" s="28"/>
      <c r="I3923" s="29"/>
      <c r="J3923" s="148">
        <v>0</v>
      </c>
      <c r="K3923" s="222">
        <v>0</v>
      </c>
    </row>
    <row r="3924" spans="1:11" hidden="1" x14ac:dyDescent="0.25">
      <c r="A3924" s="207"/>
      <c r="B3924" s="205"/>
      <c r="C3924" s="31"/>
      <c r="D3924" s="31"/>
      <c r="E3924" s="32"/>
      <c r="F3924" s="53" t="s">
        <v>514</v>
      </c>
      <c r="G3924" s="53" t="str">
        <f t="shared" si="74"/>
        <v/>
      </c>
      <c r="H3924" s="72"/>
      <c r="I3924" s="73"/>
      <c r="J3924" s="148">
        <v>0</v>
      </c>
      <c r="K3924" s="222">
        <v>0</v>
      </c>
    </row>
    <row r="3925" spans="1:11" ht="38.25" hidden="1" x14ac:dyDescent="0.25">
      <c r="A3925" s="207"/>
      <c r="B3925" s="205"/>
      <c r="C3925" s="35" t="s">
        <v>6614</v>
      </c>
      <c r="D3925" s="35" t="s">
        <v>473</v>
      </c>
      <c r="E3925" s="36">
        <v>1.1000000000000001</v>
      </c>
      <c r="F3925" s="53">
        <v>9.3669999999999991</v>
      </c>
      <c r="G3925" s="53">
        <f t="shared" si="74"/>
        <v>10.303699999999999</v>
      </c>
      <c r="H3925" s="38">
        <f>SUM(G3925:G3927)</f>
        <v>17.035960500000002</v>
      </c>
      <c r="I3925" s="39"/>
      <c r="J3925" s="148">
        <v>0</v>
      </c>
      <c r="K3925" s="222">
        <v>0</v>
      </c>
    </row>
    <row r="3926" spans="1:11" hidden="1" x14ac:dyDescent="0.25">
      <c r="A3926" s="207"/>
      <c r="B3926" s="205"/>
      <c r="C3926" s="35" t="s">
        <v>1150</v>
      </c>
      <c r="D3926" s="35" t="s">
        <v>695</v>
      </c>
      <c r="E3926" s="36">
        <v>0.15110000000000001</v>
      </c>
      <c r="F3926" s="53">
        <v>19.4085</v>
      </c>
      <c r="G3926" s="53">
        <f t="shared" si="74"/>
        <v>2.9326243500000002</v>
      </c>
      <c r="H3926" s="72"/>
      <c r="I3926" s="73"/>
      <c r="J3926" s="148">
        <v>0</v>
      </c>
      <c r="K3926" s="222">
        <v>0</v>
      </c>
    </row>
    <row r="3927" spans="1:11" hidden="1" x14ac:dyDescent="0.25">
      <c r="A3927" s="207"/>
      <c r="B3927" s="205"/>
      <c r="C3927" s="35" t="s">
        <v>1151</v>
      </c>
      <c r="D3927" s="35" t="s">
        <v>695</v>
      </c>
      <c r="E3927" s="36">
        <v>0.15110000000000001</v>
      </c>
      <c r="F3927" s="53">
        <v>25.146499999999996</v>
      </c>
      <c r="G3927" s="53">
        <f t="shared" si="74"/>
        <v>3.7996361499999995</v>
      </c>
      <c r="H3927" s="72"/>
      <c r="I3927" s="73"/>
      <c r="J3927" s="148">
        <v>0</v>
      </c>
      <c r="K3927" s="222">
        <v>0</v>
      </c>
    </row>
    <row r="3928" spans="1:11" ht="15.75" hidden="1" thickBot="1" x14ac:dyDescent="0.3">
      <c r="A3928" s="207"/>
      <c r="B3928" s="205"/>
      <c r="C3928" s="54"/>
      <c r="D3928" s="54"/>
      <c r="E3928" s="65"/>
      <c r="F3928" s="75" t="s">
        <v>514</v>
      </c>
      <c r="G3928" s="75" t="str">
        <f t="shared" si="74"/>
        <v/>
      </c>
      <c r="H3928" s="76"/>
      <c r="I3928" s="73"/>
      <c r="J3928" s="148">
        <v>0</v>
      </c>
      <c r="K3928" s="222">
        <v>0</v>
      </c>
    </row>
    <row r="3929" spans="1:11" ht="15.75" hidden="1" thickBot="1" x14ac:dyDescent="0.3">
      <c r="A3929" s="202" t="s">
        <v>1152</v>
      </c>
      <c r="B3929" s="204" t="str">
        <f>INDEX(Orçamentária!A:B,MATCH(Composições!A3929,Orçamentária!A:A,0),2)</f>
        <v>Eletroduto de aço galvanizado de 3”</v>
      </c>
      <c r="C3929" s="40"/>
      <c r="D3929" s="25" t="str">
        <f>TRIM(INDEX(Orçamentária!C:C,MATCH(Composições!A3929,Orçamentária!A:A,0),1))</f>
        <v>m</v>
      </c>
      <c r="E3929" s="26"/>
      <c r="F3929" s="48" t="s">
        <v>514</v>
      </c>
      <c r="G3929" s="27" t="str">
        <f t="shared" si="74"/>
        <v/>
      </c>
      <c r="H3929" s="28"/>
      <c r="I3929" s="29"/>
      <c r="J3929" s="148">
        <v>0</v>
      </c>
      <c r="K3929" s="222">
        <v>0</v>
      </c>
    </row>
    <row r="3930" spans="1:11" hidden="1" x14ac:dyDescent="0.25">
      <c r="A3930" s="207"/>
      <c r="B3930" s="205"/>
      <c r="C3930" s="31"/>
      <c r="D3930" s="31"/>
      <c r="E3930" s="32"/>
      <c r="F3930" s="53" t="s">
        <v>514</v>
      </c>
      <c r="G3930" s="53" t="str">
        <f t="shared" si="74"/>
        <v/>
      </c>
      <c r="H3930" s="72"/>
      <c r="I3930" s="73"/>
      <c r="J3930" s="148">
        <v>0</v>
      </c>
      <c r="K3930" s="222">
        <v>0</v>
      </c>
    </row>
    <row r="3931" spans="1:11" hidden="1" x14ac:dyDescent="0.25">
      <c r="A3931" s="207"/>
      <c r="B3931" s="205"/>
      <c r="C3931" s="35" t="s">
        <v>1153</v>
      </c>
      <c r="D3931" s="35" t="s">
        <v>92</v>
      </c>
      <c r="E3931" s="36">
        <v>1.05</v>
      </c>
      <c r="F3931" s="53">
        <v>0</v>
      </c>
      <c r="G3931" s="53">
        <f t="shared" si="74"/>
        <v>0</v>
      </c>
      <c r="H3931" s="38">
        <f>SUM(G3931:G3933)</f>
        <v>44.554999999999993</v>
      </c>
      <c r="I3931" s="39"/>
      <c r="J3931" s="148">
        <v>0</v>
      </c>
      <c r="K3931" s="222">
        <v>0</v>
      </c>
    </row>
    <row r="3932" spans="1:11" hidden="1" x14ac:dyDescent="0.25">
      <c r="A3932" s="207"/>
      <c r="B3932" s="205"/>
      <c r="C3932" s="35" t="s">
        <v>30</v>
      </c>
      <c r="D3932" s="35" t="s">
        <v>12</v>
      </c>
      <c r="E3932" s="36">
        <v>1</v>
      </c>
      <c r="F3932" s="30">
        <v>25.146499999999996</v>
      </c>
      <c r="G3932" s="33">
        <f t="shared" si="74"/>
        <v>25.146499999999996</v>
      </c>
      <c r="H3932" s="72"/>
      <c r="I3932" s="73"/>
      <c r="J3932" s="148">
        <v>0</v>
      </c>
      <c r="K3932" s="222">
        <v>0</v>
      </c>
    </row>
    <row r="3933" spans="1:11" hidden="1" x14ac:dyDescent="0.25">
      <c r="A3933" s="207"/>
      <c r="B3933" s="205"/>
      <c r="C3933" s="35" t="s">
        <v>74</v>
      </c>
      <c r="D3933" s="35" t="s">
        <v>12</v>
      </c>
      <c r="E3933" s="36">
        <v>1</v>
      </c>
      <c r="F3933" s="30">
        <v>19.4085</v>
      </c>
      <c r="G3933" s="33">
        <f t="shared" si="74"/>
        <v>19.4085</v>
      </c>
      <c r="H3933" s="72"/>
      <c r="I3933" s="73"/>
      <c r="J3933" s="148">
        <v>0</v>
      </c>
      <c r="K3933" s="222">
        <v>0</v>
      </c>
    </row>
    <row r="3934" spans="1:11" ht="15.75" hidden="1" thickBot="1" x14ac:dyDescent="0.3">
      <c r="A3934" s="207"/>
      <c r="B3934" s="205"/>
      <c r="C3934" s="54"/>
      <c r="D3934" s="54"/>
      <c r="E3934" s="65"/>
      <c r="F3934" s="75" t="s">
        <v>514</v>
      </c>
      <c r="G3934" s="75" t="str">
        <f t="shared" si="74"/>
        <v/>
      </c>
      <c r="H3934" s="76"/>
      <c r="I3934" s="73"/>
      <c r="J3934" s="148">
        <v>0</v>
      </c>
      <c r="K3934" s="222">
        <v>0</v>
      </c>
    </row>
    <row r="3935" spans="1:11" ht="15.75" hidden="1" thickBot="1" x14ac:dyDescent="0.3">
      <c r="A3935" s="202" t="s">
        <v>1154</v>
      </c>
      <c r="B3935" s="204" t="str">
        <f>INDEX(Orçamentária!A:B,MATCH(Composições!A3935,Orçamentária!A:A,0),2)</f>
        <v>Grelha reta para ralo</v>
      </c>
      <c r="C3935" s="40"/>
      <c r="D3935" s="25" t="str">
        <f>TRIM(INDEX(Orçamentária!C:C,MATCH(Composições!A3935,Orçamentária!A:A,0),1))</f>
        <v>m</v>
      </c>
      <c r="E3935" s="26"/>
      <c r="F3935" s="48" t="s">
        <v>514</v>
      </c>
      <c r="G3935" s="27" t="str">
        <f t="shared" si="74"/>
        <v/>
      </c>
      <c r="H3935" s="28"/>
      <c r="I3935" s="29"/>
      <c r="J3935" s="148">
        <v>0</v>
      </c>
      <c r="K3935" s="222">
        <v>0</v>
      </c>
    </row>
    <row r="3936" spans="1:11" hidden="1" x14ac:dyDescent="0.25">
      <c r="A3936" s="207"/>
      <c r="B3936" s="205"/>
      <c r="C3936" s="31"/>
      <c r="D3936" s="31"/>
      <c r="E3936" s="32"/>
      <c r="F3936" s="53" t="s">
        <v>514</v>
      </c>
      <c r="G3936" s="53" t="str">
        <f t="shared" si="74"/>
        <v/>
      </c>
      <c r="H3936" s="72"/>
      <c r="I3936" s="73"/>
      <c r="J3936" s="148">
        <v>0</v>
      </c>
      <c r="K3936" s="222">
        <v>0</v>
      </c>
    </row>
    <row r="3937" spans="1:11" ht="25.5" hidden="1" x14ac:dyDescent="0.25">
      <c r="A3937" s="207"/>
      <c r="B3937" s="205"/>
      <c r="C3937" s="35" t="s">
        <v>1155</v>
      </c>
      <c r="D3937" s="35" t="s">
        <v>92</v>
      </c>
      <c r="E3937" s="36">
        <v>1</v>
      </c>
      <c r="F3937" s="53">
        <v>0</v>
      </c>
      <c r="G3937" s="53">
        <f t="shared" si="74"/>
        <v>0</v>
      </c>
      <c r="H3937" s="38">
        <f>SUM(G3937:G3939)</f>
        <v>29.018034999999998</v>
      </c>
      <c r="I3937" s="39"/>
      <c r="J3937" s="148">
        <v>0</v>
      </c>
      <c r="K3937" s="222">
        <v>0</v>
      </c>
    </row>
    <row r="3938" spans="1:11" hidden="1" x14ac:dyDescent="0.25">
      <c r="A3938" s="207"/>
      <c r="B3938" s="205"/>
      <c r="C3938" s="35" t="s">
        <v>703</v>
      </c>
      <c r="D3938" s="35" t="s">
        <v>695</v>
      </c>
      <c r="E3938" s="36">
        <v>0.67</v>
      </c>
      <c r="F3938" s="53">
        <v>24.889999999999997</v>
      </c>
      <c r="G3938" s="53">
        <f t="shared" si="74"/>
        <v>16.676299999999998</v>
      </c>
      <c r="H3938" s="72"/>
      <c r="I3938" s="73"/>
      <c r="J3938" s="148">
        <v>0</v>
      </c>
      <c r="K3938" s="222">
        <v>0</v>
      </c>
    </row>
    <row r="3939" spans="1:11" hidden="1" x14ac:dyDescent="0.25">
      <c r="A3939" s="207"/>
      <c r="B3939" s="205"/>
      <c r="C3939" s="35" t="s">
        <v>696</v>
      </c>
      <c r="D3939" s="35" t="s">
        <v>695</v>
      </c>
      <c r="E3939" s="36">
        <v>0.67</v>
      </c>
      <c r="F3939" s="53">
        <v>18.420500000000001</v>
      </c>
      <c r="G3939" s="53">
        <f t="shared" si="74"/>
        <v>12.341735000000002</v>
      </c>
      <c r="H3939" s="72"/>
      <c r="I3939" s="73"/>
      <c r="J3939" s="148">
        <v>0</v>
      </c>
      <c r="K3939" s="222">
        <v>0</v>
      </c>
    </row>
    <row r="3940" spans="1:11" ht="15.75" hidden="1" thickBot="1" x14ac:dyDescent="0.3">
      <c r="A3940" s="207"/>
      <c r="B3940" s="205"/>
      <c r="C3940" s="54"/>
      <c r="D3940" s="54"/>
      <c r="E3940" s="65"/>
      <c r="F3940" s="75" t="s">
        <v>514</v>
      </c>
      <c r="G3940" s="75" t="str">
        <f t="shared" si="74"/>
        <v/>
      </c>
      <c r="H3940" s="76"/>
      <c r="I3940" s="73"/>
      <c r="J3940" s="148">
        <v>0</v>
      </c>
      <c r="K3940" s="222">
        <v>0</v>
      </c>
    </row>
    <row r="3941" spans="1:11" ht="15.75" hidden="1" thickBot="1" x14ac:dyDescent="0.3">
      <c r="A3941" s="202" t="s">
        <v>1156</v>
      </c>
      <c r="B3941" s="204" t="str">
        <f>INDEX(Orçamentária!A:B,MATCH(Composições!A3941,Orçamentária!A:A,0),2)</f>
        <v>Granito Vermelho Brasília para soleira e peitoril</v>
      </c>
      <c r="C3941" s="40"/>
      <c r="D3941" s="25" t="str">
        <f>TRIM(INDEX(Orçamentária!C:C,MATCH(Composições!A3941,Orçamentária!A:A,0),1))</f>
        <v>m2</v>
      </c>
      <c r="E3941" s="26"/>
      <c r="F3941" s="48" t="s">
        <v>514</v>
      </c>
      <c r="G3941" s="27" t="str">
        <f t="shared" si="74"/>
        <v/>
      </c>
      <c r="H3941" s="28"/>
      <c r="I3941" s="29"/>
      <c r="J3941" s="148">
        <v>0</v>
      </c>
      <c r="K3941" s="222">
        <v>0</v>
      </c>
    </row>
    <row r="3942" spans="1:11" hidden="1" x14ac:dyDescent="0.25">
      <c r="A3942" s="207"/>
      <c r="B3942" s="205"/>
      <c r="C3942" s="31"/>
      <c r="D3942" s="31"/>
      <c r="E3942" s="32"/>
      <c r="F3942" s="53" t="s">
        <v>514</v>
      </c>
      <c r="G3942" s="53" t="str">
        <f t="shared" si="74"/>
        <v/>
      </c>
      <c r="H3942" s="72"/>
      <c r="I3942" s="73"/>
      <c r="J3942" s="148">
        <v>0</v>
      </c>
      <c r="K3942" s="222">
        <v>0</v>
      </c>
    </row>
    <row r="3943" spans="1:11" ht="25.5" hidden="1" x14ac:dyDescent="0.25">
      <c r="A3943" s="207"/>
      <c r="B3943" s="205"/>
      <c r="C3943" s="35" t="s">
        <v>1157</v>
      </c>
      <c r="D3943" s="35" t="s">
        <v>92</v>
      </c>
      <c r="E3943" s="36">
        <f>ROUND(1/0.15,4)</f>
        <v>6.6666999999999996</v>
      </c>
      <c r="F3943" s="53" t="s">
        <v>514</v>
      </c>
      <c r="G3943" s="53" t="str">
        <f t="shared" si="74"/>
        <v/>
      </c>
      <c r="H3943" s="38">
        <f>SUM(G3943:G3946)</f>
        <v>137.75253650000002</v>
      </c>
      <c r="I3943" s="39"/>
      <c r="J3943" s="148">
        <v>0</v>
      </c>
      <c r="K3943" s="222">
        <v>0</v>
      </c>
    </row>
    <row r="3944" spans="1:11" hidden="1" x14ac:dyDescent="0.25">
      <c r="A3944" s="207"/>
      <c r="B3944" s="205"/>
      <c r="C3944" s="35" t="s">
        <v>3512</v>
      </c>
      <c r="D3944" s="35" t="s">
        <v>42</v>
      </c>
      <c r="E3944" s="36">
        <f>1.29/0.15</f>
        <v>8.6000000000000014</v>
      </c>
      <c r="F3944" s="53">
        <v>1.6054999999999999</v>
      </c>
      <c r="G3944" s="53">
        <f t="shared" si="74"/>
        <v>13.807300000000001</v>
      </c>
      <c r="H3944" s="72"/>
      <c r="I3944" s="73"/>
      <c r="J3944" s="148">
        <v>0</v>
      </c>
      <c r="K3944" s="222">
        <v>0</v>
      </c>
    </row>
    <row r="3945" spans="1:11" hidden="1" x14ac:dyDescent="0.25">
      <c r="A3945" s="207"/>
      <c r="B3945" s="205"/>
      <c r="C3945" s="35" t="s">
        <v>54</v>
      </c>
      <c r="D3945" s="35" t="s">
        <v>12</v>
      </c>
      <c r="E3945" s="36">
        <f>ROUND(0.547/0.15,4)</f>
        <v>3.6467000000000001</v>
      </c>
      <c r="F3945" s="53">
        <v>24.795000000000002</v>
      </c>
      <c r="G3945" s="53">
        <f t="shared" si="74"/>
        <v>90.419926500000003</v>
      </c>
      <c r="H3945" s="72"/>
      <c r="I3945" s="73"/>
      <c r="J3945" s="148">
        <v>0</v>
      </c>
      <c r="K3945" s="222">
        <v>0</v>
      </c>
    </row>
    <row r="3946" spans="1:11" hidden="1" x14ac:dyDescent="0.25">
      <c r="A3946" s="207"/>
      <c r="B3946" s="205"/>
      <c r="C3946" s="35" t="s">
        <v>23</v>
      </c>
      <c r="D3946" s="35" t="s">
        <v>12</v>
      </c>
      <c r="E3946" s="36">
        <f>0.273/0.15</f>
        <v>1.8200000000000003</v>
      </c>
      <c r="F3946" s="53">
        <v>18.420500000000001</v>
      </c>
      <c r="G3946" s="53">
        <f t="shared" si="74"/>
        <v>33.525310000000005</v>
      </c>
      <c r="H3946" s="72"/>
      <c r="I3946" s="73"/>
      <c r="J3946" s="148">
        <v>0</v>
      </c>
      <c r="K3946" s="222">
        <v>0</v>
      </c>
    </row>
    <row r="3947" spans="1:11" hidden="1" x14ac:dyDescent="0.25">
      <c r="A3947" s="207"/>
      <c r="B3947" s="205"/>
      <c r="C3947" s="35"/>
      <c r="D3947" s="35"/>
      <c r="E3947" s="36"/>
      <c r="F3947" s="53" t="s">
        <v>514</v>
      </c>
      <c r="G3947" s="53" t="str">
        <f t="shared" si="74"/>
        <v/>
      </c>
      <c r="H3947" s="72"/>
      <c r="I3947" s="73"/>
      <c r="J3947" s="148">
        <v>0</v>
      </c>
      <c r="K3947" s="222">
        <v>0</v>
      </c>
    </row>
    <row r="3948" spans="1:11" ht="15.75" hidden="1" thickBot="1" x14ac:dyDescent="0.3">
      <c r="A3948" s="202" t="s">
        <v>1158</v>
      </c>
      <c r="B3948" s="204" t="str">
        <f>INDEX(Orçamentária!A:B,MATCH(Composições!A3948,Orçamentária!A:A,0),2)</f>
        <v>Luminária LED redonda de embutir</v>
      </c>
      <c r="C3948" s="40"/>
      <c r="D3948" s="25" t="str">
        <f>TRIM(INDEX(Orçamentária!C:C,MATCH(Composições!A3948,Orçamentária!A:A,0),1))</f>
        <v>un</v>
      </c>
      <c r="E3948" s="26"/>
      <c r="F3948" s="48" t="s">
        <v>514</v>
      </c>
      <c r="G3948" s="27" t="str">
        <f t="shared" ref="G3948:G4011" si="75">IF(ISNUMBER(F3948),E3948*F3948,"")</f>
        <v/>
      </c>
      <c r="H3948" s="28"/>
      <c r="I3948" s="29"/>
      <c r="J3948" s="148">
        <v>0</v>
      </c>
      <c r="K3948" s="222">
        <v>0</v>
      </c>
    </row>
    <row r="3949" spans="1:11" hidden="1" x14ac:dyDescent="0.25">
      <c r="A3949" s="207"/>
      <c r="B3949" s="205"/>
      <c r="C3949" s="31"/>
      <c r="D3949" s="31"/>
      <c r="E3949" s="32"/>
      <c r="F3949" s="53" t="s">
        <v>514</v>
      </c>
      <c r="G3949" s="53" t="str">
        <f t="shared" si="75"/>
        <v/>
      </c>
      <c r="H3949" s="72"/>
      <c r="I3949" s="73"/>
      <c r="J3949" s="148">
        <v>0</v>
      </c>
      <c r="K3949" s="222">
        <v>0</v>
      </c>
    </row>
    <row r="3950" spans="1:11" ht="38.25" hidden="1" x14ac:dyDescent="0.25">
      <c r="A3950" s="207"/>
      <c r="B3950" s="205"/>
      <c r="C3950" s="35" t="s">
        <v>1159</v>
      </c>
      <c r="D3950" s="35" t="s">
        <v>143</v>
      </c>
      <c r="E3950" s="36">
        <v>1</v>
      </c>
      <c r="F3950" s="53" t="s">
        <v>514</v>
      </c>
      <c r="G3950" s="53" t="str">
        <f t="shared" si="75"/>
        <v/>
      </c>
      <c r="H3950" s="38">
        <f>SUM(G3950:G3955)</f>
        <v>36.72198015</v>
      </c>
      <c r="I3950" s="39"/>
      <c r="J3950" s="148">
        <v>0</v>
      </c>
      <c r="K3950" s="222">
        <v>0</v>
      </c>
    </row>
    <row r="3951" spans="1:11" ht="25.5" hidden="1" x14ac:dyDescent="0.25">
      <c r="A3951" s="207"/>
      <c r="B3951" s="205"/>
      <c r="C3951" s="35" t="s">
        <v>531</v>
      </c>
      <c r="D3951" s="35" t="s">
        <v>92</v>
      </c>
      <c r="E3951" s="36">
        <v>1.5</v>
      </c>
      <c r="F3951" s="53">
        <v>8.26</v>
      </c>
      <c r="G3951" s="53">
        <f t="shared" si="75"/>
        <v>12.39</v>
      </c>
      <c r="H3951" s="72"/>
      <c r="I3951" s="73"/>
      <c r="J3951" s="148">
        <v>0</v>
      </c>
      <c r="K3951" s="222">
        <v>0</v>
      </c>
    </row>
    <row r="3952" spans="1:11" hidden="1" x14ac:dyDescent="0.25">
      <c r="A3952" s="207"/>
      <c r="B3952" s="205"/>
      <c r="C3952" s="35" t="s">
        <v>532</v>
      </c>
      <c r="D3952" s="35" t="s">
        <v>143</v>
      </c>
      <c r="E3952" s="36">
        <v>1</v>
      </c>
      <c r="F3952" s="53">
        <v>6.23</v>
      </c>
      <c r="G3952" s="53">
        <f t="shared" si="75"/>
        <v>6.23</v>
      </c>
      <c r="H3952" s="72"/>
      <c r="I3952" s="73"/>
      <c r="J3952" s="148">
        <v>0</v>
      </c>
      <c r="K3952" s="222">
        <v>0</v>
      </c>
    </row>
    <row r="3953" spans="1:11" hidden="1" x14ac:dyDescent="0.25">
      <c r="A3953" s="207"/>
      <c r="B3953" s="205"/>
      <c r="C3953" s="35" t="s">
        <v>533</v>
      </c>
      <c r="D3953" s="35" t="s">
        <v>143</v>
      </c>
      <c r="E3953" s="36">
        <v>1</v>
      </c>
      <c r="F3953" s="53">
        <v>6.3</v>
      </c>
      <c r="G3953" s="53">
        <f t="shared" si="75"/>
        <v>6.3</v>
      </c>
      <c r="H3953" s="72"/>
      <c r="I3953" s="73"/>
      <c r="J3953" s="148">
        <v>0</v>
      </c>
      <c r="K3953" s="222">
        <v>0</v>
      </c>
    </row>
    <row r="3954" spans="1:11" hidden="1" x14ac:dyDescent="0.25">
      <c r="A3954" s="207"/>
      <c r="B3954" s="205"/>
      <c r="C3954" s="35" t="s">
        <v>74</v>
      </c>
      <c r="D3954" s="35" t="s">
        <v>12</v>
      </c>
      <c r="E3954" s="36">
        <v>0.14799999999999999</v>
      </c>
      <c r="F3954" s="53">
        <v>19.4085</v>
      </c>
      <c r="G3954" s="53">
        <f t="shared" si="75"/>
        <v>2.872458</v>
      </c>
      <c r="H3954" s="72"/>
      <c r="I3954" s="73"/>
      <c r="J3954" s="148">
        <v>0</v>
      </c>
      <c r="K3954" s="222">
        <v>0</v>
      </c>
    </row>
    <row r="3955" spans="1:11" hidden="1" x14ac:dyDescent="0.25">
      <c r="A3955" s="207"/>
      <c r="B3955" s="205"/>
      <c r="C3955" s="35" t="s">
        <v>30</v>
      </c>
      <c r="D3955" s="35" t="s">
        <v>12</v>
      </c>
      <c r="E3955" s="36">
        <v>0.35510000000000003</v>
      </c>
      <c r="F3955" s="53">
        <v>25.146499999999996</v>
      </c>
      <c r="G3955" s="53">
        <f t="shared" si="75"/>
        <v>8.9295221499999986</v>
      </c>
      <c r="H3955" s="72"/>
      <c r="I3955" s="73"/>
      <c r="J3955" s="148">
        <v>0</v>
      </c>
      <c r="K3955" s="222">
        <v>0</v>
      </c>
    </row>
    <row r="3956" spans="1:11" hidden="1" x14ac:dyDescent="0.25">
      <c r="A3956" s="207"/>
      <c r="B3956" s="205"/>
      <c r="C3956" s="35"/>
      <c r="D3956" s="46"/>
      <c r="E3956" s="36"/>
      <c r="F3956" s="53" t="s">
        <v>514</v>
      </c>
      <c r="G3956" s="53" t="str">
        <f t="shared" si="75"/>
        <v/>
      </c>
      <c r="H3956" s="72"/>
      <c r="I3956" s="73"/>
      <c r="J3956" s="148">
        <v>0</v>
      </c>
      <c r="K3956" s="222">
        <v>0</v>
      </c>
    </row>
    <row r="3957" spans="1:11" ht="15.75" hidden="1" thickBot="1" x14ac:dyDescent="0.3">
      <c r="A3957" s="202" t="s">
        <v>1160</v>
      </c>
      <c r="B3957" s="204" t="str">
        <f>INDEX(Orçamentária!A:B,MATCH(Composições!A3957,Orçamentária!A:A,0),2)</f>
        <v>Piso tátil de borracha</v>
      </c>
      <c r="C3957" s="40"/>
      <c r="D3957" s="25" t="s">
        <v>92</v>
      </c>
      <c r="E3957" s="26"/>
      <c r="F3957" s="48" t="s">
        <v>514</v>
      </c>
      <c r="G3957" s="27" t="str">
        <f t="shared" si="75"/>
        <v/>
      </c>
      <c r="H3957" s="28"/>
      <c r="I3957" s="29"/>
      <c r="J3957" s="148">
        <v>0</v>
      </c>
      <c r="K3957" s="222">
        <v>0</v>
      </c>
    </row>
    <row r="3958" spans="1:11" hidden="1" x14ac:dyDescent="0.25">
      <c r="A3958" s="207"/>
      <c r="B3958" s="205"/>
      <c r="C3958" s="31"/>
      <c r="D3958" s="31"/>
      <c r="E3958" s="32"/>
      <c r="F3958" s="53" t="s">
        <v>514</v>
      </c>
      <c r="G3958" s="53" t="str">
        <f t="shared" si="75"/>
        <v/>
      </c>
      <c r="H3958" s="72"/>
      <c r="I3958" s="73"/>
      <c r="J3958" s="148">
        <v>0</v>
      </c>
      <c r="K3958" s="222">
        <v>0</v>
      </c>
    </row>
    <row r="3959" spans="1:11" hidden="1" x14ac:dyDescent="0.25">
      <c r="A3959" s="207"/>
      <c r="B3959" s="205"/>
      <c r="C3959" s="35" t="s">
        <v>740</v>
      </c>
      <c r="D3959" s="35" t="s">
        <v>891</v>
      </c>
      <c r="E3959" s="36">
        <v>0.24</v>
      </c>
      <c r="F3959" s="53">
        <v>0.627</v>
      </c>
      <c r="G3959" s="53">
        <f t="shared" si="75"/>
        <v>0.15048</v>
      </c>
      <c r="H3959" s="38">
        <f>SUM(G3959:G3963)</f>
        <v>151.84151149999997</v>
      </c>
      <c r="I3959" s="39"/>
      <c r="J3959" s="148">
        <v>0</v>
      </c>
      <c r="K3959" s="222">
        <v>0</v>
      </c>
    </row>
    <row r="3960" spans="1:11" hidden="1" x14ac:dyDescent="0.25">
      <c r="A3960" s="207"/>
      <c r="B3960" s="205"/>
      <c r="C3960" s="35" t="s">
        <v>6630</v>
      </c>
      <c r="D3960" s="35" t="s">
        <v>891</v>
      </c>
      <c r="E3960" s="36">
        <v>1.2150000000000001</v>
      </c>
      <c r="F3960" s="53">
        <v>1.6054999999999999</v>
      </c>
      <c r="G3960" s="53">
        <f t="shared" si="75"/>
        <v>1.9506825000000001</v>
      </c>
      <c r="H3960" s="72"/>
      <c r="I3960" s="73"/>
      <c r="J3960" s="148">
        <v>0</v>
      </c>
      <c r="K3960" s="222">
        <v>0</v>
      </c>
    </row>
    <row r="3961" spans="1:11" ht="25.5" hidden="1" x14ac:dyDescent="0.25">
      <c r="A3961" s="207"/>
      <c r="B3961" s="205"/>
      <c r="C3961" s="35" t="s">
        <v>6631</v>
      </c>
      <c r="D3961" s="35" t="s">
        <v>982</v>
      </c>
      <c r="E3961" s="36">
        <v>0.25</v>
      </c>
      <c r="F3961" s="53">
        <v>539.39099999999996</v>
      </c>
      <c r="G3961" s="53">
        <f t="shared" si="75"/>
        <v>134.84774999999999</v>
      </c>
      <c r="H3961" s="72"/>
      <c r="I3961" s="73"/>
      <c r="J3961" s="148">
        <v>0</v>
      </c>
      <c r="K3961" s="222">
        <v>0</v>
      </c>
    </row>
    <row r="3962" spans="1:11" hidden="1" x14ac:dyDescent="0.25">
      <c r="A3962" s="207"/>
      <c r="B3962" s="205"/>
      <c r="C3962" s="35" t="s">
        <v>703</v>
      </c>
      <c r="D3962" s="35" t="s">
        <v>695</v>
      </c>
      <c r="E3962" s="36">
        <v>0.437</v>
      </c>
      <c r="F3962" s="53">
        <v>24.889999999999997</v>
      </c>
      <c r="G3962" s="53">
        <f t="shared" si="75"/>
        <v>10.876929999999998</v>
      </c>
      <c r="H3962" s="72"/>
      <c r="I3962" s="73"/>
      <c r="J3962" s="148">
        <v>0</v>
      </c>
      <c r="K3962" s="222">
        <v>0</v>
      </c>
    </row>
    <row r="3963" spans="1:11" hidden="1" x14ac:dyDescent="0.25">
      <c r="A3963" s="207"/>
      <c r="B3963" s="205"/>
      <c r="C3963" s="35" t="s">
        <v>696</v>
      </c>
      <c r="D3963" s="35" t="s">
        <v>695</v>
      </c>
      <c r="E3963" s="36">
        <v>0.218</v>
      </c>
      <c r="F3963" s="53">
        <v>18.420500000000001</v>
      </c>
      <c r="G3963" s="53">
        <f t="shared" si="75"/>
        <v>4.0156689999999999</v>
      </c>
      <c r="H3963" s="72"/>
      <c r="I3963" s="73"/>
      <c r="J3963" s="148">
        <v>0</v>
      </c>
      <c r="K3963" s="222">
        <v>0</v>
      </c>
    </row>
    <row r="3964" spans="1:11" ht="15.75" hidden="1" thickBot="1" x14ac:dyDescent="0.3">
      <c r="A3964" s="207"/>
      <c r="B3964" s="205"/>
      <c r="C3964" s="54"/>
      <c r="D3964" s="54"/>
      <c r="E3964" s="65"/>
      <c r="F3964" s="75" t="s">
        <v>514</v>
      </c>
      <c r="G3964" s="75" t="str">
        <f t="shared" si="75"/>
        <v/>
      </c>
      <c r="H3964" s="76"/>
      <c r="I3964" s="73"/>
      <c r="J3964" s="148">
        <v>0</v>
      </c>
      <c r="K3964" s="222">
        <v>0</v>
      </c>
    </row>
    <row r="3965" spans="1:11" ht="15.75" hidden="1" thickBot="1" x14ac:dyDescent="0.3">
      <c r="A3965" s="202" t="s">
        <v>1161</v>
      </c>
      <c r="B3965" s="204" t="str">
        <f>INDEX(Orçamentária!A:B,MATCH(Composições!A3965,Orçamentária!A:A,0),2)</f>
        <v>Granito Vermelho Brasília 20 mm para divisória</v>
      </c>
      <c r="C3965" s="40"/>
      <c r="D3965" s="25" t="str">
        <f>TRIM(INDEX(Orçamentária!C:C,MATCH(Composições!A3965,Orçamentária!A:A,0),1))</f>
        <v>m2</v>
      </c>
      <c r="E3965" s="26"/>
      <c r="F3965" s="48" t="s">
        <v>514</v>
      </c>
      <c r="G3965" s="27" t="str">
        <f t="shared" si="75"/>
        <v/>
      </c>
      <c r="H3965" s="28"/>
      <c r="I3965" s="29"/>
      <c r="J3965" s="148">
        <v>0</v>
      </c>
      <c r="K3965" s="222">
        <v>0</v>
      </c>
    </row>
    <row r="3966" spans="1:11" hidden="1" x14ac:dyDescent="0.25">
      <c r="A3966" s="207"/>
      <c r="B3966" s="205"/>
      <c r="C3966" s="31"/>
      <c r="D3966" s="31"/>
      <c r="E3966" s="32"/>
      <c r="F3966" s="53" t="s">
        <v>514</v>
      </c>
      <c r="G3966" s="53" t="str">
        <f t="shared" si="75"/>
        <v/>
      </c>
      <c r="H3966" s="72"/>
      <c r="I3966" s="73"/>
      <c r="J3966" s="148">
        <v>0</v>
      </c>
      <c r="K3966" s="222">
        <v>0</v>
      </c>
    </row>
    <row r="3967" spans="1:11" ht="25.5" hidden="1" x14ac:dyDescent="0.25">
      <c r="A3967" s="207"/>
      <c r="B3967" s="205"/>
      <c r="C3967" s="35" t="s">
        <v>768</v>
      </c>
      <c r="D3967" s="35" t="s">
        <v>891</v>
      </c>
      <c r="E3967" s="36">
        <v>0.53</v>
      </c>
      <c r="F3967" s="53">
        <v>48.83</v>
      </c>
      <c r="G3967" s="53">
        <f t="shared" si="75"/>
        <v>25.879899999999999</v>
      </c>
      <c r="H3967" s="38">
        <f>SUM(G3967:G3973)</f>
        <v>102.84078700000001</v>
      </c>
      <c r="I3967" s="39"/>
      <c r="J3967" s="148">
        <v>0</v>
      </c>
      <c r="K3967" s="222">
        <v>0</v>
      </c>
    </row>
    <row r="3968" spans="1:11" ht="38.25" hidden="1" x14ac:dyDescent="0.25">
      <c r="A3968" s="207"/>
      <c r="B3968" s="205"/>
      <c r="C3968" s="35" t="s">
        <v>6380</v>
      </c>
      <c r="D3968" s="35" t="s">
        <v>982</v>
      </c>
      <c r="E3968" s="36">
        <v>1.05</v>
      </c>
      <c r="F3968" s="53" t="s">
        <v>514</v>
      </c>
      <c r="G3968" s="53" t="str">
        <f t="shared" si="75"/>
        <v/>
      </c>
      <c r="H3968" s="72"/>
      <c r="I3968" s="73"/>
      <c r="J3968" s="148">
        <v>0</v>
      </c>
      <c r="K3968" s="222">
        <v>0</v>
      </c>
    </row>
    <row r="3969" spans="1:11" hidden="1" x14ac:dyDescent="0.25">
      <c r="A3969" s="207"/>
      <c r="B3969" s="205"/>
      <c r="C3969" s="35" t="s">
        <v>3490</v>
      </c>
      <c r="D3969" s="35" t="s">
        <v>891</v>
      </c>
      <c r="E3969" s="36">
        <v>0.97</v>
      </c>
      <c r="F3969" s="53">
        <v>1.843</v>
      </c>
      <c r="G3969" s="53">
        <f t="shared" si="75"/>
        <v>1.7877099999999999</v>
      </c>
      <c r="H3969" s="72"/>
      <c r="I3969" s="73"/>
      <c r="J3969" s="148">
        <v>0</v>
      </c>
      <c r="K3969" s="222">
        <v>0</v>
      </c>
    </row>
    <row r="3970" spans="1:11" hidden="1" x14ac:dyDescent="0.25">
      <c r="A3970" s="207"/>
      <c r="B3970" s="205"/>
      <c r="C3970" s="35" t="s">
        <v>3218</v>
      </c>
      <c r="D3970" s="35" t="s">
        <v>695</v>
      </c>
      <c r="E3970" s="36">
        <v>1.405</v>
      </c>
      <c r="F3970" s="53">
        <v>24.795000000000002</v>
      </c>
      <c r="G3970" s="53">
        <f t="shared" si="75"/>
        <v>34.836975000000002</v>
      </c>
      <c r="H3970" s="72"/>
      <c r="I3970" s="73"/>
      <c r="J3970" s="148">
        <v>0</v>
      </c>
      <c r="K3970" s="222">
        <v>0</v>
      </c>
    </row>
    <row r="3971" spans="1:11" hidden="1" x14ac:dyDescent="0.25">
      <c r="A3971" s="207"/>
      <c r="B3971" s="205"/>
      <c r="C3971" s="35" t="s">
        <v>696</v>
      </c>
      <c r="D3971" s="35" t="s">
        <v>695</v>
      </c>
      <c r="E3971" s="36">
        <v>0.70199999999999996</v>
      </c>
      <c r="F3971" s="53">
        <v>18.420500000000001</v>
      </c>
      <c r="G3971" s="53">
        <f t="shared" si="75"/>
        <v>12.931191</v>
      </c>
      <c r="H3971" s="72"/>
      <c r="I3971" s="73"/>
      <c r="J3971" s="148">
        <v>0</v>
      </c>
      <c r="K3971" s="222">
        <v>0</v>
      </c>
    </row>
    <row r="3972" spans="1:11" ht="25.5" hidden="1" x14ac:dyDescent="0.25">
      <c r="A3972" s="207"/>
      <c r="B3972" s="205"/>
      <c r="C3972" s="35" t="s">
        <v>1146</v>
      </c>
      <c r="D3972" s="35" t="s">
        <v>932</v>
      </c>
      <c r="E3972" s="36">
        <v>8.8999999999999996E-2</v>
      </c>
      <c r="F3972" s="53">
        <v>20.234999999999999</v>
      </c>
      <c r="G3972" s="53">
        <f t="shared" si="75"/>
        <v>1.8009149999999998</v>
      </c>
      <c r="H3972" s="72"/>
      <c r="I3972" s="73"/>
      <c r="J3972" s="148">
        <v>0</v>
      </c>
      <c r="K3972" s="222">
        <v>0</v>
      </c>
    </row>
    <row r="3973" spans="1:11" ht="25.5" hidden="1" x14ac:dyDescent="0.25">
      <c r="A3973" s="207"/>
      <c r="B3973" s="205"/>
      <c r="C3973" s="35" t="s">
        <v>1147</v>
      </c>
      <c r="D3973" s="35" t="s">
        <v>934</v>
      </c>
      <c r="E3973" s="36">
        <v>1.3160000000000001</v>
      </c>
      <c r="F3973" s="53">
        <v>19.456</v>
      </c>
      <c r="G3973" s="53">
        <f t="shared" si="75"/>
        <v>25.604096000000002</v>
      </c>
      <c r="H3973" s="72"/>
      <c r="I3973" s="73"/>
      <c r="J3973" s="148">
        <v>0</v>
      </c>
      <c r="K3973" s="222">
        <v>0</v>
      </c>
    </row>
    <row r="3974" spans="1:11" hidden="1" x14ac:dyDescent="0.25">
      <c r="A3974" s="207"/>
      <c r="B3974" s="205"/>
      <c r="C3974" s="35"/>
      <c r="D3974" s="35"/>
      <c r="E3974" s="36"/>
      <c r="F3974" s="53" t="s">
        <v>514</v>
      </c>
      <c r="G3974" s="53" t="str">
        <f t="shared" si="75"/>
        <v/>
      </c>
      <c r="H3974" s="72"/>
      <c r="I3974" s="73"/>
      <c r="J3974" s="148">
        <v>0</v>
      </c>
      <c r="K3974" s="222">
        <v>0</v>
      </c>
    </row>
    <row r="3975" spans="1:11" ht="15.75" hidden="1" thickBot="1" x14ac:dyDescent="0.3">
      <c r="A3975" s="202" t="s">
        <v>1162</v>
      </c>
      <c r="B3975" s="204" t="str">
        <f>INDEX(Orçamentária!A:B,MATCH(Composições!A3975,Orçamentária!A:A,0),2)</f>
        <v>Tampa em ferro fundido 20x20 cm</v>
      </c>
      <c r="C3975" s="40"/>
      <c r="D3975" s="25" t="str">
        <f>TRIM(INDEX(Orçamentária!C:C,MATCH(Composições!A3975,Orçamentária!A:A,0),1))</f>
        <v>un</v>
      </c>
      <c r="E3975" s="26"/>
      <c r="F3975" s="48" t="s">
        <v>514</v>
      </c>
      <c r="G3975" s="27" t="str">
        <f t="shared" si="75"/>
        <v/>
      </c>
      <c r="H3975" s="28"/>
      <c r="I3975" s="29"/>
      <c r="J3975" s="148">
        <v>0</v>
      </c>
      <c r="K3975" s="222">
        <v>0</v>
      </c>
    </row>
    <row r="3976" spans="1:11" hidden="1" x14ac:dyDescent="0.25">
      <c r="A3976" s="207"/>
      <c r="B3976" s="205"/>
      <c r="C3976" s="31"/>
      <c r="D3976" s="31"/>
      <c r="E3976" s="32"/>
      <c r="F3976" s="53" t="s">
        <v>514</v>
      </c>
      <c r="G3976" s="53" t="str">
        <f t="shared" si="75"/>
        <v/>
      </c>
      <c r="H3976" s="72"/>
      <c r="I3976" s="73"/>
      <c r="J3976" s="148">
        <v>0</v>
      </c>
      <c r="K3976" s="222">
        <v>0</v>
      </c>
    </row>
    <row r="3977" spans="1:11" ht="25.5" hidden="1" x14ac:dyDescent="0.25">
      <c r="A3977" s="207"/>
      <c r="B3977" s="205"/>
      <c r="C3977" s="35" t="s">
        <v>1163</v>
      </c>
      <c r="D3977" s="46" t="s">
        <v>278</v>
      </c>
      <c r="E3977" s="36">
        <v>1</v>
      </c>
      <c r="F3977" s="53">
        <v>106.39049999999999</v>
      </c>
      <c r="G3977" s="53">
        <f t="shared" si="75"/>
        <v>106.39049999999999</v>
      </c>
      <c r="H3977" s="38">
        <f>SUM(G3977:G3980)</f>
        <v>148.88467098249959</v>
      </c>
      <c r="I3977" s="39"/>
      <c r="J3977" s="148">
        <v>0</v>
      </c>
      <c r="K3977" s="222">
        <v>0</v>
      </c>
    </row>
    <row r="3978" spans="1:11" ht="25.5" hidden="1" x14ac:dyDescent="0.25">
      <c r="A3978" s="207"/>
      <c r="B3978" s="205"/>
      <c r="C3978" s="35" t="s">
        <v>3212</v>
      </c>
      <c r="D3978" s="46" t="s">
        <v>119</v>
      </c>
      <c r="E3978" s="36">
        <v>4.4000000000000003E-3</v>
      </c>
      <c r="F3978" s="53">
        <v>631.98173465899993</v>
      </c>
      <c r="G3978" s="53">
        <f t="shared" si="75"/>
        <v>2.7807196324995997</v>
      </c>
      <c r="H3978" s="72"/>
      <c r="I3978" s="73"/>
      <c r="J3978" s="148">
        <v>0</v>
      </c>
      <c r="K3978" s="222">
        <v>0</v>
      </c>
    </row>
    <row r="3979" spans="1:11" hidden="1" x14ac:dyDescent="0.25">
      <c r="A3979" s="207"/>
      <c r="B3979" s="205"/>
      <c r="C3979" s="35" t="s">
        <v>22</v>
      </c>
      <c r="D3979" s="35" t="s">
        <v>12</v>
      </c>
      <c r="E3979" s="36">
        <v>1.0088999999999999</v>
      </c>
      <c r="F3979" s="53">
        <v>24.889999999999997</v>
      </c>
      <c r="G3979" s="53">
        <f t="shared" si="75"/>
        <v>25.111520999999996</v>
      </c>
      <c r="H3979" s="72"/>
      <c r="I3979" s="73"/>
      <c r="J3979" s="148">
        <v>0</v>
      </c>
      <c r="K3979" s="222">
        <v>0</v>
      </c>
    </row>
    <row r="3980" spans="1:11" hidden="1" x14ac:dyDescent="0.25">
      <c r="A3980" s="207"/>
      <c r="B3980" s="205"/>
      <c r="C3980" s="35" t="s">
        <v>23</v>
      </c>
      <c r="D3980" s="35" t="s">
        <v>12</v>
      </c>
      <c r="E3980" s="36">
        <v>0.79269999999999996</v>
      </c>
      <c r="F3980" s="53">
        <v>18.420500000000001</v>
      </c>
      <c r="G3980" s="53">
        <f t="shared" si="75"/>
        <v>14.60193035</v>
      </c>
      <c r="H3980" s="72"/>
      <c r="I3980" s="73"/>
      <c r="J3980" s="148">
        <v>0</v>
      </c>
      <c r="K3980" s="222">
        <v>0</v>
      </c>
    </row>
    <row r="3981" spans="1:11" ht="15.75" hidden="1" thickBot="1" x14ac:dyDescent="0.3">
      <c r="A3981" s="207"/>
      <c r="B3981" s="205"/>
      <c r="C3981" s="54"/>
      <c r="D3981" s="54"/>
      <c r="E3981" s="65"/>
      <c r="F3981" s="75" t="s">
        <v>514</v>
      </c>
      <c r="G3981" s="75" t="str">
        <f t="shared" si="75"/>
        <v/>
      </c>
      <c r="H3981" s="76"/>
      <c r="I3981" s="73"/>
      <c r="J3981" s="148">
        <v>0</v>
      </c>
      <c r="K3981" s="222">
        <v>0</v>
      </c>
    </row>
    <row r="3982" spans="1:11" ht="15.75" hidden="1" thickBot="1" x14ac:dyDescent="0.3">
      <c r="A3982" s="202" t="s">
        <v>1164</v>
      </c>
      <c r="B3982" s="204" t="str">
        <f>INDEX(Orçamentária!A:B,MATCH(Composições!A3982,Orçamentária!A:A,0),2)</f>
        <v>Cerâmica para revestimento de superfícies internas ou externas – Linha GAIL</v>
      </c>
      <c r="C3982" s="40"/>
      <c r="D3982" s="25" t="str">
        <f>TRIM(INDEX(Orçamentária!C:C,MATCH(Composições!A3982,Orçamentária!A:A,0),1))</f>
        <v>m2</v>
      </c>
      <c r="E3982" s="26"/>
      <c r="F3982" s="48" t="s">
        <v>514</v>
      </c>
      <c r="G3982" s="27" t="str">
        <f t="shared" si="75"/>
        <v/>
      </c>
      <c r="H3982" s="28"/>
      <c r="I3982" s="29"/>
      <c r="J3982" s="148">
        <v>0</v>
      </c>
      <c r="K3982" s="222">
        <v>0</v>
      </c>
    </row>
    <row r="3983" spans="1:11" hidden="1" x14ac:dyDescent="0.25">
      <c r="A3983" s="207"/>
      <c r="B3983" s="205"/>
      <c r="C3983" s="31"/>
      <c r="D3983" s="31"/>
      <c r="E3983" s="32"/>
      <c r="F3983" s="53" t="s">
        <v>514</v>
      </c>
      <c r="G3983" s="53" t="str">
        <f t="shared" si="75"/>
        <v/>
      </c>
      <c r="H3983" s="72"/>
      <c r="I3983" s="73"/>
      <c r="J3983" s="148">
        <v>0</v>
      </c>
      <c r="K3983" s="222">
        <v>0</v>
      </c>
    </row>
    <row r="3984" spans="1:11" ht="25.5" hidden="1" x14ac:dyDescent="0.25">
      <c r="A3984" s="207"/>
      <c r="B3984" s="205"/>
      <c r="C3984" s="35" t="s">
        <v>1165</v>
      </c>
      <c r="D3984" s="35" t="s">
        <v>94</v>
      </c>
      <c r="E3984" s="36">
        <v>1.08</v>
      </c>
      <c r="F3984" s="53" t="s">
        <v>514</v>
      </c>
      <c r="G3984" s="53" t="str">
        <f t="shared" si="75"/>
        <v/>
      </c>
      <c r="H3984" s="38">
        <f>SUM(G3984:G3988)</f>
        <v>29.618720000000003</v>
      </c>
      <c r="I3984" s="39"/>
      <c r="J3984" s="148">
        <v>0</v>
      </c>
      <c r="K3984" s="222">
        <v>0</v>
      </c>
    </row>
    <row r="3985" spans="1:11" hidden="1" x14ac:dyDescent="0.25">
      <c r="A3985" s="207"/>
      <c r="B3985" s="205"/>
      <c r="C3985" s="35" t="s">
        <v>3513</v>
      </c>
      <c r="D3985" s="35" t="s">
        <v>42</v>
      </c>
      <c r="E3985" s="36">
        <v>6.14</v>
      </c>
      <c r="F3985" s="53">
        <v>0.96899999999999997</v>
      </c>
      <c r="G3985" s="53">
        <f t="shared" si="75"/>
        <v>5.9496599999999997</v>
      </c>
      <c r="H3985" s="72"/>
      <c r="I3985" s="73"/>
      <c r="J3985" s="148">
        <v>0</v>
      </c>
      <c r="K3985" s="222">
        <v>0</v>
      </c>
    </row>
    <row r="3986" spans="1:11" hidden="1" x14ac:dyDescent="0.25">
      <c r="A3986" s="207"/>
      <c r="B3986" s="205"/>
      <c r="C3986" s="35" t="s">
        <v>3511</v>
      </c>
      <c r="D3986" s="35" t="s">
        <v>42</v>
      </c>
      <c r="E3986" s="36">
        <v>0.22</v>
      </c>
      <c r="F3986" s="53">
        <v>3.0590000000000002</v>
      </c>
      <c r="G3986" s="53">
        <f t="shared" si="75"/>
        <v>0.67298000000000002</v>
      </c>
      <c r="H3986" s="72"/>
      <c r="I3986" s="73"/>
      <c r="J3986" s="148">
        <v>0</v>
      </c>
      <c r="K3986" s="222">
        <v>0</v>
      </c>
    </row>
    <row r="3987" spans="1:11" hidden="1" x14ac:dyDescent="0.25">
      <c r="A3987" s="207"/>
      <c r="B3987" s="205"/>
      <c r="C3987" s="35" t="s">
        <v>36</v>
      </c>
      <c r="D3987" s="35" t="s">
        <v>12</v>
      </c>
      <c r="E3987" s="36">
        <v>0.66</v>
      </c>
      <c r="F3987" s="53">
        <v>24.795000000000002</v>
      </c>
      <c r="G3987" s="53">
        <f t="shared" si="75"/>
        <v>16.364700000000003</v>
      </c>
      <c r="H3987" s="72"/>
      <c r="I3987" s="73"/>
      <c r="J3987" s="148">
        <v>0</v>
      </c>
      <c r="K3987" s="222">
        <v>0</v>
      </c>
    </row>
    <row r="3988" spans="1:11" hidden="1" x14ac:dyDescent="0.25">
      <c r="A3988" s="207"/>
      <c r="B3988" s="205"/>
      <c r="C3988" s="35" t="s">
        <v>23</v>
      </c>
      <c r="D3988" s="35" t="s">
        <v>12</v>
      </c>
      <c r="E3988" s="36">
        <v>0.36</v>
      </c>
      <c r="F3988" s="53">
        <v>18.420500000000001</v>
      </c>
      <c r="G3988" s="53">
        <f t="shared" si="75"/>
        <v>6.6313800000000001</v>
      </c>
      <c r="H3988" s="72"/>
      <c r="I3988" s="73"/>
      <c r="J3988" s="148">
        <v>0</v>
      </c>
      <c r="K3988" s="222">
        <v>0</v>
      </c>
    </row>
    <row r="3989" spans="1:11" hidden="1" x14ac:dyDescent="0.25">
      <c r="A3989" s="207"/>
      <c r="B3989" s="205"/>
      <c r="C3989" s="35"/>
      <c r="D3989" s="46"/>
      <c r="E3989" s="36"/>
      <c r="F3989" s="53" t="s">
        <v>514</v>
      </c>
      <c r="G3989" s="53" t="str">
        <f t="shared" si="75"/>
        <v/>
      </c>
      <c r="H3989" s="72"/>
      <c r="I3989" s="73"/>
      <c r="J3989" s="148">
        <v>0</v>
      </c>
      <c r="K3989" s="222">
        <v>0</v>
      </c>
    </row>
    <row r="3990" spans="1:11" ht="15.75" hidden="1" thickBot="1" x14ac:dyDescent="0.3">
      <c r="A3990" s="202" t="s">
        <v>1166</v>
      </c>
      <c r="B3990" s="204" t="str">
        <f>INDEX(Orçamentária!A:B,MATCH(Composições!A3990,Orçamentária!A:A,0),2)</f>
        <v>Aterro de vala com areia média e compactação mecanizada</v>
      </c>
      <c r="C3990" s="40"/>
      <c r="D3990" s="25" t="str">
        <f>TRIM(INDEX(Orçamentária!C:C,MATCH(Composições!A3990,Orçamentária!A:A,0),1))</f>
        <v>m3</v>
      </c>
      <c r="E3990" s="26"/>
      <c r="F3990" s="48" t="s">
        <v>514</v>
      </c>
      <c r="G3990" s="27" t="str">
        <f t="shared" si="75"/>
        <v/>
      </c>
      <c r="H3990" s="28"/>
      <c r="I3990" s="29"/>
      <c r="J3990" s="148">
        <v>0</v>
      </c>
      <c r="K3990" s="222">
        <v>0</v>
      </c>
    </row>
    <row r="3991" spans="1:11" hidden="1" x14ac:dyDescent="0.25">
      <c r="A3991" s="207"/>
      <c r="B3991" s="205"/>
      <c r="C3991" s="31"/>
      <c r="D3991" s="31"/>
      <c r="E3991" s="32"/>
      <c r="F3991" s="53" t="s">
        <v>514</v>
      </c>
      <c r="G3991" s="53" t="str">
        <f t="shared" si="75"/>
        <v/>
      </c>
      <c r="H3991" s="72"/>
      <c r="I3991" s="73"/>
      <c r="J3991" s="148">
        <v>0</v>
      </c>
      <c r="K3991" s="222">
        <v>0</v>
      </c>
    </row>
    <row r="3992" spans="1:11" ht="25.5" hidden="1" x14ac:dyDescent="0.25">
      <c r="A3992" s="207"/>
      <c r="B3992" s="205"/>
      <c r="C3992" s="35" t="s">
        <v>1167</v>
      </c>
      <c r="D3992" s="46" t="s">
        <v>119</v>
      </c>
      <c r="E3992" s="36">
        <v>1.25</v>
      </c>
      <c r="F3992" s="53">
        <v>92.833999999999989</v>
      </c>
      <c r="G3992" s="53">
        <f t="shared" si="75"/>
        <v>116.04249999999999</v>
      </c>
      <c r="H3992" s="38">
        <f>SUM(G3992:G3999)</f>
        <v>217.90276706249998</v>
      </c>
      <c r="I3992" s="39"/>
      <c r="J3992" s="148">
        <v>0</v>
      </c>
      <c r="K3992" s="222">
        <v>0</v>
      </c>
    </row>
    <row r="3993" spans="1:11" ht="51" hidden="1" x14ac:dyDescent="0.25">
      <c r="A3993" s="207"/>
      <c r="B3993" s="205"/>
      <c r="C3993" s="35" t="s">
        <v>937</v>
      </c>
      <c r="D3993" s="46" t="s">
        <v>932</v>
      </c>
      <c r="E3993" s="36">
        <v>6.0000000000000001E-3</v>
      </c>
      <c r="F3993" s="53">
        <v>312.78749999999997</v>
      </c>
      <c r="G3993" s="53">
        <f t="shared" si="75"/>
        <v>1.8767249999999998</v>
      </c>
      <c r="H3993" s="72"/>
      <c r="I3993" s="73"/>
      <c r="J3993" s="148">
        <v>0</v>
      </c>
      <c r="K3993" s="222">
        <v>0</v>
      </c>
    </row>
    <row r="3994" spans="1:11" ht="51" hidden="1" x14ac:dyDescent="0.25">
      <c r="A3994" s="207"/>
      <c r="B3994" s="205"/>
      <c r="C3994" s="35" t="s">
        <v>938</v>
      </c>
      <c r="D3994" s="35" t="s">
        <v>934</v>
      </c>
      <c r="E3994" s="36">
        <v>3.0000000000000001E-3</v>
      </c>
      <c r="F3994" s="53">
        <v>51.860500000000002</v>
      </c>
      <c r="G3994" s="53">
        <f t="shared" si="75"/>
        <v>0.15558150000000001</v>
      </c>
      <c r="H3994" s="72"/>
      <c r="I3994" s="73"/>
      <c r="J3994" s="148">
        <v>0</v>
      </c>
      <c r="K3994" s="222">
        <v>0</v>
      </c>
    </row>
    <row r="3995" spans="1:11" hidden="1" x14ac:dyDescent="0.25">
      <c r="A3995" s="207"/>
      <c r="B3995" s="205"/>
      <c r="C3995" s="35" t="s">
        <v>696</v>
      </c>
      <c r="D3995" s="35" t="s">
        <v>695</v>
      </c>
      <c r="E3995" s="36">
        <v>0.65900000000000003</v>
      </c>
      <c r="F3995" s="53">
        <v>18.420500000000001</v>
      </c>
      <c r="G3995" s="53">
        <f t="shared" si="75"/>
        <v>12.139109500000002</v>
      </c>
      <c r="H3995" s="72"/>
      <c r="I3995" s="73"/>
      <c r="J3995" s="148">
        <v>0</v>
      </c>
      <c r="K3995" s="222">
        <v>0</v>
      </c>
    </row>
    <row r="3996" spans="1:11" ht="38.25" hidden="1" x14ac:dyDescent="0.25">
      <c r="A3996" s="207"/>
      <c r="B3996" s="205"/>
      <c r="C3996" s="35" t="s">
        <v>931</v>
      </c>
      <c r="D3996" s="46" t="s">
        <v>932</v>
      </c>
      <c r="E3996" s="36">
        <v>0.27400000000000002</v>
      </c>
      <c r="F3996" s="53">
        <v>26.485999999999997</v>
      </c>
      <c r="G3996" s="53">
        <f t="shared" si="75"/>
        <v>7.2571639999999995</v>
      </c>
      <c r="H3996" s="72"/>
      <c r="I3996" s="73"/>
      <c r="J3996" s="148">
        <v>0</v>
      </c>
      <c r="K3996" s="222">
        <v>0</v>
      </c>
    </row>
    <row r="3997" spans="1:11" ht="38.25" hidden="1" x14ac:dyDescent="0.25">
      <c r="A3997" s="207"/>
      <c r="B3997" s="205"/>
      <c r="C3997" s="35" t="s">
        <v>933</v>
      </c>
      <c r="D3997" s="46" t="s">
        <v>934</v>
      </c>
      <c r="E3997" s="36">
        <v>0.254</v>
      </c>
      <c r="F3997" s="53">
        <v>20.225499999999997</v>
      </c>
      <c r="G3997" s="53">
        <f t="shared" si="75"/>
        <v>5.1372769999999992</v>
      </c>
      <c r="H3997" s="72"/>
      <c r="I3997" s="73"/>
      <c r="J3997" s="148">
        <v>0</v>
      </c>
      <c r="K3997" s="222">
        <v>0</v>
      </c>
    </row>
    <row r="3998" spans="1:11" ht="51" hidden="1" x14ac:dyDescent="0.25">
      <c r="A3998" s="207"/>
      <c r="B3998" s="205"/>
      <c r="C3998" s="35" t="s">
        <v>3507</v>
      </c>
      <c r="D3998" s="35" t="s">
        <v>108</v>
      </c>
      <c r="E3998" s="36">
        <f>1*E3992</f>
        <v>1.25</v>
      </c>
      <c r="F3998" s="33">
        <v>7.7750840499999994</v>
      </c>
      <c r="G3998" s="33">
        <f t="shared" si="75"/>
        <v>9.7188550624999994</v>
      </c>
      <c r="H3998" s="34"/>
      <c r="I3998" s="30"/>
      <c r="J3998" s="148">
        <v>0</v>
      </c>
      <c r="K3998" s="222">
        <v>0</v>
      </c>
    </row>
    <row r="3999" spans="1:11" ht="38.25" hidden="1" x14ac:dyDescent="0.25">
      <c r="A3999" s="207"/>
      <c r="B3999" s="205"/>
      <c r="C3999" s="35" t="s">
        <v>120</v>
      </c>
      <c r="D3999" s="46" t="s">
        <v>121</v>
      </c>
      <c r="E3999" s="36">
        <f>E3992*20</f>
        <v>25</v>
      </c>
      <c r="F3999" s="53">
        <v>2.6230221999999994</v>
      </c>
      <c r="G3999" s="53">
        <f t="shared" si="75"/>
        <v>65.57555499999998</v>
      </c>
      <c r="H3999" s="72"/>
      <c r="I3999" s="73"/>
      <c r="J3999" s="148">
        <v>0</v>
      </c>
      <c r="K3999" s="222">
        <v>0</v>
      </c>
    </row>
    <row r="4000" spans="1:11" hidden="1" x14ac:dyDescent="0.25">
      <c r="A4000" s="207"/>
      <c r="B4000" s="205"/>
      <c r="C4000" s="50"/>
      <c r="D4000" s="46"/>
      <c r="E4000" s="36"/>
      <c r="F4000" s="53" t="s">
        <v>514</v>
      </c>
      <c r="G4000" s="53" t="str">
        <f t="shared" si="75"/>
        <v/>
      </c>
      <c r="H4000" s="72"/>
      <c r="I4000" s="73"/>
      <c r="J4000" s="148">
        <v>0</v>
      </c>
      <c r="K4000" s="222">
        <v>0</v>
      </c>
    </row>
    <row r="4001" spans="1:11" hidden="1" x14ac:dyDescent="0.25">
      <c r="A4001" s="207"/>
      <c r="B4001" s="205"/>
      <c r="C4001" s="47" t="s">
        <v>747</v>
      </c>
      <c r="D4001" s="46"/>
      <c r="E4001" s="36"/>
      <c r="F4001" s="53" t="s">
        <v>514</v>
      </c>
      <c r="G4001" s="53" t="str">
        <f t="shared" si="75"/>
        <v/>
      </c>
      <c r="H4001" s="72"/>
      <c r="I4001" s="73"/>
      <c r="J4001" s="148">
        <v>0</v>
      </c>
      <c r="K4001" s="222">
        <v>0</v>
      </c>
    </row>
    <row r="4002" spans="1:11" ht="15.75" hidden="1" thickBot="1" x14ac:dyDescent="0.3">
      <c r="A4002" s="207"/>
      <c r="B4002" s="205"/>
      <c r="C4002" s="54"/>
      <c r="D4002" s="54"/>
      <c r="E4002" s="65"/>
      <c r="F4002" s="75" t="s">
        <v>514</v>
      </c>
      <c r="G4002" s="75" t="str">
        <f t="shared" si="75"/>
        <v/>
      </c>
      <c r="H4002" s="76"/>
      <c r="I4002" s="73"/>
      <c r="J4002" s="148">
        <v>0</v>
      </c>
      <c r="K4002" s="222">
        <v>0</v>
      </c>
    </row>
    <row r="4003" spans="1:11" ht="15.75" hidden="1" thickBot="1" x14ac:dyDescent="0.3">
      <c r="A4003" s="202" t="s">
        <v>1168</v>
      </c>
      <c r="B4003" s="204" t="str">
        <f>INDEX(Orçamentária!A:B,MATCH(Composições!A4003,Orçamentária!A:A,0),2)</f>
        <v>Guarda-corpo panorâmico</v>
      </c>
      <c r="C4003" s="40"/>
      <c r="D4003" s="25" t="str">
        <f>TRIM(INDEX(Orçamentária!C:C,MATCH(Composições!A4003,Orçamentária!A:A,0),1))</f>
        <v>m</v>
      </c>
      <c r="E4003" s="26"/>
      <c r="F4003" s="48" t="s">
        <v>514</v>
      </c>
      <c r="G4003" s="27" t="str">
        <f t="shared" si="75"/>
        <v/>
      </c>
      <c r="H4003" s="28"/>
      <c r="I4003" s="29"/>
      <c r="J4003" s="148">
        <v>0</v>
      </c>
      <c r="K4003" s="222">
        <v>0</v>
      </c>
    </row>
    <row r="4004" spans="1:11" hidden="1" x14ac:dyDescent="0.25">
      <c r="A4004" s="207"/>
      <c r="B4004" s="205"/>
      <c r="C4004" s="31"/>
      <c r="D4004" s="31"/>
      <c r="E4004" s="32"/>
      <c r="F4004" s="53" t="s">
        <v>514</v>
      </c>
      <c r="G4004" s="53" t="str">
        <f t="shared" si="75"/>
        <v/>
      </c>
      <c r="H4004" s="72"/>
      <c r="I4004" s="73"/>
      <c r="J4004" s="148">
        <v>0</v>
      </c>
      <c r="K4004" s="222">
        <v>0</v>
      </c>
    </row>
    <row r="4005" spans="1:11" hidden="1" x14ac:dyDescent="0.25">
      <c r="A4005" s="207"/>
      <c r="B4005" s="205"/>
      <c r="C4005" s="35" t="s">
        <v>1169</v>
      </c>
      <c r="D4005" s="46" t="s">
        <v>891</v>
      </c>
      <c r="E4005" s="36">
        <v>1.4</v>
      </c>
      <c r="F4005" s="53">
        <v>11.371499999999999</v>
      </c>
      <c r="G4005" s="53">
        <f t="shared" si="75"/>
        <v>15.920099999999998</v>
      </c>
      <c r="H4005" s="38">
        <f>SUM(G4005:G4014)</f>
        <v>799.76571749999982</v>
      </c>
      <c r="I4005" s="39"/>
      <c r="J4005" s="148">
        <v>0</v>
      </c>
      <c r="K4005" s="222">
        <v>0</v>
      </c>
    </row>
    <row r="4006" spans="1:11" hidden="1" x14ac:dyDescent="0.25">
      <c r="A4006" s="207"/>
      <c r="B4006" s="205"/>
      <c r="C4006" s="35" t="s">
        <v>1170</v>
      </c>
      <c r="D4006" s="46" t="s">
        <v>891</v>
      </c>
      <c r="E4006" s="36">
        <v>3.0000000000000001E-3</v>
      </c>
      <c r="F4006" s="53">
        <v>32.746499999999997</v>
      </c>
      <c r="G4006" s="53">
        <f t="shared" si="75"/>
        <v>9.8239499999999993E-2</v>
      </c>
      <c r="H4006" s="72"/>
      <c r="I4006" s="73"/>
      <c r="J4006" s="148">
        <v>0</v>
      </c>
      <c r="K4006" s="222">
        <v>0</v>
      </c>
    </row>
    <row r="4007" spans="1:11" ht="25.5" hidden="1" x14ac:dyDescent="0.25">
      <c r="A4007" s="207"/>
      <c r="B4007" s="205"/>
      <c r="C4007" s="35" t="s">
        <v>1027</v>
      </c>
      <c r="D4007" s="35" t="s">
        <v>278</v>
      </c>
      <c r="E4007" s="36">
        <v>3.3330000000000002</v>
      </c>
      <c r="F4007" s="53">
        <v>2.2989999999999999</v>
      </c>
      <c r="G4007" s="53">
        <f t="shared" si="75"/>
        <v>7.6625670000000001</v>
      </c>
      <c r="H4007" s="72"/>
      <c r="I4007" s="73"/>
      <c r="J4007" s="148">
        <v>0</v>
      </c>
      <c r="K4007" s="222">
        <v>0</v>
      </c>
    </row>
    <row r="4008" spans="1:11" ht="38.25" hidden="1" x14ac:dyDescent="0.25">
      <c r="A4008" s="207"/>
      <c r="B4008" s="205"/>
      <c r="C4008" s="35" t="s">
        <v>1171</v>
      </c>
      <c r="D4008" s="35" t="s">
        <v>278</v>
      </c>
      <c r="E4008" s="36">
        <v>5</v>
      </c>
      <c r="F4008" s="53">
        <v>0.42749999999999999</v>
      </c>
      <c r="G4008" s="53">
        <f t="shared" si="75"/>
        <v>2.1375000000000002</v>
      </c>
      <c r="H4008" s="72"/>
      <c r="I4008" s="73"/>
      <c r="J4008" s="148">
        <v>0</v>
      </c>
      <c r="K4008" s="222">
        <v>0</v>
      </c>
    </row>
    <row r="4009" spans="1:11" ht="25.5" hidden="1" x14ac:dyDescent="0.25">
      <c r="A4009" s="207"/>
      <c r="B4009" s="205"/>
      <c r="C4009" s="35" t="s">
        <v>1172</v>
      </c>
      <c r="D4009" s="35" t="s">
        <v>473</v>
      </c>
      <c r="E4009" s="36">
        <v>3.149</v>
      </c>
      <c r="F4009" s="53">
        <v>14.25</v>
      </c>
      <c r="G4009" s="53">
        <f t="shared" si="75"/>
        <v>44.873249999999999</v>
      </c>
      <c r="H4009" s="72"/>
      <c r="I4009" s="73"/>
      <c r="J4009" s="148">
        <v>0</v>
      </c>
      <c r="K4009" s="222">
        <v>0</v>
      </c>
    </row>
    <row r="4010" spans="1:11" hidden="1" x14ac:dyDescent="0.25">
      <c r="A4010" s="207"/>
      <c r="B4010" s="205"/>
      <c r="C4010" s="35" t="s">
        <v>827</v>
      </c>
      <c r="D4010" s="35" t="s">
        <v>891</v>
      </c>
      <c r="E4010" s="36">
        <v>3.4089999999999998</v>
      </c>
      <c r="F4010" s="53">
        <v>39.054499999999997</v>
      </c>
      <c r="G4010" s="53">
        <f t="shared" si="75"/>
        <v>133.13679049999999</v>
      </c>
      <c r="H4010" s="72"/>
      <c r="I4010" s="73"/>
      <c r="J4010" s="148">
        <v>0</v>
      </c>
      <c r="K4010" s="222">
        <v>0</v>
      </c>
    </row>
    <row r="4011" spans="1:11" ht="25.5" hidden="1" x14ac:dyDescent="0.25">
      <c r="A4011" s="207"/>
      <c r="B4011" s="205"/>
      <c r="C4011" s="35" t="s">
        <v>1173</v>
      </c>
      <c r="D4011" s="35" t="s">
        <v>982</v>
      </c>
      <c r="E4011" s="36">
        <v>0.998</v>
      </c>
      <c r="F4011" s="53">
        <v>439.01400000000001</v>
      </c>
      <c r="G4011" s="53">
        <f t="shared" si="75"/>
        <v>438.13597199999998</v>
      </c>
      <c r="H4011" s="72"/>
      <c r="I4011" s="73"/>
      <c r="J4011" s="148">
        <v>0</v>
      </c>
      <c r="K4011" s="222">
        <v>0</v>
      </c>
    </row>
    <row r="4012" spans="1:11" hidden="1" x14ac:dyDescent="0.25">
      <c r="A4012" s="207"/>
      <c r="B4012" s="205"/>
      <c r="C4012" s="35" t="s">
        <v>1117</v>
      </c>
      <c r="D4012" s="46" t="s">
        <v>278</v>
      </c>
      <c r="E4012" s="36">
        <v>0.85499999999999998</v>
      </c>
      <c r="F4012" s="53">
        <v>24.414999999999999</v>
      </c>
      <c r="G4012" s="53">
        <f t="shared" ref="G4012:G4075" si="76">IF(ISNUMBER(F4012),E4012*F4012,"")</f>
        <v>20.874824999999998</v>
      </c>
      <c r="H4012" s="72"/>
      <c r="I4012" s="73"/>
      <c r="J4012" s="148">
        <v>0</v>
      </c>
      <c r="K4012" s="222">
        <v>0</v>
      </c>
    </row>
    <row r="4013" spans="1:11" hidden="1" x14ac:dyDescent="0.25">
      <c r="A4013" s="207"/>
      <c r="B4013" s="205"/>
      <c r="C4013" s="35" t="s">
        <v>780</v>
      </c>
      <c r="D4013" s="46" t="s">
        <v>695</v>
      </c>
      <c r="E4013" s="36">
        <v>2.754</v>
      </c>
      <c r="F4013" s="53">
        <v>19.588999999999999</v>
      </c>
      <c r="G4013" s="53">
        <f t="shared" si="76"/>
        <v>53.948105999999996</v>
      </c>
      <c r="H4013" s="72"/>
      <c r="I4013" s="73"/>
      <c r="J4013" s="148">
        <v>0</v>
      </c>
      <c r="K4013" s="222">
        <v>0</v>
      </c>
    </row>
    <row r="4014" spans="1:11" hidden="1" x14ac:dyDescent="0.25">
      <c r="A4014" s="207"/>
      <c r="B4014" s="205"/>
      <c r="C4014" s="35" t="s">
        <v>1174</v>
      </c>
      <c r="D4014" s="46" t="s">
        <v>695</v>
      </c>
      <c r="E4014" s="36">
        <v>3.3530000000000002</v>
      </c>
      <c r="F4014" s="53">
        <v>24.747499999999999</v>
      </c>
      <c r="G4014" s="53">
        <f t="shared" si="76"/>
        <v>82.978367500000004</v>
      </c>
      <c r="H4014" s="72"/>
      <c r="I4014" s="73"/>
      <c r="J4014" s="148">
        <v>0</v>
      </c>
      <c r="K4014" s="222">
        <v>0</v>
      </c>
    </row>
    <row r="4015" spans="1:11" ht="15.75" hidden="1" thickBot="1" x14ac:dyDescent="0.3">
      <c r="A4015" s="208"/>
      <c r="B4015" s="206"/>
      <c r="C4015" s="54"/>
      <c r="D4015" s="54"/>
      <c r="E4015" s="65"/>
      <c r="F4015" s="75" t="s">
        <v>514</v>
      </c>
      <c r="G4015" s="75" t="str">
        <f t="shared" si="76"/>
        <v/>
      </c>
      <c r="H4015" s="76"/>
      <c r="I4015" s="73"/>
      <c r="J4015" s="148">
        <v>0</v>
      </c>
      <c r="K4015" s="222">
        <v>0</v>
      </c>
    </row>
    <row r="4016" spans="1:11" ht="15.75" hidden="1" thickBot="1" x14ac:dyDescent="0.3">
      <c r="A4016" s="202" t="s">
        <v>1175</v>
      </c>
      <c r="B4016" s="204" t="str">
        <f>INDEX(Orçamentária!A:B,MATCH(Composições!A4016,Orçamentária!A:A,0),2)</f>
        <v>Perfil “U” em aço 25 x 25mm</v>
      </c>
      <c r="C4016" s="40"/>
      <c r="D4016" s="25" t="str">
        <f>TRIM(INDEX(Orçamentária!C:C,MATCH(Composições!A4016,Orçamentária!A:A,0),1))</f>
        <v>m</v>
      </c>
      <c r="E4016" s="26"/>
      <c r="F4016" s="41" t="s">
        <v>514</v>
      </c>
      <c r="G4016" s="27" t="str">
        <f t="shared" si="76"/>
        <v/>
      </c>
      <c r="H4016" s="28"/>
      <c r="I4016" s="29"/>
      <c r="J4016" s="148">
        <v>0</v>
      </c>
      <c r="K4016" s="222">
        <v>0</v>
      </c>
    </row>
    <row r="4017" spans="1:11" hidden="1" x14ac:dyDescent="0.25">
      <c r="A4017" s="207"/>
      <c r="B4017" s="205"/>
      <c r="C4017" s="31"/>
      <c r="D4017" s="31"/>
      <c r="E4017" s="32"/>
      <c r="F4017" s="42" t="s">
        <v>514</v>
      </c>
      <c r="G4017" s="30" t="str">
        <f t="shared" si="76"/>
        <v/>
      </c>
      <c r="H4017" s="34"/>
      <c r="I4017" s="30"/>
      <c r="J4017" s="148">
        <v>0</v>
      </c>
      <c r="K4017" s="222">
        <v>0</v>
      </c>
    </row>
    <row r="4018" spans="1:11" hidden="1" x14ac:dyDescent="0.25">
      <c r="A4018" s="207"/>
      <c r="B4018" s="205"/>
      <c r="C4018" s="35" t="s">
        <v>68</v>
      </c>
      <c r="D4018" s="46" t="s">
        <v>12</v>
      </c>
      <c r="E4018" s="36">
        <f>1/10</f>
        <v>0.1</v>
      </c>
      <c r="F4018" s="30">
        <v>22.961500000000001</v>
      </c>
      <c r="G4018" s="33">
        <f t="shared" si="76"/>
        <v>2.2961500000000004</v>
      </c>
      <c r="H4018" s="38">
        <f>SUM(G4018:G4019)</f>
        <v>2.2961500000000004</v>
      </c>
      <c r="I4018" s="39"/>
      <c r="J4018" s="148">
        <v>0</v>
      </c>
      <c r="K4018" s="222">
        <v>0</v>
      </c>
    </row>
    <row r="4019" spans="1:11" hidden="1" x14ac:dyDescent="0.25">
      <c r="A4019" s="207"/>
      <c r="B4019" s="205"/>
      <c r="C4019" s="35" t="s">
        <v>1176</v>
      </c>
      <c r="D4019" s="46" t="s">
        <v>92</v>
      </c>
      <c r="E4019" s="36">
        <v>1.05</v>
      </c>
      <c r="F4019" s="33" t="s">
        <v>514</v>
      </c>
      <c r="G4019" s="33" t="str">
        <f t="shared" si="76"/>
        <v/>
      </c>
      <c r="H4019" s="34"/>
      <c r="I4019" s="30"/>
      <c r="J4019" s="148">
        <v>0</v>
      </c>
      <c r="K4019" s="222">
        <v>0</v>
      </c>
    </row>
    <row r="4020" spans="1:11" ht="15.75" hidden="1" thickBot="1" x14ac:dyDescent="0.3">
      <c r="A4020" s="208"/>
      <c r="B4020" s="206"/>
      <c r="C4020" s="35"/>
      <c r="D4020" s="46"/>
      <c r="E4020" s="36"/>
      <c r="F4020" s="33" t="s">
        <v>514</v>
      </c>
      <c r="G4020" s="33" t="str">
        <f t="shared" si="76"/>
        <v/>
      </c>
      <c r="H4020" s="34"/>
      <c r="I4020" s="30"/>
      <c r="J4020" s="148">
        <v>0</v>
      </c>
      <c r="K4020" s="222">
        <v>0</v>
      </c>
    </row>
    <row r="4021" spans="1:11" ht="15.75" hidden="1" thickBot="1" x14ac:dyDescent="0.3">
      <c r="A4021" s="202" t="s">
        <v>1177</v>
      </c>
      <c r="B4021" s="204" t="str">
        <f>INDEX(Orçamentária!A:B,MATCH(Composições!A4021,Orçamentária!A:A,0),2)</f>
        <v>Alimentação para mão-de-obra indireta</v>
      </c>
      <c r="C4021" s="40"/>
      <c r="D4021" s="25" t="str">
        <f>TRIM(INDEX(Orçamentária!C:C,MATCH(Composições!A4021,Orçamentária!A:A,0),1))</f>
        <v>h</v>
      </c>
      <c r="E4021" s="26"/>
      <c r="F4021" s="48" t="s">
        <v>514</v>
      </c>
      <c r="G4021" s="27" t="str">
        <f t="shared" si="76"/>
        <v/>
      </c>
      <c r="H4021" s="28"/>
      <c r="I4021" s="29"/>
      <c r="J4021" s="148">
        <v>0</v>
      </c>
      <c r="K4021" s="222">
        <v>0</v>
      </c>
    </row>
    <row r="4022" spans="1:11" hidden="1" x14ac:dyDescent="0.25">
      <c r="A4022" s="207"/>
      <c r="B4022" s="205"/>
      <c r="C4022" s="31"/>
      <c r="D4022" s="31"/>
      <c r="E4022" s="32"/>
      <c r="F4022" s="53" t="s">
        <v>514</v>
      </c>
      <c r="G4022" s="53" t="str">
        <f t="shared" si="76"/>
        <v/>
      </c>
      <c r="H4022" s="72"/>
      <c r="I4022" s="73"/>
      <c r="J4022" s="148">
        <v>0</v>
      </c>
      <c r="K4022" s="222">
        <v>0</v>
      </c>
    </row>
    <row r="4023" spans="1:11" hidden="1" x14ac:dyDescent="0.25">
      <c r="A4023" s="207"/>
      <c r="B4023" s="205"/>
      <c r="C4023" s="35" t="s">
        <v>1178</v>
      </c>
      <c r="D4023" s="35" t="s">
        <v>12</v>
      </c>
      <c r="E4023" s="36">
        <v>1</v>
      </c>
      <c r="F4023" s="53">
        <v>2.7075</v>
      </c>
      <c r="G4023" s="53">
        <f t="shared" si="76"/>
        <v>2.7075</v>
      </c>
      <c r="H4023" s="38">
        <f>SUM(G4023:G4023)</f>
        <v>2.7075</v>
      </c>
      <c r="I4023" s="39"/>
      <c r="J4023" s="148">
        <v>0</v>
      </c>
      <c r="K4023" s="222">
        <v>0</v>
      </c>
    </row>
    <row r="4024" spans="1:11" ht="15.75" hidden="1" thickBot="1" x14ac:dyDescent="0.3">
      <c r="A4024" s="207"/>
      <c r="B4024" s="205"/>
      <c r="C4024" s="54"/>
      <c r="D4024" s="54"/>
      <c r="E4024" s="65"/>
      <c r="F4024" s="75" t="s">
        <v>514</v>
      </c>
      <c r="G4024" s="75" t="str">
        <f t="shared" si="76"/>
        <v/>
      </c>
      <c r="H4024" s="76"/>
      <c r="I4024" s="73"/>
      <c r="J4024" s="148">
        <v>0</v>
      </c>
      <c r="K4024" s="222">
        <v>0</v>
      </c>
    </row>
    <row r="4025" spans="1:11" ht="15.75" hidden="1" thickBot="1" x14ac:dyDescent="0.3">
      <c r="A4025" s="202" t="s">
        <v>1179</v>
      </c>
      <c r="B4025" s="204" t="str">
        <f>INDEX(Orçamentária!A:B,MATCH(Composições!A4025,Orçamentária!A:A,0),2)</f>
        <v>Transporte para mão-de-obra indireta</v>
      </c>
      <c r="C4025" s="40"/>
      <c r="D4025" s="25" t="str">
        <f>TRIM(INDEX(Orçamentária!C:C,MATCH(Composições!A4025,Orçamentária!A:A,0),1))</f>
        <v>h</v>
      </c>
      <c r="E4025" s="26"/>
      <c r="F4025" s="48" t="s">
        <v>514</v>
      </c>
      <c r="G4025" s="27" t="str">
        <f t="shared" si="76"/>
        <v/>
      </c>
      <c r="H4025" s="28"/>
      <c r="I4025" s="29"/>
      <c r="J4025" s="148">
        <v>0</v>
      </c>
      <c r="K4025" s="222">
        <v>0</v>
      </c>
    </row>
    <row r="4026" spans="1:11" hidden="1" x14ac:dyDescent="0.25">
      <c r="A4026" s="207"/>
      <c r="B4026" s="205"/>
      <c r="C4026" s="31"/>
      <c r="D4026" s="31"/>
      <c r="E4026" s="32"/>
      <c r="F4026" s="53" t="s">
        <v>514</v>
      </c>
      <c r="G4026" s="53" t="str">
        <f t="shared" si="76"/>
        <v/>
      </c>
      <c r="H4026" s="72"/>
      <c r="I4026" s="73"/>
      <c r="J4026" s="148">
        <v>0</v>
      </c>
      <c r="K4026" s="222">
        <v>0</v>
      </c>
    </row>
    <row r="4027" spans="1:11" hidden="1" x14ac:dyDescent="0.25">
      <c r="A4027" s="207"/>
      <c r="B4027" s="205"/>
      <c r="C4027" s="35" t="s">
        <v>1180</v>
      </c>
      <c r="D4027" s="35" t="s">
        <v>695</v>
      </c>
      <c r="E4027" s="36">
        <v>1.05</v>
      </c>
      <c r="F4027" s="53">
        <v>1.292</v>
      </c>
      <c r="G4027" s="53">
        <f t="shared" si="76"/>
        <v>1.3566</v>
      </c>
      <c r="H4027" s="38">
        <f>SUM(G4027:G4027)</f>
        <v>1.3566</v>
      </c>
      <c r="I4027" s="39"/>
      <c r="J4027" s="148">
        <v>0</v>
      </c>
      <c r="K4027" s="222">
        <v>0</v>
      </c>
    </row>
    <row r="4028" spans="1:11" ht="15.75" hidden="1" thickBot="1" x14ac:dyDescent="0.3">
      <c r="A4028" s="208"/>
      <c r="B4028" s="206"/>
      <c r="C4028" s="54"/>
      <c r="D4028" s="54"/>
      <c r="E4028" s="65"/>
      <c r="F4028" s="75" t="s">
        <v>514</v>
      </c>
      <c r="G4028" s="75" t="str">
        <f t="shared" si="76"/>
        <v/>
      </c>
      <c r="H4028" s="76"/>
      <c r="I4028" s="73"/>
      <c r="J4028" s="148">
        <v>0</v>
      </c>
      <c r="K4028" s="222">
        <v>0</v>
      </c>
    </row>
    <row r="4029" spans="1:11" ht="15.75" hidden="1" thickBot="1" x14ac:dyDescent="0.3">
      <c r="A4029" s="202" t="s">
        <v>1181</v>
      </c>
      <c r="B4029" s="204" t="str">
        <f>INDEX(Orçamentária!A:B,MATCH(Composições!A4029,Orçamentária!A:A,0),2)</f>
        <v>Cotovelo de cobre de 1 3/8”</v>
      </c>
      <c r="C4029" s="40"/>
      <c r="D4029" s="25" t="str">
        <f>TRIM(INDEX(Orçamentária!C:C,MATCH(Composições!A4029,Orçamentária!A:A,0),1))</f>
        <v>un</v>
      </c>
      <c r="E4029" s="26"/>
      <c r="F4029" s="48" t="s">
        <v>514</v>
      </c>
      <c r="G4029" s="27" t="str">
        <f t="shared" si="76"/>
        <v/>
      </c>
      <c r="H4029" s="28"/>
      <c r="I4029" s="29"/>
      <c r="J4029" s="148">
        <v>0</v>
      </c>
      <c r="K4029" s="222">
        <v>0</v>
      </c>
    </row>
    <row r="4030" spans="1:11" hidden="1" x14ac:dyDescent="0.25">
      <c r="A4030" s="207"/>
      <c r="B4030" s="205"/>
      <c r="C4030" s="31"/>
      <c r="D4030" s="31"/>
      <c r="E4030" s="32"/>
      <c r="F4030" s="53" t="s">
        <v>514</v>
      </c>
      <c r="G4030" s="53" t="str">
        <f t="shared" si="76"/>
        <v/>
      </c>
      <c r="H4030" s="72"/>
      <c r="I4030" s="73"/>
      <c r="J4030" s="148">
        <v>0</v>
      </c>
      <c r="K4030" s="222">
        <v>0</v>
      </c>
    </row>
    <row r="4031" spans="1:11" ht="25.5" hidden="1" x14ac:dyDescent="0.25">
      <c r="A4031" s="207"/>
      <c r="B4031" s="205"/>
      <c r="C4031" s="35" t="s">
        <v>1182</v>
      </c>
      <c r="D4031" s="46" t="s">
        <v>278</v>
      </c>
      <c r="E4031" s="36">
        <v>1</v>
      </c>
      <c r="F4031" s="53">
        <v>41.733499999999999</v>
      </c>
      <c r="G4031" s="53">
        <f t="shared" si="76"/>
        <v>41.733499999999999</v>
      </c>
      <c r="H4031" s="38">
        <f>SUM(G4031:G4036)</f>
        <v>50.867810800000001</v>
      </c>
      <c r="I4031" s="39"/>
      <c r="J4031" s="148">
        <v>0</v>
      </c>
      <c r="K4031" s="222">
        <v>0</v>
      </c>
    </row>
    <row r="4032" spans="1:11" ht="25.5" hidden="1" x14ac:dyDescent="0.25">
      <c r="A4032" s="207"/>
      <c r="B4032" s="205"/>
      <c r="C4032" s="35" t="s">
        <v>1183</v>
      </c>
      <c r="D4032" s="46" t="s">
        <v>278</v>
      </c>
      <c r="E4032" s="36">
        <v>8.3999999999999995E-3</v>
      </c>
      <c r="F4032" s="53">
        <v>308.25600000000003</v>
      </c>
      <c r="G4032" s="53">
        <f t="shared" si="76"/>
        <v>2.5893504000000003</v>
      </c>
      <c r="H4032" s="72"/>
      <c r="I4032" s="73"/>
      <c r="J4032" s="148">
        <v>0</v>
      </c>
      <c r="K4032" s="222">
        <v>0</v>
      </c>
    </row>
    <row r="4033" spans="1:11" hidden="1" x14ac:dyDescent="0.25">
      <c r="A4033" s="207"/>
      <c r="B4033" s="205"/>
      <c r="C4033" s="35" t="s">
        <v>1184</v>
      </c>
      <c r="D4033" s="35" t="s">
        <v>278</v>
      </c>
      <c r="E4033" s="36">
        <v>5.9400000000000001E-2</v>
      </c>
      <c r="F4033" s="53">
        <v>2.0139999999999998</v>
      </c>
      <c r="G4033" s="53">
        <f t="shared" si="76"/>
        <v>0.11963159999999999</v>
      </c>
      <c r="H4033" s="72"/>
      <c r="I4033" s="73"/>
      <c r="J4033" s="148">
        <v>0</v>
      </c>
      <c r="K4033" s="222">
        <v>0</v>
      </c>
    </row>
    <row r="4034" spans="1:11" ht="25.5" hidden="1" x14ac:dyDescent="0.25">
      <c r="A4034" s="207"/>
      <c r="B4034" s="205"/>
      <c r="C4034" s="35" t="s">
        <v>1185</v>
      </c>
      <c r="D4034" s="35" t="s">
        <v>278</v>
      </c>
      <c r="E4034" s="36">
        <v>1.0800000000000001E-2</v>
      </c>
      <c r="F4034" s="53">
        <v>56.505999999999993</v>
      </c>
      <c r="G4034" s="53">
        <f t="shared" si="76"/>
        <v>0.61026479999999994</v>
      </c>
      <c r="H4034" s="72"/>
      <c r="I4034" s="73"/>
      <c r="J4034" s="148">
        <v>0</v>
      </c>
      <c r="K4034" s="222">
        <v>0</v>
      </c>
    </row>
    <row r="4035" spans="1:11" ht="25.5" hidden="1" x14ac:dyDescent="0.25">
      <c r="A4035" s="207"/>
      <c r="B4035" s="205"/>
      <c r="C4035" s="35" t="s">
        <v>943</v>
      </c>
      <c r="D4035" s="35" t="s">
        <v>695</v>
      </c>
      <c r="E4035" s="36">
        <v>0.13400000000000001</v>
      </c>
      <c r="F4035" s="53">
        <v>19.094999999999999</v>
      </c>
      <c r="G4035" s="53">
        <f t="shared" si="76"/>
        <v>2.5587300000000002</v>
      </c>
      <c r="H4035" s="72"/>
      <c r="I4035" s="73"/>
      <c r="J4035" s="148">
        <v>0</v>
      </c>
      <c r="K4035" s="222">
        <v>0</v>
      </c>
    </row>
    <row r="4036" spans="1:11" ht="25.5" hidden="1" x14ac:dyDescent="0.25">
      <c r="A4036" s="207"/>
      <c r="B4036" s="205"/>
      <c r="C4036" s="35" t="s">
        <v>944</v>
      </c>
      <c r="D4036" s="35" t="s">
        <v>695</v>
      </c>
      <c r="E4036" s="36">
        <v>0.13400000000000001</v>
      </c>
      <c r="F4036" s="53">
        <v>24.300999999999998</v>
      </c>
      <c r="G4036" s="53">
        <f t="shared" si="76"/>
        <v>3.2563339999999998</v>
      </c>
      <c r="H4036" s="72"/>
      <c r="I4036" s="73"/>
      <c r="J4036" s="148">
        <v>0</v>
      </c>
      <c r="K4036" s="222">
        <v>0</v>
      </c>
    </row>
    <row r="4037" spans="1:11" ht="15.75" hidden="1" thickBot="1" x14ac:dyDescent="0.3">
      <c r="A4037" s="208"/>
      <c r="B4037" s="206"/>
      <c r="C4037" s="54"/>
      <c r="D4037" s="54"/>
      <c r="E4037" s="65"/>
      <c r="F4037" s="75" t="s">
        <v>514</v>
      </c>
      <c r="G4037" s="75" t="str">
        <f t="shared" si="76"/>
        <v/>
      </c>
      <c r="H4037" s="76"/>
      <c r="I4037" s="73"/>
      <c r="J4037" s="148">
        <v>0</v>
      </c>
      <c r="K4037" s="222">
        <v>0</v>
      </c>
    </row>
    <row r="4038" spans="1:11" ht="15.75" hidden="1" thickBot="1" x14ac:dyDescent="0.3">
      <c r="A4038" s="202" t="s">
        <v>1186</v>
      </c>
      <c r="B4038" s="204" t="str">
        <f>INDEX(Orçamentária!A:B,MATCH(Composições!A4038,Orçamentária!A:A,0),2)</f>
        <v>Cotovelo de cobre de 1 5/8”</v>
      </c>
      <c r="C4038" s="40"/>
      <c r="D4038" s="25" t="str">
        <f>TRIM(INDEX(Orçamentária!C:C,MATCH(Composições!A4038,Orçamentária!A:A,0),1))</f>
        <v>un</v>
      </c>
      <c r="E4038" s="26"/>
      <c r="F4038" s="48" t="s">
        <v>514</v>
      </c>
      <c r="G4038" s="27" t="str">
        <f t="shared" si="76"/>
        <v/>
      </c>
      <c r="H4038" s="28"/>
      <c r="I4038" s="29"/>
      <c r="J4038" s="148">
        <v>0</v>
      </c>
      <c r="K4038" s="222">
        <v>0</v>
      </c>
    </row>
    <row r="4039" spans="1:11" hidden="1" x14ac:dyDescent="0.25">
      <c r="A4039" s="207"/>
      <c r="B4039" s="205"/>
      <c r="C4039" s="31"/>
      <c r="D4039" s="31"/>
      <c r="E4039" s="32"/>
      <c r="F4039" s="53" t="s">
        <v>514</v>
      </c>
      <c r="G4039" s="53" t="str">
        <f t="shared" si="76"/>
        <v/>
      </c>
      <c r="H4039" s="72"/>
      <c r="I4039" s="73"/>
      <c r="J4039" s="148">
        <v>0</v>
      </c>
      <c r="K4039" s="222">
        <v>0</v>
      </c>
    </row>
    <row r="4040" spans="1:11" ht="25.5" hidden="1" x14ac:dyDescent="0.25">
      <c r="A4040" s="207"/>
      <c r="B4040" s="205"/>
      <c r="C4040" s="35" t="s">
        <v>1187</v>
      </c>
      <c r="D4040" s="46" t="s">
        <v>278</v>
      </c>
      <c r="E4040" s="36">
        <v>1</v>
      </c>
      <c r="F4040" s="53">
        <v>64.048999999999992</v>
      </c>
      <c r="G4040" s="53">
        <f t="shared" si="76"/>
        <v>64.048999999999992</v>
      </c>
      <c r="H4040" s="38">
        <f>SUM(G4040:G4045)</f>
        <v>77.6342432</v>
      </c>
      <c r="I4040" s="39"/>
      <c r="J4040" s="148">
        <v>0</v>
      </c>
      <c r="K4040" s="222">
        <v>0</v>
      </c>
    </row>
    <row r="4041" spans="1:11" ht="25.5" hidden="1" x14ac:dyDescent="0.25">
      <c r="A4041" s="207"/>
      <c r="B4041" s="205"/>
      <c r="C4041" s="35" t="s">
        <v>1183</v>
      </c>
      <c r="D4041" s="46" t="s">
        <v>278</v>
      </c>
      <c r="E4041" s="36">
        <v>1.7600000000000001E-2</v>
      </c>
      <c r="F4041" s="53">
        <v>308.25600000000003</v>
      </c>
      <c r="G4041" s="53">
        <f t="shared" si="76"/>
        <v>5.4253056000000006</v>
      </c>
      <c r="H4041" s="72"/>
      <c r="I4041" s="73"/>
      <c r="J4041" s="148">
        <v>0</v>
      </c>
      <c r="K4041" s="222">
        <v>0</v>
      </c>
    </row>
    <row r="4042" spans="1:11" hidden="1" x14ac:dyDescent="0.25">
      <c r="A4042" s="207"/>
      <c r="B4042" s="205"/>
      <c r="C4042" s="35" t="s">
        <v>1184</v>
      </c>
      <c r="D4042" s="35" t="s">
        <v>278</v>
      </c>
      <c r="E4042" s="36">
        <v>6.93E-2</v>
      </c>
      <c r="F4042" s="53">
        <v>2.0139999999999998</v>
      </c>
      <c r="G4042" s="53">
        <f t="shared" si="76"/>
        <v>0.13957019999999998</v>
      </c>
      <c r="H4042" s="72"/>
      <c r="I4042" s="73"/>
      <c r="J4042" s="148">
        <v>0</v>
      </c>
      <c r="K4042" s="222">
        <v>0</v>
      </c>
    </row>
    <row r="4043" spans="1:11" ht="25.5" hidden="1" x14ac:dyDescent="0.25">
      <c r="A4043" s="207"/>
      <c r="B4043" s="205"/>
      <c r="C4043" s="35" t="s">
        <v>1185</v>
      </c>
      <c r="D4043" s="35" t="s">
        <v>278</v>
      </c>
      <c r="E4043" s="36">
        <v>2.29E-2</v>
      </c>
      <c r="F4043" s="53">
        <v>56.505999999999993</v>
      </c>
      <c r="G4043" s="53">
        <f t="shared" si="76"/>
        <v>1.2939873999999998</v>
      </c>
      <c r="H4043" s="72"/>
      <c r="I4043" s="73"/>
      <c r="J4043" s="148">
        <v>0</v>
      </c>
      <c r="K4043" s="222">
        <v>0</v>
      </c>
    </row>
    <row r="4044" spans="1:11" ht="25.5" hidden="1" x14ac:dyDescent="0.25">
      <c r="A4044" s="207"/>
      <c r="B4044" s="205"/>
      <c r="C4044" s="35" t="s">
        <v>943</v>
      </c>
      <c r="D4044" s="35" t="s">
        <v>695</v>
      </c>
      <c r="E4044" s="36">
        <v>0.155</v>
      </c>
      <c r="F4044" s="53">
        <v>19.094999999999999</v>
      </c>
      <c r="G4044" s="53">
        <f t="shared" si="76"/>
        <v>2.9597249999999997</v>
      </c>
      <c r="H4044" s="72"/>
      <c r="I4044" s="73"/>
      <c r="J4044" s="148">
        <v>0</v>
      </c>
      <c r="K4044" s="222">
        <v>0</v>
      </c>
    </row>
    <row r="4045" spans="1:11" ht="25.5" hidden="1" x14ac:dyDescent="0.25">
      <c r="A4045" s="207"/>
      <c r="B4045" s="205"/>
      <c r="C4045" s="35" t="s">
        <v>944</v>
      </c>
      <c r="D4045" s="35" t="s">
        <v>695</v>
      </c>
      <c r="E4045" s="36">
        <v>0.155</v>
      </c>
      <c r="F4045" s="53">
        <v>24.300999999999998</v>
      </c>
      <c r="G4045" s="53">
        <f t="shared" si="76"/>
        <v>3.7666549999999996</v>
      </c>
      <c r="H4045" s="72"/>
      <c r="I4045" s="73"/>
      <c r="J4045" s="148">
        <v>0</v>
      </c>
      <c r="K4045" s="222">
        <v>0</v>
      </c>
    </row>
    <row r="4046" spans="1:11" ht="15.75" hidden="1" thickBot="1" x14ac:dyDescent="0.3">
      <c r="A4046" s="208"/>
      <c r="B4046" s="206"/>
      <c r="C4046" s="54"/>
      <c r="D4046" s="54"/>
      <c r="E4046" s="65"/>
      <c r="F4046" s="75" t="s">
        <v>514</v>
      </c>
      <c r="G4046" s="75" t="str">
        <f t="shared" si="76"/>
        <v/>
      </c>
      <c r="H4046" s="76"/>
      <c r="I4046" s="73"/>
      <c r="J4046" s="148">
        <v>0</v>
      </c>
      <c r="K4046" s="222">
        <v>0</v>
      </c>
    </row>
    <row r="4047" spans="1:11" ht="15.75" hidden="1" thickBot="1" x14ac:dyDescent="0.3">
      <c r="A4047" s="202" t="s">
        <v>1188</v>
      </c>
      <c r="B4047" s="204" t="str">
        <f>INDEX(Orçamentária!A:B,MATCH(Composições!A4047,Orçamentária!A:A,0),2)</f>
        <v>Cotovelo de cobre de 7/8”</v>
      </c>
      <c r="C4047" s="40"/>
      <c r="D4047" s="25" t="str">
        <f>TRIM(INDEX(Orçamentária!C:C,MATCH(Composições!A4047,Orçamentária!A:A,0),1))</f>
        <v>un</v>
      </c>
      <c r="E4047" s="26"/>
      <c r="F4047" s="48" t="s">
        <v>514</v>
      </c>
      <c r="G4047" s="27" t="str">
        <f t="shared" si="76"/>
        <v/>
      </c>
      <c r="H4047" s="28"/>
      <c r="I4047" s="29"/>
      <c r="J4047" s="148">
        <v>0</v>
      </c>
      <c r="K4047" s="222">
        <v>0</v>
      </c>
    </row>
    <row r="4048" spans="1:11" hidden="1" x14ac:dyDescent="0.25">
      <c r="A4048" s="207"/>
      <c r="B4048" s="205"/>
      <c r="C4048" s="31"/>
      <c r="D4048" s="31"/>
      <c r="E4048" s="32"/>
      <c r="F4048" s="53" t="s">
        <v>514</v>
      </c>
      <c r="G4048" s="53" t="str">
        <f t="shared" si="76"/>
        <v/>
      </c>
      <c r="H4048" s="72"/>
      <c r="I4048" s="73"/>
      <c r="J4048" s="148">
        <v>0</v>
      </c>
      <c r="K4048" s="222">
        <v>0</v>
      </c>
    </row>
    <row r="4049" spans="1:11" ht="25.5" hidden="1" x14ac:dyDescent="0.25">
      <c r="A4049" s="207"/>
      <c r="B4049" s="205"/>
      <c r="C4049" s="35" t="s">
        <v>1189</v>
      </c>
      <c r="D4049" s="46" t="s">
        <v>278</v>
      </c>
      <c r="E4049" s="36">
        <v>1</v>
      </c>
      <c r="F4049" s="53">
        <v>12.359499999999999</v>
      </c>
      <c r="G4049" s="53">
        <f t="shared" si="76"/>
        <v>12.359499999999999</v>
      </c>
      <c r="H4049" s="38">
        <f>SUM(G4049:G4054)</f>
        <v>18.4481374</v>
      </c>
      <c r="I4049" s="39"/>
      <c r="J4049" s="148">
        <v>0</v>
      </c>
      <c r="K4049" s="222">
        <v>0</v>
      </c>
    </row>
    <row r="4050" spans="1:11" ht="25.5" hidden="1" x14ac:dyDescent="0.25">
      <c r="A4050" s="207"/>
      <c r="B4050" s="205"/>
      <c r="C4050" s="35" t="s">
        <v>1183</v>
      </c>
      <c r="D4050" s="46" t="s">
        <v>278</v>
      </c>
      <c r="E4050" s="36">
        <v>4.7999999999999996E-3</v>
      </c>
      <c r="F4050" s="53">
        <v>308.25600000000003</v>
      </c>
      <c r="G4050" s="53">
        <f t="shared" si="76"/>
        <v>1.4796288</v>
      </c>
      <c r="H4050" s="72"/>
      <c r="I4050" s="73"/>
      <c r="J4050" s="148">
        <v>0</v>
      </c>
      <c r="K4050" s="222">
        <v>0</v>
      </c>
    </row>
    <row r="4051" spans="1:11" hidden="1" x14ac:dyDescent="0.25">
      <c r="A4051" s="207"/>
      <c r="B4051" s="205"/>
      <c r="C4051" s="35" t="s">
        <v>1184</v>
      </c>
      <c r="D4051" s="35" t="s">
        <v>278</v>
      </c>
      <c r="E4051" s="36">
        <v>4.3200000000000002E-2</v>
      </c>
      <c r="F4051" s="53">
        <v>2.0139999999999998</v>
      </c>
      <c r="G4051" s="53">
        <f t="shared" si="76"/>
        <v>8.7004799999999993E-2</v>
      </c>
      <c r="H4051" s="72"/>
      <c r="I4051" s="73"/>
      <c r="J4051" s="148">
        <v>0</v>
      </c>
      <c r="K4051" s="222">
        <v>0</v>
      </c>
    </row>
    <row r="4052" spans="1:11" ht="25.5" hidden="1" x14ac:dyDescent="0.25">
      <c r="A4052" s="207"/>
      <c r="B4052" s="205"/>
      <c r="C4052" s="35" t="s">
        <v>1185</v>
      </c>
      <c r="D4052" s="35" t="s">
        <v>278</v>
      </c>
      <c r="E4052" s="36">
        <v>6.3E-3</v>
      </c>
      <c r="F4052" s="53">
        <v>56.505999999999993</v>
      </c>
      <c r="G4052" s="53">
        <f t="shared" si="76"/>
        <v>0.35598779999999997</v>
      </c>
      <c r="H4052" s="72"/>
      <c r="I4052" s="73"/>
      <c r="J4052" s="148">
        <v>0</v>
      </c>
      <c r="K4052" s="222">
        <v>0</v>
      </c>
    </row>
    <row r="4053" spans="1:11" ht="25.5" hidden="1" x14ac:dyDescent="0.25">
      <c r="A4053" s="207"/>
      <c r="B4053" s="205"/>
      <c r="C4053" s="35" t="s">
        <v>943</v>
      </c>
      <c r="D4053" s="35" t="s">
        <v>695</v>
      </c>
      <c r="E4053" s="36">
        <v>9.6000000000000002E-2</v>
      </c>
      <c r="F4053" s="53">
        <v>19.094999999999999</v>
      </c>
      <c r="G4053" s="53">
        <f t="shared" si="76"/>
        <v>1.8331199999999999</v>
      </c>
      <c r="H4053" s="72"/>
      <c r="I4053" s="73"/>
      <c r="J4053" s="148">
        <v>0</v>
      </c>
      <c r="K4053" s="222">
        <v>0</v>
      </c>
    </row>
    <row r="4054" spans="1:11" ht="25.5" hidden="1" x14ac:dyDescent="0.25">
      <c r="A4054" s="207"/>
      <c r="B4054" s="205"/>
      <c r="C4054" s="35" t="s">
        <v>944</v>
      </c>
      <c r="D4054" s="35" t="s">
        <v>695</v>
      </c>
      <c r="E4054" s="36">
        <v>9.6000000000000002E-2</v>
      </c>
      <c r="F4054" s="53">
        <v>24.300999999999998</v>
      </c>
      <c r="G4054" s="53">
        <f t="shared" si="76"/>
        <v>2.3328959999999999</v>
      </c>
      <c r="H4054" s="72"/>
      <c r="I4054" s="73"/>
      <c r="J4054" s="148">
        <v>0</v>
      </c>
      <c r="K4054" s="222">
        <v>0</v>
      </c>
    </row>
    <row r="4055" spans="1:11" ht="15.75" hidden="1" thickBot="1" x14ac:dyDescent="0.3">
      <c r="A4055" s="208"/>
      <c r="B4055" s="206"/>
      <c r="C4055" s="54"/>
      <c r="D4055" s="54"/>
      <c r="E4055" s="65"/>
      <c r="F4055" s="75" t="s">
        <v>514</v>
      </c>
      <c r="G4055" s="75" t="str">
        <f t="shared" si="76"/>
        <v/>
      </c>
      <c r="H4055" s="76"/>
      <c r="I4055" s="73"/>
      <c r="J4055" s="148">
        <v>0</v>
      </c>
      <c r="K4055" s="222">
        <v>0</v>
      </c>
    </row>
    <row r="4056" spans="1:11" ht="15.75" hidden="1" thickBot="1" x14ac:dyDescent="0.3">
      <c r="A4056" s="202" t="s">
        <v>1190</v>
      </c>
      <c r="B4056" s="204" t="str">
        <f>INDEX(Orçamentária!A:B,MATCH(Composições!A4056,Orçamentária!A:A,0),2)</f>
        <v>Luva de cobre de 1 3/8”</v>
      </c>
      <c r="C4056" s="40"/>
      <c r="D4056" s="25" t="str">
        <f>TRIM(INDEX(Orçamentária!C:C,MATCH(Composições!A4056,Orçamentária!A:A,0),1))</f>
        <v>un</v>
      </c>
      <c r="E4056" s="26"/>
      <c r="F4056" s="48" t="s">
        <v>514</v>
      </c>
      <c r="G4056" s="27" t="str">
        <f t="shared" si="76"/>
        <v/>
      </c>
      <c r="H4056" s="28"/>
      <c r="I4056" s="29"/>
      <c r="J4056" s="148">
        <v>0</v>
      </c>
      <c r="K4056" s="222">
        <v>0</v>
      </c>
    </row>
    <row r="4057" spans="1:11" hidden="1" x14ac:dyDescent="0.25">
      <c r="A4057" s="207"/>
      <c r="B4057" s="205"/>
      <c r="C4057" s="31"/>
      <c r="D4057" s="31"/>
      <c r="E4057" s="32"/>
      <c r="F4057" s="53" t="s">
        <v>514</v>
      </c>
      <c r="G4057" s="53" t="str">
        <f t="shared" si="76"/>
        <v/>
      </c>
      <c r="H4057" s="72"/>
      <c r="I4057" s="73"/>
      <c r="J4057" s="148">
        <v>0</v>
      </c>
      <c r="K4057" s="222">
        <v>0</v>
      </c>
    </row>
    <row r="4058" spans="1:11" ht="25.5" hidden="1" x14ac:dyDescent="0.25">
      <c r="A4058" s="207"/>
      <c r="B4058" s="205"/>
      <c r="C4058" s="35" t="s">
        <v>1191</v>
      </c>
      <c r="D4058" s="46" t="s">
        <v>278</v>
      </c>
      <c r="E4058" s="36">
        <v>1</v>
      </c>
      <c r="F4058" s="53">
        <v>25.9255</v>
      </c>
      <c r="G4058" s="53">
        <f t="shared" si="76"/>
        <v>25.9255</v>
      </c>
      <c r="H4058" s="38">
        <f>SUM(G4058:G4063)</f>
        <v>33.106990799999998</v>
      </c>
      <c r="I4058" s="39"/>
      <c r="J4058" s="148">
        <v>0</v>
      </c>
      <c r="K4058" s="222">
        <v>0</v>
      </c>
    </row>
    <row r="4059" spans="1:11" ht="25.5" hidden="1" x14ac:dyDescent="0.25">
      <c r="A4059" s="207"/>
      <c r="B4059" s="205"/>
      <c r="C4059" s="35" t="s">
        <v>1183</v>
      </c>
      <c r="D4059" s="46" t="s">
        <v>278</v>
      </c>
      <c r="E4059" s="36">
        <v>8.3999999999999995E-3</v>
      </c>
      <c r="F4059" s="53">
        <v>308.25600000000003</v>
      </c>
      <c r="G4059" s="53">
        <f t="shared" si="76"/>
        <v>2.5893504000000003</v>
      </c>
      <c r="H4059" s="72"/>
      <c r="I4059" s="73"/>
      <c r="J4059" s="148">
        <v>0</v>
      </c>
      <c r="K4059" s="222">
        <v>0</v>
      </c>
    </row>
    <row r="4060" spans="1:11" hidden="1" x14ac:dyDescent="0.25">
      <c r="A4060" s="207"/>
      <c r="B4060" s="205"/>
      <c r="C4060" s="35" t="s">
        <v>1184</v>
      </c>
      <c r="D4060" s="35" t="s">
        <v>278</v>
      </c>
      <c r="E4060" s="36">
        <v>5.9400000000000001E-2</v>
      </c>
      <c r="F4060" s="53">
        <v>2.0139999999999998</v>
      </c>
      <c r="G4060" s="53">
        <f t="shared" si="76"/>
        <v>0.11963159999999999</v>
      </c>
      <c r="H4060" s="72"/>
      <c r="I4060" s="73"/>
      <c r="J4060" s="148">
        <v>0</v>
      </c>
      <c r="K4060" s="222">
        <v>0</v>
      </c>
    </row>
    <row r="4061" spans="1:11" ht="25.5" hidden="1" x14ac:dyDescent="0.25">
      <c r="A4061" s="207"/>
      <c r="B4061" s="205"/>
      <c r="C4061" s="35" t="s">
        <v>1185</v>
      </c>
      <c r="D4061" s="35" t="s">
        <v>278</v>
      </c>
      <c r="E4061" s="36">
        <v>1.0800000000000001E-2</v>
      </c>
      <c r="F4061" s="53">
        <v>56.505999999999993</v>
      </c>
      <c r="G4061" s="53">
        <f t="shared" si="76"/>
        <v>0.61026479999999994</v>
      </c>
      <c r="H4061" s="72"/>
      <c r="I4061" s="73"/>
      <c r="J4061" s="148">
        <v>0</v>
      </c>
      <c r="K4061" s="222">
        <v>0</v>
      </c>
    </row>
    <row r="4062" spans="1:11" ht="25.5" hidden="1" x14ac:dyDescent="0.25">
      <c r="A4062" s="207"/>
      <c r="B4062" s="205"/>
      <c r="C4062" s="35" t="s">
        <v>943</v>
      </c>
      <c r="D4062" s="35" t="s">
        <v>695</v>
      </c>
      <c r="E4062" s="36">
        <v>8.8999999999999996E-2</v>
      </c>
      <c r="F4062" s="53">
        <v>19.094999999999999</v>
      </c>
      <c r="G4062" s="53">
        <f t="shared" si="76"/>
        <v>1.6994549999999997</v>
      </c>
      <c r="H4062" s="72"/>
      <c r="I4062" s="73"/>
      <c r="J4062" s="148">
        <v>0</v>
      </c>
      <c r="K4062" s="222">
        <v>0</v>
      </c>
    </row>
    <row r="4063" spans="1:11" ht="25.5" hidden="1" x14ac:dyDescent="0.25">
      <c r="A4063" s="207"/>
      <c r="B4063" s="205"/>
      <c r="C4063" s="35" t="s">
        <v>944</v>
      </c>
      <c r="D4063" s="35" t="s">
        <v>695</v>
      </c>
      <c r="E4063" s="36">
        <v>8.8999999999999996E-2</v>
      </c>
      <c r="F4063" s="53">
        <v>24.300999999999998</v>
      </c>
      <c r="G4063" s="53">
        <f t="shared" si="76"/>
        <v>2.1627889999999996</v>
      </c>
      <c r="H4063" s="72"/>
      <c r="I4063" s="73"/>
      <c r="J4063" s="148">
        <v>0</v>
      </c>
      <c r="K4063" s="222">
        <v>0</v>
      </c>
    </row>
    <row r="4064" spans="1:11" ht="15.75" hidden="1" thickBot="1" x14ac:dyDescent="0.3">
      <c r="A4064" s="208"/>
      <c r="B4064" s="206"/>
      <c r="C4064" s="54"/>
      <c r="D4064" s="54"/>
      <c r="E4064" s="65"/>
      <c r="F4064" s="75" t="s">
        <v>514</v>
      </c>
      <c r="G4064" s="75" t="str">
        <f t="shared" si="76"/>
        <v/>
      </c>
      <c r="H4064" s="76"/>
      <c r="I4064" s="73"/>
      <c r="J4064" s="148">
        <v>0</v>
      </c>
      <c r="K4064" s="222">
        <v>0</v>
      </c>
    </row>
    <row r="4065" spans="1:11" ht="15.75" hidden="1" thickBot="1" x14ac:dyDescent="0.3">
      <c r="A4065" s="202" t="s">
        <v>1192</v>
      </c>
      <c r="B4065" s="204" t="str">
        <f>INDEX(Orçamentária!A:B,MATCH(Composições!A4065,Orçamentária!A:A,0),2)</f>
        <v>Luva de cobre de 1 5/8”</v>
      </c>
      <c r="C4065" s="40"/>
      <c r="D4065" s="25" t="str">
        <f>TRIM(INDEX(Orçamentária!C:C,MATCH(Composições!A4065,Orçamentária!A:A,0),1))</f>
        <v>un</v>
      </c>
      <c r="E4065" s="26"/>
      <c r="F4065" s="48" t="s">
        <v>514</v>
      </c>
      <c r="G4065" s="27" t="str">
        <f t="shared" si="76"/>
        <v/>
      </c>
      <c r="H4065" s="28"/>
      <c r="I4065" s="29"/>
      <c r="J4065" s="148">
        <v>0</v>
      </c>
      <c r="K4065" s="222">
        <v>0</v>
      </c>
    </row>
    <row r="4066" spans="1:11" hidden="1" x14ac:dyDescent="0.25">
      <c r="A4066" s="207"/>
      <c r="B4066" s="205"/>
      <c r="C4066" s="31"/>
      <c r="D4066" s="31"/>
      <c r="E4066" s="32"/>
      <c r="F4066" s="53" t="s">
        <v>514</v>
      </c>
      <c r="G4066" s="53" t="str">
        <f t="shared" si="76"/>
        <v/>
      </c>
      <c r="H4066" s="72"/>
      <c r="I4066" s="73"/>
      <c r="J4066" s="148">
        <v>0</v>
      </c>
      <c r="K4066" s="222">
        <v>0</v>
      </c>
    </row>
    <row r="4067" spans="1:11" ht="25.5" hidden="1" x14ac:dyDescent="0.25">
      <c r="A4067" s="207"/>
      <c r="B4067" s="205"/>
      <c r="C4067" s="35" t="s">
        <v>1193</v>
      </c>
      <c r="D4067" s="46" t="s">
        <v>278</v>
      </c>
      <c r="E4067" s="36">
        <v>1</v>
      </c>
      <c r="F4067" s="53">
        <v>32.8795</v>
      </c>
      <c r="G4067" s="53">
        <f t="shared" si="76"/>
        <v>32.8795</v>
      </c>
      <c r="H4067" s="38">
        <f>SUM(G4067:G4072)</f>
        <v>44.208151200000003</v>
      </c>
      <c r="I4067" s="39"/>
      <c r="J4067" s="148">
        <v>0</v>
      </c>
      <c r="K4067" s="222">
        <v>0</v>
      </c>
    </row>
    <row r="4068" spans="1:11" ht="25.5" hidden="1" x14ac:dyDescent="0.25">
      <c r="A4068" s="207"/>
      <c r="B4068" s="205"/>
      <c r="C4068" s="35" t="s">
        <v>1183</v>
      </c>
      <c r="D4068" s="46" t="s">
        <v>278</v>
      </c>
      <c r="E4068" s="36">
        <v>1.7600000000000001E-2</v>
      </c>
      <c r="F4068" s="53">
        <v>308.25600000000003</v>
      </c>
      <c r="G4068" s="53">
        <f t="shared" si="76"/>
        <v>5.4253056000000006</v>
      </c>
      <c r="H4068" s="72"/>
      <c r="I4068" s="73"/>
      <c r="J4068" s="148">
        <v>0</v>
      </c>
      <c r="K4068" s="222">
        <v>0</v>
      </c>
    </row>
    <row r="4069" spans="1:11" hidden="1" x14ac:dyDescent="0.25">
      <c r="A4069" s="207"/>
      <c r="B4069" s="205"/>
      <c r="C4069" s="35" t="s">
        <v>1184</v>
      </c>
      <c r="D4069" s="35" t="s">
        <v>278</v>
      </c>
      <c r="E4069" s="36">
        <v>6.93E-2</v>
      </c>
      <c r="F4069" s="53">
        <v>2.0139999999999998</v>
      </c>
      <c r="G4069" s="53">
        <f t="shared" si="76"/>
        <v>0.13957019999999998</v>
      </c>
      <c r="H4069" s="72"/>
      <c r="I4069" s="73"/>
      <c r="J4069" s="148">
        <v>0</v>
      </c>
      <c r="K4069" s="222">
        <v>0</v>
      </c>
    </row>
    <row r="4070" spans="1:11" ht="25.5" hidden="1" x14ac:dyDescent="0.25">
      <c r="A4070" s="207"/>
      <c r="B4070" s="205"/>
      <c r="C4070" s="35" t="s">
        <v>1185</v>
      </c>
      <c r="D4070" s="35" t="s">
        <v>278</v>
      </c>
      <c r="E4070" s="36">
        <v>2.29E-2</v>
      </c>
      <c r="F4070" s="53">
        <v>56.505999999999993</v>
      </c>
      <c r="G4070" s="53">
        <f t="shared" si="76"/>
        <v>1.2939873999999998</v>
      </c>
      <c r="H4070" s="72"/>
      <c r="I4070" s="73"/>
      <c r="J4070" s="148">
        <v>0</v>
      </c>
      <c r="K4070" s="222">
        <v>0</v>
      </c>
    </row>
    <row r="4071" spans="1:11" ht="25.5" hidden="1" x14ac:dyDescent="0.25">
      <c r="A4071" s="207"/>
      <c r="B4071" s="205"/>
      <c r="C4071" s="35" t="s">
        <v>943</v>
      </c>
      <c r="D4071" s="35" t="s">
        <v>695</v>
      </c>
      <c r="E4071" s="36">
        <v>0.10299999999999999</v>
      </c>
      <c r="F4071" s="53">
        <v>19.094999999999999</v>
      </c>
      <c r="G4071" s="53">
        <f t="shared" si="76"/>
        <v>1.9667849999999998</v>
      </c>
      <c r="H4071" s="72"/>
      <c r="I4071" s="73"/>
      <c r="J4071" s="148">
        <v>0</v>
      </c>
      <c r="K4071" s="222">
        <v>0</v>
      </c>
    </row>
    <row r="4072" spans="1:11" ht="25.5" hidden="1" x14ac:dyDescent="0.25">
      <c r="A4072" s="207"/>
      <c r="B4072" s="205"/>
      <c r="C4072" s="35" t="s">
        <v>944</v>
      </c>
      <c r="D4072" s="35" t="s">
        <v>695</v>
      </c>
      <c r="E4072" s="36">
        <v>0.10299999999999999</v>
      </c>
      <c r="F4072" s="53">
        <v>24.300999999999998</v>
      </c>
      <c r="G4072" s="53">
        <f t="shared" si="76"/>
        <v>2.5030029999999996</v>
      </c>
      <c r="H4072" s="72"/>
      <c r="I4072" s="73"/>
      <c r="J4072" s="148">
        <v>0</v>
      </c>
      <c r="K4072" s="222">
        <v>0</v>
      </c>
    </row>
    <row r="4073" spans="1:11" ht="15.75" hidden="1" thickBot="1" x14ac:dyDescent="0.3">
      <c r="A4073" s="208"/>
      <c r="B4073" s="206"/>
      <c r="C4073" s="54"/>
      <c r="D4073" s="54"/>
      <c r="E4073" s="65"/>
      <c r="F4073" s="75" t="s">
        <v>514</v>
      </c>
      <c r="G4073" s="75" t="str">
        <f t="shared" si="76"/>
        <v/>
      </c>
      <c r="H4073" s="76"/>
      <c r="I4073" s="73"/>
      <c r="J4073" s="148">
        <v>0</v>
      </c>
      <c r="K4073" s="222">
        <v>0</v>
      </c>
    </row>
    <row r="4074" spans="1:11" ht="15.75" hidden="1" thickBot="1" x14ac:dyDescent="0.3">
      <c r="A4074" s="202" t="s">
        <v>1194</v>
      </c>
      <c r="B4074" s="204" t="str">
        <f>INDEX(Orçamentária!A:B,MATCH(Composições!A4074,Orçamentária!A:A,0),2)</f>
        <v>Luva de cobre de 7/8”</v>
      </c>
      <c r="C4074" s="40"/>
      <c r="D4074" s="25" t="str">
        <f>TRIM(INDEX(Orçamentária!C:C,MATCH(Composições!A4074,Orçamentária!A:A,0),1))</f>
        <v>un</v>
      </c>
      <c r="E4074" s="26"/>
      <c r="F4074" s="48" t="s">
        <v>514</v>
      </c>
      <c r="G4074" s="27" t="str">
        <f t="shared" si="76"/>
        <v/>
      </c>
      <c r="H4074" s="28"/>
      <c r="I4074" s="29"/>
      <c r="J4074" s="148">
        <v>0</v>
      </c>
      <c r="K4074" s="222">
        <v>0</v>
      </c>
    </row>
    <row r="4075" spans="1:11" hidden="1" x14ac:dyDescent="0.25">
      <c r="A4075" s="207"/>
      <c r="B4075" s="205"/>
      <c r="C4075" s="31"/>
      <c r="D4075" s="31"/>
      <c r="E4075" s="32"/>
      <c r="F4075" s="53" t="s">
        <v>514</v>
      </c>
      <c r="G4075" s="53" t="str">
        <f t="shared" si="76"/>
        <v/>
      </c>
      <c r="H4075" s="72"/>
      <c r="I4075" s="73"/>
      <c r="J4075" s="148">
        <v>0</v>
      </c>
      <c r="K4075" s="222">
        <v>0</v>
      </c>
    </row>
    <row r="4076" spans="1:11" ht="25.5" hidden="1" x14ac:dyDescent="0.25">
      <c r="A4076" s="207"/>
      <c r="B4076" s="205"/>
      <c r="C4076" s="35" t="s">
        <v>1195</v>
      </c>
      <c r="D4076" s="46" t="s">
        <v>278</v>
      </c>
      <c r="E4076" s="36">
        <v>1</v>
      </c>
      <c r="F4076" s="53">
        <v>5.8519999999999994</v>
      </c>
      <c r="G4076" s="53">
        <f t="shared" ref="G4076:G4139" si="77">IF(ISNUMBER(F4076),E4076*F4076,"")</f>
        <v>5.8519999999999994</v>
      </c>
      <c r="H4076" s="38">
        <f>SUM(G4076:G4081)</f>
        <v>10.551965399999998</v>
      </c>
      <c r="I4076" s="39"/>
      <c r="J4076" s="148">
        <v>0</v>
      </c>
      <c r="K4076" s="222">
        <v>0</v>
      </c>
    </row>
    <row r="4077" spans="1:11" ht="25.5" hidden="1" x14ac:dyDescent="0.25">
      <c r="A4077" s="207"/>
      <c r="B4077" s="205"/>
      <c r="C4077" s="35" t="s">
        <v>1183</v>
      </c>
      <c r="D4077" s="46" t="s">
        <v>278</v>
      </c>
      <c r="E4077" s="36">
        <v>4.7999999999999996E-3</v>
      </c>
      <c r="F4077" s="53">
        <v>308.25600000000003</v>
      </c>
      <c r="G4077" s="53">
        <f t="shared" si="77"/>
        <v>1.4796288</v>
      </c>
      <c r="H4077" s="72"/>
      <c r="I4077" s="73"/>
      <c r="J4077" s="148">
        <v>0</v>
      </c>
      <c r="K4077" s="222">
        <v>0</v>
      </c>
    </row>
    <row r="4078" spans="1:11" hidden="1" x14ac:dyDescent="0.25">
      <c r="A4078" s="207"/>
      <c r="B4078" s="205"/>
      <c r="C4078" s="35" t="s">
        <v>1184</v>
      </c>
      <c r="D4078" s="35" t="s">
        <v>278</v>
      </c>
      <c r="E4078" s="36">
        <v>4.3200000000000002E-2</v>
      </c>
      <c r="F4078" s="53">
        <v>2.0139999999999998</v>
      </c>
      <c r="G4078" s="53">
        <f t="shared" si="77"/>
        <v>8.7004799999999993E-2</v>
      </c>
      <c r="H4078" s="72"/>
      <c r="I4078" s="73"/>
      <c r="J4078" s="148">
        <v>0</v>
      </c>
      <c r="K4078" s="222">
        <v>0</v>
      </c>
    </row>
    <row r="4079" spans="1:11" ht="25.5" hidden="1" x14ac:dyDescent="0.25">
      <c r="A4079" s="207"/>
      <c r="B4079" s="205"/>
      <c r="C4079" s="35" t="s">
        <v>1185</v>
      </c>
      <c r="D4079" s="35" t="s">
        <v>278</v>
      </c>
      <c r="E4079" s="36">
        <v>6.3E-3</v>
      </c>
      <c r="F4079" s="53">
        <v>56.505999999999993</v>
      </c>
      <c r="G4079" s="53">
        <f t="shared" si="77"/>
        <v>0.35598779999999997</v>
      </c>
      <c r="H4079" s="72"/>
      <c r="I4079" s="73"/>
      <c r="J4079" s="148">
        <v>0</v>
      </c>
      <c r="K4079" s="222">
        <v>0</v>
      </c>
    </row>
    <row r="4080" spans="1:11" ht="25.5" hidden="1" x14ac:dyDescent="0.25">
      <c r="A4080" s="207"/>
      <c r="B4080" s="205"/>
      <c r="C4080" s="35" t="s">
        <v>943</v>
      </c>
      <c r="D4080" s="35" t="s">
        <v>695</v>
      </c>
      <c r="E4080" s="36">
        <v>6.4000000000000001E-2</v>
      </c>
      <c r="F4080" s="53">
        <v>19.094999999999999</v>
      </c>
      <c r="G4080" s="53">
        <f t="shared" si="77"/>
        <v>1.2220800000000001</v>
      </c>
      <c r="H4080" s="72"/>
      <c r="I4080" s="73"/>
      <c r="J4080" s="148">
        <v>0</v>
      </c>
      <c r="K4080" s="222">
        <v>0</v>
      </c>
    </row>
    <row r="4081" spans="1:11" ht="25.5" hidden="1" x14ac:dyDescent="0.25">
      <c r="A4081" s="207"/>
      <c r="B4081" s="205"/>
      <c r="C4081" s="35" t="s">
        <v>944</v>
      </c>
      <c r="D4081" s="35" t="s">
        <v>695</v>
      </c>
      <c r="E4081" s="36">
        <v>6.4000000000000001E-2</v>
      </c>
      <c r="F4081" s="53">
        <v>24.300999999999998</v>
      </c>
      <c r="G4081" s="53">
        <f t="shared" si="77"/>
        <v>1.555264</v>
      </c>
      <c r="H4081" s="72"/>
      <c r="I4081" s="73"/>
      <c r="J4081" s="148">
        <v>0</v>
      </c>
      <c r="K4081" s="222">
        <v>0</v>
      </c>
    </row>
    <row r="4082" spans="1:11" ht="15.75" hidden="1" thickBot="1" x14ac:dyDescent="0.3">
      <c r="A4082" s="208"/>
      <c r="B4082" s="206"/>
      <c r="C4082" s="54"/>
      <c r="D4082" s="54"/>
      <c r="E4082" s="65"/>
      <c r="F4082" s="75" t="s">
        <v>514</v>
      </c>
      <c r="G4082" s="75" t="str">
        <f t="shared" si="77"/>
        <v/>
      </c>
      <c r="H4082" s="76"/>
      <c r="I4082" s="73"/>
      <c r="J4082" s="148">
        <v>0</v>
      </c>
      <c r="K4082" s="222">
        <v>0</v>
      </c>
    </row>
    <row r="4083" spans="1:11" ht="15.75" hidden="1" thickBot="1" x14ac:dyDescent="0.3">
      <c r="A4083" s="202" t="s">
        <v>1196</v>
      </c>
      <c r="B4083" s="204" t="str">
        <f>INDEX(Orçamentária!A:B,MATCH(Composições!A4083,Orçamentária!A:A,0),2)</f>
        <v>Tubo de cobre de 1 3/8”</v>
      </c>
      <c r="C4083" s="40"/>
      <c r="D4083" s="25" t="str">
        <f>TRIM(INDEX(Orçamentária!C:C,MATCH(Composições!A4083,Orçamentária!A:A,0),1))</f>
        <v>m</v>
      </c>
      <c r="E4083" s="26"/>
      <c r="F4083" s="48" t="s">
        <v>514</v>
      </c>
      <c r="G4083" s="27" t="str">
        <f t="shared" si="77"/>
        <v/>
      </c>
      <c r="H4083" s="28"/>
      <c r="I4083" s="29"/>
      <c r="J4083" s="148">
        <v>0</v>
      </c>
      <c r="K4083" s="222">
        <v>0</v>
      </c>
    </row>
    <row r="4084" spans="1:11" hidden="1" x14ac:dyDescent="0.25">
      <c r="A4084" s="207"/>
      <c r="B4084" s="205"/>
      <c r="C4084" s="31"/>
      <c r="D4084" s="31"/>
      <c r="E4084" s="32"/>
      <c r="F4084" s="53" t="s">
        <v>514</v>
      </c>
      <c r="G4084" s="53" t="str">
        <f t="shared" si="77"/>
        <v/>
      </c>
      <c r="H4084" s="72"/>
      <c r="I4084" s="73"/>
      <c r="J4084" s="148">
        <v>0</v>
      </c>
      <c r="K4084" s="222">
        <v>0</v>
      </c>
    </row>
    <row r="4085" spans="1:11" ht="38.25" hidden="1" x14ac:dyDescent="0.25">
      <c r="A4085" s="207"/>
      <c r="B4085" s="205"/>
      <c r="C4085" s="35" t="s">
        <v>1197</v>
      </c>
      <c r="D4085" s="35" t="s">
        <v>473</v>
      </c>
      <c r="E4085" s="36">
        <v>1.0210999999999999</v>
      </c>
      <c r="F4085" s="53">
        <v>156.93049999999999</v>
      </c>
      <c r="G4085" s="53">
        <f t="shared" si="77"/>
        <v>160.24173354999999</v>
      </c>
      <c r="H4085" s="38">
        <f>SUM(G4085:G4087)</f>
        <v>163.10586954999999</v>
      </c>
      <c r="I4085" s="39"/>
      <c r="J4085" s="148">
        <v>0</v>
      </c>
      <c r="K4085" s="222">
        <v>0</v>
      </c>
    </row>
    <row r="4086" spans="1:11" ht="25.5" hidden="1" x14ac:dyDescent="0.25">
      <c r="A4086" s="207"/>
      <c r="B4086" s="205"/>
      <c r="C4086" s="35" t="s">
        <v>943</v>
      </c>
      <c r="D4086" s="35" t="s">
        <v>695</v>
      </c>
      <c r="E4086" s="36">
        <v>6.6000000000000003E-2</v>
      </c>
      <c r="F4086" s="53">
        <v>19.094999999999999</v>
      </c>
      <c r="G4086" s="53">
        <f t="shared" si="77"/>
        <v>1.26027</v>
      </c>
      <c r="H4086" s="72"/>
      <c r="I4086" s="73"/>
      <c r="J4086" s="148">
        <v>0</v>
      </c>
      <c r="K4086" s="222">
        <v>0</v>
      </c>
    </row>
    <row r="4087" spans="1:11" ht="25.5" hidden="1" x14ac:dyDescent="0.25">
      <c r="A4087" s="207"/>
      <c r="B4087" s="205"/>
      <c r="C4087" s="35" t="s">
        <v>944</v>
      </c>
      <c r="D4087" s="35" t="s">
        <v>695</v>
      </c>
      <c r="E4087" s="36">
        <v>6.6000000000000003E-2</v>
      </c>
      <c r="F4087" s="53">
        <v>24.300999999999998</v>
      </c>
      <c r="G4087" s="53">
        <f t="shared" si="77"/>
        <v>1.603866</v>
      </c>
      <c r="H4087" s="72"/>
      <c r="I4087" s="73"/>
      <c r="J4087" s="148">
        <v>0</v>
      </c>
      <c r="K4087" s="222">
        <v>0</v>
      </c>
    </row>
    <row r="4088" spans="1:11" ht="15.75" hidden="1" thickBot="1" x14ac:dyDescent="0.3">
      <c r="A4088" s="207"/>
      <c r="B4088" s="205"/>
      <c r="C4088" s="54"/>
      <c r="D4088" s="54"/>
      <c r="E4088" s="65"/>
      <c r="F4088" s="75" t="s">
        <v>514</v>
      </c>
      <c r="G4088" s="75" t="str">
        <f t="shared" si="77"/>
        <v/>
      </c>
      <c r="H4088" s="76"/>
      <c r="I4088" s="73"/>
      <c r="J4088" s="148">
        <v>0</v>
      </c>
      <c r="K4088" s="222">
        <v>0</v>
      </c>
    </row>
    <row r="4089" spans="1:11" ht="15.75" hidden="1" thickBot="1" x14ac:dyDescent="0.3">
      <c r="A4089" s="202" t="s">
        <v>1198</v>
      </c>
      <c r="B4089" s="204" t="str">
        <f>INDEX(Orçamentária!A:B,MATCH(Composições!A4089,Orçamentária!A:A,0),2)</f>
        <v>Tubo de cobre de 1 5/8”</v>
      </c>
      <c r="C4089" s="40"/>
      <c r="D4089" s="25" t="str">
        <f>TRIM(INDEX(Orçamentária!C:C,MATCH(Composições!A4089,Orçamentária!A:A,0),1))</f>
        <v>m</v>
      </c>
      <c r="E4089" s="26"/>
      <c r="F4089" s="48" t="s">
        <v>514</v>
      </c>
      <c r="G4089" s="27" t="str">
        <f t="shared" si="77"/>
        <v/>
      </c>
      <c r="H4089" s="28"/>
      <c r="I4089" s="29"/>
      <c r="J4089" s="148">
        <v>0</v>
      </c>
      <c r="K4089" s="222">
        <v>0</v>
      </c>
    </row>
    <row r="4090" spans="1:11" hidden="1" x14ac:dyDescent="0.25">
      <c r="A4090" s="207"/>
      <c r="B4090" s="205"/>
      <c r="C4090" s="31"/>
      <c r="D4090" s="31"/>
      <c r="E4090" s="32"/>
      <c r="F4090" s="53" t="s">
        <v>514</v>
      </c>
      <c r="G4090" s="53" t="str">
        <f t="shared" si="77"/>
        <v/>
      </c>
      <c r="H4090" s="72"/>
      <c r="I4090" s="73"/>
      <c r="J4090" s="148">
        <v>0</v>
      </c>
      <c r="K4090" s="222">
        <v>0</v>
      </c>
    </row>
    <row r="4091" spans="1:11" ht="38.25" hidden="1" x14ac:dyDescent="0.25">
      <c r="A4091" s="207"/>
      <c r="B4091" s="205"/>
      <c r="C4091" s="35" t="s">
        <v>1199</v>
      </c>
      <c r="D4091" s="35" t="s">
        <v>473</v>
      </c>
      <c r="E4091" s="36">
        <v>1.0210999999999999</v>
      </c>
      <c r="F4091" s="53">
        <v>188.8125</v>
      </c>
      <c r="G4091" s="53">
        <f t="shared" si="77"/>
        <v>192.79644374999998</v>
      </c>
      <c r="H4091" s="38">
        <f>SUM(G4091:G4093)</f>
        <v>196.09453975</v>
      </c>
      <c r="I4091" s="39"/>
      <c r="J4091" s="148">
        <v>0</v>
      </c>
      <c r="K4091" s="222">
        <v>0</v>
      </c>
    </row>
    <row r="4092" spans="1:11" ht="25.5" hidden="1" x14ac:dyDescent="0.25">
      <c r="A4092" s="207"/>
      <c r="B4092" s="205"/>
      <c r="C4092" s="35" t="s">
        <v>943</v>
      </c>
      <c r="D4092" s="35" t="s">
        <v>695</v>
      </c>
      <c r="E4092" s="36">
        <v>7.5999999999999998E-2</v>
      </c>
      <c r="F4092" s="53">
        <v>19.094999999999999</v>
      </c>
      <c r="G4092" s="53">
        <f t="shared" si="77"/>
        <v>1.45122</v>
      </c>
      <c r="H4092" s="72"/>
      <c r="I4092" s="73"/>
      <c r="J4092" s="148">
        <v>0</v>
      </c>
      <c r="K4092" s="222">
        <v>0</v>
      </c>
    </row>
    <row r="4093" spans="1:11" ht="25.5" hidden="1" x14ac:dyDescent="0.25">
      <c r="A4093" s="207"/>
      <c r="B4093" s="205"/>
      <c r="C4093" s="35" t="s">
        <v>944</v>
      </c>
      <c r="D4093" s="35" t="s">
        <v>695</v>
      </c>
      <c r="E4093" s="36">
        <v>7.5999999999999998E-2</v>
      </c>
      <c r="F4093" s="53">
        <v>24.300999999999998</v>
      </c>
      <c r="G4093" s="53">
        <f t="shared" si="77"/>
        <v>1.8468759999999997</v>
      </c>
      <c r="H4093" s="72"/>
      <c r="I4093" s="73"/>
      <c r="J4093" s="148">
        <v>0</v>
      </c>
      <c r="K4093" s="222">
        <v>0</v>
      </c>
    </row>
    <row r="4094" spans="1:11" ht="15.75" hidden="1" thickBot="1" x14ac:dyDescent="0.3">
      <c r="A4094" s="207"/>
      <c r="B4094" s="205"/>
      <c r="C4094" s="54"/>
      <c r="D4094" s="54"/>
      <c r="E4094" s="65"/>
      <c r="F4094" s="75" t="s">
        <v>514</v>
      </c>
      <c r="G4094" s="75" t="str">
        <f t="shared" si="77"/>
        <v/>
      </c>
      <c r="H4094" s="76"/>
      <c r="I4094" s="73"/>
      <c r="J4094" s="148">
        <v>0</v>
      </c>
      <c r="K4094" s="222">
        <v>0</v>
      </c>
    </row>
    <row r="4095" spans="1:11" ht="15.75" hidden="1" thickBot="1" x14ac:dyDescent="0.3">
      <c r="A4095" s="202" t="s">
        <v>1200</v>
      </c>
      <c r="B4095" s="204" t="str">
        <f>INDEX(Orçamentária!A:B,MATCH(Composições!A4095,Orçamentária!A:A,0),2)</f>
        <v>Eletroduto flexível metálico com capa de PVC 1 1/2"</v>
      </c>
      <c r="C4095" s="40"/>
      <c r="D4095" s="25" t="str">
        <f>TRIM(INDEX(Orçamentária!C:C,MATCH(Composições!A4095,Orçamentária!A:A,0),1))</f>
        <v>m</v>
      </c>
      <c r="E4095" s="26"/>
      <c r="F4095" s="48" t="s">
        <v>514</v>
      </c>
      <c r="G4095" s="27" t="str">
        <f t="shared" si="77"/>
        <v/>
      </c>
      <c r="H4095" s="28"/>
      <c r="I4095" s="29"/>
      <c r="J4095" s="148">
        <v>0</v>
      </c>
      <c r="K4095" s="222">
        <v>0</v>
      </c>
    </row>
    <row r="4096" spans="1:11" hidden="1" x14ac:dyDescent="0.25">
      <c r="A4096" s="207"/>
      <c r="B4096" s="205"/>
      <c r="C4096" s="31"/>
      <c r="D4096" s="31"/>
      <c r="E4096" s="32"/>
      <c r="F4096" s="53" t="s">
        <v>514</v>
      </c>
      <c r="G4096" s="53" t="str">
        <f t="shared" si="77"/>
        <v/>
      </c>
      <c r="H4096" s="72"/>
      <c r="I4096" s="73"/>
      <c r="J4096" s="148">
        <v>0</v>
      </c>
      <c r="K4096" s="222">
        <v>0</v>
      </c>
    </row>
    <row r="4097" spans="1:11" ht="38.25" hidden="1" x14ac:dyDescent="0.25">
      <c r="A4097" s="207"/>
      <c r="B4097" s="205"/>
      <c r="C4097" s="35" t="s">
        <v>1201</v>
      </c>
      <c r="D4097" s="46" t="s">
        <v>473</v>
      </c>
      <c r="E4097" s="36">
        <v>1.1000000000000001</v>
      </c>
      <c r="F4097" s="53">
        <v>36.584499999999998</v>
      </c>
      <c r="G4097" s="53">
        <f t="shared" si="77"/>
        <v>40.24295</v>
      </c>
      <c r="H4097" s="38">
        <f>SUM(G4097:G4100)</f>
        <v>46.131089899999992</v>
      </c>
      <c r="I4097" s="39"/>
      <c r="J4097" s="148">
        <v>0</v>
      </c>
      <c r="K4097" s="222">
        <v>0</v>
      </c>
    </row>
    <row r="4098" spans="1:11" ht="25.5" hidden="1" x14ac:dyDescent="0.25">
      <c r="A4098" s="207"/>
      <c r="B4098" s="205"/>
      <c r="C4098" s="35" t="s">
        <v>3489</v>
      </c>
      <c r="D4098" s="46" t="s">
        <v>891</v>
      </c>
      <c r="E4098" s="36">
        <v>2.3E-3</v>
      </c>
      <c r="F4098" s="53">
        <v>22.363</v>
      </c>
      <c r="G4098" s="53">
        <f t="shared" si="77"/>
        <v>5.1434899999999999E-2</v>
      </c>
      <c r="H4098" s="72"/>
      <c r="I4098" s="73"/>
      <c r="J4098" s="148">
        <v>0</v>
      </c>
      <c r="K4098" s="222">
        <v>0</v>
      </c>
    </row>
    <row r="4099" spans="1:11" hidden="1" x14ac:dyDescent="0.25">
      <c r="A4099" s="207"/>
      <c r="B4099" s="205"/>
      <c r="C4099" s="35" t="s">
        <v>1150</v>
      </c>
      <c r="D4099" s="35" t="s">
        <v>695</v>
      </c>
      <c r="E4099" s="36">
        <v>0.13100000000000001</v>
      </c>
      <c r="F4099" s="53">
        <v>19.4085</v>
      </c>
      <c r="G4099" s="53">
        <f t="shared" si="77"/>
        <v>2.5425135000000001</v>
      </c>
      <c r="H4099" s="72"/>
      <c r="I4099" s="73"/>
      <c r="J4099" s="148">
        <v>0</v>
      </c>
      <c r="K4099" s="222">
        <v>0</v>
      </c>
    </row>
    <row r="4100" spans="1:11" hidden="1" x14ac:dyDescent="0.25">
      <c r="A4100" s="207"/>
      <c r="B4100" s="205"/>
      <c r="C4100" s="35" t="s">
        <v>1151</v>
      </c>
      <c r="D4100" s="35" t="s">
        <v>695</v>
      </c>
      <c r="E4100" s="36">
        <v>0.13100000000000001</v>
      </c>
      <c r="F4100" s="53">
        <v>25.146499999999996</v>
      </c>
      <c r="G4100" s="53">
        <f t="shared" si="77"/>
        <v>3.2941914999999997</v>
      </c>
      <c r="H4100" s="72"/>
      <c r="I4100" s="73"/>
      <c r="J4100" s="148">
        <v>0</v>
      </c>
      <c r="K4100" s="222">
        <v>0</v>
      </c>
    </row>
    <row r="4101" spans="1:11" ht="15.75" hidden="1" thickBot="1" x14ac:dyDescent="0.3">
      <c r="A4101" s="207"/>
      <c r="B4101" s="205"/>
      <c r="C4101" s="54"/>
      <c r="D4101" s="54"/>
      <c r="E4101" s="65"/>
      <c r="F4101" s="75" t="s">
        <v>514</v>
      </c>
      <c r="G4101" s="75" t="str">
        <f t="shared" si="77"/>
        <v/>
      </c>
      <c r="H4101" s="76"/>
      <c r="I4101" s="73"/>
      <c r="J4101" s="148">
        <v>0</v>
      </c>
      <c r="K4101" s="222">
        <v>0</v>
      </c>
    </row>
    <row r="4102" spans="1:11" ht="15.75" hidden="1" thickBot="1" x14ac:dyDescent="0.3">
      <c r="A4102" s="202" t="s">
        <v>1202</v>
      </c>
      <c r="B4102" s="204" t="str">
        <f>INDEX(Orçamentária!A:B,MATCH(Composições!A4102,Orçamentária!A:A,0),2)</f>
        <v>Técnico(a) em Edificações - Planejamento de Manutenção</v>
      </c>
      <c r="C4102" s="40"/>
      <c r="D4102" s="25" t="str">
        <f>TRIM(INDEX(Orçamentária!C:C,MATCH(Composições!A4102,Orçamentária!A:A,0),1))</f>
        <v>Profissional</v>
      </c>
      <c r="E4102" s="26"/>
      <c r="F4102" s="48" t="s">
        <v>514</v>
      </c>
      <c r="G4102" s="27" t="str">
        <f t="shared" si="77"/>
        <v/>
      </c>
      <c r="H4102" s="28"/>
      <c r="I4102" s="29"/>
      <c r="J4102" s="148">
        <v>0</v>
      </c>
      <c r="K4102" s="222">
        <v>0</v>
      </c>
    </row>
    <row r="4103" spans="1:11" hidden="1" x14ac:dyDescent="0.25">
      <c r="A4103" s="207"/>
      <c r="B4103" s="205"/>
      <c r="C4103" s="31"/>
      <c r="D4103" s="31"/>
      <c r="E4103" s="32"/>
      <c r="F4103" s="53" t="s">
        <v>514</v>
      </c>
      <c r="G4103" s="53" t="str">
        <f t="shared" si="77"/>
        <v/>
      </c>
      <c r="H4103" s="72"/>
      <c r="I4103" s="73"/>
      <c r="J4103" s="148">
        <v>0</v>
      </c>
      <c r="K4103" s="222">
        <v>0</v>
      </c>
    </row>
    <row r="4104" spans="1:11" hidden="1" x14ac:dyDescent="0.25">
      <c r="A4104" s="207"/>
      <c r="B4104" s="205"/>
      <c r="C4104" s="35" t="s">
        <v>1203</v>
      </c>
      <c r="D4104" s="35" t="s">
        <v>695</v>
      </c>
      <c r="E4104" s="36">
        <f>ROUND(1/(1+70.03%),2)</f>
        <v>0.59</v>
      </c>
      <c r="F4104" s="53">
        <v>2852.1849999999999</v>
      </c>
      <c r="G4104" s="53">
        <f t="shared" si="77"/>
        <v>1682.7891499999998</v>
      </c>
      <c r="H4104" s="38">
        <f>SUM(G4104:G4104)</f>
        <v>1682.7891499999998</v>
      </c>
      <c r="I4104" s="39"/>
      <c r="J4104" s="148">
        <v>0</v>
      </c>
      <c r="K4104" s="222">
        <v>0</v>
      </c>
    </row>
    <row r="4105" spans="1:11" hidden="1" x14ac:dyDescent="0.25">
      <c r="A4105" s="207"/>
      <c r="B4105" s="205"/>
      <c r="C4105" s="35"/>
      <c r="D4105" s="46"/>
      <c r="E4105" s="36"/>
      <c r="F4105" s="53" t="s">
        <v>514</v>
      </c>
      <c r="G4105" s="53" t="str">
        <f t="shared" si="77"/>
        <v/>
      </c>
      <c r="H4105" s="72"/>
      <c r="I4105" s="73"/>
      <c r="J4105" s="148">
        <v>0</v>
      </c>
      <c r="K4105" s="222">
        <v>0</v>
      </c>
    </row>
    <row r="4106" spans="1:11" ht="25.5" hidden="1" x14ac:dyDescent="0.25">
      <c r="A4106" s="207"/>
      <c r="B4106" s="205"/>
      <c r="C4106" s="47" t="s">
        <v>773</v>
      </c>
      <c r="D4106" s="46"/>
      <c r="E4106" s="36"/>
      <c r="F4106" s="53" t="s">
        <v>514</v>
      </c>
      <c r="G4106" s="53" t="str">
        <f t="shared" si="77"/>
        <v/>
      </c>
      <c r="H4106" s="72"/>
      <c r="I4106" s="73"/>
      <c r="J4106" s="148">
        <v>0</v>
      </c>
      <c r="K4106" s="222">
        <v>0</v>
      </c>
    </row>
    <row r="4107" spans="1:11" ht="15.75" hidden="1" thickBot="1" x14ac:dyDescent="0.3">
      <c r="A4107" s="207"/>
      <c r="B4107" s="205"/>
      <c r="C4107" s="54"/>
      <c r="D4107" s="54"/>
      <c r="E4107" s="65"/>
      <c r="F4107" s="75" t="s">
        <v>514</v>
      </c>
      <c r="G4107" s="75" t="str">
        <f t="shared" si="77"/>
        <v/>
      </c>
      <c r="H4107" s="76"/>
      <c r="I4107" s="73"/>
      <c r="J4107" s="148">
        <v>0</v>
      </c>
      <c r="K4107" s="222">
        <v>0</v>
      </c>
    </row>
    <row r="4108" spans="1:11" ht="15.75" hidden="1" thickBot="1" x14ac:dyDescent="0.3">
      <c r="A4108" s="202" t="s">
        <v>1204</v>
      </c>
      <c r="B4108" s="204" t="str">
        <f>INDEX(Orçamentária!A:B,MATCH(Composições!A4108,Orçamentária!A:A,0),2)</f>
        <v>Projeto de Impermeabilização</v>
      </c>
      <c r="C4108" s="40"/>
      <c r="D4108" s="25" t="str">
        <f>TRIM(INDEX(Orçamentária!C:C,MATCH(Composições!A4108,Orçamentária!A:A,0),1))</f>
        <v>m2</v>
      </c>
      <c r="E4108" s="26"/>
      <c r="F4108" s="48" t="s">
        <v>514</v>
      </c>
      <c r="G4108" s="27" t="str">
        <f t="shared" si="77"/>
        <v/>
      </c>
      <c r="H4108" s="28"/>
      <c r="I4108" s="29"/>
      <c r="J4108" s="148">
        <v>0</v>
      </c>
      <c r="K4108" s="222">
        <v>0</v>
      </c>
    </row>
    <row r="4109" spans="1:11" hidden="1" x14ac:dyDescent="0.25">
      <c r="A4109" s="207"/>
      <c r="B4109" s="205"/>
      <c r="C4109" s="31"/>
      <c r="D4109" s="31"/>
      <c r="E4109" s="32"/>
      <c r="F4109" s="53" t="s">
        <v>514</v>
      </c>
      <c r="G4109" s="53" t="str">
        <f t="shared" si="77"/>
        <v/>
      </c>
      <c r="H4109" s="72"/>
      <c r="I4109" s="73"/>
      <c r="J4109" s="148">
        <v>0</v>
      </c>
      <c r="K4109" s="222">
        <v>0</v>
      </c>
    </row>
    <row r="4110" spans="1:11" hidden="1" x14ac:dyDescent="0.25">
      <c r="A4110" s="207"/>
      <c r="B4110" s="205"/>
      <c r="C4110" s="35" t="s">
        <v>1205</v>
      </c>
      <c r="D4110" s="35" t="s">
        <v>695</v>
      </c>
      <c r="E4110" s="36">
        <f>ROUND(1/10,4)</f>
        <v>0.1</v>
      </c>
      <c r="F4110" s="53">
        <v>109.45899999999999</v>
      </c>
      <c r="G4110" s="53">
        <f t="shared" si="77"/>
        <v>10.9459</v>
      </c>
      <c r="H4110" s="38">
        <f>SUM(G4110:G4110)</f>
        <v>10.9459</v>
      </c>
      <c r="I4110" s="39"/>
      <c r="J4110" s="148">
        <v>0</v>
      </c>
      <c r="K4110" s="222">
        <v>0</v>
      </c>
    </row>
    <row r="4111" spans="1:11" hidden="1" x14ac:dyDescent="0.25">
      <c r="A4111" s="207"/>
      <c r="B4111" s="205"/>
      <c r="C4111" s="35"/>
      <c r="D4111" s="46"/>
      <c r="E4111" s="36"/>
      <c r="F4111" s="53" t="s">
        <v>514</v>
      </c>
      <c r="G4111" s="53" t="str">
        <f t="shared" si="77"/>
        <v/>
      </c>
      <c r="H4111" s="72"/>
      <c r="I4111" s="73"/>
      <c r="J4111" s="148">
        <v>0</v>
      </c>
      <c r="K4111" s="222">
        <v>0</v>
      </c>
    </row>
    <row r="4112" spans="1:11" ht="15.75" hidden="1" thickBot="1" x14ac:dyDescent="0.3">
      <c r="A4112" s="202" t="s">
        <v>1206</v>
      </c>
      <c r="B4112" s="204" t="str">
        <f>INDEX(Orçamentária!A:B,MATCH(Composições!A4112,Orçamentária!A:A,0),2)</f>
        <v>Laminado decorativo de alta pressão (LDAP)</v>
      </c>
      <c r="C4112" s="40"/>
      <c r="D4112" s="25" t="str">
        <f>TRIM(INDEX(Orçamentária!C:C,MATCH(Composições!A4112,Orçamentária!A:A,0),1))</f>
        <v>m2</v>
      </c>
      <c r="E4112" s="26"/>
      <c r="F4112" s="48" t="s">
        <v>514</v>
      </c>
      <c r="G4112" s="27" t="str">
        <f t="shared" si="77"/>
        <v/>
      </c>
      <c r="H4112" s="28"/>
      <c r="I4112" s="29"/>
      <c r="J4112" s="148">
        <v>0</v>
      </c>
      <c r="K4112" s="222">
        <v>0</v>
      </c>
    </row>
    <row r="4113" spans="1:11" hidden="1" x14ac:dyDescent="0.25">
      <c r="A4113" s="207"/>
      <c r="B4113" s="205"/>
      <c r="C4113" s="31"/>
      <c r="D4113" s="31"/>
      <c r="E4113" s="32"/>
      <c r="F4113" s="53" t="s">
        <v>514</v>
      </c>
      <c r="G4113" s="53" t="str">
        <f t="shared" si="77"/>
        <v/>
      </c>
      <c r="H4113" s="72"/>
      <c r="I4113" s="73"/>
      <c r="J4113" s="148">
        <v>0</v>
      </c>
      <c r="K4113" s="222">
        <v>0</v>
      </c>
    </row>
    <row r="4114" spans="1:11" hidden="1" x14ac:dyDescent="0.25">
      <c r="A4114" s="207"/>
      <c r="B4114" s="205"/>
      <c r="C4114" s="35" t="s">
        <v>23</v>
      </c>
      <c r="D4114" s="46" t="s">
        <v>12</v>
      </c>
      <c r="E4114" s="36">
        <v>0.18</v>
      </c>
      <c r="F4114" s="53">
        <v>18.420500000000001</v>
      </c>
      <c r="G4114" s="53">
        <f t="shared" si="77"/>
        <v>3.31569</v>
      </c>
      <c r="H4114" s="38">
        <f>SUM(G4114:G4117)</f>
        <v>57.587669999999996</v>
      </c>
      <c r="I4114" s="39"/>
      <c r="J4114" s="148">
        <v>0</v>
      </c>
      <c r="K4114" s="222">
        <v>0</v>
      </c>
    </row>
    <row r="4115" spans="1:11" hidden="1" x14ac:dyDescent="0.25">
      <c r="A4115" s="207"/>
      <c r="B4115" s="205"/>
      <c r="C4115" s="35" t="s">
        <v>1207</v>
      </c>
      <c r="D4115" s="46" t="s">
        <v>12</v>
      </c>
      <c r="E4115" s="36">
        <v>0.18</v>
      </c>
      <c r="F4115" s="53">
        <v>24.633499999999998</v>
      </c>
      <c r="G4115" s="53">
        <f t="shared" si="77"/>
        <v>4.434029999999999</v>
      </c>
      <c r="H4115" s="72"/>
      <c r="I4115" s="73"/>
      <c r="J4115" s="148">
        <v>0</v>
      </c>
      <c r="K4115" s="222">
        <v>0</v>
      </c>
    </row>
    <row r="4116" spans="1:11" hidden="1" x14ac:dyDescent="0.25">
      <c r="A4116" s="207"/>
      <c r="B4116" s="205"/>
      <c r="C4116" s="35" t="s">
        <v>231</v>
      </c>
      <c r="D4116" s="35" t="s">
        <v>42</v>
      </c>
      <c r="E4116" s="36">
        <v>0.9</v>
      </c>
      <c r="F4116" s="53">
        <v>55.375499999999995</v>
      </c>
      <c r="G4116" s="53">
        <f t="shared" si="77"/>
        <v>49.837949999999999</v>
      </c>
      <c r="H4116" s="72"/>
      <c r="I4116" s="73"/>
      <c r="J4116" s="148">
        <v>0</v>
      </c>
      <c r="K4116" s="222">
        <v>0</v>
      </c>
    </row>
    <row r="4117" spans="1:11" hidden="1" x14ac:dyDescent="0.25">
      <c r="A4117" s="207"/>
      <c r="B4117" s="205"/>
      <c r="C4117" s="35" t="s">
        <v>1208</v>
      </c>
      <c r="D4117" s="35" t="s">
        <v>94</v>
      </c>
      <c r="E4117" s="36">
        <v>1.05</v>
      </c>
      <c r="F4117" s="53">
        <v>0</v>
      </c>
      <c r="G4117" s="53">
        <f t="shared" si="77"/>
        <v>0</v>
      </c>
      <c r="H4117" s="72"/>
      <c r="I4117" s="73"/>
      <c r="J4117" s="148">
        <v>0</v>
      </c>
      <c r="K4117" s="222">
        <v>0</v>
      </c>
    </row>
    <row r="4118" spans="1:11" ht="15.75" hidden="1" thickBot="1" x14ac:dyDescent="0.3">
      <c r="A4118" s="207"/>
      <c r="B4118" s="205"/>
      <c r="C4118" s="54"/>
      <c r="D4118" s="54"/>
      <c r="E4118" s="65"/>
      <c r="F4118" s="75" t="s">
        <v>514</v>
      </c>
      <c r="G4118" s="75" t="str">
        <f t="shared" si="77"/>
        <v/>
      </c>
      <c r="H4118" s="76"/>
      <c r="I4118" s="73"/>
      <c r="J4118" s="148">
        <v>0</v>
      </c>
      <c r="K4118" s="222">
        <v>0</v>
      </c>
    </row>
    <row r="4119" spans="1:11" ht="15.75" hidden="1" thickBot="1" x14ac:dyDescent="0.3">
      <c r="A4119" s="202" t="s">
        <v>1209</v>
      </c>
      <c r="B4119" s="204" t="str">
        <f>INDEX(Orçamentária!A:B,MATCH(Composições!A4119,Orçamentária!A:A,0),2)</f>
        <v>Granito Preto Absoluto para revestimento de superfícies internas e externas – Linha Administrativa</v>
      </c>
      <c r="C4119" s="40"/>
      <c r="D4119" s="25" t="str">
        <f>TRIM(INDEX(Orçamentária!C:C,MATCH(Composições!A4119,Orçamentária!A:A,0),1))</f>
        <v>m2</v>
      </c>
      <c r="E4119" s="26"/>
      <c r="F4119" s="41" t="s">
        <v>514</v>
      </c>
      <c r="G4119" s="27" t="str">
        <f t="shared" si="77"/>
        <v/>
      </c>
      <c r="H4119" s="28"/>
      <c r="I4119" s="29"/>
      <c r="J4119" s="148">
        <v>0</v>
      </c>
      <c r="K4119" s="222">
        <v>0</v>
      </c>
    </row>
    <row r="4120" spans="1:11" hidden="1" x14ac:dyDescent="0.25">
      <c r="A4120" s="203"/>
      <c r="B4120" s="205"/>
      <c r="C4120" s="31"/>
      <c r="D4120" s="31"/>
      <c r="E4120" s="32"/>
      <c r="F4120" s="42" t="s">
        <v>514</v>
      </c>
      <c r="G4120" s="30" t="str">
        <f t="shared" si="77"/>
        <v/>
      </c>
      <c r="H4120" s="34"/>
      <c r="I4120" s="30"/>
      <c r="J4120" s="148">
        <v>0</v>
      </c>
      <c r="K4120" s="222">
        <v>0</v>
      </c>
    </row>
    <row r="4121" spans="1:11" hidden="1" x14ac:dyDescent="0.25">
      <c r="A4121" s="203"/>
      <c r="B4121" s="205"/>
      <c r="C4121" s="35" t="s">
        <v>3512</v>
      </c>
      <c r="D4121" s="35" t="s">
        <v>42</v>
      </c>
      <c r="E4121" s="36">
        <v>8.6199999999999992</v>
      </c>
      <c r="F4121" s="33">
        <v>1.6054999999999999</v>
      </c>
      <c r="G4121" s="33">
        <f t="shared" si="77"/>
        <v>13.839409999999997</v>
      </c>
      <c r="H4121" s="38">
        <f>SUM(G4121:G4125)</f>
        <v>54.665906999999997</v>
      </c>
      <c r="I4121" s="39"/>
      <c r="J4121" s="148">
        <v>0</v>
      </c>
      <c r="K4121" s="222">
        <v>0</v>
      </c>
    </row>
    <row r="4122" spans="1:11" hidden="1" x14ac:dyDescent="0.25">
      <c r="A4122" s="203"/>
      <c r="B4122" s="205"/>
      <c r="C4122" s="35" t="s">
        <v>54</v>
      </c>
      <c r="D4122" s="35" t="s">
        <v>12</v>
      </c>
      <c r="E4122" s="36">
        <v>1.1879999999999999</v>
      </c>
      <c r="F4122" s="30">
        <v>24.795000000000002</v>
      </c>
      <c r="G4122" s="33">
        <f t="shared" si="77"/>
        <v>29.45646</v>
      </c>
      <c r="H4122" s="34"/>
      <c r="I4122" s="30"/>
      <c r="J4122" s="148">
        <v>0</v>
      </c>
      <c r="K4122" s="222">
        <v>0</v>
      </c>
    </row>
    <row r="4123" spans="1:11" hidden="1" x14ac:dyDescent="0.25">
      <c r="A4123" s="203"/>
      <c r="B4123" s="205"/>
      <c r="C4123" s="35" t="s">
        <v>23</v>
      </c>
      <c r="D4123" s="35" t="s">
        <v>12</v>
      </c>
      <c r="E4123" s="36">
        <v>0.59399999999999997</v>
      </c>
      <c r="F4123" s="30">
        <v>18.420500000000001</v>
      </c>
      <c r="G4123" s="33">
        <f t="shared" si="77"/>
        <v>10.941777</v>
      </c>
      <c r="H4123" s="34"/>
      <c r="I4123" s="30"/>
      <c r="J4123" s="148">
        <v>0</v>
      </c>
      <c r="K4123" s="222">
        <v>0</v>
      </c>
    </row>
    <row r="4124" spans="1:11" hidden="1" x14ac:dyDescent="0.25">
      <c r="A4124" s="203"/>
      <c r="B4124" s="205"/>
      <c r="C4124" s="35" t="s">
        <v>3511</v>
      </c>
      <c r="D4124" s="35" t="s">
        <v>42</v>
      </c>
      <c r="E4124" s="36">
        <v>0.14000000000000001</v>
      </c>
      <c r="F4124" s="33">
        <v>3.0590000000000002</v>
      </c>
      <c r="G4124" s="33">
        <f t="shared" si="77"/>
        <v>0.42826000000000009</v>
      </c>
      <c r="H4124" s="34"/>
      <c r="I4124" s="30"/>
      <c r="J4124" s="148">
        <v>0</v>
      </c>
      <c r="K4124" s="222">
        <v>0</v>
      </c>
    </row>
    <row r="4125" spans="1:11" hidden="1" x14ac:dyDescent="0.25">
      <c r="A4125" s="203"/>
      <c r="B4125" s="205"/>
      <c r="C4125" s="35" t="s">
        <v>1210</v>
      </c>
      <c r="D4125" s="35" t="s">
        <v>94</v>
      </c>
      <c r="E4125" s="36">
        <v>1.1599999999999999</v>
      </c>
      <c r="F4125" s="33" t="s">
        <v>514</v>
      </c>
      <c r="G4125" s="53" t="str">
        <f t="shared" si="77"/>
        <v/>
      </c>
      <c r="H4125" s="34"/>
      <c r="I4125" s="30"/>
      <c r="J4125" s="148">
        <v>0</v>
      </c>
      <c r="K4125" s="222">
        <v>0</v>
      </c>
    </row>
    <row r="4126" spans="1:11" ht="15.75" hidden="1" thickBot="1" x14ac:dyDescent="0.3">
      <c r="A4126" s="209"/>
      <c r="B4126" s="206"/>
      <c r="C4126" s="35"/>
      <c r="D4126" s="35"/>
      <c r="E4126" s="36"/>
      <c r="F4126" s="30" t="s">
        <v>514</v>
      </c>
      <c r="G4126" s="30" t="str">
        <f t="shared" si="77"/>
        <v/>
      </c>
      <c r="H4126" s="34"/>
      <c r="I4126" s="30"/>
      <c r="J4126" s="148">
        <v>0</v>
      </c>
      <c r="K4126" s="222">
        <v>0</v>
      </c>
    </row>
    <row r="4127" spans="1:11" ht="15.75" hidden="1" thickBot="1" x14ac:dyDescent="0.3">
      <c r="A4127" s="202" t="s">
        <v>1211</v>
      </c>
      <c r="B4127" s="204" t="str">
        <f>INDEX(Orçamentária!A:B,MATCH(Composições!A4127,Orçamentária!A:A,0),2)</f>
        <v>Granito Arabesco para revestimento de superfícies internas e externas – Linha Administrativa</v>
      </c>
      <c r="C4127" s="40"/>
      <c r="D4127" s="25" t="str">
        <f>TRIM(INDEX(Orçamentária!C:C,MATCH(Composições!A4127,Orçamentária!A:A,0),1))</f>
        <v>m2</v>
      </c>
      <c r="E4127" s="26"/>
      <c r="F4127" s="41" t="s">
        <v>514</v>
      </c>
      <c r="G4127" s="27" t="str">
        <f t="shared" si="77"/>
        <v/>
      </c>
      <c r="H4127" s="28"/>
      <c r="I4127" s="29"/>
      <c r="J4127" s="148">
        <v>0</v>
      </c>
      <c r="K4127" s="222">
        <v>0</v>
      </c>
    </row>
    <row r="4128" spans="1:11" hidden="1" x14ac:dyDescent="0.25">
      <c r="A4128" s="203"/>
      <c r="B4128" s="205"/>
      <c r="C4128" s="31"/>
      <c r="D4128" s="31"/>
      <c r="E4128" s="32"/>
      <c r="F4128" s="42" t="s">
        <v>514</v>
      </c>
      <c r="G4128" s="30" t="str">
        <f t="shared" si="77"/>
        <v/>
      </c>
      <c r="H4128" s="34"/>
      <c r="I4128" s="30"/>
      <c r="J4128" s="148">
        <v>0</v>
      </c>
      <c r="K4128" s="222">
        <v>0</v>
      </c>
    </row>
    <row r="4129" spans="1:11" hidden="1" x14ac:dyDescent="0.25">
      <c r="A4129" s="203"/>
      <c r="B4129" s="205"/>
      <c r="C4129" s="35" t="s">
        <v>3512</v>
      </c>
      <c r="D4129" s="35" t="s">
        <v>42</v>
      </c>
      <c r="E4129" s="36">
        <v>8.6199999999999992</v>
      </c>
      <c r="F4129" s="33">
        <v>1.6054999999999999</v>
      </c>
      <c r="G4129" s="33">
        <f t="shared" si="77"/>
        <v>13.839409999999997</v>
      </c>
      <c r="H4129" s="38">
        <f>SUM(G4129:G4133)</f>
        <v>54.665906999999997</v>
      </c>
      <c r="I4129" s="39"/>
      <c r="J4129" s="148">
        <v>0</v>
      </c>
      <c r="K4129" s="222">
        <v>0</v>
      </c>
    </row>
    <row r="4130" spans="1:11" hidden="1" x14ac:dyDescent="0.25">
      <c r="A4130" s="203"/>
      <c r="B4130" s="205"/>
      <c r="C4130" s="35" t="s">
        <v>54</v>
      </c>
      <c r="D4130" s="35" t="s">
        <v>12</v>
      </c>
      <c r="E4130" s="36">
        <v>1.1879999999999999</v>
      </c>
      <c r="F4130" s="30">
        <v>24.795000000000002</v>
      </c>
      <c r="G4130" s="33">
        <f t="shared" si="77"/>
        <v>29.45646</v>
      </c>
      <c r="H4130" s="34"/>
      <c r="I4130" s="30"/>
      <c r="J4130" s="148">
        <v>0</v>
      </c>
      <c r="K4130" s="222">
        <v>0</v>
      </c>
    </row>
    <row r="4131" spans="1:11" hidden="1" x14ac:dyDescent="0.25">
      <c r="A4131" s="203"/>
      <c r="B4131" s="205"/>
      <c r="C4131" s="35" t="s">
        <v>23</v>
      </c>
      <c r="D4131" s="35" t="s">
        <v>12</v>
      </c>
      <c r="E4131" s="36">
        <v>0.59399999999999997</v>
      </c>
      <c r="F4131" s="30">
        <v>18.420500000000001</v>
      </c>
      <c r="G4131" s="33">
        <f t="shared" si="77"/>
        <v>10.941777</v>
      </c>
      <c r="H4131" s="34"/>
      <c r="I4131" s="30"/>
      <c r="J4131" s="148">
        <v>0</v>
      </c>
      <c r="K4131" s="222">
        <v>0</v>
      </c>
    </row>
    <row r="4132" spans="1:11" hidden="1" x14ac:dyDescent="0.25">
      <c r="A4132" s="203"/>
      <c r="B4132" s="205"/>
      <c r="C4132" s="35" t="s">
        <v>3511</v>
      </c>
      <c r="D4132" s="35" t="s">
        <v>42</v>
      </c>
      <c r="E4132" s="36">
        <v>0.14000000000000001</v>
      </c>
      <c r="F4132" s="33">
        <v>3.0590000000000002</v>
      </c>
      <c r="G4132" s="33">
        <f t="shared" si="77"/>
        <v>0.42826000000000009</v>
      </c>
      <c r="H4132" s="34"/>
      <c r="I4132" s="30"/>
      <c r="J4132" s="148">
        <v>0</v>
      </c>
      <c r="K4132" s="222">
        <v>0</v>
      </c>
    </row>
    <row r="4133" spans="1:11" hidden="1" x14ac:dyDescent="0.25">
      <c r="A4133" s="203"/>
      <c r="B4133" s="205"/>
      <c r="C4133" s="35" t="s">
        <v>1212</v>
      </c>
      <c r="D4133" s="35" t="s">
        <v>94</v>
      </c>
      <c r="E4133" s="36">
        <v>1.1599999999999999</v>
      </c>
      <c r="F4133" s="33" t="s">
        <v>514</v>
      </c>
      <c r="G4133" s="53" t="str">
        <f t="shared" si="77"/>
        <v/>
      </c>
      <c r="H4133" s="34"/>
      <c r="I4133" s="30"/>
      <c r="J4133" s="148">
        <v>0</v>
      </c>
      <c r="K4133" s="222">
        <v>0</v>
      </c>
    </row>
    <row r="4134" spans="1:11" ht="15.75" hidden="1" thickBot="1" x14ac:dyDescent="0.3">
      <c r="A4134" s="209"/>
      <c r="B4134" s="206"/>
      <c r="C4134" s="35"/>
      <c r="D4134" s="35"/>
      <c r="E4134" s="36"/>
      <c r="F4134" s="30" t="s">
        <v>514</v>
      </c>
      <c r="G4134" s="30" t="str">
        <f t="shared" si="77"/>
        <v/>
      </c>
      <c r="H4134" s="34"/>
      <c r="I4134" s="30"/>
      <c r="J4134" s="148">
        <v>0</v>
      </c>
      <c r="K4134" s="222">
        <v>0</v>
      </c>
    </row>
    <row r="4135" spans="1:11" ht="15.75" hidden="1" thickBot="1" x14ac:dyDescent="0.3">
      <c r="A4135" s="202" t="s">
        <v>1213</v>
      </c>
      <c r="B4135" s="204" t="str">
        <f>INDEX(Orçamentária!A:B,MATCH(Composições!A4135,Orçamentária!A:A,0),2)</f>
        <v>Porcelanato para revestimento de superfícies internas e externas – Linha Residencial</v>
      </c>
      <c r="C4135" s="40"/>
      <c r="D4135" s="25" t="str">
        <f>TRIM(INDEX(Orçamentária!C:C,MATCH(Composições!A4135,Orçamentária!A:A,0),1))</f>
        <v>m2</v>
      </c>
      <c r="E4135" s="26"/>
      <c r="F4135" s="48" t="s">
        <v>514</v>
      </c>
      <c r="G4135" s="27" t="str">
        <f t="shared" si="77"/>
        <v/>
      </c>
      <c r="H4135" s="28"/>
      <c r="I4135" s="29"/>
      <c r="J4135" s="148">
        <v>225</v>
      </c>
      <c r="K4135" s="222" t="s">
        <v>8074</v>
      </c>
    </row>
    <row r="4136" spans="1:11" hidden="1" x14ac:dyDescent="0.25">
      <c r="A4136" s="207"/>
      <c r="B4136" s="205"/>
      <c r="C4136" s="31"/>
      <c r="D4136" s="31"/>
      <c r="E4136" s="32"/>
      <c r="F4136" s="53" t="s">
        <v>514</v>
      </c>
      <c r="G4136" s="53" t="str">
        <f t="shared" si="77"/>
        <v/>
      </c>
      <c r="H4136" s="72"/>
      <c r="I4136" s="73"/>
      <c r="J4136" s="148">
        <v>225</v>
      </c>
      <c r="K4136" s="222" t="s">
        <v>8074</v>
      </c>
    </row>
    <row r="4137" spans="1:11" ht="25.5" hidden="1" x14ac:dyDescent="0.25">
      <c r="A4137" s="207"/>
      <c r="B4137" s="205"/>
      <c r="C4137" s="35" t="s">
        <v>1214</v>
      </c>
      <c r="D4137" s="35" t="s">
        <v>982</v>
      </c>
      <c r="E4137" s="36">
        <v>1.07</v>
      </c>
      <c r="F4137" s="53">
        <v>86.335999999999999</v>
      </c>
      <c r="G4137" s="53">
        <f t="shared" si="77"/>
        <v>92.379519999999999</v>
      </c>
      <c r="H4137" s="38">
        <f>SUM(G4137:G4141)</f>
        <v>126.683165</v>
      </c>
      <c r="I4137" s="39"/>
      <c r="J4137" s="148">
        <v>225</v>
      </c>
      <c r="K4137" s="222" t="s">
        <v>8074</v>
      </c>
    </row>
    <row r="4138" spans="1:11" hidden="1" x14ac:dyDescent="0.25">
      <c r="A4138" s="207"/>
      <c r="B4138" s="205"/>
      <c r="C4138" s="35" t="s">
        <v>3511</v>
      </c>
      <c r="D4138" s="35" t="s">
        <v>891</v>
      </c>
      <c r="E4138" s="36">
        <v>0.24</v>
      </c>
      <c r="F4138" s="53">
        <v>3.0590000000000002</v>
      </c>
      <c r="G4138" s="53">
        <f t="shared" si="77"/>
        <v>0.73416000000000003</v>
      </c>
      <c r="H4138" s="72"/>
      <c r="I4138" s="73"/>
      <c r="J4138" s="148">
        <v>225</v>
      </c>
      <c r="K4138" s="222" t="s">
        <v>8074</v>
      </c>
    </row>
    <row r="4139" spans="1:11" hidden="1" x14ac:dyDescent="0.25">
      <c r="A4139" s="207"/>
      <c r="B4139" s="205"/>
      <c r="C4139" s="35" t="s">
        <v>3512</v>
      </c>
      <c r="D4139" s="35" t="s">
        <v>891</v>
      </c>
      <c r="E4139" s="36">
        <v>8.6199999999999992</v>
      </c>
      <c r="F4139" s="53">
        <v>1.6054999999999999</v>
      </c>
      <c r="G4139" s="53">
        <f t="shared" si="77"/>
        <v>13.839409999999997</v>
      </c>
      <c r="H4139" s="72"/>
      <c r="I4139" s="73"/>
      <c r="J4139" s="148">
        <v>225</v>
      </c>
      <c r="K4139" s="222" t="s">
        <v>8074</v>
      </c>
    </row>
    <row r="4140" spans="1:11" hidden="1" x14ac:dyDescent="0.25">
      <c r="A4140" s="207"/>
      <c r="B4140" s="205"/>
      <c r="C4140" s="35" t="s">
        <v>1215</v>
      </c>
      <c r="D4140" s="35" t="s">
        <v>695</v>
      </c>
      <c r="E4140" s="36">
        <v>0.61</v>
      </c>
      <c r="F4140" s="53">
        <v>24.795000000000002</v>
      </c>
      <c r="G4140" s="53">
        <f t="shared" ref="G4140:G4203" si="78">IF(ISNUMBER(F4140),E4140*F4140,"")</f>
        <v>15.12495</v>
      </c>
      <c r="H4140" s="72"/>
      <c r="I4140" s="73"/>
      <c r="J4140" s="148">
        <v>225</v>
      </c>
      <c r="K4140" s="222" t="s">
        <v>8074</v>
      </c>
    </row>
    <row r="4141" spans="1:11" hidden="1" x14ac:dyDescent="0.25">
      <c r="A4141" s="207"/>
      <c r="B4141" s="205"/>
      <c r="C4141" s="35" t="s">
        <v>696</v>
      </c>
      <c r="D4141" s="35" t="s">
        <v>695</v>
      </c>
      <c r="E4141" s="36">
        <v>0.25</v>
      </c>
      <c r="F4141" s="53">
        <v>18.420500000000001</v>
      </c>
      <c r="G4141" s="53">
        <f t="shared" si="78"/>
        <v>4.6051250000000001</v>
      </c>
      <c r="H4141" s="72"/>
      <c r="I4141" s="73"/>
      <c r="J4141" s="148">
        <v>225</v>
      </c>
      <c r="K4141" s="222" t="s">
        <v>8074</v>
      </c>
    </row>
    <row r="4142" spans="1:11" hidden="1" x14ac:dyDescent="0.25">
      <c r="A4142" s="207"/>
      <c r="B4142" s="205"/>
      <c r="C4142" s="35"/>
      <c r="D4142" s="46"/>
      <c r="E4142" s="36"/>
      <c r="F4142" s="53" t="s">
        <v>514</v>
      </c>
      <c r="G4142" s="53" t="str">
        <f t="shared" si="78"/>
        <v/>
      </c>
      <c r="H4142" s="72"/>
      <c r="I4142" s="73"/>
      <c r="J4142" s="148">
        <v>225</v>
      </c>
      <c r="K4142" s="222" t="s">
        <v>8074</v>
      </c>
    </row>
    <row r="4143" spans="1:11" ht="15.75" hidden="1" thickBot="1" x14ac:dyDescent="0.3">
      <c r="A4143" s="202" t="s">
        <v>1216</v>
      </c>
      <c r="B4143" s="204" t="str">
        <f>INDEX(Orçamentária!A:B,MATCH(Composições!A4143,Orçamentária!A:A,0),2)</f>
        <v>Granitina para revestimento de pisos</v>
      </c>
      <c r="C4143" s="40"/>
      <c r="D4143" s="25" t="str">
        <f>TRIM(INDEX(Orçamentária!C:C,MATCH(Composições!A4143,Orçamentária!A:A,0),1))</f>
        <v>m2</v>
      </c>
      <c r="E4143" s="26"/>
      <c r="F4143" s="48" t="s">
        <v>514</v>
      </c>
      <c r="G4143" s="27" t="str">
        <f t="shared" si="78"/>
        <v/>
      </c>
      <c r="H4143" s="28"/>
      <c r="I4143" s="29"/>
      <c r="J4143" s="148">
        <v>0</v>
      </c>
      <c r="K4143" s="222">
        <v>0</v>
      </c>
    </row>
    <row r="4144" spans="1:11" hidden="1" x14ac:dyDescent="0.25">
      <c r="A4144" s="207"/>
      <c r="B4144" s="205"/>
      <c r="C4144" s="31"/>
      <c r="D4144" s="31"/>
      <c r="E4144" s="32"/>
      <c r="F4144" s="53" t="s">
        <v>514</v>
      </c>
      <c r="G4144" s="53" t="str">
        <f t="shared" si="78"/>
        <v/>
      </c>
      <c r="H4144" s="72"/>
      <c r="I4144" s="73"/>
      <c r="J4144" s="148">
        <v>0</v>
      </c>
      <c r="K4144" s="222">
        <v>0</v>
      </c>
    </row>
    <row r="4145" spans="1:11" ht="25.5" hidden="1" x14ac:dyDescent="0.25">
      <c r="A4145" s="207"/>
      <c r="B4145" s="205"/>
      <c r="C4145" s="35" t="s">
        <v>6632</v>
      </c>
      <c r="D4145" s="35" t="s">
        <v>982</v>
      </c>
      <c r="E4145" s="36">
        <v>1</v>
      </c>
      <c r="F4145" s="53">
        <v>107.82499999999999</v>
      </c>
      <c r="G4145" s="53">
        <f t="shared" si="78"/>
        <v>107.82499999999999</v>
      </c>
      <c r="H4145" s="38">
        <f>SUM(G4145:G4145)</f>
        <v>107.82499999999999</v>
      </c>
      <c r="I4145" s="39"/>
      <c r="J4145" s="148">
        <v>0</v>
      </c>
      <c r="K4145" s="222">
        <v>0</v>
      </c>
    </row>
    <row r="4146" spans="1:11" hidden="1" x14ac:dyDescent="0.25">
      <c r="A4146" s="207"/>
      <c r="B4146" s="205"/>
      <c r="C4146" s="35"/>
      <c r="D4146" s="46"/>
      <c r="E4146" s="36"/>
      <c r="F4146" s="53" t="s">
        <v>514</v>
      </c>
      <c r="G4146" s="53" t="str">
        <f t="shared" si="78"/>
        <v/>
      </c>
      <c r="H4146" s="72"/>
      <c r="I4146" s="73"/>
      <c r="J4146" s="148">
        <v>0</v>
      </c>
      <c r="K4146" s="222">
        <v>0</v>
      </c>
    </row>
    <row r="4147" spans="1:11" ht="15.75" hidden="1" thickBot="1" x14ac:dyDescent="0.3">
      <c r="A4147" s="202" t="s">
        <v>1217</v>
      </c>
      <c r="B4147" s="204" t="str">
        <f>INDEX(Orçamentária!A:B,MATCH(Composições!A4147,Orçamentária!A:A,0),2)</f>
        <v>Piso vinílico flexível em manta</v>
      </c>
      <c r="C4147" s="40"/>
      <c r="D4147" s="25" t="str">
        <f>TRIM(INDEX(Orçamentária!C:C,MATCH(Composições!A4147,Orçamentária!A:A,0),1))</f>
        <v>m2</v>
      </c>
      <c r="E4147" s="26"/>
      <c r="F4147" s="48" t="s">
        <v>514</v>
      </c>
      <c r="G4147" s="27" t="str">
        <f t="shared" si="78"/>
        <v/>
      </c>
      <c r="H4147" s="28"/>
      <c r="I4147" s="29"/>
      <c r="J4147" s="148">
        <v>400</v>
      </c>
      <c r="K4147" s="222" t="s">
        <v>8074</v>
      </c>
    </row>
    <row r="4148" spans="1:11" hidden="1" x14ac:dyDescent="0.25">
      <c r="A4148" s="207"/>
      <c r="B4148" s="205"/>
      <c r="C4148" s="31"/>
      <c r="D4148" s="31"/>
      <c r="E4148" s="32"/>
      <c r="F4148" s="53" t="s">
        <v>514</v>
      </c>
      <c r="G4148" s="53" t="str">
        <f t="shared" si="78"/>
        <v/>
      </c>
      <c r="H4148" s="72"/>
      <c r="I4148" s="73"/>
      <c r="J4148" s="148">
        <v>400</v>
      </c>
      <c r="K4148" s="222" t="s">
        <v>8074</v>
      </c>
    </row>
    <row r="4149" spans="1:11" hidden="1" x14ac:dyDescent="0.25">
      <c r="A4149" s="207"/>
      <c r="B4149" s="205"/>
      <c r="C4149" s="35" t="s">
        <v>1218</v>
      </c>
      <c r="D4149" s="46" t="s">
        <v>94</v>
      </c>
      <c r="E4149" s="36">
        <v>1.05</v>
      </c>
      <c r="F4149" s="53">
        <v>278.35000000000002</v>
      </c>
      <c r="G4149" s="53">
        <f t="shared" si="78"/>
        <v>292.26750000000004</v>
      </c>
      <c r="H4149" s="38">
        <f>SUM(G4149:G4153)</f>
        <v>330.38787500000001</v>
      </c>
      <c r="I4149" s="39"/>
      <c r="J4149" s="148">
        <v>400</v>
      </c>
      <c r="K4149" s="222" t="s">
        <v>8074</v>
      </c>
    </row>
    <row r="4150" spans="1:11" hidden="1" x14ac:dyDescent="0.25">
      <c r="A4150" s="207"/>
      <c r="B4150" s="205"/>
      <c r="C4150" s="35" t="s">
        <v>8072</v>
      </c>
      <c r="D4150" s="46" t="s">
        <v>42</v>
      </c>
      <c r="E4150" s="36">
        <v>1.7</v>
      </c>
      <c r="F4150" s="53">
        <v>7.01</v>
      </c>
      <c r="G4150" s="53">
        <f t="shared" si="78"/>
        <v>11.917</v>
      </c>
      <c r="H4150" s="72"/>
      <c r="I4150" s="73"/>
      <c r="J4150" s="148">
        <v>400</v>
      </c>
      <c r="K4150" s="222" t="s">
        <v>8074</v>
      </c>
    </row>
    <row r="4151" spans="1:11" hidden="1" x14ac:dyDescent="0.25">
      <c r="A4151" s="207"/>
      <c r="B4151" s="205"/>
      <c r="C4151" s="35" t="s">
        <v>6597</v>
      </c>
      <c r="D4151" s="46" t="s">
        <v>42</v>
      </c>
      <c r="E4151" s="36">
        <v>0.35</v>
      </c>
      <c r="F4151" s="53">
        <v>45.637999999999998</v>
      </c>
      <c r="G4151" s="53">
        <f t="shared" si="78"/>
        <v>15.973299999999998</v>
      </c>
      <c r="H4151" s="72"/>
      <c r="I4151" s="73"/>
      <c r="J4151" s="148">
        <v>400</v>
      </c>
      <c r="K4151" s="222" t="s">
        <v>8074</v>
      </c>
    </row>
    <row r="4152" spans="1:11" hidden="1" x14ac:dyDescent="0.25">
      <c r="A4152" s="207"/>
      <c r="B4152" s="205"/>
      <c r="C4152" s="35" t="s">
        <v>22</v>
      </c>
      <c r="D4152" s="35" t="s">
        <v>12</v>
      </c>
      <c r="E4152" s="36">
        <f>0.15*2</f>
        <v>0.3</v>
      </c>
      <c r="F4152" s="53">
        <v>24.889999999999997</v>
      </c>
      <c r="G4152" s="53">
        <f t="shared" si="78"/>
        <v>7.4669999999999987</v>
      </c>
      <c r="H4152" s="72"/>
      <c r="I4152" s="73"/>
      <c r="J4152" s="148">
        <v>400</v>
      </c>
      <c r="K4152" s="222" t="s">
        <v>8074</v>
      </c>
    </row>
    <row r="4153" spans="1:11" hidden="1" x14ac:dyDescent="0.25">
      <c r="A4153" s="207"/>
      <c r="B4153" s="205"/>
      <c r="C4153" s="35" t="s">
        <v>23</v>
      </c>
      <c r="D4153" s="35" t="s">
        <v>12</v>
      </c>
      <c r="E4153" s="36">
        <v>0.15</v>
      </c>
      <c r="F4153" s="53">
        <v>18.420500000000001</v>
      </c>
      <c r="G4153" s="53">
        <f t="shared" si="78"/>
        <v>2.7630750000000002</v>
      </c>
      <c r="H4153" s="72"/>
      <c r="I4153" s="73"/>
      <c r="J4153" s="148">
        <v>400</v>
      </c>
      <c r="K4153" s="222" t="s">
        <v>8074</v>
      </c>
    </row>
    <row r="4154" spans="1:11" ht="15.75" hidden="1" thickBot="1" x14ac:dyDescent="0.3">
      <c r="A4154" s="207"/>
      <c r="B4154" s="205"/>
      <c r="C4154" s="54"/>
      <c r="D4154" s="54"/>
      <c r="E4154" s="65"/>
      <c r="F4154" s="75" t="s">
        <v>514</v>
      </c>
      <c r="G4154" s="75" t="str">
        <f t="shared" si="78"/>
        <v/>
      </c>
      <c r="H4154" s="76"/>
      <c r="I4154" s="73"/>
      <c r="J4154" s="148">
        <v>400</v>
      </c>
      <c r="K4154" s="222" t="s">
        <v>8074</v>
      </c>
    </row>
    <row r="4155" spans="1:11" ht="15.75" hidden="1" thickBot="1" x14ac:dyDescent="0.3">
      <c r="A4155" s="202" t="s">
        <v>1219</v>
      </c>
      <c r="B4155" s="204" t="str">
        <f>INDEX(Orçamentária!A:B,MATCH(Composições!A4155,Orçamentária!A:A,0),2)</f>
        <v>Tratamento de juntas de dilatação ou movimentação</v>
      </c>
      <c r="C4155" s="40"/>
      <c r="D4155" s="25" t="str">
        <f>TRIM(INDEX(Orçamentária!C:C,MATCH(Composições!A4155,Orçamentária!A:A,0),1))</f>
        <v>m</v>
      </c>
      <c r="E4155" s="26"/>
      <c r="F4155" s="48" t="s">
        <v>514</v>
      </c>
      <c r="G4155" s="27" t="str">
        <f t="shared" si="78"/>
        <v/>
      </c>
      <c r="H4155" s="28"/>
      <c r="I4155" s="29"/>
      <c r="J4155" s="148">
        <v>0</v>
      </c>
      <c r="K4155" s="222">
        <v>0</v>
      </c>
    </row>
    <row r="4156" spans="1:11" hidden="1" x14ac:dyDescent="0.25">
      <c r="A4156" s="207"/>
      <c r="B4156" s="205"/>
      <c r="C4156" s="31"/>
      <c r="D4156" s="31"/>
      <c r="E4156" s="32"/>
      <c r="F4156" s="53" t="s">
        <v>514</v>
      </c>
      <c r="G4156" s="53" t="str">
        <f t="shared" si="78"/>
        <v/>
      </c>
      <c r="H4156" s="72"/>
      <c r="I4156" s="73"/>
      <c r="J4156" s="148">
        <v>0</v>
      </c>
      <c r="K4156" s="222">
        <v>0</v>
      </c>
    </row>
    <row r="4157" spans="1:11" hidden="1" x14ac:dyDescent="0.25">
      <c r="A4157" s="207"/>
      <c r="B4157" s="205"/>
      <c r="C4157" s="35" t="s">
        <v>22</v>
      </c>
      <c r="D4157" s="35" t="s">
        <v>12</v>
      </c>
      <c r="E4157" s="36">
        <v>0.35</v>
      </c>
      <c r="F4157" s="53">
        <v>24.889999999999997</v>
      </c>
      <c r="G4157" s="53">
        <f t="shared" si="78"/>
        <v>8.7114999999999991</v>
      </c>
      <c r="H4157" s="38">
        <f>SUM(G4157:G4161)</f>
        <v>66.304774999999992</v>
      </c>
      <c r="I4157" s="39"/>
      <c r="J4157" s="148">
        <v>0</v>
      </c>
      <c r="K4157" s="222">
        <v>0</v>
      </c>
    </row>
    <row r="4158" spans="1:11" hidden="1" x14ac:dyDescent="0.25">
      <c r="A4158" s="207"/>
      <c r="B4158" s="205"/>
      <c r="C4158" s="35" t="s">
        <v>23</v>
      </c>
      <c r="D4158" s="35" t="s">
        <v>12</v>
      </c>
      <c r="E4158" s="36">
        <v>0.35</v>
      </c>
      <c r="F4158" s="53">
        <v>18.420500000000001</v>
      </c>
      <c r="G4158" s="53">
        <f t="shared" si="78"/>
        <v>6.4471749999999997</v>
      </c>
      <c r="H4158" s="72"/>
      <c r="I4158" s="73"/>
      <c r="J4158" s="148">
        <v>0</v>
      </c>
      <c r="K4158" s="222">
        <v>0</v>
      </c>
    </row>
    <row r="4159" spans="1:11" ht="25.5" hidden="1" x14ac:dyDescent="0.25">
      <c r="A4159" s="207"/>
      <c r="B4159" s="205"/>
      <c r="C4159" s="35" t="s">
        <v>1220</v>
      </c>
      <c r="D4159" s="35" t="s">
        <v>101</v>
      </c>
      <c r="E4159" s="36">
        <v>0.2</v>
      </c>
      <c r="F4159" s="53">
        <v>167.83649999999997</v>
      </c>
      <c r="G4159" s="53">
        <f t="shared" si="78"/>
        <v>33.567299999999996</v>
      </c>
      <c r="H4159" s="72"/>
      <c r="I4159" s="73"/>
      <c r="J4159" s="148">
        <v>0</v>
      </c>
      <c r="K4159" s="222">
        <v>0</v>
      </c>
    </row>
    <row r="4160" spans="1:11" hidden="1" x14ac:dyDescent="0.25">
      <c r="A4160" s="207"/>
      <c r="B4160" s="205"/>
      <c r="C4160" s="35" t="s">
        <v>1052</v>
      </c>
      <c r="D4160" s="35" t="s">
        <v>92</v>
      </c>
      <c r="E4160" s="36">
        <v>1</v>
      </c>
      <c r="F4160" s="53">
        <v>0</v>
      </c>
      <c r="G4160" s="53">
        <f t="shared" si="78"/>
        <v>0</v>
      </c>
      <c r="H4160" s="72"/>
      <c r="I4160" s="73"/>
      <c r="J4160" s="148">
        <v>0</v>
      </c>
      <c r="K4160" s="222">
        <v>0</v>
      </c>
    </row>
    <row r="4161" spans="1:11" ht="25.5" hidden="1" x14ac:dyDescent="0.25">
      <c r="A4161" s="207"/>
      <c r="B4161" s="205"/>
      <c r="C4161" s="35" t="s">
        <v>768</v>
      </c>
      <c r="D4161" s="35" t="s">
        <v>42</v>
      </c>
      <c r="E4161" s="36">
        <f>1.8*1*(0.01+0.01)*10</f>
        <v>0.36000000000000004</v>
      </c>
      <c r="F4161" s="53">
        <v>48.83</v>
      </c>
      <c r="G4161" s="53">
        <f t="shared" si="78"/>
        <v>17.578800000000001</v>
      </c>
      <c r="H4161" s="72"/>
      <c r="I4161" s="73"/>
      <c r="J4161" s="148">
        <v>0</v>
      </c>
      <c r="K4161" s="222">
        <v>0</v>
      </c>
    </row>
    <row r="4162" spans="1:11" hidden="1" x14ac:dyDescent="0.25">
      <c r="A4162" s="207"/>
      <c r="B4162" s="205"/>
      <c r="C4162" s="35"/>
      <c r="D4162" s="35"/>
      <c r="E4162" s="36"/>
      <c r="F4162" s="53" t="s">
        <v>514</v>
      </c>
      <c r="G4162" s="53"/>
      <c r="H4162" s="72"/>
      <c r="I4162" s="73"/>
      <c r="J4162" s="148">
        <v>0</v>
      </c>
      <c r="K4162" s="222">
        <v>0</v>
      </c>
    </row>
    <row r="4163" spans="1:11" ht="25.5" hidden="1" x14ac:dyDescent="0.25">
      <c r="A4163" s="207"/>
      <c r="B4163" s="205"/>
      <c r="C4163" s="47" t="s">
        <v>3522</v>
      </c>
      <c r="D4163" s="35"/>
      <c r="E4163" s="36"/>
      <c r="F4163" s="53" t="s">
        <v>514</v>
      </c>
      <c r="G4163" s="53"/>
      <c r="H4163" s="72"/>
      <c r="I4163" s="73"/>
      <c r="J4163" s="148">
        <v>0</v>
      </c>
      <c r="K4163" s="222">
        <v>0</v>
      </c>
    </row>
    <row r="4164" spans="1:11" hidden="1" x14ac:dyDescent="0.25">
      <c r="A4164" s="207"/>
      <c r="B4164" s="205"/>
      <c r="C4164" s="47" t="s">
        <v>3523</v>
      </c>
      <c r="D4164" s="35"/>
      <c r="E4164" s="36"/>
      <c r="F4164" s="53" t="s">
        <v>514</v>
      </c>
      <c r="G4164" s="53"/>
      <c r="H4164" s="72"/>
      <c r="I4164" s="73"/>
      <c r="J4164" s="148">
        <v>0</v>
      </c>
      <c r="K4164" s="222">
        <v>0</v>
      </c>
    </row>
    <row r="4165" spans="1:11" ht="15.75" hidden="1" thickBot="1" x14ac:dyDescent="0.3">
      <c r="A4165" s="208"/>
      <c r="B4165" s="206"/>
      <c r="C4165" s="54"/>
      <c r="D4165" s="54"/>
      <c r="E4165" s="65"/>
      <c r="F4165" s="75" t="s">
        <v>514</v>
      </c>
      <c r="G4165" s="75" t="str">
        <f t="shared" ref="G4165:G4228" si="79">IF(ISNUMBER(F4165),E4165*F4165,"")</f>
        <v/>
      </c>
      <c r="H4165" s="76"/>
      <c r="I4165" s="73"/>
      <c r="J4165" s="148">
        <v>0</v>
      </c>
      <c r="K4165" s="222">
        <v>0</v>
      </c>
    </row>
    <row r="4166" spans="1:11" ht="15.75" hidden="1" thickBot="1" x14ac:dyDescent="0.3">
      <c r="A4166" s="202" t="s">
        <v>1221</v>
      </c>
      <c r="B4166" s="204" t="str">
        <f>INDEX(Orçamentária!A:B,MATCH(Composições!A4166,Orçamentária!A:A,0),2)</f>
        <v>Recuperação superficial de preparação para pintura epóxi de alto desempenho</v>
      </c>
      <c r="C4166" s="40"/>
      <c r="D4166" s="25" t="str">
        <f>TRIM(INDEX(Orçamentária!C:C,MATCH(Composições!A4166,Orçamentária!A:A,0),1))</f>
        <v>m2</v>
      </c>
      <c r="E4166" s="26"/>
      <c r="F4166" s="48" t="s">
        <v>514</v>
      </c>
      <c r="G4166" s="27" t="str">
        <f t="shared" si="79"/>
        <v/>
      </c>
      <c r="H4166" s="28"/>
      <c r="I4166" s="29"/>
      <c r="J4166" s="148">
        <v>0</v>
      </c>
      <c r="K4166" s="222">
        <v>0</v>
      </c>
    </row>
    <row r="4167" spans="1:11" hidden="1" x14ac:dyDescent="0.25">
      <c r="A4167" s="207"/>
      <c r="B4167" s="205"/>
      <c r="C4167" s="31"/>
      <c r="D4167" s="31"/>
      <c r="E4167" s="32"/>
      <c r="F4167" s="53" t="s">
        <v>514</v>
      </c>
      <c r="G4167" s="53" t="str">
        <f t="shared" si="79"/>
        <v/>
      </c>
      <c r="H4167" s="72"/>
      <c r="I4167" s="73"/>
      <c r="J4167" s="148">
        <v>0</v>
      </c>
      <c r="K4167" s="222">
        <v>0</v>
      </c>
    </row>
    <row r="4168" spans="1:11" hidden="1" x14ac:dyDescent="0.25">
      <c r="A4168" s="207"/>
      <c r="B4168" s="205"/>
      <c r="C4168" s="35" t="s">
        <v>22</v>
      </c>
      <c r="D4168" s="35" t="s">
        <v>12</v>
      </c>
      <c r="E4168" s="36">
        <v>0.3</v>
      </c>
      <c r="F4168" s="53">
        <v>24.889999999999997</v>
      </c>
      <c r="G4168" s="53">
        <f t="shared" si="79"/>
        <v>7.4669999999999987</v>
      </c>
      <c r="H4168" s="38">
        <f>SUM(G4168:G4173)</f>
        <v>17.598275000000001</v>
      </c>
      <c r="I4168" s="39"/>
      <c r="J4168" s="148">
        <v>0</v>
      </c>
      <c r="K4168" s="222">
        <v>0</v>
      </c>
    </row>
    <row r="4169" spans="1:11" hidden="1" x14ac:dyDescent="0.25">
      <c r="A4169" s="207"/>
      <c r="B4169" s="205"/>
      <c r="C4169" s="35" t="s">
        <v>23</v>
      </c>
      <c r="D4169" s="35" t="s">
        <v>12</v>
      </c>
      <c r="E4169" s="36">
        <f>0.3+0.25</f>
        <v>0.55000000000000004</v>
      </c>
      <c r="F4169" s="53">
        <v>18.420500000000001</v>
      </c>
      <c r="G4169" s="53">
        <f t="shared" si="79"/>
        <v>10.131275</v>
      </c>
      <c r="H4169" s="72"/>
      <c r="I4169" s="73"/>
      <c r="J4169" s="148">
        <v>0</v>
      </c>
      <c r="K4169" s="222">
        <v>0</v>
      </c>
    </row>
    <row r="4170" spans="1:11" hidden="1" x14ac:dyDescent="0.25">
      <c r="A4170" s="207"/>
      <c r="B4170" s="205"/>
      <c r="C4170" s="35" t="s">
        <v>3516</v>
      </c>
      <c r="D4170" s="35" t="s">
        <v>42</v>
      </c>
      <c r="E4170" s="36">
        <v>5</v>
      </c>
      <c r="F4170" s="53" t="s">
        <v>514</v>
      </c>
      <c r="G4170" s="53" t="str">
        <f t="shared" si="79"/>
        <v/>
      </c>
      <c r="H4170" s="72"/>
      <c r="I4170" s="73"/>
      <c r="J4170" s="148">
        <v>0</v>
      </c>
      <c r="K4170" s="222">
        <v>0</v>
      </c>
    </row>
    <row r="4171" spans="1:11" hidden="1" x14ac:dyDescent="0.25">
      <c r="A4171" s="207"/>
      <c r="B4171" s="205"/>
      <c r="C4171" s="35" t="s">
        <v>3517</v>
      </c>
      <c r="D4171" s="35" t="s">
        <v>42</v>
      </c>
      <c r="E4171" s="36">
        <v>0.5</v>
      </c>
      <c r="F4171" s="53" t="s">
        <v>514</v>
      </c>
      <c r="G4171" s="53" t="str">
        <f t="shared" si="79"/>
        <v/>
      </c>
      <c r="H4171" s="72"/>
      <c r="I4171" s="73"/>
      <c r="J4171" s="148">
        <v>0</v>
      </c>
      <c r="K4171" s="222">
        <v>0</v>
      </c>
    </row>
    <row r="4172" spans="1:11" hidden="1" x14ac:dyDescent="0.25">
      <c r="A4172" s="207"/>
      <c r="B4172" s="205"/>
      <c r="C4172" s="35" t="s">
        <v>3518</v>
      </c>
      <c r="D4172" s="35" t="s">
        <v>42</v>
      </c>
      <c r="E4172" s="36">
        <v>0.1</v>
      </c>
      <c r="F4172" s="53" t="s">
        <v>514</v>
      </c>
      <c r="G4172" s="53" t="str">
        <f t="shared" si="79"/>
        <v/>
      </c>
      <c r="H4172" s="72"/>
      <c r="I4172" s="73"/>
      <c r="J4172" s="148">
        <v>0</v>
      </c>
      <c r="K4172" s="222">
        <v>0</v>
      </c>
    </row>
    <row r="4173" spans="1:11" hidden="1" x14ac:dyDescent="0.25">
      <c r="A4173" s="207"/>
      <c r="B4173" s="205"/>
      <c r="C4173" s="35" t="s">
        <v>1222</v>
      </c>
      <c r="D4173" s="35" t="s">
        <v>278</v>
      </c>
      <c r="E4173" s="36">
        <v>0.5</v>
      </c>
      <c r="F4173" s="53">
        <v>0</v>
      </c>
      <c r="G4173" s="53">
        <f t="shared" si="79"/>
        <v>0</v>
      </c>
      <c r="H4173" s="72"/>
      <c r="I4173" s="73"/>
      <c r="J4173" s="148">
        <v>0</v>
      </c>
      <c r="K4173" s="222">
        <v>0</v>
      </c>
    </row>
    <row r="4174" spans="1:11" hidden="1" x14ac:dyDescent="0.25">
      <c r="A4174" s="207"/>
      <c r="B4174" s="205"/>
      <c r="C4174" s="35"/>
      <c r="D4174" s="35"/>
      <c r="E4174" s="36"/>
      <c r="F4174" s="53" t="s">
        <v>514</v>
      </c>
      <c r="G4174" s="53" t="str">
        <f t="shared" si="79"/>
        <v/>
      </c>
      <c r="H4174" s="72"/>
      <c r="I4174" s="73"/>
      <c r="J4174" s="148">
        <v>0</v>
      </c>
      <c r="K4174" s="222">
        <v>0</v>
      </c>
    </row>
    <row r="4175" spans="1:11" hidden="1" x14ac:dyDescent="0.25">
      <c r="A4175" s="207"/>
      <c r="B4175" s="205"/>
      <c r="C4175" s="47" t="s">
        <v>1223</v>
      </c>
      <c r="D4175" s="35"/>
      <c r="E4175" s="36"/>
      <c r="F4175" s="53" t="s">
        <v>514</v>
      </c>
      <c r="G4175" s="53" t="str">
        <f t="shared" si="79"/>
        <v/>
      </c>
      <c r="H4175" s="72"/>
      <c r="I4175" s="73"/>
      <c r="J4175" s="148">
        <v>0</v>
      </c>
      <c r="K4175" s="222">
        <v>0</v>
      </c>
    </row>
    <row r="4176" spans="1:11" ht="15.75" hidden="1" thickBot="1" x14ac:dyDescent="0.3">
      <c r="A4176" s="208"/>
      <c r="B4176" s="206"/>
      <c r="C4176" s="54"/>
      <c r="D4176" s="54"/>
      <c r="E4176" s="65"/>
      <c r="F4176" s="53" t="s">
        <v>514</v>
      </c>
      <c r="G4176" s="53" t="str">
        <f t="shared" si="79"/>
        <v/>
      </c>
      <c r="H4176" s="76"/>
      <c r="I4176" s="73"/>
      <c r="J4176" s="148">
        <v>0</v>
      </c>
      <c r="K4176" s="222">
        <v>0</v>
      </c>
    </row>
    <row r="4177" spans="1:11" ht="15.75" hidden="1" thickBot="1" x14ac:dyDescent="0.3">
      <c r="A4177" s="202" t="s">
        <v>1224</v>
      </c>
      <c r="B4177" s="204" t="str">
        <f>INDEX(Orçamentária!A:B,MATCH(Composições!A4177,Orçamentária!A:A,0),2)</f>
        <v>Lixamento, calafetação e aplicação de sinteco em piso de madeira – Linha Residencial</v>
      </c>
      <c r="C4177" s="40"/>
      <c r="D4177" s="25" t="str">
        <f>TRIM(INDEX(Orçamentária!C:C,MATCH(Composições!A4177,Orçamentária!A:A,0),1))</f>
        <v>m2</v>
      </c>
      <c r="E4177" s="26"/>
      <c r="F4177" s="48" t="s">
        <v>514</v>
      </c>
      <c r="G4177" s="27" t="str">
        <f t="shared" si="79"/>
        <v/>
      </c>
      <c r="H4177" s="28"/>
      <c r="I4177" s="29"/>
      <c r="J4177" s="148">
        <v>600</v>
      </c>
      <c r="K4177" s="222" t="s">
        <v>8074</v>
      </c>
    </row>
    <row r="4178" spans="1:11" hidden="1" x14ac:dyDescent="0.25">
      <c r="A4178" s="207"/>
      <c r="B4178" s="205"/>
      <c r="C4178" s="31"/>
      <c r="D4178" s="31"/>
      <c r="E4178" s="32"/>
      <c r="F4178" s="53" t="s">
        <v>514</v>
      </c>
      <c r="G4178" s="53" t="str">
        <f t="shared" si="79"/>
        <v/>
      </c>
      <c r="H4178" s="72"/>
      <c r="I4178" s="73"/>
      <c r="J4178" s="148">
        <v>600</v>
      </c>
      <c r="K4178" s="222" t="s">
        <v>8074</v>
      </c>
    </row>
    <row r="4179" spans="1:11" ht="25.5" hidden="1" x14ac:dyDescent="0.25">
      <c r="A4179" s="207"/>
      <c r="B4179" s="205"/>
      <c r="C4179" s="35" t="s">
        <v>1225</v>
      </c>
      <c r="D4179" s="35" t="s">
        <v>94</v>
      </c>
      <c r="E4179" s="36">
        <v>1</v>
      </c>
      <c r="F4179" s="53">
        <v>49.523499999999999</v>
      </c>
      <c r="G4179" s="53">
        <f t="shared" si="79"/>
        <v>49.523499999999999</v>
      </c>
      <c r="H4179" s="38">
        <f>SUM(G4179:G4179)</f>
        <v>49.523499999999999</v>
      </c>
      <c r="I4179" s="39"/>
      <c r="J4179" s="148">
        <v>600</v>
      </c>
      <c r="K4179" s="222" t="s">
        <v>8074</v>
      </c>
    </row>
    <row r="4180" spans="1:11" ht="15.75" hidden="1" thickBot="1" x14ac:dyDescent="0.3">
      <c r="A4180" s="208"/>
      <c r="B4180" s="206"/>
      <c r="C4180" s="54"/>
      <c r="D4180" s="54"/>
      <c r="E4180" s="65"/>
      <c r="F4180" s="75" t="s">
        <v>514</v>
      </c>
      <c r="G4180" s="75" t="str">
        <f t="shared" si="79"/>
        <v/>
      </c>
      <c r="H4180" s="76"/>
      <c r="I4180" s="73"/>
      <c r="J4180" s="148">
        <v>600</v>
      </c>
      <c r="K4180" s="222" t="s">
        <v>8074</v>
      </c>
    </row>
    <row r="4181" spans="1:11" ht="15.75" hidden="1" thickBot="1" x14ac:dyDescent="0.3">
      <c r="A4181" s="202" t="s">
        <v>1226</v>
      </c>
      <c r="B4181" s="204" t="str">
        <f>INDEX(Orçamentária!A:B,MATCH(Composições!A4181,Orçamentária!A:A,0),2)</f>
        <v>Piso em taco de madeira – Linha Residencial</v>
      </c>
      <c r="C4181" s="40"/>
      <c r="D4181" s="25" t="str">
        <f>TRIM(INDEX(Orçamentária!C:C,MATCH(Composições!A4181,Orçamentária!A:A,0),1))</f>
        <v>m2</v>
      </c>
      <c r="E4181" s="26"/>
      <c r="F4181" s="48" t="s">
        <v>514</v>
      </c>
      <c r="G4181" s="27" t="str">
        <f t="shared" si="79"/>
        <v/>
      </c>
      <c r="H4181" s="28"/>
      <c r="I4181" s="29"/>
      <c r="J4181" s="148">
        <v>400</v>
      </c>
      <c r="K4181" s="222" t="s">
        <v>8074</v>
      </c>
    </row>
    <row r="4182" spans="1:11" hidden="1" x14ac:dyDescent="0.25">
      <c r="A4182" s="207"/>
      <c r="B4182" s="205"/>
      <c r="C4182" s="31"/>
      <c r="D4182" s="31"/>
      <c r="E4182" s="32"/>
      <c r="F4182" s="53" t="s">
        <v>514</v>
      </c>
      <c r="G4182" s="53" t="str">
        <f t="shared" si="79"/>
        <v/>
      </c>
      <c r="H4182" s="72"/>
      <c r="I4182" s="73"/>
      <c r="J4182" s="148">
        <v>400</v>
      </c>
      <c r="K4182" s="222" t="s">
        <v>8074</v>
      </c>
    </row>
    <row r="4183" spans="1:11" ht="25.5" hidden="1" x14ac:dyDescent="0.25">
      <c r="A4183" s="207"/>
      <c r="B4183" s="205"/>
      <c r="C4183" s="35" t="s">
        <v>1227</v>
      </c>
      <c r="D4183" s="46" t="s">
        <v>982</v>
      </c>
      <c r="E4183" s="36">
        <v>1.05</v>
      </c>
      <c r="F4183" s="53">
        <v>172.31099999999998</v>
      </c>
      <c r="G4183" s="53">
        <f t="shared" si="79"/>
        <v>180.92654999999999</v>
      </c>
      <c r="H4183" s="38">
        <f>SUM(G4183:G4186)</f>
        <v>223.2502356</v>
      </c>
      <c r="I4183" s="39"/>
      <c r="J4183" s="148">
        <v>400</v>
      </c>
      <c r="K4183" s="222" t="s">
        <v>8074</v>
      </c>
    </row>
    <row r="4184" spans="1:11" hidden="1" x14ac:dyDescent="0.25">
      <c r="A4184" s="207"/>
      <c r="B4184" s="205"/>
      <c r="C4184" s="35" t="s">
        <v>1228</v>
      </c>
      <c r="D4184" s="35" t="s">
        <v>42</v>
      </c>
      <c r="E4184" s="36">
        <v>0.57499999999999996</v>
      </c>
      <c r="F4184" s="53">
        <v>41.249000000000002</v>
      </c>
      <c r="G4184" s="53">
        <f t="shared" si="79"/>
        <v>23.718174999999999</v>
      </c>
      <c r="H4184" s="72"/>
      <c r="I4184" s="73"/>
      <c r="J4184" s="148">
        <v>400</v>
      </c>
      <c r="K4184" s="222" t="s">
        <v>8074</v>
      </c>
    </row>
    <row r="4185" spans="1:11" hidden="1" x14ac:dyDescent="0.25">
      <c r="A4185" s="207"/>
      <c r="B4185" s="205"/>
      <c r="C4185" s="35" t="s">
        <v>696</v>
      </c>
      <c r="D4185" s="35" t="s">
        <v>695</v>
      </c>
      <c r="E4185" s="36">
        <v>0.2399</v>
      </c>
      <c r="F4185" s="53">
        <v>18.420500000000001</v>
      </c>
      <c r="G4185" s="53">
        <f t="shared" si="79"/>
        <v>4.4190779500000001</v>
      </c>
      <c r="H4185" s="72"/>
      <c r="I4185" s="73"/>
      <c r="J4185" s="148">
        <v>400</v>
      </c>
      <c r="K4185" s="222" t="s">
        <v>8074</v>
      </c>
    </row>
    <row r="4186" spans="1:11" hidden="1" x14ac:dyDescent="0.25">
      <c r="A4186" s="207"/>
      <c r="B4186" s="205"/>
      <c r="C4186" s="35" t="s">
        <v>1207</v>
      </c>
      <c r="D4186" s="35" t="s">
        <v>695</v>
      </c>
      <c r="E4186" s="36">
        <v>0.57589999999999997</v>
      </c>
      <c r="F4186" s="53">
        <v>24.633499999999998</v>
      </c>
      <c r="G4186" s="53">
        <f t="shared" si="79"/>
        <v>14.186432649999999</v>
      </c>
      <c r="H4186" s="72"/>
      <c r="I4186" s="73"/>
      <c r="J4186" s="148">
        <v>400</v>
      </c>
      <c r="K4186" s="222" t="s">
        <v>8074</v>
      </c>
    </row>
    <row r="4187" spans="1:11" ht="15.75" hidden="1" thickBot="1" x14ac:dyDescent="0.3">
      <c r="A4187" s="207"/>
      <c r="B4187" s="205"/>
      <c r="C4187" s="54"/>
      <c r="D4187" s="54"/>
      <c r="E4187" s="65"/>
      <c r="F4187" s="75" t="s">
        <v>514</v>
      </c>
      <c r="G4187" s="75" t="str">
        <f t="shared" si="79"/>
        <v/>
      </c>
      <c r="H4187" s="76"/>
      <c r="I4187" s="73"/>
      <c r="J4187" s="148">
        <v>400</v>
      </c>
      <c r="K4187" s="222" t="s">
        <v>8074</v>
      </c>
    </row>
    <row r="4188" spans="1:11" ht="15.75" hidden="1" thickBot="1" x14ac:dyDescent="0.3">
      <c r="A4188" s="202" t="s">
        <v>1229</v>
      </c>
      <c r="B4188" s="204" t="str">
        <f>INDEX(Orçamentária!A:B,MATCH(Composições!A4188,Orçamentária!A:A,0),2)</f>
        <v>Piso de borracha antiderrapante tipo moeda</v>
      </c>
      <c r="C4188" s="40"/>
      <c r="D4188" s="25" t="str">
        <f>TRIM(INDEX(Orçamentária!C:C,MATCH(Composições!A4188,Orçamentária!A:A,0),1))</f>
        <v>m2</v>
      </c>
      <c r="E4188" s="26"/>
      <c r="F4188" s="48" t="s">
        <v>514</v>
      </c>
      <c r="G4188" s="27" t="str">
        <f t="shared" si="79"/>
        <v/>
      </c>
      <c r="H4188" s="28"/>
      <c r="I4188" s="29"/>
      <c r="J4188" s="148">
        <v>0</v>
      </c>
      <c r="K4188" s="222">
        <v>0</v>
      </c>
    </row>
    <row r="4189" spans="1:11" hidden="1" x14ac:dyDescent="0.25">
      <c r="A4189" s="207"/>
      <c r="B4189" s="205"/>
      <c r="C4189" s="31"/>
      <c r="D4189" s="31"/>
      <c r="E4189" s="32"/>
      <c r="F4189" s="53" t="s">
        <v>514</v>
      </c>
      <c r="G4189" s="53" t="str">
        <f t="shared" si="79"/>
        <v/>
      </c>
      <c r="H4189" s="72"/>
      <c r="I4189" s="73"/>
      <c r="J4189" s="148">
        <v>0</v>
      </c>
      <c r="K4189" s="222">
        <v>0</v>
      </c>
    </row>
    <row r="4190" spans="1:11" hidden="1" x14ac:dyDescent="0.25">
      <c r="A4190" s="207"/>
      <c r="B4190" s="205"/>
      <c r="C4190" s="35" t="s">
        <v>6597</v>
      </c>
      <c r="D4190" s="46" t="s">
        <v>891</v>
      </c>
      <c r="E4190" s="36">
        <v>0.56369999999999998</v>
      </c>
      <c r="F4190" s="53">
        <v>45.637999999999998</v>
      </c>
      <c r="G4190" s="53">
        <f t="shared" si="79"/>
        <v>25.726140599999997</v>
      </c>
      <c r="H4190" s="38">
        <f>SUM(G4190:G4193)</f>
        <v>99.246265350000002</v>
      </c>
      <c r="I4190" s="39"/>
      <c r="J4190" s="148">
        <v>0</v>
      </c>
      <c r="K4190" s="222">
        <v>0</v>
      </c>
    </row>
    <row r="4191" spans="1:11" ht="25.5" hidden="1" x14ac:dyDescent="0.25">
      <c r="A4191" s="207"/>
      <c r="B4191" s="205"/>
      <c r="C4191" s="35" t="s">
        <v>3328</v>
      </c>
      <c r="D4191" s="46" t="s">
        <v>982</v>
      </c>
      <c r="E4191" s="36">
        <v>1.06</v>
      </c>
      <c r="F4191" s="53">
        <v>54.501499999999993</v>
      </c>
      <c r="G4191" s="53">
        <f t="shared" si="79"/>
        <v>57.771589999999996</v>
      </c>
      <c r="H4191" s="72"/>
      <c r="I4191" s="73"/>
      <c r="J4191" s="148">
        <v>0</v>
      </c>
      <c r="K4191" s="222">
        <v>0</v>
      </c>
    </row>
    <row r="4192" spans="1:11" hidden="1" x14ac:dyDescent="0.25">
      <c r="A4192" s="207"/>
      <c r="B4192" s="205"/>
      <c r="C4192" s="35" t="s">
        <v>703</v>
      </c>
      <c r="D4192" s="35" t="s">
        <v>695</v>
      </c>
      <c r="E4192" s="36">
        <v>0.48359999999999997</v>
      </c>
      <c r="F4192" s="53">
        <v>24.889999999999997</v>
      </c>
      <c r="G4192" s="53">
        <f t="shared" si="79"/>
        <v>12.036803999999998</v>
      </c>
      <c r="H4192" s="72"/>
      <c r="I4192" s="73"/>
      <c r="J4192" s="148">
        <v>0</v>
      </c>
      <c r="K4192" s="222">
        <v>0</v>
      </c>
    </row>
    <row r="4193" spans="1:11" hidden="1" x14ac:dyDescent="0.25">
      <c r="A4193" s="207"/>
      <c r="B4193" s="205"/>
      <c r="C4193" s="35" t="s">
        <v>696</v>
      </c>
      <c r="D4193" s="35" t="s">
        <v>695</v>
      </c>
      <c r="E4193" s="36">
        <v>0.20150000000000001</v>
      </c>
      <c r="F4193" s="53">
        <v>18.420500000000001</v>
      </c>
      <c r="G4193" s="53">
        <f t="shared" si="79"/>
        <v>3.7117307500000005</v>
      </c>
      <c r="H4193" s="72"/>
      <c r="I4193" s="73"/>
      <c r="J4193" s="148">
        <v>0</v>
      </c>
      <c r="K4193" s="222">
        <v>0</v>
      </c>
    </row>
    <row r="4194" spans="1:11" ht="15.75" hidden="1" thickBot="1" x14ac:dyDescent="0.3">
      <c r="A4194" s="207"/>
      <c r="B4194" s="205"/>
      <c r="C4194" s="54"/>
      <c r="D4194" s="54"/>
      <c r="E4194" s="65"/>
      <c r="F4194" s="75" t="s">
        <v>514</v>
      </c>
      <c r="G4194" s="75" t="str">
        <f t="shared" si="79"/>
        <v/>
      </c>
      <c r="H4194" s="76"/>
      <c r="I4194" s="73"/>
      <c r="J4194" s="148">
        <v>0</v>
      </c>
      <c r="K4194" s="222">
        <v>0</v>
      </c>
    </row>
    <row r="4195" spans="1:11" ht="15.75" hidden="1" thickBot="1" x14ac:dyDescent="0.3">
      <c r="A4195" s="202" t="s">
        <v>1230</v>
      </c>
      <c r="B4195" s="204" t="str">
        <f>INDEX(Orçamentária!A:B,MATCH(Composições!A4195,Orçamentária!A:A,0),2)</f>
        <v>Piso sintético flutuante – Linha Residencial</v>
      </c>
      <c r="C4195" s="40"/>
      <c r="D4195" s="25" t="str">
        <f>TRIM(INDEX(Orçamentária!C:C,MATCH(Composições!A4195,Orçamentária!A:A,0),1))</f>
        <v>m2</v>
      </c>
      <c r="E4195" s="26"/>
      <c r="F4195" s="48" t="s">
        <v>514</v>
      </c>
      <c r="G4195" s="27" t="str">
        <f t="shared" si="79"/>
        <v/>
      </c>
      <c r="H4195" s="28"/>
      <c r="I4195" s="29"/>
      <c r="J4195" s="148">
        <v>380</v>
      </c>
      <c r="K4195" s="222" t="s">
        <v>8074</v>
      </c>
    </row>
    <row r="4196" spans="1:11" hidden="1" x14ac:dyDescent="0.25">
      <c r="A4196" s="207"/>
      <c r="B4196" s="205"/>
      <c r="C4196" s="31"/>
      <c r="D4196" s="31"/>
      <c r="E4196" s="32"/>
      <c r="F4196" s="53" t="s">
        <v>514</v>
      </c>
      <c r="G4196" s="53" t="str">
        <f t="shared" si="79"/>
        <v/>
      </c>
      <c r="H4196" s="72"/>
      <c r="I4196" s="73"/>
      <c r="J4196" s="148">
        <v>380</v>
      </c>
      <c r="K4196" s="222" t="s">
        <v>8074</v>
      </c>
    </row>
    <row r="4197" spans="1:11" ht="38.25" hidden="1" x14ac:dyDescent="0.25">
      <c r="A4197" s="207"/>
      <c r="B4197" s="205"/>
      <c r="C4197" s="35" t="s">
        <v>1231</v>
      </c>
      <c r="D4197" s="46" t="s">
        <v>982</v>
      </c>
      <c r="E4197" s="36">
        <v>1.05</v>
      </c>
      <c r="F4197" s="53">
        <v>79.92</v>
      </c>
      <c r="G4197" s="53">
        <f t="shared" si="79"/>
        <v>83.916000000000011</v>
      </c>
      <c r="H4197" s="38">
        <f>SUM(G4197:G4199)</f>
        <v>98.265580805000013</v>
      </c>
      <c r="I4197" s="39"/>
      <c r="J4197" s="148">
        <v>380</v>
      </c>
      <c r="K4197" s="222" t="s">
        <v>8074</v>
      </c>
    </row>
    <row r="4198" spans="1:11" hidden="1" x14ac:dyDescent="0.25">
      <c r="A4198" s="207"/>
      <c r="B4198" s="205"/>
      <c r="C4198" s="35" t="s">
        <v>696</v>
      </c>
      <c r="D4198" s="35" t="s">
        <v>695</v>
      </c>
      <c r="E4198" s="36">
        <v>0.2399</v>
      </c>
      <c r="F4198" s="53">
        <v>18.420500000000001</v>
      </c>
      <c r="G4198" s="53">
        <f t="shared" si="79"/>
        <v>4.4190779500000001</v>
      </c>
      <c r="H4198" s="72"/>
      <c r="I4198" s="73"/>
      <c r="J4198" s="148">
        <v>380</v>
      </c>
      <c r="K4198" s="222" t="s">
        <v>8074</v>
      </c>
    </row>
    <row r="4199" spans="1:11" hidden="1" x14ac:dyDescent="0.25">
      <c r="A4199" s="207"/>
      <c r="B4199" s="205"/>
      <c r="C4199" s="35" t="s">
        <v>1207</v>
      </c>
      <c r="D4199" s="35" t="s">
        <v>695</v>
      </c>
      <c r="E4199" s="36">
        <f>0.5759*0.7</f>
        <v>0.40312999999999993</v>
      </c>
      <c r="F4199" s="53">
        <v>24.633499999999998</v>
      </c>
      <c r="G4199" s="53">
        <f t="shared" si="79"/>
        <v>9.9305028549999967</v>
      </c>
      <c r="H4199" s="72"/>
      <c r="I4199" s="73"/>
      <c r="J4199" s="148">
        <v>380</v>
      </c>
      <c r="K4199" s="222" t="s">
        <v>8074</v>
      </c>
    </row>
    <row r="4200" spans="1:11" ht="15.75" hidden="1" thickBot="1" x14ac:dyDescent="0.3">
      <c r="A4200" s="207"/>
      <c r="B4200" s="205"/>
      <c r="C4200" s="54"/>
      <c r="D4200" s="54"/>
      <c r="E4200" s="65"/>
      <c r="F4200" s="75" t="s">
        <v>514</v>
      </c>
      <c r="G4200" s="75" t="str">
        <f t="shared" si="79"/>
        <v/>
      </c>
      <c r="H4200" s="76"/>
      <c r="I4200" s="73"/>
      <c r="J4200" s="148">
        <v>380</v>
      </c>
      <c r="K4200" s="222" t="s">
        <v>8074</v>
      </c>
    </row>
    <row r="4201" spans="1:11" ht="15.75" hidden="1" thickBot="1" x14ac:dyDescent="0.3">
      <c r="A4201" s="202" t="s">
        <v>1232</v>
      </c>
      <c r="B4201" s="204" t="str">
        <f>INDEX(Orçamentária!A:B,MATCH(Composições!A4201,Orçamentária!A:A,0),2)</f>
        <v>Revestimento acústico perfilado – Linha Administrativa</v>
      </c>
      <c r="C4201" s="40"/>
      <c r="D4201" s="25" t="str">
        <f>TRIM(INDEX(Orçamentária!C:C,MATCH(Composições!A4201,Orçamentária!A:A,0),1))</f>
        <v>m2</v>
      </c>
      <c r="E4201" s="26"/>
      <c r="F4201" s="48" t="s">
        <v>514</v>
      </c>
      <c r="G4201" s="27" t="str">
        <f t="shared" si="79"/>
        <v/>
      </c>
      <c r="H4201" s="28"/>
      <c r="I4201" s="29"/>
      <c r="J4201" s="148">
        <v>0</v>
      </c>
      <c r="K4201" s="222">
        <v>0</v>
      </c>
    </row>
    <row r="4202" spans="1:11" hidden="1" x14ac:dyDescent="0.25">
      <c r="A4202" s="207"/>
      <c r="B4202" s="205"/>
      <c r="C4202" s="31"/>
      <c r="D4202" s="31"/>
      <c r="E4202" s="32"/>
      <c r="F4202" s="53" t="s">
        <v>514</v>
      </c>
      <c r="G4202" s="53" t="str">
        <f t="shared" si="79"/>
        <v/>
      </c>
      <c r="H4202" s="72"/>
      <c r="I4202" s="73"/>
      <c r="J4202" s="148">
        <v>0</v>
      </c>
      <c r="K4202" s="222">
        <v>0</v>
      </c>
    </row>
    <row r="4203" spans="1:11" ht="25.5" hidden="1" x14ac:dyDescent="0.25">
      <c r="A4203" s="207"/>
      <c r="B4203" s="205"/>
      <c r="C4203" s="35" t="s">
        <v>1233</v>
      </c>
      <c r="D4203" s="35" t="s">
        <v>94</v>
      </c>
      <c r="E4203" s="36">
        <v>1.05</v>
      </c>
      <c r="F4203" s="53" t="s">
        <v>514</v>
      </c>
      <c r="G4203" s="53" t="str">
        <f t="shared" si="79"/>
        <v/>
      </c>
      <c r="H4203" s="38">
        <f>SUM(G4203:G4205)</f>
        <v>11.453485000000001</v>
      </c>
      <c r="I4203" s="39"/>
      <c r="J4203" s="148">
        <v>0</v>
      </c>
      <c r="K4203" s="222">
        <v>0</v>
      </c>
    </row>
    <row r="4204" spans="1:11" hidden="1" x14ac:dyDescent="0.25">
      <c r="A4204" s="207"/>
      <c r="B4204" s="205"/>
      <c r="C4204" s="35" t="s">
        <v>1207</v>
      </c>
      <c r="D4204" s="35" t="s">
        <v>695</v>
      </c>
      <c r="E4204" s="36">
        <v>0.15</v>
      </c>
      <c r="F4204" s="53">
        <v>24.633499999999998</v>
      </c>
      <c r="G4204" s="53">
        <f t="shared" si="79"/>
        <v>3.6950249999999993</v>
      </c>
      <c r="H4204" s="72"/>
      <c r="I4204" s="73"/>
      <c r="J4204" s="148">
        <v>0</v>
      </c>
      <c r="K4204" s="222">
        <v>0</v>
      </c>
    </row>
    <row r="4205" spans="1:11" hidden="1" x14ac:dyDescent="0.25">
      <c r="A4205" s="207"/>
      <c r="B4205" s="205"/>
      <c r="C4205" s="35" t="s">
        <v>6597</v>
      </c>
      <c r="D4205" s="35" t="s">
        <v>42</v>
      </c>
      <c r="E4205" s="36">
        <v>0.17</v>
      </c>
      <c r="F4205" s="53">
        <v>45.637999999999998</v>
      </c>
      <c r="G4205" s="53">
        <f t="shared" si="79"/>
        <v>7.7584600000000004</v>
      </c>
      <c r="H4205" s="72"/>
      <c r="I4205" s="73"/>
      <c r="J4205" s="148">
        <v>0</v>
      </c>
      <c r="K4205" s="222">
        <v>0</v>
      </c>
    </row>
    <row r="4206" spans="1:11" ht="15.75" hidden="1" thickBot="1" x14ac:dyDescent="0.3">
      <c r="A4206" s="207"/>
      <c r="B4206" s="205"/>
      <c r="C4206" s="54"/>
      <c r="D4206" s="54"/>
      <c r="E4206" s="65"/>
      <c r="F4206" s="75" t="s">
        <v>514</v>
      </c>
      <c r="G4206" s="75" t="str">
        <f t="shared" si="79"/>
        <v/>
      </c>
      <c r="H4206" s="76"/>
      <c r="I4206" s="73"/>
      <c r="J4206" s="148">
        <v>0</v>
      </c>
      <c r="K4206" s="222">
        <v>0</v>
      </c>
    </row>
    <row r="4207" spans="1:11" ht="15.75" hidden="1" thickBot="1" x14ac:dyDescent="0.3">
      <c r="A4207" s="202" t="s">
        <v>1234</v>
      </c>
      <c r="B4207" s="204" t="str">
        <f>INDEX(Orçamentária!A:B,MATCH(Composições!A4207,Orçamentária!A:A,0),2)</f>
        <v>Revestimento acústico plano – Linha Administrativa</v>
      </c>
      <c r="C4207" s="40"/>
      <c r="D4207" s="25" t="str">
        <f>TRIM(INDEX(Orçamentária!C:C,MATCH(Composições!A4207,Orçamentária!A:A,0),1))</f>
        <v>m2</v>
      </c>
      <c r="E4207" s="26"/>
      <c r="F4207" s="48" t="s">
        <v>514</v>
      </c>
      <c r="G4207" s="27" t="str">
        <f t="shared" si="79"/>
        <v/>
      </c>
      <c r="H4207" s="28"/>
      <c r="I4207" s="29"/>
      <c r="J4207" s="148">
        <v>0</v>
      </c>
      <c r="K4207" s="222">
        <v>0</v>
      </c>
    </row>
    <row r="4208" spans="1:11" hidden="1" x14ac:dyDescent="0.25">
      <c r="A4208" s="207"/>
      <c r="B4208" s="205"/>
      <c r="C4208" s="31"/>
      <c r="D4208" s="31"/>
      <c r="E4208" s="32"/>
      <c r="F4208" s="53" t="s">
        <v>514</v>
      </c>
      <c r="G4208" s="53" t="str">
        <f t="shared" si="79"/>
        <v/>
      </c>
      <c r="H4208" s="72"/>
      <c r="I4208" s="73"/>
      <c r="J4208" s="148">
        <v>0</v>
      </c>
      <c r="K4208" s="222">
        <v>0</v>
      </c>
    </row>
    <row r="4209" spans="1:11" ht="25.5" hidden="1" x14ac:dyDescent="0.25">
      <c r="A4209" s="207"/>
      <c r="B4209" s="205"/>
      <c r="C4209" s="35" t="s">
        <v>1235</v>
      </c>
      <c r="D4209" s="35" t="s">
        <v>94</v>
      </c>
      <c r="E4209" s="36">
        <v>1.05</v>
      </c>
      <c r="F4209" s="53" t="s">
        <v>514</v>
      </c>
      <c r="G4209" s="53" t="str">
        <f t="shared" si="79"/>
        <v/>
      </c>
      <c r="H4209" s="38">
        <f>SUM(G4209:G4211)</f>
        <v>11.453485000000001</v>
      </c>
      <c r="I4209" s="39"/>
      <c r="J4209" s="148">
        <v>0</v>
      </c>
      <c r="K4209" s="222">
        <v>0</v>
      </c>
    </row>
    <row r="4210" spans="1:11" hidden="1" x14ac:dyDescent="0.25">
      <c r="A4210" s="207"/>
      <c r="B4210" s="205"/>
      <c r="C4210" s="35" t="s">
        <v>1207</v>
      </c>
      <c r="D4210" s="35" t="s">
        <v>695</v>
      </c>
      <c r="E4210" s="36">
        <v>0.15</v>
      </c>
      <c r="F4210" s="53">
        <v>24.633499999999998</v>
      </c>
      <c r="G4210" s="53">
        <f t="shared" si="79"/>
        <v>3.6950249999999993</v>
      </c>
      <c r="H4210" s="72"/>
      <c r="I4210" s="73"/>
      <c r="J4210" s="148">
        <v>0</v>
      </c>
      <c r="K4210" s="222">
        <v>0</v>
      </c>
    </row>
    <row r="4211" spans="1:11" hidden="1" x14ac:dyDescent="0.25">
      <c r="A4211" s="207"/>
      <c r="B4211" s="205"/>
      <c r="C4211" s="35" t="s">
        <v>6597</v>
      </c>
      <c r="D4211" s="35" t="s">
        <v>42</v>
      </c>
      <c r="E4211" s="36">
        <v>0.17</v>
      </c>
      <c r="F4211" s="53">
        <v>45.637999999999998</v>
      </c>
      <c r="G4211" s="53">
        <f t="shared" si="79"/>
        <v>7.7584600000000004</v>
      </c>
      <c r="H4211" s="72"/>
      <c r="I4211" s="73"/>
      <c r="J4211" s="148">
        <v>0</v>
      </c>
      <c r="K4211" s="222">
        <v>0</v>
      </c>
    </row>
    <row r="4212" spans="1:11" ht="15.75" hidden="1" thickBot="1" x14ac:dyDescent="0.3">
      <c r="A4212" s="207"/>
      <c r="B4212" s="205"/>
      <c r="C4212" s="54"/>
      <c r="D4212" s="54"/>
      <c r="E4212" s="65"/>
      <c r="F4212" s="75" t="s">
        <v>514</v>
      </c>
      <c r="G4212" s="75" t="str">
        <f t="shared" si="79"/>
        <v/>
      </c>
      <c r="H4212" s="76"/>
      <c r="I4212" s="73"/>
      <c r="J4212" s="148">
        <v>0</v>
      </c>
      <c r="K4212" s="222">
        <v>0</v>
      </c>
    </row>
    <row r="4213" spans="1:11" ht="15.75" hidden="1" thickBot="1" x14ac:dyDescent="0.3">
      <c r="A4213" s="202" t="s">
        <v>1236</v>
      </c>
      <c r="B4213" s="204" t="str">
        <f>INDEX(Orçamentária!A:B,MATCH(Composições!A4213,Orçamentária!A:A,0),2)</f>
        <v>Forro monolítico de gesso em placas</v>
      </c>
      <c r="C4213" s="40"/>
      <c r="D4213" s="25" t="str">
        <f>TRIM(INDEX(Orçamentária!C:C,MATCH(Composições!A4213,Orçamentária!A:A,0),1))</f>
        <v>m2</v>
      </c>
      <c r="E4213" s="26"/>
      <c r="F4213" s="48" t="s">
        <v>514</v>
      </c>
      <c r="G4213" s="27" t="str">
        <f t="shared" si="79"/>
        <v/>
      </c>
      <c r="H4213" s="28"/>
      <c r="I4213" s="29"/>
      <c r="J4213" s="148">
        <v>0</v>
      </c>
      <c r="K4213" s="222">
        <v>0</v>
      </c>
    </row>
    <row r="4214" spans="1:11" hidden="1" x14ac:dyDescent="0.25">
      <c r="A4214" s="207"/>
      <c r="B4214" s="205"/>
      <c r="C4214" s="31"/>
      <c r="D4214" s="31"/>
      <c r="E4214" s="32"/>
      <c r="F4214" s="53" t="s">
        <v>514</v>
      </c>
      <c r="G4214" s="53" t="str">
        <f t="shared" si="79"/>
        <v/>
      </c>
      <c r="H4214" s="72"/>
      <c r="I4214" s="73"/>
      <c r="J4214" s="148">
        <v>0</v>
      </c>
      <c r="K4214" s="222">
        <v>0</v>
      </c>
    </row>
    <row r="4215" spans="1:11" hidden="1" x14ac:dyDescent="0.25">
      <c r="A4215" s="207"/>
      <c r="B4215" s="205"/>
      <c r="C4215" s="35" t="s">
        <v>1237</v>
      </c>
      <c r="D4215" s="46" t="s">
        <v>891</v>
      </c>
      <c r="E4215" s="36">
        <v>2.5000000000000001E-2</v>
      </c>
      <c r="F4215" s="53">
        <v>31.891499999999997</v>
      </c>
      <c r="G4215" s="53">
        <f t="shared" si="79"/>
        <v>0.79728749999999993</v>
      </c>
      <c r="H4215" s="38">
        <f>SUM(G4215:G4221)</f>
        <v>39.432732049999998</v>
      </c>
      <c r="I4215" s="39"/>
      <c r="J4215" s="148">
        <v>0</v>
      </c>
      <c r="K4215" s="222">
        <v>0</v>
      </c>
    </row>
    <row r="4216" spans="1:11" ht="25.5" hidden="1" x14ac:dyDescent="0.25">
      <c r="A4216" s="207"/>
      <c r="B4216" s="205"/>
      <c r="C4216" s="35" t="s">
        <v>3678</v>
      </c>
      <c r="D4216" s="46" t="s">
        <v>891</v>
      </c>
      <c r="E4216" s="36">
        <v>0.99639999999999995</v>
      </c>
      <c r="F4216" s="53">
        <v>0.68399999999999994</v>
      </c>
      <c r="G4216" s="53">
        <f t="shared" si="79"/>
        <v>0.68153759999999985</v>
      </c>
      <c r="H4216" s="72"/>
      <c r="I4216" s="73"/>
      <c r="J4216" s="148">
        <v>0</v>
      </c>
      <c r="K4216" s="222">
        <v>0</v>
      </c>
    </row>
    <row r="4217" spans="1:11" ht="25.5" hidden="1" x14ac:dyDescent="0.25">
      <c r="A4217" s="207"/>
      <c r="B4217" s="205"/>
      <c r="C4217" s="35" t="s">
        <v>3683</v>
      </c>
      <c r="D4217" s="35" t="s">
        <v>982</v>
      </c>
      <c r="E4217" s="36">
        <v>1.0293000000000001</v>
      </c>
      <c r="F4217" s="53">
        <v>9.6330000000000009</v>
      </c>
      <c r="G4217" s="53">
        <f t="shared" si="79"/>
        <v>9.9152469000000014</v>
      </c>
      <c r="H4217" s="72"/>
      <c r="I4217" s="73"/>
      <c r="J4217" s="148">
        <v>0</v>
      </c>
      <c r="K4217" s="222">
        <v>0</v>
      </c>
    </row>
    <row r="4218" spans="1:11" hidden="1" x14ac:dyDescent="0.25">
      <c r="A4218" s="207"/>
      <c r="B4218" s="205"/>
      <c r="C4218" s="35" t="s">
        <v>8043</v>
      </c>
      <c r="D4218" s="35" t="s">
        <v>891</v>
      </c>
      <c r="E4218" s="36">
        <v>7.7999999999999996E-3</v>
      </c>
      <c r="F4218" s="53">
        <v>19</v>
      </c>
      <c r="G4218" s="53">
        <f t="shared" si="79"/>
        <v>0.1482</v>
      </c>
      <c r="H4218" s="72"/>
      <c r="I4218" s="73"/>
      <c r="J4218" s="148">
        <v>0</v>
      </c>
      <c r="K4218" s="222">
        <v>0</v>
      </c>
    </row>
    <row r="4219" spans="1:11" ht="25.5" hidden="1" x14ac:dyDescent="0.25">
      <c r="A4219" s="207"/>
      <c r="B4219" s="205"/>
      <c r="C4219" s="35" t="s">
        <v>264</v>
      </c>
      <c r="D4219" s="46" t="s">
        <v>1238</v>
      </c>
      <c r="E4219" s="36">
        <v>3.0800000000000001E-2</v>
      </c>
      <c r="F4219" s="53">
        <v>26.381499999999999</v>
      </c>
      <c r="G4219" s="53">
        <f t="shared" si="79"/>
        <v>0.8125502</v>
      </c>
      <c r="H4219" s="72"/>
      <c r="I4219" s="73"/>
      <c r="J4219" s="148">
        <v>0</v>
      </c>
      <c r="K4219" s="222">
        <v>0</v>
      </c>
    </row>
    <row r="4220" spans="1:11" hidden="1" x14ac:dyDescent="0.25">
      <c r="A4220" s="207"/>
      <c r="B4220" s="205"/>
      <c r="C4220" s="35" t="s">
        <v>1239</v>
      </c>
      <c r="D4220" s="35" t="s">
        <v>695</v>
      </c>
      <c r="E4220" s="36">
        <v>0.7974</v>
      </c>
      <c r="F4220" s="53">
        <v>24.747499999999999</v>
      </c>
      <c r="G4220" s="53">
        <f t="shared" si="79"/>
        <v>19.733656499999999</v>
      </c>
      <c r="H4220" s="72"/>
      <c r="I4220" s="73"/>
      <c r="J4220" s="148">
        <v>0</v>
      </c>
      <c r="K4220" s="222">
        <v>0</v>
      </c>
    </row>
    <row r="4221" spans="1:11" hidden="1" x14ac:dyDescent="0.25">
      <c r="A4221" s="207"/>
      <c r="B4221" s="205"/>
      <c r="C4221" s="35" t="s">
        <v>696</v>
      </c>
      <c r="D4221" s="35" t="s">
        <v>695</v>
      </c>
      <c r="E4221" s="36">
        <v>0.3987</v>
      </c>
      <c r="F4221" s="53">
        <v>18.420500000000001</v>
      </c>
      <c r="G4221" s="53">
        <f t="shared" si="79"/>
        <v>7.3442533499999998</v>
      </c>
      <c r="H4221" s="72"/>
      <c r="I4221" s="73"/>
      <c r="J4221" s="148">
        <v>0</v>
      </c>
      <c r="K4221" s="222">
        <v>0</v>
      </c>
    </row>
    <row r="4222" spans="1:11" ht="15.75" hidden="1" thickBot="1" x14ac:dyDescent="0.3">
      <c r="A4222" s="207"/>
      <c r="B4222" s="205"/>
      <c r="C4222" s="54"/>
      <c r="D4222" s="54"/>
      <c r="E4222" s="65"/>
      <c r="F4222" s="75" t="s">
        <v>514</v>
      </c>
      <c r="G4222" s="75" t="str">
        <f t="shared" si="79"/>
        <v/>
      </c>
      <c r="H4222" s="76"/>
      <c r="I4222" s="73"/>
      <c r="J4222" s="148">
        <v>0</v>
      </c>
      <c r="K4222" s="222">
        <v>0</v>
      </c>
    </row>
    <row r="4223" spans="1:11" ht="15.75" hidden="1" thickBot="1" x14ac:dyDescent="0.3">
      <c r="A4223" s="202" t="s">
        <v>1240</v>
      </c>
      <c r="B4223" s="204" t="str">
        <f>INDEX(Orçamentária!A:B,MATCH(Composições!A4223,Orçamentária!A:A,0),2)</f>
        <v>Textura acrílica – Linha Administrativa</v>
      </c>
      <c r="C4223" s="40"/>
      <c r="D4223" s="25" t="str">
        <f>TRIM(INDEX(Orçamentária!C:C,MATCH(Composições!A4223,Orçamentária!A:A,0),1))</f>
        <v>m2</v>
      </c>
      <c r="E4223" s="26"/>
      <c r="F4223" s="48" t="s">
        <v>514</v>
      </c>
      <c r="G4223" s="27" t="str">
        <f t="shared" si="79"/>
        <v/>
      </c>
      <c r="H4223" s="28"/>
      <c r="I4223" s="29"/>
      <c r="J4223" s="148">
        <v>0</v>
      </c>
      <c r="K4223" s="222">
        <v>0</v>
      </c>
    </row>
    <row r="4224" spans="1:11" hidden="1" x14ac:dyDescent="0.25">
      <c r="A4224" s="207"/>
      <c r="B4224" s="205"/>
      <c r="C4224" s="31"/>
      <c r="D4224" s="31"/>
      <c r="E4224" s="32"/>
      <c r="F4224" s="53" t="s">
        <v>514</v>
      </c>
      <c r="G4224" s="53" t="str">
        <f t="shared" si="79"/>
        <v/>
      </c>
      <c r="H4224" s="72"/>
      <c r="I4224" s="73"/>
      <c r="J4224" s="148">
        <v>0</v>
      </c>
      <c r="K4224" s="222">
        <v>0</v>
      </c>
    </row>
    <row r="4225" spans="1:11" ht="25.5" hidden="1" x14ac:dyDescent="0.25">
      <c r="A4225" s="207"/>
      <c r="B4225" s="205"/>
      <c r="C4225" s="35" t="s">
        <v>6771</v>
      </c>
      <c r="D4225" s="35" t="s">
        <v>891</v>
      </c>
      <c r="E4225" s="36">
        <v>1.1399999999999999</v>
      </c>
      <c r="F4225" s="53">
        <v>6.0229999999999997</v>
      </c>
      <c r="G4225" s="53">
        <f t="shared" si="79"/>
        <v>6.8662199999999993</v>
      </c>
      <c r="H4225" s="38">
        <f>SUM(G4225:G4227)</f>
        <v>13.004084499999998</v>
      </c>
      <c r="I4225" s="39"/>
      <c r="J4225" s="148">
        <v>0</v>
      </c>
      <c r="K4225" s="222">
        <v>0</v>
      </c>
    </row>
    <row r="4226" spans="1:11" hidden="1" x14ac:dyDescent="0.25">
      <c r="A4226" s="207"/>
      <c r="B4226" s="205"/>
      <c r="C4226" s="35" t="s">
        <v>1085</v>
      </c>
      <c r="D4226" s="35" t="s">
        <v>695</v>
      </c>
      <c r="E4226" s="36">
        <v>0.188</v>
      </c>
      <c r="F4226" s="53">
        <v>25.887499999999999</v>
      </c>
      <c r="G4226" s="53">
        <f t="shared" si="79"/>
        <v>4.8668499999999995</v>
      </c>
      <c r="H4226" s="72"/>
      <c r="I4226" s="73"/>
      <c r="J4226" s="148">
        <v>0</v>
      </c>
      <c r="K4226" s="222">
        <v>0</v>
      </c>
    </row>
    <row r="4227" spans="1:11" hidden="1" x14ac:dyDescent="0.25">
      <c r="A4227" s="207"/>
      <c r="B4227" s="205"/>
      <c r="C4227" s="35" t="s">
        <v>696</v>
      </c>
      <c r="D4227" s="35" t="s">
        <v>695</v>
      </c>
      <c r="E4227" s="36">
        <v>6.9000000000000006E-2</v>
      </c>
      <c r="F4227" s="53">
        <v>18.420500000000001</v>
      </c>
      <c r="G4227" s="53">
        <f t="shared" si="79"/>
        <v>1.2710145000000002</v>
      </c>
      <c r="H4227" s="72"/>
      <c r="I4227" s="73"/>
      <c r="J4227" s="148">
        <v>0</v>
      </c>
      <c r="K4227" s="222">
        <v>0</v>
      </c>
    </row>
    <row r="4228" spans="1:11" ht="15.75" hidden="1" thickBot="1" x14ac:dyDescent="0.3">
      <c r="A4228" s="207"/>
      <c r="B4228" s="205"/>
      <c r="C4228" s="54"/>
      <c r="D4228" s="54"/>
      <c r="E4228" s="65"/>
      <c r="F4228" s="75" t="s">
        <v>514</v>
      </c>
      <c r="G4228" s="75" t="str">
        <f t="shared" si="79"/>
        <v/>
      </c>
      <c r="H4228" s="76"/>
      <c r="I4228" s="73"/>
      <c r="J4228" s="148">
        <v>0</v>
      </c>
      <c r="K4228" s="222">
        <v>0</v>
      </c>
    </row>
    <row r="4229" spans="1:11" ht="15.75" hidden="1" thickBot="1" x14ac:dyDescent="0.3">
      <c r="A4229" s="202" t="s">
        <v>1241</v>
      </c>
      <c r="B4229" s="204" t="str">
        <f>INDEX(Orçamentária!A:B,MATCH(Composições!A4229,Orçamentária!A:A,0),2)</f>
        <v>Pintura com tinta látex acrílica Premium – cores especiais (sistema tintométrico)</v>
      </c>
      <c r="C4229" s="40"/>
      <c r="D4229" s="25" t="str">
        <f>TRIM(INDEX(Orçamentária!C:C,MATCH(Composições!A4229,Orçamentária!A:A,0),1))</f>
        <v>m2</v>
      </c>
      <c r="E4229" s="26"/>
      <c r="F4229" s="48" t="s">
        <v>514</v>
      </c>
      <c r="G4229" s="27" t="str">
        <f t="shared" ref="G4229:G4292" si="80">IF(ISNUMBER(F4229),E4229*F4229,"")</f>
        <v/>
      </c>
      <c r="H4229" s="28"/>
      <c r="I4229" s="29"/>
      <c r="J4229" s="148">
        <v>0</v>
      </c>
      <c r="K4229" s="222">
        <v>0</v>
      </c>
    </row>
    <row r="4230" spans="1:11" hidden="1" x14ac:dyDescent="0.25">
      <c r="A4230" s="207"/>
      <c r="B4230" s="205"/>
      <c r="C4230" s="31"/>
      <c r="D4230" s="31"/>
      <c r="E4230" s="32"/>
      <c r="F4230" s="53" t="s">
        <v>514</v>
      </c>
      <c r="G4230" s="53" t="str">
        <f t="shared" si="80"/>
        <v/>
      </c>
      <c r="H4230" s="72"/>
      <c r="I4230" s="73"/>
      <c r="J4230" s="148">
        <v>0</v>
      </c>
      <c r="K4230" s="222">
        <v>0</v>
      </c>
    </row>
    <row r="4231" spans="1:11" hidden="1" x14ac:dyDescent="0.25">
      <c r="A4231" s="207"/>
      <c r="B4231" s="205"/>
      <c r="C4231" s="35" t="s">
        <v>6773</v>
      </c>
      <c r="D4231" s="35" t="s">
        <v>101</v>
      </c>
      <c r="E4231" s="36">
        <f>ROUND(0.33*1.15,4)</f>
        <v>0.3795</v>
      </c>
      <c r="F4231" s="53">
        <v>25.241499999999998</v>
      </c>
      <c r="G4231" s="53">
        <f t="shared" si="80"/>
        <v>9.5791492500000004</v>
      </c>
      <c r="H4231" s="38">
        <f>SUM(G4231:G4233)</f>
        <v>15.69112625</v>
      </c>
      <c r="I4231" s="39"/>
      <c r="J4231" s="148">
        <v>0</v>
      </c>
      <c r="K4231" s="222">
        <v>0</v>
      </c>
    </row>
    <row r="4232" spans="1:11" hidden="1" x14ac:dyDescent="0.25">
      <c r="A4232" s="207"/>
      <c r="B4232" s="205"/>
      <c r="C4232" s="35" t="s">
        <v>1085</v>
      </c>
      <c r="D4232" s="35" t="s">
        <v>695</v>
      </c>
      <c r="E4232" s="36">
        <v>0.187</v>
      </c>
      <c r="F4232" s="53">
        <v>25.887499999999999</v>
      </c>
      <c r="G4232" s="53">
        <f t="shared" si="80"/>
        <v>4.8409624999999998</v>
      </c>
      <c r="H4232" s="72"/>
      <c r="I4232" s="73"/>
      <c r="J4232" s="148">
        <v>0</v>
      </c>
      <c r="K4232" s="222">
        <v>0</v>
      </c>
    </row>
    <row r="4233" spans="1:11" hidden="1" x14ac:dyDescent="0.25">
      <c r="A4233" s="207"/>
      <c r="B4233" s="205"/>
      <c r="C4233" s="35" t="s">
        <v>696</v>
      </c>
      <c r="D4233" s="35" t="s">
        <v>695</v>
      </c>
      <c r="E4233" s="36">
        <v>6.9000000000000006E-2</v>
      </c>
      <c r="F4233" s="53">
        <v>18.420500000000001</v>
      </c>
      <c r="G4233" s="53">
        <f t="shared" si="80"/>
        <v>1.2710145000000002</v>
      </c>
      <c r="H4233" s="72"/>
      <c r="I4233" s="73"/>
      <c r="J4233" s="148">
        <v>0</v>
      </c>
      <c r="K4233" s="222">
        <v>0</v>
      </c>
    </row>
    <row r="4234" spans="1:11" hidden="1" x14ac:dyDescent="0.25">
      <c r="A4234" s="207"/>
      <c r="B4234" s="205"/>
      <c r="C4234" s="35"/>
      <c r="D4234" s="35"/>
      <c r="E4234" s="36"/>
      <c r="F4234" s="53" t="s">
        <v>514</v>
      </c>
      <c r="G4234" s="53" t="str">
        <f t="shared" si="80"/>
        <v/>
      </c>
      <c r="H4234" s="72"/>
      <c r="I4234" s="73"/>
      <c r="J4234" s="148">
        <v>0</v>
      </c>
      <c r="K4234" s="222">
        <v>0</v>
      </c>
    </row>
    <row r="4235" spans="1:11" ht="25.5" hidden="1" x14ac:dyDescent="0.25">
      <c r="A4235" s="207"/>
      <c r="B4235" s="205"/>
      <c r="C4235" s="35" t="s">
        <v>1242</v>
      </c>
      <c r="D4235" s="35"/>
      <c r="E4235" s="36"/>
      <c r="F4235" s="53" t="s">
        <v>514</v>
      </c>
      <c r="G4235" s="53" t="str">
        <f t="shared" si="80"/>
        <v/>
      </c>
      <c r="H4235" s="72"/>
      <c r="I4235" s="73"/>
      <c r="J4235" s="148">
        <v>0</v>
      </c>
      <c r="K4235" s="222">
        <v>0</v>
      </c>
    </row>
    <row r="4236" spans="1:11" ht="15.75" hidden="1" thickBot="1" x14ac:dyDescent="0.3">
      <c r="A4236" s="207"/>
      <c r="B4236" s="205"/>
      <c r="C4236" s="54"/>
      <c r="D4236" s="54"/>
      <c r="E4236" s="65"/>
      <c r="F4236" s="75" t="s">
        <v>514</v>
      </c>
      <c r="G4236" s="75" t="str">
        <f t="shared" si="80"/>
        <v/>
      </c>
      <c r="H4236" s="76"/>
      <c r="I4236" s="73"/>
      <c r="J4236" s="148">
        <v>0</v>
      </c>
      <c r="K4236" s="222">
        <v>0</v>
      </c>
    </row>
    <row r="4237" spans="1:11" ht="15.75" hidden="1" thickBot="1" x14ac:dyDescent="0.3">
      <c r="A4237" s="202" t="s">
        <v>1244</v>
      </c>
      <c r="B4237" s="204" t="str">
        <f>INDEX(Orçamentária!A:B,MATCH(Composições!A4237,Orçamentária!A:A,0),2)</f>
        <v>Pintura com tinta acrílica (pisos)</v>
      </c>
      <c r="C4237" s="40"/>
      <c r="D4237" s="25" t="str">
        <f>TRIM(INDEX(Orçamentária!C:C,MATCH(Composições!A4237,Orçamentária!A:A,0),1))</f>
        <v>m2</v>
      </c>
      <c r="E4237" s="26"/>
      <c r="F4237" s="48" t="s">
        <v>514</v>
      </c>
      <c r="G4237" s="27" t="str">
        <f t="shared" si="80"/>
        <v/>
      </c>
      <c r="H4237" s="28"/>
      <c r="I4237" s="29"/>
      <c r="J4237" s="148">
        <v>0</v>
      </c>
      <c r="K4237" s="222">
        <v>0</v>
      </c>
    </row>
    <row r="4238" spans="1:11" hidden="1" x14ac:dyDescent="0.25">
      <c r="A4238" s="207"/>
      <c r="B4238" s="205"/>
      <c r="C4238" s="31"/>
      <c r="D4238" s="31"/>
      <c r="E4238" s="32"/>
      <c r="F4238" s="53" t="s">
        <v>514</v>
      </c>
      <c r="G4238" s="53" t="str">
        <f t="shared" si="80"/>
        <v/>
      </c>
      <c r="H4238" s="72"/>
      <c r="I4238" s="73"/>
      <c r="J4238" s="148">
        <v>0</v>
      </c>
      <c r="K4238" s="222">
        <v>0</v>
      </c>
    </row>
    <row r="4239" spans="1:11" hidden="1" x14ac:dyDescent="0.25">
      <c r="A4239" s="207"/>
      <c r="B4239" s="205"/>
      <c r="C4239" s="35" t="s">
        <v>6633</v>
      </c>
      <c r="D4239" s="35" t="s">
        <v>101</v>
      </c>
      <c r="E4239" s="36">
        <v>0.16</v>
      </c>
      <c r="F4239" s="53">
        <v>10.592499999999999</v>
      </c>
      <c r="G4239" s="53">
        <f t="shared" si="80"/>
        <v>1.6947999999999999</v>
      </c>
      <c r="H4239" s="38">
        <f>SUM(G4239:G4243)</f>
        <v>18.243552999999999</v>
      </c>
      <c r="I4239" s="39"/>
      <c r="J4239" s="148">
        <v>0</v>
      </c>
      <c r="K4239" s="222">
        <v>0</v>
      </c>
    </row>
    <row r="4240" spans="1:11" hidden="1" x14ac:dyDescent="0.25">
      <c r="A4240" s="207"/>
      <c r="B4240" s="205"/>
      <c r="C4240" s="35" t="s">
        <v>1084</v>
      </c>
      <c r="D4240" s="35" t="s">
        <v>101</v>
      </c>
      <c r="E4240" s="36">
        <v>0.42699999999999999</v>
      </c>
      <c r="F4240" s="53">
        <v>16.928999999999998</v>
      </c>
      <c r="G4240" s="53">
        <f t="shared" si="80"/>
        <v>7.2286829999999993</v>
      </c>
      <c r="H4240" s="72"/>
      <c r="I4240" s="73"/>
      <c r="J4240" s="148">
        <v>0</v>
      </c>
      <c r="K4240" s="222">
        <v>0</v>
      </c>
    </row>
    <row r="4241" spans="1:11" hidden="1" x14ac:dyDescent="0.25">
      <c r="A4241" s="207"/>
      <c r="B4241" s="205"/>
      <c r="C4241" s="35" t="s">
        <v>6634</v>
      </c>
      <c r="D4241" s="35" t="s">
        <v>278</v>
      </c>
      <c r="E4241" s="36">
        <v>0.01</v>
      </c>
      <c r="F4241" s="53">
        <v>8.2649999999999988</v>
      </c>
      <c r="G4241" s="53">
        <f t="shared" si="80"/>
        <v>8.2649999999999987E-2</v>
      </c>
      <c r="H4241" s="72"/>
      <c r="I4241" s="73"/>
      <c r="J4241" s="148">
        <v>0</v>
      </c>
      <c r="K4241" s="222">
        <v>0</v>
      </c>
    </row>
    <row r="4242" spans="1:11" hidden="1" x14ac:dyDescent="0.25">
      <c r="A4242" s="207"/>
      <c r="B4242" s="205"/>
      <c r="C4242" s="35" t="s">
        <v>1085</v>
      </c>
      <c r="D4242" s="35" t="s">
        <v>695</v>
      </c>
      <c r="E4242" s="36">
        <v>0.27500000000000002</v>
      </c>
      <c r="F4242" s="53">
        <v>25.887499999999999</v>
      </c>
      <c r="G4242" s="53">
        <f t="shared" si="80"/>
        <v>7.1190625000000001</v>
      </c>
      <c r="H4242" s="72"/>
      <c r="I4242" s="73"/>
      <c r="J4242" s="148">
        <v>0</v>
      </c>
      <c r="K4242" s="222">
        <v>0</v>
      </c>
    </row>
    <row r="4243" spans="1:11" hidden="1" x14ac:dyDescent="0.25">
      <c r="A4243" s="207"/>
      <c r="B4243" s="205"/>
      <c r="C4243" s="35" t="s">
        <v>696</v>
      </c>
      <c r="D4243" s="35" t="s">
        <v>695</v>
      </c>
      <c r="E4243" s="36">
        <v>0.115</v>
      </c>
      <c r="F4243" s="53">
        <v>18.420500000000001</v>
      </c>
      <c r="G4243" s="53">
        <f t="shared" si="80"/>
        <v>2.1183575000000001</v>
      </c>
      <c r="H4243" s="72"/>
      <c r="I4243" s="73"/>
      <c r="J4243" s="148">
        <v>0</v>
      </c>
      <c r="K4243" s="222">
        <v>0</v>
      </c>
    </row>
    <row r="4244" spans="1:11" ht="15.75" hidden="1" thickBot="1" x14ac:dyDescent="0.3">
      <c r="A4244" s="207"/>
      <c r="B4244" s="205"/>
      <c r="C4244" s="54"/>
      <c r="D4244" s="54"/>
      <c r="E4244" s="65"/>
      <c r="F4244" s="75" t="s">
        <v>514</v>
      </c>
      <c r="G4244" s="75" t="str">
        <f t="shared" si="80"/>
        <v/>
      </c>
      <c r="H4244" s="76"/>
      <c r="I4244" s="73"/>
      <c r="J4244" s="148">
        <v>0</v>
      </c>
      <c r="K4244" s="222">
        <v>0</v>
      </c>
    </row>
    <row r="4245" spans="1:11" ht="15.75" hidden="1" thickBot="1" x14ac:dyDescent="0.3">
      <c r="A4245" s="202" t="s">
        <v>1245</v>
      </c>
      <c r="B4245" s="204" t="str">
        <f>INDEX(Orçamentária!A:B,MATCH(Composições!A4245,Orçamentária!A:A,0),2)</f>
        <v>Pintura com tinta epóxi de alto desempenho (pisos)</v>
      </c>
      <c r="C4245" s="40"/>
      <c r="D4245" s="25" t="str">
        <f>TRIM(INDEX(Orçamentária!C:C,MATCH(Composições!A4245,Orçamentária!A:A,0),1))</f>
        <v>m2</v>
      </c>
      <c r="E4245" s="26"/>
      <c r="F4245" s="48" t="s">
        <v>514</v>
      </c>
      <c r="G4245" s="27" t="str">
        <f t="shared" si="80"/>
        <v/>
      </c>
      <c r="H4245" s="28"/>
      <c r="I4245" s="29"/>
      <c r="J4245" s="148">
        <v>0</v>
      </c>
      <c r="K4245" s="222">
        <v>0</v>
      </c>
    </row>
    <row r="4246" spans="1:11" hidden="1" x14ac:dyDescent="0.25">
      <c r="A4246" s="207"/>
      <c r="B4246" s="205"/>
      <c r="C4246" s="31"/>
      <c r="D4246" s="31"/>
      <c r="E4246" s="32"/>
      <c r="F4246" s="53" t="s">
        <v>514</v>
      </c>
      <c r="G4246" s="53" t="str">
        <f t="shared" si="80"/>
        <v/>
      </c>
      <c r="H4246" s="72"/>
      <c r="I4246" s="73"/>
      <c r="J4246" s="148">
        <v>0</v>
      </c>
      <c r="K4246" s="222">
        <v>0</v>
      </c>
    </row>
    <row r="4247" spans="1:11" hidden="1" x14ac:dyDescent="0.25">
      <c r="A4247" s="207"/>
      <c r="B4247" s="205"/>
      <c r="C4247" s="35" t="s">
        <v>6635</v>
      </c>
      <c r="D4247" s="35" t="s">
        <v>101</v>
      </c>
      <c r="E4247" s="36">
        <v>6.4000000000000001E-2</v>
      </c>
      <c r="F4247" s="53">
        <v>41.381999999999998</v>
      </c>
      <c r="G4247" s="53">
        <f t="shared" si="80"/>
        <v>2.6484480000000001</v>
      </c>
      <c r="H4247" s="38">
        <f>SUM(G4247:G4252)</f>
        <v>61.033388400000007</v>
      </c>
      <c r="I4247" s="39"/>
      <c r="J4247" s="148">
        <v>0</v>
      </c>
      <c r="K4247" s="222">
        <v>0</v>
      </c>
    </row>
    <row r="4248" spans="1:11" hidden="1" x14ac:dyDescent="0.25">
      <c r="A4248" s="207"/>
      <c r="B4248" s="205"/>
      <c r="C4248" s="35" t="s">
        <v>3720</v>
      </c>
      <c r="D4248" s="35" t="s">
        <v>101</v>
      </c>
      <c r="E4248" s="36">
        <v>0.32200000000000001</v>
      </c>
      <c r="F4248" s="53">
        <v>78.432000000000002</v>
      </c>
      <c r="G4248" s="53">
        <f t="shared" si="80"/>
        <v>25.255104000000003</v>
      </c>
      <c r="H4248" s="72"/>
      <c r="I4248" s="73"/>
      <c r="J4248" s="148">
        <v>0</v>
      </c>
      <c r="K4248" s="222">
        <v>0</v>
      </c>
    </row>
    <row r="4249" spans="1:11" hidden="1" x14ac:dyDescent="0.25">
      <c r="A4249" s="207"/>
      <c r="B4249" s="205"/>
      <c r="C4249" s="35" t="s">
        <v>6634</v>
      </c>
      <c r="D4249" s="35" t="s">
        <v>278</v>
      </c>
      <c r="E4249" s="36">
        <v>0.01</v>
      </c>
      <c r="F4249" s="53">
        <v>8.2649999999999988</v>
      </c>
      <c r="G4249" s="53">
        <f t="shared" si="80"/>
        <v>8.2649999999999987E-2</v>
      </c>
      <c r="H4249" s="72"/>
      <c r="I4249" s="73"/>
      <c r="J4249" s="148">
        <v>0</v>
      </c>
      <c r="K4249" s="222">
        <v>0</v>
      </c>
    </row>
    <row r="4250" spans="1:11" hidden="1" x14ac:dyDescent="0.25">
      <c r="A4250" s="207"/>
      <c r="B4250" s="205"/>
      <c r="C4250" s="35" t="s">
        <v>6674</v>
      </c>
      <c r="D4250" s="35" t="s">
        <v>101</v>
      </c>
      <c r="E4250" s="36">
        <v>0.2016</v>
      </c>
      <c r="F4250" s="53">
        <v>118.10399999999998</v>
      </c>
      <c r="G4250" s="53">
        <f t="shared" si="80"/>
        <v>23.809766399999997</v>
      </c>
      <c r="H4250" s="72"/>
      <c r="I4250" s="73"/>
      <c r="J4250" s="148">
        <v>0</v>
      </c>
      <c r="K4250" s="222">
        <v>0</v>
      </c>
    </row>
    <row r="4251" spans="1:11" hidden="1" x14ac:dyDescent="0.25">
      <c r="A4251" s="207"/>
      <c r="B4251" s="205"/>
      <c r="C4251" s="35" t="s">
        <v>1085</v>
      </c>
      <c r="D4251" s="35" t="s">
        <v>695</v>
      </c>
      <c r="E4251" s="36">
        <v>0.27500000000000002</v>
      </c>
      <c r="F4251" s="53">
        <v>25.887499999999999</v>
      </c>
      <c r="G4251" s="53">
        <f t="shared" si="80"/>
        <v>7.1190625000000001</v>
      </c>
      <c r="H4251" s="72"/>
      <c r="I4251" s="73"/>
      <c r="J4251" s="148">
        <v>0</v>
      </c>
      <c r="K4251" s="222">
        <v>0</v>
      </c>
    </row>
    <row r="4252" spans="1:11" hidden="1" x14ac:dyDescent="0.25">
      <c r="A4252" s="207"/>
      <c r="B4252" s="205"/>
      <c r="C4252" s="35" t="s">
        <v>696</v>
      </c>
      <c r="D4252" s="35" t="s">
        <v>695</v>
      </c>
      <c r="E4252" s="36">
        <v>0.115</v>
      </c>
      <c r="F4252" s="53">
        <v>18.420500000000001</v>
      </c>
      <c r="G4252" s="53">
        <f t="shared" si="80"/>
        <v>2.1183575000000001</v>
      </c>
      <c r="H4252" s="72"/>
      <c r="I4252" s="73"/>
      <c r="J4252" s="148">
        <v>0</v>
      </c>
      <c r="K4252" s="222">
        <v>0</v>
      </c>
    </row>
    <row r="4253" spans="1:11" ht="15.75" hidden="1" thickBot="1" x14ac:dyDescent="0.3">
      <c r="A4253" s="207"/>
      <c r="B4253" s="205"/>
      <c r="C4253" s="54"/>
      <c r="D4253" s="54"/>
      <c r="E4253" s="65"/>
      <c r="F4253" s="75" t="s">
        <v>514</v>
      </c>
      <c r="G4253" s="75" t="str">
        <f t="shared" si="80"/>
        <v/>
      </c>
      <c r="H4253" s="76"/>
      <c r="I4253" s="73"/>
      <c r="J4253" s="148">
        <v>0</v>
      </c>
      <c r="K4253" s="222">
        <v>0</v>
      </c>
    </row>
    <row r="4254" spans="1:11" ht="15.75" hidden="1" thickBot="1" x14ac:dyDescent="0.3">
      <c r="A4254" s="202" t="s">
        <v>1246</v>
      </c>
      <c r="B4254" s="204" t="str">
        <f>INDEX(Orçamentária!A:B,MATCH(Composições!A4254,Orçamentária!A:A,0),2)</f>
        <v>Verniz de poliuretano sobre pintura epóxi de alto desempenho</v>
      </c>
      <c r="C4254" s="40"/>
      <c r="D4254" s="25" t="str">
        <f>TRIM(INDEX(Orçamentária!C:C,MATCH(Composições!A4254,Orçamentária!A:A,0),1))</f>
        <v>m2</v>
      </c>
      <c r="E4254" s="26"/>
      <c r="F4254" s="48" t="s">
        <v>514</v>
      </c>
      <c r="G4254" s="27" t="str">
        <f t="shared" si="80"/>
        <v/>
      </c>
      <c r="H4254" s="28"/>
      <c r="I4254" s="29"/>
      <c r="J4254" s="148">
        <v>0</v>
      </c>
      <c r="K4254" s="222">
        <v>0</v>
      </c>
    </row>
    <row r="4255" spans="1:11" hidden="1" x14ac:dyDescent="0.25">
      <c r="A4255" s="207"/>
      <c r="B4255" s="205"/>
      <c r="C4255" s="31"/>
      <c r="D4255" s="31"/>
      <c r="E4255" s="32"/>
      <c r="F4255" s="53" t="s">
        <v>514</v>
      </c>
      <c r="G4255" s="53" t="str">
        <f t="shared" si="80"/>
        <v/>
      </c>
      <c r="H4255" s="72"/>
      <c r="I4255" s="73"/>
      <c r="J4255" s="148">
        <v>0</v>
      </c>
      <c r="K4255" s="222">
        <v>0</v>
      </c>
    </row>
    <row r="4256" spans="1:11" hidden="1" x14ac:dyDescent="0.25">
      <c r="A4256" s="207"/>
      <c r="B4256" s="205"/>
      <c r="C4256" s="35" t="s">
        <v>6378</v>
      </c>
      <c r="D4256" s="35" t="s">
        <v>101</v>
      </c>
      <c r="E4256" s="36">
        <v>0.04</v>
      </c>
      <c r="F4256" s="53">
        <v>0</v>
      </c>
      <c r="G4256" s="53">
        <f t="shared" si="80"/>
        <v>0</v>
      </c>
      <c r="H4256" s="38">
        <f>SUM(G4256:G4259)</f>
        <v>21.138260000000002</v>
      </c>
      <c r="I4256" s="39"/>
      <c r="J4256" s="148">
        <v>0</v>
      </c>
      <c r="K4256" s="222">
        <v>0</v>
      </c>
    </row>
    <row r="4257" spans="1:11" hidden="1" x14ac:dyDescent="0.25">
      <c r="A4257" s="207"/>
      <c r="B4257" s="205"/>
      <c r="C4257" s="35" t="s">
        <v>6379</v>
      </c>
      <c r="D4257" s="35" t="s">
        <v>891</v>
      </c>
      <c r="E4257" s="36">
        <v>0.36</v>
      </c>
      <c r="F4257" s="53">
        <v>0</v>
      </c>
      <c r="G4257" s="53">
        <f t="shared" si="80"/>
        <v>0</v>
      </c>
      <c r="H4257" s="72"/>
      <c r="I4257" s="73"/>
      <c r="J4257" s="148">
        <v>0</v>
      </c>
      <c r="K4257" s="222">
        <v>0</v>
      </c>
    </row>
    <row r="4258" spans="1:11" hidden="1" x14ac:dyDescent="0.25">
      <c r="A4258" s="207"/>
      <c r="B4258" s="205"/>
      <c r="C4258" s="35" t="s">
        <v>1085</v>
      </c>
      <c r="D4258" s="35" t="s">
        <v>695</v>
      </c>
      <c r="E4258" s="36">
        <v>0.66</v>
      </c>
      <c r="F4258" s="53">
        <v>25.887499999999999</v>
      </c>
      <c r="G4258" s="53">
        <f t="shared" si="80"/>
        <v>17.085750000000001</v>
      </c>
      <c r="H4258" s="72"/>
      <c r="I4258" s="73"/>
      <c r="J4258" s="148">
        <v>0</v>
      </c>
      <c r="K4258" s="222">
        <v>0</v>
      </c>
    </row>
    <row r="4259" spans="1:11" hidden="1" x14ac:dyDescent="0.25">
      <c r="A4259" s="207"/>
      <c r="B4259" s="205"/>
      <c r="C4259" s="35" t="s">
        <v>696</v>
      </c>
      <c r="D4259" s="35" t="s">
        <v>695</v>
      </c>
      <c r="E4259" s="36">
        <v>0.22</v>
      </c>
      <c r="F4259" s="53">
        <v>18.420500000000001</v>
      </c>
      <c r="G4259" s="53">
        <f t="shared" si="80"/>
        <v>4.0525099999999998</v>
      </c>
      <c r="H4259" s="72"/>
      <c r="I4259" s="73"/>
      <c r="J4259" s="148">
        <v>0</v>
      </c>
      <c r="K4259" s="222">
        <v>0</v>
      </c>
    </row>
    <row r="4260" spans="1:11" ht="15.75" hidden="1" thickBot="1" x14ac:dyDescent="0.3">
      <c r="A4260" s="208"/>
      <c r="B4260" s="206"/>
      <c r="C4260" s="54"/>
      <c r="D4260" s="54"/>
      <c r="E4260" s="65"/>
      <c r="F4260" s="75" t="s">
        <v>514</v>
      </c>
      <c r="G4260" s="75" t="str">
        <f t="shared" si="80"/>
        <v/>
      </c>
      <c r="H4260" s="76"/>
      <c r="I4260" s="73"/>
      <c r="J4260" s="148">
        <v>0</v>
      </c>
      <c r="K4260" s="222">
        <v>0</v>
      </c>
    </row>
    <row r="4261" spans="1:11" ht="15.75" hidden="1" thickBot="1" x14ac:dyDescent="0.3">
      <c r="A4261" s="202" t="s">
        <v>1247</v>
      </c>
      <c r="B4261" s="204" t="str">
        <f>INDEX(Orçamentária!A:B,MATCH(Composições!A4261,Orçamentária!A:A,0),2)</f>
        <v>Tratamento antiderrapante em verniz de poliuretano sobre pintura epóxi</v>
      </c>
      <c r="C4261" s="40"/>
      <c r="D4261" s="25" t="str">
        <f>TRIM(INDEX(Orçamentária!C:C,MATCH(Composições!A4261,Orçamentária!A:A,0),1))</f>
        <v>m2</v>
      </c>
      <c r="E4261" s="26"/>
      <c r="F4261" s="48" t="s">
        <v>514</v>
      </c>
      <c r="G4261" s="27" t="str">
        <f t="shared" si="80"/>
        <v/>
      </c>
      <c r="H4261" s="28"/>
      <c r="I4261" s="29"/>
      <c r="J4261" s="148">
        <v>0</v>
      </c>
      <c r="K4261" s="222">
        <v>0</v>
      </c>
    </row>
    <row r="4262" spans="1:11" hidden="1" x14ac:dyDescent="0.25">
      <c r="A4262" s="207"/>
      <c r="B4262" s="205"/>
      <c r="C4262" s="31"/>
      <c r="D4262" s="31"/>
      <c r="E4262" s="32"/>
      <c r="F4262" s="53" t="s">
        <v>514</v>
      </c>
      <c r="G4262" s="53" t="str">
        <f t="shared" si="80"/>
        <v/>
      </c>
      <c r="H4262" s="72"/>
      <c r="I4262" s="73"/>
      <c r="J4262" s="148">
        <v>0</v>
      </c>
      <c r="K4262" s="222">
        <v>0</v>
      </c>
    </row>
    <row r="4263" spans="1:11" ht="25.5" hidden="1" x14ac:dyDescent="0.25">
      <c r="A4263" s="207"/>
      <c r="B4263" s="205"/>
      <c r="C4263" s="35" t="s">
        <v>1248</v>
      </c>
      <c r="D4263" s="35" t="s">
        <v>891</v>
      </c>
      <c r="E4263" s="36">
        <v>2</v>
      </c>
      <c r="F4263" s="53" t="s">
        <v>514</v>
      </c>
      <c r="G4263" s="53" t="str">
        <f t="shared" si="80"/>
        <v/>
      </c>
      <c r="H4263" s="38">
        <f>SUM(G4263:G4264)</f>
        <v>1.2710145000000002</v>
      </c>
      <c r="I4263" s="39"/>
      <c r="J4263" s="148">
        <v>0</v>
      </c>
      <c r="K4263" s="222">
        <v>0</v>
      </c>
    </row>
    <row r="4264" spans="1:11" hidden="1" x14ac:dyDescent="0.25">
      <c r="A4264" s="207"/>
      <c r="B4264" s="205"/>
      <c r="C4264" s="35" t="s">
        <v>696</v>
      </c>
      <c r="D4264" s="35" t="s">
        <v>695</v>
      </c>
      <c r="E4264" s="36">
        <v>6.9000000000000006E-2</v>
      </c>
      <c r="F4264" s="53">
        <v>18.420500000000001</v>
      </c>
      <c r="G4264" s="53">
        <f t="shared" si="80"/>
        <v>1.2710145000000002</v>
      </c>
      <c r="H4264" s="72"/>
      <c r="I4264" s="73"/>
      <c r="J4264" s="148">
        <v>0</v>
      </c>
      <c r="K4264" s="222">
        <v>0</v>
      </c>
    </row>
    <row r="4265" spans="1:11" ht="15.75" hidden="1" thickBot="1" x14ac:dyDescent="0.3">
      <c r="A4265" s="207"/>
      <c r="B4265" s="205"/>
      <c r="C4265" s="54"/>
      <c r="D4265" s="54"/>
      <c r="E4265" s="65"/>
      <c r="F4265" s="75" t="s">
        <v>514</v>
      </c>
      <c r="G4265" s="75" t="str">
        <f t="shared" si="80"/>
        <v/>
      </c>
      <c r="H4265" s="76"/>
      <c r="I4265" s="73"/>
      <c r="J4265" s="148">
        <v>0</v>
      </c>
      <c r="K4265" s="222">
        <v>0</v>
      </c>
    </row>
    <row r="4266" spans="1:11" ht="15.75" hidden="1" thickBot="1" x14ac:dyDescent="0.3">
      <c r="A4266" s="202" t="s">
        <v>1249</v>
      </c>
      <c r="B4266" s="204" t="str">
        <f>INDEX(Orçamentária!A:B,MATCH(Composições!A4266,Orçamentária!A:A,0),2)</f>
        <v>Pintura para superfícies galvanizadas</v>
      </c>
      <c r="C4266" s="40"/>
      <c r="D4266" s="25" t="str">
        <f>TRIM(INDEX(Orçamentária!C:C,MATCH(Composições!A4266,Orçamentária!A:A,0),1))</f>
        <v>m2</v>
      </c>
      <c r="E4266" s="26"/>
      <c r="F4266" s="48" t="s">
        <v>514</v>
      </c>
      <c r="G4266" s="27" t="str">
        <f t="shared" si="80"/>
        <v/>
      </c>
      <c r="H4266" s="28"/>
      <c r="I4266" s="29"/>
      <c r="J4266" s="148">
        <v>0</v>
      </c>
      <c r="K4266" s="222">
        <v>0</v>
      </c>
    </row>
    <row r="4267" spans="1:11" hidden="1" x14ac:dyDescent="0.25">
      <c r="A4267" s="207"/>
      <c r="B4267" s="205"/>
      <c r="C4267" s="31"/>
      <c r="D4267" s="31"/>
      <c r="E4267" s="32"/>
      <c r="F4267" s="53" t="s">
        <v>514</v>
      </c>
      <c r="G4267" s="53" t="str">
        <f t="shared" si="80"/>
        <v/>
      </c>
      <c r="H4267" s="72"/>
      <c r="I4267" s="73"/>
      <c r="J4267" s="148">
        <v>0</v>
      </c>
      <c r="K4267" s="222">
        <v>0</v>
      </c>
    </row>
    <row r="4268" spans="1:11" hidden="1" x14ac:dyDescent="0.25">
      <c r="A4268" s="207"/>
      <c r="B4268" s="205"/>
      <c r="C4268" s="35" t="s">
        <v>6671</v>
      </c>
      <c r="D4268" s="35" t="s">
        <v>101</v>
      </c>
      <c r="E4268" s="36">
        <v>6.1899999999999997E-2</v>
      </c>
      <c r="F4268" s="53">
        <v>18.154499999999999</v>
      </c>
      <c r="G4268" s="53">
        <f t="shared" si="80"/>
        <v>1.1237635499999998</v>
      </c>
      <c r="H4268" s="38">
        <f>SUM(G4268:G4272)</f>
        <v>32.121209049999997</v>
      </c>
      <c r="I4268" s="39"/>
      <c r="J4268" s="148">
        <v>0</v>
      </c>
      <c r="K4268" s="222">
        <v>0</v>
      </c>
    </row>
    <row r="4269" spans="1:11" hidden="1" x14ac:dyDescent="0.25">
      <c r="A4269" s="207"/>
      <c r="B4269" s="205"/>
      <c r="C4269" s="35" t="s">
        <v>1321</v>
      </c>
      <c r="D4269" s="35" t="s">
        <v>101</v>
      </c>
      <c r="E4269" s="36">
        <v>0.20699999999999999</v>
      </c>
      <c r="F4269" s="53">
        <v>41.011499999999998</v>
      </c>
      <c r="G4269" s="53">
        <f t="shared" si="80"/>
        <v>8.4893804999999993</v>
      </c>
      <c r="H4269" s="72"/>
      <c r="I4269" s="73"/>
      <c r="J4269" s="148">
        <v>0</v>
      </c>
      <c r="K4269" s="222">
        <v>0</v>
      </c>
    </row>
    <row r="4270" spans="1:11" hidden="1" x14ac:dyDescent="0.25">
      <c r="A4270" s="207"/>
      <c r="B4270" s="205"/>
      <c r="C4270" s="35" t="s">
        <v>1085</v>
      </c>
      <c r="D4270" s="35" t="s">
        <v>695</v>
      </c>
      <c r="E4270" s="36">
        <v>0.52659999999999996</v>
      </c>
      <c r="F4270" s="53">
        <v>25.887499999999999</v>
      </c>
      <c r="G4270" s="53">
        <f t="shared" si="80"/>
        <v>13.632357499999998</v>
      </c>
      <c r="H4270" s="72"/>
      <c r="I4270" s="73"/>
      <c r="J4270" s="148">
        <v>0</v>
      </c>
      <c r="K4270" s="222">
        <v>0</v>
      </c>
    </row>
    <row r="4271" spans="1:11" hidden="1" x14ac:dyDescent="0.25">
      <c r="A4271" s="207"/>
      <c r="B4271" s="205"/>
      <c r="C4271" s="35" t="s">
        <v>1250</v>
      </c>
      <c r="D4271" s="35" t="s">
        <v>278</v>
      </c>
      <c r="E4271" s="36">
        <v>0.3</v>
      </c>
      <c r="F4271" s="53">
        <v>3.8189999999999995</v>
      </c>
      <c r="G4271" s="53">
        <f t="shared" si="80"/>
        <v>1.1456999999999997</v>
      </c>
      <c r="H4271" s="72"/>
      <c r="I4271" s="73"/>
      <c r="J4271" s="148">
        <v>0</v>
      </c>
      <c r="K4271" s="222">
        <v>0</v>
      </c>
    </row>
    <row r="4272" spans="1:11" hidden="1" x14ac:dyDescent="0.25">
      <c r="A4272" s="207"/>
      <c r="B4272" s="205"/>
      <c r="C4272" s="35" t="s">
        <v>1085</v>
      </c>
      <c r="D4272" s="35" t="s">
        <v>695</v>
      </c>
      <c r="E4272" s="36">
        <v>0.29859999999999998</v>
      </c>
      <c r="F4272" s="53">
        <v>25.887499999999999</v>
      </c>
      <c r="G4272" s="53">
        <f t="shared" si="80"/>
        <v>7.7300074999999993</v>
      </c>
      <c r="H4272" s="72"/>
      <c r="I4272" s="73"/>
      <c r="J4272" s="148">
        <v>0</v>
      </c>
      <c r="K4272" s="222">
        <v>0</v>
      </c>
    </row>
    <row r="4273" spans="1:11" ht="15.75" hidden="1" thickBot="1" x14ac:dyDescent="0.3">
      <c r="A4273" s="208"/>
      <c r="B4273" s="206"/>
      <c r="C4273" s="54"/>
      <c r="D4273" s="54"/>
      <c r="E4273" s="65"/>
      <c r="F4273" s="75" t="s">
        <v>514</v>
      </c>
      <c r="G4273" s="75" t="str">
        <f t="shared" si="80"/>
        <v/>
      </c>
      <c r="H4273" s="76"/>
      <c r="I4273" s="73"/>
      <c r="J4273" s="148">
        <v>0</v>
      </c>
      <c r="K4273" s="222">
        <v>0</v>
      </c>
    </row>
    <row r="4274" spans="1:11" ht="15.75" hidden="1" thickBot="1" x14ac:dyDescent="0.3">
      <c r="A4274" s="202" t="s">
        <v>1251</v>
      </c>
      <c r="B4274" s="204" t="str">
        <f>INDEX(Orçamentária!A:B,MATCH(Composições!A4274,Orçamentária!A:A,0),2)</f>
        <v>Selagem ou resselagem de juntas em pavimentação de concreto armado</v>
      </c>
      <c r="C4274" s="40"/>
      <c r="D4274" s="25" t="str">
        <f>TRIM(INDEX(Orçamentária!C:C,MATCH(Composições!A4274,Orçamentária!A:A,0),1))</f>
        <v>m</v>
      </c>
      <c r="E4274" s="26"/>
      <c r="F4274" s="48" t="s">
        <v>514</v>
      </c>
      <c r="G4274" s="27" t="str">
        <f t="shared" si="80"/>
        <v/>
      </c>
      <c r="H4274" s="28"/>
      <c r="I4274" s="29"/>
      <c r="J4274" s="148">
        <v>0</v>
      </c>
      <c r="K4274" s="222">
        <v>0</v>
      </c>
    </row>
    <row r="4275" spans="1:11" hidden="1" x14ac:dyDescent="0.25">
      <c r="A4275" s="207"/>
      <c r="B4275" s="205"/>
      <c r="C4275" s="31"/>
      <c r="D4275" s="31"/>
      <c r="E4275" s="32"/>
      <c r="F4275" s="53" t="s">
        <v>514</v>
      </c>
      <c r="G4275" s="53" t="str">
        <f t="shared" si="80"/>
        <v/>
      </c>
      <c r="H4275" s="72"/>
      <c r="I4275" s="73"/>
      <c r="J4275" s="148">
        <v>0</v>
      </c>
      <c r="K4275" s="222">
        <v>0</v>
      </c>
    </row>
    <row r="4276" spans="1:11" hidden="1" x14ac:dyDescent="0.25">
      <c r="A4276" s="207"/>
      <c r="B4276" s="205"/>
      <c r="C4276" s="35" t="s">
        <v>696</v>
      </c>
      <c r="D4276" s="35" t="s">
        <v>12</v>
      </c>
      <c r="E4276" s="36">
        <f>ROUND(4/74.7,4)</f>
        <v>5.3499999999999999E-2</v>
      </c>
      <c r="F4276" s="53">
        <v>18.420500000000001</v>
      </c>
      <c r="G4276" s="53">
        <f t="shared" si="80"/>
        <v>0.98549675000000003</v>
      </c>
      <c r="H4276" s="38">
        <f>SUM(G4276:G4281)</f>
        <v>10.233730599999999</v>
      </c>
      <c r="I4276" s="39"/>
      <c r="J4276" s="148">
        <v>0</v>
      </c>
      <c r="K4276" s="222">
        <v>0</v>
      </c>
    </row>
    <row r="4277" spans="1:11" hidden="1" x14ac:dyDescent="0.25">
      <c r="A4277" s="207"/>
      <c r="B4277" s="205"/>
      <c r="C4277" s="35" t="s">
        <v>1252</v>
      </c>
      <c r="D4277" s="35" t="s">
        <v>932</v>
      </c>
      <c r="E4277" s="36">
        <f>ROUND(1/74.7,4)</f>
        <v>1.34E-2</v>
      </c>
      <c r="F4277" s="53">
        <v>0</v>
      </c>
      <c r="G4277" s="53">
        <f t="shared" si="80"/>
        <v>0</v>
      </c>
      <c r="H4277" s="72"/>
      <c r="I4277" s="73"/>
      <c r="J4277" s="148">
        <v>0</v>
      </c>
      <c r="K4277" s="222">
        <v>0</v>
      </c>
    </row>
    <row r="4278" spans="1:11" hidden="1" x14ac:dyDescent="0.25">
      <c r="A4278" s="207"/>
      <c r="B4278" s="205"/>
      <c r="C4278" s="35" t="s">
        <v>1253</v>
      </c>
      <c r="D4278" s="35" t="s">
        <v>932</v>
      </c>
      <c r="E4278" s="36">
        <f>ROUND(1/74.7,4)</f>
        <v>1.34E-2</v>
      </c>
      <c r="F4278" s="53">
        <v>0</v>
      </c>
      <c r="G4278" s="53">
        <f t="shared" si="80"/>
        <v>0</v>
      </c>
      <c r="H4278" s="72"/>
      <c r="I4278" s="73"/>
      <c r="J4278" s="148">
        <v>0</v>
      </c>
      <c r="K4278" s="222">
        <v>0</v>
      </c>
    </row>
    <row r="4279" spans="1:11" hidden="1" x14ac:dyDescent="0.25">
      <c r="A4279" s="207"/>
      <c r="B4279" s="205"/>
      <c r="C4279" s="35" t="s">
        <v>1254</v>
      </c>
      <c r="D4279" s="35" t="s">
        <v>92</v>
      </c>
      <c r="E4279" s="36">
        <v>1</v>
      </c>
      <c r="F4279" s="53">
        <v>0</v>
      </c>
      <c r="G4279" s="53">
        <f t="shared" si="80"/>
        <v>0</v>
      </c>
      <c r="H4279" s="72"/>
      <c r="I4279" s="73"/>
      <c r="J4279" s="148">
        <v>0</v>
      </c>
      <c r="K4279" s="222">
        <v>0</v>
      </c>
    </row>
    <row r="4280" spans="1:11" hidden="1" x14ac:dyDescent="0.25">
      <c r="A4280" s="207"/>
      <c r="B4280" s="205"/>
      <c r="C4280" s="35" t="s">
        <v>1255</v>
      </c>
      <c r="D4280" s="35" t="s">
        <v>278</v>
      </c>
      <c r="E4280" s="36">
        <v>3.3E-3</v>
      </c>
      <c r="F4280" s="53">
        <v>0</v>
      </c>
      <c r="G4280" s="53">
        <f t="shared" si="80"/>
        <v>0</v>
      </c>
      <c r="H4280" s="72"/>
      <c r="I4280" s="73"/>
      <c r="J4280" s="148">
        <v>0</v>
      </c>
      <c r="K4280" s="222">
        <v>0</v>
      </c>
    </row>
    <row r="4281" spans="1:11" ht="25.5" hidden="1" x14ac:dyDescent="0.25">
      <c r="A4281" s="207"/>
      <c r="B4281" s="205"/>
      <c r="C4281" s="35" t="s">
        <v>1256</v>
      </c>
      <c r="D4281" s="35" t="s">
        <v>42</v>
      </c>
      <c r="E4281" s="36">
        <v>0.1181</v>
      </c>
      <c r="F4281" s="53">
        <v>78.308500000000009</v>
      </c>
      <c r="G4281" s="53">
        <f t="shared" si="80"/>
        <v>9.2482338500000001</v>
      </c>
      <c r="H4281" s="72"/>
      <c r="I4281" s="73"/>
      <c r="J4281" s="148">
        <v>0</v>
      </c>
      <c r="K4281" s="222">
        <v>0</v>
      </c>
    </row>
    <row r="4282" spans="1:11" ht="15.75" hidden="1" thickBot="1" x14ac:dyDescent="0.3">
      <c r="A4282" s="208"/>
      <c r="B4282" s="206"/>
      <c r="C4282" s="54"/>
      <c r="D4282" s="54"/>
      <c r="E4282" s="65"/>
      <c r="F4282" s="75" t="s">
        <v>514</v>
      </c>
      <c r="G4282" s="75" t="str">
        <f t="shared" si="80"/>
        <v/>
      </c>
      <c r="H4282" s="76"/>
      <c r="I4282" s="73"/>
      <c r="J4282" s="148">
        <v>0</v>
      </c>
      <c r="K4282" s="222">
        <v>0</v>
      </c>
    </row>
    <row r="4283" spans="1:11" ht="15.75" hidden="1" thickBot="1" x14ac:dyDescent="0.3">
      <c r="A4283" s="202" t="s">
        <v>1257</v>
      </c>
      <c r="B4283" s="204" t="str">
        <f>INDEX(Orçamentária!A:B,MATCH(Composições!A4283,Orçamentária!A:A,0),2)</f>
        <v>Pavimentação em elementos intertravados de concreto</v>
      </c>
      <c r="C4283" s="40"/>
      <c r="D4283" s="25" t="str">
        <f>TRIM(INDEX(Orçamentária!C:C,MATCH(Composições!A4283,Orçamentária!A:A,0),1))</f>
        <v>m2</v>
      </c>
      <c r="E4283" s="26"/>
      <c r="F4283" s="48" t="s">
        <v>514</v>
      </c>
      <c r="G4283" s="27" t="str">
        <f t="shared" si="80"/>
        <v/>
      </c>
      <c r="H4283" s="28"/>
      <c r="I4283" s="29"/>
      <c r="J4283" s="148">
        <v>0</v>
      </c>
      <c r="K4283" s="222">
        <v>0</v>
      </c>
    </row>
    <row r="4284" spans="1:11" hidden="1" x14ac:dyDescent="0.25">
      <c r="A4284" s="207"/>
      <c r="B4284" s="205"/>
      <c r="C4284" s="31"/>
      <c r="D4284" s="31"/>
      <c r="E4284" s="32"/>
      <c r="F4284" s="53" t="s">
        <v>514</v>
      </c>
      <c r="G4284" s="53" t="str">
        <f t="shared" si="80"/>
        <v/>
      </c>
      <c r="H4284" s="72"/>
      <c r="I4284" s="73"/>
      <c r="J4284" s="148">
        <v>0</v>
      </c>
      <c r="K4284" s="222">
        <v>0</v>
      </c>
    </row>
    <row r="4285" spans="1:11" ht="25.5" hidden="1" x14ac:dyDescent="0.25">
      <c r="A4285" s="207"/>
      <c r="B4285" s="205"/>
      <c r="C4285" s="35" t="s">
        <v>744</v>
      </c>
      <c r="D4285" s="35" t="s">
        <v>119</v>
      </c>
      <c r="E4285" s="36">
        <v>5.6800000000000003E-2</v>
      </c>
      <c r="F4285" s="53">
        <v>185.66799999999998</v>
      </c>
      <c r="G4285" s="53">
        <f t="shared" si="80"/>
        <v>10.545942399999999</v>
      </c>
      <c r="H4285" s="38">
        <f>SUM(G4285:G4295)</f>
        <v>71.585009394219981</v>
      </c>
      <c r="I4285" s="39"/>
      <c r="J4285" s="148">
        <v>0</v>
      </c>
      <c r="K4285" s="222">
        <v>0</v>
      </c>
    </row>
    <row r="4286" spans="1:11" hidden="1" x14ac:dyDescent="0.25">
      <c r="A4286" s="207"/>
      <c r="B4286" s="205"/>
      <c r="C4286" s="35" t="s">
        <v>1258</v>
      </c>
      <c r="D4286" s="35" t="s">
        <v>119</v>
      </c>
      <c r="E4286" s="36">
        <v>3.5999999999999999E-3</v>
      </c>
      <c r="F4286" s="53">
        <v>142.82300000000001</v>
      </c>
      <c r="G4286" s="53">
        <f t="shared" si="80"/>
        <v>0.51416280000000003</v>
      </c>
      <c r="H4286" s="72"/>
      <c r="I4286" s="73"/>
      <c r="J4286" s="148">
        <v>0</v>
      </c>
      <c r="K4286" s="222">
        <v>0</v>
      </c>
    </row>
    <row r="4287" spans="1:11" ht="38.25" hidden="1" x14ac:dyDescent="0.25">
      <c r="A4287" s="207"/>
      <c r="B4287" s="205"/>
      <c r="C4287" s="35" t="s">
        <v>1259</v>
      </c>
      <c r="D4287" s="35" t="s">
        <v>982</v>
      </c>
      <c r="E4287" s="36">
        <v>1.0042</v>
      </c>
      <c r="F4287" s="53">
        <v>52.515999999999998</v>
      </c>
      <c r="G4287" s="53">
        <f t="shared" si="80"/>
        <v>52.736567199999996</v>
      </c>
      <c r="H4287" s="72"/>
      <c r="I4287" s="73"/>
      <c r="J4287" s="148">
        <v>0</v>
      </c>
      <c r="K4287" s="222">
        <v>0</v>
      </c>
    </row>
    <row r="4288" spans="1:11" hidden="1" x14ac:dyDescent="0.25">
      <c r="A4288" s="207"/>
      <c r="B4288" s="205"/>
      <c r="C4288" s="35" t="s">
        <v>1260</v>
      </c>
      <c r="D4288" s="35" t="s">
        <v>695</v>
      </c>
      <c r="E4288" s="36">
        <v>9.7000000000000003E-2</v>
      </c>
      <c r="F4288" s="53">
        <v>23.0185</v>
      </c>
      <c r="G4288" s="53">
        <f t="shared" si="80"/>
        <v>2.2327945000000002</v>
      </c>
      <c r="H4288" s="72"/>
      <c r="I4288" s="73"/>
      <c r="J4288" s="148">
        <v>0</v>
      </c>
      <c r="K4288" s="222">
        <v>0</v>
      </c>
    </row>
    <row r="4289" spans="1:11" hidden="1" x14ac:dyDescent="0.25">
      <c r="A4289" s="207"/>
      <c r="B4289" s="205"/>
      <c r="C4289" s="35" t="s">
        <v>696</v>
      </c>
      <c r="D4289" s="35" t="s">
        <v>695</v>
      </c>
      <c r="E4289" s="36">
        <v>9.7000000000000003E-2</v>
      </c>
      <c r="F4289" s="53">
        <v>18.420500000000001</v>
      </c>
      <c r="G4289" s="53">
        <f t="shared" si="80"/>
        <v>1.7867885000000001</v>
      </c>
      <c r="H4289" s="72"/>
      <c r="I4289" s="73"/>
      <c r="J4289" s="148">
        <v>0</v>
      </c>
      <c r="K4289" s="222">
        <v>0</v>
      </c>
    </row>
    <row r="4290" spans="1:11" ht="38.25" hidden="1" x14ac:dyDescent="0.25">
      <c r="A4290" s="207"/>
      <c r="B4290" s="205"/>
      <c r="C4290" s="35" t="s">
        <v>1093</v>
      </c>
      <c r="D4290" s="35" t="s">
        <v>932</v>
      </c>
      <c r="E4290" s="36">
        <v>4.1000000000000003E-3</v>
      </c>
      <c r="F4290" s="53">
        <v>8.6449999999999996</v>
      </c>
      <c r="G4290" s="53">
        <f t="shared" si="80"/>
        <v>3.5444500000000004E-2</v>
      </c>
      <c r="H4290" s="72"/>
      <c r="I4290" s="73"/>
      <c r="J4290" s="148">
        <v>0</v>
      </c>
      <c r="K4290" s="222">
        <v>0</v>
      </c>
    </row>
    <row r="4291" spans="1:11" ht="38.25" hidden="1" x14ac:dyDescent="0.25">
      <c r="A4291" s="207"/>
      <c r="B4291" s="205"/>
      <c r="C4291" s="35" t="s">
        <v>1261</v>
      </c>
      <c r="D4291" s="35" t="s">
        <v>934</v>
      </c>
      <c r="E4291" s="36">
        <v>4.4400000000000002E-2</v>
      </c>
      <c r="F4291" s="53">
        <v>0.56999999999999995</v>
      </c>
      <c r="G4291" s="53">
        <f t="shared" si="80"/>
        <v>2.5308000000000001E-2</v>
      </c>
      <c r="H4291" s="72"/>
      <c r="I4291" s="73"/>
      <c r="J4291" s="148">
        <v>0</v>
      </c>
      <c r="K4291" s="222">
        <v>0</v>
      </c>
    </row>
    <row r="4292" spans="1:11" ht="51" hidden="1" x14ac:dyDescent="0.25">
      <c r="A4292" s="207"/>
      <c r="B4292" s="205"/>
      <c r="C4292" s="35" t="s">
        <v>1262</v>
      </c>
      <c r="D4292" s="35" t="s">
        <v>932</v>
      </c>
      <c r="E4292" s="36">
        <v>3.7000000000000002E-3</v>
      </c>
      <c r="F4292" s="53">
        <v>9.1959999999999997</v>
      </c>
      <c r="G4292" s="53">
        <f t="shared" si="80"/>
        <v>3.4025199999999999E-2</v>
      </c>
      <c r="H4292" s="72"/>
      <c r="I4292" s="73"/>
      <c r="J4292" s="148">
        <v>0</v>
      </c>
      <c r="K4292" s="222">
        <v>0</v>
      </c>
    </row>
    <row r="4293" spans="1:11" ht="51" hidden="1" x14ac:dyDescent="0.25">
      <c r="A4293" s="207"/>
      <c r="B4293" s="205"/>
      <c r="C4293" s="35" t="s">
        <v>1263</v>
      </c>
      <c r="D4293" s="35" t="s">
        <v>934</v>
      </c>
      <c r="E4293" s="36">
        <v>4.48E-2</v>
      </c>
      <c r="F4293" s="53">
        <v>0.79799999999999993</v>
      </c>
      <c r="G4293" s="53">
        <f t="shared" ref="G4293:G4356" si="81">IF(ISNUMBER(F4293),E4293*F4293,"")</f>
        <v>3.5750399999999995E-2</v>
      </c>
      <c r="H4293" s="72"/>
      <c r="I4293" s="73"/>
      <c r="J4293" s="148">
        <v>0</v>
      </c>
      <c r="K4293" s="222">
        <v>0</v>
      </c>
    </row>
    <row r="4294" spans="1:11" ht="51" hidden="1" x14ac:dyDescent="0.25">
      <c r="A4294" s="207"/>
      <c r="B4294" s="205"/>
      <c r="C4294" s="35" t="s">
        <v>3507</v>
      </c>
      <c r="D4294" s="35" t="s">
        <v>108</v>
      </c>
      <c r="E4294" s="36">
        <f>1*(E4285+E4286)</f>
        <v>6.0400000000000002E-2</v>
      </c>
      <c r="F4294" s="33">
        <v>7.7750840499999994</v>
      </c>
      <c r="G4294" s="33">
        <f t="shared" si="81"/>
        <v>0.46961507661999996</v>
      </c>
      <c r="H4294" s="34"/>
      <c r="I4294" s="30"/>
      <c r="J4294" s="148">
        <v>0</v>
      </c>
      <c r="K4294" s="222">
        <v>0</v>
      </c>
    </row>
    <row r="4295" spans="1:11" ht="38.25" hidden="1" x14ac:dyDescent="0.25">
      <c r="A4295" s="207"/>
      <c r="B4295" s="205"/>
      <c r="C4295" s="35" t="s">
        <v>120</v>
      </c>
      <c r="D4295" s="35" t="s">
        <v>121</v>
      </c>
      <c r="E4295" s="36">
        <f>20*(E4285+E4286)</f>
        <v>1.208</v>
      </c>
      <c r="F4295" s="53">
        <v>2.6230221999999994</v>
      </c>
      <c r="G4295" s="53">
        <f t="shared" si="81"/>
        <v>3.1686108175999994</v>
      </c>
      <c r="H4295" s="72"/>
      <c r="I4295" s="73"/>
      <c r="J4295" s="148">
        <v>0</v>
      </c>
      <c r="K4295" s="222">
        <v>0</v>
      </c>
    </row>
    <row r="4296" spans="1:11" hidden="1" x14ac:dyDescent="0.25">
      <c r="A4296" s="207"/>
      <c r="B4296" s="205"/>
      <c r="C4296" s="35"/>
      <c r="D4296" s="35"/>
      <c r="E4296" s="36"/>
      <c r="F4296" s="53" t="s">
        <v>514</v>
      </c>
      <c r="G4296" s="53" t="str">
        <f t="shared" si="81"/>
        <v/>
      </c>
      <c r="H4296" s="72"/>
      <c r="I4296" s="73"/>
      <c r="J4296" s="148">
        <v>0</v>
      </c>
      <c r="K4296" s="222">
        <v>0</v>
      </c>
    </row>
    <row r="4297" spans="1:11" ht="25.5" hidden="1" x14ac:dyDescent="0.25">
      <c r="A4297" s="207"/>
      <c r="B4297" s="205"/>
      <c r="C4297" s="47" t="s">
        <v>1264</v>
      </c>
      <c r="D4297" s="35"/>
      <c r="E4297" s="36"/>
      <c r="F4297" s="53" t="s">
        <v>514</v>
      </c>
      <c r="G4297" s="53" t="str">
        <f t="shared" si="81"/>
        <v/>
      </c>
      <c r="H4297" s="72"/>
      <c r="I4297" s="73"/>
      <c r="J4297" s="148">
        <v>0</v>
      </c>
      <c r="K4297" s="222">
        <v>0</v>
      </c>
    </row>
    <row r="4298" spans="1:11" ht="15.75" hidden="1" thickBot="1" x14ac:dyDescent="0.3">
      <c r="A4298" s="208"/>
      <c r="B4298" s="206"/>
      <c r="C4298" s="54"/>
      <c r="D4298" s="54"/>
      <c r="E4298" s="65"/>
      <c r="F4298" s="75" t="s">
        <v>514</v>
      </c>
      <c r="G4298" s="75" t="str">
        <f t="shared" si="81"/>
        <v/>
      </c>
      <c r="H4298" s="76"/>
      <c r="I4298" s="73"/>
      <c r="J4298" s="148">
        <v>0</v>
      </c>
      <c r="K4298" s="222">
        <v>0</v>
      </c>
    </row>
    <row r="4299" spans="1:11" ht="15.75" hidden="1" thickBot="1" x14ac:dyDescent="0.3">
      <c r="A4299" s="202" t="s">
        <v>1265</v>
      </c>
      <c r="B4299" s="204" t="str">
        <f>INDEX(Orçamentária!A:B,MATCH(Composições!A4299,Orçamentária!A:A,0),2)</f>
        <v>Pavimentação com Asfalto Pré-Misturado a Frio (PMF)</v>
      </c>
      <c r="C4299" s="40"/>
      <c r="D4299" s="25" t="str">
        <f>TRIM(INDEX(Orçamentária!C:C,MATCH(Composições!A4299,Orçamentária!A:A,0),1))</f>
        <v>m3</v>
      </c>
      <c r="E4299" s="26"/>
      <c r="F4299" s="48" t="s">
        <v>514</v>
      </c>
      <c r="G4299" s="27" t="str">
        <f t="shared" si="81"/>
        <v/>
      </c>
      <c r="H4299" s="28"/>
      <c r="I4299" s="29"/>
      <c r="J4299" s="148">
        <v>0</v>
      </c>
      <c r="K4299" s="222">
        <v>0</v>
      </c>
    </row>
    <row r="4300" spans="1:11" hidden="1" x14ac:dyDescent="0.25">
      <c r="A4300" s="207"/>
      <c r="B4300" s="205"/>
      <c r="C4300" s="31"/>
      <c r="D4300" s="31"/>
      <c r="E4300" s="32"/>
      <c r="F4300" s="53" t="s">
        <v>514</v>
      </c>
      <c r="G4300" s="53" t="str">
        <f t="shared" si="81"/>
        <v/>
      </c>
      <c r="H4300" s="72"/>
      <c r="I4300" s="73"/>
      <c r="J4300" s="148">
        <v>0</v>
      </c>
      <c r="K4300" s="222">
        <v>0</v>
      </c>
    </row>
    <row r="4301" spans="1:11" hidden="1" x14ac:dyDescent="0.25">
      <c r="A4301" s="207"/>
      <c r="B4301" s="205"/>
      <c r="C4301" s="35" t="s">
        <v>696</v>
      </c>
      <c r="D4301" s="35" t="s">
        <v>695</v>
      </c>
      <c r="E4301" s="36">
        <v>0.4</v>
      </c>
      <c r="F4301" s="53">
        <v>18.420500000000001</v>
      </c>
      <c r="G4301" s="53">
        <f t="shared" si="81"/>
        <v>7.3682000000000007</v>
      </c>
      <c r="H4301" s="38">
        <f>SUM(G4301:G4322)</f>
        <v>972.25529219200007</v>
      </c>
      <c r="I4301" s="39"/>
      <c r="J4301" s="148">
        <v>0</v>
      </c>
      <c r="K4301" s="222">
        <v>0</v>
      </c>
    </row>
    <row r="4302" spans="1:11" ht="38.25" hidden="1" x14ac:dyDescent="0.25">
      <c r="A4302" s="207"/>
      <c r="B4302" s="205"/>
      <c r="C4302" s="35" t="s">
        <v>1266</v>
      </c>
      <c r="D4302" s="35" t="s">
        <v>934</v>
      </c>
      <c r="E4302" s="36">
        <v>6.0000000000000001E-3</v>
      </c>
      <c r="F4302" s="53">
        <v>76.845500000000001</v>
      </c>
      <c r="G4302" s="53">
        <f t="shared" si="81"/>
        <v>0.46107300000000001</v>
      </c>
      <c r="H4302" s="72"/>
      <c r="I4302" s="73"/>
      <c r="J4302" s="148">
        <v>0</v>
      </c>
      <c r="K4302" s="222">
        <v>0</v>
      </c>
    </row>
    <row r="4303" spans="1:11" ht="38.25" hidden="1" x14ac:dyDescent="0.25">
      <c r="A4303" s="207"/>
      <c r="B4303" s="205"/>
      <c r="C4303" s="35" t="s">
        <v>1267</v>
      </c>
      <c r="D4303" s="35" t="s">
        <v>932</v>
      </c>
      <c r="E4303" s="36">
        <v>1.0699999999999999E-2</v>
      </c>
      <c r="F4303" s="53">
        <v>212.91399999999999</v>
      </c>
      <c r="G4303" s="53">
        <f t="shared" si="81"/>
        <v>2.2781797999999998</v>
      </c>
      <c r="H4303" s="72"/>
      <c r="I4303" s="73"/>
      <c r="J4303" s="148">
        <v>0</v>
      </c>
      <c r="K4303" s="222">
        <v>0</v>
      </c>
    </row>
    <row r="4304" spans="1:11" ht="38.25" hidden="1" x14ac:dyDescent="0.25">
      <c r="A4304" s="207"/>
      <c r="B4304" s="205"/>
      <c r="C4304" s="35" t="s">
        <v>1268</v>
      </c>
      <c r="D4304" s="35" t="s">
        <v>932</v>
      </c>
      <c r="E4304" s="36">
        <v>6.1999999999999998E-3</v>
      </c>
      <c r="F4304" s="53">
        <v>230.13749999999999</v>
      </c>
      <c r="G4304" s="53">
        <f t="shared" si="81"/>
        <v>1.4268524999999999</v>
      </c>
      <c r="H4304" s="72"/>
      <c r="I4304" s="73"/>
      <c r="J4304" s="148">
        <v>0</v>
      </c>
      <c r="K4304" s="222">
        <v>0</v>
      </c>
    </row>
    <row r="4305" spans="1:11" ht="38.25" hidden="1" x14ac:dyDescent="0.25">
      <c r="A4305" s="207"/>
      <c r="B4305" s="205"/>
      <c r="C4305" s="35" t="s">
        <v>1269</v>
      </c>
      <c r="D4305" s="35" t="s">
        <v>934</v>
      </c>
      <c r="E4305" s="36">
        <v>1.0500000000000001E-2</v>
      </c>
      <c r="F4305" s="53">
        <v>71.202500000000001</v>
      </c>
      <c r="G4305" s="53">
        <f t="shared" si="81"/>
        <v>0.74762625000000005</v>
      </c>
      <c r="H4305" s="72"/>
      <c r="I4305" s="73"/>
      <c r="J4305" s="148">
        <v>0</v>
      </c>
      <c r="K4305" s="222">
        <v>0</v>
      </c>
    </row>
    <row r="4306" spans="1:11" ht="25.5" hidden="1" x14ac:dyDescent="0.25">
      <c r="A4306" s="207"/>
      <c r="B4306" s="205"/>
      <c r="C4306" s="35" t="s">
        <v>1270</v>
      </c>
      <c r="D4306" s="35" t="s">
        <v>934</v>
      </c>
      <c r="E4306" s="36">
        <v>1.2200000000000001E-2</v>
      </c>
      <c r="F4306" s="53">
        <v>34.7605</v>
      </c>
      <c r="G4306" s="53">
        <f t="shared" si="81"/>
        <v>0.42407810000000001</v>
      </c>
      <c r="H4306" s="72"/>
      <c r="I4306" s="73"/>
      <c r="J4306" s="148">
        <v>0</v>
      </c>
      <c r="K4306" s="222">
        <v>0</v>
      </c>
    </row>
    <row r="4307" spans="1:11" ht="25.5" hidden="1" x14ac:dyDescent="0.25">
      <c r="A4307" s="207"/>
      <c r="B4307" s="205"/>
      <c r="C4307" s="35" t="s">
        <v>1271</v>
      </c>
      <c r="D4307" s="35" t="s">
        <v>932</v>
      </c>
      <c r="E4307" s="36">
        <v>4.4999999999999997E-3</v>
      </c>
      <c r="F4307" s="53">
        <v>126.58749999999999</v>
      </c>
      <c r="G4307" s="53">
        <f t="shared" si="81"/>
        <v>0.56964374999999989</v>
      </c>
      <c r="H4307" s="72"/>
      <c r="I4307" s="73"/>
      <c r="J4307" s="148">
        <v>0</v>
      </c>
      <c r="K4307" s="222">
        <v>0</v>
      </c>
    </row>
    <row r="4308" spans="1:11" ht="25.5" hidden="1" x14ac:dyDescent="0.25">
      <c r="A4308" s="207"/>
      <c r="B4308" s="205"/>
      <c r="C4308" s="35" t="s">
        <v>1272</v>
      </c>
      <c r="D4308" s="35" t="s">
        <v>934</v>
      </c>
      <c r="E4308" s="36">
        <v>1.2200000000000001E-2</v>
      </c>
      <c r="F4308" s="53">
        <v>5.13</v>
      </c>
      <c r="G4308" s="53">
        <f t="shared" si="81"/>
        <v>6.2586000000000003E-2</v>
      </c>
      <c r="H4308" s="72"/>
      <c r="I4308" s="73"/>
      <c r="J4308" s="148">
        <v>0</v>
      </c>
      <c r="K4308" s="222">
        <v>0</v>
      </c>
    </row>
    <row r="4309" spans="1:11" ht="38.25" hidden="1" x14ac:dyDescent="0.25">
      <c r="A4309" s="207"/>
      <c r="B4309" s="205"/>
      <c r="C4309" s="35" t="s">
        <v>1273</v>
      </c>
      <c r="D4309" s="35" t="s">
        <v>932</v>
      </c>
      <c r="E4309" s="36">
        <v>4.4999999999999997E-3</v>
      </c>
      <c r="F4309" s="53">
        <v>10.792</v>
      </c>
      <c r="G4309" s="53">
        <f t="shared" si="81"/>
        <v>4.8563999999999996E-2</v>
      </c>
      <c r="H4309" s="72"/>
      <c r="I4309" s="73"/>
      <c r="J4309" s="148">
        <v>0</v>
      </c>
      <c r="K4309" s="222">
        <v>0</v>
      </c>
    </row>
    <row r="4310" spans="1:11" ht="38.25" hidden="1" x14ac:dyDescent="0.25">
      <c r="A4310" s="207"/>
      <c r="B4310" s="205"/>
      <c r="C4310" s="35" t="s">
        <v>1274</v>
      </c>
      <c r="D4310" s="35" t="s">
        <v>932</v>
      </c>
      <c r="E4310" s="36">
        <v>1.67E-2</v>
      </c>
      <c r="F4310" s="53">
        <v>375.25</v>
      </c>
      <c r="G4310" s="53">
        <f t="shared" si="81"/>
        <v>6.2666750000000002</v>
      </c>
      <c r="H4310" s="72"/>
      <c r="I4310" s="73"/>
      <c r="J4310" s="148">
        <v>0</v>
      </c>
      <c r="K4310" s="222">
        <v>0</v>
      </c>
    </row>
    <row r="4311" spans="1:11" ht="38.25" hidden="1" x14ac:dyDescent="0.25">
      <c r="A4311" s="207"/>
      <c r="B4311" s="205"/>
      <c r="C4311" s="35" t="s">
        <v>1275</v>
      </c>
      <c r="D4311" s="35" t="s">
        <v>932</v>
      </c>
      <c r="E4311" s="36">
        <v>2.7199999999999998E-2</v>
      </c>
      <c r="F4311" s="53">
        <v>263.017</v>
      </c>
      <c r="G4311" s="53">
        <f t="shared" si="81"/>
        <v>7.1540623999999999</v>
      </c>
      <c r="H4311" s="72"/>
      <c r="I4311" s="73"/>
      <c r="J4311" s="148">
        <v>0</v>
      </c>
      <c r="K4311" s="222">
        <v>0</v>
      </c>
    </row>
    <row r="4312" spans="1:11" hidden="1" x14ac:dyDescent="0.25">
      <c r="A4312" s="207"/>
      <c r="B4312" s="205"/>
      <c r="C4312" s="35" t="s">
        <v>696</v>
      </c>
      <c r="D4312" s="35" t="s">
        <v>695</v>
      </c>
      <c r="E4312" s="36">
        <v>0.3</v>
      </c>
      <c r="F4312" s="53">
        <v>18.420500000000001</v>
      </c>
      <c r="G4312" s="53">
        <f t="shared" si="81"/>
        <v>5.5261500000000003</v>
      </c>
      <c r="H4312" s="72"/>
      <c r="I4312" s="73"/>
      <c r="J4312" s="148">
        <v>0</v>
      </c>
      <c r="K4312" s="222">
        <v>0</v>
      </c>
    </row>
    <row r="4313" spans="1:11" ht="25.5" hidden="1" x14ac:dyDescent="0.25">
      <c r="A4313" s="207"/>
      <c r="B4313" s="205"/>
      <c r="C4313" s="35" t="s">
        <v>1276</v>
      </c>
      <c r="D4313" s="35" t="s">
        <v>108</v>
      </c>
      <c r="E4313" s="36">
        <v>0.18</v>
      </c>
      <c r="F4313" s="53">
        <v>188.09049999999999</v>
      </c>
      <c r="G4313" s="53">
        <f t="shared" si="81"/>
        <v>33.856289999999994</v>
      </c>
      <c r="H4313" s="72"/>
      <c r="I4313" s="73"/>
      <c r="J4313" s="148">
        <v>0</v>
      </c>
      <c r="K4313" s="222">
        <v>0</v>
      </c>
    </row>
    <row r="4314" spans="1:11" ht="25.5" hidden="1" x14ac:dyDescent="0.25">
      <c r="A4314" s="207"/>
      <c r="B4314" s="205"/>
      <c r="C4314" s="35" t="s">
        <v>749</v>
      </c>
      <c r="D4314" s="35" t="s">
        <v>108</v>
      </c>
      <c r="E4314" s="36">
        <v>1.26</v>
      </c>
      <c r="F4314" s="53">
        <v>174.5625</v>
      </c>
      <c r="G4314" s="53">
        <f t="shared" si="81"/>
        <v>219.94874999999999</v>
      </c>
      <c r="H4314" s="72"/>
      <c r="I4314" s="73"/>
      <c r="J4314" s="148">
        <v>0</v>
      </c>
      <c r="K4314" s="222">
        <v>0</v>
      </c>
    </row>
    <row r="4315" spans="1:11" ht="38.25" hidden="1" x14ac:dyDescent="0.25">
      <c r="A4315" s="207"/>
      <c r="B4315" s="205"/>
      <c r="C4315" s="35" t="s">
        <v>1277</v>
      </c>
      <c r="D4315" s="35" t="s">
        <v>1278</v>
      </c>
      <c r="E4315" s="36">
        <v>0.14000000000000001</v>
      </c>
      <c r="F4315" s="53">
        <v>3897.8215</v>
      </c>
      <c r="G4315" s="53">
        <f t="shared" si="81"/>
        <v>545.69501000000002</v>
      </c>
      <c r="H4315" s="72"/>
      <c r="I4315" s="73"/>
      <c r="J4315" s="148">
        <v>0</v>
      </c>
      <c r="K4315" s="222">
        <v>0</v>
      </c>
    </row>
    <row r="4316" spans="1:11" ht="25.5" hidden="1" x14ac:dyDescent="0.25">
      <c r="A4316" s="207"/>
      <c r="B4316" s="205"/>
      <c r="C4316" s="35" t="s">
        <v>1279</v>
      </c>
      <c r="D4316" s="35" t="s">
        <v>932</v>
      </c>
      <c r="E4316" s="36">
        <v>0.05</v>
      </c>
      <c r="F4316" s="53">
        <v>193.98049999999998</v>
      </c>
      <c r="G4316" s="53">
        <f t="shared" si="81"/>
        <v>9.6990249999999989</v>
      </c>
      <c r="H4316" s="72"/>
      <c r="I4316" s="73"/>
      <c r="J4316" s="148">
        <v>0</v>
      </c>
      <c r="K4316" s="222">
        <v>0</v>
      </c>
    </row>
    <row r="4317" spans="1:11" ht="38.25" hidden="1" x14ac:dyDescent="0.25">
      <c r="A4317" s="207"/>
      <c r="B4317" s="205"/>
      <c r="C4317" s="35" t="s">
        <v>1280</v>
      </c>
      <c r="D4317" s="35" t="s">
        <v>932</v>
      </c>
      <c r="E4317" s="36">
        <v>2.1000000000000001E-2</v>
      </c>
      <c r="F4317" s="53">
        <v>215.07049999999998</v>
      </c>
      <c r="G4317" s="53">
        <f t="shared" si="81"/>
        <v>4.5164805000000001</v>
      </c>
      <c r="H4317" s="72"/>
      <c r="I4317" s="73"/>
      <c r="J4317" s="148">
        <v>0</v>
      </c>
      <c r="K4317" s="222">
        <v>0</v>
      </c>
    </row>
    <row r="4318" spans="1:11" ht="38.25" hidden="1" x14ac:dyDescent="0.25">
      <c r="A4318" s="207"/>
      <c r="B4318" s="205"/>
      <c r="C4318" s="35" t="s">
        <v>1281</v>
      </c>
      <c r="D4318" s="35" t="s">
        <v>934</v>
      </c>
      <c r="E4318" s="36">
        <v>2.9000000000000001E-2</v>
      </c>
      <c r="F4318" s="53">
        <v>75.249499999999998</v>
      </c>
      <c r="G4318" s="53">
        <f t="shared" si="81"/>
        <v>2.1822355</v>
      </c>
      <c r="H4318" s="72"/>
      <c r="I4318" s="73"/>
      <c r="J4318" s="148">
        <v>0</v>
      </c>
      <c r="K4318" s="222">
        <v>0</v>
      </c>
    </row>
    <row r="4319" spans="1:11" ht="25.5" hidden="1" x14ac:dyDescent="0.25">
      <c r="A4319" s="207"/>
      <c r="B4319" s="205"/>
      <c r="C4319" s="35" t="s">
        <v>1282</v>
      </c>
      <c r="D4319" s="35" t="s">
        <v>932</v>
      </c>
      <c r="E4319" s="36">
        <v>0.05</v>
      </c>
      <c r="F4319" s="53">
        <v>139.95399999999998</v>
      </c>
      <c r="G4319" s="53">
        <f t="shared" si="81"/>
        <v>6.9976999999999991</v>
      </c>
      <c r="H4319" s="72"/>
      <c r="I4319" s="73"/>
      <c r="J4319" s="148">
        <v>0</v>
      </c>
      <c r="K4319" s="222">
        <v>0</v>
      </c>
    </row>
    <row r="4320" spans="1:11" ht="25.5" hidden="1" x14ac:dyDescent="0.25">
      <c r="A4320" s="207"/>
      <c r="B4320" s="205"/>
      <c r="C4320" s="35" t="s">
        <v>1283</v>
      </c>
      <c r="D4320" s="35" t="s">
        <v>932</v>
      </c>
      <c r="E4320" s="36">
        <v>0.1</v>
      </c>
      <c r="F4320" s="53">
        <v>302.86950000000002</v>
      </c>
      <c r="G4320" s="53">
        <f t="shared" si="81"/>
        <v>30.286950000000004</v>
      </c>
      <c r="H4320" s="72"/>
      <c r="I4320" s="73"/>
      <c r="J4320" s="148">
        <v>0</v>
      </c>
      <c r="K4320" s="222">
        <v>0</v>
      </c>
    </row>
    <row r="4321" spans="1:11" ht="51" hidden="1" x14ac:dyDescent="0.25">
      <c r="A4321" s="207"/>
      <c r="B4321" s="205"/>
      <c r="C4321" s="35" t="s">
        <v>3507</v>
      </c>
      <c r="D4321" s="35" t="s">
        <v>108</v>
      </c>
      <c r="E4321" s="36">
        <f>1*(E4313+E4314)</f>
        <v>1.44</v>
      </c>
      <c r="F4321" s="33">
        <v>7.7750840499999994</v>
      </c>
      <c r="G4321" s="33">
        <f t="shared" si="81"/>
        <v>11.196121031999999</v>
      </c>
      <c r="H4321" s="34"/>
      <c r="I4321" s="30"/>
      <c r="J4321" s="148">
        <v>0</v>
      </c>
      <c r="K4321" s="222">
        <v>0</v>
      </c>
    </row>
    <row r="4322" spans="1:11" ht="38.25" hidden="1" x14ac:dyDescent="0.25">
      <c r="A4322" s="207"/>
      <c r="B4322" s="205"/>
      <c r="C4322" s="35" t="s">
        <v>120</v>
      </c>
      <c r="D4322" s="35" t="s">
        <v>121</v>
      </c>
      <c r="E4322" s="36">
        <f>20*(E4314+E4313)</f>
        <v>28.799999999999997</v>
      </c>
      <c r="F4322" s="53">
        <v>2.6230221999999994</v>
      </c>
      <c r="G4322" s="53">
        <f t="shared" si="81"/>
        <v>75.54303935999998</v>
      </c>
      <c r="H4322" s="72"/>
      <c r="I4322" s="73"/>
      <c r="J4322" s="148">
        <v>0</v>
      </c>
      <c r="K4322" s="222">
        <v>0</v>
      </c>
    </row>
    <row r="4323" spans="1:11" hidden="1" x14ac:dyDescent="0.25">
      <c r="A4323" s="207"/>
      <c r="B4323" s="205"/>
      <c r="C4323" s="35"/>
      <c r="D4323" s="35"/>
      <c r="E4323" s="36"/>
      <c r="F4323" s="53" t="s">
        <v>514</v>
      </c>
      <c r="G4323" s="53" t="str">
        <f t="shared" si="81"/>
        <v/>
      </c>
      <c r="H4323" s="72"/>
      <c r="I4323" s="73"/>
      <c r="J4323" s="148">
        <v>0</v>
      </c>
      <c r="K4323" s="222">
        <v>0</v>
      </c>
    </row>
    <row r="4324" spans="1:11" ht="25.5" hidden="1" x14ac:dyDescent="0.25">
      <c r="A4324" s="207"/>
      <c r="B4324" s="205"/>
      <c r="C4324" s="47" t="s">
        <v>1264</v>
      </c>
      <c r="D4324" s="35"/>
      <c r="E4324" s="36"/>
      <c r="F4324" s="53" t="s">
        <v>514</v>
      </c>
      <c r="G4324" s="53" t="str">
        <f t="shared" si="81"/>
        <v/>
      </c>
      <c r="H4324" s="72"/>
      <c r="I4324" s="73"/>
      <c r="J4324" s="148">
        <v>0</v>
      </c>
      <c r="K4324" s="222">
        <v>0</v>
      </c>
    </row>
    <row r="4325" spans="1:11" ht="15.75" hidden="1" thickBot="1" x14ac:dyDescent="0.3">
      <c r="A4325" s="208"/>
      <c r="B4325" s="206"/>
      <c r="C4325" s="54"/>
      <c r="D4325" s="54"/>
      <c r="E4325" s="65"/>
      <c r="F4325" s="75" t="s">
        <v>514</v>
      </c>
      <c r="G4325" s="75" t="str">
        <f t="shared" si="81"/>
        <v/>
      </c>
      <c r="H4325" s="76"/>
      <c r="I4325" s="73"/>
      <c r="J4325" s="148">
        <v>0</v>
      </c>
      <c r="K4325" s="222">
        <v>0</v>
      </c>
    </row>
    <row r="4326" spans="1:11" ht="15.75" hidden="1" thickBot="1" x14ac:dyDescent="0.3">
      <c r="A4326" s="202" t="s">
        <v>1284</v>
      </c>
      <c r="B4326" s="204" t="str">
        <f>INDEX(Orçamentária!A:B,MATCH(Composições!A4326,Orçamentária!A:A,0),2)</f>
        <v>Pavimentação asfáltica com CBUQ para aplicação a frio (remendo)</v>
      </c>
      <c r="C4326" s="40"/>
      <c r="D4326" s="25" t="str">
        <f>TRIM(INDEX(Orçamentária!C:C,MATCH(Composições!A4326,Orçamentária!A:A,0),1))</f>
        <v>m3</v>
      </c>
      <c r="E4326" s="26"/>
      <c r="F4326" s="48" t="s">
        <v>514</v>
      </c>
      <c r="G4326" s="27" t="str">
        <f t="shared" si="81"/>
        <v/>
      </c>
      <c r="H4326" s="28"/>
      <c r="I4326" s="29"/>
      <c r="J4326" s="148">
        <v>0</v>
      </c>
      <c r="K4326" s="222">
        <v>0</v>
      </c>
    </row>
    <row r="4327" spans="1:11" hidden="1" x14ac:dyDescent="0.25">
      <c r="A4327" s="207"/>
      <c r="B4327" s="205"/>
      <c r="C4327" s="31"/>
      <c r="D4327" s="31"/>
      <c r="E4327" s="32"/>
      <c r="F4327" s="53" t="s">
        <v>514</v>
      </c>
      <c r="G4327" s="53" t="str">
        <f t="shared" si="81"/>
        <v/>
      </c>
      <c r="H4327" s="72"/>
      <c r="I4327" s="73"/>
      <c r="J4327" s="148">
        <v>0</v>
      </c>
      <c r="K4327" s="222">
        <v>0</v>
      </c>
    </row>
    <row r="4328" spans="1:11" hidden="1" x14ac:dyDescent="0.25">
      <c r="A4328" s="207"/>
      <c r="B4328" s="205"/>
      <c r="C4328" s="35" t="s">
        <v>696</v>
      </c>
      <c r="D4328" s="35" t="s">
        <v>695</v>
      </c>
      <c r="E4328" s="36">
        <f>6/0.5</f>
        <v>12</v>
      </c>
      <c r="F4328" s="53">
        <v>18.420500000000001</v>
      </c>
      <c r="G4328" s="53">
        <f t="shared" si="81"/>
        <v>221.04599999999999</v>
      </c>
      <c r="H4328" s="38">
        <f>SUM(G4328:G4331)</f>
        <v>221.04599999999999</v>
      </c>
      <c r="I4328" s="39"/>
      <c r="J4328" s="148">
        <v>0</v>
      </c>
      <c r="K4328" s="222">
        <v>0</v>
      </c>
    </row>
    <row r="4329" spans="1:11" hidden="1" x14ac:dyDescent="0.25">
      <c r="A4329" s="207"/>
      <c r="B4329" s="205"/>
      <c r="C4329" s="35" t="s">
        <v>1285</v>
      </c>
      <c r="D4329" s="35" t="s">
        <v>932</v>
      </c>
      <c r="E4329" s="36">
        <f>0.2/0.5</f>
        <v>0.4</v>
      </c>
      <c r="F4329" s="53">
        <v>0</v>
      </c>
      <c r="G4329" s="53">
        <f t="shared" si="81"/>
        <v>0</v>
      </c>
      <c r="H4329" s="72"/>
      <c r="I4329" s="73"/>
      <c r="J4329" s="148">
        <v>0</v>
      </c>
      <c r="K4329" s="222">
        <v>0</v>
      </c>
    </row>
    <row r="4330" spans="1:11" hidden="1" x14ac:dyDescent="0.25">
      <c r="A4330" s="207"/>
      <c r="B4330" s="205"/>
      <c r="C4330" s="35" t="s">
        <v>1286</v>
      </c>
      <c r="D4330" s="35" t="s">
        <v>934</v>
      </c>
      <c r="E4330" s="36">
        <f>0.8/0.5</f>
        <v>1.6</v>
      </c>
      <c r="F4330" s="53">
        <v>0</v>
      </c>
      <c r="G4330" s="53">
        <f t="shared" si="81"/>
        <v>0</v>
      </c>
      <c r="H4330" s="72"/>
      <c r="I4330" s="73"/>
      <c r="J4330" s="148">
        <v>0</v>
      </c>
      <c r="K4330" s="222">
        <v>0</v>
      </c>
    </row>
    <row r="4331" spans="1:11" hidden="1" x14ac:dyDescent="0.25">
      <c r="A4331" s="207"/>
      <c r="B4331" s="205"/>
      <c r="C4331" s="35" t="s">
        <v>1287</v>
      </c>
      <c r="D4331" s="35" t="s">
        <v>42</v>
      </c>
      <c r="E4331" s="36">
        <v>2500</v>
      </c>
      <c r="F4331" s="53" t="s">
        <v>514</v>
      </c>
      <c r="G4331" s="53" t="str">
        <f t="shared" si="81"/>
        <v/>
      </c>
      <c r="H4331" s="72"/>
      <c r="I4331" s="73"/>
      <c r="J4331" s="148">
        <v>0</v>
      </c>
      <c r="K4331" s="222">
        <v>0</v>
      </c>
    </row>
    <row r="4332" spans="1:11" ht="15.75" hidden="1" thickBot="1" x14ac:dyDescent="0.3">
      <c r="A4332" s="208"/>
      <c r="B4332" s="206"/>
      <c r="C4332" s="54"/>
      <c r="D4332" s="54"/>
      <c r="E4332" s="65"/>
      <c r="F4332" s="75" t="s">
        <v>514</v>
      </c>
      <c r="G4332" s="75" t="str">
        <f t="shared" si="81"/>
        <v/>
      </c>
      <c r="H4332" s="76"/>
      <c r="I4332" s="73"/>
      <c r="J4332" s="148">
        <v>0</v>
      </c>
      <c r="K4332" s="222">
        <v>0</v>
      </c>
    </row>
    <row r="4333" spans="1:11" ht="15.75" hidden="1" thickBot="1" x14ac:dyDescent="0.3">
      <c r="A4333" s="202" t="s">
        <v>1288</v>
      </c>
      <c r="B4333" s="204" t="str">
        <f>INDEX(Orçamentária!A:B,MATCH(Composições!A4333,Orçamentária!A:A,0),2)</f>
        <v>Pintura para sinalização e demarcação viária horizontal</v>
      </c>
      <c r="C4333" s="40"/>
      <c r="D4333" s="25" t="s">
        <v>92</v>
      </c>
      <c r="E4333" s="26"/>
      <c r="F4333" s="48" t="s">
        <v>514</v>
      </c>
      <c r="G4333" s="27" t="str">
        <f t="shared" si="81"/>
        <v/>
      </c>
      <c r="H4333" s="28"/>
      <c r="I4333" s="29"/>
      <c r="J4333" s="148">
        <v>0</v>
      </c>
      <c r="K4333" s="222">
        <v>0</v>
      </c>
    </row>
    <row r="4334" spans="1:11" hidden="1" x14ac:dyDescent="0.25">
      <c r="A4334" s="207"/>
      <c r="B4334" s="205"/>
      <c r="C4334" s="31"/>
      <c r="D4334" s="31"/>
      <c r="E4334" s="32"/>
      <c r="F4334" s="53" t="s">
        <v>514</v>
      </c>
      <c r="G4334" s="53" t="str">
        <f t="shared" si="81"/>
        <v/>
      </c>
      <c r="H4334" s="72"/>
      <c r="I4334" s="73"/>
      <c r="J4334" s="148">
        <v>0</v>
      </c>
      <c r="K4334" s="222">
        <v>0</v>
      </c>
    </row>
    <row r="4335" spans="1:11" hidden="1" x14ac:dyDescent="0.25">
      <c r="A4335" s="207"/>
      <c r="B4335" s="205"/>
      <c r="C4335" s="35" t="s">
        <v>6671</v>
      </c>
      <c r="D4335" s="35" t="s">
        <v>101</v>
      </c>
      <c r="E4335" s="36">
        <v>2E-3</v>
      </c>
      <c r="F4335" s="53">
        <v>18.154499999999999</v>
      </c>
      <c r="G4335" s="53">
        <f t="shared" si="81"/>
        <v>3.6309000000000001E-2</v>
      </c>
      <c r="H4335" s="38">
        <f>SUM(G4335:G4342)</f>
        <v>4.7117672500000003</v>
      </c>
      <c r="I4335" s="39"/>
      <c r="J4335" s="148">
        <v>0</v>
      </c>
      <c r="K4335" s="222">
        <v>0</v>
      </c>
    </row>
    <row r="4336" spans="1:11" ht="25.5" hidden="1" x14ac:dyDescent="0.25">
      <c r="A4336" s="207"/>
      <c r="B4336" s="205"/>
      <c r="C4336" s="35" t="s">
        <v>6615</v>
      </c>
      <c r="D4336" s="35" t="s">
        <v>101</v>
      </c>
      <c r="E4336" s="36">
        <v>4.2999999999999997E-2</v>
      </c>
      <c r="F4336" s="53">
        <v>17.299499999999998</v>
      </c>
      <c r="G4336" s="53">
        <f t="shared" si="81"/>
        <v>0.74387849999999989</v>
      </c>
      <c r="H4336" s="72"/>
      <c r="I4336" s="73"/>
      <c r="J4336" s="148">
        <v>0</v>
      </c>
      <c r="K4336" s="222">
        <v>0</v>
      </c>
    </row>
    <row r="4337" spans="1:11" ht="25.5" hidden="1" x14ac:dyDescent="0.25">
      <c r="A4337" s="207"/>
      <c r="B4337" s="205"/>
      <c r="C4337" s="35" t="s">
        <v>1289</v>
      </c>
      <c r="D4337" s="35" t="s">
        <v>891</v>
      </c>
      <c r="E4337" s="36">
        <v>1.0999999999999999E-2</v>
      </c>
      <c r="F4337" s="53">
        <v>7.637999999999999</v>
      </c>
      <c r="G4337" s="53">
        <f t="shared" si="81"/>
        <v>8.4017999999999982E-2</v>
      </c>
      <c r="H4337" s="72"/>
      <c r="I4337" s="73"/>
      <c r="J4337" s="148">
        <v>0</v>
      </c>
      <c r="K4337" s="222">
        <v>0</v>
      </c>
    </row>
    <row r="4338" spans="1:11" ht="25.5" hidden="1" x14ac:dyDescent="0.25">
      <c r="A4338" s="207"/>
      <c r="B4338" s="205"/>
      <c r="C4338" s="35" t="s">
        <v>6636</v>
      </c>
      <c r="D4338" s="35" t="s">
        <v>891</v>
      </c>
      <c r="E4338" s="36">
        <v>2.5000000000000001E-2</v>
      </c>
      <c r="F4338" s="53">
        <v>7.637999999999999</v>
      </c>
      <c r="G4338" s="53">
        <f t="shared" si="81"/>
        <v>0.19094999999999998</v>
      </c>
      <c r="H4338" s="72"/>
      <c r="I4338" s="73"/>
      <c r="J4338" s="148">
        <v>0</v>
      </c>
      <c r="K4338" s="222">
        <v>0</v>
      </c>
    </row>
    <row r="4339" spans="1:11" hidden="1" x14ac:dyDescent="0.25">
      <c r="A4339" s="207"/>
      <c r="B4339" s="205"/>
      <c r="C4339" s="35" t="s">
        <v>1085</v>
      </c>
      <c r="D4339" s="35" t="s">
        <v>695</v>
      </c>
      <c r="E4339" s="36">
        <v>3.4000000000000002E-2</v>
      </c>
      <c r="F4339" s="53">
        <v>25.887499999999999</v>
      </c>
      <c r="G4339" s="53">
        <f t="shared" si="81"/>
        <v>0.88017500000000004</v>
      </c>
      <c r="H4339" s="72"/>
      <c r="I4339" s="73"/>
      <c r="J4339" s="148">
        <v>0</v>
      </c>
      <c r="K4339" s="222">
        <v>0</v>
      </c>
    </row>
    <row r="4340" spans="1:11" hidden="1" x14ac:dyDescent="0.25">
      <c r="A4340" s="207"/>
      <c r="B4340" s="205"/>
      <c r="C4340" s="35" t="s">
        <v>696</v>
      </c>
      <c r="D4340" s="35" t="s">
        <v>695</v>
      </c>
      <c r="E4340" s="36">
        <v>1.4E-2</v>
      </c>
      <c r="F4340" s="53">
        <v>18.420500000000001</v>
      </c>
      <c r="G4340" s="53">
        <f t="shared" si="81"/>
        <v>0.25788700000000003</v>
      </c>
      <c r="H4340" s="72"/>
      <c r="I4340" s="73"/>
      <c r="J4340" s="148">
        <v>0</v>
      </c>
      <c r="K4340" s="222">
        <v>0</v>
      </c>
    </row>
    <row r="4341" spans="1:11" ht="25.5" hidden="1" x14ac:dyDescent="0.25">
      <c r="A4341" s="207"/>
      <c r="B4341" s="205"/>
      <c r="C4341" s="35" t="s">
        <v>1290</v>
      </c>
      <c r="D4341" s="35" t="s">
        <v>932</v>
      </c>
      <c r="E4341" s="36">
        <v>2.9999999999999997E-4</v>
      </c>
      <c r="F4341" s="53">
        <v>162.2885</v>
      </c>
      <c r="G4341" s="53">
        <f t="shared" si="81"/>
        <v>4.8686549999999995E-2</v>
      </c>
      <c r="H4341" s="72"/>
      <c r="I4341" s="73"/>
      <c r="J4341" s="148">
        <v>0</v>
      </c>
      <c r="K4341" s="222">
        <v>0</v>
      </c>
    </row>
    <row r="4342" spans="1:11" ht="25.5" hidden="1" x14ac:dyDescent="0.25">
      <c r="A4342" s="207"/>
      <c r="B4342" s="205"/>
      <c r="C4342" s="35" t="s">
        <v>3189</v>
      </c>
      <c r="D4342" s="35" t="s">
        <v>934</v>
      </c>
      <c r="E4342" s="36">
        <v>3.3399999999999999E-2</v>
      </c>
      <c r="F4342" s="53">
        <v>73.947999999999993</v>
      </c>
      <c r="G4342" s="53">
        <f t="shared" si="81"/>
        <v>2.4698631999999998</v>
      </c>
      <c r="H4342" s="72"/>
      <c r="I4342" s="73"/>
      <c r="J4342" s="148">
        <v>0</v>
      </c>
      <c r="K4342" s="222">
        <v>0</v>
      </c>
    </row>
    <row r="4343" spans="1:11" ht="15.75" hidden="1" thickBot="1" x14ac:dyDescent="0.3">
      <c r="A4343" s="208"/>
      <c r="B4343" s="206"/>
      <c r="C4343" s="54"/>
      <c r="D4343" s="54"/>
      <c r="E4343" s="65"/>
      <c r="F4343" s="75" t="s">
        <v>514</v>
      </c>
      <c r="G4343" s="75" t="str">
        <f t="shared" si="81"/>
        <v/>
      </c>
      <c r="H4343" s="76"/>
      <c r="I4343" s="73"/>
      <c r="J4343" s="148">
        <v>0</v>
      </c>
      <c r="K4343" s="222">
        <v>0</v>
      </c>
    </row>
    <row r="4344" spans="1:11" ht="15.75" hidden="1" thickBot="1" x14ac:dyDescent="0.3">
      <c r="A4344" s="202" t="s">
        <v>1291</v>
      </c>
      <c r="B4344" s="204" t="str">
        <f>INDEX(Orçamentária!A:B,MATCH(Composições!A4344,Orçamentária!A:A,0),2)</f>
        <v>Telha metálica trapezoidal galvanizada - GR-40</v>
      </c>
      <c r="C4344" s="40"/>
      <c r="D4344" s="25" t="str">
        <f>TRIM(INDEX(Orçamentária!C:C,MATCH(Composições!A4344,Orçamentária!A:A,0),1))</f>
        <v>m2</v>
      </c>
      <c r="E4344" s="26"/>
      <c r="F4344" s="48" t="s">
        <v>514</v>
      </c>
      <c r="G4344" s="27" t="str">
        <f t="shared" si="81"/>
        <v/>
      </c>
      <c r="H4344" s="28"/>
      <c r="I4344" s="29"/>
      <c r="J4344" s="148">
        <v>600</v>
      </c>
      <c r="K4344" s="222" t="s">
        <v>8074</v>
      </c>
    </row>
    <row r="4345" spans="1:11" hidden="1" x14ac:dyDescent="0.25">
      <c r="A4345" s="207"/>
      <c r="B4345" s="205"/>
      <c r="C4345" s="31"/>
      <c r="D4345" s="31"/>
      <c r="E4345" s="32"/>
      <c r="F4345" s="53" t="s">
        <v>514</v>
      </c>
      <c r="G4345" s="53" t="str">
        <f t="shared" si="81"/>
        <v/>
      </c>
      <c r="H4345" s="72"/>
      <c r="I4345" s="73"/>
      <c r="J4345" s="148">
        <v>600</v>
      </c>
      <c r="K4345" s="222" t="s">
        <v>8074</v>
      </c>
    </row>
    <row r="4346" spans="1:11" ht="38.25" hidden="1" x14ac:dyDescent="0.25">
      <c r="A4346" s="207"/>
      <c r="B4346" s="205"/>
      <c r="C4346" s="35" t="s">
        <v>3352</v>
      </c>
      <c r="D4346" s="46" t="s">
        <v>982</v>
      </c>
      <c r="E4346" s="36">
        <v>1.1659999999999999</v>
      </c>
      <c r="F4346" s="53">
        <v>50.283499999999997</v>
      </c>
      <c r="G4346" s="53">
        <f t="shared" si="81"/>
        <v>58.630560999999993</v>
      </c>
      <c r="H4346" s="38">
        <f>SUM(G4346:G4351)</f>
        <v>71.593218850000014</v>
      </c>
      <c r="I4346" s="39"/>
      <c r="J4346" s="148">
        <v>600</v>
      </c>
      <c r="K4346" s="222" t="s">
        <v>8074</v>
      </c>
    </row>
    <row r="4347" spans="1:11" ht="38.25" hidden="1" x14ac:dyDescent="0.25">
      <c r="A4347" s="207"/>
      <c r="B4347" s="205"/>
      <c r="C4347" s="35" t="s">
        <v>1292</v>
      </c>
      <c r="D4347" s="46" t="s">
        <v>732</v>
      </c>
      <c r="E4347" s="36">
        <v>4.1500000000000004</v>
      </c>
      <c r="F4347" s="53">
        <v>2.1469999999999998</v>
      </c>
      <c r="G4347" s="53">
        <f t="shared" si="81"/>
        <v>8.91005</v>
      </c>
      <c r="H4347" s="72"/>
      <c r="I4347" s="73"/>
      <c r="J4347" s="148">
        <v>600</v>
      </c>
      <c r="K4347" s="222" t="s">
        <v>8074</v>
      </c>
    </row>
    <row r="4348" spans="1:11" hidden="1" x14ac:dyDescent="0.25">
      <c r="A4348" s="207"/>
      <c r="B4348" s="205"/>
      <c r="C4348" s="35" t="s">
        <v>696</v>
      </c>
      <c r="D4348" s="35" t="s">
        <v>695</v>
      </c>
      <c r="E4348" s="36">
        <v>9.7000000000000003E-2</v>
      </c>
      <c r="F4348" s="53">
        <v>18.420500000000001</v>
      </c>
      <c r="G4348" s="53">
        <f t="shared" si="81"/>
        <v>1.7867885000000001</v>
      </c>
      <c r="H4348" s="72"/>
      <c r="I4348" s="73"/>
      <c r="J4348" s="148">
        <v>600</v>
      </c>
      <c r="K4348" s="222" t="s">
        <v>8074</v>
      </c>
    </row>
    <row r="4349" spans="1:11" hidden="1" x14ac:dyDescent="0.25">
      <c r="A4349" s="207"/>
      <c r="B4349" s="205"/>
      <c r="C4349" s="35" t="s">
        <v>1293</v>
      </c>
      <c r="D4349" s="35" t="s">
        <v>695</v>
      </c>
      <c r="E4349" s="36">
        <v>9.0999999999999998E-2</v>
      </c>
      <c r="F4349" s="53">
        <v>24.414999999999999</v>
      </c>
      <c r="G4349" s="53">
        <f t="shared" si="81"/>
        <v>2.221765</v>
      </c>
      <c r="H4349" s="72"/>
      <c r="I4349" s="73"/>
      <c r="J4349" s="148">
        <v>600</v>
      </c>
      <c r="K4349" s="222" t="s">
        <v>8074</v>
      </c>
    </row>
    <row r="4350" spans="1:11" ht="25.5" hidden="1" x14ac:dyDescent="0.25">
      <c r="A4350" s="207"/>
      <c r="B4350" s="205"/>
      <c r="C4350" s="35" t="s">
        <v>1294</v>
      </c>
      <c r="D4350" s="35" t="s">
        <v>932</v>
      </c>
      <c r="E4350" s="36">
        <v>8.9999999999999998E-4</v>
      </c>
      <c r="F4350" s="53">
        <v>20.4345</v>
      </c>
      <c r="G4350" s="53">
        <f t="shared" si="81"/>
        <v>1.8391049999999999E-2</v>
      </c>
      <c r="H4350" s="72"/>
      <c r="I4350" s="73"/>
      <c r="J4350" s="148">
        <v>600</v>
      </c>
      <c r="K4350" s="222" t="s">
        <v>8074</v>
      </c>
    </row>
    <row r="4351" spans="1:11" ht="25.5" hidden="1" x14ac:dyDescent="0.25">
      <c r="A4351" s="207"/>
      <c r="B4351" s="205"/>
      <c r="C4351" s="35" t="s">
        <v>1295</v>
      </c>
      <c r="D4351" s="35" t="s">
        <v>934</v>
      </c>
      <c r="E4351" s="36">
        <v>1.2999999999999999E-3</v>
      </c>
      <c r="F4351" s="53">
        <v>19.741</v>
      </c>
      <c r="G4351" s="53">
        <f t="shared" si="81"/>
        <v>2.56633E-2</v>
      </c>
      <c r="H4351" s="72"/>
      <c r="I4351" s="73"/>
      <c r="J4351" s="148">
        <v>600</v>
      </c>
      <c r="K4351" s="222" t="s">
        <v>8074</v>
      </c>
    </row>
    <row r="4352" spans="1:11" ht="15.75" hidden="1" thickBot="1" x14ac:dyDescent="0.3">
      <c r="A4352" s="208"/>
      <c r="B4352" s="206"/>
      <c r="C4352" s="54"/>
      <c r="D4352" s="54"/>
      <c r="E4352" s="65"/>
      <c r="F4352" s="75" t="s">
        <v>514</v>
      </c>
      <c r="G4352" s="75" t="str">
        <f t="shared" si="81"/>
        <v/>
      </c>
      <c r="H4352" s="76"/>
      <c r="I4352" s="73"/>
      <c r="J4352" s="148">
        <v>600</v>
      </c>
      <c r="K4352" s="222" t="s">
        <v>8074</v>
      </c>
    </row>
    <row r="4353" spans="1:11" ht="15.75" hidden="1" thickBot="1" x14ac:dyDescent="0.3">
      <c r="A4353" s="202" t="s">
        <v>1296</v>
      </c>
      <c r="B4353" s="204" t="str">
        <f>INDEX(Orçamentária!A:B,MATCH(Composições!A4353,Orçamentária!A:A,0),2)</f>
        <v>Cumeeira para telha metálica trapezoidal galvanizada - GR-40</v>
      </c>
      <c r="C4353" s="40"/>
      <c r="D4353" s="25" t="str">
        <f>TRIM(INDEX(Orçamentária!C:C,MATCH(Composições!A4353,Orçamentária!A:A,0),1))</f>
        <v>m</v>
      </c>
      <c r="E4353" s="26"/>
      <c r="F4353" s="48" t="s">
        <v>514</v>
      </c>
      <c r="G4353" s="27" t="str">
        <f t="shared" si="81"/>
        <v/>
      </c>
      <c r="H4353" s="28"/>
      <c r="I4353" s="29"/>
      <c r="J4353" s="148">
        <v>0</v>
      </c>
      <c r="K4353" s="222">
        <v>0</v>
      </c>
    </row>
    <row r="4354" spans="1:11" hidden="1" x14ac:dyDescent="0.25">
      <c r="A4354" s="207"/>
      <c r="B4354" s="205"/>
      <c r="C4354" s="31"/>
      <c r="D4354" s="31"/>
      <c r="E4354" s="32"/>
      <c r="F4354" s="53" t="s">
        <v>514</v>
      </c>
      <c r="G4354" s="53" t="str">
        <f t="shared" si="81"/>
        <v/>
      </c>
      <c r="H4354" s="72"/>
      <c r="I4354" s="73"/>
      <c r="J4354" s="148">
        <v>0</v>
      </c>
      <c r="K4354" s="222">
        <v>0</v>
      </c>
    </row>
    <row r="4355" spans="1:11" ht="38.25" hidden="1" x14ac:dyDescent="0.25">
      <c r="A4355" s="207"/>
      <c r="B4355" s="205"/>
      <c r="C4355" s="35" t="s">
        <v>1292</v>
      </c>
      <c r="D4355" s="46" t="s">
        <v>732</v>
      </c>
      <c r="E4355" s="36">
        <v>4.1500000000000004</v>
      </c>
      <c r="F4355" s="53">
        <v>2.1469999999999998</v>
      </c>
      <c r="G4355" s="53">
        <f t="shared" si="81"/>
        <v>8.91005</v>
      </c>
      <c r="H4355" s="38">
        <f>SUM(G4355:G4360)</f>
        <v>11.807755199999999</v>
      </c>
      <c r="I4355" s="39"/>
      <c r="J4355" s="148">
        <v>0</v>
      </c>
      <c r="K4355" s="222">
        <v>0</v>
      </c>
    </row>
    <row r="4356" spans="1:11" hidden="1" x14ac:dyDescent="0.25">
      <c r="A4356" s="207"/>
      <c r="B4356" s="205"/>
      <c r="C4356" s="35" t="s">
        <v>3520</v>
      </c>
      <c r="D4356" s="35" t="s">
        <v>92</v>
      </c>
      <c r="E4356" s="36">
        <v>1.0289999999999999</v>
      </c>
      <c r="F4356" s="53" t="s">
        <v>514</v>
      </c>
      <c r="G4356" s="53" t="str">
        <f t="shared" si="81"/>
        <v/>
      </c>
      <c r="H4356" s="72"/>
      <c r="I4356" s="73"/>
      <c r="J4356" s="148">
        <v>0</v>
      </c>
      <c r="K4356" s="222">
        <v>0</v>
      </c>
    </row>
    <row r="4357" spans="1:11" hidden="1" x14ac:dyDescent="0.25">
      <c r="A4357" s="207"/>
      <c r="B4357" s="205"/>
      <c r="C4357" s="35" t="s">
        <v>696</v>
      </c>
      <c r="D4357" s="35" t="s">
        <v>695</v>
      </c>
      <c r="E4357" s="36">
        <v>7.2999999999999995E-2</v>
      </c>
      <c r="F4357" s="53">
        <v>18.420500000000001</v>
      </c>
      <c r="G4357" s="53">
        <f t="shared" ref="G4357:G4420" si="82">IF(ISNUMBER(F4357),E4357*F4357,"")</f>
        <v>1.3446965</v>
      </c>
      <c r="H4357" s="72"/>
      <c r="I4357" s="73"/>
      <c r="J4357" s="148">
        <v>0</v>
      </c>
      <c r="K4357" s="222">
        <v>0</v>
      </c>
    </row>
    <row r="4358" spans="1:11" hidden="1" x14ac:dyDescent="0.25">
      <c r="A4358" s="207"/>
      <c r="B4358" s="205"/>
      <c r="C4358" s="35" t="s">
        <v>1293</v>
      </c>
      <c r="D4358" s="35" t="s">
        <v>695</v>
      </c>
      <c r="E4358" s="36">
        <v>0.06</v>
      </c>
      <c r="F4358" s="53">
        <v>24.414999999999999</v>
      </c>
      <c r="G4358" s="53">
        <f t="shared" si="82"/>
        <v>1.4648999999999999</v>
      </c>
      <c r="H4358" s="72"/>
      <c r="I4358" s="73"/>
      <c r="J4358" s="148">
        <v>0</v>
      </c>
      <c r="K4358" s="222">
        <v>0</v>
      </c>
    </row>
    <row r="4359" spans="1:11" ht="25.5" hidden="1" x14ac:dyDescent="0.25">
      <c r="A4359" s="207"/>
      <c r="B4359" s="205"/>
      <c r="C4359" s="35" t="s">
        <v>1294</v>
      </c>
      <c r="D4359" s="35" t="s">
        <v>932</v>
      </c>
      <c r="E4359" s="36">
        <v>1.8E-3</v>
      </c>
      <c r="F4359" s="53">
        <v>20.4345</v>
      </c>
      <c r="G4359" s="53">
        <f t="shared" si="82"/>
        <v>3.6782099999999998E-2</v>
      </c>
      <c r="H4359" s="72"/>
      <c r="I4359" s="73"/>
      <c r="J4359" s="148">
        <v>0</v>
      </c>
      <c r="K4359" s="222">
        <v>0</v>
      </c>
    </row>
    <row r="4360" spans="1:11" ht="25.5" hidden="1" x14ac:dyDescent="0.25">
      <c r="A4360" s="207"/>
      <c r="B4360" s="205"/>
      <c r="C4360" s="35" t="s">
        <v>1295</v>
      </c>
      <c r="D4360" s="35" t="s">
        <v>934</v>
      </c>
      <c r="E4360" s="36">
        <v>2.5999999999999999E-3</v>
      </c>
      <c r="F4360" s="53">
        <v>19.741</v>
      </c>
      <c r="G4360" s="53">
        <f t="shared" si="82"/>
        <v>5.13266E-2</v>
      </c>
      <c r="H4360" s="72"/>
      <c r="I4360" s="73"/>
      <c r="J4360" s="148">
        <v>0</v>
      </c>
      <c r="K4360" s="222">
        <v>0</v>
      </c>
    </row>
    <row r="4361" spans="1:11" ht="15.75" hidden="1" thickBot="1" x14ac:dyDescent="0.3">
      <c r="A4361" s="208"/>
      <c r="B4361" s="206"/>
      <c r="C4361" s="54"/>
      <c r="D4361" s="54"/>
      <c r="E4361" s="65"/>
      <c r="F4361" s="75" t="s">
        <v>514</v>
      </c>
      <c r="G4361" s="75" t="str">
        <f t="shared" si="82"/>
        <v/>
      </c>
      <c r="H4361" s="76"/>
      <c r="I4361" s="73"/>
      <c r="J4361" s="148">
        <v>0</v>
      </c>
      <c r="K4361" s="222">
        <v>0</v>
      </c>
    </row>
    <row r="4362" spans="1:11" ht="15.75" hidden="1" thickBot="1" x14ac:dyDescent="0.3">
      <c r="A4362" s="202" t="s">
        <v>1297</v>
      </c>
      <c r="B4362" s="204" t="str">
        <f>INDEX(Orçamentária!A:B,MATCH(Composições!A4362,Orçamentária!A:A,0),2)</f>
        <v>Telha metálica trapezoidal galvanizada - GR-25</v>
      </c>
      <c r="C4362" s="40"/>
      <c r="D4362" s="25" t="str">
        <f>TRIM(INDEX(Orçamentária!C:C,MATCH(Composições!A4362,Orçamentária!A:A,0),1))</f>
        <v>m2</v>
      </c>
      <c r="E4362" s="26"/>
      <c r="F4362" s="48" t="s">
        <v>514</v>
      </c>
      <c r="G4362" s="27" t="str">
        <f t="shared" si="82"/>
        <v/>
      </c>
      <c r="H4362" s="28"/>
      <c r="I4362" s="29"/>
      <c r="J4362" s="148">
        <v>0</v>
      </c>
      <c r="K4362" s="222">
        <v>0</v>
      </c>
    </row>
    <row r="4363" spans="1:11" hidden="1" x14ac:dyDescent="0.25">
      <c r="A4363" s="207"/>
      <c r="B4363" s="205"/>
      <c r="C4363" s="31"/>
      <c r="D4363" s="31"/>
      <c r="E4363" s="32"/>
      <c r="F4363" s="53" t="s">
        <v>514</v>
      </c>
      <c r="G4363" s="53" t="str">
        <f t="shared" si="82"/>
        <v/>
      </c>
      <c r="H4363" s="72"/>
      <c r="I4363" s="73"/>
      <c r="J4363" s="148">
        <v>0</v>
      </c>
      <c r="K4363" s="222">
        <v>0</v>
      </c>
    </row>
    <row r="4364" spans="1:11" ht="25.5" hidden="1" x14ac:dyDescent="0.25">
      <c r="A4364" s="207"/>
      <c r="B4364" s="205"/>
      <c r="C4364" s="35" t="s">
        <v>1298</v>
      </c>
      <c r="D4364" s="46" t="s">
        <v>982</v>
      </c>
      <c r="E4364" s="36">
        <v>1.1659999999999999</v>
      </c>
      <c r="F4364" s="53" t="s">
        <v>514</v>
      </c>
      <c r="G4364" s="53" t="str">
        <f t="shared" si="82"/>
        <v/>
      </c>
      <c r="H4364" s="38">
        <f>SUM(G4364:G4369)</f>
        <v>12.962657849999999</v>
      </c>
      <c r="I4364" s="39"/>
      <c r="J4364" s="148">
        <v>0</v>
      </c>
      <c r="K4364" s="222">
        <v>0</v>
      </c>
    </row>
    <row r="4365" spans="1:11" ht="38.25" hidden="1" x14ac:dyDescent="0.25">
      <c r="A4365" s="207"/>
      <c r="B4365" s="205"/>
      <c r="C4365" s="35" t="s">
        <v>1292</v>
      </c>
      <c r="D4365" s="46" t="s">
        <v>732</v>
      </c>
      <c r="E4365" s="36">
        <v>4.1500000000000004</v>
      </c>
      <c r="F4365" s="53">
        <v>2.1469999999999998</v>
      </c>
      <c r="G4365" s="53">
        <f t="shared" si="82"/>
        <v>8.91005</v>
      </c>
      <c r="H4365" s="72"/>
      <c r="I4365" s="73"/>
      <c r="J4365" s="148">
        <v>0</v>
      </c>
      <c r="K4365" s="222">
        <v>0</v>
      </c>
    </row>
    <row r="4366" spans="1:11" hidden="1" x14ac:dyDescent="0.25">
      <c r="A4366" s="207"/>
      <c r="B4366" s="205"/>
      <c r="C4366" s="35" t="s">
        <v>696</v>
      </c>
      <c r="D4366" s="35" t="s">
        <v>695</v>
      </c>
      <c r="E4366" s="36">
        <v>9.7000000000000003E-2</v>
      </c>
      <c r="F4366" s="53">
        <v>18.420500000000001</v>
      </c>
      <c r="G4366" s="53">
        <f t="shared" si="82"/>
        <v>1.7867885000000001</v>
      </c>
      <c r="H4366" s="72"/>
      <c r="I4366" s="73"/>
      <c r="J4366" s="148">
        <v>0</v>
      </c>
      <c r="K4366" s="222">
        <v>0</v>
      </c>
    </row>
    <row r="4367" spans="1:11" hidden="1" x14ac:dyDescent="0.25">
      <c r="A4367" s="207"/>
      <c r="B4367" s="205"/>
      <c r="C4367" s="35" t="s">
        <v>1293</v>
      </c>
      <c r="D4367" s="35" t="s">
        <v>695</v>
      </c>
      <c r="E4367" s="36">
        <v>9.0999999999999998E-2</v>
      </c>
      <c r="F4367" s="53">
        <v>24.414999999999999</v>
      </c>
      <c r="G4367" s="53">
        <f t="shared" si="82"/>
        <v>2.221765</v>
      </c>
      <c r="H4367" s="72"/>
      <c r="I4367" s="73"/>
      <c r="J4367" s="148">
        <v>0</v>
      </c>
      <c r="K4367" s="222">
        <v>0</v>
      </c>
    </row>
    <row r="4368" spans="1:11" ht="25.5" hidden="1" x14ac:dyDescent="0.25">
      <c r="A4368" s="207"/>
      <c r="B4368" s="205"/>
      <c r="C4368" s="35" t="s">
        <v>1294</v>
      </c>
      <c r="D4368" s="35" t="s">
        <v>932</v>
      </c>
      <c r="E4368" s="36">
        <v>8.9999999999999998E-4</v>
      </c>
      <c r="F4368" s="53">
        <v>20.4345</v>
      </c>
      <c r="G4368" s="53">
        <f t="shared" si="82"/>
        <v>1.8391049999999999E-2</v>
      </c>
      <c r="H4368" s="72"/>
      <c r="I4368" s="73"/>
      <c r="J4368" s="148">
        <v>0</v>
      </c>
      <c r="K4368" s="222">
        <v>0</v>
      </c>
    </row>
    <row r="4369" spans="1:11" ht="25.5" hidden="1" x14ac:dyDescent="0.25">
      <c r="A4369" s="207"/>
      <c r="B4369" s="205"/>
      <c r="C4369" s="35" t="s">
        <v>1295</v>
      </c>
      <c r="D4369" s="35" t="s">
        <v>934</v>
      </c>
      <c r="E4369" s="36">
        <v>1.2999999999999999E-3</v>
      </c>
      <c r="F4369" s="53">
        <v>19.741</v>
      </c>
      <c r="G4369" s="53">
        <f t="shared" si="82"/>
        <v>2.56633E-2</v>
      </c>
      <c r="H4369" s="72"/>
      <c r="I4369" s="73"/>
      <c r="J4369" s="148">
        <v>0</v>
      </c>
      <c r="K4369" s="222">
        <v>0</v>
      </c>
    </row>
    <row r="4370" spans="1:11" ht="15.75" hidden="1" thickBot="1" x14ac:dyDescent="0.3">
      <c r="A4370" s="208"/>
      <c r="B4370" s="206"/>
      <c r="C4370" s="54"/>
      <c r="D4370" s="54"/>
      <c r="E4370" s="65"/>
      <c r="F4370" s="75" t="s">
        <v>514</v>
      </c>
      <c r="G4370" s="75" t="str">
        <f t="shared" si="82"/>
        <v/>
      </c>
      <c r="H4370" s="76"/>
      <c r="I4370" s="73"/>
      <c r="J4370" s="148">
        <v>0</v>
      </c>
      <c r="K4370" s="222">
        <v>0</v>
      </c>
    </row>
    <row r="4371" spans="1:11" ht="15.75" hidden="1" thickBot="1" x14ac:dyDescent="0.3">
      <c r="A4371" s="202" t="s">
        <v>1299</v>
      </c>
      <c r="B4371" s="204" t="str">
        <f>INDEX(Orçamentária!A:B,MATCH(Composições!A4371,Orçamentária!A:A,0),2)</f>
        <v>Cumeeira para telha metálica trapezoidal galvanizada - GR-25</v>
      </c>
      <c r="C4371" s="40"/>
      <c r="D4371" s="25" t="str">
        <f>TRIM(INDEX(Orçamentária!C:C,MATCH(Composições!A4371,Orçamentária!A:A,0),1))</f>
        <v>m</v>
      </c>
      <c r="E4371" s="26"/>
      <c r="F4371" s="48" t="s">
        <v>514</v>
      </c>
      <c r="G4371" s="27" t="str">
        <f t="shared" si="82"/>
        <v/>
      </c>
      <c r="H4371" s="28"/>
      <c r="I4371" s="29"/>
      <c r="J4371" s="148">
        <v>0</v>
      </c>
      <c r="K4371" s="222">
        <v>0</v>
      </c>
    </row>
    <row r="4372" spans="1:11" hidden="1" x14ac:dyDescent="0.25">
      <c r="A4372" s="207"/>
      <c r="B4372" s="205"/>
      <c r="C4372" s="31"/>
      <c r="D4372" s="31"/>
      <c r="E4372" s="32"/>
      <c r="F4372" s="53" t="s">
        <v>514</v>
      </c>
      <c r="G4372" s="53" t="str">
        <f t="shared" si="82"/>
        <v/>
      </c>
      <c r="H4372" s="72"/>
      <c r="I4372" s="73"/>
      <c r="J4372" s="148">
        <v>0</v>
      </c>
      <c r="K4372" s="222">
        <v>0</v>
      </c>
    </row>
    <row r="4373" spans="1:11" ht="38.25" hidden="1" x14ac:dyDescent="0.25">
      <c r="A4373" s="207"/>
      <c r="B4373" s="205"/>
      <c r="C4373" s="35" t="s">
        <v>1292</v>
      </c>
      <c r="D4373" s="46" t="s">
        <v>732</v>
      </c>
      <c r="E4373" s="36">
        <v>4.1500000000000004</v>
      </c>
      <c r="F4373" s="53">
        <v>2.1469999999999998</v>
      </c>
      <c r="G4373" s="53">
        <f t="shared" si="82"/>
        <v>8.91005</v>
      </c>
      <c r="H4373" s="38">
        <f>SUM(G4373:G4378)</f>
        <v>11.807755199999999</v>
      </c>
      <c r="I4373" s="39"/>
      <c r="J4373" s="148">
        <v>0</v>
      </c>
      <c r="K4373" s="222">
        <v>0</v>
      </c>
    </row>
    <row r="4374" spans="1:11" hidden="1" x14ac:dyDescent="0.25">
      <c r="A4374" s="207"/>
      <c r="B4374" s="205"/>
      <c r="C4374" s="35" t="s">
        <v>3519</v>
      </c>
      <c r="D4374" s="35" t="s">
        <v>92</v>
      </c>
      <c r="E4374" s="36">
        <v>1.0289999999999999</v>
      </c>
      <c r="F4374" s="53" t="s">
        <v>514</v>
      </c>
      <c r="G4374" s="53" t="str">
        <f t="shared" si="82"/>
        <v/>
      </c>
      <c r="H4374" s="72"/>
      <c r="I4374" s="73"/>
      <c r="J4374" s="148">
        <v>0</v>
      </c>
      <c r="K4374" s="222">
        <v>0</v>
      </c>
    </row>
    <row r="4375" spans="1:11" hidden="1" x14ac:dyDescent="0.25">
      <c r="A4375" s="207"/>
      <c r="B4375" s="205"/>
      <c r="C4375" s="35" t="s">
        <v>696</v>
      </c>
      <c r="D4375" s="35" t="s">
        <v>695</v>
      </c>
      <c r="E4375" s="36">
        <v>7.2999999999999995E-2</v>
      </c>
      <c r="F4375" s="53">
        <v>18.420500000000001</v>
      </c>
      <c r="G4375" s="53">
        <f t="shared" si="82"/>
        <v>1.3446965</v>
      </c>
      <c r="H4375" s="72"/>
      <c r="I4375" s="73"/>
      <c r="J4375" s="148">
        <v>0</v>
      </c>
      <c r="K4375" s="222">
        <v>0</v>
      </c>
    </row>
    <row r="4376" spans="1:11" hidden="1" x14ac:dyDescent="0.25">
      <c r="A4376" s="207"/>
      <c r="B4376" s="205"/>
      <c r="C4376" s="35" t="s">
        <v>1293</v>
      </c>
      <c r="D4376" s="35" t="s">
        <v>695</v>
      </c>
      <c r="E4376" s="36">
        <v>0.06</v>
      </c>
      <c r="F4376" s="53">
        <v>24.414999999999999</v>
      </c>
      <c r="G4376" s="53">
        <f t="shared" si="82"/>
        <v>1.4648999999999999</v>
      </c>
      <c r="H4376" s="72"/>
      <c r="I4376" s="73"/>
      <c r="J4376" s="148">
        <v>0</v>
      </c>
      <c r="K4376" s="222">
        <v>0</v>
      </c>
    </row>
    <row r="4377" spans="1:11" ht="25.5" hidden="1" x14ac:dyDescent="0.25">
      <c r="A4377" s="207"/>
      <c r="B4377" s="205"/>
      <c r="C4377" s="35" t="s">
        <v>1294</v>
      </c>
      <c r="D4377" s="35" t="s">
        <v>932</v>
      </c>
      <c r="E4377" s="36">
        <v>1.8E-3</v>
      </c>
      <c r="F4377" s="53">
        <v>20.4345</v>
      </c>
      <c r="G4377" s="53">
        <f t="shared" si="82"/>
        <v>3.6782099999999998E-2</v>
      </c>
      <c r="H4377" s="72"/>
      <c r="I4377" s="73"/>
      <c r="J4377" s="148">
        <v>0</v>
      </c>
      <c r="K4377" s="222">
        <v>0</v>
      </c>
    </row>
    <row r="4378" spans="1:11" ht="25.5" hidden="1" x14ac:dyDescent="0.25">
      <c r="A4378" s="207"/>
      <c r="B4378" s="205"/>
      <c r="C4378" s="35" t="s">
        <v>1295</v>
      </c>
      <c r="D4378" s="35" t="s">
        <v>934</v>
      </c>
      <c r="E4378" s="36">
        <v>2.5999999999999999E-3</v>
      </c>
      <c r="F4378" s="53">
        <v>19.741</v>
      </c>
      <c r="G4378" s="53">
        <f t="shared" si="82"/>
        <v>5.13266E-2</v>
      </c>
      <c r="H4378" s="72"/>
      <c r="I4378" s="73"/>
      <c r="J4378" s="148">
        <v>0</v>
      </c>
      <c r="K4378" s="222">
        <v>0</v>
      </c>
    </row>
    <row r="4379" spans="1:11" ht="15.75" hidden="1" thickBot="1" x14ac:dyDescent="0.3">
      <c r="A4379" s="208"/>
      <c r="B4379" s="206"/>
      <c r="C4379" s="54"/>
      <c r="D4379" s="54"/>
      <c r="E4379" s="65"/>
      <c r="F4379" s="75" t="s">
        <v>514</v>
      </c>
      <c r="G4379" s="75" t="str">
        <f t="shared" si="82"/>
        <v/>
      </c>
      <c r="H4379" s="76"/>
      <c r="I4379" s="73"/>
      <c r="J4379" s="148">
        <v>0</v>
      </c>
      <c r="K4379" s="222">
        <v>0</v>
      </c>
    </row>
    <row r="4380" spans="1:11" ht="15.75" hidden="1" thickBot="1" x14ac:dyDescent="0.3">
      <c r="A4380" s="202" t="s">
        <v>1300</v>
      </c>
      <c r="B4380" s="204" t="str">
        <f>INDEX(Orçamentária!A:B,MATCH(Composições!A4380,Orçamentária!A:A,0),2)</f>
        <v>Telha de fibrocimento modulada - espessura 8mm</v>
      </c>
      <c r="C4380" s="40"/>
      <c r="D4380" s="25" t="str">
        <f>TRIM(INDEX(Orçamentária!C:C,MATCH(Composições!A4380,Orçamentária!A:A,0),1))</f>
        <v>m2</v>
      </c>
      <c r="E4380" s="26"/>
      <c r="F4380" s="48" t="s">
        <v>514</v>
      </c>
      <c r="G4380" s="27" t="str">
        <f t="shared" si="82"/>
        <v/>
      </c>
      <c r="H4380" s="28"/>
      <c r="I4380" s="29"/>
      <c r="J4380" s="148">
        <v>0</v>
      </c>
      <c r="K4380" s="222">
        <v>0</v>
      </c>
    </row>
    <row r="4381" spans="1:11" hidden="1" x14ac:dyDescent="0.25">
      <c r="A4381" s="207"/>
      <c r="B4381" s="205"/>
      <c r="C4381" s="31"/>
      <c r="D4381" s="31"/>
      <c r="E4381" s="32"/>
      <c r="F4381" s="53" t="s">
        <v>514</v>
      </c>
      <c r="G4381" s="53" t="str">
        <f t="shared" si="82"/>
        <v/>
      </c>
      <c r="H4381" s="72"/>
      <c r="I4381" s="73"/>
      <c r="J4381" s="148">
        <v>0</v>
      </c>
      <c r="K4381" s="222">
        <v>0</v>
      </c>
    </row>
    <row r="4382" spans="1:11" hidden="1" x14ac:dyDescent="0.25">
      <c r="A4382" s="207"/>
      <c r="B4382" s="205"/>
      <c r="C4382" s="35" t="s">
        <v>1293</v>
      </c>
      <c r="D4382" s="35" t="s">
        <v>12</v>
      </c>
      <c r="E4382" s="36">
        <v>0.3</v>
      </c>
      <c r="F4382" s="53">
        <v>24.414999999999999</v>
      </c>
      <c r="G4382" s="53">
        <f t="shared" si="82"/>
        <v>7.3244999999999996</v>
      </c>
      <c r="H4382" s="38">
        <f>SUM(G4382:G4388)</f>
        <v>18.376799999999999</v>
      </c>
      <c r="I4382" s="39"/>
      <c r="J4382" s="148">
        <v>0</v>
      </c>
      <c r="K4382" s="222">
        <v>0</v>
      </c>
    </row>
    <row r="4383" spans="1:11" hidden="1" x14ac:dyDescent="0.25">
      <c r="A4383" s="207"/>
      <c r="B4383" s="205"/>
      <c r="C4383" s="35" t="s">
        <v>696</v>
      </c>
      <c r="D4383" s="35" t="s">
        <v>12</v>
      </c>
      <c r="E4383" s="36">
        <v>0.6</v>
      </c>
      <c r="F4383" s="53">
        <v>18.420500000000001</v>
      </c>
      <c r="G4383" s="53">
        <f t="shared" si="82"/>
        <v>11.052300000000001</v>
      </c>
      <c r="H4383" s="72"/>
      <c r="I4383" s="73"/>
      <c r="J4383" s="148">
        <v>0</v>
      </c>
      <c r="K4383" s="222">
        <v>0</v>
      </c>
    </row>
    <row r="4384" spans="1:11" hidden="1" x14ac:dyDescent="0.25">
      <c r="A4384" s="207"/>
      <c r="B4384" s="205"/>
      <c r="C4384" s="35" t="s">
        <v>1301</v>
      </c>
      <c r="D4384" s="35" t="s">
        <v>278</v>
      </c>
      <c r="E4384" s="36">
        <v>1.1100000000000001</v>
      </c>
      <c r="F4384" s="53">
        <v>0</v>
      </c>
      <c r="G4384" s="53">
        <f t="shared" si="82"/>
        <v>0</v>
      </c>
      <c r="H4384" s="72"/>
      <c r="I4384" s="73"/>
      <c r="J4384" s="148">
        <v>0</v>
      </c>
      <c r="K4384" s="222">
        <v>0</v>
      </c>
    </row>
    <row r="4385" spans="1:11" hidden="1" x14ac:dyDescent="0.25">
      <c r="A4385" s="207"/>
      <c r="B4385" s="205"/>
      <c r="C4385" s="35" t="s">
        <v>1302</v>
      </c>
      <c r="D4385" s="35" t="s">
        <v>94</v>
      </c>
      <c r="E4385" s="36">
        <v>1.24</v>
      </c>
      <c r="F4385" s="53">
        <v>0</v>
      </c>
      <c r="G4385" s="53">
        <f t="shared" si="82"/>
        <v>0</v>
      </c>
      <c r="H4385" s="72"/>
      <c r="I4385" s="73"/>
      <c r="J4385" s="148">
        <v>0</v>
      </c>
      <c r="K4385" s="222">
        <v>0</v>
      </c>
    </row>
    <row r="4386" spans="1:11" ht="25.5" hidden="1" x14ac:dyDescent="0.25">
      <c r="A4386" s="207"/>
      <c r="B4386" s="205"/>
      <c r="C4386" s="35" t="s">
        <v>1303</v>
      </c>
      <c r="D4386" s="35" t="s">
        <v>278</v>
      </c>
      <c r="E4386" s="36">
        <v>1.1100000000000001</v>
      </c>
      <c r="F4386" s="53">
        <v>0</v>
      </c>
      <c r="G4386" s="53">
        <f t="shared" si="82"/>
        <v>0</v>
      </c>
      <c r="H4386" s="72"/>
      <c r="I4386" s="73"/>
      <c r="J4386" s="148">
        <v>0</v>
      </c>
      <c r="K4386" s="222">
        <v>0</v>
      </c>
    </row>
    <row r="4387" spans="1:11" hidden="1" x14ac:dyDescent="0.25">
      <c r="A4387" s="207"/>
      <c r="B4387" s="205"/>
      <c r="C4387" s="35" t="s">
        <v>1304</v>
      </c>
      <c r="D4387" s="35" t="s">
        <v>278</v>
      </c>
      <c r="E4387" s="36">
        <v>1</v>
      </c>
      <c r="F4387" s="53">
        <v>0</v>
      </c>
      <c r="G4387" s="53">
        <f t="shared" si="82"/>
        <v>0</v>
      </c>
      <c r="H4387" s="72"/>
      <c r="I4387" s="73"/>
      <c r="J4387" s="148">
        <v>0</v>
      </c>
      <c r="K4387" s="222">
        <v>0</v>
      </c>
    </row>
    <row r="4388" spans="1:11" hidden="1" x14ac:dyDescent="0.25">
      <c r="A4388" s="207"/>
      <c r="B4388" s="205"/>
      <c r="C4388" s="35" t="s">
        <v>1305</v>
      </c>
      <c r="D4388" s="35" t="s">
        <v>278</v>
      </c>
      <c r="E4388" s="36">
        <v>1.1100000000000001</v>
      </c>
      <c r="F4388" s="53">
        <v>0</v>
      </c>
      <c r="G4388" s="53">
        <f t="shared" si="82"/>
        <v>0</v>
      </c>
      <c r="H4388" s="72"/>
      <c r="I4388" s="73"/>
      <c r="J4388" s="148">
        <v>0</v>
      </c>
      <c r="K4388" s="222">
        <v>0</v>
      </c>
    </row>
    <row r="4389" spans="1:11" ht="15.75" hidden="1" thickBot="1" x14ac:dyDescent="0.3">
      <c r="A4389" s="208"/>
      <c r="B4389" s="206"/>
      <c r="C4389" s="54"/>
      <c r="D4389" s="54"/>
      <c r="E4389" s="65"/>
      <c r="F4389" s="75" t="s">
        <v>514</v>
      </c>
      <c r="G4389" s="75" t="str">
        <f t="shared" si="82"/>
        <v/>
      </c>
      <c r="H4389" s="76"/>
      <c r="I4389" s="73"/>
      <c r="J4389" s="148">
        <v>0</v>
      </c>
      <c r="K4389" s="222">
        <v>0</v>
      </c>
    </row>
    <row r="4390" spans="1:11" ht="15.75" hidden="1" thickBot="1" x14ac:dyDescent="0.3">
      <c r="A4390" s="202" t="s">
        <v>1306</v>
      </c>
      <c r="B4390" s="204" t="str">
        <f>INDEX(Orçamentária!A:B,MATCH(Composições!A4390,Orçamentária!A:A,0),2)</f>
        <v>Cumeeira articulada ABA SUPERIOR de fibrocimento para telha modulada - espessura 6 mm</v>
      </c>
      <c r="C4390" s="40"/>
      <c r="D4390" s="25" t="str">
        <f>TRIM(INDEX(Orçamentária!C:C,MATCH(Composições!A4390,Orçamentária!A:A,0),1))</f>
        <v>m</v>
      </c>
      <c r="E4390" s="26"/>
      <c r="F4390" s="48" t="s">
        <v>514</v>
      </c>
      <c r="G4390" s="27" t="str">
        <f t="shared" si="82"/>
        <v/>
      </c>
      <c r="H4390" s="28"/>
      <c r="I4390" s="29"/>
      <c r="J4390" s="148">
        <v>0</v>
      </c>
      <c r="K4390" s="222">
        <v>0</v>
      </c>
    </row>
    <row r="4391" spans="1:11" hidden="1" x14ac:dyDescent="0.25">
      <c r="A4391" s="207"/>
      <c r="B4391" s="205"/>
      <c r="C4391" s="31"/>
      <c r="D4391" s="31"/>
      <c r="E4391" s="32"/>
      <c r="F4391" s="53" t="s">
        <v>514</v>
      </c>
      <c r="G4391" s="53" t="str">
        <f t="shared" si="82"/>
        <v/>
      </c>
      <c r="H4391" s="72"/>
      <c r="I4391" s="73"/>
      <c r="J4391" s="148">
        <v>0</v>
      </c>
      <c r="K4391" s="222">
        <v>0</v>
      </c>
    </row>
    <row r="4392" spans="1:11" hidden="1" x14ac:dyDescent="0.25">
      <c r="A4392" s="207"/>
      <c r="B4392" s="205"/>
      <c r="C4392" s="35" t="s">
        <v>1293</v>
      </c>
      <c r="D4392" s="35" t="s">
        <v>12</v>
      </c>
      <c r="E4392" s="36">
        <f>0.12/2</f>
        <v>0.06</v>
      </c>
      <c r="F4392" s="53">
        <v>24.414999999999999</v>
      </c>
      <c r="G4392" s="53">
        <f t="shared" si="82"/>
        <v>1.4648999999999999</v>
      </c>
      <c r="H4392" s="38">
        <f>SUM(G4392:G4396)</f>
        <v>2.5701299999999998</v>
      </c>
      <c r="I4392" s="39"/>
      <c r="J4392" s="148">
        <v>0</v>
      </c>
      <c r="K4392" s="222">
        <v>0</v>
      </c>
    </row>
    <row r="4393" spans="1:11" hidden="1" x14ac:dyDescent="0.25">
      <c r="A4393" s="207"/>
      <c r="B4393" s="205"/>
      <c r="C4393" s="35" t="s">
        <v>696</v>
      </c>
      <c r="D4393" s="35" t="s">
        <v>12</v>
      </c>
      <c r="E4393" s="36">
        <f>0.12/2</f>
        <v>0.06</v>
      </c>
      <c r="F4393" s="53">
        <v>18.420500000000001</v>
      </c>
      <c r="G4393" s="53">
        <f t="shared" si="82"/>
        <v>1.1052299999999999</v>
      </c>
      <c r="H4393" s="72"/>
      <c r="I4393" s="73"/>
      <c r="J4393" s="148">
        <v>0</v>
      </c>
      <c r="K4393" s="222">
        <v>0</v>
      </c>
    </row>
    <row r="4394" spans="1:11" hidden="1" x14ac:dyDescent="0.25">
      <c r="A4394" s="207"/>
      <c r="B4394" s="205"/>
      <c r="C4394" s="35" t="s">
        <v>1301</v>
      </c>
      <c r="D4394" s="35" t="s">
        <v>278</v>
      </c>
      <c r="E4394" s="36">
        <f>4.12/2</f>
        <v>2.06</v>
      </c>
      <c r="F4394" s="53">
        <v>0</v>
      </c>
      <c r="G4394" s="53">
        <f t="shared" si="82"/>
        <v>0</v>
      </c>
      <c r="H4394" s="72"/>
      <c r="I4394" s="73"/>
      <c r="J4394" s="148">
        <v>0</v>
      </c>
      <c r="K4394" s="222">
        <v>0</v>
      </c>
    </row>
    <row r="4395" spans="1:11" ht="25.5" hidden="1" x14ac:dyDescent="0.25">
      <c r="A4395" s="207"/>
      <c r="B4395" s="205"/>
      <c r="C4395" s="35" t="s">
        <v>1307</v>
      </c>
      <c r="D4395" s="35" t="s">
        <v>278</v>
      </c>
      <c r="E4395" s="36">
        <v>2.06</v>
      </c>
      <c r="F4395" s="53">
        <v>0</v>
      </c>
      <c r="G4395" s="53">
        <f t="shared" si="82"/>
        <v>0</v>
      </c>
      <c r="H4395" s="72"/>
      <c r="I4395" s="73"/>
      <c r="J4395" s="148">
        <v>0</v>
      </c>
      <c r="K4395" s="222">
        <v>0</v>
      </c>
    </row>
    <row r="4396" spans="1:11" hidden="1" x14ac:dyDescent="0.25">
      <c r="A4396" s="207"/>
      <c r="B4396" s="205"/>
      <c r="C4396" s="35" t="s">
        <v>1305</v>
      </c>
      <c r="D4396" s="35" t="s">
        <v>278</v>
      </c>
      <c r="E4396" s="36">
        <f>4.12/2</f>
        <v>2.06</v>
      </c>
      <c r="F4396" s="53">
        <v>0</v>
      </c>
      <c r="G4396" s="53">
        <f t="shared" si="82"/>
        <v>0</v>
      </c>
      <c r="H4396" s="72"/>
      <c r="I4396" s="73"/>
      <c r="J4396" s="148">
        <v>0</v>
      </c>
      <c r="K4396" s="222">
        <v>0</v>
      </c>
    </row>
    <row r="4397" spans="1:11" ht="15.75" hidden="1" thickBot="1" x14ac:dyDescent="0.3">
      <c r="A4397" s="208"/>
      <c r="B4397" s="206"/>
      <c r="C4397" s="54"/>
      <c r="D4397" s="54"/>
      <c r="E4397" s="65"/>
      <c r="F4397" s="75" t="s">
        <v>514</v>
      </c>
      <c r="G4397" s="75" t="str">
        <f t="shared" si="82"/>
        <v/>
      </c>
      <c r="H4397" s="76"/>
      <c r="I4397" s="73"/>
      <c r="J4397" s="148">
        <v>0</v>
      </c>
      <c r="K4397" s="222">
        <v>0</v>
      </c>
    </row>
    <row r="4398" spans="1:11" ht="15.75" hidden="1" thickBot="1" x14ac:dyDescent="0.3">
      <c r="A4398" s="202" t="s">
        <v>1308</v>
      </c>
      <c r="B4398" s="204" t="str">
        <f>INDEX(Orçamentária!A:B,MATCH(Composições!A4398,Orçamentária!A:A,0),2)</f>
        <v>Cumeeira articulada ABA INFERIOR de fibrocimento para telha modulada - espessura 6 mm</v>
      </c>
      <c r="C4398" s="40"/>
      <c r="D4398" s="25" t="str">
        <f>TRIM(INDEX(Orçamentária!C:C,MATCH(Composições!A4398,Orçamentária!A:A,0),1))</f>
        <v>m</v>
      </c>
      <c r="E4398" s="26"/>
      <c r="F4398" s="48" t="s">
        <v>514</v>
      </c>
      <c r="G4398" s="27" t="str">
        <f t="shared" si="82"/>
        <v/>
      </c>
      <c r="H4398" s="28"/>
      <c r="I4398" s="29"/>
      <c r="J4398" s="148">
        <v>0</v>
      </c>
      <c r="K4398" s="222">
        <v>0</v>
      </c>
    </row>
    <row r="4399" spans="1:11" hidden="1" x14ac:dyDescent="0.25">
      <c r="A4399" s="207"/>
      <c r="B4399" s="205"/>
      <c r="C4399" s="31"/>
      <c r="D4399" s="31"/>
      <c r="E4399" s="32"/>
      <c r="F4399" s="53" t="s">
        <v>514</v>
      </c>
      <c r="G4399" s="53" t="str">
        <f t="shared" si="82"/>
        <v/>
      </c>
      <c r="H4399" s="72"/>
      <c r="I4399" s="73"/>
      <c r="J4399" s="148">
        <v>0</v>
      </c>
      <c r="K4399" s="222">
        <v>0</v>
      </c>
    </row>
    <row r="4400" spans="1:11" hidden="1" x14ac:dyDescent="0.25">
      <c r="A4400" s="207"/>
      <c r="B4400" s="205"/>
      <c r="C4400" s="35" t="s">
        <v>1293</v>
      </c>
      <c r="D4400" s="35" t="s">
        <v>12</v>
      </c>
      <c r="E4400" s="36">
        <f>0.12/2</f>
        <v>0.06</v>
      </c>
      <c r="F4400" s="53">
        <v>24.414999999999999</v>
      </c>
      <c r="G4400" s="53">
        <f t="shared" si="82"/>
        <v>1.4648999999999999</v>
      </c>
      <c r="H4400" s="38">
        <f>SUM(G4400:G4404)</f>
        <v>2.5701299999999998</v>
      </c>
      <c r="I4400" s="39"/>
      <c r="J4400" s="148">
        <v>0</v>
      </c>
      <c r="K4400" s="222">
        <v>0</v>
      </c>
    </row>
    <row r="4401" spans="1:11" hidden="1" x14ac:dyDescent="0.25">
      <c r="A4401" s="207"/>
      <c r="B4401" s="205"/>
      <c r="C4401" s="35" t="s">
        <v>696</v>
      </c>
      <c r="D4401" s="35" t="s">
        <v>12</v>
      </c>
      <c r="E4401" s="36">
        <f>0.12/2</f>
        <v>0.06</v>
      </c>
      <c r="F4401" s="53">
        <v>18.420500000000001</v>
      </c>
      <c r="G4401" s="53">
        <f t="shared" si="82"/>
        <v>1.1052299999999999</v>
      </c>
      <c r="H4401" s="72"/>
      <c r="I4401" s="73"/>
      <c r="J4401" s="148">
        <v>0</v>
      </c>
      <c r="K4401" s="222">
        <v>0</v>
      </c>
    </row>
    <row r="4402" spans="1:11" hidden="1" x14ac:dyDescent="0.25">
      <c r="A4402" s="207"/>
      <c r="B4402" s="205"/>
      <c r="C4402" s="35" t="s">
        <v>1301</v>
      </c>
      <c r="D4402" s="35" t="s">
        <v>278</v>
      </c>
      <c r="E4402" s="36">
        <f>4.12/2</f>
        <v>2.06</v>
      </c>
      <c r="F4402" s="53">
        <v>0</v>
      </c>
      <c r="G4402" s="53">
        <f t="shared" si="82"/>
        <v>0</v>
      </c>
      <c r="H4402" s="72"/>
      <c r="I4402" s="73"/>
      <c r="J4402" s="148">
        <v>0</v>
      </c>
      <c r="K4402" s="222">
        <v>0</v>
      </c>
    </row>
    <row r="4403" spans="1:11" ht="25.5" hidden="1" x14ac:dyDescent="0.25">
      <c r="A4403" s="207"/>
      <c r="B4403" s="205"/>
      <c r="C4403" s="35" t="s">
        <v>1309</v>
      </c>
      <c r="D4403" s="35" t="s">
        <v>278</v>
      </c>
      <c r="E4403" s="36">
        <v>2.06</v>
      </c>
      <c r="F4403" s="53">
        <v>0</v>
      </c>
      <c r="G4403" s="53">
        <f t="shared" si="82"/>
        <v>0</v>
      </c>
      <c r="H4403" s="72"/>
      <c r="I4403" s="73"/>
      <c r="J4403" s="148">
        <v>0</v>
      </c>
      <c r="K4403" s="222">
        <v>0</v>
      </c>
    </row>
    <row r="4404" spans="1:11" hidden="1" x14ac:dyDescent="0.25">
      <c r="A4404" s="207"/>
      <c r="B4404" s="205"/>
      <c r="C4404" s="35" t="s">
        <v>1305</v>
      </c>
      <c r="D4404" s="35" t="s">
        <v>278</v>
      </c>
      <c r="E4404" s="36">
        <f>4.12/2</f>
        <v>2.06</v>
      </c>
      <c r="F4404" s="53">
        <v>0</v>
      </c>
      <c r="G4404" s="53">
        <f t="shared" si="82"/>
        <v>0</v>
      </c>
      <c r="H4404" s="72"/>
      <c r="I4404" s="73"/>
      <c r="J4404" s="148">
        <v>0</v>
      </c>
      <c r="K4404" s="222">
        <v>0</v>
      </c>
    </row>
    <row r="4405" spans="1:11" ht="15.75" hidden="1" thickBot="1" x14ac:dyDescent="0.3">
      <c r="A4405" s="208"/>
      <c r="B4405" s="206"/>
      <c r="C4405" s="54"/>
      <c r="D4405" s="54"/>
      <c r="E4405" s="65"/>
      <c r="F4405" s="75" t="s">
        <v>514</v>
      </c>
      <c r="G4405" s="75" t="str">
        <f t="shared" si="82"/>
        <v/>
      </c>
      <c r="H4405" s="76"/>
      <c r="I4405" s="73"/>
      <c r="J4405" s="148">
        <v>0</v>
      </c>
      <c r="K4405" s="222">
        <v>0</v>
      </c>
    </row>
    <row r="4406" spans="1:11" ht="15.75" hidden="1" thickBot="1" x14ac:dyDescent="0.3">
      <c r="A4406" s="202" t="s">
        <v>1310</v>
      </c>
      <c r="B4406" s="204" t="str">
        <f>INDEX(Orçamentária!A:B,MATCH(Composições!A4406,Orçamentária!A:A,0),2)</f>
        <v>Telha de fibrocimento ondulada - espessura 6mm</v>
      </c>
      <c r="C4406" s="40"/>
      <c r="D4406" s="25" t="str">
        <f>TRIM(INDEX(Orçamentária!C:C,MATCH(Composições!A4406,Orçamentária!A:A,0),1))</f>
        <v>m2</v>
      </c>
      <c r="E4406" s="26"/>
      <c r="F4406" s="48" t="s">
        <v>514</v>
      </c>
      <c r="G4406" s="27" t="str">
        <f t="shared" si="82"/>
        <v/>
      </c>
      <c r="H4406" s="28"/>
      <c r="I4406" s="29"/>
      <c r="J4406" s="148">
        <v>0</v>
      </c>
      <c r="K4406" s="222">
        <v>0</v>
      </c>
    </row>
    <row r="4407" spans="1:11" hidden="1" x14ac:dyDescent="0.25">
      <c r="A4407" s="207"/>
      <c r="B4407" s="205"/>
      <c r="C4407" s="31"/>
      <c r="D4407" s="31"/>
      <c r="E4407" s="32"/>
      <c r="F4407" s="53" t="s">
        <v>514</v>
      </c>
      <c r="G4407" s="53" t="str">
        <f t="shared" si="82"/>
        <v/>
      </c>
      <c r="H4407" s="72"/>
      <c r="I4407" s="73"/>
      <c r="J4407" s="148">
        <v>0</v>
      </c>
      <c r="K4407" s="222">
        <v>0</v>
      </c>
    </row>
    <row r="4408" spans="1:11" ht="38.25" hidden="1" x14ac:dyDescent="0.25">
      <c r="A4408" s="207"/>
      <c r="B4408" s="205"/>
      <c r="C4408" s="35" t="s">
        <v>1311</v>
      </c>
      <c r="D4408" s="46" t="s">
        <v>732</v>
      </c>
      <c r="E4408" s="36">
        <v>1.27</v>
      </c>
      <c r="F4408" s="53">
        <v>0.28499999999999998</v>
      </c>
      <c r="G4408" s="53">
        <f t="shared" si="82"/>
        <v>0.36194999999999999</v>
      </c>
      <c r="H4408" s="38">
        <f>SUM(G4408:G4414)</f>
        <v>42.898752899999991</v>
      </c>
      <c r="I4408" s="39"/>
      <c r="J4408" s="148">
        <v>0</v>
      </c>
      <c r="K4408" s="222">
        <v>0</v>
      </c>
    </row>
    <row r="4409" spans="1:11" ht="25.5" hidden="1" x14ac:dyDescent="0.25">
      <c r="A4409" s="207"/>
      <c r="B4409" s="205"/>
      <c r="C4409" s="35" t="s">
        <v>1312</v>
      </c>
      <c r="D4409" s="35" t="s">
        <v>278</v>
      </c>
      <c r="E4409" s="36">
        <v>1.27</v>
      </c>
      <c r="F4409" s="53">
        <v>4.3414999999999999</v>
      </c>
      <c r="G4409" s="53">
        <f t="shared" si="82"/>
        <v>5.5137049999999999</v>
      </c>
      <c r="H4409" s="72"/>
      <c r="I4409" s="73"/>
      <c r="J4409" s="148">
        <v>0</v>
      </c>
      <c r="K4409" s="222">
        <v>0</v>
      </c>
    </row>
    <row r="4410" spans="1:11" ht="25.5" hidden="1" x14ac:dyDescent="0.25">
      <c r="A4410" s="207"/>
      <c r="B4410" s="205"/>
      <c r="C4410" s="35" t="s">
        <v>1313</v>
      </c>
      <c r="D4410" s="35" t="s">
        <v>982</v>
      </c>
      <c r="E4410" s="36">
        <v>1.2749999999999999</v>
      </c>
      <c r="F4410" s="53">
        <v>24.481499999999997</v>
      </c>
      <c r="G4410" s="53">
        <f t="shared" si="82"/>
        <v>31.213912499999992</v>
      </c>
      <c r="H4410" s="72"/>
      <c r="I4410" s="73"/>
      <c r="J4410" s="148">
        <v>0</v>
      </c>
      <c r="K4410" s="222">
        <v>0</v>
      </c>
    </row>
    <row r="4411" spans="1:11" hidden="1" x14ac:dyDescent="0.25">
      <c r="A4411" s="207"/>
      <c r="B4411" s="205"/>
      <c r="C4411" s="35" t="s">
        <v>696</v>
      </c>
      <c r="D4411" s="35" t="s">
        <v>695</v>
      </c>
      <c r="E4411" s="36">
        <v>0.15</v>
      </c>
      <c r="F4411" s="53">
        <v>18.420500000000001</v>
      </c>
      <c r="G4411" s="53">
        <f t="shared" si="82"/>
        <v>2.7630750000000002</v>
      </c>
      <c r="H4411" s="72"/>
      <c r="I4411" s="73"/>
      <c r="J4411" s="148">
        <v>0</v>
      </c>
      <c r="K4411" s="222">
        <v>0</v>
      </c>
    </row>
    <row r="4412" spans="1:11" hidden="1" x14ac:dyDescent="0.25">
      <c r="A4412" s="207"/>
      <c r="B4412" s="205"/>
      <c r="C4412" s="35" t="s">
        <v>1293</v>
      </c>
      <c r="D4412" s="35" t="s">
        <v>695</v>
      </c>
      <c r="E4412" s="36">
        <v>0.115</v>
      </c>
      <c r="F4412" s="53">
        <v>24.414999999999999</v>
      </c>
      <c r="G4412" s="53">
        <f t="shared" si="82"/>
        <v>2.807725</v>
      </c>
      <c r="H4412" s="72"/>
      <c r="I4412" s="73"/>
      <c r="J4412" s="148">
        <v>0</v>
      </c>
      <c r="K4412" s="222">
        <v>0</v>
      </c>
    </row>
    <row r="4413" spans="1:11" ht="25.5" hidden="1" x14ac:dyDescent="0.25">
      <c r="A4413" s="207"/>
      <c r="B4413" s="205"/>
      <c r="C4413" s="35" t="s">
        <v>1294</v>
      </c>
      <c r="D4413" s="35" t="s">
        <v>932</v>
      </c>
      <c r="E4413" s="36">
        <v>5.0000000000000001E-3</v>
      </c>
      <c r="F4413" s="53">
        <v>20.4345</v>
      </c>
      <c r="G4413" s="53">
        <f t="shared" si="82"/>
        <v>0.1021725</v>
      </c>
      <c r="H4413" s="72"/>
      <c r="I4413" s="73"/>
      <c r="J4413" s="148">
        <v>0</v>
      </c>
      <c r="K4413" s="222">
        <v>0</v>
      </c>
    </row>
    <row r="4414" spans="1:11" ht="25.5" hidden="1" x14ac:dyDescent="0.25">
      <c r="A4414" s="207"/>
      <c r="B4414" s="205"/>
      <c r="C4414" s="35" t="s">
        <v>1295</v>
      </c>
      <c r="D4414" s="35" t="s">
        <v>934</v>
      </c>
      <c r="E4414" s="36">
        <v>6.8999999999999999E-3</v>
      </c>
      <c r="F4414" s="53">
        <v>19.741</v>
      </c>
      <c r="G4414" s="53">
        <f t="shared" si="82"/>
        <v>0.1362129</v>
      </c>
      <c r="H4414" s="72"/>
      <c r="I4414" s="73"/>
      <c r="J4414" s="148">
        <v>0</v>
      </c>
      <c r="K4414" s="222">
        <v>0</v>
      </c>
    </row>
    <row r="4415" spans="1:11" ht="15.75" hidden="1" thickBot="1" x14ac:dyDescent="0.3">
      <c r="A4415" s="208"/>
      <c r="B4415" s="206"/>
      <c r="C4415" s="54"/>
      <c r="D4415" s="54"/>
      <c r="E4415" s="65"/>
      <c r="F4415" s="75" t="s">
        <v>514</v>
      </c>
      <c r="G4415" s="75" t="str">
        <f t="shared" si="82"/>
        <v/>
      </c>
      <c r="H4415" s="76"/>
      <c r="I4415" s="73"/>
      <c r="J4415" s="148">
        <v>0</v>
      </c>
      <c r="K4415" s="222">
        <v>0</v>
      </c>
    </row>
    <row r="4416" spans="1:11" ht="15.75" hidden="1" thickBot="1" x14ac:dyDescent="0.3">
      <c r="A4416" s="202" t="s">
        <v>1314</v>
      </c>
      <c r="B4416" s="204" t="str">
        <f>INDEX(Orçamentária!A:B,MATCH(Composições!A4416,Orçamentária!A:A,0),2)</f>
        <v>Cumeeira UNIVERSAL para telha de fibrocimento ondulada - espessura 6 mm</v>
      </c>
      <c r="C4416" s="40"/>
      <c r="D4416" s="25" t="str">
        <f>TRIM(INDEX(Orçamentária!C:C,MATCH(Composições!A4416,Orçamentária!A:A,0),1))</f>
        <v>m</v>
      </c>
      <c r="E4416" s="26"/>
      <c r="F4416" s="48" t="s">
        <v>514</v>
      </c>
      <c r="G4416" s="27" t="str">
        <f t="shared" si="82"/>
        <v/>
      </c>
      <c r="H4416" s="28"/>
      <c r="I4416" s="29"/>
      <c r="J4416" s="148">
        <v>0</v>
      </c>
      <c r="K4416" s="222">
        <v>0</v>
      </c>
    </row>
    <row r="4417" spans="1:11" hidden="1" x14ac:dyDescent="0.25">
      <c r="A4417" s="207"/>
      <c r="B4417" s="205"/>
      <c r="C4417" s="31"/>
      <c r="D4417" s="31"/>
      <c r="E4417" s="32"/>
      <c r="F4417" s="53" t="s">
        <v>514</v>
      </c>
      <c r="G4417" s="53" t="str">
        <f t="shared" si="82"/>
        <v/>
      </c>
      <c r="H4417" s="72"/>
      <c r="I4417" s="73"/>
      <c r="J4417" s="148">
        <v>0</v>
      </c>
      <c r="K4417" s="222">
        <v>0</v>
      </c>
    </row>
    <row r="4418" spans="1:11" ht="38.25" hidden="1" x14ac:dyDescent="0.25">
      <c r="A4418" s="207"/>
      <c r="B4418" s="205"/>
      <c r="C4418" s="35" t="s">
        <v>1311</v>
      </c>
      <c r="D4418" s="46" t="s">
        <v>732</v>
      </c>
      <c r="E4418" s="36">
        <v>4.2</v>
      </c>
      <c r="F4418" s="53">
        <v>0.28499999999999998</v>
      </c>
      <c r="G4418" s="53">
        <f t="shared" si="82"/>
        <v>1.1969999999999998</v>
      </c>
      <c r="H4418" s="38">
        <f>SUM(G4418:G4424)</f>
        <v>75.615255699999977</v>
      </c>
      <c r="I4418" s="39"/>
      <c r="J4418" s="148">
        <v>0</v>
      </c>
      <c r="K4418" s="222">
        <v>0</v>
      </c>
    </row>
    <row r="4419" spans="1:11" ht="25.5" hidden="1" x14ac:dyDescent="0.25">
      <c r="A4419" s="207"/>
      <c r="B4419" s="205"/>
      <c r="C4419" s="35" t="s">
        <v>1312</v>
      </c>
      <c r="D4419" s="35" t="s">
        <v>278</v>
      </c>
      <c r="E4419" s="36">
        <v>4.2</v>
      </c>
      <c r="F4419" s="53">
        <v>4.3414999999999999</v>
      </c>
      <c r="G4419" s="53">
        <f t="shared" si="82"/>
        <v>18.234300000000001</v>
      </c>
      <c r="H4419" s="72"/>
      <c r="I4419" s="73"/>
      <c r="J4419" s="148">
        <v>0</v>
      </c>
      <c r="K4419" s="222">
        <v>0</v>
      </c>
    </row>
    <row r="4420" spans="1:11" ht="25.5" hidden="1" x14ac:dyDescent="0.25">
      <c r="A4420" s="207"/>
      <c r="B4420" s="205"/>
      <c r="C4420" s="35" t="s">
        <v>1315</v>
      </c>
      <c r="D4420" s="35" t="s">
        <v>278</v>
      </c>
      <c r="E4420" s="36">
        <v>1.0289999999999999</v>
      </c>
      <c r="F4420" s="53">
        <v>51.784499999999994</v>
      </c>
      <c r="G4420" s="53">
        <f t="shared" si="82"/>
        <v>53.286250499999987</v>
      </c>
      <c r="H4420" s="72"/>
      <c r="I4420" s="73"/>
      <c r="J4420" s="148">
        <v>0</v>
      </c>
      <c r="K4420" s="222">
        <v>0</v>
      </c>
    </row>
    <row r="4421" spans="1:11" hidden="1" x14ac:dyDescent="0.25">
      <c r="A4421" s="207"/>
      <c r="B4421" s="205"/>
      <c r="C4421" s="35" t="s">
        <v>696</v>
      </c>
      <c r="D4421" s="35" t="s">
        <v>695</v>
      </c>
      <c r="E4421" s="36">
        <v>7.2999999999999995E-2</v>
      </c>
      <c r="F4421" s="53">
        <v>18.420500000000001</v>
      </c>
      <c r="G4421" s="53">
        <f t="shared" ref="G4421:G4484" si="83">IF(ISNUMBER(F4421),E4421*F4421,"")</f>
        <v>1.3446965</v>
      </c>
      <c r="H4421" s="72"/>
      <c r="I4421" s="73"/>
      <c r="J4421" s="148">
        <v>0</v>
      </c>
      <c r="K4421" s="222">
        <v>0</v>
      </c>
    </row>
    <row r="4422" spans="1:11" hidden="1" x14ac:dyDescent="0.25">
      <c r="A4422" s="207"/>
      <c r="B4422" s="205"/>
      <c r="C4422" s="35" t="s">
        <v>1293</v>
      </c>
      <c r="D4422" s="35" t="s">
        <v>695</v>
      </c>
      <c r="E4422" s="36">
        <v>0.06</v>
      </c>
      <c r="F4422" s="53">
        <v>24.414999999999999</v>
      </c>
      <c r="G4422" s="53">
        <f t="shared" si="83"/>
        <v>1.4648999999999999</v>
      </c>
      <c r="H4422" s="72"/>
      <c r="I4422" s="73"/>
      <c r="J4422" s="148">
        <v>0</v>
      </c>
      <c r="K4422" s="222">
        <v>0</v>
      </c>
    </row>
    <row r="4423" spans="1:11" ht="25.5" hidden="1" x14ac:dyDescent="0.25">
      <c r="A4423" s="207"/>
      <c r="B4423" s="205"/>
      <c r="C4423" s="35" t="s">
        <v>1294</v>
      </c>
      <c r="D4423" s="35" t="s">
        <v>932</v>
      </c>
      <c r="E4423" s="36">
        <v>1.8E-3</v>
      </c>
      <c r="F4423" s="53">
        <v>20.4345</v>
      </c>
      <c r="G4423" s="53">
        <f t="shared" si="83"/>
        <v>3.6782099999999998E-2</v>
      </c>
      <c r="H4423" s="72"/>
      <c r="I4423" s="73"/>
      <c r="J4423" s="148">
        <v>0</v>
      </c>
      <c r="K4423" s="222">
        <v>0</v>
      </c>
    </row>
    <row r="4424" spans="1:11" ht="25.5" hidden="1" x14ac:dyDescent="0.25">
      <c r="A4424" s="207"/>
      <c r="B4424" s="205"/>
      <c r="C4424" s="35" t="s">
        <v>1295</v>
      </c>
      <c r="D4424" s="35" t="s">
        <v>934</v>
      </c>
      <c r="E4424" s="36">
        <v>2.5999999999999999E-3</v>
      </c>
      <c r="F4424" s="53">
        <v>19.741</v>
      </c>
      <c r="G4424" s="53">
        <f t="shared" si="83"/>
        <v>5.13266E-2</v>
      </c>
      <c r="H4424" s="72"/>
      <c r="I4424" s="73"/>
      <c r="J4424" s="148">
        <v>0</v>
      </c>
      <c r="K4424" s="222">
        <v>0</v>
      </c>
    </row>
    <row r="4425" spans="1:11" ht="15.75" hidden="1" thickBot="1" x14ac:dyDescent="0.3">
      <c r="A4425" s="208"/>
      <c r="B4425" s="206"/>
      <c r="C4425" s="54"/>
      <c r="D4425" s="54"/>
      <c r="E4425" s="65"/>
      <c r="F4425" s="75" t="s">
        <v>514</v>
      </c>
      <c r="G4425" s="75" t="str">
        <f t="shared" si="83"/>
        <v/>
      </c>
      <c r="H4425" s="76"/>
      <c r="I4425" s="73"/>
      <c r="J4425" s="148">
        <v>0</v>
      </c>
      <c r="K4425" s="222">
        <v>0</v>
      </c>
    </row>
    <row r="4426" spans="1:11" ht="15.75" hidden="1" thickBot="1" x14ac:dyDescent="0.3">
      <c r="A4426" s="202" t="s">
        <v>1316</v>
      </c>
      <c r="B4426" s="204" t="str">
        <f>INDEX(Orçamentária!A:B,MATCH(Composições!A4426,Orçamentária!A:A,0),2)</f>
        <v>Cumeeira TIPO SHED para telha de fibrocimento ondulada - espessura 6 mm</v>
      </c>
      <c r="C4426" s="40"/>
      <c r="D4426" s="25" t="str">
        <f>TRIM(INDEX(Orçamentária!C:C,MATCH(Composições!A4426,Orçamentária!A:A,0),1))</f>
        <v>m</v>
      </c>
      <c r="E4426" s="26"/>
      <c r="F4426" s="48" t="s">
        <v>514</v>
      </c>
      <c r="G4426" s="27" t="str">
        <f t="shared" si="83"/>
        <v/>
      </c>
      <c r="H4426" s="28"/>
      <c r="I4426" s="29"/>
      <c r="J4426" s="148">
        <v>0</v>
      </c>
      <c r="K4426" s="222">
        <v>0</v>
      </c>
    </row>
    <row r="4427" spans="1:11" hidden="1" x14ac:dyDescent="0.25">
      <c r="A4427" s="207"/>
      <c r="B4427" s="205"/>
      <c r="C4427" s="31"/>
      <c r="D4427" s="31"/>
      <c r="E4427" s="32"/>
      <c r="F4427" s="53" t="s">
        <v>514</v>
      </c>
      <c r="G4427" s="53" t="str">
        <f t="shared" si="83"/>
        <v/>
      </c>
      <c r="H4427" s="72"/>
      <c r="I4427" s="73"/>
      <c r="J4427" s="148">
        <v>0</v>
      </c>
      <c r="K4427" s="222">
        <v>0</v>
      </c>
    </row>
    <row r="4428" spans="1:11" ht="38.25" hidden="1" x14ac:dyDescent="0.25">
      <c r="A4428" s="207"/>
      <c r="B4428" s="205"/>
      <c r="C4428" s="35" t="s">
        <v>1311</v>
      </c>
      <c r="D4428" s="46" t="s">
        <v>732</v>
      </c>
      <c r="E4428" s="36">
        <v>4.2</v>
      </c>
      <c r="F4428" s="53">
        <v>0.28499999999999998</v>
      </c>
      <c r="G4428" s="53">
        <f t="shared" si="83"/>
        <v>1.1969999999999998</v>
      </c>
      <c r="H4428" s="38">
        <f>SUM(G4428:G4434)</f>
        <v>81.61377419999998</v>
      </c>
      <c r="I4428" s="39"/>
      <c r="J4428" s="148">
        <v>0</v>
      </c>
      <c r="K4428" s="222">
        <v>0</v>
      </c>
    </row>
    <row r="4429" spans="1:11" ht="25.5" hidden="1" x14ac:dyDescent="0.25">
      <c r="A4429" s="207"/>
      <c r="B4429" s="205"/>
      <c r="C4429" s="35" t="s">
        <v>1312</v>
      </c>
      <c r="D4429" s="35" t="s">
        <v>278</v>
      </c>
      <c r="E4429" s="36">
        <v>4.2</v>
      </c>
      <c r="F4429" s="53">
        <v>4.3414999999999999</v>
      </c>
      <c r="G4429" s="53">
        <f t="shared" si="83"/>
        <v>18.234300000000001</v>
      </c>
      <c r="H4429" s="72"/>
      <c r="I4429" s="73"/>
      <c r="J4429" s="148">
        <v>0</v>
      </c>
      <c r="K4429" s="222">
        <v>0</v>
      </c>
    </row>
    <row r="4430" spans="1:11" ht="25.5" hidden="1" x14ac:dyDescent="0.25">
      <c r="A4430" s="207"/>
      <c r="B4430" s="205"/>
      <c r="C4430" s="35" t="s">
        <v>1317</v>
      </c>
      <c r="D4430" s="35" t="s">
        <v>278</v>
      </c>
      <c r="E4430" s="36">
        <v>1.0289999999999999</v>
      </c>
      <c r="F4430" s="53">
        <v>58.387</v>
      </c>
      <c r="G4430" s="53">
        <f t="shared" si="83"/>
        <v>60.080222999999997</v>
      </c>
      <c r="H4430" s="72"/>
      <c r="I4430" s="73"/>
      <c r="J4430" s="148">
        <v>0</v>
      </c>
      <c r="K4430" s="222">
        <v>0</v>
      </c>
    </row>
    <row r="4431" spans="1:11" hidden="1" x14ac:dyDescent="0.25">
      <c r="A4431" s="207"/>
      <c r="B4431" s="205"/>
      <c r="C4431" s="35" t="s">
        <v>696</v>
      </c>
      <c r="D4431" s="35" t="s">
        <v>695</v>
      </c>
      <c r="E4431" s="36">
        <v>5.5E-2</v>
      </c>
      <c r="F4431" s="53">
        <v>18.420500000000001</v>
      </c>
      <c r="G4431" s="53">
        <f t="shared" si="83"/>
        <v>1.0131275</v>
      </c>
      <c r="H4431" s="72"/>
      <c r="I4431" s="73"/>
      <c r="J4431" s="148">
        <v>0</v>
      </c>
      <c r="K4431" s="222">
        <v>0</v>
      </c>
    </row>
    <row r="4432" spans="1:11" hidden="1" x14ac:dyDescent="0.25">
      <c r="A4432" s="207"/>
      <c r="B4432" s="205"/>
      <c r="C4432" s="35" t="s">
        <v>1293</v>
      </c>
      <c r="D4432" s="35" t="s">
        <v>695</v>
      </c>
      <c r="E4432" s="36">
        <v>4.1000000000000002E-2</v>
      </c>
      <c r="F4432" s="53">
        <v>24.414999999999999</v>
      </c>
      <c r="G4432" s="53">
        <f t="shared" si="83"/>
        <v>1.001015</v>
      </c>
      <c r="H4432" s="72"/>
      <c r="I4432" s="73"/>
      <c r="J4432" s="148">
        <v>0</v>
      </c>
      <c r="K4432" s="222">
        <v>0</v>
      </c>
    </row>
    <row r="4433" spans="1:11" ht="25.5" hidden="1" x14ac:dyDescent="0.25">
      <c r="A4433" s="207"/>
      <c r="B4433" s="205"/>
      <c r="C4433" s="35" t="s">
        <v>1294</v>
      </c>
      <c r="D4433" s="35" t="s">
        <v>932</v>
      </c>
      <c r="E4433" s="36">
        <v>1.8E-3</v>
      </c>
      <c r="F4433" s="53">
        <v>20.4345</v>
      </c>
      <c r="G4433" s="53">
        <f t="shared" si="83"/>
        <v>3.6782099999999998E-2</v>
      </c>
      <c r="H4433" s="72"/>
      <c r="I4433" s="73"/>
      <c r="J4433" s="148">
        <v>0</v>
      </c>
      <c r="K4433" s="222">
        <v>0</v>
      </c>
    </row>
    <row r="4434" spans="1:11" ht="25.5" hidden="1" x14ac:dyDescent="0.25">
      <c r="A4434" s="207"/>
      <c r="B4434" s="205"/>
      <c r="C4434" s="35" t="s">
        <v>1295</v>
      </c>
      <c r="D4434" s="35" t="s">
        <v>934</v>
      </c>
      <c r="E4434" s="36">
        <v>2.5999999999999999E-3</v>
      </c>
      <c r="F4434" s="53">
        <v>19.741</v>
      </c>
      <c r="G4434" s="53">
        <f t="shared" si="83"/>
        <v>5.13266E-2</v>
      </c>
      <c r="H4434" s="72"/>
      <c r="I4434" s="73"/>
      <c r="J4434" s="148">
        <v>0</v>
      </c>
      <c r="K4434" s="222">
        <v>0</v>
      </c>
    </row>
    <row r="4435" spans="1:11" ht="15.75" hidden="1" thickBot="1" x14ac:dyDescent="0.3">
      <c r="A4435" s="208"/>
      <c r="B4435" s="206"/>
      <c r="C4435" s="54"/>
      <c r="D4435" s="54"/>
      <c r="E4435" s="65"/>
      <c r="F4435" s="75" t="s">
        <v>514</v>
      </c>
      <c r="G4435" s="75" t="str">
        <f t="shared" si="83"/>
        <v/>
      </c>
      <c r="H4435" s="76"/>
      <c r="I4435" s="73"/>
      <c r="J4435" s="148">
        <v>0</v>
      </c>
      <c r="K4435" s="222">
        <v>0</v>
      </c>
    </row>
    <row r="4436" spans="1:11" ht="15.75" hidden="1" thickBot="1" x14ac:dyDescent="0.3">
      <c r="A4436" s="202" t="s">
        <v>1318</v>
      </c>
      <c r="B4436" s="204" t="str">
        <f>INDEX(Orçamentária!A:B,MATCH(Composições!A4436,Orçamentária!A:A,0),2)</f>
        <v>Telha de fibrocimento - Canalete 49 Eternit</v>
      </c>
      <c r="C4436" s="40"/>
      <c r="D4436" s="25" t="str">
        <f>TRIM(INDEX(Orçamentária!C:C,MATCH(Composições!A4436,Orçamentária!A:A,0),1))</f>
        <v>m2</v>
      </c>
      <c r="E4436" s="26"/>
      <c r="F4436" s="48" t="s">
        <v>514</v>
      </c>
      <c r="G4436" s="27" t="str">
        <f t="shared" si="83"/>
        <v/>
      </c>
      <c r="H4436" s="28"/>
      <c r="I4436" s="29"/>
      <c r="J4436" s="148">
        <v>0</v>
      </c>
      <c r="K4436" s="222">
        <v>0</v>
      </c>
    </row>
    <row r="4437" spans="1:11" hidden="1" x14ac:dyDescent="0.25">
      <c r="A4437" s="207"/>
      <c r="B4437" s="205"/>
      <c r="C4437" s="31"/>
      <c r="D4437" s="31"/>
      <c r="E4437" s="32"/>
      <c r="F4437" s="53" t="s">
        <v>514</v>
      </c>
      <c r="G4437" s="53" t="str">
        <f t="shared" si="83"/>
        <v/>
      </c>
      <c r="H4437" s="72"/>
      <c r="I4437" s="73"/>
      <c r="J4437" s="148">
        <v>0</v>
      </c>
      <c r="K4437" s="222">
        <v>0</v>
      </c>
    </row>
    <row r="4438" spans="1:11" hidden="1" x14ac:dyDescent="0.25">
      <c r="A4438" s="207"/>
      <c r="B4438" s="205"/>
      <c r="C4438" s="35" t="s">
        <v>1293</v>
      </c>
      <c r="D4438" s="35" t="s">
        <v>12</v>
      </c>
      <c r="E4438" s="36">
        <v>0.15</v>
      </c>
      <c r="F4438" s="53">
        <v>24.414999999999999</v>
      </c>
      <c r="G4438" s="53">
        <f t="shared" si="83"/>
        <v>3.6622499999999998</v>
      </c>
      <c r="H4438" s="38">
        <f>SUM(G4438:G4442)</f>
        <v>6.425325</v>
      </c>
      <c r="I4438" s="39"/>
      <c r="J4438" s="148">
        <v>0</v>
      </c>
      <c r="K4438" s="222">
        <v>0</v>
      </c>
    </row>
    <row r="4439" spans="1:11" hidden="1" x14ac:dyDescent="0.25">
      <c r="A4439" s="207"/>
      <c r="B4439" s="205"/>
      <c r="C4439" s="35" t="s">
        <v>696</v>
      </c>
      <c r="D4439" s="35" t="s">
        <v>12</v>
      </c>
      <c r="E4439" s="36">
        <v>0.15</v>
      </c>
      <c r="F4439" s="53">
        <v>18.420500000000001</v>
      </c>
      <c r="G4439" s="53">
        <f t="shared" si="83"/>
        <v>2.7630750000000002</v>
      </c>
      <c r="H4439" s="72"/>
      <c r="I4439" s="73"/>
      <c r="J4439" s="148">
        <v>0</v>
      </c>
      <c r="K4439" s="222">
        <v>0</v>
      </c>
    </row>
    <row r="4440" spans="1:11" hidden="1" x14ac:dyDescent="0.25">
      <c r="A4440" s="207"/>
      <c r="B4440" s="205"/>
      <c r="C4440" s="35" t="s">
        <v>1301</v>
      </c>
      <c r="D4440" s="35" t="s">
        <v>278</v>
      </c>
      <c r="E4440" s="36">
        <v>4.12</v>
      </c>
      <c r="F4440" s="53">
        <v>0</v>
      </c>
      <c r="G4440" s="53">
        <f t="shared" si="83"/>
        <v>0</v>
      </c>
      <c r="H4440" s="72"/>
      <c r="I4440" s="73"/>
      <c r="J4440" s="148">
        <v>0</v>
      </c>
      <c r="K4440" s="222">
        <v>0</v>
      </c>
    </row>
    <row r="4441" spans="1:11" hidden="1" x14ac:dyDescent="0.25">
      <c r="A4441" s="207"/>
      <c r="B4441" s="205"/>
      <c r="C4441" s="35" t="s">
        <v>3515</v>
      </c>
      <c r="D4441" s="35" t="s">
        <v>94</v>
      </c>
      <c r="E4441" s="36">
        <v>1.06</v>
      </c>
      <c r="F4441" s="53">
        <v>0</v>
      </c>
      <c r="G4441" s="53">
        <f t="shared" si="83"/>
        <v>0</v>
      </c>
      <c r="H4441" s="72"/>
      <c r="I4441" s="73"/>
      <c r="J4441" s="148">
        <v>0</v>
      </c>
      <c r="K4441" s="222">
        <v>0</v>
      </c>
    </row>
    <row r="4442" spans="1:11" hidden="1" x14ac:dyDescent="0.25">
      <c r="A4442" s="207"/>
      <c r="B4442" s="205"/>
      <c r="C4442" s="35" t="s">
        <v>1319</v>
      </c>
      <c r="D4442" s="35" t="s">
        <v>278</v>
      </c>
      <c r="E4442" s="36">
        <v>4.12</v>
      </c>
      <c r="F4442" s="53">
        <v>0</v>
      </c>
      <c r="G4442" s="53">
        <f t="shared" si="83"/>
        <v>0</v>
      </c>
      <c r="H4442" s="72"/>
      <c r="I4442" s="73"/>
      <c r="J4442" s="148">
        <v>0</v>
      </c>
      <c r="K4442" s="222">
        <v>0</v>
      </c>
    </row>
    <row r="4443" spans="1:11" ht="15.75" hidden="1" thickBot="1" x14ac:dyDescent="0.3">
      <c r="A4443" s="208"/>
      <c r="B4443" s="206"/>
      <c r="C4443" s="54"/>
      <c r="D4443" s="54"/>
      <c r="E4443" s="65"/>
      <c r="F4443" s="75" t="s">
        <v>514</v>
      </c>
      <c r="G4443" s="75" t="str">
        <f t="shared" si="83"/>
        <v/>
      </c>
      <c r="H4443" s="76"/>
      <c r="I4443" s="73"/>
      <c r="J4443" s="148">
        <v>0</v>
      </c>
      <c r="K4443" s="222">
        <v>0</v>
      </c>
    </row>
    <row r="4444" spans="1:11" ht="15.75" hidden="1" thickBot="1" x14ac:dyDescent="0.3">
      <c r="A4444" s="202" t="s">
        <v>1320</v>
      </c>
      <c r="B4444" s="204" t="str">
        <f>INDEX(Orçamentária!A:B,MATCH(Composições!A4444,Orçamentária!A:A,0),2)</f>
        <v>Escada tipo marinheiro COM proteção</v>
      </c>
      <c r="C4444" s="40"/>
      <c r="D4444" s="25" t="str">
        <f>TRIM(INDEX(Orçamentária!C:C,MATCH(Composições!A4444,Orçamentária!A:A,0),1))</f>
        <v>m</v>
      </c>
      <c r="E4444" s="26"/>
      <c r="F4444" s="48" t="s">
        <v>514</v>
      </c>
      <c r="G4444" s="27" t="str">
        <f t="shared" si="83"/>
        <v/>
      </c>
      <c r="H4444" s="28"/>
      <c r="I4444" s="29"/>
      <c r="J4444" s="148">
        <v>0</v>
      </c>
      <c r="K4444" s="222">
        <v>0</v>
      </c>
    </row>
    <row r="4445" spans="1:11" hidden="1" x14ac:dyDescent="0.25">
      <c r="A4445" s="207"/>
      <c r="B4445" s="205"/>
      <c r="C4445" s="31"/>
      <c r="D4445" s="31"/>
      <c r="E4445" s="32"/>
      <c r="F4445" s="53" t="s">
        <v>514</v>
      </c>
      <c r="G4445" s="53" t="str">
        <f t="shared" si="83"/>
        <v/>
      </c>
      <c r="H4445" s="72"/>
      <c r="I4445" s="73"/>
      <c r="J4445" s="148">
        <v>0</v>
      </c>
      <c r="K4445" s="222">
        <v>0</v>
      </c>
    </row>
    <row r="4446" spans="1:11" hidden="1" x14ac:dyDescent="0.25">
      <c r="A4446" s="207"/>
      <c r="B4446" s="205"/>
      <c r="C4446" s="35" t="s">
        <v>763</v>
      </c>
      <c r="D4446" s="46" t="s">
        <v>891</v>
      </c>
      <c r="E4446" s="36">
        <v>2.8</v>
      </c>
      <c r="F4446" s="53">
        <v>10.164999999999999</v>
      </c>
      <c r="G4446" s="53">
        <f t="shared" si="83"/>
        <v>28.461999999999996</v>
      </c>
      <c r="H4446" s="38">
        <f>SUM(G4446:G4454)</f>
        <v>295.34038720380647</v>
      </c>
      <c r="I4446" s="39"/>
      <c r="J4446" s="148">
        <v>0</v>
      </c>
      <c r="K4446" s="222">
        <v>0</v>
      </c>
    </row>
    <row r="4447" spans="1:11" hidden="1" x14ac:dyDescent="0.25">
      <c r="A4447" s="207"/>
      <c r="B4447" s="205"/>
      <c r="C4447" s="35" t="s">
        <v>1321</v>
      </c>
      <c r="D4447" s="35" t="s">
        <v>101</v>
      </c>
      <c r="E4447" s="36">
        <v>2.5000000000000001E-2</v>
      </c>
      <c r="F4447" s="53">
        <v>41.011499999999998</v>
      </c>
      <c r="G4447" s="53">
        <f t="shared" si="83"/>
        <v>1.0252874999999999</v>
      </c>
      <c r="H4447" s="72"/>
      <c r="I4447" s="73"/>
      <c r="J4447" s="148">
        <v>0</v>
      </c>
      <c r="K4447" s="222">
        <v>0</v>
      </c>
    </row>
    <row r="4448" spans="1:11" hidden="1" x14ac:dyDescent="0.25">
      <c r="A4448" s="207"/>
      <c r="B4448" s="205"/>
      <c r="C4448" s="35" t="s">
        <v>894</v>
      </c>
      <c r="D4448" s="35" t="s">
        <v>695</v>
      </c>
      <c r="E4448" s="36">
        <v>0.35</v>
      </c>
      <c r="F4448" s="53">
        <v>24.747499999999999</v>
      </c>
      <c r="G4448" s="53">
        <f t="shared" si="83"/>
        <v>8.661624999999999</v>
      </c>
      <c r="H4448" s="72"/>
      <c r="I4448" s="73"/>
      <c r="J4448" s="148">
        <v>0</v>
      </c>
      <c r="K4448" s="222">
        <v>0</v>
      </c>
    </row>
    <row r="4449" spans="1:11" hidden="1" x14ac:dyDescent="0.25">
      <c r="A4449" s="207"/>
      <c r="B4449" s="205"/>
      <c r="C4449" s="35" t="s">
        <v>703</v>
      </c>
      <c r="D4449" s="35" t="s">
        <v>695</v>
      </c>
      <c r="E4449" s="36">
        <v>1.1000000000000001</v>
      </c>
      <c r="F4449" s="53">
        <v>24.889999999999997</v>
      </c>
      <c r="G4449" s="53">
        <f t="shared" si="83"/>
        <v>27.378999999999998</v>
      </c>
      <c r="H4449" s="72"/>
      <c r="I4449" s="73"/>
      <c r="J4449" s="148">
        <v>0</v>
      </c>
      <c r="K4449" s="222">
        <v>0</v>
      </c>
    </row>
    <row r="4450" spans="1:11" hidden="1" x14ac:dyDescent="0.25">
      <c r="A4450" s="207"/>
      <c r="B4450" s="205"/>
      <c r="C4450" s="35" t="s">
        <v>696</v>
      </c>
      <c r="D4450" s="35" t="s">
        <v>695</v>
      </c>
      <c r="E4450" s="36">
        <v>1.1299999999999999</v>
      </c>
      <c r="F4450" s="53">
        <v>18.420500000000001</v>
      </c>
      <c r="G4450" s="53">
        <f t="shared" si="83"/>
        <v>20.815165</v>
      </c>
      <c r="H4450" s="72"/>
      <c r="I4450" s="73"/>
      <c r="J4450" s="148">
        <v>0</v>
      </c>
      <c r="K4450" s="222">
        <v>0</v>
      </c>
    </row>
    <row r="4451" spans="1:11" ht="25.5" hidden="1" x14ac:dyDescent="0.25">
      <c r="A4451" s="207"/>
      <c r="B4451" s="205"/>
      <c r="C4451" s="35" t="s">
        <v>107</v>
      </c>
      <c r="D4451" s="35" t="s">
        <v>119</v>
      </c>
      <c r="E4451" s="36">
        <v>3.5000000000000001E-3</v>
      </c>
      <c r="F4451" s="53">
        <v>723.94562965900002</v>
      </c>
      <c r="G4451" s="53">
        <f t="shared" si="83"/>
        <v>2.5338097038064999</v>
      </c>
      <c r="H4451" s="72"/>
      <c r="I4451" s="73"/>
      <c r="J4451" s="148">
        <v>0</v>
      </c>
      <c r="K4451" s="222">
        <v>0</v>
      </c>
    </row>
    <row r="4452" spans="1:11" hidden="1" x14ac:dyDescent="0.25">
      <c r="A4452" s="207"/>
      <c r="B4452" s="205"/>
      <c r="C4452" s="35" t="s">
        <v>763</v>
      </c>
      <c r="D4452" s="46" t="s">
        <v>891</v>
      </c>
      <c r="E4452" s="36">
        <v>3</v>
      </c>
      <c r="F4452" s="53">
        <v>10.164999999999999</v>
      </c>
      <c r="G4452" s="53">
        <f t="shared" si="83"/>
        <v>30.494999999999997</v>
      </c>
      <c r="H4452" s="72"/>
      <c r="I4452" s="73"/>
      <c r="J4452" s="148">
        <v>0</v>
      </c>
      <c r="K4452" s="222">
        <v>0</v>
      </c>
    </row>
    <row r="4453" spans="1:11" ht="25.5" hidden="1" x14ac:dyDescent="0.25">
      <c r="A4453" s="207"/>
      <c r="B4453" s="205"/>
      <c r="C4453" s="35" t="s">
        <v>129</v>
      </c>
      <c r="D4453" s="46" t="s">
        <v>891</v>
      </c>
      <c r="E4453" s="36">
        <v>15</v>
      </c>
      <c r="F4453" s="53">
        <v>11.067499999999999</v>
      </c>
      <c r="G4453" s="53">
        <f t="shared" si="83"/>
        <v>166.01249999999999</v>
      </c>
      <c r="H4453" s="72"/>
      <c r="I4453" s="73"/>
      <c r="J4453" s="148">
        <v>0</v>
      </c>
      <c r="K4453" s="222">
        <v>0</v>
      </c>
    </row>
    <row r="4454" spans="1:11" hidden="1" x14ac:dyDescent="0.25">
      <c r="A4454" s="207"/>
      <c r="B4454" s="205"/>
      <c r="C4454" s="35" t="s">
        <v>703</v>
      </c>
      <c r="D4454" s="35" t="s">
        <v>695</v>
      </c>
      <c r="E4454" s="36">
        <v>0.4</v>
      </c>
      <c r="F4454" s="53">
        <v>24.889999999999997</v>
      </c>
      <c r="G4454" s="53">
        <f t="shared" si="83"/>
        <v>9.9559999999999995</v>
      </c>
      <c r="H4454" s="72"/>
      <c r="I4454" s="73"/>
      <c r="J4454" s="148">
        <v>0</v>
      </c>
      <c r="K4454" s="222">
        <v>0</v>
      </c>
    </row>
    <row r="4455" spans="1:11" ht="15.75" hidden="1" thickBot="1" x14ac:dyDescent="0.3">
      <c r="A4455" s="208"/>
      <c r="B4455" s="206"/>
      <c r="C4455" s="54"/>
      <c r="D4455" s="54"/>
      <c r="E4455" s="65"/>
      <c r="F4455" s="75" t="s">
        <v>514</v>
      </c>
      <c r="G4455" s="75" t="str">
        <f t="shared" si="83"/>
        <v/>
      </c>
      <c r="H4455" s="76"/>
      <c r="I4455" s="73"/>
      <c r="J4455" s="148">
        <v>0</v>
      </c>
      <c r="K4455" s="222">
        <v>0</v>
      </c>
    </row>
    <row r="4456" spans="1:11" ht="15.75" hidden="1" thickBot="1" x14ac:dyDescent="0.3">
      <c r="A4456" s="202" t="s">
        <v>1322</v>
      </c>
      <c r="B4456" s="204" t="str">
        <f>INDEX(Orçamentária!A:B,MATCH(Composições!A4456,Orçamentária!A:A,0),2)</f>
        <v>Escada tipo marinheiro SEM proteção</v>
      </c>
      <c r="C4456" s="40"/>
      <c r="D4456" s="25" t="str">
        <f>TRIM(INDEX(Orçamentária!C:C,MATCH(Composições!A4456,Orçamentária!A:A,0),1))</f>
        <v>m</v>
      </c>
      <c r="E4456" s="26"/>
      <c r="F4456" s="48" t="s">
        <v>514</v>
      </c>
      <c r="G4456" s="27" t="str">
        <f t="shared" si="83"/>
        <v/>
      </c>
      <c r="H4456" s="28"/>
      <c r="I4456" s="29"/>
      <c r="J4456" s="148">
        <v>0</v>
      </c>
      <c r="K4456" s="222">
        <v>0</v>
      </c>
    </row>
    <row r="4457" spans="1:11" hidden="1" x14ac:dyDescent="0.25">
      <c r="A4457" s="207"/>
      <c r="B4457" s="205"/>
      <c r="C4457" s="31"/>
      <c r="D4457" s="31"/>
      <c r="E4457" s="32"/>
      <c r="F4457" s="53" t="s">
        <v>514</v>
      </c>
      <c r="G4457" s="53" t="str">
        <f t="shared" si="83"/>
        <v/>
      </c>
      <c r="H4457" s="72"/>
      <c r="I4457" s="73"/>
      <c r="J4457" s="148">
        <v>0</v>
      </c>
      <c r="K4457" s="222">
        <v>0</v>
      </c>
    </row>
    <row r="4458" spans="1:11" hidden="1" x14ac:dyDescent="0.25">
      <c r="A4458" s="207"/>
      <c r="B4458" s="205"/>
      <c r="C4458" s="35" t="s">
        <v>763</v>
      </c>
      <c r="D4458" s="46" t="s">
        <v>891</v>
      </c>
      <c r="E4458" s="36">
        <v>2.8</v>
      </c>
      <c r="F4458" s="53">
        <v>10.164999999999999</v>
      </c>
      <c r="G4458" s="53">
        <f t="shared" si="83"/>
        <v>28.461999999999996</v>
      </c>
      <c r="H4458" s="38">
        <f>SUM(G4458:G4466)</f>
        <v>139.60486190761299</v>
      </c>
      <c r="I4458" s="39"/>
      <c r="J4458" s="148">
        <v>0</v>
      </c>
      <c r="K4458" s="222">
        <v>0</v>
      </c>
    </row>
    <row r="4459" spans="1:11" hidden="1" x14ac:dyDescent="0.25">
      <c r="A4459" s="207"/>
      <c r="B4459" s="205"/>
      <c r="C4459" s="35" t="s">
        <v>1321</v>
      </c>
      <c r="D4459" s="35" t="s">
        <v>101</v>
      </c>
      <c r="E4459" s="36">
        <v>2.5000000000000001E-2</v>
      </c>
      <c r="F4459" s="53">
        <v>41.011499999999998</v>
      </c>
      <c r="G4459" s="53">
        <f t="shared" si="83"/>
        <v>1.0252874999999999</v>
      </c>
      <c r="H4459" s="72"/>
      <c r="I4459" s="73"/>
      <c r="J4459" s="148">
        <v>0</v>
      </c>
      <c r="K4459" s="222">
        <v>0</v>
      </c>
    </row>
    <row r="4460" spans="1:11" hidden="1" x14ac:dyDescent="0.25">
      <c r="A4460" s="207"/>
      <c r="B4460" s="205"/>
      <c r="C4460" s="35" t="s">
        <v>894</v>
      </c>
      <c r="D4460" s="35" t="s">
        <v>695</v>
      </c>
      <c r="E4460" s="36">
        <v>0.35</v>
      </c>
      <c r="F4460" s="53">
        <v>24.747499999999999</v>
      </c>
      <c r="G4460" s="53">
        <f t="shared" si="83"/>
        <v>8.661624999999999</v>
      </c>
      <c r="H4460" s="72"/>
      <c r="I4460" s="73"/>
      <c r="J4460" s="148">
        <v>0</v>
      </c>
      <c r="K4460" s="222">
        <v>0</v>
      </c>
    </row>
    <row r="4461" spans="1:11" hidden="1" x14ac:dyDescent="0.25">
      <c r="A4461" s="207"/>
      <c r="B4461" s="205"/>
      <c r="C4461" s="35" t="s">
        <v>703</v>
      </c>
      <c r="D4461" s="35" t="s">
        <v>695</v>
      </c>
      <c r="E4461" s="36">
        <v>1.1000000000000001</v>
      </c>
      <c r="F4461" s="53">
        <v>24.889999999999997</v>
      </c>
      <c r="G4461" s="53">
        <f t="shared" si="83"/>
        <v>27.378999999999998</v>
      </c>
      <c r="H4461" s="72"/>
      <c r="I4461" s="73"/>
      <c r="J4461" s="148">
        <v>0</v>
      </c>
      <c r="K4461" s="222">
        <v>0</v>
      </c>
    </row>
    <row r="4462" spans="1:11" hidden="1" x14ac:dyDescent="0.25">
      <c r="A4462" s="207"/>
      <c r="B4462" s="205"/>
      <c r="C4462" s="35" t="s">
        <v>696</v>
      </c>
      <c r="D4462" s="35" t="s">
        <v>695</v>
      </c>
      <c r="E4462" s="36">
        <v>1.1299999999999999</v>
      </c>
      <c r="F4462" s="53">
        <v>18.420500000000001</v>
      </c>
      <c r="G4462" s="53">
        <f t="shared" si="83"/>
        <v>20.815165</v>
      </c>
      <c r="H4462" s="72"/>
      <c r="I4462" s="73"/>
      <c r="J4462" s="148">
        <v>0</v>
      </c>
      <c r="K4462" s="222">
        <v>0</v>
      </c>
    </row>
    <row r="4463" spans="1:11" ht="25.5" hidden="1" x14ac:dyDescent="0.25">
      <c r="A4463" s="207"/>
      <c r="B4463" s="205"/>
      <c r="C4463" s="35" t="s">
        <v>107</v>
      </c>
      <c r="D4463" s="35" t="s">
        <v>119</v>
      </c>
      <c r="E4463" s="36">
        <v>3.5000000000000001E-3</v>
      </c>
      <c r="F4463" s="53">
        <v>723.94562965900002</v>
      </c>
      <c r="G4463" s="53">
        <f t="shared" si="83"/>
        <v>2.5338097038064999</v>
      </c>
      <c r="H4463" s="72"/>
      <c r="I4463" s="73"/>
      <c r="J4463" s="148">
        <v>0</v>
      </c>
      <c r="K4463" s="222">
        <v>0</v>
      </c>
    </row>
    <row r="4464" spans="1:11" hidden="1" x14ac:dyDescent="0.25">
      <c r="A4464" s="207"/>
      <c r="B4464" s="205"/>
      <c r="C4464" s="35" t="s">
        <v>703</v>
      </c>
      <c r="D4464" s="35" t="s">
        <v>695</v>
      </c>
      <c r="E4464" s="36">
        <v>1.1000000000000001</v>
      </c>
      <c r="F4464" s="53">
        <v>24.889999999999997</v>
      </c>
      <c r="G4464" s="53">
        <f t="shared" si="83"/>
        <v>27.378999999999998</v>
      </c>
      <c r="H4464" s="72"/>
      <c r="I4464" s="73"/>
      <c r="J4464" s="148">
        <v>0</v>
      </c>
      <c r="K4464" s="222">
        <v>0</v>
      </c>
    </row>
    <row r="4465" spans="1:11" hidden="1" x14ac:dyDescent="0.25">
      <c r="A4465" s="207"/>
      <c r="B4465" s="205"/>
      <c r="C4465" s="35" t="s">
        <v>696</v>
      </c>
      <c r="D4465" s="35" t="s">
        <v>695</v>
      </c>
      <c r="E4465" s="36">
        <v>1.1299999999999999</v>
      </c>
      <c r="F4465" s="53">
        <v>18.420500000000001</v>
      </c>
      <c r="G4465" s="53">
        <f t="shared" si="83"/>
        <v>20.815165</v>
      </c>
      <c r="H4465" s="72"/>
      <c r="I4465" s="73"/>
      <c r="J4465" s="148">
        <v>0</v>
      </c>
      <c r="K4465" s="222">
        <v>0</v>
      </c>
    </row>
    <row r="4466" spans="1:11" ht="25.5" hidden="1" x14ac:dyDescent="0.25">
      <c r="A4466" s="207"/>
      <c r="B4466" s="205"/>
      <c r="C4466" s="35" t="s">
        <v>107</v>
      </c>
      <c r="D4466" s="35" t="s">
        <v>119</v>
      </c>
      <c r="E4466" s="36">
        <v>3.5000000000000001E-3</v>
      </c>
      <c r="F4466" s="53">
        <v>723.94562965900002</v>
      </c>
      <c r="G4466" s="53">
        <f t="shared" si="83"/>
        <v>2.5338097038064999</v>
      </c>
      <c r="H4466" s="72"/>
      <c r="I4466" s="73"/>
      <c r="J4466" s="148">
        <v>0</v>
      </c>
      <c r="K4466" s="222">
        <v>0</v>
      </c>
    </row>
    <row r="4467" spans="1:11" ht="15.75" hidden="1" thickBot="1" x14ac:dyDescent="0.3">
      <c r="A4467" s="208"/>
      <c r="B4467" s="206"/>
      <c r="C4467" s="54"/>
      <c r="D4467" s="54"/>
      <c r="E4467" s="65"/>
      <c r="F4467" s="75" t="s">
        <v>514</v>
      </c>
      <c r="G4467" s="75" t="str">
        <f t="shared" si="83"/>
        <v/>
      </c>
      <c r="H4467" s="76"/>
      <c r="I4467" s="73"/>
      <c r="J4467" s="148">
        <v>0</v>
      </c>
      <c r="K4467" s="222">
        <v>0</v>
      </c>
    </row>
    <row r="4468" spans="1:11" ht="15.75" hidden="1" thickBot="1" x14ac:dyDescent="0.3">
      <c r="A4468" s="202" t="s">
        <v>1323</v>
      </c>
      <c r="B4468" s="204" t="str">
        <f>INDEX(Orçamentária!A:B,MATCH(Composições!A4468,Orçamentária!A:A,0),2)</f>
        <v>Limpeza e Preparação do Substrato para Impermeabilização</v>
      </c>
      <c r="C4468" s="40"/>
      <c r="D4468" s="25" t="str">
        <f>TRIM(INDEX(Orçamentária!C:C,MATCH(Composições!A4468,Orçamentária!A:A,0),1))</f>
        <v>m2</v>
      </c>
      <c r="E4468" s="26"/>
      <c r="F4468" s="48" t="s">
        <v>514</v>
      </c>
      <c r="G4468" s="27" t="str">
        <f t="shared" si="83"/>
        <v/>
      </c>
      <c r="H4468" s="28"/>
      <c r="I4468" s="29"/>
      <c r="J4468" s="148">
        <v>0</v>
      </c>
      <c r="K4468" s="222">
        <v>0</v>
      </c>
    </row>
    <row r="4469" spans="1:11" hidden="1" x14ac:dyDescent="0.25">
      <c r="A4469" s="207"/>
      <c r="B4469" s="205"/>
      <c r="C4469" s="31"/>
      <c r="D4469" s="31"/>
      <c r="E4469" s="32"/>
      <c r="F4469" s="53" t="s">
        <v>514</v>
      </c>
      <c r="G4469" s="53" t="str">
        <f t="shared" si="83"/>
        <v/>
      </c>
      <c r="H4469" s="72"/>
      <c r="I4469" s="73"/>
      <c r="J4469" s="148">
        <v>0</v>
      </c>
      <c r="K4469" s="222">
        <v>0</v>
      </c>
    </row>
    <row r="4470" spans="1:11" hidden="1" x14ac:dyDescent="0.25">
      <c r="A4470" s="207"/>
      <c r="B4470" s="205"/>
      <c r="C4470" s="35" t="s">
        <v>696</v>
      </c>
      <c r="D4470" s="35" t="s">
        <v>12</v>
      </c>
      <c r="E4470" s="36">
        <v>0.11</v>
      </c>
      <c r="F4470" s="53">
        <v>18.420500000000001</v>
      </c>
      <c r="G4470" s="53">
        <f t="shared" si="83"/>
        <v>2.0262549999999999</v>
      </c>
      <c r="H4470" s="38">
        <f>SUM(G4470:G4472)</f>
        <v>2.0262549999999999</v>
      </c>
      <c r="I4470" s="39"/>
      <c r="J4470" s="148">
        <v>0</v>
      </c>
      <c r="K4470" s="222">
        <v>0</v>
      </c>
    </row>
    <row r="4471" spans="1:11" hidden="1" x14ac:dyDescent="0.25">
      <c r="A4471" s="207"/>
      <c r="B4471" s="205"/>
      <c r="C4471" s="35" t="s">
        <v>1324</v>
      </c>
      <c r="D4471" s="35" t="s">
        <v>1325</v>
      </c>
      <c r="E4471" s="36">
        <v>0.22</v>
      </c>
      <c r="F4471" s="53">
        <v>0</v>
      </c>
      <c r="G4471" s="53">
        <f t="shared" si="83"/>
        <v>0</v>
      </c>
      <c r="H4471" s="72"/>
      <c r="I4471" s="73"/>
      <c r="J4471" s="148">
        <v>0</v>
      </c>
      <c r="K4471" s="222">
        <v>0</v>
      </c>
    </row>
    <row r="4472" spans="1:11" hidden="1" x14ac:dyDescent="0.25">
      <c r="A4472" s="207"/>
      <c r="B4472" s="205"/>
      <c r="C4472" s="35" t="s">
        <v>1326</v>
      </c>
      <c r="D4472" s="35" t="s">
        <v>101</v>
      </c>
      <c r="E4472" s="36">
        <v>0.4</v>
      </c>
      <c r="F4472" s="53">
        <v>0</v>
      </c>
      <c r="G4472" s="53">
        <f t="shared" si="83"/>
        <v>0</v>
      </c>
      <c r="H4472" s="72"/>
      <c r="I4472" s="73"/>
      <c r="J4472" s="148">
        <v>0</v>
      </c>
      <c r="K4472" s="222">
        <v>0</v>
      </c>
    </row>
    <row r="4473" spans="1:11" ht="15.75" hidden="1" thickBot="1" x14ac:dyDescent="0.3">
      <c r="A4473" s="208"/>
      <c r="B4473" s="206"/>
      <c r="C4473" s="54"/>
      <c r="D4473" s="54"/>
      <c r="E4473" s="65"/>
      <c r="F4473" s="75" t="s">
        <v>514</v>
      </c>
      <c r="G4473" s="75" t="str">
        <f t="shared" si="83"/>
        <v/>
      </c>
      <c r="H4473" s="76"/>
      <c r="I4473" s="73"/>
      <c r="J4473" s="148">
        <v>0</v>
      </c>
      <c r="K4473" s="222">
        <v>0</v>
      </c>
    </row>
    <row r="4474" spans="1:11" ht="15.75" hidden="1" thickBot="1" x14ac:dyDescent="0.3">
      <c r="A4474" s="202" t="s">
        <v>1327</v>
      </c>
      <c r="B4474" s="204" t="str">
        <f>INDEX(Orçamentária!A:B,MATCH(Composições!A4474,Orçamentária!A:A,0),2)</f>
        <v>Substituição de Coletores de Águas Pluviais</v>
      </c>
      <c r="C4474" s="40"/>
      <c r="D4474" s="25" t="str">
        <f>TRIM(INDEX(Orçamentária!C:C,MATCH(Composições!A4474,Orçamentária!A:A,0),1))</f>
        <v>un</v>
      </c>
      <c r="E4474" s="26"/>
      <c r="F4474" s="48" t="s">
        <v>514</v>
      </c>
      <c r="G4474" s="27" t="str">
        <f t="shared" si="83"/>
        <v/>
      </c>
      <c r="H4474" s="28"/>
      <c r="I4474" s="29"/>
      <c r="J4474" s="148">
        <v>0</v>
      </c>
      <c r="K4474" s="222">
        <v>0</v>
      </c>
    </row>
    <row r="4475" spans="1:11" hidden="1" x14ac:dyDescent="0.25">
      <c r="A4475" s="207"/>
      <c r="B4475" s="205"/>
      <c r="C4475" s="31"/>
      <c r="D4475" s="31"/>
      <c r="E4475" s="32"/>
      <c r="F4475" s="53" t="s">
        <v>514</v>
      </c>
      <c r="G4475" s="53" t="str">
        <f t="shared" si="83"/>
        <v/>
      </c>
      <c r="H4475" s="72"/>
      <c r="I4475" s="73"/>
      <c r="J4475" s="148">
        <v>0</v>
      </c>
      <c r="K4475" s="222">
        <v>0</v>
      </c>
    </row>
    <row r="4476" spans="1:11" ht="25.5" hidden="1" x14ac:dyDescent="0.25">
      <c r="A4476" s="207"/>
      <c r="B4476" s="205"/>
      <c r="C4476" s="35" t="s">
        <v>1328</v>
      </c>
      <c r="D4476" s="46" t="s">
        <v>278</v>
      </c>
      <c r="E4476" s="36">
        <v>1</v>
      </c>
      <c r="F4476" s="53">
        <v>11.988999999999999</v>
      </c>
      <c r="G4476" s="53">
        <f t="shared" si="83"/>
        <v>11.988999999999999</v>
      </c>
      <c r="H4476" s="38">
        <f>SUM(G4476:G4490)</f>
        <v>256.42601209999992</v>
      </c>
      <c r="I4476" s="39"/>
      <c r="J4476" s="148">
        <v>0</v>
      </c>
      <c r="K4476" s="222">
        <v>0</v>
      </c>
    </row>
    <row r="4477" spans="1:11" ht="25.5" hidden="1" x14ac:dyDescent="0.25">
      <c r="A4477" s="207"/>
      <c r="B4477" s="205"/>
      <c r="C4477" s="35" t="s">
        <v>3731</v>
      </c>
      <c r="D4477" s="35" t="s">
        <v>278</v>
      </c>
      <c r="E4477" s="36">
        <v>1</v>
      </c>
      <c r="F4477" s="53">
        <v>60.99</v>
      </c>
      <c r="G4477" s="53">
        <f t="shared" si="83"/>
        <v>60.99</v>
      </c>
      <c r="H4477" s="72"/>
      <c r="I4477" s="73"/>
      <c r="J4477" s="148">
        <v>0</v>
      </c>
      <c r="K4477" s="222">
        <v>0</v>
      </c>
    </row>
    <row r="4478" spans="1:11" ht="38.25" hidden="1" x14ac:dyDescent="0.25">
      <c r="A4478" s="207"/>
      <c r="B4478" s="205"/>
      <c r="C4478" s="35" t="s">
        <v>6602</v>
      </c>
      <c r="D4478" s="35" t="s">
        <v>278</v>
      </c>
      <c r="E4478" s="36">
        <v>7.0000000000000007E-2</v>
      </c>
      <c r="F4478" s="53">
        <v>28.509499999999999</v>
      </c>
      <c r="G4478" s="53">
        <f t="shared" si="83"/>
        <v>1.995665</v>
      </c>
      <c r="H4478" s="72"/>
      <c r="I4478" s="73"/>
      <c r="J4478" s="148">
        <v>0</v>
      </c>
      <c r="K4478" s="222">
        <v>0</v>
      </c>
    </row>
    <row r="4479" spans="1:11" ht="25.5" hidden="1" x14ac:dyDescent="0.25">
      <c r="A4479" s="207"/>
      <c r="B4479" s="205"/>
      <c r="C4479" s="35" t="s">
        <v>943</v>
      </c>
      <c r="D4479" s="35" t="s">
        <v>695</v>
      </c>
      <c r="E4479" s="36">
        <v>0.11</v>
      </c>
      <c r="F4479" s="53">
        <v>19.094999999999999</v>
      </c>
      <c r="G4479" s="53">
        <f t="shared" si="83"/>
        <v>2.1004499999999999</v>
      </c>
      <c r="H4479" s="72"/>
      <c r="I4479" s="73"/>
      <c r="J4479" s="148">
        <v>0</v>
      </c>
      <c r="K4479" s="222">
        <v>0</v>
      </c>
    </row>
    <row r="4480" spans="1:11" ht="25.5" hidden="1" x14ac:dyDescent="0.25">
      <c r="A4480" s="207"/>
      <c r="B4480" s="205"/>
      <c r="C4480" s="35" t="s">
        <v>944</v>
      </c>
      <c r="D4480" s="35" t="s">
        <v>695</v>
      </c>
      <c r="E4480" s="36">
        <v>0.11</v>
      </c>
      <c r="F4480" s="53">
        <v>24.300999999999998</v>
      </c>
      <c r="G4480" s="53">
        <f t="shared" si="83"/>
        <v>2.6731099999999999</v>
      </c>
      <c r="H4480" s="72"/>
      <c r="I4480" s="73"/>
      <c r="J4480" s="148">
        <v>0</v>
      </c>
      <c r="K4480" s="222">
        <v>0</v>
      </c>
    </row>
    <row r="4481" spans="1:11" hidden="1" x14ac:dyDescent="0.25">
      <c r="A4481" s="207"/>
      <c r="B4481" s="205"/>
      <c r="C4481" s="35" t="s">
        <v>6599</v>
      </c>
      <c r="D4481" s="35" t="s">
        <v>278</v>
      </c>
      <c r="E4481" s="36">
        <v>6.1999999999999998E-3</v>
      </c>
      <c r="F4481" s="53">
        <v>69.074499999999986</v>
      </c>
      <c r="G4481" s="53">
        <f t="shared" si="83"/>
        <v>0.42826189999999992</v>
      </c>
      <c r="H4481" s="72"/>
      <c r="I4481" s="73"/>
      <c r="J4481" s="148">
        <v>0</v>
      </c>
      <c r="K4481" s="222">
        <v>0</v>
      </c>
    </row>
    <row r="4482" spans="1:11" ht="25.5" hidden="1" x14ac:dyDescent="0.25">
      <c r="A4482" s="207"/>
      <c r="B4482" s="205"/>
      <c r="C4482" s="35" t="s">
        <v>3734</v>
      </c>
      <c r="D4482" s="35" t="s">
        <v>473</v>
      </c>
      <c r="E4482" s="36">
        <f>1.04/2</f>
        <v>0.52</v>
      </c>
      <c r="F4482" s="53">
        <v>89.0625</v>
      </c>
      <c r="G4482" s="53">
        <f t="shared" si="83"/>
        <v>46.3125</v>
      </c>
      <c r="H4482" s="72"/>
      <c r="I4482" s="73"/>
      <c r="J4482" s="148">
        <v>0</v>
      </c>
      <c r="K4482" s="222">
        <v>0</v>
      </c>
    </row>
    <row r="4483" spans="1:11" ht="25.5" hidden="1" x14ac:dyDescent="0.25">
      <c r="A4483" s="207"/>
      <c r="B4483" s="205"/>
      <c r="C4483" s="35" t="s">
        <v>6600</v>
      </c>
      <c r="D4483" s="35" t="s">
        <v>278</v>
      </c>
      <c r="E4483" s="36">
        <v>1.0200000000000001E-2</v>
      </c>
      <c r="F4483" s="53">
        <v>78.260999999999996</v>
      </c>
      <c r="G4483" s="53">
        <f t="shared" si="83"/>
        <v>0.79826220000000003</v>
      </c>
      <c r="H4483" s="72"/>
      <c r="I4483" s="73"/>
      <c r="J4483" s="148">
        <v>0</v>
      </c>
      <c r="K4483" s="222">
        <v>0</v>
      </c>
    </row>
    <row r="4484" spans="1:11" hidden="1" x14ac:dyDescent="0.25">
      <c r="A4484" s="207"/>
      <c r="B4484" s="205"/>
      <c r="C4484" s="35" t="s">
        <v>1184</v>
      </c>
      <c r="D4484" s="35" t="s">
        <v>278</v>
      </c>
      <c r="E4484" s="36">
        <v>3.6999999999999998E-2</v>
      </c>
      <c r="F4484" s="53">
        <v>2.0139999999999998</v>
      </c>
      <c r="G4484" s="53">
        <f t="shared" si="83"/>
        <v>7.4517999999999987E-2</v>
      </c>
      <c r="H4484" s="72"/>
      <c r="I4484" s="73"/>
      <c r="J4484" s="148">
        <v>0</v>
      </c>
      <c r="K4484" s="222">
        <v>0</v>
      </c>
    </row>
    <row r="4485" spans="1:11" ht="25.5" hidden="1" x14ac:dyDescent="0.25">
      <c r="A4485" s="207"/>
      <c r="B4485" s="205"/>
      <c r="C4485" s="35" t="s">
        <v>943</v>
      </c>
      <c r="D4485" s="35" t="s">
        <v>695</v>
      </c>
      <c r="E4485" s="36">
        <v>0.18</v>
      </c>
      <c r="F4485" s="53">
        <v>19.094999999999999</v>
      </c>
      <c r="G4485" s="53">
        <f t="shared" ref="G4485:G4548" si="84">IF(ISNUMBER(F4485),E4485*F4485,"")</f>
        <v>3.4370999999999996</v>
      </c>
      <c r="H4485" s="72"/>
      <c r="I4485" s="73"/>
      <c r="J4485" s="148">
        <v>0</v>
      </c>
      <c r="K4485" s="222">
        <v>0</v>
      </c>
    </row>
    <row r="4486" spans="1:11" ht="25.5" hidden="1" x14ac:dyDescent="0.25">
      <c r="A4486" s="207"/>
      <c r="B4486" s="205"/>
      <c r="C4486" s="35" t="s">
        <v>944</v>
      </c>
      <c r="D4486" s="35" t="s">
        <v>695</v>
      </c>
      <c r="E4486" s="36">
        <v>0.18</v>
      </c>
      <c r="F4486" s="53">
        <v>24.300999999999998</v>
      </c>
      <c r="G4486" s="53">
        <f t="shared" si="84"/>
        <v>4.37418</v>
      </c>
      <c r="H4486" s="72"/>
      <c r="I4486" s="73"/>
      <c r="J4486" s="148">
        <v>0</v>
      </c>
      <c r="K4486" s="222">
        <v>0</v>
      </c>
    </row>
    <row r="4487" spans="1:11" hidden="1" x14ac:dyDescent="0.25">
      <c r="A4487" s="207"/>
      <c r="B4487" s="205"/>
      <c r="C4487" s="35" t="s">
        <v>703</v>
      </c>
      <c r="D4487" s="46" t="s">
        <v>695</v>
      </c>
      <c r="E4487" s="36">
        <v>1</v>
      </c>
      <c r="F4487" s="53">
        <v>24.889999999999997</v>
      </c>
      <c r="G4487" s="53">
        <f t="shared" si="84"/>
        <v>24.889999999999997</v>
      </c>
      <c r="H4487" s="72"/>
      <c r="I4487" s="73"/>
      <c r="J4487" s="148">
        <v>0</v>
      </c>
      <c r="K4487" s="222">
        <v>0</v>
      </c>
    </row>
    <row r="4488" spans="1:11" ht="25.5" hidden="1" x14ac:dyDescent="0.25">
      <c r="A4488" s="207"/>
      <c r="B4488" s="205"/>
      <c r="C4488" s="35" t="s">
        <v>768</v>
      </c>
      <c r="D4488" s="46" t="s">
        <v>891</v>
      </c>
      <c r="E4488" s="36">
        <f>ROUND(1.8*(PI()*(0.25-0.15)*0.1)*10,4)</f>
        <v>0.5655</v>
      </c>
      <c r="F4488" s="53">
        <v>48.83</v>
      </c>
      <c r="G4488" s="53">
        <f t="shared" si="84"/>
        <v>27.613364999999998</v>
      </c>
      <c r="H4488" s="72"/>
      <c r="I4488" s="73"/>
      <c r="J4488" s="148">
        <v>0</v>
      </c>
      <c r="K4488" s="222">
        <v>0</v>
      </c>
    </row>
    <row r="4489" spans="1:11" ht="25.5" hidden="1" x14ac:dyDescent="0.25">
      <c r="A4489" s="207"/>
      <c r="B4489" s="205"/>
      <c r="C4489" s="35" t="s">
        <v>1053</v>
      </c>
      <c r="D4489" s="36" t="s">
        <v>1054</v>
      </c>
      <c r="E4489" s="36">
        <v>0.2</v>
      </c>
      <c r="F4489" s="53">
        <v>36.945499999999996</v>
      </c>
      <c r="G4489" s="53">
        <f t="shared" si="84"/>
        <v>7.3890999999999991</v>
      </c>
      <c r="H4489" s="72"/>
      <c r="I4489" s="73"/>
      <c r="J4489" s="148">
        <v>0</v>
      </c>
      <c r="K4489" s="222">
        <v>0</v>
      </c>
    </row>
    <row r="4490" spans="1:11" hidden="1" x14ac:dyDescent="0.25">
      <c r="A4490" s="207"/>
      <c r="B4490" s="205"/>
      <c r="C4490" s="35" t="s">
        <v>1329</v>
      </c>
      <c r="D4490" s="35" t="s">
        <v>278</v>
      </c>
      <c r="E4490" s="36">
        <v>1</v>
      </c>
      <c r="F4490" s="53">
        <v>61.360500000000002</v>
      </c>
      <c r="G4490" s="53">
        <f t="shared" si="84"/>
        <v>61.360500000000002</v>
      </c>
      <c r="H4490" s="72"/>
      <c r="I4490" s="73"/>
      <c r="J4490" s="148">
        <v>0</v>
      </c>
      <c r="K4490" s="222">
        <v>0</v>
      </c>
    </row>
    <row r="4491" spans="1:11" hidden="1" x14ac:dyDescent="0.25">
      <c r="A4491" s="207"/>
      <c r="B4491" s="205"/>
      <c r="C4491" s="35"/>
      <c r="D4491" s="35"/>
      <c r="E4491" s="36"/>
      <c r="F4491" s="53" t="s">
        <v>514</v>
      </c>
      <c r="G4491" s="53"/>
      <c r="H4491" s="72"/>
      <c r="I4491" s="73"/>
      <c r="J4491" s="148">
        <v>0</v>
      </c>
      <c r="K4491" s="222">
        <v>0</v>
      </c>
    </row>
    <row r="4492" spans="1:11" ht="25.5" hidden="1" x14ac:dyDescent="0.25">
      <c r="A4492" s="207"/>
      <c r="B4492" s="205"/>
      <c r="C4492" s="47" t="s">
        <v>3522</v>
      </c>
      <c r="D4492" s="35"/>
      <c r="E4492" s="36"/>
      <c r="F4492" s="53" t="s">
        <v>514</v>
      </c>
      <c r="G4492" s="53"/>
      <c r="H4492" s="72"/>
      <c r="I4492" s="73"/>
      <c r="J4492" s="148">
        <v>0</v>
      </c>
      <c r="K4492" s="222">
        <v>0</v>
      </c>
    </row>
    <row r="4493" spans="1:11" ht="15.75" hidden="1" thickBot="1" x14ac:dyDescent="0.3">
      <c r="A4493" s="208"/>
      <c r="B4493" s="206"/>
      <c r="C4493" s="54"/>
      <c r="D4493" s="54"/>
      <c r="E4493" s="65"/>
      <c r="F4493" s="75" t="s">
        <v>514</v>
      </c>
      <c r="G4493" s="75" t="str">
        <f t="shared" ref="G4493:G4498" si="85">IF(ISNUMBER(F4493),E4493*F4493,"")</f>
        <v/>
      </c>
      <c r="H4493" s="76"/>
      <c r="I4493" s="73"/>
      <c r="J4493" s="148">
        <v>0</v>
      </c>
      <c r="K4493" s="222">
        <v>0</v>
      </c>
    </row>
    <row r="4494" spans="1:11" ht="15.75" hidden="1" thickBot="1" x14ac:dyDescent="0.3">
      <c r="A4494" s="202" t="s">
        <v>1330</v>
      </c>
      <c r="B4494" s="204" t="str">
        <f>INDEX(Orçamentária!A:B,MATCH(Composições!A4494,Orçamentária!A:A,0),2)</f>
        <v>Tratamento de Tubulação Passante para Impermeabilização</v>
      </c>
      <c r="C4494" s="40"/>
      <c r="D4494" s="25" t="str">
        <f>TRIM(INDEX(Orçamentária!C:C,MATCH(Composições!A4494,Orçamentária!A:A,0),1))</f>
        <v>un</v>
      </c>
      <c r="E4494" s="26"/>
      <c r="F4494" s="48" t="s">
        <v>514</v>
      </c>
      <c r="G4494" s="27" t="str">
        <f t="shared" si="85"/>
        <v/>
      </c>
      <c r="H4494" s="28"/>
      <c r="I4494" s="29"/>
      <c r="J4494" s="148">
        <v>0</v>
      </c>
      <c r="K4494" s="222">
        <v>0</v>
      </c>
    </row>
    <row r="4495" spans="1:11" hidden="1" x14ac:dyDescent="0.25">
      <c r="A4495" s="207"/>
      <c r="B4495" s="205"/>
      <c r="C4495" s="31"/>
      <c r="D4495" s="31"/>
      <c r="E4495" s="32"/>
      <c r="F4495" s="53" t="s">
        <v>514</v>
      </c>
      <c r="G4495" s="53" t="str">
        <f t="shared" si="85"/>
        <v/>
      </c>
      <c r="H4495" s="72"/>
      <c r="I4495" s="73"/>
      <c r="J4495" s="148">
        <v>0</v>
      </c>
      <c r="K4495" s="222">
        <v>0</v>
      </c>
    </row>
    <row r="4496" spans="1:11" hidden="1" x14ac:dyDescent="0.25">
      <c r="A4496" s="207"/>
      <c r="B4496" s="205"/>
      <c r="C4496" s="35" t="s">
        <v>1004</v>
      </c>
      <c r="D4496" s="35" t="s">
        <v>695</v>
      </c>
      <c r="E4496" s="36">
        <v>0.5</v>
      </c>
      <c r="F4496" s="53">
        <v>24.889999999999997</v>
      </c>
      <c r="G4496" s="53">
        <f t="shared" si="85"/>
        <v>12.444999999999999</v>
      </c>
      <c r="H4496" s="38">
        <f>SUM(G4496:G4498)</f>
        <v>47.447464999999994</v>
      </c>
      <c r="I4496" s="39"/>
      <c r="J4496" s="148">
        <v>0</v>
      </c>
      <c r="K4496" s="222">
        <v>0</v>
      </c>
    </row>
    <row r="4497" spans="1:11" ht="25.5" hidden="1" x14ac:dyDescent="0.25">
      <c r="A4497" s="207"/>
      <c r="B4497" s="205"/>
      <c r="C4497" s="35" t="s">
        <v>768</v>
      </c>
      <c r="D4497" s="46" t="s">
        <v>891</v>
      </c>
      <c r="E4497" s="36">
        <f>ROUND(1.8*(PI()*(0.25-0.15)*0.1)*10,4)</f>
        <v>0.5655</v>
      </c>
      <c r="F4497" s="53">
        <v>48.83</v>
      </c>
      <c r="G4497" s="53">
        <f t="shared" si="85"/>
        <v>27.613364999999998</v>
      </c>
      <c r="H4497" s="72"/>
      <c r="I4497" s="73"/>
      <c r="J4497" s="148">
        <v>0</v>
      </c>
      <c r="K4497" s="222">
        <v>0</v>
      </c>
    </row>
    <row r="4498" spans="1:11" ht="25.5" hidden="1" x14ac:dyDescent="0.25">
      <c r="A4498" s="207"/>
      <c r="B4498" s="205"/>
      <c r="C4498" s="35" t="s">
        <v>1053</v>
      </c>
      <c r="D4498" s="36" t="s">
        <v>1054</v>
      </c>
      <c r="E4498" s="36">
        <v>0.2</v>
      </c>
      <c r="F4498" s="53">
        <v>36.945499999999996</v>
      </c>
      <c r="G4498" s="53">
        <f t="shared" si="85"/>
        <v>7.3890999999999991</v>
      </c>
      <c r="H4498" s="72"/>
      <c r="I4498" s="73"/>
      <c r="J4498" s="148">
        <v>0</v>
      </c>
      <c r="K4498" s="222">
        <v>0</v>
      </c>
    </row>
    <row r="4499" spans="1:11" hidden="1" x14ac:dyDescent="0.25">
      <c r="A4499" s="207"/>
      <c r="B4499" s="205"/>
      <c r="C4499" s="35"/>
      <c r="D4499" s="36"/>
      <c r="E4499" s="36"/>
      <c r="F4499" s="53" t="s">
        <v>514</v>
      </c>
      <c r="G4499" s="53"/>
      <c r="H4499" s="72"/>
      <c r="I4499" s="73"/>
      <c r="J4499" s="148">
        <v>0</v>
      </c>
      <c r="K4499" s="222">
        <v>0</v>
      </c>
    </row>
    <row r="4500" spans="1:11" ht="25.5" hidden="1" x14ac:dyDescent="0.25">
      <c r="A4500" s="207"/>
      <c r="B4500" s="205"/>
      <c r="C4500" s="47" t="s">
        <v>3522</v>
      </c>
      <c r="D4500" s="36"/>
      <c r="E4500" s="36"/>
      <c r="F4500" s="53" t="s">
        <v>514</v>
      </c>
      <c r="G4500" s="53"/>
      <c r="H4500" s="72"/>
      <c r="I4500" s="73"/>
      <c r="J4500" s="148">
        <v>0</v>
      </c>
      <c r="K4500" s="222">
        <v>0</v>
      </c>
    </row>
    <row r="4501" spans="1:11" ht="15.75" hidden="1" thickBot="1" x14ac:dyDescent="0.3">
      <c r="A4501" s="208"/>
      <c r="B4501" s="206"/>
      <c r="C4501" s="54"/>
      <c r="D4501" s="54"/>
      <c r="E4501" s="65"/>
      <c r="F4501" s="75" t="s">
        <v>514</v>
      </c>
      <c r="G4501" s="75" t="str">
        <f t="shared" ref="G4501:G4564" si="86">IF(ISNUMBER(F4501),E4501*F4501,"")</f>
        <v/>
      </c>
      <c r="H4501" s="76"/>
      <c r="I4501" s="73"/>
      <c r="J4501" s="148">
        <v>0</v>
      </c>
      <c r="K4501" s="222">
        <v>0</v>
      </c>
    </row>
    <row r="4502" spans="1:11" ht="15.75" hidden="1" thickBot="1" x14ac:dyDescent="0.3">
      <c r="A4502" s="202" t="s">
        <v>1331</v>
      </c>
      <c r="B4502" s="204" t="str">
        <f>INDEX(Orçamentária!A:B,MATCH(Composições!A4502,Orçamentária!A:A,0),2)</f>
        <v>Regularização de substrato para Impermeabilização - 3cm</v>
      </c>
      <c r="C4502" s="40"/>
      <c r="D4502" s="25" t="str">
        <f>TRIM(INDEX(Orçamentária!C:C,MATCH(Composições!A4502,Orçamentária!A:A,0),1))</f>
        <v>m2</v>
      </c>
      <c r="E4502" s="26"/>
      <c r="F4502" s="48" t="s">
        <v>514</v>
      </c>
      <c r="G4502" s="27" t="str">
        <f t="shared" si="86"/>
        <v/>
      </c>
      <c r="H4502" s="28"/>
      <c r="I4502" s="29"/>
      <c r="J4502" s="148">
        <v>0</v>
      </c>
      <c r="K4502" s="222">
        <v>0</v>
      </c>
    </row>
    <row r="4503" spans="1:11" hidden="1" x14ac:dyDescent="0.25">
      <c r="A4503" s="207"/>
      <c r="B4503" s="205"/>
      <c r="C4503" s="31"/>
      <c r="D4503" s="31"/>
      <c r="E4503" s="32"/>
      <c r="F4503" s="53" t="s">
        <v>514</v>
      </c>
      <c r="G4503" s="53" t="str">
        <f t="shared" si="86"/>
        <v/>
      </c>
      <c r="H4503" s="72"/>
      <c r="I4503" s="73"/>
      <c r="J4503" s="148">
        <v>0</v>
      </c>
      <c r="K4503" s="222">
        <v>0</v>
      </c>
    </row>
    <row r="4504" spans="1:11" hidden="1" x14ac:dyDescent="0.25">
      <c r="A4504" s="207"/>
      <c r="B4504" s="205"/>
      <c r="C4504" s="35" t="s">
        <v>740</v>
      </c>
      <c r="D4504" s="35" t="s">
        <v>891</v>
      </c>
      <c r="E4504" s="36">
        <v>0.5</v>
      </c>
      <c r="F4504" s="53">
        <v>0.627</v>
      </c>
      <c r="G4504" s="53">
        <f t="shared" si="86"/>
        <v>0.3135</v>
      </c>
      <c r="H4504" s="38">
        <f>SUM(G4504:G4508)</f>
        <v>42.486084678039198</v>
      </c>
      <c r="I4504" s="39"/>
      <c r="J4504" s="148">
        <v>0</v>
      </c>
      <c r="K4504" s="222">
        <v>0</v>
      </c>
    </row>
    <row r="4505" spans="1:11" ht="25.5" hidden="1" x14ac:dyDescent="0.25">
      <c r="A4505" s="207"/>
      <c r="B4505" s="205"/>
      <c r="C4505" s="35" t="s">
        <v>1332</v>
      </c>
      <c r="D4505" s="35" t="s">
        <v>101</v>
      </c>
      <c r="E4505" s="36">
        <v>0.21</v>
      </c>
      <c r="F4505" s="53">
        <v>14.097999999999999</v>
      </c>
      <c r="G4505" s="53">
        <f t="shared" si="86"/>
        <v>2.9605799999999998</v>
      </c>
      <c r="H4505" s="72"/>
      <c r="I4505" s="73"/>
      <c r="J4505" s="148">
        <v>0</v>
      </c>
      <c r="K4505" s="222">
        <v>0</v>
      </c>
    </row>
    <row r="4506" spans="1:11" ht="38.25" hidden="1" x14ac:dyDescent="0.25">
      <c r="A4506" s="207"/>
      <c r="B4506" s="205"/>
      <c r="C4506" s="35" t="s">
        <v>1333</v>
      </c>
      <c r="D4506" s="35" t="s">
        <v>119</v>
      </c>
      <c r="E4506" s="36">
        <v>4.3099999999999999E-2</v>
      </c>
      <c r="F4506" s="53">
        <v>715.73626863200002</v>
      </c>
      <c r="G4506" s="53">
        <f t="shared" si="86"/>
        <v>30.848233178039202</v>
      </c>
      <c r="H4506" s="72"/>
      <c r="I4506" s="73"/>
      <c r="J4506" s="148">
        <v>0</v>
      </c>
      <c r="K4506" s="222">
        <v>0</v>
      </c>
    </row>
    <row r="4507" spans="1:11" hidden="1" x14ac:dyDescent="0.25">
      <c r="A4507" s="207"/>
      <c r="B4507" s="205"/>
      <c r="C4507" s="35" t="s">
        <v>703</v>
      </c>
      <c r="D4507" s="46" t="s">
        <v>695</v>
      </c>
      <c r="E4507" s="36">
        <v>0.245</v>
      </c>
      <c r="F4507" s="53">
        <v>24.889999999999997</v>
      </c>
      <c r="G4507" s="53">
        <f t="shared" si="86"/>
        <v>6.0980499999999989</v>
      </c>
      <c r="H4507" s="72"/>
      <c r="I4507" s="73"/>
      <c r="J4507" s="148">
        <v>0</v>
      </c>
      <c r="K4507" s="222">
        <v>0</v>
      </c>
    </row>
    <row r="4508" spans="1:11" hidden="1" x14ac:dyDescent="0.25">
      <c r="A4508" s="207"/>
      <c r="B4508" s="205"/>
      <c r="C4508" s="35" t="s">
        <v>696</v>
      </c>
      <c r="D4508" s="35" t="s">
        <v>695</v>
      </c>
      <c r="E4508" s="36">
        <v>0.123</v>
      </c>
      <c r="F4508" s="53">
        <v>18.420500000000001</v>
      </c>
      <c r="G4508" s="53">
        <f t="shared" si="86"/>
        <v>2.2657215000000002</v>
      </c>
      <c r="H4508" s="72"/>
      <c r="I4508" s="73"/>
      <c r="J4508" s="148">
        <v>0</v>
      </c>
      <c r="K4508" s="222">
        <v>0</v>
      </c>
    </row>
    <row r="4509" spans="1:11" hidden="1" x14ac:dyDescent="0.25">
      <c r="A4509" s="207"/>
      <c r="B4509" s="205"/>
      <c r="C4509" s="35"/>
      <c r="D4509" s="35"/>
      <c r="E4509" s="36"/>
      <c r="F4509" s="53" t="s">
        <v>514</v>
      </c>
      <c r="G4509" s="53" t="str">
        <f t="shared" si="86"/>
        <v/>
      </c>
      <c r="H4509" s="72"/>
      <c r="I4509" s="73"/>
      <c r="J4509" s="148">
        <v>0</v>
      </c>
      <c r="K4509" s="222">
        <v>0</v>
      </c>
    </row>
    <row r="4510" spans="1:11" ht="15.75" hidden="1" thickBot="1" x14ac:dyDescent="0.3">
      <c r="A4510" s="202" t="s">
        <v>1334</v>
      </c>
      <c r="B4510" s="204" t="str">
        <f>INDEX(Orçamentária!A:B,MATCH(Composições!A4510,Orçamentária!A:A,0),2)</f>
        <v>Regularização de substrato para Impermeabilização - 6cm</v>
      </c>
      <c r="C4510" s="40"/>
      <c r="D4510" s="25" t="str">
        <f>TRIM(INDEX(Orçamentária!C:C,MATCH(Composições!A4510,Orçamentária!A:A,0),1))</f>
        <v>m2</v>
      </c>
      <c r="E4510" s="26"/>
      <c r="F4510" s="48" t="s">
        <v>514</v>
      </c>
      <c r="G4510" s="27" t="str">
        <f t="shared" si="86"/>
        <v/>
      </c>
      <c r="H4510" s="28"/>
      <c r="I4510" s="29"/>
      <c r="J4510" s="148">
        <v>0</v>
      </c>
      <c r="K4510" s="222">
        <v>0</v>
      </c>
    </row>
    <row r="4511" spans="1:11" hidden="1" x14ac:dyDescent="0.25">
      <c r="A4511" s="207"/>
      <c r="B4511" s="205"/>
      <c r="C4511" s="31"/>
      <c r="D4511" s="31"/>
      <c r="E4511" s="32"/>
      <c r="F4511" s="53" t="s">
        <v>514</v>
      </c>
      <c r="G4511" s="53" t="str">
        <f t="shared" si="86"/>
        <v/>
      </c>
      <c r="H4511" s="72"/>
      <c r="I4511" s="73"/>
      <c r="J4511" s="148">
        <v>0</v>
      </c>
      <c r="K4511" s="222">
        <v>0</v>
      </c>
    </row>
    <row r="4512" spans="1:11" hidden="1" x14ac:dyDescent="0.25">
      <c r="A4512" s="207"/>
      <c r="B4512" s="205"/>
      <c r="C4512" s="35" t="s">
        <v>703</v>
      </c>
      <c r="D4512" s="35" t="s">
        <v>12</v>
      </c>
      <c r="E4512" s="36">
        <v>0.29899999999999999</v>
      </c>
      <c r="F4512" s="53">
        <v>24.889999999999997</v>
      </c>
      <c r="G4512" s="53">
        <f t="shared" si="86"/>
        <v>7.4421099999999987</v>
      </c>
      <c r="H4512" s="38">
        <f>SUM(G4512:G4514)</f>
        <v>57.496931856575202</v>
      </c>
      <c r="I4512" s="39"/>
      <c r="J4512" s="148">
        <v>0</v>
      </c>
      <c r="K4512" s="222">
        <v>0</v>
      </c>
    </row>
    <row r="4513" spans="1:11" hidden="1" x14ac:dyDescent="0.25">
      <c r="A4513" s="207"/>
      <c r="B4513" s="205"/>
      <c r="C4513" s="35" t="s">
        <v>696</v>
      </c>
      <c r="D4513" s="35" t="s">
        <v>12</v>
      </c>
      <c r="E4513" s="36">
        <v>0.14899999999999999</v>
      </c>
      <c r="F4513" s="53">
        <v>18.420500000000001</v>
      </c>
      <c r="G4513" s="53">
        <f t="shared" si="86"/>
        <v>2.7446544999999998</v>
      </c>
      <c r="H4513" s="72"/>
      <c r="I4513" s="73"/>
      <c r="J4513" s="148">
        <v>0</v>
      </c>
      <c r="K4513" s="222">
        <v>0</v>
      </c>
    </row>
    <row r="4514" spans="1:11" ht="38.25" hidden="1" x14ac:dyDescent="0.25">
      <c r="A4514" s="207"/>
      <c r="B4514" s="205"/>
      <c r="C4514" s="35" t="s">
        <v>1333</v>
      </c>
      <c r="D4514" s="35" t="s">
        <v>119</v>
      </c>
      <c r="E4514" s="36">
        <v>6.6100000000000006E-2</v>
      </c>
      <c r="F4514" s="53">
        <v>715.73626863200002</v>
      </c>
      <c r="G4514" s="53">
        <f t="shared" si="86"/>
        <v>47.310167356575207</v>
      </c>
      <c r="H4514" s="72"/>
      <c r="I4514" s="73"/>
      <c r="J4514" s="148">
        <v>0</v>
      </c>
      <c r="K4514" s="222">
        <v>0</v>
      </c>
    </row>
    <row r="4515" spans="1:11" ht="15.75" hidden="1" thickBot="1" x14ac:dyDescent="0.3">
      <c r="A4515" s="208"/>
      <c r="B4515" s="206"/>
      <c r="C4515" s="54"/>
      <c r="D4515" s="54"/>
      <c r="E4515" s="65"/>
      <c r="F4515" s="75" t="s">
        <v>514</v>
      </c>
      <c r="G4515" s="75" t="str">
        <f t="shared" si="86"/>
        <v/>
      </c>
      <c r="H4515" s="76"/>
      <c r="I4515" s="73"/>
      <c r="J4515" s="148">
        <v>0</v>
      </c>
      <c r="K4515" s="222">
        <v>0</v>
      </c>
    </row>
    <row r="4516" spans="1:11" ht="15.75" hidden="1" thickBot="1" x14ac:dyDescent="0.3">
      <c r="A4516" s="202" t="s">
        <v>1335</v>
      </c>
      <c r="B4516" s="204" t="str">
        <f>INDEX(Orçamentária!A:B,MATCH(Composições!A4516,Orçamentária!A:A,0),2)</f>
        <v>Camada Separadora para Impermeabilização</v>
      </c>
      <c r="C4516" s="40"/>
      <c r="D4516" s="25" t="str">
        <f>TRIM(INDEX(Orçamentária!C:C,MATCH(Composições!A4516,Orçamentária!A:A,0),1))</f>
        <v>m2</v>
      </c>
      <c r="E4516" s="26"/>
      <c r="F4516" s="48" t="s">
        <v>514</v>
      </c>
      <c r="G4516" s="27" t="str">
        <f t="shared" si="86"/>
        <v/>
      </c>
      <c r="H4516" s="28"/>
      <c r="I4516" s="29"/>
      <c r="J4516" s="148">
        <v>0</v>
      </c>
      <c r="K4516" s="222">
        <v>0</v>
      </c>
    </row>
    <row r="4517" spans="1:11" hidden="1" x14ac:dyDescent="0.25">
      <c r="A4517" s="207"/>
      <c r="B4517" s="205"/>
      <c r="C4517" s="31"/>
      <c r="D4517" s="31"/>
      <c r="E4517" s="32"/>
      <c r="F4517" s="53" t="s">
        <v>514</v>
      </c>
      <c r="G4517" s="53" t="str">
        <f t="shared" si="86"/>
        <v/>
      </c>
      <c r="H4517" s="72"/>
      <c r="I4517" s="73"/>
      <c r="J4517" s="148">
        <v>0</v>
      </c>
      <c r="K4517" s="222">
        <v>0</v>
      </c>
    </row>
    <row r="4518" spans="1:11" hidden="1" x14ac:dyDescent="0.25">
      <c r="A4518" s="207"/>
      <c r="B4518" s="205"/>
      <c r="C4518" s="35" t="s">
        <v>696</v>
      </c>
      <c r="D4518" s="35" t="s">
        <v>695</v>
      </c>
      <c r="E4518" s="36">
        <v>0.01</v>
      </c>
      <c r="F4518" s="53">
        <v>18.420500000000001</v>
      </c>
      <c r="G4518" s="53">
        <f t="shared" si="86"/>
        <v>0.18420500000000001</v>
      </c>
      <c r="H4518" s="38">
        <f>SUM(G4518:G4519)</f>
        <v>8.1471049999999998</v>
      </c>
      <c r="I4518" s="39"/>
      <c r="J4518" s="148">
        <v>0</v>
      </c>
      <c r="K4518" s="222">
        <v>0</v>
      </c>
    </row>
    <row r="4519" spans="1:11" ht="25.5" hidden="1" x14ac:dyDescent="0.25">
      <c r="A4519" s="207"/>
      <c r="B4519" s="205"/>
      <c r="C4519" s="35" t="s">
        <v>1336</v>
      </c>
      <c r="D4519" s="35" t="s">
        <v>94</v>
      </c>
      <c r="E4519" s="36">
        <v>1.1000000000000001</v>
      </c>
      <c r="F4519" s="53">
        <v>7.2389999999999999</v>
      </c>
      <c r="G4519" s="53">
        <f t="shared" si="86"/>
        <v>7.9629000000000003</v>
      </c>
      <c r="H4519" s="72"/>
      <c r="I4519" s="73"/>
      <c r="J4519" s="148">
        <v>0</v>
      </c>
      <c r="K4519" s="222">
        <v>0</v>
      </c>
    </row>
    <row r="4520" spans="1:11" ht="15.75" hidden="1" thickBot="1" x14ac:dyDescent="0.3">
      <c r="A4520" s="208"/>
      <c r="B4520" s="206"/>
      <c r="C4520" s="54"/>
      <c r="D4520" s="54"/>
      <c r="E4520" s="65"/>
      <c r="F4520" s="75" t="s">
        <v>514</v>
      </c>
      <c r="G4520" s="75" t="str">
        <f t="shared" si="86"/>
        <v/>
      </c>
      <c r="H4520" s="76"/>
      <c r="I4520" s="73"/>
      <c r="J4520" s="148">
        <v>0</v>
      </c>
      <c r="K4520" s="222">
        <v>0</v>
      </c>
    </row>
    <row r="4521" spans="1:11" ht="15.75" hidden="1" thickBot="1" x14ac:dyDescent="0.3">
      <c r="A4521" s="202" t="s">
        <v>1337</v>
      </c>
      <c r="B4521" s="204" t="str">
        <f>INDEX(Orçamentária!A:B,MATCH(Composições!A4521,Orçamentária!A:A,0),2)</f>
        <v>Camada de Proteção Térmica para Impermeabilização</v>
      </c>
      <c r="C4521" s="40"/>
      <c r="D4521" s="25" t="str">
        <f>TRIM(INDEX(Orçamentária!C:C,MATCH(Composições!A4521,Orçamentária!A:A,0),1))</f>
        <v>m2</v>
      </c>
      <c r="E4521" s="26"/>
      <c r="F4521" s="48" t="s">
        <v>514</v>
      </c>
      <c r="G4521" s="27" t="str">
        <f t="shared" si="86"/>
        <v/>
      </c>
      <c r="H4521" s="28"/>
      <c r="I4521" s="29"/>
      <c r="J4521" s="148">
        <v>0</v>
      </c>
      <c r="K4521" s="222">
        <v>0</v>
      </c>
    </row>
    <row r="4522" spans="1:11" hidden="1" x14ac:dyDescent="0.25">
      <c r="A4522" s="207"/>
      <c r="B4522" s="205"/>
      <c r="C4522" s="31"/>
      <c r="D4522" s="31"/>
      <c r="E4522" s="32"/>
      <c r="F4522" s="53" t="s">
        <v>514</v>
      </c>
      <c r="G4522" s="53" t="str">
        <f t="shared" si="86"/>
        <v/>
      </c>
      <c r="H4522" s="72"/>
      <c r="I4522" s="73"/>
      <c r="J4522" s="148">
        <v>0</v>
      </c>
      <c r="K4522" s="222">
        <v>0</v>
      </c>
    </row>
    <row r="4523" spans="1:11" hidden="1" x14ac:dyDescent="0.25">
      <c r="A4523" s="207"/>
      <c r="B4523" s="205"/>
      <c r="C4523" s="35" t="s">
        <v>696</v>
      </c>
      <c r="D4523" s="35" t="s">
        <v>695</v>
      </c>
      <c r="E4523" s="36">
        <v>0.05</v>
      </c>
      <c r="F4523" s="53">
        <v>18.420500000000001</v>
      </c>
      <c r="G4523" s="53">
        <f t="shared" si="86"/>
        <v>0.92102500000000009</v>
      </c>
      <c r="H4523" s="38">
        <f>SUM(G4523:G4524)</f>
        <v>8.5718499999999995</v>
      </c>
      <c r="I4523" s="39"/>
      <c r="J4523" s="148">
        <v>0</v>
      </c>
      <c r="K4523" s="222">
        <v>0</v>
      </c>
    </row>
    <row r="4524" spans="1:11" ht="25.5" hidden="1" x14ac:dyDescent="0.25">
      <c r="A4524" s="207"/>
      <c r="B4524" s="205"/>
      <c r="C4524" s="35" t="s">
        <v>1338</v>
      </c>
      <c r="D4524" s="35" t="s">
        <v>94</v>
      </c>
      <c r="E4524" s="36">
        <v>1.05</v>
      </c>
      <c r="F4524" s="53">
        <v>7.2864999999999993</v>
      </c>
      <c r="G4524" s="53">
        <f t="shared" si="86"/>
        <v>7.6508249999999993</v>
      </c>
      <c r="H4524" s="72"/>
      <c r="I4524" s="73"/>
      <c r="J4524" s="148">
        <v>0</v>
      </c>
      <c r="K4524" s="222">
        <v>0</v>
      </c>
    </row>
    <row r="4525" spans="1:11" ht="15.75" hidden="1" thickBot="1" x14ac:dyDescent="0.3">
      <c r="A4525" s="208"/>
      <c r="B4525" s="206"/>
      <c r="C4525" s="54"/>
      <c r="D4525" s="54"/>
      <c r="E4525" s="65"/>
      <c r="F4525" s="75" t="s">
        <v>514</v>
      </c>
      <c r="G4525" s="75" t="str">
        <f t="shared" si="86"/>
        <v/>
      </c>
      <c r="H4525" s="76"/>
      <c r="I4525" s="73"/>
      <c r="J4525" s="148">
        <v>0</v>
      </c>
      <c r="K4525" s="222">
        <v>0</v>
      </c>
    </row>
    <row r="4526" spans="1:11" ht="15.75" hidden="1" thickBot="1" x14ac:dyDescent="0.3">
      <c r="A4526" s="202" t="s">
        <v>1339</v>
      </c>
      <c r="B4526" s="204" t="str">
        <f>INDEX(Orçamentária!A:B,MATCH(Composições!A4526,Orçamentária!A:A,0),2)</f>
        <v>Camada de Amortecimento para Impermeabilização</v>
      </c>
      <c r="C4526" s="40"/>
      <c r="D4526" s="25" t="str">
        <f>TRIM(INDEX(Orçamentária!C:C,MATCH(Composições!A4526,Orçamentária!A:A,0),1))</f>
        <v>m2</v>
      </c>
      <c r="E4526" s="26"/>
      <c r="F4526" s="48" t="s">
        <v>514</v>
      </c>
      <c r="G4526" s="27" t="str">
        <f t="shared" si="86"/>
        <v/>
      </c>
      <c r="H4526" s="28"/>
      <c r="I4526" s="29"/>
      <c r="J4526" s="148">
        <v>0</v>
      </c>
      <c r="K4526" s="222">
        <v>0</v>
      </c>
    </row>
    <row r="4527" spans="1:11" hidden="1" x14ac:dyDescent="0.25">
      <c r="A4527" s="207"/>
      <c r="B4527" s="205"/>
      <c r="C4527" s="31"/>
      <c r="D4527" s="31"/>
      <c r="E4527" s="32"/>
      <c r="F4527" s="53" t="s">
        <v>514</v>
      </c>
      <c r="G4527" s="53" t="str">
        <f t="shared" si="86"/>
        <v/>
      </c>
      <c r="H4527" s="72"/>
      <c r="I4527" s="73"/>
      <c r="J4527" s="148">
        <v>0</v>
      </c>
      <c r="K4527" s="222">
        <v>0</v>
      </c>
    </row>
    <row r="4528" spans="1:11" hidden="1" x14ac:dyDescent="0.25">
      <c r="A4528" s="207"/>
      <c r="B4528" s="205"/>
      <c r="C4528" s="35" t="s">
        <v>703</v>
      </c>
      <c r="D4528" s="35" t="s">
        <v>12</v>
      </c>
      <c r="E4528" s="36">
        <v>0.107</v>
      </c>
      <c r="F4528" s="53">
        <v>24.889999999999997</v>
      </c>
      <c r="G4528" s="53">
        <f t="shared" si="86"/>
        <v>2.6632299999999995</v>
      </c>
      <c r="H4528" s="38">
        <f>SUM(G4528:G4532)</f>
        <v>31.355637917651997</v>
      </c>
      <c r="I4528" s="39"/>
      <c r="J4528" s="148">
        <v>0</v>
      </c>
      <c r="K4528" s="222">
        <v>0</v>
      </c>
    </row>
    <row r="4529" spans="1:11" hidden="1" x14ac:dyDescent="0.25">
      <c r="A4529" s="207"/>
      <c r="B4529" s="205"/>
      <c r="C4529" s="35" t="s">
        <v>696</v>
      </c>
      <c r="D4529" s="35" t="s">
        <v>12</v>
      </c>
      <c r="E4529" s="36">
        <v>0.214</v>
      </c>
      <c r="F4529" s="53">
        <v>18.420500000000001</v>
      </c>
      <c r="G4529" s="53">
        <f t="shared" si="86"/>
        <v>3.9419870000000001</v>
      </c>
      <c r="H4529" s="72"/>
      <c r="I4529" s="73"/>
      <c r="J4529" s="148">
        <v>0</v>
      </c>
      <c r="K4529" s="222">
        <v>0</v>
      </c>
    </row>
    <row r="4530" spans="1:11" hidden="1" x14ac:dyDescent="0.25">
      <c r="A4530" s="207"/>
      <c r="B4530" s="205"/>
      <c r="C4530" s="35" t="s">
        <v>740</v>
      </c>
      <c r="D4530" s="35" t="s">
        <v>891</v>
      </c>
      <c r="E4530" s="36">
        <v>0.5</v>
      </c>
      <c r="F4530" s="53">
        <v>0.627</v>
      </c>
      <c r="G4530" s="53">
        <f t="shared" si="86"/>
        <v>0.3135</v>
      </c>
      <c r="H4530" s="72"/>
      <c r="I4530" s="73"/>
      <c r="J4530" s="148">
        <v>0</v>
      </c>
      <c r="K4530" s="222">
        <v>0</v>
      </c>
    </row>
    <row r="4531" spans="1:11" ht="25.5" hidden="1" x14ac:dyDescent="0.25">
      <c r="A4531" s="207"/>
      <c r="B4531" s="205"/>
      <c r="C4531" s="35" t="s">
        <v>1332</v>
      </c>
      <c r="D4531" s="35" t="s">
        <v>101</v>
      </c>
      <c r="E4531" s="36">
        <v>0.21</v>
      </c>
      <c r="F4531" s="53">
        <v>14.097999999999999</v>
      </c>
      <c r="G4531" s="53">
        <f t="shared" si="86"/>
        <v>2.9605799999999998</v>
      </c>
      <c r="H4531" s="72"/>
      <c r="I4531" s="73"/>
      <c r="J4531" s="148">
        <v>0</v>
      </c>
      <c r="K4531" s="222">
        <v>0</v>
      </c>
    </row>
    <row r="4532" spans="1:11" ht="51" hidden="1" x14ac:dyDescent="0.25">
      <c r="A4532" s="207"/>
      <c r="B4532" s="205"/>
      <c r="C4532" s="35" t="s">
        <v>152</v>
      </c>
      <c r="D4532" s="35" t="s">
        <v>119</v>
      </c>
      <c r="E4532" s="36">
        <v>3.1E-2</v>
      </c>
      <c r="F4532" s="53">
        <v>692.78519089199995</v>
      </c>
      <c r="G4532" s="53">
        <f t="shared" si="86"/>
        <v>21.476340917651999</v>
      </c>
      <c r="H4532" s="72"/>
      <c r="I4532" s="73"/>
      <c r="J4532" s="148">
        <v>0</v>
      </c>
      <c r="K4532" s="222">
        <v>0</v>
      </c>
    </row>
    <row r="4533" spans="1:11" ht="15.75" hidden="1" thickBot="1" x14ac:dyDescent="0.3">
      <c r="A4533" s="208"/>
      <c r="B4533" s="206"/>
      <c r="C4533" s="54"/>
      <c r="D4533" s="54"/>
      <c r="E4533" s="65"/>
      <c r="F4533" s="75" t="s">
        <v>514</v>
      </c>
      <c r="G4533" s="75" t="str">
        <f t="shared" si="86"/>
        <v/>
      </c>
      <c r="H4533" s="76"/>
      <c r="I4533" s="73"/>
      <c r="J4533" s="148">
        <v>0</v>
      </c>
      <c r="K4533" s="222">
        <v>0</v>
      </c>
    </row>
    <row r="4534" spans="1:11" ht="15.75" hidden="1" thickBot="1" x14ac:dyDescent="0.3">
      <c r="A4534" s="202" t="s">
        <v>1340</v>
      </c>
      <c r="B4534" s="204" t="str">
        <f>INDEX(Orçamentária!A:B,MATCH(Composições!A4534,Orçamentária!A:A,0),2)</f>
        <v>Camada de Proteção Mecânica em Placas de Impermeabilização</v>
      </c>
      <c r="C4534" s="40"/>
      <c r="D4534" s="25" t="str">
        <f>TRIM(INDEX(Orçamentária!C:C,MATCH(Composições!A4534,Orçamentária!A:A,0),1))</f>
        <v>m2</v>
      </c>
      <c r="E4534" s="26"/>
      <c r="F4534" s="48" t="s">
        <v>514</v>
      </c>
      <c r="G4534" s="27" t="str">
        <f t="shared" si="86"/>
        <v/>
      </c>
      <c r="H4534" s="28"/>
      <c r="I4534" s="29"/>
      <c r="J4534" s="148">
        <v>0</v>
      </c>
      <c r="K4534" s="222">
        <v>0</v>
      </c>
    </row>
    <row r="4535" spans="1:11" hidden="1" x14ac:dyDescent="0.25">
      <c r="A4535" s="207"/>
      <c r="B4535" s="205"/>
      <c r="C4535" s="31"/>
      <c r="D4535" s="31"/>
      <c r="E4535" s="32"/>
      <c r="F4535" s="53" t="s">
        <v>514</v>
      </c>
      <c r="G4535" s="53" t="str">
        <f t="shared" si="86"/>
        <v/>
      </c>
      <c r="H4535" s="72"/>
      <c r="I4535" s="73"/>
      <c r="J4535" s="148">
        <v>0</v>
      </c>
      <c r="K4535" s="222">
        <v>0</v>
      </c>
    </row>
    <row r="4536" spans="1:11" hidden="1" x14ac:dyDescent="0.25">
      <c r="A4536" s="207"/>
      <c r="B4536" s="205"/>
      <c r="C4536" s="35" t="s">
        <v>1006</v>
      </c>
      <c r="D4536" s="35" t="s">
        <v>982</v>
      </c>
      <c r="E4536" s="36">
        <v>1.04</v>
      </c>
      <c r="F4536" s="53">
        <v>1.9854999999999998</v>
      </c>
      <c r="G4536" s="53">
        <f t="shared" si="86"/>
        <v>2.0649199999999999</v>
      </c>
      <c r="H4536" s="38">
        <f>SUM(G4536:G4540)</f>
        <v>85.906783473499999</v>
      </c>
      <c r="I4536" s="39"/>
      <c r="J4536" s="148">
        <v>0</v>
      </c>
      <c r="K4536" s="222">
        <v>0</v>
      </c>
    </row>
    <row r="4537" spans="1:11" ht="25.5" hidden="1" x14ac:dyDescent="0.25">
      <c r="A4537" s="207"/>
      <c r="B4537" s="205"/>
      <c r="C4537" s="35" t="s">
        <v>1007</v>
      </c>
      <c r="D4537" s="35" t="s">
        <v>119</v>
      </c>
      <c r="E4537" s="36">
        <v>4.3999999999999997E-2</v>
      </c>
      <c r="F4537" s="53">
        <v>875.52352212500011</v>
      </c>
      <c r="G4537" s="53">
        <f t="shared" si="86"/>
        <v>38.523034973500003</v>
      </c>
      <c r="H4537" s="72"/>
      <c r="I4537" s="73"/>
      <c r="J4537" s="148">
        <v>0</v>
      </c>
      <c r="K4537" s="222">
        <v>0</v>
      </c>
    </row>
    <row r="4538" spans="1:11" hidden="1" x14ac:dyDescent="0.25">
      <c r="A4538" s="207"/>
      <c r="B4538" s="205"/>
      <c r="C4538" s="35" t="s">
        <v>703</v>
      </c>
      <c r="D4538" s="35" t="s">
        <v>695</v>
      </c>
      <c r="E4538" s="36">
        <v>0.89900000000000002</v>
      </c>
      <c r="F4538" s="53">
        <v>24.889999999999997</v>
      </c>
      <c r="G4538" s="53">
        <f t="shared" si="86"/>
        <v>22.376109999999997</v>
      </c>
      <c r="H4538" s="72"/>
      <c r="I4538" s="73"/>
      <c r="J4538" s="148">
        <v>0</v>
      </c>
      <c r="K4538" s="222">
        <v>0</v>
      </c>
    </row>
    <row r="4539" spans="1:11" hidden="1" x14ac:dyDescent="0.25">
      <c r="A4539" s="207"/>
      <c r="B4539" s="205"/>
      <c r="C4539" s="35" t="s">
        <v>696</v>
      </c>
      <c r="D4539" s="35" t="s">
        <v>695</v>
      </c>
      <c r="E4539" s="36">
        <v>0.182</v>
      </c>
      <c r="F4539" s="53">
        <v>18.420500000000001</v>
      </c>
      <c r="G4539" s="53">
        <f t="shared" si="86"/>
        <v>3.3525309999999999</v>
      </c>
      <c r="H4539" s="72"/>
      <c r="I4539" s="73"/>
      <c r="J4539" s="148">
        <v>0</v>
      </c>
      <c r="K4539" s="222">
        <v>0</v>
      </c>
    </row>
    <row r="4540" spans="1:11" ht="38.25" hidden="1" x14ac:dyDescent="0.25">
      <c r="A4540" s="207"/>
      <c r="B4540" s="205"/>
      <c r="C4540" s="35" t="s">
        <v>1002</v>
      </c>
      <c r="D4540" s="35" t="s">
        <v>891</v>
      </c>
      <c r="E4540" s="36">
        <f>0.15*2.5*(6/2)</f>
        <v>1.125</v>
      </c>
      <c r="F4540" s="53">
        <v>17.413499999999999</v>
      </c>
      <c r="G4540" s="53">
        <f t="shared" si="86"/>
        <v>19.590187499999999</v>
      </c>
      <c r="H4540" s="72"/>
      <c r="I4540" s="73"/>
      <c r="J4540" s="148">
        <v>0</v>
      </c>
      <c r="K4540" s="222">
        <v>0</v>
      </c>
    </row>
    <row r="4541" spans="1:11" hidden="1" x14ac:dyDescent="0.25">
      <c r="A4541" s="207"/>
      <c r="B4541" s="205"/>
      <c r="C4541" s="35"/>
      <c r="D4541" s="35"/>
      <c r="E4541" s="36"/>
      <c r="F4541" s="53" t="s">
        <v>514</v>
      </c>
      <c r="G4541" s="53" t="str">
        <f t="shared" si="86"/>
        <v/>
      </c>
      <c r="H4541" s="72"/>
      <c r="I4541" s="73"/>
      <c r="J4541" s="148">
        <v>0</v>
      </c>
      <c r="K4541" s="222">
        <v>0</v>
      </c>
    </row>
    <row r="4542" spans="1:11" ht="15.75" hidden="1" thickBot="1" x14ac:dyDescent="0.3">
      <c r="A4542" s="202" t="s">
        <v>1341</v>
      </c>
      <c r="B4542" s="204" t="str">
        <f>INDEX(Orçamentária!A:B,MATCH(Composições!A4542,Orçamentária!A:A,0),2)</f>
        <v>Pintura Inibidora de Raízes em Estrutura Impermeabilizada</v>
      </c>
      <c r="C4542" s="40"/>
      <c r="D4542" s="25" t="str">
        <f>TRIM(INDEX(Orçamentária!C:C,MATCH(Composições!A4542,Orçamentária!A:A,0),1))</f>
        <v>m2</v>
      </c>
      <c r="E4542" s="26"/>
      <c r="F4542" s="48" t="s">
        <v>514</v>
      </c>
      <c r="G4542" s="27" t="str">
        <f t="shared" si="86"/>
        <v/>
      </c>
      <c r="H4542" s="28"/>
      <c r="I4542" s="29"/>
      <c r="J4542" s="148">
        <v>0</v>
      </c>
      <c r="K4542" s="222">
        <v>0</v>
      </c>
    </row>
    <row r="4543" spans="1:11" hidden="1" x14ac:dyDescent="0.25">
      <c r="A4543" s="207"/>
      <c r="B4543" s="205"/>
      <c r="C4543" s="31"/>
      <c r="D4543" s="31"/>
      <c r="E4543" s="32"/>
      <c r="F4543" s="53" t="s">
        <v>514</v>
      </c>
      <c r="G4543" s="53" t="str">
        <f t="shared" si="86"/>
        <v/>
      </c>
      <c r="H4543" s="72"/>
      <c r="I4543" s="73"/>
      <c r="J4543" s="148">
        <v>0</v>
      </c>
      <c r="K4543" s="222">
        <v>0</v>
      </c>
    </row>
    <row r="4544" spans="1:11" hidden="1" x14ac:dyDescent="0.25">
      <c r="A4544" s="207"/>
      <c r="B4544" s="205"/>
      <c r="C4544" s="35" t="s">
        <v>1342</v>
      </c>
      <c r="D4544" s="35" t="s">
        <v>101</v>
      </c>
      <c r="E4544" s="36">
        <v>0.32569999999999999</v>
      </c>
      <c r="F4544" s="53" t="s">
        <v>514</v>
      </c>
      <c r="G4544" s="53" t="str">
        <f t="shared" si="86"/>
        <v/>
      </c>
      <c r="H4544" s="38">
        <f>SUM(G4544:G4545)</f>
        <v>11.724448750000001</v>
      </c>
      <c r="I4544" s="39"/>
      <c r="J4544" s="148">
        <v>0</v>
      </c>
      <c r="K4544" s="222">
        <v>0</v>
      </c>
    </row>
    <row r="4545" spans="1:11" hidden="1" x14ac:dyDescent="0.25">
      <c r="A4545" s="207"/>
      <c r="B4545" s="205"/>
      <c r="C4545" s="35" t="s">
        <v>1085</v>
      </c>
      <c r="D4545" s="35" t="s">
        <v>695</v>
      </c>
      <c r="E4545" s="36">
        <v>0.45290000000000002</v>
      </c>
      <c r="F4545" s="53">
        <v>25.887499999999999</v>
      </c>
      <c r="G4545" s="53">
        <f t="shared" si="86"/>
        <v>11.724448750000001</v>
      </c>
      <c r="H4545" s="72"/>
      <c r="I4545" s="73"/>
      <c r="J4545" s="148">
        <v>0</v>
      </c>
      <c r="K4545" s="222">
        <v>0</v>
      </c>
    </row>
    <row r="4546" spans="1:11" ht="15.75" hidden="1" thickBot="1" x14ac:dyDescent="0.3">
      <c r="A4546" s="208"/>
      <c r="B4546" s="206"/>
      <c r="C4546" s="54"/>
      <c r="D4546" s="54"/>
      <c r="E4546" s="65"/>
      <c r="F4546" s="75" t="s">
        <v>514</v>
      </c>
      <c r="G4546" s="75" t="str">
        <f t="shared" si="86"/>
        <v/>
      </c>
      <c r="H4546" s="76"/>
      <c r="I4546" s="73"/>
      <c r="J4546" s="148">
        <v>0</v>
      </c>
      <c r="K4546" s="222">
        <v>0</v>
      </c>
    </row>
    <row r="4547" spans="1:11" ht="15.75" hidden="1" thickBot="1" x14ac:dyDescent="0.3">
      <c r="A4547" s="202" t="s">
        <v>1343</v>
      </c>
      <c r="B4547" s="204" t="str">
        <f>INDEX(Orçamentária!A:B,MATCH(Composições!A4547,Orçamentária!A:A,0),2)</f>
        <v>Camada Drenante para Impermeabilização</v>
      </c>
      <c r="C4547" s="40"/>
      <c r="D4547" s="25" t="str">
        <f>TRIM(INDEX(Orçamentária!C:C,MATCH(Composições!A4547,Orçamentária!A:A,0),1))</f>
        <v>m2</v>
      </c>
      <c r="E4547" s="26"/>
      <c r="F4547" s="48" t="s">
        <v>514</v>
      </c>
      <c r="G4547" s="27" t="str">
        <f t="shared" si="86"/>
        <v/>
      </c>
      <c r="H4547" s="28"/>
      <c r="I4547" s="29"/>
      <c r="J4547" s="148">
        <v>0</v>
      </c>
      <c r="K4547" s="222">
        <v>0</v>
      </c>
    </row>
    <row r="4548" spans="1:11" hidden="1" x14ac:dyDescent="0.25">
      <c r="A4548" s="207"/>
      <c r="B4548" s="205"/>
      <c r="C4548" s="31"/>
      <c r="D4548" s="31"/>
      <c r="E4548" s="32"/>
      <c r="F4548" s="53" t="s">
        <v>514</v>
      </c>
      <c r="G4548" s="53" t="str">
        <f t="shared" si="86"/>
        <v/>
      </c>
      <c r="H4548" s="72"/>
      <c r="I4548" s="73"/>
      <c r="J4548" s="148">
        <v>0</v>
      </c>
      <c r="K4548" s="222">
        <v>0</v>
      </c>
    </row>
    <row r="4549" spans="1:11" hidden="1" x14ac:dyDescent="0.25">
      <c r="A4549" s="207"/>
      <c r="B4549" s="205"/>
      <c r="C4549" s="35" t="s">
        <v>696</v>
      </c>
      <c r="D4549" s="35" t="s">
        <v>695</v>
      </c>
      <c r="E4549" s="36">
        <v>0.02</v>
      </c>
      <c r="F4549" s="53">
        <v>18.420500000000001</v>
      </c>
      <c r="G4549" s="53">
        <f t="shared" si="86"/>
        <v>0.36841000000000002</v>
      </c>
      <c r="H4549" s="38">
        <f>SUM(G4549:G4551)</f>
        <v>8.3313100000000002</v>
      </c>
      <c r="I4549" s="39"/>
      <c r="J4549" s="148">
        <v>0</v>
      </c>
      <c r="K4549" s="222">
        <v>0</v>
      </c>
    </row>
    <row r="4550" spans="1:11" ht="25.5" hidden="1" x14ac:dyDescent="0.25">
      <c r="A4550" s="207"/>
      <c r="B4550" s="205"/>
      <c r="C4550" s="35" t="s">
        <v>1344</v>
      </c>
      <c r="D4550" s="35" t="s">
        <v>94</v>
      </c>
      <c r="E4550" s="36">
        <v>1.05</v>
      </c>
      <c r="F4550" s="53" t="s">
        <v>514</v>
      </c>
      <c r="G4550" s="53" t="str">
        <f t="shared" si="86"/>
        <v/>
      </c>
      <c r="H4550" s="72"/>
      <c r="I4550" s="73"/>
      <c r="J4550" s="148">
        <v>0</v>
      </c>
      <c r="K4550" s="222">
        <v>0</v>
      </c>
    </row>
    <row r="4551" spans="1:11" ht="25.5" hidden="1" x14ac:dyDescent="0.25">
      <c r="A4551" s="207"/>
      <c r="B4551" s="205"/>
      <c r="C4551" s="35" t="s">
        <v>1336</v>
      </c>
      <c r="D4551" s="35" t="s">
        <v>94</v>
      </c>
      <c r="E4551" s="36">
        <v>1.1000000000000001</v>
      </c>
      <c r="F4551" s="53">
        <v>7.2389999999999999</v>
      </c>
      <c r="G4551" s="53">
        <f t="shared" si="86"/>
        <v>7.9629000000000003</v>
      </c>
      <c r="H4551" s="72"/>
      <c r="I4551" s="73"/>
      <c r="J4551" s="148">
        <v>0</v>
      </c>
      <c r="K4551" s="222">
        <v>0</v>
      </c>
    </row>
    <row r="4552" spans="1:11" ht="15.75" hidden="1" thickBot="1" x14ac:dyDescent="0.3">
      <c r="A4552" s="208"/>
      <c r="B4552" s="206"/>
      <c r="C4552" s="54"/>
      <c r="D4552" s="54"/>
      <c r="E4552" s="65"/>
      <c r="F4552" s="75" t="s">
        <v>514</v>
      </c>
      <c r="G4552" s="75" t="str">
        <f t="shared" si="86"/>
        <v/>
      </c>
      <c r="H4552" s="76"/>
      <c r="I4552" s="73"/>
      <c r="J4552" s="148">
        <v>0</v>
      </c>
      <c r="K4552" s="222">
        <v>0</v>
      </c>
    </row>
    <row r="4553" spans="1:11" ht="15.75" hidden="1" thickBot="1" x14ac:dyDescent="0.3">
      <c r="A4553" s="202" t="s">
        <v>1345</v>
      </c>
      <c r="B4553" s="204" t="str">
        <f>INDEX(Orçamentária!A:B,MATCH(Composições!A4553,Orçamentária!A:A,0),2)</f>
        <v>Calha em Chapa de Aço Galvanizado nº 24</v>
      </c>
      <c r="C4553" s="40"/>
      <c r="D4553" s="25" t="str">
        <f>TRIM(INDEX(Orçamentária!C:C,MATCH(Composições!A4553,Orçamentária!A:A,0),1))</f>
        <v>m2</v>
      </c>
      <c r="E4553" s="26"/>
      <c r="F4553" s="48" t="s">
        <v>514</v>
      </c>
      <c r="G4553" s="27" t="str">
        <f t="shared" si="86"/>
        <v/>
      </c>
      <c r="H4553" s="28"/>
      <c r="I4553" s="29"/>
      <c r="J4553" s="148">
        <v>125</v>
      </c>
      <c r="K4553" s="222" t="s">
        <v>8074</v>
      </c>
    </row>
    <row r="4554" spans="1:11" hidden="1" x14ac:dyDescent="0.25">
      <c r="A4554" s="207"/>
      <c r="B4554" s="205"/>
      <c r="C4554" s="31"/>
      <c r="D4554" s="31"/>
      <c r="E4554" s="32"/>
      <c r="F4554" s="53" t="s">
        <v>514</v>
      </c>
      <c r="G4554" s="53" t="str">
        <f t="shared" si="86"/>
        <v/>
      </c>
      <c r="H4554" s="72"/>
      <c r="I4554" s="73"/>
      <c r="J4554" s="148">
        <v>125</v>
      </c>
      <c r="K4554" s="222" t="s">
        <v>8074</v>
      </c>
    </row>
    <row r="4555" spans="1:11" ht="25.5" hidden="1" x14ac:dyDescent="0.25">
      <c r="A4555" s="207"/>
      <c r="B4555" s="205"/>
      <c r="C4555" s="35" t="s">
        <v>1053</v>
      </c>
      <c r="D4555" s="46" t="s">
        <v>1064</v>
      </c>
      <c r="E4555" s="36">
        <v>0.161</v>
      </c>
      <c r="F4555" s="53">
        <v>36.945499999999996</v>
      </c>
      <c r="G4555" s="53">
        <f t="shared" si="86"/>
        <v>5.9482254999999995</v>
      </c>
      <c r="H4555" s="38">
        <f>SUM(G4555:G4563)</f>
        <v>180.5442358</v>
      </c>
      <c r="I4555" s="39"/>
      <c r="J4555" s="148">
        <v>125</v>
      </c>
      <c r="K4555" s="222" t="s">
        <v>8074</v>
      </c>
    </row>
    <row r="4556" spans="1:11" hidden="1" x14ac:dyDescent="0.25">
      <c r="A4556" s="207"/>
      <c r="B4556" s="205"/>
      <c r="C4556" s="35" t="s">
        <v>1346</v>
      </c>
      <c r="D4556" s="35" t="s">
        <v>891</v>
      </c>
      <c r="E4556" s="36">
        <v>2.5000000000000001E-2</v>
      </c>
      <c r="F4556" s="53">
        <v>22.249000000000002</v>
      </c>
      <c r="G4556" s="53">
        <f t="shared" si="86"/>
        <v>0.55622500000000008</v>
      </c>
      <c r="H4556" s="72"/>
      <c r="I4556" s="73"/>
      <c r="J4556" s="148">
        <v>125</v>
      </c>
      <c r="K4556" s="222" t="s">
        <v>8074</v>
      </c>
    </row>
    <row r="4557" spans="1:11" ht="25.5" hidden="1" x14ac:dyDescent="0.25">
      <c r="A4557" s="207"/>
      <c r="B4557" s="205"/>
      <c r="C4557" s="35" t="s">
        <v>1347</v>
      </c>
      <c r="D4557" s="35" t="s">
        <v>891</v>
      </c>
      <c r="E4557" s="36">
        <v>4.8999999999999998E-3</v>
      </c>
      <c r="F4557" s="53">
        <v>63.66899999999999</v>
      </c>
      <c r="G4557" s="53">
        <f t="shared" si="86"/>
        <v>0.31197809999999992</v>
      </c>
      <c r="H4557" s="72"/>
      <c r="I4557" s="73"/>
      <c r="J4557" s="148">
        <v>125</v>
      </c>
      <c r="K4557" s="222" t="s">
        <v>8074</v>
      </c>
    </row>
    <row r="4558" spans="1:11" hidden="1" x14ac:dyDescent="0.25">
      <c r="A4558" s="207"/>
      <c r="B4558" s="205"/>
      <c r="C4558" s="35" t="s">
        <v>1348</v>
      </c>
      <c r="D4558" s="35" t="s">
        <v>891</v>
      </c>
      <c r="E4558" s="36">
        <v>0.18</v>
      </c>
      <c r="F4558" s="53">
        <v>165.96499999999997</v>
      </c>
      <c r="G4558" s="53">
        <f t="shared" si="86"/>
        <v>29.873699999999996</v>
      </c>
      <c r="H4558" s="72"/>
      <c r="I4558" s="73"/>
      <c r="J4558" s="148">
        <v>125</v>
      </c>
      <c r="K4558" s="222" t="s">
        <v>8074</v>
      </c>
    </row>
    <row r="4559" spans="1:11" ht="25.5" hidden="1" x14ac:dyDescent="0.25">
      <c r="A4559" s="207"/>
      <c r="B4559" s="205"/>
      <c r="C4559" s="35" t="s">
        <v>1349</v>
      </c>
      <c r="D4559" s="35" t="s">
        <v>473</v>
      </c>
      <c r="E4559" s="36">
        <v>1.05</v>
      </c>
      <c r="F4559" s="53">
        <v>112.765</v>
      </c>
      <c r="G4559" s="53">
        <f t="shared" si="86"/>
        <v>118.40325</v>
      </c>
      <c r="H4559" s="72"/>
      <c r="I4559" s="73"/>
      <c r="J4559" s="148">
        <v>125</v>
      </c>
      <c r="K4559" s="222" t="s">
        <v>8074</v>
      </c>
    </row>
    <row r="4560" spans="1:11" hidden="1" x14ac:dyDescent="0.25">
      <c r="A4560" s="207"/>
      <c r="B4560" s="205"/>
      <c r="C4560" s="35" t="s">
        <v>696</v>
      </c>
      <c r="D4560" s="35" t="s">
        <v>695</v>
      </c>
      <c r="E4560" s="36">
        <v>0.63300000000000001</v>
      </c>
      <c r="F4560" s="53">
        <v>18.420500000000001</v>
      </c>
      <c r="G4560" s="53">
        <f t="shared" si="86"/>
        <v>11.6601765</v>
      </c>
      <c r="H4560" s="72"/>
      <c r="I4560" s="73"/>
      <c r="J4560" s="148">
        <v>125</v>
      </c>
      <c r="K4560" s="222" t="s">
        <v>8074</v>
      </c>
    </row>
    <row r="4561" spans="1:11" hidden="1" x14ac:dyDescent="0.25">
      <c r="A4561" s="207"/>
      <c r="B4561" s="205"/>
      <c r="C4561" s="35" t="s">
        <v>1293</v>
      </c>
      <c r="D4561" s="35" t="s">
        <v>695</v>
      </c>
      <c r="E4561" s="36">
        <v>0.53900000000000003</v>
      </c>
      <c r="F4561" s="53">
        <v>24.414999999999999</v>
      </c>
      <c r="G4561" s="53">
        <f t="shared" si="86"/>
        <v>13.159685</v>
      </c>
      <c r="H4561" s="72"/>
      <c r="I4561" s="73"/>
      <c r="J4561" s="148">
        <v>125</v>
      </c>
      <c r="K4561" s="222" t="s">
        <v>8074</v>
      </c>
    </row>
    <row r="4562" spans="1:11" ht="25.5" hidden="1" x14ac:dyDescent="0.25">
      <c r="A4562" s="207"/>
      <c r="B4562" s="205"/>
      <c r="C4562" s="35" t="s">
        <v>1294</v>
      </c>
      <c r="D4562" s="35" t="s">
        <v>932</v>
      </c>
      <c r="E4562" s="36">
        <v>1.32E-2</v>
      </c>
      <c r="F4562" s="53">
        <v>20.4345</v>
      </c>
      <c r="G4562" s="53">
        <f t="shared" si="86"/>
        <v>0.26973540000000001</v>
      </c>
      <c r="H4562" s="72"/>
      <c r="I4562" s="73"/>
      <c r="J4562" s="148">
        <v>125</v>
      </c>
      <c r="K4562" s="222" t="s">
        <v>8074</v>
      </c>
    </row>
    <row r="4563" spans="1:11" ht="25.5" hidden="1" x14ac:dyDescent="0.25">
      <c r="A4563" s="207"/>
      <c r="B4563" s="205"/>
      <c r="C4563" s="35" t="s">
        <v>1295</v>
      </c>
      <c r="D4563" s="35" t="s">
        <v>934</v>
      </c>
      <c r="E4563" s="36">
        <v>1.83E-2</v>
      </c>
      <c r="F4563" s="53">
        <v>19.741</v>
      </c>
      <c r="G4563" s="53">
        <f t="shared" si="86"/>
        <v>0.36126029999999998</v>
      </c>
      <c r="H4563" s="72"/>
      <c r="I4563" s="73"/>
      <c r="J4563" s="148">
        <v>125</v>
      </c>
      <c r="K4563" s="222" t="s">
        <v>8074</v>
      </c>
    </row>
    <row r="4564" spans="1:11" ht="15.75" hidden="1" thickBot="1" x14ac:dyDescent="0.3">
      <c r="A4564" s="208"/>
      <c r="B4564" s="206"/>
      <c r="C4564" s="54"/>
      <c r="D4564" s="54"/>
      <c r="E4564" s="65"/>
      <c r="F4564" s="75" t="s">
        <v>514</v>
      </c>
      <c r="G4564" s="75" t="str">
        <f t="shared" si="86"/>
        <v/>
      </c>
      <c r="H4564" s="76"/>
      <c r="I4564" s="73"/>
      <c r="J4564" s="148">
        <v>125</v>
      </c>
      <c r="K4564" s="222" t="s">
        <v>8074</v>
      </c>
    </row>
    <row r="4565" spans="1:11" ht="15.75" hidden="1" thickBot="1" x14ac:dyDescent="0.3">
      <c r="A4565" s="202" t="s">
        <v>1350</v>
      </c>
      <c r="B4565" s="204" t="str">
        <f>INDEX(Orçamentária!A:B,MATCH(Composições!A4565,Orçamentária!A:A,0),2)</f>
        <v>Rufo em Chapa de Aço Galvanizado nº 24</v>
      </c>
      <c r="C4565" s="40"/>
      <c r="D4565" s="25" t="str">
        <f>TRIM(INDEX(Orçamentária!C:C,MATCH(Composições!A4565,Orçamentária!A:A,0),1))</f>
        <v>m2</v>
      </c>
      <c r="E4565" s="26"/>
      <c r="F4565" s="48" t="s">
        <v>514</v>
      </c>
      <c r="G4565" s="27" t="str">
        <f t="shared" ref="G4565:G4628" si="87">IF(ISNUMBER(F4565),E4565*F4565,"")</f>
        <v/>
      </c>
      <c r="H4565" s="28"/>
      <c r="I4565" s="29"/>
      <c r="J4565" s="148">
        <v>40</v>
      </c>
      <c r="K4565" s="222" t="s">
        <v>8074</v>
      </c>
    </row>
    <row r="4566" spans="1:11" hidden="1" x14ac:dyDescent="0.25">
      <c r="A4566" s="207"/>
      <c r="B4566" s="205"/>
      <c r="C4566" s="31"/>
      <c r="D4566" s="31"/>
      <c r="E4566" s="32"/>
      <c r="F4566" s="53" t="s">
        <v>514</v>
      </c>
      <c r="G4566" s="53" t="str">
        <f t="shared" si="87"/>
        <v/>
      </c>
      <c r="H4566" s="72"/>
      <c r="I4566" s="73"/>
      <c r="J4566" s="148">
        <v>40</v>
      </c>
      <c r="K4566" s="222" t="s">
        <v>8074</v>
      </c>
    </row>
    <row r="4567" spans="1:11" ht="25.5" hidden="1" x14ac:dyDescent="0.25">
      <c r="A4567" s="207"/>
      <c r="B4567" s="205"/>
      <c r="C4567" s="35" t="s">
        <v>1053</v>
      </c>
      <c r="D4567" s="46" t="s">
        <v>1064</v>
      </c>
      <c r="E4567" s="36">
        <f>0.198*4</f>
        <v>0.79200000000000004</v>
      </c>
      <c r="F4567" s="53">
        <v>36.945499999999996</v>
      </c>
      <c r="G4567" s="53">
        <f t="shared" si="87"/>
        <v>29.260835999999998</v>
      </c>
      <c r="H4567" s="38">
        <f>SUM(G4567:G4575)</f>
        <v>208.71436160000002</v>
      </c>
      <c r="I4567" s="39"/>
      <c r="J4567" s="148">
        <v>40</v>
      </c>
      <c r="K4567" s="222" t="s">
        <v>8074</v>
      </c>
    </row>
    <row r="4568" spans="1:11" hidden="1" x14ac:dyDescent="0.25">
      <c r="A4568" s="207"/>
      <c r="B4568" s="205"/>
      <c r="C4568" s="35" t="s">
        <v>1346</v>
      </c>
      <c r="D4568" s="35" t="s">
        <v>891</v>
      </c>
      <c r="E4568" s="36">
        <f>0.006*4</f>
        <v>2.4E-2</v>
      </c>
      <c r="F4568" s="53">
        <v>22.249000000000002</v>
      </c>
      <c r="G4568" s="53">
        <f t="shared" si="87"/>
        <v>0.53397600000000012</v>
      </c>
      <c r="H4568" s="72"/>
      <c r="I4568" s="73"/>
      <c r="J4568" s="148">
        <v>40</v>
      </c>
      <c r="K4568" s="222" t="s">
        <v>8074</v>
      </c>
    </row>
    <row r="4569" spans="1:11" ht="25.5" hidden="1" x14ac:dyDescent="0.25">
      <c r="A4569" s="207"/>
      <c r="B4569" s="205"/>
      <c r="C4569" s="35" t="s">
        <v>1347</v>
      </c>
      <c r="D4569" s="35" t="s">
        <v>891</v>
      </c>
      <c r="E4569" s="36">
        <f>0.0012*4</f>
        <v>4.7999999999999996E-3</v>
      </c>
      <c r="F4569" s="53">
        <v>63.66899999999999</v>
      </c>
      <c r="G4569" s="53">
        <f t="shared" si="87"/>
        <v>0.30561119999999992</v>
      </c>
      <c r="H4569" s="72"/>
      <c r="I4569" s="73"/>
      <c r="J4569" s="148">
        <v>40</v>
      </c>
      <c r="K4569" s="222" t="s">
        <v>8074</v>
      </c>
    </row>
    <row r="4570" spans="1:11" hidden="1" x14ac:dyDescent="0.25">
      <c r="A4570" s="207"/>
      <c r="B4570" s="205"/>
      <c r="C4570" s="35" t="s">
        <v>1348</v>
      </c>
      <c r="D4570" s="35" t="s">
        <v>891</v>
      </c>
      <c r="E4570" s="36">
        <f>0.045*4</f>
        <v>0.18</v>
      </c>
      <c r="F4570" s="53">
        <v>165.96499999999997</v>
      </c>
      <c r="G4570" s="53">
        <f t="shared" si="87"/>
        <v>29.873699999999996</v>
      </c>
      <c r="H4570" s="72"/>
      <c r="I4570" s="73"/>
      <c r="J4570" s="148">
        <v>40</v>
      </c>
      <c r="K4570" s="222" t="s">
        <v>8074</v>
      </c>
    </row>
    <row r="4571" spans="1:11" ht="25.5" hidden="1" x14ac:dyDescent="0.25">
      <c r="A4571" s="207"/>
      <c r="B4571" s="205"/>
      <c r="C4571" s="35" t="s">
        <v>1351</v>
      </c>
      <c r="D4571" s="35" t="s">
        <v>473</v>
      </c>
      <c r="E4571" s="36">
        <f>4*1.05</f>
        <v>4.2</v>
      </c>
      <c r="F4571" s="53">
        <v>31.995999999999999</v>
      </c>
      <c r="G4571" s="53">
        <f t="shared" si="87"/>
        <v>134.38319999999999</v>
      </c>
      <c r="H4571" s="72"/>
      <c r="I4571" s="73"/>
      <c r="J4571" s="148">
        <v>40</v>
      </c>
      <c r="K4571" s="222" t="s">
        <v>8074</v>
      </c>
    </row>
    <row r="4572" spans="1:11" hidden="1" x14ac:dyDescent="0.25">
      <c r="A4572" s="207"/>
      <c r="B4572" s="205"/>
      <c r="C4572" s="35" t="s">
        <v>696</v>
      </c>
      <c r="D4572" s="35" t="s">
        <v>695</v>
      </c>
      <c r="E4572" s="36">
        <f>0.207*2</f>
        <v>0.41399999999999998</v>
      </c>
      <c r="F4572" s="53">
        <v>18.420500000000001</v>
      </c>
      <c r="G4572" s="53">
        <f t="shared" si="87"/>
        <v>7.6260870000000001</v>
      </c>
      <c r="H4572" s="72"/>
      <c r="I4572" s="73"/>
      <c r="J4572" s="148">
        <v>40</v>
      </c>
      <c r="K4572" s="222" t="s">
        <v>8074</v>
      </c>
    </row>
    <row r="4573" spans="1:11" hidden="1" x14ac:dyDescent="0.25">
      <c r="A4573" s="207"/>
      <c r="B4573" s="205"/>
      <c r="C4573" s="35" t="s">
        <v>1293</v>
      </c>
      <c r="D4573" s="35" t="s">
        <v>695</v>
      </c>
      <c r="E4573" s="36">
        <f>0.112*2</f>
        <v>0.224</v>
      </c>
      <c r="F4573" s="53">
        <v>24.414999999999999</v>
      </c>
      <c r="G4573" s="53">
        <f t="shared" si="87"/>
        <v>5.46896</v>
      </c>
      <c r="H4573" s="72"/>
      <c r="I4573" s="73"/>
      <c r="J4573" s="148">
        <v>40</v>
      </c>
      <c r="K4573" s="222" t="s">
        <v>8074</v>
      </c>
    </row>
    <row r="4574" spans="1:11" ht="25.5" hidden="1" x14ac:dyDescent="0.25">
      <c r="A4574" s="207"/>
      <c r="B4574" s="205"/>
      <c r="C4574" s="35" t="s">
        <v>1294</v>
      </c>
      <c r="D4574" s="35" t="s">
        <v>932</v>
      </c>
      <c r="E4574" s="36">
        <f>0.0132*2</f>
        <v>2.64E-2</v>
      </c>
      <c r="F4574" s="53">
        <v>20.4345</v>
      </c>
      <c r="G4574" s="53">
        <f t="shared" si="87"/>
        <v>0.53947080000000003</v>
      </c>
      <c r="H4574" s="72"/>
      <c r="I4574" s="73"/>
      <c r="J4574" s="148">
        <v>40</v>
      </c>
      <c r="K4574" s="222" t="s">
        <v>8074</v>
      </c>
    </row>
    <row r="4575" spans="1:11" ht="25.5" hidden="1" x14ac:dyDescent="0.25">
      <c r="A4575" s="207"/>
      <c r="B4575" s="205"/>
      <c r="C4575" s="35" t="s">
        <v>1295</v>
      </c>
      <c r="D4575" s="35" t="s">
        <v>934</v>
      </c>
      <c r="E4575" s="36">
        <f>0.0183*2</f>
        <v>3.6600000000000001E-2</v>
      </c>
      <c r="F4575" s="53">
        <v>19.741</v>
      </c>
      <c r="G4575" s="53">
        <f t="shared" si="87"/>
        <v>0.72252059999999996</v>
      </c>
      <c r="H4575" s="72"/>
      <c r="I4575" s="73"/>
      <c r="J4575" s="148">
        <v>40</v>
      </c>
      <c r="K4575" s="222" t="s">
        <v>8074</v>
      </c>
    </row>
    <row r="4576" spans="1:11" ht="15.75" hidden="1" thickBot="1" x14ac:dyDescent="0.3">
      <c r="A4576" s="208"/>
      <c r="B4576" s="206"/>
      <c r="C4576" s="54"/>
      <c r="D4576" s="54"/>
      <c r="E4576" s="65"/>
      <c r="F4576" s="75" t="s">
        <v>514</v>
      </c>
      <c r="G4576" s="75" t="str">
        <f t="shared" si="87"/>
        <v/>
      </c>
      <c r="H4576" s="76"/>
      <c r="I4576" s="73"/>
      <c r="J4576" s="148">
        <v>40</v>
      </c>
      <c r="K4576" s="222" t="s">
        <v>8074</v>
      </c>
    </row>
    <row r="4577" spans="1:11" ht="15.75" hidden="1" thickBot="1" x14ac:dyDescent="0.3">
      <c r="A4577" s="202" t="s">
        <v>1352</v>
      </c>
      <c r="B4577" s="204" t="str">
        <f>INDEX(Orçamentária!A:B,MATCH(Composições!A4577,Orçamentária!A:A,0),2)</f>
        <v>Chapim Pré-Moldado de Concreto Aparente</v>
      </c>
      <c r="C4577" s="40"/>
      <c r="D4577" s="25" t="str">
        <f>TRIM(INDEX(Orçamentária!C:C,MATCH(Composições!A4577,Orçamentária!A:A,0),1))</f>
        <v>m</v>
      </c>
      <c r="E4577" s="26"/>
      <c r="F4577" s="48" t="s">
        <v>514</v>
      </c>
      <c r="G4577" s="27" t="str">
        <f t="shared" si="87"/>
        <v/>
      </c>
      <c r="H4577" s="28"/>
      <c r="I4577" s="29"/>
      <c r="J4577" s="148">
        <v>0</v>
      </c>
      <c r="K4577" s="222">
        <v>0</v>
      </c>
    </row>
    <row r="4578" spans="1:11" hidden="1" x14ac:dyDescent="0.25">
      <c r="A4578" s="207"/>
      <c r="B4578" s="205"/>
      <c r="C4578" s="31"/>
      <c r="D4578" s="31"/>
      <c r="E4578" s="32"/>
      <c r="F4578" s="53" t="s">
        <v>514</v>
      </c>
      <c r="G4578" s="53" t="str">
        <f t="shared" si="87"/>
        <v/>
      </c>
      <c r="H4578" s="72"/>
      <c r="I4578" s="73"/>
      <c r="J4578" s="148">
        <v>0</v>
      </c>
      <c r="K4578" s="222">
        <v>0</v>
      </c>
    </row>
    <row r="4579" spans="1:11" ht="25.5" hidden="1" x14ac:dyDescent="0.25">
      <c r="A4579" s="207"/>
      <c r="B4579" s="205"/>
      <c r="C4579" s="35" t="s">
        <v>3489</v>
      </c>
      <c r="D4579" s="35" t="s">
        <v>891</v>
      </c>
      <c r="E4579" s="36">
        <v>0.02</v>
      </c>
      <c r="F4579" s="53">
        <v>22.363</v>
      </c>
      <c r="G4579" s="53">
        <f t="shared" si="87"/>
        <v>0.44725999999999999</v>
      </c>
      <c r="H4579" s="38">
        <f>SUM(G4579:G4592)</f>
        <v>121.36416864649999</v>
      </c>
      <c r="I4579" s="39"/>
      <c r="J4579" s="148">
        <v>0</v>
      </c>
      <c r="K4579" s="222">
        <v>0</v>
      </c>
    </row>
    <row r="4580" spans="1:11" ht="25.5" hidden="1" x14ac:dyDescent="0.25">
      <c r="A4580" s="207"/>
      <c r="B4580" s="205"/>
      <c r="C4580" s="35" t="s">
        <v>1276</v>
      </c>
      <c r="D4580" s="35" t="s">
        <v>108</v>
      </c>
      <c r="E4580" s="36">
        <v>0.04</v>
      </c>
      <c r="F4580" s="53">
        <v>188.09049999999999</v>
      </c>
      <c r="G4580" s="53">
        <f t="shared" si="87"/>
        <v>7.5236200000000002</v>
      </c>
      <c r="H4580" s="72"/>
      <c r="I4580" s="73"/>
      <c r="J4580" s="148">
        <v>0</v>
      </c>
      <c r="K4580" s="222">
        <v>0</v>
      </c>
    </row>
    <row r="4581" spans="1:11" hidden="1" x14ac:dyDescent="0.25">
      <c r="A4581" s="207"/>
      <c r="B4581" s="205"/>
      <c r="C4581" s="35" t="s">
        <v>894</v>
      </c>
      <c r="D4581" s="35" t="s">
        <v>695</v>
      </c>
      <c r="E4581" s="36">
        <v>0.8</v>
      </c>
      <c r="F4581" s="53">
        <v>24.747499999999999</v>
      </c>
      <c r="G4581" s="53">
        <f t="shared" si="87"/>
        <v>19.798000000000002</v>
      </c>
      <c r="H4581" s="72"/>
      <c r="I4581" s="73"/>
      <c r="J4581" s="148">
        <v>0</v>
      </c>
      <c r="K4581" s="222">
        <v>0</v>
      </c>
    </row>
    <row r="4582" spans="1:11" ht="25.5" hidden="1" x14ac:dyDescent="0.25">
      <c r="A4582" s="207"/>
      <c r="B4582" s="205"/>
      <c r="C4582" s="35" t="s">
        <v>1353</v>
      </c>
      <c r="D4582" s="35" t="s">
        <v>891</v>
      </c>
      <c r="E4582" s="36">
        <v>1.35</v>
      </c>
      <c r="F4582" s="53">
        <v>10.1175</v>
      </c>
      <c r="G4582" s="53">
        <f t="shared" si="87"/>
        <v>13.658625000000001</v>
      </c>
      <c r="H4582" s="72"/>
      <c r="I4582" s="73"/>
      <c r="J4582" s="148">
        <v>0</v>
      </c>
      <c r="K4582" s="222">
        <v>0</v>
      </c>
    </row>
    <row r="4583" spans="1:11" hidden="1" x14ac:dyDescent="0.25">
      <c r="A4583" s="207"/>
      <c r="B4583" s="205"/>
      <c r="C4583" s="35" t="s">
        <v>78</v>
      </c>
      <c r="D4583" s="35" t="s">
        <v>695</v>
      </c>
      <c r="E4583" s="36">
        <v>0.7</v>
      </c>
      <c r="F4583" s="53">
        <v>24.633499999999998</v>
      </c>
      <c r="G4583" s="53">
        <f t="shared" si="87"/>
        <v>17.243449999999996</v>
      </c>
      <c r="H4583" s="72"/>
      <c r="I4583" s="73"/>
      <c r="J4583" s="148">
        <v>0</v>
      </c>
      <c r="K4583" s="222">
        <v>0</v>
      </c>
    </row>
    <row r="4584" spans="1:11" hidden="1" x14ac:dyDescent="0.25">
      <c r="A4584" s="207"/>
      <c r="B4584" s="205"/>
      <c r="C4584" s="35" t="s">
        <v>1354</v>
      </c>
      <c r="D4584" s="35" t="s">
        <v>94</v>
      </c>
      <c r="E4584" s="36">
        <v>1</v>
      </c>
      <c r="F4584" s="53">
        <v>0</v>
      </c>
      <c r="G4584" s="53">
        <f t="shared" si="87"/>
        <v>0</v>
      </c>
      <c r="H4584" s="72"/>
      <c r="I4584" s="73"/>
      <c r="J4584" s="148">
        <v>0</v>
      </c>
      <c r="K4584" s="222">
        <v>0</v>
      </c>
    </row>
    <row r="4585" spans="1:11" ht="38.25" hidden="1" x14ac:dyDescent="0.25">
      <c r="A4585" s="207"/>
      <c r="B4585" s="205"/>
      <c r="C4585" s="35" t="s">
        <v>1355</v>
      </c>
      <c r="D4585" s="35" t="s">
        <v>932</v>
      </c>
      <c r="E4585" s="36">
        <v>0.02</v>
      </c>
      <c r="F4585" s="53">
        <v>4.2560000000000002</v>
      </c>
      <c r="G4585" s="53">
        <f t="shared" si="87"/>
        <v>8.5120000000000001E-2</v>
      </c>
      <c r="H4585" s="72"/>
      <c r="I4585" s="73"/>
      <c r="J4585" s="148">
        <v>0</v>
      </c>
      <c r="K4585" s="222">
        <v>0</v>
      </c>
    </row>
    <row r="4586" spans="1:11" hidden="1" x14ac:dyDescent="0.25">
      <c r="A4586" s="207"/>
      <c r="B4586" s="205"/>
      <c r="C4586" s="35" t="s">
        <v>740</v>
      </c>
      <c r="D4586" s="35" t="s">
        <v>891</v>
      </c>
      <c r="E4586" s="36">
        <v>17.36</v>
      </c>
      <c r="F4586" s="53">
        <v>0.627</v>
      </c>
      <c r="G4586" s="53">
        <f t="shared" si="87"/>
        <v>10.88472</v>
      </c>
      <c r="H4586" s="72"/>
      <c r="I4586" s="73"/>
      <c r="J4586" s="148">
        <v>0</v>
      </c>
      <c r="K4586" s="222">
        <v>0</v>
      </c>
    </row>
    <row r="4587" spans="1:11" ht="25.5" hidden="1" x14ac:dyDescent="0.25">
      <c r="A4587" s="207"/>
      <c r="B4587" s="205"/>
      <c r="C4587" s="35" t="s">
        <v>749</v>
      </c>
      <c r="D4587" s="35" t="s">
        <v>108</v>
      </c>
      <c r="E4587" s="36">
        <v>0.09</v>
      </c>
      <c r="F4587" s="53">
        <v>174.5625</v>
      </c>
      <c r="G4587" s="53">
        <f t="shared" si="87"/>
        <v>15.710625</v>
      </c>
      <c r="H4587" s="72"/>
      <c r="I4587" s="73"/>
      <c r="J4587" s="148">
        <v>0</v>
      </c>
      <c r="K4587" s="222">
        <v>0</v>
      </c>
    </row>
    <row r="4588" spans="1:11" hidden="1" x14ac:dyDescent="0.25">
      <c r="A4588" s="207"/>
      <c r="B4588" s="205"/>
      <c r="C4588" s="35" t="s">
        <v>1356</v>
      </c>
      <c r="D4588" s="35" t="s">
        <v>42</v>
      </c>
      <c r="E4588" s="36">
        <v>0.02</v>
      </c>
      <c r="F4588" s="53">
        <v>22.628999999999998</v>
      </c>
      <c r="G4588" s="53">
        <f t="shared" si="87"/>
        <v>0.45257999999999998</v>
      </c>
      <c r="H4588" s="72"/>
      <c r="I4588" s="73"/>
      <c r="J4588" s="148">
        <v>0</v>
      </c>
      <c r="K4588" s="222">
        <v>0</v>
      </c>
    </row>
    <row r="4589" spans="1:11" hidden="1" x14ac:dyDescent="0.25">
      <c r="A4589" s="207"/>
      <c r="B4589" s="205"/>
      <c r="C4589" s="35" t="s">
        <v>703</v>
      </c>
      <c r="D4589" s="35" t="s">
        <v>12</v>
      </c>
      <c r="E4589" s="36">
        <v>0.3</v>
      </c>
      <c r="F4589" s="53">
        <v>24.889999999999997</v>
      </c>
      <c r="G4589" s="53">
        <f t="shared" si="87"/>
        <v>7.4669999999999987</v>
      </c>
      <c r="H4589" s="72"/>
      <c r="I4589" s="73"/>
      <c r="J4589" s="148">
        <v>0</v>
      </c>
      <c r="K4589" s="222">
        <v>0</v>
      </c>
    </row>
    <row r="4590" spans="1:11" hidden="1" x14ac:dyDescent="0.25">
      <c r="A4590" s="207"/>
      <c r="B4590" s="205"/>
      <c r="C4590" s="35" t="s">
        <v>696</v>
      </c>
      <c r="D4590" s="35" t="s">
        <v>695</v>
      </c>
      <c r="E4590" s="36">
        <v>1.1000000000000001</v>
      </c>
      <c r="F4590" s="53">
        <v>18.420500000000001</v>
      </c>
      <c r="G4590" s="53">
        <f t="shared" si="87"/>
        <v>20.262550000000001</v>
      </c>
      <c r="H4590" s="72"/>
      <c r="I4590" s="73"/>
      <c r="J4590" s="148">
        <v>0</v>
      </c>
      <c r="K4590" s="222">
        <v>0</v>
      </c>
    </row>
    <row r="4591" spans="1:11" ht="51" hidden="1" x14ac:dyDescent="0.25">
      <c r="A4591" s="207"/>
      <c r="B4591" s="205"/>
      <c r="C4591" s="35" t="s">
        <v>3507</v>
      </c>
      <c r="D4591" s="35" t="s">
        <v>108</v>
      </c>
      <c r="E4591" s="36">
        <f>1*(E4580+E4587)</f>
        <v>0.13</v>
      </c>
      <c r="F4591" s="33">
        <v>7.7750840499999994</v>
      </c>
      <c r="G4591" s="33">
        <f t="shared" si="87"/>
        <v>1.0107609264999999</v>
      </c>
      <c r="H4591" s="34"/>
      <c r="I4591" s="30"/>
      <c r="J4591" s="148">
        <v>0</v>
      </c>
      <c r="K4591" s="222">
        <v>0</v>
      </c>
    </row>
    <row r="4592" spans="1:11" ht="38.25" hidden="1" x14ac:dyDescent="0.25">
      <c r="A4592" s="207"/>
      <c r="B4592" s="205"/>
      <c r="C4592" s="35" t="s">
        <v>120</v>
      </c>
      <c r="D4592" s="35" t="s">
        <v>121</v>
      </c>
      <c r="E4592" s="36">
        <f>(E4580+E4587)*20</f>
        <v>2.6</v>
      </c>
      <c r="F4592" s="53">
        <v>2.6230221999999994</v>
      </c>
      <c r="G4592" s="53">
        <f t="shared" si="87"/>
        <v>6.819857719999999</v>
      </c>
      <c r="H4592" s="72"/>
      <c r="I4592" s="73"/>
      <c r="J4592" s="148">
        <v>0</v>
      </c>
      <c r="K4592" s="222">
        <v>0</v>
      </c>
    </row>
    <row r="4593" spans="1:11" hidden="1" x14ac:dyDescent="0.25">
      <c r="A4593" s="207"/>
      <c r="B4593" s="205"/>
      <c r="C4593" s="35"/>
      <c r="D4593" s="35"/>
      <c r="E4593" s="36"/>
      <c r="F4593" s="53" t="s">
        <v>514</v>
      </c>
      <c r="G4593" s="53" t="str">
        <f t="shared" si="87"/>
        <v/>
      </c>
      <c r="H4593" s="72"/>
      <c r="I4593" s="73"/>
      <c r="J4593" s="148">
        <v>0</v>
      </c>
      <c r="K4593" s="222">
        <v>0</v>
      </c>
    </row>
    <row r="4594" spans="1:11" ht="25.5" hidden="1" x14ac:dyDescent="0.25">
      <c r="A4594" s="207"/>
      <c r="B4594" s="205"/>
      <c r="C4594" s="47" t="s">
        <v>1264</v>
      </c>
      <c r="D4594" s="35"/>
      <c r="E4594" s="36"/>
      <c r="F4594" s="53" t="s">
        <v>514</v>
      </c>
      <c r="G4594" s="53" t="str">
        <f t="shared" si="87"/>
        <v/>
      </c>
      <c r="H4594" s="72"/>
      <c r="I4594" s="73"/>
      <c r="J4594" s="148">
        <v>0</v>
      </c>
      <c r="K4594" s="222">
        <v>0</v>
      </c>
    </row>
    <row r="4595" spans="1:11" ht="15.75" hidden="1" thickBot="1" x14ac:dyDescent="0.3">
      <c r="A4595" s="208"/>
      <c r="B4595" s="206"/>
      <c r="C4595" s="54"/>
      <c r="D4595" s="54"/>
      <c r="E4595" s="65"/>
      <c r="F4595" s="75" t="s">
        <v>514</v>
      </c>
      <c r="G4595" s="75" t="str">
        <f t="shared" si="87"/>
        <v/>
      </c>
      <c r="H4595" s="76"/>
      <c r="I4595" s="73"/>
      <c r="J4595" s="148">
        <v>0</v>
      </c>
      <c r="K4595" s="222">
        <v>0</v>
      </c>
    </row>
    <row r="4596" spans="1:11" ht="15.75" hidden="1" thickBot="1" x14ac:dyDescent="0.3">
      <c r="A4596" s="202" t="s">
        <v>1357</v>
      </c>
      <c r="B4596" s="204" t="str">
        <f>INDEX(Orçamentária!A:B,MATCH(Composições!A4596,Orçamentária!A:A,0),2)</f>
        <v>Armação em tela de aço soldado nervurada</v>
      </c>
      <c r="C4596" s="40"/>
      <c r="D4596" s="25" t="str">
        <f>TRIM(INDEX(Orçamentária!C:C,MATCH(Composições!A4596,Orçamentária!A:A,0),1))</f>
        <v>m2</v>
      </c>
      <c r="E4596" s="26"/>
      <c r="F4596" s="48" t="s">
        <v>514</v>
      </c>
      <c r="G4596" s="27" t="str">
        <f t="shared" si="87"/>
        <v/>
      </c>
      <c r="H4596" s="28"/>
      <c r="I4596" s="29"/>
      <c r="J4596" s="148">
        <v>0</v>
      </c>
      <c r="K4596" s="222">
        <v>0</v>
      </c>
    </row>
    <row r="4597" spans="1:11" hidden="1" x14ac:dyDescent="0.25">
      <c r="A4597" s="207"/>
      <c r="B4597" s="205"/>
      <c r="C4597" s="31"/>
      <c r="D4597" s="31"/>
      <c r="E4597" s="32"/>
      <c r="F4597" s="53" t="s">
        <v>514</v>
      </c>
      <c r="G4597" s="53" t="str">
        <f t="shared" si="87"/>
        <v/>
      </c>
      <c r="H4597" s="72"/>
      <c r="I4597" s="73"/>
      <c r="J4597" s="148">
        <v>0</v>
      </c>
      <c r="K4597" s="222">
        <v>0</v>
      </c>
    </row>
    <row r="4598" spans="1:11" ht="38.25" hidden="1" x14ac:dyDescent="0.25">
      <c r="A4598" s="207"/>
      <c r="B4598" s="205"/>
      <c r="C4598" s="35" t="s">
        <v>6616</v>
      </c>
      <c r="D4598" s="35" t="s">
        <v>982</v>
      </c>
      <c r="E4598" s="36">
        <f>ROUND(0.712*1.48,4)</f>
        <v>1.0538000000000001</v>
      </c>
      <c r="F4598" s="53">
        <v>15.627499999999998</v>
      </c>
      <c r="G4598" s="53">
        <f t="shared" si="87"/>
        <v>16.468259499999998</v>
      </c>
      <c r="H4598" s="38">
        <f>SUM(G4598:G4602)</f>
        <v>18.833909599999998</v>
      </c>
      <c r="I4598" s="39"/>
      <c r="J4598" s="148">
        <v>0</v>
      </c>
      <c r="K4598" s="222">
        <v>0</v>
      </c>
    </row>
    <row r="4599" spans="1:11" ht="38.25" hidden="1" x14ac:dyDescent="0.25">
      <c r="A4599" s="207"/>
      <c r="B4599" s="205"/>
      <c r="C4599" s="35" t="s">
        <v>892</v>
      </c>
      <c r="D4599" s="35" t="s">
        <v>278</v>
      </c>
      <c r="E4599" s="36">
        <f>ROUND(1.382*1.48,4)</f>
        <v>2.0453999999999999</v>
      </c>
      <c r="F4599" s="53">
        <v>0.20899999999999999</v>
      </c>
      <c r="G4599" s="53">
        <f t="shared" si="87"/>
        <v>0.42748859999999994</v>
      </c>
      <c r="H4599" s="72"/>
      <c r="I4599" s="73"/>
      <c r="J4599" s="148">
        <v>0</v>
      </c>
      <c r="K4599" s="222">
        <v>0</v>
      </c>
    </row>
    <row r="4600" spans="1:11" ht="25.5" hidden="1" x14ac:dyDescent="0.25">
      <c r="A4600" s="207"/>
      <c r="B4600" s="205"/>
      <c r="C4600" s="35" t="s">
        <v>3489</v>
      </c>
      <c r="D4600" s="35" t="s">
        <v>891</v>
      </c>
      <c r="E4600" s="36">
        <f>ROUND(0.0105*1.48,4)</f>
        <v>1.55E-2</v>
      </c>
      <c r="F4600" s="53">
        <v>22.363</v>
      </c>
      <c r="G4600" s="53">
        <f t="shared" si="87"/>
        <v>0.3466265</v>
      </c>
      <c r="H4600" s="72"/>
      <c r="I4600" s="73"/>
      <c r="J4600" s="148">
        <v>0</v>
      </c>
      <c r="K4600" s="222">
        <v>0</v>
      </c>
    </row>
    <row r="4601" spans="1:11" hidden="1" x14ac:dyDescent="0.25">
      <c r="A4601" s="207"/>
      <c r="B4601" s="205"/>
      <c r="C4601" s="35" t="s">
        <v>893</v>
      </c>
      <c r="D4601" s="35" t="s">
        <v>695</v>
      </c>
      <c r="E4601" s="36">
        <f>ROUND(0.006*1.48,4)</f>
        <v>8.8999999999999999E-3</v>
      </c>
      <c r="F4601" s="53">
        <v>18.3825</v>
      </c>
      <c r="G4601" s="53">
        <f t="shared" si="87"/>
        <v>0.16360425000000001</v>
      </c>
      <c r="H4601" s="72"/>
      <c r="I4601" s="73"/>
      <c r="J4601" s="148">
        <v>0</v>
      </c>
      <c r="K4601" s="222">
        <v>0</v>
      </c>
    </row>
    <row r="4602" spans="1:11" hidden="1" x14ac:dyDescent="0.25">
      <c r="A4602" s="207"/>
      <c r="B4602" s="205"/>
      <c r="C4602" s="35" t="s">
        <v>894</v>
      </c>
      <c r="D4602" s="35" t="s">
        <v>695</v>
      </c>
      <c r="E4602" s="36">
        <f>ROUND(0.039*1.48,4)</f>
        <v>5.7700000000000001E-2</v>
      </c>
      <c r="F4602" s="53">
        <v>24.747499999999999</v>
      </c>
      <c r="G4602" s="53">
        <f t="shared" si="87"/>
        <v>1.42793075</v>
      </c>
      <c r="H4602" s="72"/>
      <c r="I4602" s="73"/>
      <c r="J4602" s="148">
        <v>0</v>
      </c>
      <c r="K4602" s="222">
        <v>0</v>
      </c>
    </row>
    <row r="4603" spans="1:11" hidden="1" x14ac:dyDescent="0.25">
      <c r="A4603" s="207"/>
      <c r="B4603" s="205"/>
      <c r="C4603" s="35"/>
      <c r="D4603" s="35"/>
      <c r="E4603" s="36"/>
      <c r="F4603" s="53" t="s">
        <v>514</v>
      </c>
      <c r="G4603" s="53" t="str">
        <f t="shared" si="87"/>
        <v/>
      </c>
      <c r="H4603" s="72"/>
      <c r="I4603" s="73"/>
      <c r="J4603" s="148">
        <v>0</v>
      </c>
      <c r="K4603" s="222">
        <v>0</v>
      </c>
    </row>
    <row r="4604" spans="1:11" ht="15.75" hidden="1" thickBot="1" x14ac:dyDescent="0.3">
      <c r="A4604" s="202" t="s">
        <v>1358</v>
      </c>
      <c r="B4604" s="204" t="str">
        <f>INDEX(Orçamentária!A:B,MATCH(Composições!A4604,Orçamentária!A:A,0),2)</f>
        <v>Trama de aço composta por terças para telhados de até 2 águas</v>
      </c>
      <c r="C4604" s="40"/>
      <c r="D4604" s="25" t="str">
        <f>TRIM(INDEX(Orçamentária!C:C,MATCH(Composições!A4604,Orçamentária!A:A,0),1))</f>
        <v>m2</v>
      </c>
      <c r="E4604" s="26"/>
      <c r="F4604" s="48" t="s">
        <v>514</v>
      </c>
      <c r="G4604" s="27" t="str">
        <f t="shared" si="87"/>
        <v/>
      </c>
      <c r="H4604" s="28"/>
      <c r="I4604" s="29"/>
      <c r="J4604" s="148">
        <v>0</v>
      </c>
      <c r="K4604" s="222">
        <v>0</v>
      </c>
    </row>
    <row r="4605" spans="1:11" hidden="1" x14ac:dyDescent="0.25">
      <c r="A4605" s="207"/>
      <c r="B4605" s="205"/>
      <c r="C4605" s="31"/>
      <c r="D4605" s="31"/>
      <c r="E4605" s="32"/>
      <c r="F4605" s="53" t="s">
        <v>514</v>
      </c>
      <c r="G4605" s="53" t="str">
        <f t="shared" si="87"/>
        <v/>
      </c>
      <c r="H4605" s="72"/>
      <c r="I4605" s="73"/>
      <c r="J4605" s="148">
        <v>0</v>
      </c>
      <c r="K4605" s="222">
        <v>0</v>
      </c>
    </row>
    <row r="4606" spans="1:11" ht="25.5" hidden="1" x14ac:dyDescent="0.25">
      <c r="A4606" s="207"/>
      <c r="B4606" s="205"/>
      <c r="C4606" s="35" t="s">
        <v>1359</v>
      </c>
      <c r="D4606" s="46" t="s">
        <v>1238</v>
      </c>
      <c r="E4606" s="36">
        <v>7.0000000000000001E-3</v>
      </c>
      <c r="F4606" s="53">
        <v>179.06550000000001</v>
      </c>
      <c r="G4606" s="53">
        <f t="shared" si="87"/>
        <v>1.2534585</v>
      </c>
      <c r="H4606" s="38">
        <f>SUM(G4606:G4611)</f>
        <v>59.347069999999995</v>
      </c>
      <c r="I4606" s="39"/>
      <c r="J4606" s="148">
        <v>0</v>
      </c>
      <c r="K4606" s="222">
        <v>0</v>
      </c>
    </row>
    <row r="4607" spans="1:11" ht="25.5" hidden="1" x14ac:dyDescent="0.25">
      <c r="A4607" s="207"/>
      <c r="B4607" s="205"/>
      <c r="C4607" s="35" t="s">
        <v>1360</v>
      </c>
      <c r="D4607" s="35" t="s">
        <v>891</v>
      </c>
      <c r="E4607" s="36">
        <v>4.3330000000000002</v>
      </c>
      <c r="F4607" s="53">
        <v>11.950999999999999</v>
      </c>
      <c r="G4607" s="53">
        <f t="shared" si="87"/>
        <v>51.783682999999996</v>
      </c>
      <c r="H4607" s="72"/>
      <c r="I4607" s="73"/>
      <c r="J4607" s="148">
        <v>0</v>
      </c>
      <c r="K4607" s="222">
        <v>0</v>
      </c>
    </row>
    <row r="4608" spans="1:11" ht="25.5" hidden="1" x14ac:dyDescent="0.25">
      <c r="A4608" s="207"/>
      <c r="B4608" s="205"/>
      <c r="C4608" s="35" t="s">
        <v>975</v>
      </c>
      <c r="D4608" s="35" t="s">
        <v>695</v>
      </c>
      <c r="E4608" s="36">
        <v>0.21299999999999999</v>
      </c>
      <c r="F4608" s="53">
        <v>18.933499999999999</v>
      </c>
      <c r="G4608" s="53">
        <f t="shared" si="87"/>
        <v>4.0328355</v>
      </c>
      <c r="H4608" s="72"/>
      <c r="I4608" s="73"/>
      <c r="J4608" s="148">
        <v>0</v>
      </c>
      <c r="K4608" s="222">
        <v>0</v>
      </c>
    </row>
    <row r="4609" spans="1:11" hidden="1" x14ac:dyDescent="0.25">
      <c r="A4609" s="207"/>
      <c r="B4609" s="205"/>
      <c r="C4609" s="35" t="s">
        <v>696</v>
      </c>
      <c r="D4609" s="35" t="s">
        <v>695</v>
      </c>
      <c r="E4609" s="36">
        <v>0.106</v>
      </c>
      <c r="F4609" s="53">
        <v>18.420500000000001</v>
      </c>
      <c r="G4609" s="53">
        <f t="shared" si="87"/>
        <v>1.9525729999999999</v>
      </c>
      <c r="H4609" s="72"/>
      <c r="I4609" s="73"/>
      <c r="J4609" s="148">
        <v>0</v>
      </c>
      <c r="K4609" s="222">
        <v>0</v>
      </c>
    </row>
    <row r="4610" spans="1:11" ht="25.5" hidden="1" x14ac:dyDescent="0.25">
      <c r="A4610" s="207"/>
      <c r="B4610" s="205"/>
      <c r="C4610" s="35" t="s">
        <v>1294</v>
      </c>
      <c r="D4610" s="35" t="s">
        <v>932</v>
      </c>
      <c r="E4610" s="36">
        <v>6.7999999999999996E-3</v>
      </c>
      <c r="F4610" s="53">
        <v>20.4345</v>
      </c>
      <c r="G4610" s="53">
        <f t="shared" si="87"/>
        <v>0.13895459999999998</v>
      </c>
      <c r="H4610" s="72"/>
      <c r="I4610" s="73"/>
      <c r="J4610" s="148">
        <v>0</v>
      </c>
      <c r="K4610" s="222">
        <v>0</v>
      </c>
    </row>
    <row r="4611" spans="1:11" ht="25.5" hidden="1" x14ac:dyDescent="0.25">
      <c r="A4611" s="207"/>
      <c r="B4611" s="205"/>
      <c r="C4611" s="35" t="s">
        <v>1295</v>
      </c>
      <c r="D4611" s="35" t="s">
        <v>934</v>
      </c>
      <c r="E4611" s="36">
        <v>9.4000000000000004E-3</v>
      </c>
      <c r="F4611" s="53">
        <v>19.741</v>
      </c>
      <c r="G4611" s="53">
        <f t="shared" si="87"/>
        <v>0.18556539999999999</v>
      </c>
      <c r="H4611" s="72"/>
      <c r="I4611" s="73"/>
      <c r="J4611" s="148">
        <v>0</v>
      </c>
      <c r="K4611" s="222">
        <v>0</v>
      </c>
    </row>
    <row r="4612" spans="1:11" ht="15.75" hidden="1" thickBot="1" x14ac:dyDescent="0.3">
      <c r="A4612" s="208"/>
      <c r="B4612" s="206"/>
      <c r="C4612" s="54"/>
      <c r="D4612" s="54"/>
      <c r="E4612" s="65"/>
      <c r="F4612" s="75" t="s">
        <v>514</v>
      </c>
      <c r="G4612" s="75" t="str">
        <f t="shared" si="87"/>
        <v/>
      </c>
      <c r="H4612" s="76"/>
      <c r="I4612" s="73"/>
      <c r="J4612" s="148">
        <v>0</v>
      </c>
      <c r="K4612" s="222">
        <v>0</v>
      </c>
    </row>
    <row r="4613" spans="1:11" ht="15.75" hidden="1" thickBot="1" x14ac:dyDescent="0.3">
      <c r="A4613" s="202" t="s">
        <v>1361</v>
      </c>
      <c r="B4613" s="204" t="str">
        <f>INDEX(Orçamentária!A:B,MATCH(Composições!A4613,Orçamentária!A:A,0),2)</f>
        <v>Revestimento impermeabilizante bloqueador de umidade</v>
      </c>
      <c r="C4613" s="40"/>
      <c r="D4613" s="25" t="str">
        <f>TRIM(INDEX(Orçamentária!C:C,MATCH(Composições!A4613,Orçamentária!A:A,0),1))</f>
        <v>m2</v>
      </c>
      <c r="E4613" s="26"/>
      <c r="F4613" s="48" t="s">
        <v>514</v>
      </c>
      <c r="G4613" s="27" t="str">
        <f t="shared" si="87"/>
        <v/>
      </c>
      <c r="H4613" s="28"/>
      <c r="I4613" s="29"/>
      <c r="J4613" s="148">
        <v>0</v>
      </c>
      <c r="K4613" s="222">
        <v>0</v>
      </c>
    </row>
    <row r="4614" spans="1:11" hidden="1" x14ac:dyDescent="0.25">
      <c r="A4614" s="207"/>
      <c r="B4614" s="205"/>
      <c r="C4614" s="31"/>
      <c r="D4614" s="31"/>
      <c r="E4614" s="32"/>
      <c r="F4614" s="53" t="s">
        <v>514</v>
      </c>
      <c r="G4614" s="53" t="str">
        <f t="shared" si="87"/>
        <v/>
      </c>
      <c r="H4614" s="72"/>
      <c r="I4614" s="73"/>
      <c r="J4614" s="148">
        <v>0</v>
      </c>
      <c r="K4614" s="222">
        <v>0</v>
      </c>
    </row>
    <row r="4615" spans="1:11" hidden="1" x14ac:dyDescent="0.25">
      <c r="A4615" s="207"/>
      <c r="B4615" s="205"/>
      <c r="C4615" s="35" t="s">
        <v>1039</v>
      </c>
      <c r="D4615" s="35" t="s">
        <v>695</v>
      </c>
      <c r="E4615" s="36">
        <v>0.1</v>
      </c>
      <c r="F4615" s="53">
        <v>20.700499999999998</v>
      </c>
      <c r="G4615" s="53">
        <f t="shared" si="87"/>
        <v>2.0700499999999997</v>
      </c>
      <c r="H4615" s="38">
        <f>SUM(G4615:G4617)</f>
        <v>7.2475500000000004</v>
      </c>
      <c r="I4615" s="39"/>
      <c r="J4615" s="148">
        <v>0</v>
      </c>
      <c r="K4615" s="222">
        <v>0</v>
      </c>
    </row>
    <row r="4616" spans="1:11" hidden="1" x14ac:dyDescent="0.25">
      <c r="A4616" s="207"/>
      <c r="B4616" s="205"/>
      <c r="C4616" s="35" t="s">
        <v>1085</v>
      </c>
      <c r="D4616" s="35" t="s">
        <v>695</v>
      </c>
      <c r="E4616" s="36">
        <v>0.2</v>
      </c>
      <c r="F4616" s="53">
        <v>25.887499999999999</v>
      </c>
      <c r="G4616" s="53">
        <f t="shared" si="87"/>
        <v>5.1775000000000002</v>
      </c>
      <c r="H4616" s="72"/>
      <c r="I4616" s="73"/>
      <c r="J4616" s="148">
        <v>0</v>
      </c>
      <c r="K4616" s="222">
        <v>0</v>
      </c>
    </row>
    <row r="4617" spans="1:11" hidden="1" x14ac:dyDescent="0.25">
      <c r="A4617" s="207"/>
      <c r="B4617" s="205"/>
      <c r="C4617" s="35" t="s">
        <v>3521</v>
      </c>
      <c r="D4617" s="35" t="s">
        <v>101</v>
      </c>
      <c r="E4617" s="36">
        <f>2*3.6/75</f>
        <v>9.6000000000000002E-2</v>
      </c>
      <c r="F4617" s="53" t="s">
        <v>514</v>
      </c>
      <c r="G4617" s="53" t="str">
        <f t="shared" si="87"/>
        <v/>
      </c>
      <c r="H4617" s="72"/>
      <c r="I4617" s="73"/>
      <c r="J4617" s="148">
        <v>0</v>
      </c>
      <c r="K4617" s="222">
        <v>0</v>
      </c>
    </row>
    <row r="4618" spans="1:11" hidden="1" x14ac:dyDescent="0.25">
      <c r="A4618" s="207"/>
      <c r="B4618" s="205"/>
      <c r="C4618" s="35"/>
      <c r="D4618" s="35"/>
      <c r="E4618" s="36"/>
      <c r="F4618" s="53" t="s">
        <v>514</v>
      </c>
      <c r="G4618" s="53" t="str">
        <f t="shared" si="87"/>
        <v/>
      </c>
      <c r="H4618" s="72"/>
      <c r="I4618" s="73"/>
      <c r="J4618" s="148">
        <v>0</v>
      </c>
      <c r="K4618" s="222">
        <v>0</v>
      </c>
    </row>
    <row r="4619" spans="1:11" ht="38.25" hidden="1" x14ac:dyDescent="0.25">
      <c r="A4619" s="207"/>
      <c r="B4619" s="205"/>
      <c r="C4619" s="47" t="s">
        <v>1362</v>
      </c>
      <c r="D4619" s="35"/>
      <c r="E4619" s="36"/>
      <c r="F4619" s="53" t="s">
        <v>514</v>
      </c>
      <c r="G4619" s="53" t="str">
        <f t="shared" si="87"/>
        <v/>
      </c>
      <c r="H4619" s="72"/>
      <c r="I4619" s="73"/>
      <c r="J4619" s="148">
        <v>0</v>
      </c>
      <c r="K4619" s="222">
        <v>0</v>
      </c>
    </row>
    <row r="4620" spans="1:11" hidden="1" x14ac:dyDescent="0.25">
      <c r="A4620" s="207"/>
      <c r="B4620" s="205"/>
      <c r="C4620" s="35"/>
      <c r="D4620" s="35"/>
      <c r="E4620" s="36"/>
      <c r="F4620" s="53" t="s">
        <v>514</v>
      </c>
      <c r="G4620" s="53" t="str">
        <f t="shared" si="87"/>
        <v/>
      </c>
      <c r="H4620" s="72"/>
      <c r="I4620" s="73"/>
      <c r="J4620" s="148">
        <v>0</v>
      </c>
      <c r="K4620" s="222">
        <v>0</v>
      </c>
    </row>
    <row r="4621" spans="1:11" ht="15.75" hidden="1" thickBot="1" x14ac:dyDescent="0.3">
      <c r="A4621" s="202" t="s">
        <v>1363</v>
      </c>
      <c r="B4621" s="204" t="str">
        <f>INDEX(Orçamentária!A:B,MATCH(Composições!A4621,Orçamentária!A:A,0),2)</f>
        <v>Pintura com tinta refletiva aluminizada para impermeabilização</v>
      </c>
      <c r="C4621" s="40"/>
      <c r="D4621" s="25" t="str">
        <f>TRIM(INDEX(Orçamentária!C:C,MATCH(Composições!A4621,Orçamentária!A:A,0),1))</f>
        <v>m2</v>
      </c>
      <c r="E4621" s="26"/>
      <c r="F4621" s="48" t="s">
        <v>514</v>
      </c>
      <c r="G4621" s="27" t="str">
        <f t="shared" si="87"/>
        <v/>
      </c>
      <c r="H4621" s="28"/>
      <c r="I4621" s="29"/>
      <c r="J4621" s="148">
        <v>0</v>
      </c>
      <c r="K4621" s="222">
        <v>0</v>
      </c>
    </row>
    <row r="4622" spans="1:11" hidden="1" x14ac:dyDescent="0.25">
      <c r="A4622" s="207"/>
      <c r="B4622" s="205"/>
      <c r="C4622" s="31"/>
      <c r="D4622" s="31"/>
      <c r="E4622" s="32"/>
      <c r="F4622" s="53" t="s">
        <v>514</v>
      </c>
      <c r="G4622" s="53" t="str">
        <f t="shared" si="87"/>
        <v/>
      </c>
      <c r="H4622" s="72"/>
      <c r="I4622" s="73"/>
      <c r="J4622" s="148">
        <v>0</v>
      </c>
      <c r="K4622" s="222">
        <v>0</v>
      </c>
    </row>
    <row r="4623" spans="1:11" hidden="1" x14ac:dyDescent="0.25">
      <c r="A4623" s="207"/>
      <c r="B4623" s="205"/>
      <c r="C4623" s="35" t="s">
        <v>1039</v>
      </c>
      <c r="D4623" s="35" t="s">
        <v>695</v>
      </c>
      <c r="E4623" s="36">
        <v>0.1</v>
      </c>
      <c r="F4623" s="53">
        <v>20.700499999999998</v>
      </c>
      <c r="G4623" s="53">
        <f t="shared" si="87"/>
        <v>2.0700499999999997</v>
      </c>
      <c r="H4623" s="38">
        <f>SUM(G4623:G4625)</f>
        <v>7.2475500000000004</v>
      </c>
      <c r="I4623" s="39"/>
      <c r="J4623" s="148">
        <v>0</v>
      </c>
      <c r="K4623" s="222">
        <v>0</v>
      </c>
    </row>
    <row r="4624" spans="1:11" hidden="1" x14ac:dyDescent="0.25">
      <c r="A4624" s="207"/>
      <c r="B4624" s="205"/>
      <c r="C4624" s="35" t="s">
        <v>1085</v>
      </c>
      <c r="D4624" s="35" t="s">
        <v>695</v>
      </c>
      <c r="E4624" s="36">
        <v>0.2</v>
      </c>
      <c r="F4624" s="53">
        <v>25.887499999999999</v>
      </c>
      <c r="G4624" s="53">
        <f t="shared" si="87"/>
        <v>5.1775000000000002</v>
      </c>
      <c r="H4624" s="72"/>
      <c r="I4624" s="73"/>
      <c r="J4624" s="148">
        <v>0</v>
      </c>
      <c r="K4624" s="222">
        <v>0</v>
      </c>
    </row>
    <row r="4625" spans="1:11" hidden="1" x14ac:dyDescent="0.25">
      <c r="A4625" s="207"/>
      <c r="B4625" s="205"/>
      <c r="C4625" s="35" t="s">
        <v>1364</v>
      </c>
      <c r="D4625" s="35" t="s">
        <v>101</v>
      </c>
      <c r="E4625" s="36">
        <v>0.5</v>
      </c>
      <c r="F4625" s="53">
        <v>0</v>
      </c>
      <c r="G4625" s="53">
        <f t="shared" si="87"/>
        <v>0</v>
      </c>
      <c r="H4625" s="72"/>
      <c r="I4625" s="73"/>
      <c r="J4625" s="148">
        <v>0</v>
      </c>
      <c r="K4625" s="222">
        <v>0</v>
      </c>
    </row>
    <row r="4626" spans="1:11" hidden="1" x14ac:dyDescent="0.25">
      <c r="A4626" s="207"/>
      <c r="B4626" s="205"/>
      <c r="C4626" s="35"/>
      <c r="D4626" s="35"/>
      <c r="E4626" s="36"/>
      <c r="F4626" s="53" t="s">
        <v>514</v>
      </c>
      <c r="G4626" s="53" t="str">
        <f t="shared" si="87"/>
        <v/>
      </c>
      <c r="H4626" s="72"/>
      <c r="I4626" s="73"/>
      <c r="J4626" s="148">
        <v>0</v>
      </c>
      <c r="K4626" s="222">
        <v>0</v>
      </c>
    </row>
    <row r="4627" spans="1:11" ht="15.75" hidden="1" thickBot="1" x14ac:dyDescent="0.3">
      <c r="A4627" s="202" t="s">
        <v>1365</v>
      </c>
      <c r="B4627" s="204" t="str">
        <f>INDEX(Orçamentária!A:B,MATCH(Composições!A4627,Orçamentária!A:A,0),2)</f>
        <v>Concreto leve com poliestireno expandido</v>
      </c>
      <c r="C4627" s="40"/>
      <c r="D4627" s="25" t="str">
        <f>TRIM(INDEX(Orçamentária!C:C,MATCH(Composições!A4627,Orçamentária!A:A,0),1))</f>
        <v>m3</v>
      </c>
      <c r="E4627" s="26"/>
      <c r="F4627" s="48" t="s">
        <v>514</v>
      </c>
      <c r="G4627" s="27" t="str">
        <f t="shared" si="87"/>
        <v/>
      </c>
      <c r="H4627" s="28"/>
      <c r="I4627" s="29"/>
      <c r="J4627" s="148">
        <v>0</v>
      </c>
      <c r="K4627" s="222">
        <v>0</v>
      </c>
    </row>
    <row r="4628" spans="1:11" hidden="1" x14ac:dyDescent="0.25">
      <c r="A4628" s="207"/>
      <c r="B4628" s="205"/>
      <c r="C4628" s="31"/>
      <c r="D4628" s="31"/>
      <c r="E4628" s="32"/>
      <c r="F4628" s="53" t="s">
        <v>514</v>
      </c>
      <c r="G4628" s="53" t="str">
        <f t="shared" si="87"/>
        <v/>
      </c>
      <c r="H4628" s="72"/>
      <c r="I4628" s="73"/>
      <c r="J4628" s="148">
        <v>0</v>
      </c>
      <c r="K4628" s="222">
        <v>0</v>
      </c>
    </row>
    <row r="4629" spans="1:11" hidden="1" x14ac:dyDescent="0.25">
      <c r="A4629" s="207"/>
      <c r="B4629" s="205"/>
      <c r="C4629" s="35" t="s">
        <v>696</v>
      </c>
      <c r="D4629" s="35" t="s">
        <v>695</v>
      </c>
      <c r="E4629" s="36">
        <v>6.5</v>
      </c>
      <c r="F4629" s="53">
        <v>18.420500000000001</v>
      </c>
      <c r="G4629" s="53">
        <f t="shared" ref="G4629:G4692" si="88">IF(ISNUMBER(F4629),E4629*F4629,"")</f>
        <v>119.73325</v>
      </c>
      <c r="H4629" s="38">
        <f>SUM(G4629:G4635)</f>
        <v>900.53269554189978</v>
      </c>
      <c r="I4629" s="39"/>
      <c r="J4629" s="148">
        <v>0</v>
      </c>
      <c r="K4629" s="222">
        <v>0</v>
      </c>
    </row>
    <row r="4630" spans="1:11" ht="25.5" hidden="1" x14ac:dyDescent="0.25">
      <c r="A4630" s="207"/>
      <c r="B4630" s="205"/>
      <c r="C4630" s="35" t="s">
        <v>744</v>
      </c>
      <c r="D4630" s="35" t="s">
        <v>108</v>
      </c>
      <c r="E4630" s="36">
        <v>0.35799999999999998</v>
      </c>
      <c r="F4630" s="53">
        <v>185.66799999999998</v>
      </c>
      <c r="G4630" s="53">
        <f t="shared" si="88"/>
        <v>66.469143999999986</v>
      </c>
      <c r="H4630" s="72"/>
      <c r="I4630" s="73"/>
      <c r="J4630" s="148">
        <v>0</v>
      </c>
      <c r="K4630" s="222">
        <v>0</v>
      </c>
    </row>
    <row r="4631" spans="1:11" hidden="1" x14ac:dyDescent="0.25">
      <c r="A4631" s="207"/>
      <c r="B4631" s="205"/>
      <c r="C4631" s="35" t="s">
        <v>740</v>
      </c>
      <c r="D4631" s="35" t="s">
        <v>891</v>
      </c>
      <c r="E4631" s="36">
        <v>400</v>
      </c>
      <c r="F4631" s="53">
        <v>0.627</v>
      </c>
      <c r="G4631" s="53">
        <f t="shared" si="88"/>
        <v>250.8</v>
      </c>
      <c r="H4631" s="72"/>
      <c r="I4631" s="73"/>
      <c r="J4631" s="148">
        <v>0</v>
      </c>
      <c r="K4631" s="222">
        <v>0</v>
      </c>
    </row>
    <row r="4632" spans="1:11" ht="25.5" hidden="1" x14ac:dyDescent="0.25">
      <c r="A4632" s="207"/>
      <c r="B4632" s="205"/>
      <c r="C4632" s="35" t="s">
        <v>1366</v>
      </c>
      <c r="D4632" s="35" t="s">
        <v>42</v>
      </c>
      <c r="E4632" s="36">
        <v>10.5</v>
      </c>
      <c r="F4632" s="53">
        <v>42.046999999999997</v>
      </c>
      <c r="G4632" s="53">
        <f t="shared" si="88"/>
        <v>441.49349999999998</v>
      </c>
      <c r="H4632" s="72"/>
      <c r="I4632" s="73"/>
      <c r="J4632" s="148">
        <v>0</v>
      </c>
      <c r="K4632" s="222">
        <v>0</v>
      </c>
    </row>
    <row r="4633" spans="1:11" ht="38.25" hidden="1" x14ac:dyDescent="0.25">
      <c r="A4633" s="207"/>
      <c r="B4633" s="205"/>
      <c r="C4633" s="35" t="s">
        <v>116</v>
      </c>
      <c r="D4633" s="35" t="s">
        <v>932</v>
      </c>
      <c r="E4633" s="36">
        <v>0.34300000000000003</v>
      </c>
      <c r="F4633" s="53">
        <v>1.3774999999999999</v>
      </c>
      <c r="G4633" s="53">
        <f t="shared" si="88"/>
        <v>0.47248250000000003</v>
      </c>
      <c r="H4633" s="72"/>
      <c r="I4633" s="73"/>
      <c r="J4633" s="148">
        <v>0</v>
      </c>
      <c r="K4633" s="222">
        <v>0</v>
      </c>
    </row>
    <row r="4634" spans="1:11" ht="51" hidden="1" x14ac:dyDescent="0.25">
      <c r="A4634" s="207"/>
      <c r="B4634" s="205"/>
      <c r="C4634" s="35" t="s">
        <v>3507</v>
      </c>
      <c r="D4634" s="35" t="s">
        <v>108</v>
      </c>
      <c r="E4634" s="36">
        <f>1*E4630</f>
        <v>0.35799999999999998</v>
      </c>
      <c r="F4634" s="33">
        <v>7.7750840499999994</v>
      </c>
      <c r="G4634" s="33">
        <f t="shared" si="88"/>
        <v>2.7834800898999998</v>
      </c>
      <c r="H4634" s="34"/>
      <c r="I4634" s="30"/>
      <c r="J4634" s="148">
        <v>0</v>
      </c>
      <c r="K4634" s="222">
        <v>0</v>
      </c>
    </row>
    <row r="4635" spans="1:11" ht="38.25" hidden="1" x14ac:dyDescent="0.25">
      <c r="A4635" s="207"/>
      <c r="B4635" s="205"/>
      <c r="C4635" s="35" t="s">
        <v>120</v>
      </c>
      <c r="D4635" s="35" t="s">
        <v>121</v>
      </c>
      <c r="E4635" s="36">
        <f>E4630*20</f>
        <v>7.16</v>
      </c>
      <c r="F4635" s="53">
        <v>2.6230221999999994</v>
      </c>
      <c r="G4635" s="53">
        <f t="shared" si="88"/>
        <v>18.780838951999996</v>
      </c>
      <c r="H4635" s="72"/>
      <c r="I4635" s="73"/>
      <c r="J4635" s="148">
        <v>0</v>
      </c>
      <c r="K4635" s="222">
        <v>0</v>
      </c>
    </row>
    <row r="4636" spans="1:11" hidden="1" x14ac:dyDescent="0.25">
      <c r="A4636" s="207"/>
      <c r="B4636" s="205"/>
      <c r="C4636" s="35"/>
      <c r="D4636" s="35"/>
      <c r="E4636" s="36"/>
      <c r="F4636" s="53" t="s">
        <v>514</v>
      </c>
      <c r="G4636" s="53" t="str">
        <f t="shared" si="88"/>
        <v/>
      </c>
      <c r="H4636" s="72"/>
      <c r="I4636" s="73"/>
      <c r="J4636" s="148">
        <v>0</v>
      </c>
      <c r="K4636" s="222">
        <v>0</v>
      </c>
    </row>
    <row r="4637" spans="1:11" hidden="1" x14ac:dyDescent="0.25">
      <c r="A4637" s="207"/>
      <c r="B4637" s="205"/>
      <c r="C4637" s="47" t="s">
        <v>1367</v>
      </c>
      <c r="D4637" s="35"/>
      <c r="E4637" s="36"/>
      <c r="F4637" s="53" t="s">
        <v>514</v>
      </c>
      <c r="G4637" s="53" t="str">
        <f t="shared" si="88"/>
        <v/>
      </c>
      <c r="H4637" s="72"/>
      <c r="I4637" s="73"/>
      <c r="J4637" s="148">
        <v>0</v>
      </c>
      <c r="K4637" s="222">
        <v>0</v>
      </c>
    </row>
    <row r="4638" spans="1:11" hidden="1" x14ac:dyDescent="0.25">
      <c r="A4638" s="207"/>
      <c r="B4638" s="205"/>
      <c r="C4638" s="35"/>
      <c r="D4638" s="35"/>
      <c r="E4638" s="36"/>
      <c r="F4638" s="53" t="s">
        <v>514</v>
      </c>
      <c r="G4638" s="53" t="str">
        <f t="shared" si="88"/>
        <v/>
      </c>
      <c r="H4638" s="72"/>
      <c r="I4638" s="73"/>
      <c r="J4638" s="148">
        <v>0</v>
      </c>
      <c r="K4638" s="222">
        <v>0</v>
      </c>
    </row>
    <row r="4639" spans="1:11" ht="15.75" hidden="1" thickBot="1" x14ac:dyDescent="0.3">
      <c r="A4639" s="202" t="s">
        <v>1368</v>
      </c>
      <c r="B4639" s="204" t="str">
        <f>INDEX(Orçamentária!A:B,MATCH(Composições!A4639,Orçamentária!A:A,0),2)</f>
        <v>Colagem da camada de proteção térmica de impermeabilização</v>
      </c>
      <c r="C4639" s="40"/>
      <c r="D4639" s="25" t="str">
        <f>TRIM(INDEX(Orçamentária!C:C,MATCH(Composições!A4639,Orçamentária!A:A,0),1))</f>
        <v>m2</v>
      </c>
      <c r="E4639" s="26"/>
      <c r="F4639" s="48" t="s">
        <v>514</v>
      </c>
      <c r="G4639" s="27" t="str">
        <f t="shared" si="88"/>
        <v/>
      </c>
      <c r="H4639" s="28"/>
      <c r="I4639" s="29"/>
      <c r="J4639" s="148">
        <v>0</v>
      </c>
      <c r="K4639" s="222">
        <v>0</v>
      </c>
    </row>
    <row r="4640" spans="1:11" hidden="1" x14ac:dyDescent="0.25">
      <c r="A4640" s="207"/>
      <c r="B4640" s="205"/>
      <c r="C4640" s="31"/>
      <c r="D4640" s="31"/>
      <c r="E4640" s="32"/>
      <c r="F4640" s="53" t="s">
        <v>514</v>
      </c>
      <c r="G4640" s="53" t="str">
        <f t="shared" si="88"/>
        <v/>
      </c>
      <c r="H4640" s="72"/>
      <c r="I4640" s="73"/>
      <c r="J4640" s="148">
        <v>0</v>
      </c>
      <c r="K4640" s="222">
        <v>0</v>
      </c>
    </row>
    <row r="4641" spans="1:11" ht="25.5" hidden="1" x14ac:dyDescent="0.25">
      <c r="A4641" s="207"/>
      <c r="B4641" s="205"/>
      <c r="C4641" s="35" t="s">
        <v>1369</v>
      </c>
      <c r="D4641" s="35" t="s">
        <v>101</v>
      </c>
      <c r="E4641" s="36">
        <v>0.35</v>
      </c>
      <c r="F4641" s="53">
        <v>15.674999999999999</v>
      </c>
      <c r="G4641" s="53">
        <f t="shared" si="88"/>
        <v>5.4862499999999992</v>
      </c>
      <c r="H4641" s="38">
        <f>SUM(G4641:G4642)</f>
        <v>7.1416249999999994</v>
      </c>
      <c r="I4641" s="39"/>
      <c r="J4641" s="148">
        <v>0</v>
      </c>
      <c r="K4641" s="222">
        <v>0</v>
      </c>
    </row>
    <row r="4642" spans="1:11" hidden="1" x14ac:dyDescent="0.25">
      <c r="A4642" s="207"/>
      <c r="B4642" s="205"/>
      <c r="C4642" s="35" t="s">
        <v>1370</v>
      </c>
      <c r="D4642" s="35" t="s">
        <v>695</v>
      </c>
      <c r="E4642" s="36">
        <v>8.5000000000000006E-2</v>
      </c>
      <c r="F4642" s="53">
        <v>19.474999999999998</v>
      </c>
      <c r="G4642" s="53">
        <f t="shared" si="88"/>
        <v>1.655375</v>
      </c>
      <c r="H4642" s="72"/>
      <c r="I4642" s="73"/>
      <c r="J4642" s="148">
        <v>0</v>
      </c>
      <c r="K4642" s="222">
        <v>0</v>
      </c>
    </row>
    <row r="4643" spans="1:11" hidden="1" x14ac:dyDescent="0.25">
      <c r="A4643" s="207"/>
      <c r="B4643" s="205"/>
      <c r="C4643" s="35"/>
      <c r="D4643" s="35"/>
      <c r="E4643" s="36"/>
      <c r="F4643" s="53" t="s">
        <v>514</v>
      </c>
      <c r="G4643" s="53" t="str">
        <f t="shared" si="88"/>
        <v/>
      </c>
      <c r="H4643" s="72"/>
      <c r="I4643" s="73"/>
      <c r="J4643" s="148">
        <v>0</v>
      </c>
      <c r="K4643" s="222">
        <v>0</v>
      </c>
    </row>
    <row r="4644" spans="1:11" ht="25.5" hidden="1" x14ac:dyDescent="0.25">
      <c r="A4644" s="207"/>
      <c r="B4644" s="205"/>
      <c r="C4644" s="47" t="s">
        <v>1371</v>
      </c>
      <c r="D4644" s="35"/>
      <c r="E4644" s="36"/>
      <c r="F4644" s="53" t="s">
        <v>514</v>
      </c>
      <c r="G4644" s="53" t="str">
        <f t="shared" si="88"/>
        <v/>
      </c>
      <c r="H4644" s="72"/>
      <c r="I4644" s="73"/>
      <c r="J4644" s="148">
        <v>0</v>
      </c>
      <c r="K4644" s="222">
        <v>0</v>
      </c>
    </row>
    <row r="4645" spans="1:11" hidden="1" x14ac:dyDescent="0.25">
      <c r="A4645" s="207"/>
      <c r="B4645" s="205"/>
      <c r="C4645" s="146" t="s">
        <v>1372</v>
      </c>
      <c r="D4645" s="35"/>
      <c r="E4645" s="36"/>
      <c r="F4645" s="53" t="s">
        <v>514</v>
      </c>
      <c r="G4645" s="53" t="str">
        <f t="shared" si="88"/>
        <v/>
      </c>
      <c r="H4645" s="72"/>
      <c r="I4645" s="73"/>
      <c r="J4645" s="148">
        <v>0</v>
      </c>
      <c r="K4645" s="222">
        <v>0</v>
      </c>
    </row>
    <row r="4646" spans="1:11" ht="15.75" hidden="1" thickBot="1" x14ac:dyDescent="0.3">
      <c r="A4646" s="208"/>
      <c r="B4646" s="206"/>
      <c r="C4646" s="35"/>
      <c r="D4646" s="35"/>
      <c r="E4646" s="36"/>
      <c r="F4646" s="53" t="s">
        <v>514</v>
      </c>
      <c r="G4646" s="53" t="str">
        <f t="shared" si="88"/>
        <v/>
      </c>
      <c r="H4646" s="72"/>
      <c r="I4646" s="73"/>
      <c r="J4646" s="148">
        <v>0</v>
      </c>
      <c r="K4646" s="222">
        <v>0</v>
      </c>
    </row>
    <row r="4647" spans="1:11" ht="15.75" hidden="1" thickBot="1" x14ac:dyDescent="0.3">
      <c r="A4647" s="202" t="s">
        <v>1373</v>
      </c>
      <c r="B4647" s="204" t="str">
        <f>INDEX(Orçamentária!A:B,MATCH(Composições!A4647,Orçamentária!A:A,0),2)</f>
        <v>Impermeabilização com Membrana de Poliuretano</v>
      </c>
      <c r="C4647" s="40"/>
      <c r="D4647" s="25" t="str">
        <f>TRIM(INDEX(Orçamentária!C:C,MATCH(Composições!A4647,Orçamentária!A:A,0),1))</f>
        <v>m2</v>
      </c>
      <c r="E4647" s="26"/>
      <c r="F4647" s="48" t="s">
        <v>514</v>
      </c>
      <c r="G4647" s="27" t="str">
        <f t="shared" si="88"/>
        <v/>
      </c>
      <c r="H4647" s="28"/>
      <c r="I4647" s="29"/>
      <c r="J4647" s="148">
        <v>0</v>
      </c>
      <c r="K4647" s="222">
        <v>0</v>
      </c>
    </row>
    <row r="4648" spans="1:11" hidden="1" x14ac:dyDescent="0.25">
      <c r="A4648" s="207"/>
      <c r="B4648" s="205"/>
      <c r="C4648" s="31"/>
      <c r="D4648" s="31"/>
      <c r="E4648" s="32"/>
      <c r="F4648" s="53" t="s">
        <v>514</v>
      </c>
      <c r="G4648" s="53" t="str">
        <f t="shared" si="88"/>
        <v/>
      </c>
      <c r="H4648" s="72"/>
      <c r="I4648" s="73"/>
      <c r="J4648" s="148">
        <v>0</v>
      </c>
      <c r="K4648" s="222">
        <v>0</v>
      </c>
    </row>
    <row r="4649" spans="1:11" hidden="1" x14ac:dyDescent="0.25">
      <c r="A4649" s="207"/>
      <c r="B4649" s="205"/>
      <c r="C4649" s="35" t="s">
        <v>1374</v>
      </c>
      <c r="D4649" s="35" t="s">
        <v>891</v>
      </c>
      <c r="E4649" s="36">
        <v>2</v>
      </c>
      <c r="F4649" s="53">
        <v>64.086999999999989</v>
      </c>
      <c r="G4649" s="53">
        <f t="shared" si="88"/>
        <v>128.17399999999998</v>
      </c>
      <c r="H4649" s="38">
        <f>SUM(G4649:G4651)</f>
        <v>141.89123999999998</v>
      </c>
      <c r="I4649" s="39"/>
      <c r="J4649" s="148">
        <v>0</v>
      </c>
      <c r="K4649" s="222">
        <v>0</v>
      </c>
    </row>
    <row r="4650" spans="1:11" hidden="1" x14ac:dyDescent="0.25">
      <c r="A4650" s="207"/>
      <c r="B4650" s="205"/>
      <c r="C4650" s="35" t="s">
        <v>1370</v>
      </c>
      <c r="D4650" s="35" t="s">
        <v>695</v>
      </c>
      <c r="E4650" s="36">
        <v>9.6000000000000002E-2</v>
      </c>
      <c r="F4650" s="53">
        <v>19.474999999999998</v>
      </c>
      <c r="G4650" s="53">
        <f t="shared" si="88"/>
        <v>1.8695999999999999</v>
      </c>
      <c r="H4650" s="72"/>
      <c r="I4650" s="73"/>
      <c r="J4650" s="148">
        <v>0</v>
      </c>
      <c r="K4650" s="222">
        <v>0</v>
      </c>
    </row>
    <row r="4651" spans="1:11" hidden="1" x14ac:dyDescent="0.25">
      <c r="A4651" s="207"/>
      <c r="B4651" s="205"/>
      <c r="C4651" s="35" t="s">
        <v>1004</v>
      </c>
      <c r="D4651" s="35" t="s">
        <v>695</v>
      </c>
      <c r="E4651" s="36">
        <v>0.47599999999999998</v>
      </c>
      <c r="F4651" s="53">
        <v>24.889999999999997</v>
      </c>
      <c r="G4651" s="53">
        <f t="shared" si="88"/>
        <v>11.847639999999998</v>
      </c>
      <c r="H4651" s="72"/>
      <c r="I4651" s="73"/>
      <c r="J4651" s="148">
        <v>0</v>
      </c>
      <c r="K4651" s="222">
        <v>0</v>
      </c>
    </row>
    <row r="4652" spans="1:11" hidden="1" x14ac:dyDescent="0.25">
      <c r="A4652" s="207"/>
      <c r="B4652" s="205"/>
      <c r="C4652" s="35"/>
      <c r="D4652" s="35"/>
      <c r="E4652" s="36"/>
      <c r="F4652" s="53" t="s">
        <v>514</v>
      </c>
      <c r="G4652" s="53" t="str">
        <f t="shared" si="88"/>
        <v/>
      </c>
      <c r="H4652" s="72"/>
      <c r="I4652" s="73"/>
      <c r="J4652" s="148">
        <v>0</v>
      </c>
      <c r="K4652" s="222">
        <v>0</v>
      </c>
    </row>
    <row r="4653" spans="1:11" ht="15.75" hidden="1" thickBot="1" x14ac:dyDescent="0.3">
      <c r="A4653" s="202" t="s">
        <v>1375</v>
      </c>
      <c r="B4653" s="204" t="str">
        <f>INDEX(Orçamentária!A:B,MATCH(Composições!A4653,Orçamentária!A:A,0),2)</f>
        <v>Impermeabilização com Manta Asfáltica</v>
      </c>
      <c r="C4653" s="40"/>
      <c r="D4653" s="25" t="str">
        <f>TRIM(INDEX(Orçamentária!C:C,MATCH(Composições!A4653,Orçamentária!A:A,0),1))</f>
        <v>m2</v>
      </c>
      <c r="E4653" s="26"/>
      <c r="F4653" s="48" t="s">
        <v>514</v>
      </c>
      <c r="G4653" s="27" t="str">
        <f t="shared" si="88"/>
        <v/>
      </c>
      <c r="H4653" s="28"/>
      <c r="I4653" s="29"/>
      <c r="J4653" s="148">
        <v>0</v>
      </c>
      <c r="K4653" s="222">
        <v>0</v>
      </c>
    </row>
    <row r="4654" spans="1:11" hidden="1" x14ac:dyDescent="0.25">
      <c r="A4654" s="207"/>
      <c r="B4654" s="205"/>
      <c r="C4654" s="31"/>
      <c r="D4654" s="31"/>
      <c r="E4654" s="32"/>
      <c r="F4654" s="53" t="s">
        <v>514</v>
      </c>
      <c r="G4654" s="53" t="str">
        <f t="shared" si="88"/>
        <v/>
      </c>
      <c r="H4654" s="72"/>
      <c r="I4654" s="73"/>
      <c r="J4654" s="148">
        <v>0</v>
      </c>
      <c r="K4654" s="222">
        <v>0</v>
      </c>
    </row>
    <row r="4655" spans="1:11" ht="25.5" hidden="1" x14ac:dyDescent="0.25">
      <c r="A4655" s="207"/>
      <c r="B4655" s="205"/>
      <c r="C4655" s="35" t="s">
        <v>1369</v>
      </c>
      <c r="D4655" s="35" t="s">
        <v>101</v>
      </c>
      <c r="E4655" s="36">
        <v>0.61499999999999999</v>
      </c>
      <c r="F4655" s="53">
        <v>15.674999999999999</v>
      </c>
      <c r="G4655" s="53">
        <f t="shared" si="88"/>
        <v>9.6401249999999994</v>
      </c>
      <c r="H4655" s="38">
        <f>SUM(G4655:G4659)</f>
        <v>109.73763499999998</v>
      </c>
      <c r="I4655" s="39"/>
      <c r="J4655" s="148">
        <v>0</v>
      </c>
      <c r="K4655" s="222">
        <v>0</v>
      </c>
    </row>
    <row r="4656" spans="1:11" ht="25.5" hidden="1" x14ac:dyDescent="0.25">
      <c r="A4656" s="207"/>
      <c r="B4656" s="205"/>
      <c r="C4656" s="35" t="s">
        <v>1376</v>
      </c>
      <c r="D4656" s="35" t="s">
        <v>982</v>
      </c>
      <c r="E4656" s="36">
        <v>1.125</v>
      </c>
      <c r="F4656" s="53">
        <v>62.92799999999999</v>
      </c>
      <c r="G4656" s="53">
        <f t="shared" si="88"/>
        <v>70.793999999999983</v>
      </c>
      <c r="H4656" s="72"/>
      <c r="I4656" s="73"/>
      <c r="J4656" s="148">
        <v>0</v>
      </c>
      <c r="K4656" s="222">
        <v>0</v>
      </c>
    </row>
    <row r="4657" spans="1:11" hidden="1" x14ac:dyDescent="0.25">
      <c r="A4657" s="207"/>
      <c r="B4657" s="205"/>
      <c r="C4657" s="35" t="s">
        <v>1377</v>
      </c>
      <c r="D4657" s="35" t="s">
        <v>891</v>
      </c>
      <c r="E4657" s="36">
        <v>0.26</v>
      </c>
      <c r="F4657" s="53">
        <v>7.5714999999999995</v>
      </c>
      <c r="G4657" s="53">
        <f t="shared" si="88"/>
        <v>1.9685899999999998</v>
      </c>
      <c r="H4657" s="72"/>
      <c r="I4657" s="73"/>
      <c r="J4657" s="148">
        <v>0</v>
      </c>
      <c r="K4657" s="222">
        <v>0</v>
      </c>
    </row>
    <row r="4658" spans="1:11" hidden="1" x14ac:dyDescent="0.25">
      <c r="A4658" s="207"/>
      <c r="B4658" s="205"/>
      <c r="C4658" s="35" t="s">
        <v>1370</v>
      </c>
      <c r="D4658" s="35" t="s">
        <v>695</v>
      </c>
      <c r="E4658" s="36">
        <v>0.192</v>
      </c>
      <c r="F4658" s="53">
        <v>19.474999999999998</v>
      </c>
      <c r="G4658" s="53">
        <f t="shared" si="88"/>
        <v>3.7391999999999999</v>
      </c>
      <c r="H4658" s="72"/>
      <c r="I4658" s="73"/>
      <c r="J4658" s="148">
        <v>0</v>
      </c>
      <c r="K4658" s="222">
        <v>0</v>
      </c>
    </row>
    <row r="4659" spans="1:11" hidden="1" x14ac:dyDescent="0.25">
      <c r="A4659" s="207"/>
      <c r="B4659" s="205"/>
      <c r="C4659" s="35" t="s">
        <v>1004</v>
      </c>
      <c r="D4659" s="35" t="s">
        <v>695</v>
      </c>
      <c r="E4659" s="36">
        <v>0.94799999999999995</v>
      </c>
      <c r="F4659" s="53">
        <v>24.889999999999997</v>
      </c>
      <c r="G4659" s="53">
        <f t="shared" si="88"/>
        <v>23.595719999999996</v>
      </c>
      <c r="H4659" s="72"/>
      <c r="I4659" s="73"/>
      <c r="J4659" s="148">
        <v>0</v>
      </c>
      <c r="K4659" s="222">
        <v>0</v>
      </c>
    </row>
    <row r="4660" spans="1:11" hidden="1" x14ac:dyDescent="0.25">
      <c r="A4660" s="207"/>
      <c r="B4660" s="205"/>
      <c r="C4660" s="35"/>
      <c r="D4660" s="35"/>
      <c r="E4660" s="36"/>
      <c r="F4660" s="53" t="s">
        <v>514</v>
      </c>
      <c r="G4660" s="53" t="str">
        <f t="shared" si="88"/>
        <v/>
      </c>
      <c r="H4660" s="72"/>
      <c r="I4660" s="73"/>
      <c r="J4660" s="148">
        <v>0</v>
      </c>
      <c r="K4660" s="222">
        <v>0</v>
      </c>
    </row>
    <row r="4661" spans="1:11" ht="15.75" hidden="1" thickBot="1" x14ac:dyDescent="0.3">
      <c r="A4661" s="202" t="s">
        <v>1378</v>
      </c>
      <c r="B4661" s="204" t="str">
        <f>INDEX(Orçamentária!A:B,MATCH(Composições!A4661,Orçamentária!A:A,0),2)</f>
        <v>Impermeabilização com manta asfáltica aluminizada</v>
      </c>
      <c r="C4661" s="40"/>
      <c r="D4661" s="25" t="str">
        <f>TRIM(INDEX(Orçamentária!C:C,MATCH(Composições!A4661,Orçamentária!A:A,0),1))</f>
        <v>m2</v>
      </c>
      <c r="E4661" s="26"/>
      <c r="F4661" s="48" t="s">
        <v>514</v>
      </c>
      <c r="G4661" s="27" t="str">
        <f t="shared" si="88"/>
        <v/>
      </c>
      <c r="H4661" s="28"/>
      <c r="I4661" s="29"/>
      <c r="J4661" s="148">
        <v>0</v>
      </c>
      <c r="K4661" s="222">
        <v>0</v>
      </c>
    </row>
    <row r="4662" spans="1:11" hidden="1" x14ac:dyDescent="0.25">
      <c r="A4662" s="207"/>
      <c r="B4662" s="205"/>
      <c r="C4662" s="31"/>
      <c r="D4662" s="31"/>
      <c r="E4662" s="32"/>
      <c r="F4662" s="53" t="s">
        <v>514</v>
      </c>
      <c r="G4662" s="53" t="str">
        <f t="shared" si="88"/>
        <v/>
      </c>
      <c r="H4662" s="72"/>
      <c r="I4662" s="73"/>
      <c r="J4662" s="148">
        <v>0</v>
      </c>
      <c r="K4662" s="222">
        <v>0</v>
      </c>
    </row>
    <row r="4663" spans="1:11" ht="25.5" hidden="1" x14ac:dyDescent="0.25">
      <c r="A4663" s="207"/>
      <c r="B4663" s="205"/>
      <c r="C4663" s="35" t="s">
        <v>1369</v>
      </c>
      <c r="D4663" s="35" t="s">
        <v>101</v>
      </c>
      <c r="E4663" s="36">
        <v>0.61499999999999999</v>
      </c>
      <c r="F4663" s="53">
        <v>15.674999999999999</v>
      </c>
      <c r="G4663" s="53">
        <f t="shared" si="88"/>
        <v>9.6401249999999994</v>
      </c>
      <c r="H4663" s="38">
        <f>SUM(G4663:G4667)</f>
        <v>38.943635</v>
      </c>
      <c r="I4663" s="39"/>
      <c r="J4663" s="148">
        <v>0</v>
      </c>
      <c r="K4663" s="222">
        <v>0</v>
      </c>
    </row>
    <row r="4664" spans="1:11" hidden="1" x14ac:dyDescent="0.25">
      <c r="A4664" s="207"/>
      <c r="B4664" s="205"/>
      <c r="C4664" s="35" t="s">
        <v>1379</v>
      </c>
      <c r="D4664" s="35" t="s">
        <v>982</v>
      </c>
      <c r="E4664" s="36">
        <v>1.125</v>
      </c>
      <c r="F4664" s="53">
        <v>0</v>
      </c>
      <c r="G4664" s="53">
        <f t="shared" si="88"/>
        <v>0</v>
      </c>
      <c r="H4664" s="72"/>
      <c r="I4664" s="73"/>
      <c r="J4664" s="148">
        <v>0</v>
      </c>
      <c r="K4664" s="222">
        <v>0</v>
      </c>
    </row>
    <row r="4665" spans="1:11" hidden="1" x14ac:dyDescent="0.25">
      <c r="A4665" s="207"/>
      <c r="B4665" s="205"/>
      <c r="C4665" s="35" t="s">
        <v>1377</v>
      </c>
      <c r="D4665" s="35" t="s">
        <v>891</v>
      </c>
      <c r="E4665" s="36">
        <v>0.26</v>
      </c>
      <c r="F4665" s="53">
        <v>7.5714999999999995</v>
      </c>
      <c r="G4665" s="53">
        <f t="shared" si="88"/>
        <v>1.9685899999999998</v>
      </c>
      <c r="H4665" s="72"/>
      <c r="I4665" s="73"/>
      <c r="J4665" s="148">
        <v>0</v>
      </c>
      <c r="K4665" s="222">
        <v>0</v>
      </c>
    </row>
    <row r="4666" spans="1:11" hidden="1" x14ac:dyDescent="0.25">
      <c r="A4666" s="207"/>
      <c r="B4666" s="205"/>
      <c r="C4666" s="35" t="s">
        <v>1370</v>
      </c>
      <c r="D4666" s="35" t="s">
        <v>695</v>
      </c>
      <c r="E4666" s="36">
        <v>0.192</v>
      </c>
      <c r="F4666" s="53">
        <v>19.474999999999998</v>
      </c>
      <c r="G4666" s="53">
        <f t="shared" si="88"/>
        <v>3.7391999999999999</v>
      </c>
      <c r="H4666" s="72"/>
      <c r="I4666" s="73"/>
      <c r="J4666" s="148">
        <v>0</v>
      </c>
      <c r="K4666" s="222">
        <v>0</v>
      </c>
    </row>
    <row r="4667" spans="1:11" hidden="1" x14ac:dyDescent="0.25">
      <c r="A4667" s="207"/>
      <c r="B4667" s="205"/>
      <c r="C4667" s="35" t="s">
        <v>1004</v>
      </c>
      <c r="D4667" s="35" t="s">
        <v>695</v>
      </c>
      <c r="E4667" s="36">
        <v>0.94799999999999995</v>
      </c>
      <c r="F4667" s="53">
        <v>24.889999999999997</v>
      </c>
      <c r="G4667" s="53">
        <f t="shared" si="88"/>
        <v>23.595719999999996</v>
      </c>
      <c r="H4667" s="72"/>
      <c r="I4667" s="73"/>
      <c r="J4667" s="148">
        <v>0</v>
      </c>
      <c r="K4667" s="222">
        <v>0</v>
      </c>
    </row>
    <row r="4668" spans="1:11" hidden="1" x14ac:dyDescent="0.25">
      <c r="A4668" s="207"/>
      <c r="B4668" s="205"/>
      <c r="C4668" s="35"/>
      <c r="D4668" s="35"/>
      <c r="E4668" s="36"/>
      <c r="F4668" s="53" t="s">
        <v>514</v>
      </c>
      <c r="G4668" s="53" t="str">
        <f t="shared" si="88"/>
        <v/>
      </c>
      <c r="H4668" s="72"/>
      <c r="I4668" s="73"/>
      <c r="J4668" s="148">
        <v>0</v>
      </c>
      <c r="K4668" s="222">
        <v>0</v>
      </c>
    </row>
    <row r="4669" spans="1:11" ht="15.75" hidden="1" thickBot="1" x14ac:dyDescent="0.3">
      <c r="A4669" s="202" t="s">
        <v>1380</v>
      </c>
      <c r="B4669" s="204" t="str">
        <f>INDEX(Orçamentária!A:B,MATCH(Composições!A4669,Orçamentária!A:A,0),2)</f>
        <v>Impermeabilização com manta elastomérica de etileno-propileno-dieno-monômero (EPDM)</v>
      </c>
      <c r="C4669" s="40"/>
      <c r="D4669" s="25" t="str">
        <f>TRIM(INDEX(Orçamentária!C:C,MATCH(Composições!A4669,Orçamentária!A:A,0),1))</f>
        <v>m2</v>
      </c>
      <c r="E4669" s="26"/>
      <c r="F4669" s="48" t="s">
        <v>514</v>
      </c>
      <c r="G4669" s="27" t="str">
        <f t="shared" si="88"/>
        <v/>
      </c>
      <c r="H4669" s="28"/>
      <c r="I4669" s="29"/>
      <c r="J4669" s="148">
        <v>0</v>
      </c>
      <c r="K4669" s="222">
        <v>0</v>
      </c>
    </row>
    <row r="4670" spans="1:11" hidden="1" x14ac:dyDescent="0.25">
      <c r="A4670" s="207"/>
      <c r="B4670" s="205"/>
      <c r="C4670" s="31"/>
      <c r="D4670" s="31"/>
      <c r="E4670" s="32"/>
      <c r="F4670" s="53" t="s">
        <v>514</v>
      </c>
      <c r="G4670" s="53" t="str">
        <f t="shared" si="88"/>
        <v/>
      </c>
      <c r="H4670" s="72"/>
      <c r="I4670" s="73"/>
      <c r="J4670" s="148">
        <v>0</v>
      </c>
      <c r="K4670" s="222">
        <v>0</v>
      </c>
    </row>
    <row r="4671" spans="1:11" hidden="1" x14ac:dyDescent="0.25">
      <c r="A4671" s="207"/>
      <c r="B4671" s="205"/>
      <c r="C4671" s="35" t="s">
        <v>1004</v>
      </c>
      <c r="D4671" s="35" t="s">
        <v>695</v>
      </c>
      <c r="E4671" s="36">
        <v>0.5</v>
      </c>
      <c r="F4671" s="53">
        <v>24.889999999999997</v>
      </c>
      <c r="G4671" s="53">
        <f t="shared" si="88"/>
        <v>12.444999999999999</v>
      </c>
      <c r="H4671" s="38">
        <f>SUM(G4671:G4677)</f>
        <v>22.182499999999997</v>
      </c>
      <c r="I4671" s="39"/>
      <c r="J4671" s="148">
        <v>0</v>
      </c>
      <c r="K4671" s="222">
        <v>0</v>
      </c>
    </row>
    <row r="4672" spans="1:11" hidden="1" x14ac:dyDescent="0.25">
      <c r="A4672" s="207"/>
      <c r="B4672" s="205"/>
      <c r="C4672" s="35" t="s">
        <v>1370</v>
      </c>
      <c r="D4672" s="35" t="s">
        <v>695</v>
      </c>
      <c r="E4672" s="36">
        <v>0.5</v>
      </c>
      <c r="F4672" s="53">
        <v>19.474999999999998</v>
      </c>
      <c r="G4672" s="53">
        <f t="shared" si="88"/>
        <v>9.7374999999999989</v>
      </c>
      <c r="H4672" s="72"/>
      <c r="I4672" s="73"/>
      <c r="J4672" s="148">
        <v>0</v>
      </c>
      <c r="K4672" s="222">
        <v>0</v>
      </c>
    </row>
    <row r="4673" spans="1:11" hidden="1" x14ac:dyDescent="0.25">
      <c r="A4673" s="207"/>
      <c r="B4673" s="205"/>
      <c r="C4673" s="35" t="s">
        <v>1381</v>
      </c>
      <c r="D4673" s="35" t="s">
        <v>891</v>
      </c>
      <c r="E4673" s="36">
        <v>0.8</v>
      </c>
      <c r="F4673" s="53">
        <v>0</v>
      </c>
      <c r="G4673" s="53">
        <f t="shared" si="88"/>
        <v>0</v>
      </c>
      <c r="H4673" s="72"/>
      <c r="I4673" s="73"/>
      <c r="J4673" s="148">
        <v>0</v>
      </c>
      <c r="K4673" s="222">
        <v>0</v>
      </c>
    </row>
    <row r="4674" spans="1:11" hidden="1" x14ac:dyDescent="0.25">
      <c r="A4674" s="207"/>
      <c r="B4674" s="205"/>
      <c r="C4674" s="35" t="s">
        <v>1382</v>
      </c>
      <c r="D4674" s="35" t="s">
        <v>101</v>
      </c>
      <c r="E4674" s="36">
        <v>0.6</v>
      </c>
      <c r="F4674" s="53">
        <v>0</v>
      </c>
      <c r="G4674" s="53">
        <f t="shared" si="88"/>
        <v>0</v>
      </c>
      <c r="H4674" s="72"/>
      <c r="I4674" s="73"/>
      <c r="J4674" s="148">
        <v>0</v>
      </c>
      <c r="K4674" s="222">
        <v>0</v>
      </c>
    </row>
    <row r="4675" spans="1:11" hidden="1" x14ac:dyDescent="0.25">
      <c r="A4675" s="207"/>
      <c r="B4675" s="205"/>
      <c r="C4675" s="35" t="s">
        <v>1383</v>
      </c>
      <c r="D4675" s="35" t="s">
        <v>94</v>
      </c>
      <c r="E4675" s="36">
        <v>1.1000000000000001</v>
      </c>
      <c r="F4675" s="53">
        <v>0</v>
      </c>
      <c r="G4675" s="53">
        <f t="shared" si="88"/>
        <v>0</v>
      </c>
      <c r="H4675" s="72"/>
      <c r="I4675" s="73"/>
      <c r="J4675" s="148">
        <v>0</v>
      </c>
      <c r="K4675" s="222">
        <v>0</v>
      </c>
    </row>
    <row r="4676" spans="1:11" hidden="1" x14ac:dyDescent="0.25">
      <c r="A4676" s="207"/>
      <c r="B4676" s="205"/>
      <c r="C4676" s="35" t="s">
        <v>1384</v>
      </c>
      <c r="D4676" s="35" t="s">
        <v>92</v>
      </c>
      <c r="E4676" s="36">
        <v>2</v>
      </c>
      <c r="F4676" s="53">
        <v>0</v>
      </c>
      <c r="G4676" s="53">
        <f t="shared" si="88"/>
        <v>0</v>
      </c>
      <c r="H4676" s="72"/>
      <c r="I4676" s="73"/>
      <c r="J4676" s="148">
        <v>0</v>
      </c>
      <c r="K4676" s="222">
        <v>0</v>
      </c>
    </row>
    <row r="4677" spans="1:11" hidden="1" x14ac:dyDescent="0.25">
      <c r="A4677" s="207"/>
      <c r="B4677" s="205"/>
      <c r="C4677" s="35" t="s">
        <v>1385</v>
      </c>
      <c r="D4677" s="35" t="s">
        <v>101</v>
      </c>
      <c r="E4677" s="36">
        <v>0.2</v>
      </c>
      <c r="F4677" s="53">
        <v>0</v>
      </c>
      <c r="G4677" s="53">
        <f t="shared" si="88"/>
        <v>0</v>
      </c>
      <c r="H4677" s="72"/>
      <c r="I4677" s="73"/>
      <c r="J4677" s="148">
        <v>0</v>
      </c>
      <c r="K4677" s="222">
        <v>0</v>
      </c>
    </row>
    <row r="4678" spans="1:11" hidden="1" x14ac:dyDescent="0.25">
      <c r="A4678" s="207"/>
      <c r="B4678" s="205"/>
      <c r="C4678" s="35"/>
      <c r="D4678" s="35"/>
      <c r="E4678" s="36"/>
      <c r="F4678" s="53" t="s">
        <v>514</v>
      </c>
      <c r="G4678" s="53" t="str">
        <f t="shared" si="88"/>
        <v/>
      </c>
      <c r="H4678" s="72"/>
      <c r="I4678" s="73"/>
      <c r="J4678" s="148">
        <v>0</v>
      </c>
      <c r="K4678" s="222">
        <v>0</v>
      </c>
    </row>
    <row r="4679" spans="1:11" ht="15.75" hidden="1" thickBot="1" x14ac:dyDescent="0.3">
      <c r="A4679" s="202" t="s">
        <v>1386</v>
      </c>
      <c r="B4679" s="204" t="str">
        <f>INDEX(Orçamentária!A:B,MATCH(Composições!A4679,Orçamentária!A:A,0),2)</f>
        <v>Impermeabilização com membrana acrílica</v>
      </c>
      <c r="C4679" s="40"/>
      <c r="D4679" s="25" t="str">
        <f>TRIM(INDEX(Orçamentária!C:C,MATCH(Composições!A4679,Orçamentária!A:A,0),1))</f>
        <v>m2</v>
      </c>
      <c r="E4679" s="26"/>
      <c r="F4679" s="48" t="s">
        <v>514</v>
      </c>
      <c r="G4679" s="27" t="str">
        <f t="shared" si="88"/>
        <v/>
      </c>
      <c r="H4679" s="28"/>
      <c r="I4679" s="29"/>
      <c r="J4679" s="148">
        <v>0</v>
      </c>
      <c r="K4679" s="222">
        <v>0</v>
      </c>
    </row>
    <row r="4680" spans="1:11" hidden="1" x14ac:dyDescent="0.25">
      <c r="A4680" s="207"/>
      <c r="B4680" s="205"/>
      <c r="C4680" s="31"/>
      <c r="D4680" s="31"/>
      <c r="E4680" s="32"/>
      <c r="F4680" s="53" t="s">
        <v>514</v>
      </c>
      <c r="G4680" s="53" t="str">
        <f t="shared" si="88"/>
        <v/>
      </c>
      <c r="H4680" s="72"/>
      <c r="I4680" s="73"/>
      <c r="J4680" s="148">
        <v>0</v>
      </c>
      <c r="K4680" s="222">
        <v>0</v>
      </c>
    </row>
    <row r="4681" spans="1:11" hidden="1" x14ac:dyDescent="0.25">
      <c r="A4681" s="207"/>
      <c r="B4681" s="205"/>
      <c r="C4681" s="35" t="s">
        <v>1387</v>
      </c>
      <c r="D4681" s="35" t="s">
        <v>891</v>
      </c>
      <c r="E4681" s="36">
        <v>1.2</v>
      </c>
      <c r="F4681" s="53">
        <v>24.823499999999999</v>
      </c>
      <c r="G4681" s="53">
        <f t="shared" si="88"/>
        <v>29.788199999999996</v>
      </c>
      <c r="H4681" s="38">
        <f>SUM(G4681:G4683)</f>
        <v>46.453194999999994</v>
      </c>
      <c r="I4681" s="39"/>
      <c r="J4681" s="148">
        <v>0</v>
      </c>
      <c r="K4681" s="222">
        <v>0</v>
      </c>
    </row>
    <row r="4682" spans="1:11" hidden="1" x14ac:dyDescent="0.25">
      <c r="A4682" s="207"/>
      <c r="B4682" s="205"/>
      <c r="C4682" s="35" t="s">
        <v>1370</v>
      </c>
      <c r="D4682" s="35" t="s">
        <v>695</v>
      </c>
      <c r="E4682" s="36">
        <v>0.11700000000000001</v>
      </c>
      <c r="F4682" s="53">
        <v>19.474999999999998</v>
      </c>
      <c r="G4682" s="53">
        <f t="shared" si="88"/>
        <v>2.278575</v>
      </c>
      <c r="H4682" s="72"/>
      <c r="I4682" s="73"/>
      <c r="J4682" s="148">
        <v>0</v>
      </c>
      <c r="K4682" s="222">
        <v>0</v>
      </c>
    </row>
    <row r="4683" spans="1:11" hidden="1" x14ac:dyDescent="0.25">
      <c r="A4683" s="207"/>
      <c r="B4683" s="205"/>
      <c r="C4683" s="35" t="s">
        <v>1004</v>
      </c>
      <c r="D4683" s="35" t="s">
        <v>695</v>
      </c>
      <c r="E4683" s="36">
        <v>0.57799999999999996</v>
      </c>
      <c r="F4683" s="53">
        <v>24.889999999999997</v>
      </c>
      <c r="G4683" s="53">
        <f t="shared" si="88"/>
        <v>14.386419999999998</v>
      </c>
      <c r="H4683" s="72"/>
      <c r="I4683" s="73"/>
      <c r="J4683" s="148">
        <v>0</v>
      </c>
      <c r="K4683" s="222">
        <v>0</v>
      </c>
    </row>
    <row r="4684" spans="1:11" hidden="1" x14ac:dyDescent="0.25">
      <c r="A4684" s="207"/>
      <c r="B4684" s="205"/>
      <c r="C4684" s="35"/>
      <c r="D4684" s="35"/>
      <c r="E4684" s="36"/>
      <c r="F4684" s="53" t="s">
        <v>514</v>
      </c>
      <c r="G4684" s="53" t="str">
        <f t="shared" si="88"/>
        <v/>
      </c>
      <c r="H4684" s="72"/>
      <c r="I4684" s="73"/>
      <c r="J4684" s="148">
        <v>0</v>
      </c>
      <c r="K4684" s="222">
        <v>0</v>
      </c>
    </row>
    <row r="4685" spans="1:11" ht="15.75" hidden="1" thickBot="1" x14ac:dyDescent="0.3">
      <c r="A4685" s="202" t="s">
        <v>1388</v>
      </c>
      <c r="B4685" s="204" t="str">
        <f>INDEX(Orçamentária!A:B,MATCH(Composições!A4685,Orçamentária!A:A,0),2)</f>
        <v>Asfalto elastomérico para colagem de manta asfáltica</v>
      </c>
      <c r="C4685" s="40"/>
      <c r="D4685" s="25" t="str">
        <f>TRIM(INDEX(Orçamentária!C:C,MATCH(Composições!A4685,Orçamentária!A:A,0),1))</f>
        <v>m2</v>
      </c>
      <c r="E4685" s="26"/>
      <c r="F4685" s="48" t="s">
        <v>514</v>
      </c>
      <c r="G4685" s="27" t="str">
        <f t="shared" si="88"/>
        <v/>
      </c>
      <c r="H4685" s="28"/>
      <c r="I4685" s="29"/>
      <c r="J4685" s="148">
        <v>0</v>
      </c>
      <c r="K4685" s="222">
        <v>0</v>
      </c>
    </row>
    <row r="4686" spans="1:11" hidden="1" x14ac:dyDescent="0.25">
      <c r="A4686" s="207"/>
      <c r="B4686" s="205"/>
      <c r="C4686" s="31"/>
      <c r="D4686" s="31"/>
      <c r="E4686" s="32"/>
      <c r="F4686" s="53" t="s">
        <v>514</v>
      </c>
      <c r="G4686" s="53" t="str">
        <f t="shared" si="88"/>
        <v/>
      </c>
      <c r="H4686" s="72"/>
      <c r="I4686" s="73"/>
      <c r="J4686" s="148">
        <v>0</v>
      </c>
      <c r="K4686" s="222">
        <v>0</v>
      </c>
    </row>
    <row r="4687" spans="1:11" hidden="1" x14ac:dyDescent="0.25">
      <c r="A4687" s="207"/>
      <c r="B4687" s="205"/>
      <c r="C4687" s="35" t="s">
        <v>1389</v>
      </c>
      <c r="D4687" s="35" t="s">
        <v>891</v>
      </c>
      <c r="E4687" s="36">
        <v>3</v>
      </c>
      <c r="F4687" s="53" t="s">
        <v>514</v>
      </c>
      <c r="G4687" s="53" t="str">
        <f t="shared" si="88"/>
        <v/>
      </c>
      <c r="H4687" s="38">
        <f>SUM(G4687:G4688)</f>
        <v>4.9779999999999998</v>
      </c>
      <c r="I4687" s="39"/>
      <c r="J4687" s="148">
        <v>0</v>
      </c>
      <c r="K4687" s="222">
        <v>0</v>
      </c>
    </row>
    <row r="4688" spans="1:11" hidden="1" x14ac:dyDescent="0.25">
      <c r="A4688" s="207"/>
      <c r="B4688" s="205"/>
      <c r="C4688" s="35" t="s">
        <v>1004</v>
      </c>
      <c r="D4688" s="35" t="s">
        <v>695</v>
      </c>
      <c r="E4688" s="36">
        <v>0.2</v>
      </c>
      <c r="F4688" s="53">
        <v>24.889999999999997</v>
      </c>
      <c r="G4688" s="53">
        <f t="shared" si="88"/>
        <v>4.9779999999999998</v>
      </c>
      <c r="H4688" s="72"/>
      <c r="I4688" s="73"/>
      <c r="J4688" s="148">
        <v>0</v>
      </c>
      <c r="K4688" s="222">
        <v>0</v>
      </c>
    </row>
    <row r="4689" spans="1:11" hidden="1" x14ac:dyDescent="0.25">
      <c r="A4689" s="207"/>
      <c r="B4689" s="205"/>
      <c r="C4689" s="35"/>
      <c r="D4689" s="35"/>
      <c r="E4689" s="36"/>
      <c r="F4689" s="53" t="s">
        <v>514</v>
      </c>
      <c r="G4689" s="53" t="str">
        <f t="shared" si="88"/>
        <v/>
      </c>
      <c r="H4689" s="72"/>
      <c r="I4689" s="73"/>
      <c r="J4689" s="148">
        <v>0</v>
      </c>
      <c r="K4689" s="222">
        <v>0</v>
      </c>
    </row>
    <row r="4690" spans="1:11" ht="25.5" hidden="1" x14ac:dyDescent="0.25">
      <c r="A4690" s="207"/>
      <c r="B4690" s="205"/>
      <c r="C4690" s="47" t="s">
        <v>1390</v>
      </c>
      <c r="D4690" s="35"/>
      <c r="E4690" s="36"/>
      <c r="F4690" s="53" t="s">
        <v>514</v>
      </c>
      <c r="G4690" s="53" t="str">
        <f t="shared" si="88"/>
        <v/>
      </c>
      <c r="H4690" s="72"/>
      <c r="I4690" s="73"/>
      <c r="J4690" s="148">
        <v>0</v>
      </c>
      <c r="K4690" s="222">
        <v>0</v>
      </c>
    </row>
    <row r="4691" spans="1:11" ht="24.75" hidden="1" x14ac:dyDescent="0.25">
      <c r="A4691" s="207"/>
      <c r="B4691" s="205"/>
      <c r="C4691" s="147" t="s">
        <v>1391</v>
      </c>
      <c r="D4691" s="35"/>
      <c r="E4691" s="36"/>
      <c r="F4691" s="53" t="s">
        <v>514</v>
      </c>
      <c r="G4691" s="53" t="str">
        <f t="shared" si="88"/>
        <v/>
      </c>
      <c r="H4691" s="72"/>
      <c r="I4691" s="73"/>
      <c r="J4691" s="148">
        <v>0</v>
      </c>
      <c r="K4691" s="222">
        <v>0</v>
      </c>
    </row>
    <row r="4692" spans="1:11" hidden="1" x14ac:dyDescent="0.25">
      <c r="A4692" s="207"/>
      <c r="B4692" s="205"/>
      <c r="C4692" s="35"/>
      <c r="D4692" s="35"/>
      <c r="E4692" s="36"/>
      <c r="F4692" s="53" t="s">
        <v>514</v>
      </c>
      <c r="G4692" s="53" t="str">
        <f t="shared" si="88"/>
        <v/>
      </c>
      <c r="H4692" s="72"/>
      <c r="I4692" s="73"/>
      <c r="J4692" s="148">
        <v>0</v>
      </c>
      <c r="K4692" s="222">
        <v>0</v>
      </c>
    </row>
    <row r="4693" spans="1:11" ht="15.75" hidden="1" thickBot="1" x14ac:dyDescent="0.3">
      <c r="A4693" s="202" t="s">
        <v>1392</v>
      </c>
      <c r="B4693" s="204" t="str">
        <f>INDEX(Orçamentária!A:B,MATCH(Composições!A4693,Orçamentária!A:A,0),2)</f>
        <v>Impermeabilização com manta dupla (com maçarico)</v>
      </c>
      <c r="C4693" s="40"/>
      <c r="D4693" s="25" t="str">
        <f>TRIM(INDEX(Orçamentária!C:C,MATCH(Composições!A4693,Orçamentária!A:A,0),1))</f>
        <v>m2</v>
      </c>
      <c r="E4693" s="26"/>
      <c r="F4693" s="48" t="s">
        <v>514</v>
      </c>
      <c r="G4693" s="27" t="str">
        <f t="shared" ref="G4693:G4756" si="89">IF(ISNUMBER(F4693),E4693*F4693,"")</f>
        <v/>
      </c>
      <c r="H4693" s="28"/>
      <c r="I4693" s="29"/>
      <c r="J4693" s="148">
        <v>0</v>
      </c>
      <c r="K4693" s="222">
        <v>0</v>
      </c>
    </row>
    <row r="4694" spans="1:11" hidden="1" x14ac:dyDescent="0.25">
      <c r="A4694" s="207"/>
      <c r="B4694" s="205"/>
      <c r="C4694" s="31"/>
      <c r="D4694" s="31"/>
      <c r="E4694" s="32"/>
      <c r="F4694" s="53" t="s">
        <v>514</v>
      </c>
      <c r="G4694" s="53" t="str">
        <f t="shared" si="89"/>
        <v/>
      </c>
      <c r="H4694" s="72"/>
      <c r="I4694" s="73"/>
      <c r="J4694" s="148">
        <v>0</v>
      </c>
      <c r="K4694" s="222">
        <v>0</v>
      </c>
    </row>
    <row r="4695" spans="1:11" ht="25.5" hidden="1" x14ac:dyDescent="0.25">
      <c r="A4695" s="207"/>
      <c r="B4695" s="205"/>
      <c r="C4695" s="35" t="s">
        <v>1369</v>
      </c>
      <c r="D4695" s="35" t="s">
        <v>101</v>
      </c>
      <c r="E4695" s="36">
        <v>0.61499999999999999</v>
      </c>
      <c r="F4695" s="53">
        <v>15.674999999999999</v>
      </c>
      <c r="G4695" s="53">
        <f t="shared" si="89"/>
        <v>9.6401249999999994</v>
      </c>
      <c r="H4695" s="38">
        <f>SUM(G4695:G4700)</f>
        <v>181.65747999999999</v>
      </c>
      <c r="I4695" s="39"/>
      <c r="J4695" s="148">
        <v>0</v>
      </c>
      <c r="K4695" s="222">
        <v>0</v>
      </c>
    </row>
    <row r="4696" spans="1:11" ht="25.5" hidden="1" x14ac:dyDescent="0.25">
      <c r="A4696" s="207"/>
      <c r="B4696" s="205"/>
      <c r="C4696" s="35" t="s">
        <v>1393</v>
      </c>
      <c r="D4696" s="35" t="s">
        <v>982</v>
      </c>
      <c r="E4696" s="36">
        <v>1.125</v>
      </c>
      <c r="F4696" s="53">
        <v>51.242999999999995</v>
      </c>
      <c r="G4696" s="53">
        <f t="shared" si="89"/>
        <v>57.648374999999994</v>
      </c>
      <c r="H4696" s="72"/>
      <c r="I4696" s="73"/>
      <c r="J4696" s="148">
        <v>0</v>
      </c>
      <c r="K4696" s="222">
        <v>0</v>
      </c>
    </row>
    <row r="4697" spans="1:11" ht="25.5" hidden="1" x14ac:dyDescent="0.25">
      <c r="A4697" s="207"/>
      <c r="B4697" s="205"/>
      <c r="C4697" s="35" t="s">
        <v>1376</v>
      </c>
      <c r="D4697" s="35" t="s">
        <v>982</v>
      </c>
      <c r="E4697" s="36">
        <v>1.125</v>
      </c>
      <c r="F4697" s="53">
        <v>62.92799999999999</v>
      </c>
      <c r="G4697" s="53">
        <f t="shared" si="89"/>
        <v>70.793999999999983</v>
      </c>
      <c r="H4697" s="72"/>
      <c r="I4697" s="73"/>
      <c r="J4697" s="148">
        <v>0</v>
      </c>
      <c r="K4697" s="222">
        <v>0</v>
      </c>
    </row>
    <row r="4698" spans="1:11" hidden="1" x14ac:dyDescent="0.25">
      <c r="A4698" s="207"/>
      <c r="B4698" s="205"/>
      <c r="C4698" s="35" t="s">
        <v>1377</v>
      </c>
      <c r="D4698" s="35" t="s">
        <v>891</v>
      </c>
      <c r="E4698" s="36">
        <v>0.52</v>
      </c>
      <c r="F4698" s="53">
        <v>7.5714999999999995</v>
      </c>
      <c r="G4698" s="53">
        <f t="shared" si="89"/>
        <v>3.9371799999999997</v>
      </c>
      <c r="H4698" s="72"/>
      <c r="I4698" s="73"/>
      <c r="J4698" s="148">
        <v>0</v>
      </c>
      <c r="K4698" s="222">
        <v>0</v>
      </c>
    </row>
    <row r="4699" spans="1:11" hidden="1" x14ac:dyDescent="0.25">
      <c r="A4699" s="207"/>
      <c r="B4699" s="205"/>
      <c r="C4699" s="35" t="s">
        <v>1370</v>
      </c>
      <c r="D4699" s="35" t="s">
        <v>695</v>
      </c>
      <c r="E4699" s="36">
        <v>0.27800000000000002</v>
      </c>
      <c r="F4699" s="53">
        <v>19.474999999999998</v>
      </c>
      <c r="G4699" s="53">
        <f t="shared" si="89"/>
        <v>5.4140499999999996</v>
      </c>
      <c r="H4699" s="72"/>
      <c r="I4699" s="73"/>
      <c r="J4699" s="148">
        <v>0</v>
      </c>
      <c r="K4699" s="222">
        <v>0</v>
      </c>
    </row>
    <row r="4700" spans="1:11" hidden="1" x14ac:dyDescent="0.25">
      <c r="A4700" s="207"/>
      <c r="B4700" s="205"/>
      <c r="C4700" s="35" t="s">
        <v>1004</v>
      </c>
      <c r="D4700" s="35" t="s">
        <v>695</v>
      </c>
      <c r="E4700" s="36">
        <v>1.375</v>
      </c>
      <c r="F4700" s="53">
        <v>24.889999999999997</v>
      </c>
      <c r="G4700" s="53">
        <f t="shared" si="89"/>
        <v>34.223749999999995</v>
      </c>
      <c r="H4700" s="72"/>
      <c r="I4700" s="73"/>
      <c r="J4700" s="148">
        <v>0</v>
      </c>
      <c r="K4700" s="222">
        <v>0</v>
      </c>
    </row>
    <row r="4701" spans="1:11" hidden="1" x14ac:dyDescent="0.25">
      <c r="A4701" s="207"/>
      <c r="B4701" s="205"/>
      <c r="C4701" s="35"/>
      <c r="D4701" s="35"/>
      <c r="E4701" s="36"/>
      <c r="F4701" s="53" t="s">
        <v>514</v>
      </c>
      <c r="G4701" s="53" t="str">
        <f t="shared" si="89"/>
        <v/>
      </c>
      <c r="H4701" s="72"/>
      <c r="I4701" s="73"/>
      <c r="J4701" s="148">
        <v>0</v>
      </c>
      <c r="K4701" s="222">
        <v>0</v>
      </c>
    </row>
    <row r="4702" spans="1:11" ht="15.75" hidden="1" thickBot="1" x14ac:dyDescent="0.3">
      <c r="A4702" s="202" t="s">
        <v>1394</v>
      </c>
      <c r="B4702" s="204" t="str">
        <f>INDEX(Orçamentária!A:B,MATCH(Composições!A4702,Orçamentária!A:A,0),2)</f>
        <v>Impermeabilização com manta dupla (com asfalto elastomérico)</v>
      </c>
      <c r="C4702" s="40"/>
      <c r="D4702" s="25" t="str">
        <f>TRIM(INDEX(Orçamentária!C:C,MATCH(Composições!A4702,Orçamentária!A:A,0),1))</f>
        <v>m2</v>
      </c>
      <c r="E4702" s="26"/>
      <c r="F4702" s="48" t="s">
        <v>514</v>
      </c>
      <c r="G4702" s="27" t="str">
        <f t="shared" si="89"/>
        <v/>
      </c>
      <c r="H4702" s="28"/>
      <c r="I4702" s="29"/>
      <c r="J4702" s="148">
        <v>0</v>
      </c>
      <c r="K4702" s="222">
        <v>0</v>
      </c>
    </row>
    <row r="4703" spans="1:11" hidden="1" x14ac:dyDescent="0.25">
      <c r="A4703" s="207"/>
      <c r="B4703" s="205"/>
      <c r="C4703" s="31"/>
      <c r="D4703" s="31"/>
      <c r="E4703" s="32"/>
      <c r="F4703" s="53" t="s">
        <v>514</v>
      </c>
      <c r="G4703" s="53" t="str">
        <f t="shared" si="89"/>
        <v/>
      </c>
      <c r="H4703" s="72"/>
      <c r="I4703" s="73"/>
      <c r="J4703" s="148">
        <v>0</v>
      </c>
      <c r="K4703" s="222">
        <v>0</v>
      </c>
    </row>
    <row r="4704" spans="1:11" ht="25.5" hidden="1" x14ac:dyDescent="0.25">
      <c r="A4704" s="207"/>
      <c r="B4704" s="205"/>
      <c r="C4704" s="35" t="s">
        <v>1369</v>
      </c>
      <c r="D4704" s="35" t="s">
        <v>101</v>
      </c>
      <c r="E4704" s="36">
        <v>0.61499999999999999</v>
      </c>
      <c r="F4704" s="53">
        <v>15.674999999999999</v>
      </c>
      <c r="G4704" s="53">
        <f t="shared" si="89"/>
        <v>9.6401249999999994</v>
      </c>
      <c r="H4704" s="38">
        <f>SUM(G4704:G4709)</f>
        <v>183.13434999999998</v>
      </c>
      <c r="I4704" s="39"/>
      <c r="J4704" s="148">
        <v>0</v>
      </c>
      <c r="K4704" s="222">
        <v>0</v>
      </c>
    </row>
    <row r="4705" spans="1:11" ht="25.5" hidden="1" x14ac:dyDescent="0.25">
      <c r="A4705" s="207"/>
      <c r="B4705" s="205"/>
      <c r="C4705" s="35" t="s">
        <v>1393</v>
      </c>
      <c r="D4705" s="35" t="s">
        <v>982</v>
      </c>
      <c r="E4705" s="36">
        <v>1.125</v>
      </c>
      <c r="F4705" s="53">
        <v>51.242999999999995</v>
      </c>
      <c r="G4705" s="53">
        <f t="shared" si="89"/>
        <v>57.648374999999994</v>
      </c>
      <c r="H4705" s="72"/>
      <c r="I4705" s="73"/>
      <c r="J4705" s="148">
        <v>0</v>
      </c>
      <c r="K4705" s="222">
        <v>0</v>
      </c>
    </row>
    <row r="4706" spans="1:11" ht="25.5" hidden="1" x14ac:dyDescent="0.25">
      <c r="A4706" s="207"/>
      <c r="B4706" s="205"/>
      <c r="C4706" s="35" t="s">
        <v>1376</v>
      </c>
      <c r="D4706" s="35" t="s">
        <v>982</v>
      </c>
      <c r="E4706" s="36">
        <v>1.125</v>
      </c>
      <c r="F4706" s="53">
        <v>62.92799999999999</v>
      </c>
      <c r="G4706" s="53">
        <f t="shared" si="89"/>
        <v>70.793999999999983</v>
      </c>
      <c r="H4706" s="72"/>
      <c r="I4706" s="73"/>
      <c r="J4706" s="148">
        <v>0</v>
      </c>
      <c r="K4706" s="222">
        <v>0</v>
      </c>
    </row>
    <row r="4707" spans="1:11" hidden="1" x14ac:dyDescent="0.25">
      <c r="A4707" s="207"/>
      <c r="B4707" s="205"/>
      <c r="C4707" s="35" t="s">
        <v>1389</v>
      </c>
      <c r="D4707" s="35" t="s">
        <v>891</v>
      </c>
      <c r="E4707" s="36">
        <v>2</v>
      </c>
      <c r="F4707" s="53" t="s">
        <v>514</v>
      </c>
      <c r="G4707" s="53" t="str">
        <f t="shared" si="89"/>
        <v/>
      </c>
      <c r="H4707" s="72"/>
      <c r="I4707" s="73"/>
      <c r="J4707" s="148">
        <v>0</v>
      </c>
      <c r="K4707" s="222">
        <v>0</v>
      </c>
    </row>
    <row r="4708" spans="1:11" hidden="1" x14ac:dyDescent="0.25">
      <c r="A4708" s="207"/>
      <c r="B4708" s="205"/>
      <c r="C4708" s="35" t="s">
        <v>1370</v>
      </c>
      <c r="D4708" s="35" t="s">
        <v>695</v>
      </c>
      <c r="E4708" s="36">
        <f>0.278*2</f>
        <v>0.55600000000000005</v>
      </c>
      <c r="F4708" s="53">
        <v>19.474999999999998</v>
      </c>
      <c r="G4708" s="53">
        <f t="shared" si="89"/>
        <v>10.828099999999999</v>
      </c>
      <c r="H4708" s="72"/>
      <c r="I4708" s="73"/>
      <c r="J4708" s="148">
        <v>0</v>
      </c>
      <c r="K4708" s="222">
        <v>0</v>
      </c>
    </row>
    <row r="4709" spans="1:11" hidden="1" x14ac:dyDescent="0.25">
      <c r="A4709" s="207"/>
      <c r="B4709" s="205"/>
      <c r="C4709" s="35" t="s">
        <v>1004</v>
      </c>
      <c r="D4709" s="35" t="s">
        <v>695</v>
      </c>
      <c r="E4709" s="36">
        <v>1.375</v>
      </c>
      <c r="F4709" s="53">
        <v>24.889999999999997</v>
      </c>
      <c r="G4709" s="53">
        <f t="shared" si="89"/>
        <v>34.223749999999995</v>
      </c>
      <c r="H4709" s="72"/>
      <c r="I4709" s="73"/>
      <c r="J4709" s="148">
        <v>0</v>
      </c>
      <c r="K4709" s="222">
        <v>0</v>
      </c>
    </row>
    <row r="4710" spans="1:11" hidden="1" x14ac:dyDescent="0.25">
      <c r="A4710" s="207"/>
      <c r="B4710" s="205"/>
      <c r="C4710" s="35"/>
      <c r="D4710" s="35"/>
      <c r="E4710" s="36"/>
      <c r="F4710" s="53" t="s">
        <v>514</v>
      </c>
      <c r="G4710" s="53" t="str">
        <f t="shared" si="89"/>
        <v/>
      </c>
      <c r="H4710" s="72"/>
      <c r="I4710" s="73"/>
      <c r="J4710" s="148">
        <v>0</v>
      </c>
      <c r="K4710" s="222">
        <v>0</v>
      </c>
    </row>
    <row r="4711" spans="1:11" ht="25.5" hidden="1" x14ac:dyDescent="0.25">
      <c r="A4711" s="207"/>
      <c r="B4711" s="205"/>
      <c r="C4711" s="47" t="s">
        <v>1390</v>
      </c>
      <c r="D4711" s="35"/>
      <c r="E4711" s="36"/>
      <c r="F4711" s="53" t="s">
        <v>514</v>
      </c>
      <c r="G4711" s="53" t="str">
        <f t="shared" si="89"/>
        <v/>
      </c>
      <c r="H4711" s="72"/>
      <c r="I4711" s="73"/>
      <c r="J4711" s="148">
        <v>0</v>
      </c>
      <c r="K4711" s="222">
        <v>0</v>
      </c>
    </row>
    <row r="4712" spans="1:11" ht="24.75" hidden="1" x14ac:dyDescent="0.25">
      <c r="A4712" s="207"/>
      <c r="B4712" s="205"/>
      <c r="C4712" s="147" t="s">
        <v>1391</v>
      </c>
      <c r="D4712" s="35"/>
      <c r="E4712" s="36"/>
      <c r="F4712" s="53" t="s">
        <v>514</v>
      </c>
      <c r="G4712" s="53" t="str">
        <f t="shared" si="89"/>
        <v/>
      </c>
      <c r="H4712" s="72"/>
      <c r="I4712" s="73"/>
      <c r="J4712" s="148">
        <v>0</v>
      </c>
      <c r="K4712" s="222">
        <v>0</v>
      </c>
    </row>
    <row r="4713" spans="1:11" hidden="1" x14ac:dyDescent="0.25">
      <c r="A4713" s="207"/>
      <c r="B4713" s="205"/>
      <c r="C4713" s="35"/>
      <c r="D4713" s="35"/>
      <c r="E4713" s="36"/>
      <c r="F4713" s="53" t="s">
        <v>514</v>
      </c>
      <c r="G4713" s="53" t="str">
        <f t="shared" si="89"/>
        <v/>
      </c>
      <c r="H4713" s="72"/>
      <c r="I4713" s="73"/>
      <c r="J4713" s="148">
        <v>0</v>
      </c>
      <c r="K4713" s="222">
        <v>0</v>
      </c>
    </row>
    <row r="4714" spans="1:11" ht="15.75" hidden="1" thickBot="1" x14ac:dyDescent="0.3">
      <c r="A4714" s="202" t="s">
        <v>3060</v>
      </c>
      <c r="B4714" s="204" t="str">
        <f>INDEX(Orçamentária!A:B,MATCH(Composições!A4714,Orçamentária!A:A,0),2)</f>
        <v>Fibra de Polipropileno</v>
      </c>
      <c r="C4714" s="40"/>
      <c r="D4714" s="25" t="str">
        <f>TRIM(INDEX(Orçamentária!C:C,MATCH(Composições!A4714,Orçamentária!A:A,0),1))</f>
        <v>kg</v>
      </c>
      <c r="E4714" s="26"/>
      <c r="F4714" s="48" t="s">
        <v>514</v>
      </c>
      <c r="G4714" s="27" t="str">
        <f t="shared" si="89"/>
        <v/>
      </c>
      <c r="H4714" s="28"/>
      <c r="I4714" s="29"/>
      <c r="J4714" s="148">
        <v>0</v>
      </c>
      <c r="K4714" s="222">
        <v>0</v>
      </c>
    </row>
    <row r="4715" spans="1:11" hidden="1" x14ac:dyDescent="0.25">
      <c r="A4715" s="207"/>
      <c r="B4715" s="205"/>
      <c r="C4715" s="31"/>
      <c r="D4715" s="31"/>
      <c r="E4715" s="32"/>
      <c r="F4715" s="53" t="s">
        <v>514</v>
      </c>
      <c r="G4715" s="53" t="str">
        <f t="shared" si="89"/>
        <v/>
      </c>
      <c r="H4715" s="72"/>
      <c r="I4715" s="73"/>
      <c r="J4715" s="148">
        <v>0</v>
      </c>
      <c r="K4715" s="222">
        <v>0</v>
      </c>
    </row>
    <row r="4716" spans="1:11" ht="25.5" hidden="1" x14ac:dyDescent="0.25">
      <c r="A4716" s="207"/>
      <c r="B4716" s="205"/>
      <c r="C4716" s="35" t="s">
        <v>7926</v>
      </c>
      <c r="D4716" s="35" t="s">
        <v>42</v>
      </c>
      <c r="E4716" s="36">
        <v>1</v>
      </c>
      <c r="F4716" s="53">
        <v>0</v>
      </c>
      <c r="G4716" s="53">
        <f t="shared" si="89"/>
        <v>0</v>
      </c>
      <c r="H4716" s="38">
        <f>SUM(G4716:G4716)</f>
        <v>0</v>
      </c>
      <c r="I4716" s="39"/>
      <c r="J4716" s="148">
        <v>0</v>
      </c>
      <c r="K4716" s="222">
        <v>0</v>
      </c>
    </row>
    <row r="4717" spans="1:11" hidden="1" x14ac:dyDescent="0.25">
      <c r="A4717" s="207"/>
      <c r="B4717" s="205"/>
      <c r="C4717" s="35"/>
      <c r="D4717" s="35"/>
      <c r="E4717" s="36"/>
      <c r="F4717" s="53" t="s">
        <v>514</v>
      </c>
      <c r="G4717" s="53" t="str">
        <f t="shared" si="89"/>
        <v/>
      </c>
      <c r="H4717" s="72"/>
      <c r="I4717" s="73"/>
      <c r="J4717" s="148">
        <v>0</v>
      </c>
      <c r="K4717" s="222">
        <v>0</v>
      </c>
    </row>
    <row r="4718" spans="1:11" ht="15.75" hidden="1" thickBot="1" x14ac:dyDescent="0.3">
      <c r="A4718" s="202" t="s">
        <v>1395</v>
      </c>
      <c r="B4718" s="204" t="str">
        <f>INDEX(Orçamentária!A:B,MATCH(Composições!A4718,Orçamentária!A:A,0),2)</f>
        <v>Aditivo Incorporador de Ar</v>
      </c>
      <c r="C4718" s="40"/>
      <c r="D4718" s="25" t="str">
        <f>TRIM(INDEX(Orçamentária!C:C,MATCH(Composições!A4718,Orçamentária!A:A,0),1))</f>
        <v>kg</v>
      </c>
      <c r="E4718" s="26"/>
      <c r="F4718" s="48" t="s">
        <v>514</v>
      </c>
      <c r="G4718" s="27" t="str">
        <f t="shared" si="89"/>
        <v/>
      </c>
      <c r="H4718" s="28"/>
      <c r="I4718" s="29"/>
      <c r="J4718" s="148">
        <v>0</v>
      </c>
      <c r="K4718" s="222">
        <v>0</v>
      </c>
    </row>
    <row r="4719" spans="1:11" hidden="1" x14ac:dyDescent="0.25">
      <c r="A4719" s="207"/>
      <c r="B4719" s="205"/>
      <c r="C4719" s="31"/>
      <c r="D4719" s="31"/>
      <c r="E4719" s="32"/>
      <c r="F4719" s="53" t="s">
        <v>514</v>
      </c>
      <c r="G4719" s="53" t="str">
        <f t="shared" si="89"/>
        <v/>
      </c>
      <c r="H4719" s="72"/>
      <c r="I4719" s="73"/>
      <c r="J4719" s="148">
        <v>0</v>
      </c>
      <c r="K4719" s="222">
        <v>0</v>
      </c>
    </row>
    <row r="4720" spans="1:11" ht="25.5" hidden="1" x14ac:dyDescent="0.25">
      <c r="A4720" s="207"/>
      <c r="B4720" s="205"/>
      <c r="C4720" s="35" t="s">
        <v>1396</v>
      </c>
      <c r="D4720" s="35" t="s">
        <v>101</v>
      </c>
      <c r="E4720" s="36">
        <v>1.01</v>
      </c>
      <c r="F4720" s="53">
        <v>7.637999999999999</v>
      </c>
      <c r="G4720" s="53">
        <f t="shared" si="89"/>
        <v>7.7143799999999993</v>
      </c>
      <c r="H4720" s="38">
        <f>SUM(G4720:G4720)</f>
        <v>7.7143799999999993</v>
      </c>
      <c r="I4720" s="39"/>
      <c r="J4720" s="148">
        <v>0</v>
      </c>
      <c r="K4720" s="222">
        <v>0</v>
      </c>
    </row>
    <row r="4721" spans="1:11" hidden="1" x14ac:dyDescent="0.25">
      <c r="A4721" s="207"/>
      <c r="B4721" s="205"/>
      <c r="C4721" s="35"/>
      <c r="D4721" s="35"/>
      <c r="E4721" s="36"/>
      <c r="F4721" s="53" t="s">
        <v>514</v>
      </c>
      <c r="G4721" s="53" t="str">
        <f t="shared" si="89"/>
        <v/>
      </c>
      <c r="H4721" s="72"/>
      <c r="I4721" s="73"/>
      <c r="J4721" s="148">
        <v>0</v>
      </c>
      <c r="K4721" s="222">
        <v>0</v>
      </c>
    </row>
    <row r="4722" spans="1:11" ht="25.5" hidden="1" x14ac:dyDescent="0.25">
      <c r="A4722" s="207"/>
      <c r="B4722" s="205"/>
      <c r="C4722" s="47" t="s">
        <v>1397</v>
      </c>
      <c r="D4722" s="35"/>
      <c r="E4722" s="36"/>
      <c r="F4722" s="53" t="s">
        <v>514</v>
      </c>
      <c r="G4722" s="53" t="str">
        <f t="shared" si="89"/>
        <v/>
      </c>
      <c r="H4722" s="72"/>
      <c r="I4722" s="73"/>
      <c r="J4722" s="148">
        <v>0</v>
      </c>
      <c r="K4722" s="222">
        <v>0</v>
      </c>
    </row>
    <row r="4723" spans="1:11" ht="15.75" hidden="1" thickBot="1" x14ac:dyDescent="0.3">
      <c r="A4723" s="207"/>
      <c r="B4723" s="205"/>
      <c r="C4723" s="54"/>
      <c r="D4723" s="54"/>
      <c r="E4723" s="65"/>
      <c r="F4723" s="75" t="s">
        <v>514</v>
      </c>
      <c r="G4723" s="75" t="str">
        <f t="shared" si="89"/>
        <v/>
      </c>
      <c r="H4723" s="76"/>
      <c r="I4723" s="73"/>
      <c r="J4723" s="148">
        <v>0</v>
      </c>
      <c r="K4723" s="222">
        <v>0</v>
      </c>
    </row>
    <row r="4724" spans="1:11" ht="15.75" hidden="1" thickBot="1" x14ac:dyDescent="0.3">
      <c r="A4724" s="202" t="s">
        <v>1398</v>
      </c>
      <c r="B4724" s="204" t="str">
        <f>INDEX(Orçamentária!A:B,MATCH(Composições!A4724,Orçamentária!A:A,0),2)</f>
        <v>Brita Nº 2</v>
      </c>
      <c r="C4724" s="40"/>
      <c r="D4724" s="25" t="str">
        <f>TRIM(INDEX(Orçamentária!C:C,MATCH(Composições!A4724,Orçamentária!A:A,0),1))</f>
        <v>m3</v>
      </c>
      <c r="E4724" s="26"/>
      <c r="F4724" s="48" t="s">
        <v>514</v>
      </c>
      <c r="G4724" s="27" t="str">
        <f t="shared" si="89"/>
        <v/>
      </c>
      <c r="H4724" s="28"/>
      <c r="I4724" s="29"/>
      <c r="J4724" s="148">
        <v>0</v>
      </c>
      <c r="K4724" s="222">
        <v>0</v>
      </c>
    </row>
    <row r="4725" spans="1:11" hidden="1" x14ac:dyDescent="0.25">
      <c r="A4725" s="207"/>
      <c r="B4725" s="205"/>
      <c r="C4725" s="31"/>
      <c r="D4725" s="31"/>
      <c r="E4725" s="32"/>
      <c r="F4725" s="53" t="s">
        <v>514</v>
      </c>
      <c r="G4725" s="53" t="str">
        <f t="shared" si="89"/>
        <v/>
      </c>
      <c r="H4725" s="72"/>
      <c r="I4725" s="73"/>
      <c r="J4725" s="148">
        <v>0</v>
      </c>
      <c r="K4725" s="222">
        <v>0</v>
      </c>
    </row>
    <row r="4726" spans="1:11" ht="25.5" hidden="1" x14ac:dyDescent="0.25">
      <c r="A4726" s="207"/>
      <c r="B4726" s="205"/>
      <c r="C4726" s="35" t="s">
        <v>1090</v>
      </c>
      <c r="D4726" s="35" t="s">
        <v>108</v>
      </c>
      <c r="E4726" s="36">
        <v>1</v>
      </c>
      <c r="F4726" s="53">
        <v>152</v>
      </c>
      <c r="G4726" s="53">
        <f t="shared" si="89"/>
        <v>152</v>
      </c>
      <c r="H4726" s="38">
        <f>SUM(G4726:G4728)</f>
        <v>212.23552805</v>
      </c>
      <c r="I4726" s="39"/>
      <c r="J4726" s="148">
        <v>0</v>
      </c>
      <c r="K4726" s="222">
        <v>0</v>
      </c>
    </row>
    <row r="4727" spans="1:11" ht="51" hidden="1" x14ac:dyDescent="0.25">
      <c r="A4727" s="207"/>
      <c r="B4727" s="205"/>
      <c r="C4727" s="35" t="s">
        <v>3507</v>
      </c>
      <c r="D4727" s="35" t="s">
        <v>108</v>
      </c>
      <c r="E4727" s="36">
        <f>1*E4726</f>
        <v>1</v>
      </c>
      <c r="F4727" s="33">
        <v>7.7750840499999994</v>
      </c>
      <c r="G4727" s="33">
        <f t="shared" si="89"/>
        <v>7.7750840499999994</v>
      </c>
      <c r="H4727" s="34"/>
      <c r="I4727" s="30"/>
      <c r="J4727" s="148">
        <v>0</v>
      </c>
      <c r="K4727" s="222">
        <v>0</v>
      </c>
    </row>
    <row r="4728" spans="1:11" ht="38.25" hidden="1" x14ac:dyDescent="0.25">
      <c r="A4728" s="207"/>
      <c r="B4728" s="205"/>
      <c r="C4728" s="35" t="s">
        <v>120</v>
      </c>
      <c r="D4728" s="35" t="s">
        <v>121</v>
      </c>
      <c r="E4728" s="36">
        <f>E4726*20</f>
        <v>20</v>
      </c>
      <c r="F4728" s="53">
        <v>2.6230221999999994</v>
      </c>
      <c r="G4728" s="53">
        <f t="shared" si="89"/>
        <v>52.460443999999988</v>
      </c>
      <c r="H4728" s="72"/>
      <c r="I4728" s="73"/>
      <c r="J4728" s="148">
        <v>0</v>
      </c>
      <c r="K4728" s="222">
        <v>0</v>
      </c>
    </row>
    <row r="4729" spans="1:11" hidden="1" x14ac:dyDescent="0.25">
      <c r="A4729" s="207"/>
      <c r="B4729" s="205"/>
      <c r="C4729" s="35"/>
      <c r="D4729" s="35"/>
      <c r="E4729" s="36"/>
      <c r="F4729" s="53" t="s">
        <v>514</v>
      </c>
      <c r="G4729" s="53" t="str">
        <f t="shared" si="89"/>
        <v/>
      </c>
      <c r="H4729" s="72"/>
      <c r="I4729" s="73"/>
      <c r="J4729" s="148">
        <v>0</v>
      </c>
      <c r="K4729" s="222">
        <v>0</v>
      </c>
    </row>
    <row r="4730" spans="1:11" hidden="1" x14ac:dyDescent="0.25">
      <c r="A4730" s="207"/>
      <c r="B4730" s="205"/>
      <c r="C4730" s="47" t="s">
        <v>1399</v>
      </c>
      <c r="D4730" s="35"/>
      <c r="E4730" s="36"/>
      <c r="F4730" s="53" t="s">
        <v>514</v>
      </c>
      <c r="G4730" s="53" t="str">
        <f t="shared" si="89"/>
        <v/>
      </c>
      <c r="H4730" s="72"/>
      <c r="I4730" s="73"/>
      <c r="J4730" s="148">
        <v>0</v>
      </c>
      <c r="K4730" s="222">
        <v>0</v>
      </c>
    </row>
    <row r="4731" spans="1:11" ht="15.75" hidden="1" thickBot="1" x14ac:dyDescent="0.3">
      <c r="A4731" s="208"/>
      <c r="B4731" s="206"/>
      <c r="C4731" s="54"/>
      <c r="D4731" s="54"/>
      <c r="E4731" s="65"/>
      <c r="F4731" s="75" t="s">
        <v>514</v>
      </c>
      <c r="G4731" s="75" t="str">
        <f t="shared" si="89"/>
        <v/>
      </c>
      <c r="H4731" s="76"/>
      <c r="I4731" s="73"/>
      <c r="J4731" s="148">
        <v>0</v>
      </c>
      <c r="K4731" s="222">
        <v>0</v>
      </c>
    </row>
    <row r="4732" spans="1:11" ht="15.75" hidden="1" thickBot="1" x14ac:dyDescent="0.3">
      <c r="A4732" s="202" t="s">
        <v>3070</v>
      </c>
      <c r="B4732" s="204" t="str">
        <f>INDEX(Orçamentária!A:B,MATCH(Composições!A4732,Orçamentária!A:A,0),2)</f>
        <v>Calha em chapa de zinco # 24 - Modelo 1</v>
      </c>
      <c r="C4732" s="40"/>
      <c r="D4732" s="25" t="str">
        <f>TRIM(INDEX(Orçamentária!C:C,MATCH(Composições!A4732,Orçamentária!A:A,0),1))</f>
        <v>m</v>
      </c>
      <c r="E4732" s="26"/>
      <c r="F4732" s="48" t="s">
        <v>514</v>
      </c>
      <c r="G4732" s="27" t="str">
        <f t="shared" si="89"/>
        <v/>
      </c>
      <c r="H4732" s="28"/>
      <c r="I4732" s="29"/>
      <c r="J4732" s="148">
        <v>0</v>
      </c>
      <c r="K4732" s="222">
        <v>0</v>
      </c>
    </row>
    <row r="4733" spans="1:11" hidden="1" x14ac:dyDescent="0.25">
      <c r="A4733" s="207"/>
      <c r="B4733" s="205"/>
      <c r="C4733" s="31"/>
      <c r="D4733" s="31"/>
      <c r="E4733" s="32"/>
      <c r="F4733" s="53" t="s">
        <v>514</v>
      </c>
      <c r="G4733" s="53" t="str">
        <f t="shared" si="89"/>
        <v/>
      </c>
      <c r="H4733" s="72"/>
      <c r="I4733" s="73"/>
      <c r="J4733" s="148">
        <v>0</v>
      </c>
      <c r="K4733" s="222">
        <v>0</v>
      </c>
    </row>
    <row r="4734" spans="1:11" ht="25.5" hidden="1" x14ac:dyDescent="0.25">
      <c r="A4734" s="207"/>
      <c r="B4734" s="205"/>
      <c r="C4734" s="35" t="s">
        <v>7623</v>
      </c>
      <c r="D4734" s="35" t="s">
        <v>92</v>
      </c>
      <c r="E4734" s="36">
        <f>65/50</f>
        <v>1.3</v>
      </c>
      <c r="F4734" s="53">
        <v>57.645999999999994</v>
      </c>
      <c r="G4734" s="53">
        <f t="shared" si="89"/>
        <v>74.939799999999991</v>
      </c>
      <c r="H4734" s="38">
        <f>SUM(G4734:G4734)</f>
        <v>74.939799999999991</v>
      </c>
      <c r="I4734" s="39"/>
      <c r="J4734" s="148">
        <v>0</v>
      </c>
      <c r="K4734" s="222">
        <v>0</v>
      </c>
    </row>
    <row r="4735" spans="1:11" ht="15.75" hidden="1" thickBot="1" x14ac:dyDescent="0.3">
      <c r="A4735" s="208"/>
      <c r="B4735" s="206"/>
      <c r="C4735" s="54"/>
      <c r="D4735" s="54"/>
      <c r="E4735" s="65"/>
      <c r="F4735" s="75" t="s">
        <v>514</v>
      </c>
      <c r="G4735" s="75" t="str">
        <f t="shared" si="89"/>
        <v/>
      </c>
      <c r="H4735" s="76"/>
      <c r="I4735" s="73"/>
      <c r="J4735" s="148">
        <v>0</v>
      </c>
      <c r="K4735" s="222">
        <v>0</v>
      </c>
    </row>
    <row r="4736" spans="1:11" ht="15.75" hidden="1" thickBot="1" x14ac:dyDescent="0.3">
      <c r="A4736" s="202" t="s">
        <v>3072</v>
      </c>
      <c r="B4736" s="204" t="str">
        <f>INDEX(Orçamentária!A:B,MATCH(Composições!A4736,Orçamentária!A:A,0),2)</f>
        <v>Calha em chapa de zinco # 24 - Modelo 2</v>
      </c>
      <c r="C4736" s="40"/>
      <c r="D4736" s="25" t="str">
        <f>TRIM(INDEX(Orçamentária!C:C,MATCH(Composições!A4736,Orçamentária!A:A,0),1))</f>
        <v>m</v>
      </c>
      <c r="E4736" s="26"/>
      <c r="F4736" s="48" t="s">
        <v>514</v>
      </c>
      <c r="G4736" s="27" t="str">
        <f t="shared" si="89"/>
        <v/>
      </c>
      <c r="H4736" s="28"/>
      <c r="I4736" s="29"/>
      <c r="J4736" s="148">
        <v>0</v>
      </c>
      <c r="K4736" s="222">
        <v>0</v>
      </c>
    </row>
    <row r="4737" spans="1:11" hidden="1" x14ac:dyDescent="0.25">
      <c r="A4737" s="207"/>
      <c r="B4737" s="205"/>
      <c r="C4737" s="31"/>
      <c r="D4737" s="31"/>
      <c r="E4737" s="32"/>
      <c r="F4737" s="53" t="s">
        <v>514</v>
      </c>
      <c r="G4737" s="53" t="str">
        <f t="shared" si="89"/>
        <v/>
      </c>
      <c r="H4737" s="72"/>
      <c r="I4737" s="73"/>
      <c r="J4737" s="148">
        <v>0</v>
      </c>
      <c r="K4737" s="222">
        <v>0</v>
      </c>
    </row>
    <row r="4738" spans="1:11" ht="25.5" hidden="1" x14ac:dyDescent="0.25">
      <c r="A4738" s="207"/>
      <c r="B4738" s="205"/>
      <c r="C4738" s="35" t="s">
        <v>1349</v>
      </c>
      <c r="D4738" s="35" t="s">
        <v>92</v>
      </c>
      <c r="E4738" s="36">
        <v>1.1000000000000001</v>
      </c>
      <c r="F4738" s="53">
        <v>112.765</v>
      </c>
      <c r="G4738" s="53">
        <f t="shared" si="89"/>
        <v>124.04150000000001</v>
      </c>
      <c r="H4738" s="38">
        <f>SUM(G4738:G4738)</f>
        <v>124.04150000000001</v>
      </c>
      <c r="I4738" s="39"/>
      <c r="J4738" s="148">
        <v>0</v>
      </c>
      <c r="K4738" s="222">
        <v>0</v>
      </c>
    </row>
    <row r="4739" spans="1:11" ht="15.75" hidden="1" thickBot="1" x14ac:dyDescent="0.3">
      <c r="A4739" s="208"/>
      <c r="B4739" s="206"/>
      <c r="C4739" s="54"/>
      <c r="D4739" s="54"/>
      <c r="E4739" s="65"/>
      <c r="F4739" s="75" t="s">
        <v>514</v>
      </c>
      <c r="G4739" s="75" t="str">
        <f t="shared" si="89"/>
        <v/>
      </c>
      <c r="H4739" s="76"/>
      <c r="I4739" s="73"/>
      <c r="J4739" s="148">
        <v>0</v>
      </c>
      <c r="K4739" s="222">
        <v>0</v>
      </c>
    </row>
    <row r="4740" spans="1:11" ht="15.75" hidden="1" thickBot="1" x14ac:dyDescent="0.3">
      <c r="A4740" s="202" t="s">
        <v>3100</v>
      </c>
      <c r="B4740" s="204" t="str">
        <f>INDEX(Orçamentária!A:B,MATCH(Composições!A4740,Orçamentária!A:A,0),2)</f>
        <v>Talhadeira</v>
      </c>
      <c r="C4740" s="40"/>
      <c r="D4740" s="25" t="str">
        <f>TRIM(INDEX(Orçamentária!C:C,MATCH(Composições!A4740,Orçamentária!A:A,0),1))</f>
        <v>un</v>
      </c>
      <c r="E4740" s="26"/>
      <c r="F4740" s="48" t="s">
        <v>514</v>
      </c>
      <c r="G4740" s="27" t="str">
        <f t="shared" si="89"/>
        <v/>
      </c>
      <c r="H4740" s="28"/>
      <c r="I4740" s="29"/>
      <c r="J4740" s="148">
        <v>0</v>
      </c>
      <c r="K4740" s="222">
        <v>0</v>
      </c>
    </row>
    <row r="4741" spans="1:11" hidden="1" x14ac:dyDescent="0.25">
      <c r="A4741" s="207"/>
      <c r="B4741" s="205"/>
      <c r="C4741" s="31"/>
      <c r="D4741" s="31"/>
      <c r="E4741" s="32"/>
      <c r="F4741" s="53" t="s">
        <v>514</v>
      </c>
      <c r="G4741" s="53" t="str">
        <f t="shared" si="89"/>
        <v/>
      </c>
      <c r="H4741" s="72"/>
      <c r="I4741" s="73"/>
      <c r="J4741" s="148">
        <v>0</v>
      </c>
      <c r="K4741" s="222">
        <v>0</v>
      </c>
    </row>
    <row r="4742" spans="1:11" hidden="1" x14ac:dyDescent="0.25">
      <c r="A4742" s="207"/>
      <c r="B4742" s="205"/>
      <c r="C4742" s="35" t="s">
        <v>7694</v>
      </c>
      <c r="D4742" s="35" t="s">
        <v>278</v>
      </c>
      <c r="E4742" s="36">
        <v>1</v>
      </c>
      <c r="F4742" s="53">
        <v>37.154499999999999</v>
      </c>
      <c r="G4742" s="53">
        <f t="shared" si="89"/>
        <v>37.154499999999999</v>
      </c>
      <c r="H4742" s="38">
        <f>SUM(G4742:G4742)</f>
        <v>37.154499999999999</v>
      </c>
      <c r="I4742" s="39"/>
      <c r="J4742" s="148">
        <v>0</v>
      </c>
      <c r="K4742" s="222">
        <v>0</v>
      </c>
    </row>
    <row r="4743" spans="1:11" ht="15.75" hidden="1" thickBot="1" x14ac:dyDescent="0.3">
      <c r="A4743" s="208"/>
      <c r="B4743" s="206"/>
      <c r="C4743" s="54"/>
      <c r="D4743" s="54"/>
      <c r="E4743" s="65"/>
      <c r="F4743" s="75" t="s">
        <v>514</v>
      </c>
      <c r="G4743" s="75" t="str">
        <f t="shared" si="89"/>
        <v/>
      </c>
      <c r="H4743" s="76"/>
      <c r="I4743" s="73"/>
      <c r="J4743" s="148">
        <v>0</v>
      </c>
      <c r="K4743" s="222">
        <v>0</v>
      </c>
    </row>
    <row r="4744" spans="1:11" ht="15.75" hidden="1" thickBot="1" x14ac:dyDescent="0.3">
      <c r="A4744" s="202" t="s">
        <v>3107</v>
      </c>
      <c r="B4744" s="204" t="str">
        <f>INDEX(Orçamentária!A:B,MATCH(Composições!A4744,Orçamentária!A:A,0),2)</f>
        <v>Enxada com cabo (2,5 libras)</v>
      </c>
      <c r="C4744" s="40"/>
      <c r="D4744" s="25" t="str">
        <f>TRIM(INDEX(Orçamentária!C:C,MATCH(Composições!A4744,Orçamentária!A:A,0),1))</f>
        <v>un</v>
      </c>
      <c r="E4744" s="26"/>
      <c r="F4744" s="48" t="s">
        <v>514</v>
      </c>
      <c r="G4744" s="27" t="str">
        <f t="shared" si="89"/>
        <v/>
      </c>
      <c r="H4744" s="28"/>
      <c r="I4744" s="29"/>
      <c r="J4744" s="148">
        <v>0</v>
      </c>
      <c r="K4744" s="222">
        <v>0</v>
      </c>
    </row>
    <row r="4745" spans="1:11" hidden="1" x14ac:dyDescent="0.25">
      <c r="A4745" s="207"/>
      <c r="B4745" s="205"/>
      <c r="C4745" s="31"/>
      <c r="D4745" s="31"/>
      <c r="E4745" s="32"/>
      <c r="F4745" s="53" t="s">
        <v>514</v>
      </c>
      <c r="G4745" s="53" t="str">
        <f t="shared" si="89"/>
        <v/>
      </c>
      <c r="H4745" s="72"/>
      <c r="I4745" s="73"/>
      <c r="J4745" s="148">
        <v>0</v>
      </c>
      <c r="K4745" s="222">
        <v>0</v>
      </c>
    </row>
    <row r="4746" spans="1:11" hidden="1" x14ac:dyDescent="0.25">
      <c r="A4746" s="207"/>
      <c r="B4746" s="205"/>
      <c r="C4746" s="35" t="s">
        <v>7639</v>
      </c>
      <c r="D4746" s="35" t="s">
        <v>278</v>
      </c>
      <c r="E4746" s="36">
        <v>1</v>
      </c>
      <c r="F4746" s="53">
        <v>60.714499999999994</v>
      </c>
      <c r="G4746" s="53">
        <f t="shared" si="89"/>
        <v>60.714499999999994</v>
      </c>
      <c r="H4746" s="38">
        <f>SUM(G4746:G4746)</f>
        <v>60.714499999999994</v>
      </c>
      <c r="I4746" s="39"/>
      <c r="J4746" s="148">
        <v>0</v>
      </c>
      <c r="K4746" s="222">
        <v>0</v>
      </c>
    </row>
    <row r="4747" spans="1:11" ht="15.75" hidden="1" thickBot="1" x14ac:dyDescent="0.3">
      <c r="A4747" s="208"/>
      <c r="B4747" s="206"/>
      <c r="C4747" s="54"/>
      <c r="D4747" s="54"/>
      <c r="E4747" s="65"/>
      <c r="F4747" s="75" t="s">
        <v>514</v>
      </c>
      <c r="G4747" s="75" t="str">
        <f t="shared" si="89"/>
        <v/>
      </c>
      <c r="H4747" s="76"/>
      <c r="I4747" s="73"/>
      <c r="J4747" s="148">
        <v>0</v>
      </c>
      <c r="K4747" s="222">
        <v>0</v>
      </c>
    </row>
    <row r="4748" spans="1:11" ht="15.75" hidden="1" thickBot="1" x14ac:dyDescent="0.3">
      <c r="A4748" s="202" t="s">
        <v>3109</v>
      </c>
      <c r="B4748" s="204" t="str">
        <f>INDEX(Orçamentária!A:B,MATCH(Composições!A4748,Orçamentária!A:A,0),2)</f>
        <v>Escada extensível de alumínio dupla 2x8</v>
      </c>
      <c r="C4748" s="40"/>
      <c r="D4748" s="25" t="str">
        <f>TRIM(INDEX(Orçamentária!C:C,MATCH(Composições!A4748,Orçamentária!A:A,0),1))</f>
        <v>un</v>
      </c>
      <c r="E4748" s="26"/>
      <c r="F4748" s="48" t="s">
        <v>514</v>
      </c>
      <c r="G4748" s="27" t="str">
        <f t="shared" si="89"/>
        <v/>
      </c>
      <c r="H4748" s="28"/>
      <c r="I4748" s="29"/>
      <c r="J4748" s="148">
        <v>0</v>
      </c>
      <c r="K4748" s="222">
        <v>0</v>
      </c>
    </row>
    <row r="4749" spans="1:11" hidden="1" x14ac:dyDescent="0.25">
      <c r="A4749" s="207"/>
      <c r="B4749" s="205"/>
      <c r="C4749" s="31"/>
      <c r="D4749" s="31"/>
      <c r="E4749" s="32"/>
      <c r="F4749" s="53" t="s">
        <v>514</v>
      </c>
      <c r="G4749" s="53" t="str">
        <f t="shared" si="89"/>
        <v/>
      </c>
      <c r="H4749" s="72"/>
      <c r="I4749" s="73"/>
      <c r="J4749" s="148">
        <v>0</v>
      </c>
      <c r="K4749" s="222">
        <v>0</v>
      </c>
    </row>
    <row r="4750" spans="1:11" ht="25.5" hidden="1" x14ac:dyDescent="0.25">
      <c r="A4750" s="207"/>
      <c r="B4750" s="205"/>
      <c r="C4750" s="35" t="s">
        <v>7640</v>
      </c>
      <c r="D4750" s="35" t="s">
        <v>278</v>
      </c>
      <c r="E4750" s="36">
        <v>1</v>
      </c>
      <c r="F4750" s="53">
        <v>456.34199999999998</v>
      </c>
      <c r="G4750" s="53">
        <f t="shared" si="89"/>
        <v>456.34199999999998</v>
      </c>
      <c r="H4750" s="38">
        <f>SUM(G4750:G4750)</f>
        <v>456.34199999999998</v>
      </c>
      <c r="I4750" s="39"/>
      <c r="J4750" s="148">
        <v>0</v>
      </c>
      <c r="K4750" s="222">
        <v>0</v>
      </c>
    </row>
    <row r="4751" spans="1:11" ht="15.75" hidden="1" thickBot="1" x14ac:dyDescent="0.3">
      <c r="A4751" s="208"/>
      <c r="B4751" s="206"/>
      <c r="C4751" s="54"/>
      <c r="D4751" s="54"/>
      <c r="E4751" s="65"/>
      <c r="F4751" s="75" t="s">
        <v>514</v>
      </c>
      <c r="G4751" s="75" t="str">
        <f t="shared" si="89"/>
        <v/>
      </c>
      <c r="H4751" s="76"/>
      <c r="I4751" s="73"/>
      <c r="J4751" s="148">
        <v>0</v>
      </c>
      <c r="K4751" s="222">
        <v>0</v>
      </c>
    </row>
    <row r="4752" spans="1:11" ht="15.75" hidden="1" thickBot="1" x14ac:dyDescent="0.3">
      <c r="A4752" s="202" t="s">
        <v>3123</v>
      </c>
      <c r="B4752" s="204" t="str">
        <f>INDEX(Orçamentária!A:B,MATCH(Composições!A4752,Orçamentária!A:A,0),2)</f>
        <v>Mangueira de nível de 20m</v>
      </c>
      <c r="C4752" s="40"/>
      <c r="D4752" s="25" t="str">
        <f>TRIM(INDEX(Orçamentária!C:C,MATCH(Composições!A4752,Orçamentária!A:A,0),1))</f>
        <v>un</v>
      </c>
      <c r="E4752" s="26"/>
      <c r="F4752" s="48" t="s">
        <v>514</v>
      </c>
      <c r="G4752" s="27" t="str">
        <f t="shared" si="89"/>
        <v/>
      </c>
      <c r="H4752" s="28"/>
      <c r="I4752" s="29"/>
      <c r="J4752" s="148">
        <v>0</v>
      </c>
      <c r="K4752" s="222">
        <v>0</v>
      </c>
    </row>
    <row r="4753" spans="1:11" hidden="1" x14ac:dyDescent="0.25">
      <c r="A4753" s="207"/>
      <c r="B4753" s="205"/>
      <c r="C4753" s="31"/>
      <c r="D4753" s="31"/>
      <c r="E4753" s="32"/>
      <c r="F4753" s="53" t="s">
        <v>514</v>
      </c>
      <c r="G4753" s="53" t="str">
        <f t="shared" si="89"/>
        <v/>
      </c>
      <c r="H4753" s="72"/>
      <c r="I4753" s="73"/>
      <c r="J4753" s="148">
        <v>0</v>
      </c>
      <c r="K4753" s="222">
        <v>0</v>
      </c>
    </row>
    <row r="4754" spans="1:11" ht="25.5" hidden="1" x14ac:dyDescent="0.25">
      <c r="A4754" s="207"/>
      <c r="B4754" s="205"/>
      <c r="C4754" s="35" t="s">
        <v>7658</v>
      </c>
      <c r="D4754" s="35" t="s">
        <v>92</v>
      </c>
      <c r="E4754" s="36">
        <v>20</v>
      </c>
      <c r="F4754" s="53">
        <v>2.3275000000000001</v>
      </c>
      <c r="G4754" s="53">
        <f t="shared" si="89"/>
        <v>46.550000000000004</v>
      </c>
      <c r="H4754" s="38">
        <f>SUM(G4754:G4754)</f>
        <v>46.550000000000004</v>
      </c>
      <c r="I4754" s="39"/>
      <c r="J4754" s="148">
        <v>0</v>
      </c>
      <c r="K4754" s="222">
        <v>0</v>
      </c>
    </row>
    <row r="4755" spans="1:11" ht="15.75" hidden="1" thickBot="1" x14ac:dyDescent="0.3">
      <c r="A4755" s="208"/>
      <c r="B4755" s="206"/>
      <c r="C4755" s="54"/>
      <c r="D4755" s="54"/>
      <c r="E4755" s="65"/>
      <c r="F4755" s="75" t="s">
        <v>514</v>
      </c>
      <c r="G4755" s="75" t="str">
        <f t="shared" si="89"/>
        <v/>
      </c>
      <c r="H4755" s="76"/>
      <c r="I4755" s="73"/>
      <c r="J4755" s="148">
        <v>0</v>
      </c>
      <c r="K4755" s="222">
        <v>0</v>
      </c>
    </row>
    <row r="4756" spans="1:11" ht="15.75" hidden="1" thickBot="1" x14ac:dyDescent="0.3">
      <c r="A4756" s="202" t="s">
        <v>3133</v>
      </c>
      <c r="B4756" s="204" t="str">
        <f>INDEX(Orçamentária!A:B,MATCH(Composições!A4756,Orçamentária!A:A,0),2)</f>
        <v>Talha Manual para Elevação de Cargas (2 ton)</v>
      </c>
      <c r="C4756" s="40"/>
      <c r="D4756" s="25" t="str">
        <f>TRIM(INDEX(Orçamentária!C:C,MATCH(Composições!A4756,Orçamentária!A:A,0),1))</f>
        <v>un</v>
      </c>
      <c r="E4756" s="26"/>
      <c r="F4756" s="48" t="s">
        <v>514</v>
      </c>
      <c r="G4756" s="27" t="str">
        <f t="shared" si="89"/>
        <v/>
      </c>
      <c r="H4756" s="28"/>
      <c r="I4756" s="29"/>
      <c r="J4756" s="148">
        <v>0</v>
      </c>
      <c r="K4756" s="222">
        <v>0</v>
      </c>
    </row>
    <row r="4757" spans="1:11" hidden="1" x14ac:dyDescent="0.25">
      <c r="A4757" s="207"/>
      <c r="B4757" s="205"/>
      <c r="C4757" s="31"/>
      <c r="D4757" s="31"/>
      <c r="E4757" s="32"/>
      <c r="F4757" s="53" t="s">
        <v>514</v>
      </c>
      <c r="G4757" s="53" t="str">
        <f t="shared" ref="G4757:G4820" si="90">IF(ISNUMBER(F4757),E4757*F4757,"")</f>
        <v/>
      </c>
      <c r="H4757" s="72"/>
      <c r="I4757" s="73"/>
      <c r="J4757" s="148">
        <v>0</v>
      </c>
      <c r="K4757" s="222">
        <v>0</v>
      </c>
    </row>
    <row r="4758" spans="1:11" ht="25.5" hidden="1" x14ac:dyDescent="0.25">
      <c r="A4758" s="207"/>
      <c r="B4758" s="205"/>
      <c r="C4758" s="35" t="s">
        <v>7693</v>
      </c>
      <c r="D4758" s="35" t="s">
        <v>278</v>
      </c>
      <c r="E4758" s="36">
        <v>1</v>
      </c>
      <c r="F4758" s="53">
        <v>1126.2249999999999</v>
      </c>
      <c r="G4758" s="53">
        <f t="shared" si="90"/>
        <v>1126.2249999999999</v>
      </c>
      <c r="H4758" s="38">
        <f>SUM(G4758:G4758)</f>
        <v>1126.2249999999999</v>
      </c>
      <c r="I4758" s="39"/>
      <c r="J4758" s="148">
        <v>0</v>
      </c>
      <c r="K4758" s="222">
        <v>0</v>
      </c>
    </row>
    <row r="4759" spans="1:11" ht="15.75" hidden="1" thickBot="1" x14ac:dyDescent="0.3">
      <c r="A4759" s="208"/>
      <c r="B4759" s="206"/>
      <c r="C4759" s="54"/>
      <c r="D4759" s="54"/>
      <c r="E4759" s="65"/>
      <c r="F4759" s="75" t="s">
        <v>514</v>
      </c>
      <c r="G4759" s="75" t="str">
        <f t="shared" si="90"/>
        <v/>
      </c>
      <c r="H4759" s="76"/>
      <c r="I4759" s="73"/>
      <c r="J4759" s="148">
        <v>0</v>
      </c>
      <c r="K4759" s="222">
        <v>0</v>
      </c>
    </row>
    <row r="4760" spans="1:11" ht="15.75" hidden="1" thickBot="1" x14ac:dyDescent="0.3">
      <c r="A4760" s="202" t="s">
        <v>3144</v>
      </c>
      <c r="B4760" s="204" t="str">
        <f>INDEX(Orçamentária!A:B,MATCH(Composições!A4760,Orçamentária!A:A,0),2)</f>
        <v>Manta autocolante aluminizada</v>
      </c>
      <c r="C4760" s="40"/>
      <c r="D4760" s="25" t="str">
        <f>TRIM(INDEX(Orçamentária!C:C,MATCH(Composições!A4760,Orçamentária!A:A,0),1))</f>
        <v>m2</v>
      </c>
      <c r="E4760" s="26"/>
      <c r="F4760" s="48" t="s">
        <v>514</v>
      </c>
      <c r="G4760" s="27" t="str">
        <f t="shared" si="90"/>
        <v/>
      </c>
      <c r="H4760" s="28"/>
      <c r="I4760" s="29"/>
      <c r="J4760" s="148">
        <v>0</v>
      </c>
      <c r="K4760" s="222">
        <v>0</v>
      </c>
    </row>
    <row r="4761" spans="1:11" hidden="1" x14ac:dyDescent="0.25">
      <c r="A4761" s="207"/>
      <c r="B4761" s="205"/>
      <c r="C4761" s="31"/>
      <c r="D4761" s="31"/>
      <c r="E4761" s="32"/>
      <c r="F4761" s="53" t="s">
        <v>514</v>
      </c>
      <c r="G4761" s="53" t="str">
        <f t="shared" si="90"/>
        <v/>
      </c>
      <c r="H4761" s="72"/>
      <c r="I4761" s="73"/>
      <c r="J4761" s="148">
        <v>0</v>
      </c>
      <c r="K4761" s="222">
        <v>0</v>
      </c>
    </row>
    <row r="4762" spans="1:11" ht="25.5" hidden="1" x14ac:dyDescent="0.25">
      <c r="A4762" s="207"/>
      <c r="B4762" s="205"/>
      <c r="C4762" s="35" t="s">
        <v>7662</v>
      </c>
      <c r="D4762" s="35" t="s">
        <v>94</v>
      </c>
      <c r="E4762" s="36">
        <v>1</v>
      </c>
      <c r="F4762" s="53">
        <v>49.533000000000001</v>
      </c>
      <c r="G4762" s="53">
        <f t="shared" si="90"/>
        <v>49.533000000000001</v>
      </c>
      <c r="H4762" s="38">
        <f>SUM(G4762:G4762)</f>
        <v>49.533000000000001</v>
      </c>
      <c r="I4762" s="39"/>
      <c r="J4762" s="148">
        <v>0</v>
      </c>
      <c r="K4762" s="222">
        <v>0</v>
      </c>
    </row>
    <row r="4763" spans="1:11" ht="15.75" hidden="1" thickBot="1" x14ac:dyDescent="0.3">
      <c r="A4763" s="208"/>
      <c r="B4763" s="206"/>
      <c r="C4763" s="54"/>
      <c r="D4763" s="54"/>
      <c r="E4763" s="65"/>
      <c r="F4763" s="75" t="s">
        <v>514</v>
      </c>
      <c r="G4763" s="75" t="str">
        <f t="shared" si="90"/>
        <v/>
      </c>
      <c r="H4763" s="76"/>
      <c r="I4763" s="73"/>
      <c r="J4763" s="148">
        <v>0</v>
      </c>
      <c r="K4763" s="222">
        <v>0</v>
      </c>
    </row>
    <row r="4764" spans="1:11" ht="15.75" hidden="1" thickBot="1" x14ac:dyDescent="0.3">
      <c r="A4764" s="202" t="s">
        <v>3146</v>
      </c>
      <c r="B4764" s="204" t="str">
        <f>INDEX(Orçamentária!A:B,MATCH(Composições!A4764,Orçamentária!A:A,0),2)</f>
        <v>Primer para aplicação de manta autocolante aluminizada</v>
      </c>
      <c r="C4764" s="40"/>
      <c r="D4764" s="25" t="str">
        <f>TRIM(INDEX(Orçamentária!C:C,MATCH(Composições!A4764,Orçamentária!A:A,0),1))</f>
        <v>L</v>
      </c>
      <c r="E4764" s="26"/>
      <c r="F4764" s="48" t="s">
        <v>514</v>
      </c>
      <c r="G4764" s="27" t="str">
        <f t="shared" si="90"/>
        <v/>
      </c>
      <c r="H4764" s="28"/>
      <c r="I4764" s="29"/>
      <c r="J4764" s="148">
        <v>0</v>
      </c>
      <c r="K4764" s="222">
        <v>0</v>
      </c>
    </row>
    <row r="4765" spans="1:11" hidden="1" x14ac:dyDescent="0.25">
      <c r="A4765" s="207"/>
      <c r="B4765" s="205"/>
      <c r="C4765" s="31"/>
      <c r="D4765" s="31"/>
      <c r="E4765" s="32"/>
      <c r="F4765" s="53" t="s">
        <v>514</v>
      </c>
      <c r="G4765" s="53" t="str">
        <f t="shared" si="90"/>
        <v/>
      </c>
      <c r="H4765" s="72"/>
      <c r="I4765" s="73"/>
      <c r="J4765" s="148">
        <v>0</v>
      </c>
      <c r="K4765" s="222">
        <v>0</v>
      </c>
    </row>
    <row r="4766" spans="1:11" ht="25.5" hidden="1" x14ac:dyDescent="0.25">
      <c r="A4766" s="207"/>
      <c r="B4766" s="205"/>
      <c r="C4766" s="35" t="s">
        <v>1369</v>
      </c>
      <c r="D4766" s="35" t="s">
        <v>101</v>
      </c>
      <c r="E4766" s="36">
        <v>1</v>
      </c>
      <c r="F4766" s="53">
        <v>15.674999999999999</v>
      </c>
      <c r="G4766" s="53">
        <f t="shared" si="90"/>
        <v>15.674999999999999</v>
      </c>
      <c r="H4766" s="38">
        <f>SUM(G4766:G4766)</f>
        <v>15.674999999999999</v>
      </c>
      <c r="I4766" s="39"/>
      <c r="J4766" s="148">
        <v>0</v>
      </c>
      <c r="K4766" s="222">
        <v>0</v>
      </c>
    </row>
    <row r="4767" spans="1:11" ht="15.75" hidden="1" thickBot="1" x14ac:dyDescent="0.3">
      <c r="A4767" s="208"/>
      <c r="B4767" s="206"/>
      <c r="C4767" s="54"/>
      <c r="D4767" s="54"/>
      <c r="E4767" s="65"/>
      <c r="F4767" s="75" t="s">
        <v>514</v>
      </c>
      <c r="G4767" s="75" t="str">
        <f t="shared" si="90"/>
        <v/>
      </c>
      <c r="H4767" s="76"/>
      <c r="I4767" s="73"/>
      <c r="J4767" s="148">
        <v>0</v>
      </c>
      <c r="K4767" s="222">
        <v>0</v>
      </c>
    </row>
    <row r="4768" spans="1:11" ht="15.75" hidden="1" thickBot="1" x14ac:dyDescent="0.3">
      <c r="A4768" s="202" t="s">
        <v>1400</v>
      </c>
      <c r="B4768" s="204" t="str">
        <f>INDEX(Orçamentária!A:B,MATCH(Composições!A4768,Orçamentária!A:A,0),2)</f>
        <v>Carpete aveludado azul royal - fornecimento e instalação</v>
      </c>
      <c r="C4768" s="40"/>
      <c r="D4768" s="25" t="str">
        <f>TRIM(INDEX(Orçamentária!C:C,MATCH(Composições!A4768,Orçamentária!A:A,0),1))</f>
        <v>m2</v>
      </c>
      <c r="E4768" s="26"/>
      <c r="F4768" s="48" t="s">
        <v>514</v>
      </c>
      <c r="G4768" s="27" t="str">
        <f t="shared" si="90"/>
        <v/>
      </c>
      <c r="H4768" s="28"/>
      <c r="I4768" s="29"/>
      <c r="J4768" s="148">
        <v>0</v>
      </c>
      <c r="K4768" s="222">
        <v>0</v>
      </c>
    </row>
    <row r="4769" spans="1:11" hidden="1" x14ac:dyDescent="0.25">
      <c r="A4769" s="207"/>
      <c r="B4769" s="205"/>
      <c r="C4769" s="31"/>
      <c r="D4769" s="31"/>
      <c r="E4769" s="32"/>
      <c r="F4769" s="53" t="s">
        <v>514</v>
      </c>
      <c r="G4769" s="53" t="str">
        <f t="shared" si="90"/>
        <v/>
      </c>
      <c r="H4769" s="72"/>
      <c r="I4769" s="73"/>
      <c r="J4769" s="148">
        <v>0</v>
      </c>
      <c r="K4769" s="222">
        <v>0</v>
      </c>
    </row>
    <row r="4770" spans="1:11" hidden="1" x14ac:dyDescent="0.25">
      <c r="A4770" s="207"/>
      <c r="B4770" s="205"/>
      <c r="C4770" s="35" t="s">
        <v>703</v>
      </c>
      <c r="D4770" s="35" t="s">
        <v>695</v>
      </c>
      <c r="E4770" s="36">
        <v>0.1</v>
      </c>
      <c r="F4770" s="53">
        <v>24.889999999999997</v>
      </c>
      <c r="G4770" s="53">
        <f t="shared" si="90"/>
        <v>2.4889999999999999</v>
      </c>
      <c r="H4770" s="38">
        <f>SUM(G4770:G4777)</f>
        <v>13.93365</v>
      </c>
      <c r="I4770" s="39"/>
      <c r="J4770" s="148">
        <v>0</v>
      </c>
      <c r="K4770" s="222">
        <v>0</v>
      </c>
    </row>
    <row r="4771" spans="1:11" hidden="1" x14ac:dyDescent="0.25">
      <c r="A4771" s="207"/>
      <c r="B4771" s="205"/>
      <c r="C4771" s="35" t="s">
        <v>696</v>
      </c>
      <c r="D4771" s="35" t="s">
        <v>695</v>
      </c>
      <c r="E4771" s="36">
        <v>0.1</v>
      </c>
      <c r="F4771" s="53">
        <v>18.420500000000001</v>
      </c>
      <c r="G4771" s="53">
        <f t="shared" si="90"/>
        <v>1.8420500000000002</v>
      </c>
      <c r="H4771" s="72"/>
      <c r="I4771" s="73"/>
      <c r="J4771" s="148">
        <v>0</v>
      </c>
      <c r="K4771" s="222">
        <v>0</v>
      </c>
    </row>
    <row r="4772" spans="1:11" hidden="1" x14ac:dyDescent="0.25">
      <c r="A4772" s="207"/>
      <c r="B4772" s="205"/>
      <c r="C4772" s="35" t="s">
        <v>6415</v>
      </c>
      <c r="D4772" s="35" t="s">
        <v>891</v>
      </c>
      <c r="E4772" s="36">
        <v>0.1</v>
      </c>
      <c r="F4772" s="53" t="s">
        <v>514</v>
      </c>
      <c r="G4772" s="53" t="str">
        <f t="shared" si="90"/>
        <v/>
      </c>
      <c r="H4772" s="72"/>
      <c r="I4772" s="73"/>
      <c r="J4772" s="148">
        <v>0</v>
      </c>
      <c r="K4772" s="222">
        <v>0</v>
      </c>
    </row>
    <row r="4773" spans="1:11" ht="25.5" hidden="1" x14ac:dyDescent="0.25">
      <c r="A4773" s="207"/>
      <c r="B4773" s="205"/>
      <c r="C4773" s="35" t="s">
        <v>1402</v>
      </c>
      <c r="D4773" s="35" t="s">
        <v>94</v>
      </c>
      <c r="E4773" s="36">
        <v>1.1000000000000001</v>
      </c>
      <c r="F4773" s="53" t="s">
        <v>514</v>
      </c>
      <c r="G4773" s="53" t="str">
        <f t="shared" si="90"/>
        <v/>
      </c>
      <c r="H4773" s="72"/>
      <c r="I4773" s="73"/>
      <c r="J4773" s="148">
        <v>0</v>
      </c>
      <c r="K4773" s="222">
        <v>0</v>
      </c>
    </row>
    <row r="4774" spans="1:11" hidden="1" x14ac:dyDescent="0.25">
      <c r="A4774" s="207"/>
      <c r="B4774" s="205"/>
      <c r="C4774" s="35" t="s">
        <v>703</v>
      </c>
      <c r="D4774" s="35" t="s">
        <v>695</v>
      </c>
      <c r="E4774" s="36">
        <v>0.2</v>
      </c>
      <c r="F4774" s="53">
        <v>24.889999999999997</v>
      </c>
      <c r="G4774" s="53">
        <f t="shared" si="90"/>
        <v>4.9779999999999998</v>
      </c>
      <c r="H4774" s="72"/>
      <c r="I4774" s="39"/>
      <c r="J4774" s="148">
        <v>0</v>
      </c>
      <c r="K4774" s="222">
        <v>0</v>
      </c>
    </row>
    <row r="4775" spans="1:11" hidden="1" x14ac:dyDescent="0.25">
      <c r="A4775" s="207"/>
      <c r="B4775" s="205"/>
      <c r="C4775" s="35" t="s">
        <v>696</v>
      </c>
      <c r="D4775" s="35" t="s">
        <v>695</v>
      </c>
      <c r="E4775" s="36">
        <v>0.2</v>
      </c>
      <c r="F4775" s="53">
        <v>18.420500000000001</v>
      </c>
      <c r="G4775" s="53">
        <f t="shared" si="90"/>
        <v>3.6841000000000004</v>
      </c>
      <c r="H4775" s="72"/>
      <c r="I4775" s="73"/>
      <c r="J4775" s="148">
        <v>0</v>
      </c>
      <c r="K4775" s="222">
        <v>0</v>
      </c>
    </row>
    <row r="4776" spans="1:11" hidden="1" x14ac:dyDescent="0.25">
      <c r="A4776" s="207"/>
      <c r="B4776" s="205"/>
      <c r="C4776" s="35" t="s">
        <v>740</v>
      </c>
      <c r="D4776" s="35" t="s">
        <v>891</v>
      </c>
      <c r="E4776" s="36">
        <v>1.5</v>
      </c>
      <c r="F4776" s="53">
        <v>0.627</v>
      </c>
      <c r="G4776" s="53">
        <f t="shared" si="90"/>
        <v>0.9405</v>
      </c>
      <c r="H4776" s="72"/>
      <c r="I4776" s="73"/>
      <c r="J4776" s="148">
        <v>0</v>
      </c>
      <c r="K4776" s="222">
        <v>0</v>
      </c>
    </row>
    <row r="4777" spans="1:11" hidden="1" x14ac:dyDescent="0.25">
      <c r="A4777" s="207"/>
      <c r="B4777" s="205"/>
      <c r="C4777" s="35" t="s">
        <v>1401</v>
      </c>
      <c r="D4777" s="35" t="s">
        <v>891</v>
      </c>
      <c r="E4777" s="36">
        <f>ROUND(E4776*0.1,2)</f>
        <v>0.15</v>
      </c>
      <c r="F4777" s="53" t="s">
        <v>514</v>
      </c>
      <c r="G4777" s="53" t="str">
        <f t="shared" si="90"/>
        <v/>
      </c>
      <c r="H4777" s="72"/>
      <c r="I4777" s="73"/>
      <c r="J4777" s="148">
        <v>0</v>
      </c>
      <c r="K4777" s="222">
        <v>0</v>
      </c>
    </row>
    <row r="4778" spans="1:11" hidden="1" x14ac:dyDescent="0.25">
      <c r="A4778" s="207"/>
      <c r="B4778" s="205"/>
      <c r="C4778" s="35"/>
      <c r="D4778" s="35"/>
      <c r="E4778" s="36"/>
      <c r="F4778" s="53" t="s">
        <v>514</v>
      </c>
      <c r="G4778" s="53" t="str">
        <f t="shared" si="90"/>
        <v/>
      </c>
      <c r="H4778" s="72"/>
      <c r="I4778" s="73"/>
      <c r="J4778" s="148">
        <v>0</v>
      </c>
      <c r="K4778" s="222">
        <v>0</v>
      </c>
    </row>
    <row r="4779" spans="1:11" ht="15.75" hidden="1" thickBot="1" x14ac:dyDescent="0.3">
      <c r="A4779" s="202" t="s">
        <v>1403</v>
      </c>
      <c r="B4779" s="204" t="str">
        <f>INDEX(Orçamentária!A:B,MATCH(Composições!A4779,Orçamentária!A:A,0),2)</f>
        <v>Demolição de revestimento de piso têxtil (carpete)</v>
      </c>
      <c r="C4779" s="40"/>
      <c r="D4779" s="25" t="str">
        <f>TRIM(INDEX(Orçamentária!C:C,MATCH(Composições!A4779,Orçamentária!A:A,0),1))</f>
        <v>m2</v>
      </c>
      <c r="E4779" s="26"/>
      <c r="F4779" s="48" t="s">
        <v>514</v>
      </c>
      <c r="G4779" s="27" t="str">
        <f t="shared" si="90"/>
        <v/>
      </c>
      <c r="H4779" s="28"/>
      <c r="I4779" s="29"/>
      <c r="J4779" s="148">
        <v>0</v>
      </c>
      <c r="K4779" s="222">
        <v>0</v>
      </c>
    </row>
    <row r="4780" spans="1:11" hidden="1" x14ac:dyDescent="0.25">
      <c r="A4780" s="207"/>
      <c r="B4780" s="205"/>
      <c r="C4780" s="31"/>
      <c r="D4780" s="31"/>
      <c r="E4780" s="32"/>
      <c r="F4780" s="53" t="s">
        <v>514</v>
      </c>
      <c r="G4780" s="53" t="str">
        <f t="shared" si="90"/>
        <v/>
      </c>
      <c r="H4780" s="72"/>
      <c r="I4780" s="73"/>
      <c r="J4780" s="148">
        <v>0</v>
      </c>
      <c r="K4780" s="222">
        <v>0</v>
      </c>
    </row>
    <row r="4781" spans="1:11" hidden="1" x14ac:dyDescent="0.25">
      <c r="A4781" s="207"/>
      <c r="B4781" s="205"/>
      <c r="C4781" s="35" t="s">
        <v>703</v>
      </c>
      <c r="D4781" s="35" t="s">
        <v>695</v>
      </c>
      <c r="E4781" s="36">
        <v>0.01</v>
      </c>
      <c r="F4781" s="53">
        <v>24.889999999999997</v>
      </c>
      <c r="G4781" s="53">
        <f t="shared" si="90"/>
        <v>0.24889999999999998</v>
      </c>
      <c r="H4781" s="38">
        <f>SUM(G4781:G4782)</f>
        <v>2.0909500000000003</v>
      </c>
      <c r="I4781" s="39"/>
      <c r="J4781" s="148">
        <v>0</v>
      </c>
      <c r="K4781" s="222">
        <v>0</v>
      </c>
    </row>
    <row r="4782" spans="1:11" hidden="1" x14ac:dyDescent="0.25">
      <c r="A4782" s="207"/>
      <c r="B4782" s="205"/>
      <c r="C4782" s="35" t="s">
        <v>696</v>
      </c>
      <c r="D4782" s="35" t="s">
        <v>695</v>
      </c>
      <c r="E4782" s="36">
        <v>0.1</v>
      </c>
      <c r="F4782" s="53">
        <v>18.420500000000001</v>
      </c>
      <c r="G4782" s="53">
        <f t="shared" si="90"/>
        <v>1.8420500000000002</v>
      </c>
      <c r="H4782" s="72"/>
      <c r="I4782" s="73"/>
      <c r="J4782" s="148">
        <v>0</v>
      </c>
      <c r="K4782" s="222">
        <v>0</v>
      </c>
    </row>
    <row r="4783" spans="1:11" ht="15.75" hidden="1" thickBot="1" x14ac:dyDescent="0.3">
      <c r="A4783" s="208"/>
      <c r="B4783" s="206"/>
      <c r="C4783" s="54"/>
      <c r="D4783" s="54"/>
      <c r="E4783" s="65"/>
      <c r="F4783" s="75" t="s">
        <v>514</v>
      </c>
      <c r="G4783" s="75" t="str">
        <f t="shared" si="90"/>
        <v/>
      </c>
      <c r="H4783" s="76"/>
      <c r="I4783" s="73"/>
      <c r="J4783" s="148">
        <v>0</v>
      </c>
      <c r="K4783" s="222">
        <v>0</v>
      </c>
    </row>
    <row r="4784" spans="1:11" ht="15.75" hidden="1" thickBot="1" x14ac:dyDescent="0.3">
      <c r="A4784" s="202" t="s">
        <v>3374</v>
      </c>
      <c r="B4784" s="204" t="str">
        <f>INDEX(Orçamentária!A:B,MATCH(Composições!A4784,Orçamentária!A:A,0),2)</f>
        <v>Bancada em granito cinza andorinha polido - 2,40 m x 0,60 m</v>
      </c>
      <c r="C4784" s="40"/>
      <c r="D4784" s="25" t="str">
        <f>TRIM(INDEX(Orçamentária!C:C,MATCH(Composições!A4784,Orçamentária!A:A,0),1))</f>
        <v>un</v>
      </c>
      <c r="E4784" s="26"/>
      <c r="F4784" s="48" t="s">
        <v>514</v>
      </c>
      <c r="G4784" s="27" t="str">
        <f t="shared" si="90"/>
        <v/>
      </c>
      <c r="H4784" s="28"/>
      <c r="I4784" s="29"/>
      <c r="J4784" s="148">
        <v>0</v>
      </c>
      <c r="K4784" s="222">
        <v>0</v>
      </c>
    </row>
    <row r="4785" spans="1:11" hidden="1" x14ac:dyDescent="0.25">
      <c r="A4785" s="207"/>
      <c r="B4785" s="205"/>
      <c r="C4785" s="31"/>
      <c r="D4785" s="31"/>
      <c r="E4785" s="32"/>
      <c r="F4785" s="53" t="s">
        <v>514</v>
      </c>
      <c r="G4785" s="53" t="str">
        <f t="shared" si="90"/>
        <v/>
      </c>
      <c r="H4785" s="72"/>
      <c r="I4785" s="73"/>
      <c r="J4785" s="148">
        <v>0</v>
      </c>
      <c r="K4785" s="222">
        <v>0</v>
      </c>
    </row>
    <row r="4786" spans="1:11" hidden="1" x14ac:dyDescent="0.25">
      <c r="A4786" s="207"/>
      <c r="B4786" s="205"/>
      <c r="C4786" s="35" t="s">
        <v>3325</v>
      </c>
      <c r="D4786" s="35" t="s">
        <v>891</v>
      </c>
      <c r="E4786" s="36">
        <f>0.5228*2.4/1.5</f>
        <v>0.83648</v>
      </c>
      <c r="F4786" s="53">
        <v>32.755999999999993</v>
      </c>
      <c r="G4786" s="53">
        <f t="shared" si="90"/>
        <v>27.399738879999994</v>
      </c>
      <c r="H4786" s="38">
        <f>SUM(G4786:G4792)</f>
        <v>893.85073601999989</v>
      </c>
      <c r="I4786" s="39"/>
      <c r="J4786" s="148">
        <v>0</v>
      </c>
      <c r="K4786" s="222">
        <v>0</v>
      </c>
    </row>
    <row r="4787" spans="1:11" ht="38.25" hidden="1" x14ac:dyDescent="0.25">
      <c r="A4787" s="207"/>
      <c r="B4787" s="205"/>
      <c r="C4787" s="35" t="s">
        <v>1122</v>
      </c>
      <c r="D4787" s="35" t="s">
        <v>278</v>
      </c>
      <c r="E4787" s="36">
        <v>9</v>
      </c>
      <c r="F4787" s="53">
        <v>1.159</v>
      </c>
      <c r="G4787" s="53">
        <f t="shared" si="90"/>
        <v>10.431000000000001</v>
      </c>
      <c r="H4787" s="72"/>
      <c r="I4787" s="73"/>
      <c r="J4787" s="148">
        <v>0</v>
      </c>
      <c r="K4787" s="222">
        <v>0</v>
      </c>
    </row>
    <row r="4788" spans="1:11" ht="38.25" hidden="1" x14ac:dyDescent="0.25">
      <c r="A4788" s="207"/>
      <c r="B4788" s="205"/>
      <c r="C4788" s="35" t="s">
        <v>6617</v>
      </c>
      <c r="D4788" s="35" t="s">
        <v>982</v>
      </c>
      <c r="E4788" s="36">
        <f>1.005*2.4/1.5</f>
        <v>1.6079999999999997</v>
      </c>
      <c r="F4788" s="53">
        <v>444.524</v>
      </c>
      <c r="G4788" s="53">
        <f t="shared" si="90"/>
        <v>714.79459199999985</v>
      </c>
      <c r="H4788" s="72"/>
      <c r="I4788" s="73"/>
      <c r="J4788" s="148">
        <v>0</v>
      </c>
      <c r="K4788" s="222">
        <v>0</v>
      </c>
    </row>
    <row r="4789" spans="1:11" hidden="1" x14ac:dyDescent="0.25">
      <c r="A4789" s="207"/>
      <c r="B4789" s="205"/>
      <c r="C4789" s="35" t="s">
        <v>3497</v>
      </c>
      <c r="D4789" s="35" t="s">
        <v>891</v>
      </c>
      <c r="E4789" s="36">
        <f>0.0211*2.4/1.5</f>
        <v>3.3759999999999998E-2</v>
      </c>
      <c r="F4789" s="53">
        <v>64.619</v>
      </c>
      <c r="G4789" s="53">
        <f t="shared" si="90"/>
        <v>2.18153744</v>
      </c>
      <c r="H4789" s="72"/>
      <c r="I4789" s="73"/>
      <c r="J4789" s="148">
        <v>0</v>
      </c>
      <c r="K4789" s="222">
        <v>0</v>
      </c>
    </row>
    <row r="4790" spans="1:11" ht="25.5" hidden="1" x14ac:dyDescent="0.25">
      <c r="A4790" s="207"/>
      <c r="B4790" s="205"/>
      <c r="C4790" s="35" t="s">
        <v>3341</v>
      </c>
      <c r="D4790" s="35" t="s">
        <v>278</v>
      </c>
      <c r="E4790" s="36">
        <v>3</v>
      </c>
      <c r="F4790" s="53">
        <v>27.958499999999997</v>
      </c>
      <c r="G4790" s="53">
        <f t="shared" si="90"/>
        <v>83.875499999999988</v>
      </c>
      <c r="H4790" s="72"/>
      <c r="I4790" s="39"/>
      <c r="J4790" s="148">
        <v>0</v>
      </c>
      <c r="K4790" s="222">
        <v>0</v>
      </c>
    </row>
    <row r="4791" spans="1:11" hidden="1" x14ac:dyDescent="0.25">
      <c r="A4791" s="207"/>
      <c r="B4791" s="205"/>
      <c r="C4791" s="35" t="s">
        <v>3218</v>
      </c>
      <c r="D4791" s="35" t="s">
        <v>695</v>
      </c>
      <c r="E4791" s="36">
        <v>1.4944</v>
      </c>
      <c r="F4791" s="53">
        <v>24.795000000000002</v>
      </c>
      <c r="G4791" s="53">
        <f t="shared" si="90"/>
        <v>37.053648000000003</v>
      </c>
      <c r="H4791" s="72"/>
      <c r="I4791" s="73"/>
      <c r="J4791" s="148">
        <v>0</v>
      </c>
      <c r="K4791" s="222">
        <v>0</v>
      </c>
    </row>
    <row r="4792" spans="1:11" hidden="1" x14ac:dyDescent="0.25">
      <c r="A4792" s="207"/>
      <c r="B4792" s="205"/>
      <c r="C4792" s="35" t="s">
        <v>696</v>
      </c>
      <c r="D4792" s="35" t="s">
        <v>695</v>
      </c>
      <c r="E4792" s="36">
        <v>0.98340000000000005</v>
      </c>
      <c r="F4792" s="53">
        <v>18.420500000000001</v>
      </c>
      <c r="G4792" s="53">
        <f t="shared" si="90"/>
        <v>18.114719700000002</v>
      </c>
      <c r="H4792" s="72"/>
      <c r="I4792" s="73"/>
      <c r="J4792" s="148">
        <v>0</v>
      </c>
      <c r="K4792" s="222">
        <v>0</v>
      </c>
    </row>
    <row r="4793" spans="1:11" hidden="1" x14ac:dyDescent="0.25">
      <c r="A4793" s="207"/>
      <c r="B4793" s="205"/>
      <c r="C4793" s="35"/>
      <c r="D4793" s="35"/>
      <c r="E4793" s="36"/>
      <c r="F4793" s="53" t="s">
        <v>514</v>
      </c>
      <c r="G4793" s="53" t="str">
        <f t="shared" si="90"/>
        <v/>
      </c>
      <c r="H4793" s="72"/>
      <c r="I4793" s="73"/>
      <c r="J4793" s="148">
        <v>0</v>
      </c>
      <c r="K4793" s="222">
        <v>0</v>
      </c>
    </row>
    <row r="4794" spans="1:11" ht="15.75" hidden="1" thickBot="1" x14ac:dyDescent="0.3">
      <c r="A4794" s="202" t="s">
        <v>3375</v>
      </c>
      <c r="B4794" s="204" t="str">
        <f>INDEX(Orçamentária!A:B,MATCH(Composições!A4794,Orçamentária!A:A,0),2)</f>
        <v>Bancada em granito cinza andorinha polido - 2,50 m x 0,60 m</v>
      </c>
      <c r="C4794" s="40"/>
      <c r="D4794" s="25" t="str">
        <f>TRIM(INDEX(Orçamentária!C:C,MATCH(Composições!A4794,Orçamentária!A:A,0),1))</f>
        <v>un</v>
      </c>
      <c r="E4794" s="26"/>
      <c r="F4794" s="48" t="s">
        <v>514</v>
      </c>
      <c r="G4794" s="27" t="str">
        <f t="shared" si="90"/>
        <v/>
      </c>
      <c r="H4794" s="28"/>
      <c r="I4794" s="29"/>
      <c r="J4794" s="148">
        <v>0</v>
      </c>
      <c r="K4794" s="222">
        <v>0</v>
      </c>
    </row>
    <row r="4795" spans="1:11" hidden="1" x14ac:dyDescent="0.25">
      <c r="A4795" s="207"/>
      <c r="B4795" s="205"/>
      <c r="C4795" s="31"/>
      <c r="D4795" s="31"/>
      <c r="E4795" s="32"/>
      <c r="F4795" s="53" t="s">
        <v>514</v>
      </c>
      <c r="G4795" s="53" t="str">
        <f t="shared" si="90"/>
        <v/>
      </c>
      <c r="H4795" s="72"/>
      <c r="I4795" s="73"/>
      <c r="J4795" s="148">
        <v>0</v>
      </c>
      <c r="K4795" s="222">
        <v>0</v>
      </c>
    </row>
    <row r="4796" spans="1:11" hidden="1" x14ac:dyDescent="0.25">
      <c r="A4796" s="207"/>
      <c r="B4796" s="205"/>
      <c r="C4796" s="35" t="s">
        <v>3325</v>
      </c>
      <c r="D4796" s="35" t="s">
        <v>891</v>
      </c>
      <c r="E4796" s="36">
        <f>0.5228*2.5/1.5</f>
        <v>0.8713333333333334</v>
      </c>
      <c r="F4796" s="53">
        <v>32.755999999999993</v>
      </c>
      <c r="G4796" s="53">
        <f t="shared" si="90"/>
        <v>28.541394666666662</v>
      </c>
      <c r="H4796" s="38">
        <f>SUM(G4796:G4802)</f>
        <v>924.86639719999994</v>
      </c>
      <c r="I4796" s="39"/>
      <c r="J4796" s="148">
        <v>0</v>
      </c>
      <c r="K4796" s="222">
        <v>0</v>
      </c>
    </row>
    <row r="4797" spans="1:11" ht="38.25" hidden="1" x14ac:dyDescent="0.25">
      <c r="A4797" s="207"/>
      <c r="B4797" s="205"/>
      <c r="C4797" s="35" t="s">
        <v>1122</v>
      </c>
      <c r="D4797" s="35" t="s">
        <v>278</v>
      </c>
      <c r="E4797" s="36">
        <v>9</v>
      </c>
      <c r="F4797" s="53">
        <v>1.159</v>
      </c>
      <c r="G4797" s="53">
        <f t="shared" si="90"/>
        <v>10.431000000000001</v>
      </c>
      <c r="H4797" s="72"/>
      <c r="I4797" s="73"/>
      <c r="J4797" s="148">
        <v>0</v>
      </c>
      <c r="K4797" s="222">
        <v>0</v>
      </c>
    </row>
    <row r="4798" spans="1:11" ht="38.25" hidden="1" x14ac:dyDescent="0.25">
      <c r="A4798" s="207"/>
      <c r="B4798" s="205"/>
      <c r="C4798" s="35" t="s">
        <v>6617</v>
      </c>
      <c r="D4798" s="35" t="s">
        <v>982</v>
      </c>
      <c r="E4798" s="36">
        <f>1.005*2.5/1.5</f>
        <v>1.6749999999999998</v>
      </c>
      <c r="F4798" s="53">
        <v>444.524</v>
      </c>
      <c r="G4798" s="53">
        <f t="shared" si="90"/>
        <v>744.57769999999994</v>
      </c>
      <c r="H4798" s="72"/>
      <c r="I4798" s="73"/>
      <c r="J4798" s="148">
        <v>0</v>
      </c>
      <c r="K4798" s="222">
        <v>0</v>
      </c>
    </row>
    <row r="4799" spans="1:11" hidden="1" x14ac:dyDescent="0.25">
      <c r="A4799" s="207"/>
      <c r="B4799" s="205"/>
      <c r="C4799" s="35" t="s">
        <v>3497</v>
      </c>
      <c r="D4799" s="35" t="s">
        <v>891</v>
      </c>
      <c r="E4799" s="36">
        <f>0.0211*2.5/1.5</f>
        <v>3.5166666666666672E-2</v>
      </c>
      <c r="F4799" s="53">
        <v>64.619</v>
      </c>
      <c r="G4799" s="53">
        <f t="shared" si="90"/>
        <v>2.2724348333333335</v>
      </c>
      <c r="H4799" s="72"/>
      <c r="I4799" s="73"/>
      <c r="J4799" s="148">
        <v>0</v>
      </c>
      <c r="K4799" s="222">
        <v>0</v>
      </c>
    </row>
    <row r="4800" spans="1:11" ht="25.5" hidden="1" x14ac:dyDescent="0.25">
      <c r="A4800" s="207"/>
      <c r="B4800" s="205"/>
      <c r="C4800" s="35" t="s">
        <v>3341</v>
      </c>
      <c r="D4800" s="35" t="s">
        <v>278</v>
      </c>
      <c r="E4800" s="36">
        <v>3</v>
      </c>
      <c r="F4800" s="53">
        <v>27.958499999999997</v>
      </c>
      <c r="G4800" s="53">
        <f t="shared" si="90"/>
        <v>83.875499999999988</v>
      </c>
      <c r="H4800" s="72"/>
      <c r="I4800" s="39"/>
      <c r="J4800" s="148">
        <v>0</v>
      </c>
      <c r="K4800" s="222">
        <v>0</v>
      </c>
    </row>
    <row r="4801" spans="1:11" hidden="1" x14ac:dyDescent="0.25">
      <c r="A4801" s="207"/>
      <c r="B4801" s="205"/>
      <c r="C4801" s="35" t="s">
        <v>3218</v>
      </c>
      <c r="D4801" s="35" t="s">
        <v>695</v>
      </c>
      <c r="E4801" s="36">
        <v>1.4944</v>
      </c>
      <c r="F4801" s="53">
        <v>24.795000000000002</v>
      </c>
      <c r="G4801" s="53">
        <f t="shared" si="90"/>
        <v>37.053648000000003</v>
      </c>
      <c r="H4801" s="72"/>
      <c r="I4801" s="73"/>
      <c r="J4801" s="148">
        <v>0</v>
      </c>
      <c r="K4801" s="222">
        <v>0</v>
      </c>
    </row>
    <row r="4802" spans="1:11" hidden="1" x14ac:dyDescent="0.25">
      <c r="A4802" s="207"/>
      <c r="B4802" s="205"/>
      <c r="C4802" s="35" t="s">
        <v>696</v>
      </c>
      <c r="D4802" s="35" t="s">
        <v>695</v>
      </c>
      <c r="E4802" s="36">
        <v>0.98340000000000005</v>
      </c>
      <c r="F4802" s="53">
        <v>18.420500000000001</v>
      </c>
      <c r="G4802" s="53">
        <f t="shared" si="90"/>
        <v>18.114719700000002</v>
      </c>
      <c r="H4802" s="72"/>
      <c r="I4802" s="73"/>
      <c r="J4802" s="148">
        <v>0</v>
      </c>
      <c r="K4802" s="222">
        <v>0</v>
      </c>
    </row>
    <row r="4803" spans="1:11" hidden="1" x14ac:dyDescent="0.25">
      <c r="A4803" s="207"/>
      <c r="B4803" s="205"/>
      <c r="C4803" s="35"/>
      <c r="D4803" s="35"/>
      <c r="E4803" s="36"/>
      <c r="F4803" s="53" t="s">
        <v>514</v>
      </c>
      <c r="G4803" s="53" t="str">
        <f t="shared" si="90"/>
        <v/>
      </c>
      <c r="H4803" s="72"/>
      <c r="I4803" s="73"/>
      <c r="J4803" s="148">
        <v>0</v>
      </c>
      <c r="K4803" s="222">
        <v>0</v>
      </c>
    </row>
    <row r="4804" spans="1:11" ht="15.75" hidden="1" thickBot="1" x14ac:dyDescent="0.3">
      <c r="A4804" s="202" t="s">
        <v>3379</v>
      </c>
      <c r="B4804" s="204" t="str">
        <f>INDEX(Orçamentária!A:B,MATCH(Composições!A4804,Orçamentária!A:A,0),2)</f>
        <v>Batedor/limitador inferior para box de correr</v>
      </c>
      <c r="C4804" s="40"/>
      <c r="D4804" s="25" t="str">
        <f>TRIM(INDEX(Orçamentária!C:C,MATCH(Composições!A4804,Orçamentária!A:A,0),1))</f>
        <v>un</v>
      </c>
      <c r="E4804" s="26"/>
      <c r="F4804" s="41" t="s">
        <v>514</v>
      </c>
      <c r="G4804" s="27" t="str">
        <f t="shared" si="90"/>
        <v/>
      </c>
      <c r="H4804" s="28"/>
      <c r="I4804" s="29"/>
      <c r="J4804" s="148">
        <v>0</v>
      </c>
      <c r="K4804" s="222">
        <v>0</v>
      </c>
    </row>
    <row r="4805" spans="1:11" hidden="1" x14ac:dyDescent="0.25">
      <c r="A4805" s="203"/>
      <c r="B4805" s="205"/>
      <c r="C4805" s="31"/>
      <c r="D4805" s="31"/>
      <c r="E4805" s="32"/>
      <c r="F4805" s="42" t="s">
        <v>514</v>
      </c>
      <c r="G4805" s="33" t="str">
        <f t="shared" si="90"/>
        <v/>
      </c>
      <c r="H4805" s="34"/>
      <c r="I4805" s="30"/>
      <c r="J4805" s="148">
        <v>0</v>
      </c>
      <c r="K4805" s="222">
        <v>0</v>
      </c>
    </row>
    <row r="4806" spans="1:11" hidden="1" x14ac:dyDescent="0.25">
      <c r="A4806" s="203"/>
      <c r="B4806" s="205"/>
      <c r="C4806" s="35" t="s">
        <v>68</v>
      </c>
      <c r="D4806" s="35" t="s">
        <v>12</v>
      </c>
      <c r="E4806" s="36">
        <v>0.15</v>
      </c>
      <c r="F4806" s="33">
        <v>22.961500000000001</v>
      </c>
      <c r="G4806" s="33">
        <f t="shared" si="90"/>
        <v>3.4442249999999999</v>
      </c>
      <c r="H4806" s="38">
        <f>SUM(G4806:G4807)</f>
        <v>3.4442249999999999</v>
      </c>
      <c r="I4806" s="39"/>
      <c r="J4806" s="148">
        <v>0</v>
      </c>
      <c r="K4806" s="222">
        <v>0</v>
      </c>
    </row>
    <row r="4807" spans="1:11" ht="25.5" hidden="1" x14ac:dyDescent="0.25">
      <c r="A4807" s="203"/>
      <c r="B4807" s="205"/>
      <c r="C4807" s="35" t="s">
        <v>3534</v>
      </c>
      <c r="D4807" s="35" t="s">
        <v>20</v>
      </c>
      <c r="E4807" s="36">
        <v>1</v>
      </c>
      <c r="F4807" s="30" t="s">
        <v>514</v>
      </c>
      <c r="G4807" s="33" t="str">
        <f t="shared" si="90"/>
        <v/>
      </c>
      <c r="H4807" s="34"/>
      <c r="I4807" s="30"/>
      <c r="J4807" s="148">
        <v>0</v>
      </c>
      <c r="K4807" s="222">
        <v>0</v>
      </c>
    </row>
    <row r="4808" spans="1:11" ht="15.75" hidden="1" thickBot="1" x14ac:dyDescent="0.3">
      <c r="A4808" s="209"/>
      <c r="B4808" s="206"/>
      <c r="C4808" s="35"/>
      <c r="D4808" s="35"/>
      <c r="E4808" s="36"/>
      <c r="F4808" s="30" t="s">
        <v>514</v>
      </c>
      <c r="G4808" s="33" t="str">
        <f t="shared" si="90"/>
        <v/>
      </c>
      <c r="H4808" s="34"/>
      <c r="I4808" s="30"/>
      <c r="J4808" s="148">
        <v>0</v>
      </c>
      <c r="K4808" s="222">
        <v>0</v>
      </c>
    </row>
    <row r="4809" spans="1:11" ht="15.75" hidden="1" thickBot="1" x14ac:dyDescent="0.3">
      <c r="A4809" s="202" t="s">
        <v>3380</v>
      </c>
      <c r="B4809" s="204" t="str">
        <f>INDEX(Orçamentária!A:B,MATCH(Composições!A4809,Orçamentária!A:A,0),2)</f>
        <v>Batedor/amortecedor lateral para box de correr</v>
      </c>
      <c r="C4809" s="40"/>
      <c r="D4809" s="25" t="str">
        <f>TRIM(INDEX(Orçamentária!C:C,MATCH(Composições!A4809,Orçamentária!A:A,0),1))</f>
        <v>un</v>
      </c>
      <c r="E4809" s="26"/>
      <c r="F4809" s="41" t="s">
        <v>514</v>
      </c>
      <c r="G4809" s="27" t="str">
        <f t="shared" si="90"/>
        <v/>
      </c>
      <c r="H4809" s="28"/>
      <c r="I4809" s="29"/>
      <c r="J4809" s="148">
        <v>0</v>
      </c>
      <c r="K4809" s="222">
        <v>0</v>
      </c>
    </row>
    <row r="4810" spans="1:11" hidden="1" x14ac:dyDescent="0.25">
      <c r="A4810" s="203"/>
      <c r="B4810" s="205"/>
      <c r="C4810" s="31"/>
      <c r="D4810" s="31"/>
      <c r="E4810" s="32"/>
      <c r="F4810" s="42" t="s">
        <v>514</v>
      </c>
      <c r="G4810" s="33" t="str">
        <f t="shared" si="90"/>
        <v/>
      </c>
      <c r="H4810" s="34"/>
      <c r="I4810" s="30"/>
      <c r="J4810" s="148">
        <v>0</v>
      </c>
      <c r="K4810" s="222">
        <v>0</v>
      </c>
    </row>
    <row r="4811" spans="1:11" hidden="1" x14ac:dyDescent="0.25">
      <c r="A4811" s="203"/>
      <c r="B4811" s="205"/>
      <c r="C4811" s="35" t="s">
        <v>68</v>
      </c>
      <c r="D4811" s="35" t="s">
        <v>12</v>
      </c>
      <c r="E4811" s="36">
        <v>0.15</v>
      </c>
      <c r="F4811" s="33">
        <v>22.961500000000001</v>
      </c>
      <c r="G4811" s="33">
        <f t="shared" si="90"/>
        <v>3.4442249999999999</v>
      </c>
      <c r="H4811" s="38">
        <f>SUM(G4811:G4812)</f>
        <v>3.4442249999999999</v>
      </c>
      <c r="I4811" s="39"/>
      <c r="J4811" s="148">
        <v>0</v>
      </c>
      <c r="K4811" s="222">
        <v>0</v>
      </c>
    </row>
    <row r="4812" spans="1:11" hidden="1" x14ac:dyDescent="0.25">
      <c r="A4812" s="203"/>
      <c r="B4812" s="205"/>
      <c r="C4812" s="35" t="s">
        <v>3535</v>
      </c>
      <c r="D4812" s="35" t="s">
        <v>20</v>
      </c>
      <c r="E4812" s="36">
        <v>1</v>
      </c>
      <c r="F4812" s="30" t="s">
        <v>514</v>
      </c>
      <c r="G4812" s="33" t="str">
        <f t="shared" si="90"/>
        <v/>
      </c>
      <c r="H4812" s="34"/>
      <c r="I4812" s="30"/>
      <c r="J4812" s="148">
        <v>0</v>
      </c>
      <c r="K4812" s="222">
        <v>0</v>
      </c>
    </row>
    <row r="4813" spans="1:11" ht="15.75" hidden="1" thickBot="1" x14ac:dyDescent="0.3">
      <c r="A4813" s="209"/>
      <c r="B4813" s="206"/>
      <c r="C4813" s="35"/>
      <c r="D4813" s="35"/>
      <c r="E4813" s="36"/>
      <c r="F4813" s="30" t="s">
        <v>514</v>
      </c>
      <c r="G4813" s="33" t="str">
        <f t="shared" si="90"/>
        <v/>
      </c>
      <c r="H4813" s="34"/>
      <c r="I4813" s="30"/>
      <c r="J4813" s="148">
        <v>0</v>
      </c>
      <c r="K4813" s="222">
        <v>0</v>
      </c>
    </row>
    <row r="4814" spans="1:11" ht="15.75" hidden="1" thickBot="1" x14ac:dyDescent="0.3">
      <c r="A4814" s="202" t="s">
        <v>3381</v>
      </c>
      <c r="B4814" s="204" t="str">
        <f>INDEX(Orçamentária!A:B,MATCH(Composições!A4814,Orçamentária!A:A,0),2)</f>
        <v>Batedor/limitador superior para box de correr</v>
      </c>
      <c r="C4814" s="40"/>
      <c r="D4814" s="25" t="str">
        <f>TRIM(INDEX(Orçamentária!C:C,MATCH(Composições!A4814,Orçamentária!A:A,0),1))</f>
        <v>un</v>
      </c>
      <c r="E4814" s="26"/>
      <c r="F4814" s="41" t="s">
        <v>514</v>
      </c>
      <c r="G4814" s="27" t="str">
        <f t="shared" si="90"/>
        <v/>
      </c>
      <c r="H4814" s="28"/>
      <c r="I4814" s="29"/>
      <c r="J4814" s="148">
        <v>0</v>
      </c>
      <c r="K4814" s="222">
        <v>0</v>
      </c>
    </row>
    <row r="4815" spans="1:11" hidden="1" x14ac:dyDescent="0.25">
      <c r="A4815" s="203"/>
      <c r="B4815" s="205"/>
      <c r="C4815" s="31"/>
      <c r="D4815" s="31"/>
      <c r="E4815" s="32"/>
      <c r="F4815" s="42" t="s">
        <v>514</v>
      </c>
      <c r="G4815" s="33" t="str">
        <f t="shared" si="90"/>
        <v/>
      </c>
      <c r="H4815" s="34"/>
      <c r="I4815" s="30"/>
      <c r="J4815" s="148">
        <v>0</v>
      </c>
      <c r="K4815" s="222">
        <v>0</v>
      </c>
    </row>
    <row r="4816" spans="1:11" hidden="1" x14ac:dyDescent="0.25">
      <c r="A4816" s="203"/>
      <c r="B4816" s="205"/>
      <c r="C4816" s="35" t="s">
        <v>68</v>
      </c>
      <c r="D4816" s="35" t="s">
        <v>12</v>
      </c>
      <c r="E4816" s="36">
        <v>0.15</v>
      </c>
      <c r="F4816" s="33">
        <v>22.961500000000001</v>
      </c>
      <c r="G4816" s="33">
        <f t="shared" si="90"/>
        <v>3.4442249999999999</v>
      </c>
      <c r="H4816" s="38">
        <f>SUM(G4816:G4817)</f>
        <v>3.4442249999999999</v>
      </c>
      <c r="I4816" s="39"/>
      <c r="J4816" s="148">
        <v>0</v>
      </c>
      <c r="K4816" s="222">
        <v>0</v>
      </c>
    </row>
    <row r="4817" spans="1:11" ht="25.5" hidden="1" x14ac:dyDescent="0.25">
      <c r="A4817" s="203"/>
      <c r="B4817" s="205"/>
      <c r="C4817" s="35" t="s">
        <v>3536</v>
      </c>
      <c r="D4817" s="35" t="s">
        <v>20</v>
      </c>
      <c r="E4817" s="36">
        <v>1</v>
      </c>
      <c r="F4817" s="30" t="s">
        <v>514</v>
      </c>
      <c r="G4817" s="33" t="str">
        <f t="shared" si="90"/>
        <v/>
      </c>
      <c r="H4817" s="34"/>
      <c r="I4817" s="30"/>
      <c r="J4817" s="148">
        <v>0</v>
      </c>
      <c r="K4817" s="222">
        <v>0</v>
      </c>
    </row>
    <row r="4818" spans="1:11" ht="15.75" hidden="1" thickBot="1" x14ac:dyDescent="0.3">
      <c r="A4818" s="209"/>
      <c r="B4818" s="206"/>
      <c r="C4818" s="35"/>
      <c r="D4818" s="35"/>
      <c r="E4818" s="36"/>
      <c r="F4818" s="30" t="s">
        <v>514</v>
      </c>
      <c r="G4818" s="33" t="str">
        <f t="shared" si="90"/>
        <v/>
      </c>
      <c r="H4818" s="34"/>
      <c r="I4818" s="30"/>
      <c r="J4818" s="148">
        <v>0</v>
      </c>
      <c r="K4818" s="222">
        <v>0</v>
      </c>
    </row>
    <row r="4819" spans="1:11" ht="15.75" hidden="1" customHeight="1" thickBot="1" x14ac:dyDescent="0.3">
      <c r="A4819" s="202" t="s">
        <v>3382</v>
      </c>
      <c r="B4819" s="204" t="str">
        <f>INDEX(Orçamentária!A:B,MATCH(Composições!A4819,Orçamentária!A:A,0),2)</f>
        <v>Perfil cadeirinha em alumínio com encaixe para escova de vedação para vidro temperado 8mm</v>
      </c>
      <c r="C4819" s="40"/>
      <c r="D4819" s="25" t="str">
        <f>TRIM(INDEX(Orçamentária!C:C,MATCH(Composições!A4819,Orçamentária!A:A,0),1))</f>
        <v>m</v>
      </c>
      <c r="E4819" s="26"/>
      <c r="F4819" s="41" t="s">
        <v>514</v>
      </c>
      <c r="G4819" s="27" t="str">
        <f t="shared" si="90"/>
        <v/>
      </c>
      <c r="H4819" s="28"/>
      <c r="I4819" s="29"/>
      <c r="J4819" s="148">
        <v>0</v>
      </c>
      <c r="K4819" s="222">
        <v>0</v>
      </c>
    </row>
    <row r="4820" spans="1:11" hidden="1" x14ac:dyDescent="0.25">
      <c r="A4820" s="207"/>
      <c r="B4820" s="205"/>
      <c r="C4820" s="31"/>
      <c r="D4820" s="31"/>
      <c r="E4820" s="32"/>
      <c r="F4820" s="42" t="s">
        <v>514</v>
      </c>
      <c r="G4820" s="33" t="str">
        <f t="shared" si="90"/>
        <v/>
      </c>
      <c r="H4820" s="34"/>
      <c r="I4820" s="30"/>
      <c r="J4820" s="148">
        <v>0</v>
      </c>
      <c r="K4820" s="222">
        <v>0</v>
      </c>
    </row>
    <row r="4821" spans="1:11" hidden="1" x14ac:dyDescent="0.25">
      <c r="A4821" s="207"/>
      <c r="B4821" s="205"/>
      <c r="C4821" s="35" t="s">
        <v>68</v>
      </c>
      <c r="D4821" s="35" t="s">
        <v>12</v>
      </c>
      <c r="E4821" s="36">
        <v>0.2</v>
      </c>
      <c r="F4821" s="33">
        <v>22.961500000000001</v>
      </c>
      <c r="G4821" s="33">
        <f t="shared" ref="G4821:G4884" si="91">IF(ISNUMBER(F4821),E4821*F4821,"")</f>
        <v>4.5923000000000007</v>
      </c>
      <c r="H4821" s="38">
        <f>SUM(G4821:G4822)</f>
        <v>9.5131669999999993</v>
      </c>
      <c r="I4821" s="39"/>
      <c r="J4821" s="148">
        <v>0</v>
      </c>
      <c r="K4821" s="222">
        <v>0</v>
      </c>
    </row>
    <row r="4822" spans="1:11" hidden="1" x14ac:dyDescent="0.25">
      <c r="A4822" s="207"/>
      <c r="B4822" s="205"/>
      <c r="C4822" s="35" t="s">
        <v>827</v>
      </c>
      <c r="D4822" s="35" t="s">
        <v>42</v>
      </c>
      <c r="E4822" s="36">
        <v>0.126</v>
      </c>
      <c r="F4822" s="30">
        <v>39.054499999999997</v>
      </c>
      <c r="G4822" s="33">
        <f t="shared" si="91"/>
        <v>4.9208669999999994</v>
      </c>
      <c r="H4822" s="34"/>
      <c r="I4822" s="30"/>
      <c r="J4822" s="148">
        <v>0</v>
      </c>
      <c r="K4822" s="222">
        <v>0</v>
      </c>
    </row>
    <row r="4823" spans="1:11" hidden="1" x14ac:dyDescent="0.25">
      <c r="A4823" s="207"/>
      <c r="B4823" s="205"/>
      <c r="C4823" s="35"/>
      <c r="D4823" s="35"/>
      <c r="E4823" s="36"/>
      <c r="F4823" s="30" t="s">
        <v>514</v>
      </c>
      <c r="G4823" s="33"/>
      <c r="H4823" s="34"/>
      <c r="I4823" s="30"/>
      <c r="J4823" s="148">
        <v>0</v>
      </c>
      <c r="K4823" s="222">
        <v>0</v>
      </c>
    </row>
    <row r="4824" spans="1:11" hidden="1" x14ac:dyDescent="0.25">
      <c r="A4824" s="207"/>
      <c r="B4824" s="205"/>
      <c r="C4824" s="51" t="s">
        <v>3538</v>
      </c>
      <c r="D4824" s="35"/>
      <c r="E4824" s="36"/>
      <c r="F4824" s="30" t="s">
        <v>514</v>
      </c>
      <c r="G4824" s="33"/>
      <c r="H4824" s="34"/>
      <c r="I4824" s="30"/>
      <c r="J4824" s="148">
        <v>0</v>
      </c>
      <c r="K4824" s="222">
        <v>0</v>
      </c>
    </row>
    <row r="4825" spans="1:11" hidden="1" x14ac:dyDescent="0.25">
      <c r="A4825" s="207"/>
      <c r="B4825" s="205"/>
      <c r="C4825" s="51" t="s">
        <v>3537</v>
      </c>
      <c r="D4825" s="35"/>
      <c r="E4825" s="36"/>
      <c r="F4825" s="30" t="s">
        <v>514</v>
      </c>
      <c r="G4825" s="33" t="str">
        <f>IF(ISNUMBER(F4825),E4825*F4825,"")</f>
        <v/>
      </c>
      <c r="H4825" s="34"/>
      <c r="I4825" s="30"/>
      <c r="J4825" s="148">
        <v>0</v>
      </c>
      <c r="K4825" s="222">
        <v>0</v>
      </c>
    </row>
    <row r="4826" spans="1:11" ht="15.75" hidden="1" thickBot="1" x14ac:dyDescent="0.3">
      <c r="A4826" s="208"/>
      <c r="B4826" s="206"/>
      <c r="C4826" s="51"/>
      <c r="D4826" s="35"/>
      <c r="E4826" s="36"/>
      <c r="F4826" s="30" t="s">
        <v>514</v>
      </c>
      <c r="G4826" s="33"/>
      <c r="H4826" s="34"/>
      <c r="I4826" s="30"/>
      <c r="J4826" s="148">
        <v>0</v>
      </c>
      <c r="K4826" s="222">
        <v>0</v>
      </c>
    </row>
    <row r="4827" spans="1:11" ht="15.75" hidden="1" thickBot="1" x14ac:dyDescent="0.3">
      <c r="A4827" s="202" t="s">
        <v>3383</v>
      </c>
      <c r="B4827" s="204" t="str">
        <f>INDEX(Orçamentária!A:B,MATCH(Composições!A4827,Orçamentária!A:A,0),2)</f>
        <v>Perfil em alumínio para acabamento de trilho superior - Vidro temperado 8mm</v>
      </c>
      <c r="C4827" s="40"/>
      <c r="D4827" s="25" t="str">
        <f>TRIM(INDEX(Orçamentária!C:C,MATCH(Composições!A4827,Orçamentária!A:A,0),1))</f>
        <v>m</v>
      </c>
      <c r="E4827" s="26"/>
      <c r="F4827" s="41" t="s">
        <v>514</v>
      </c>
      <c r="G4827" s="27" t="str">
        <f>IF(ISNUMBER(F4827),E4827*F4827,"")</f>
        <v/>
      </c>
      <c r="H4827" s="28"/>
      <c r="I4827" s="29"/>
      <c r="J4827" s="148">
        <v>0</v>
      </c>
      <c r="K4827" s="222">
        <v>0</v>
      </c>
    </row>
    <row r="4828" spans="1:11" hidden="1" x14ac:dyDescent="0.25">
      <c r="A4828" s="203"/>
      <c r="B4828" s="205"/>
      <c r="C4828" s="31"/>
      <c r="D4828" s="31"/>
      <c r="E4828" s="32"/>
      <c r="F4828" s="42" t="s">
        <v>514</v>
      </c>
      <c r="G4828" s="33" t="str">
        <f>IF(ISNUMBER(F4828),E4828*F4828,"")</f>
        <v/>
      </c>
      <c r="H4828" s="34"/>
      <c r="I4828" s="30"/>
      <c r="J4828" s="148">
        <v>0</v>
      </c>
      <c r="K4828" s="222">
        <v>0</v>
      </c>
    </row>
    <row r="4829" spans="1:11" hidden="1" x14ac:dyDescent="0.25">
      <c r="A4829" s="203"/>
      <c r="B4829" s="205"/>
      <c r="C4829" s="35" t="s">
        <v>68</v>
      </c>
      <c r="D4829" s="35" t="s">
        <v>12</v>
      </c>
      <c r="E4829" s="36">
        <v>0.2</v>
      </c>
      <c r="F4829" s="33">
        <v>22.961500000000001</v>
      </c>
      <c r="G4829" s="33">
        <f>IF(ISNUMBER(F4829),E4829*F4829,"")</f>
        <v>4.5923000000000007</v>
      </c>
      <c r="H4829" s="38">
        <f>SUM(G4829:G4830)</f>
        <v>13.379562499999999</v>
      </c>
      <c r="I4829" s="39"/>
      <c r="J4829" s="148">
        <v>0</v>
      </c>
      <c r="K4829" s="222">
        <v>0</v>
      </c>
    </row>
    <row r="4830" spans="1:11" hidden="1" x14ac:dyDescent="0.25">
      <c r="A4830" s="203"/>
      <c r="B4830" s="205"/>
      <c r="C4830" s="35" t="s">
        <v>827</v>
      </c>
      <c r="D4830" s="35" t="s">
        <v>42</v>
      </c>
      <c r="E4830" s="36">
        <v>0.22500000000000001</v>
      </c>
      <c r="F4830" s="30">
        <v>39.054499999999997</v>
      </c>
      <c r="G4830" s="33">
        <f>IF(ISNUMBER(F4830),E4830*F4830,"")</f>
        <v>8.7872624999999989</v>
      </c>
      <c r="H4830" s="34"/>
      <c r="I4830" s="30"/>
      <c r="J4830" s="148">
        <v>0</v>
      </c>
      <c r="K4830" s="222">
        <v>0</v>
      </c>
    </row>
    <row r="4831" spans="1:11" hidden="1" x14ac:dyDescent="0.25">
      <c r="A4831" s="203"/>
      <c r="B4831" s="205"/>
      <c r="C4831" s="35"/>
      <c r="D4831" s="35"/>
      <c r="E4831" s="36"/>
      <c r="F4831" s="30" t="s">
        <v>514</v>
      </c>
      <c r="G4831" s="33"/>
      <c r="H4831" s="34"/>
      <c r="I4831" s="30"/>
      <c r="J4831" s="148">
        <v>0</v>
      </c>
      <c r="K4831" s="222">
        <v>0</v>
      </c>
    </row>
    <row r="4832" spans="1:11" hidden="1" x14ac:dyDescent="0.25">
      <c r="A4832" s="203"/>
      <c r="B4832" s="205"/>
      <c r="C4832" s="51" t="s">
        <v>3539</v>
      </c>
      <c r="D4832" s="35"/>
      <c r="E4832" s="36"/>
      <c r="F4832" s="30" t="s">
        <v>514</v>
      </c>
      <c r="G4832" s="33"/>
      <c r="H4832" s="34"/>
      <c r="I4832" s="30"/>
      <c r="J4832" s="148">
        <v>0</v>
      </c>
      <c r="K4832" s="222">
        <v>0</v>
      </c>
    </row>
    <row r="4833" spans="1:11" hidden="1" x14ac:dyDescent="0.25">
      <c r="A4833" s="203"/>
      <c r="B4833" s="205"/>
      <c r="C4833" s="51" t="s">
        <v>3537</v>
      </c>
      <c r="D4833" s="35"/>
      <c r="E4833" s="36"/>
      <c r="F4833" s="30" t="s">
        <v>514</v>
      </c>
      <c r="G4833" s="33"/>
      <c r="H4833" s="34"/>
      <c r="I4833" s="30"/>
      <c r="J4833" s="148">
        <v>0</v>
      </c>
      <c r="K4833" s="222">
        <v>0</v>
      </c>
    </row>
    <row r="4834" spans="1:11" ht="15.75" hidden="1" thickBot="1" x14ac:dyDescent="0.3">
      <c r="A4834" s="209"/>
      <c r="B4834" s="206"/>
      <c r="C4834" s="35"/>
      <c r="D4834" s="35"/>
      <c r="E4834" s="36"/>
      <c r="F4834" s="30" t="s">
        <v>514</v>
      </c>
      <c r="G4834" s="33" t="str">
        <f>IF(ISNUMBER(F4834),E4834*F4834,"")</f>
        <v/>
      </c>
      <c r="H4834" s="34"/>
      <c r="I4834" s="30"/>
      <c r="J4834" s="148">
        <v>0</v>
      </c>
      <c r="K4834" s="222">
        <v>0</v>
      </c>
    </row>
    <row r="4835" spans="1:11" ht="15.75" hidden="1" thickBot="1" x14ac:dyDescent="0.3">
      <c r="A4835" s="202" t="s">
        <v>3384</v>
      </c>
      <c r="B4835" s="204" t="str">
        <f>INDEX(Orçamentária!A:B,MATCH(Composições!A4835,Orçamentária!A:A,0),2)</f>
        <v>Capa do Perfil Guia Inferior “Click” - Vidro temperado 8mm</v>
      </c>
      <c r="C4835" s="40"/>
      <c r="D4835" s="25" t="str">
        <f>TRIM(INDEX(Orçamentária!C:C,MATCH(Composições!A4835,Orçamentária!A:A,0),1))</f>
        <v>m</v>
      </c>
      <c r="E4835" s="26"/>
      <c r="F4835" s="41" t="s">
        <v>514</v>
      </c>
      <c r="G4835" s="27" t="str">
        <f>IF(ISNUMBER(F4835),E4835*F4835,"")</f>
        <v/>
      </c>
      <c r="H4835" s="28"/>
      <c r="I4835" s="29"/>
      <c r="J4835" s="148">
        <v>0</v>
      </c>
      <c r="K4835" s="222">
        <v>0</v>
      </c>
    </row>
    <row r="4836" spans="1:11" hidden="1" x14ac:dyDescent="0.25">
      <c r="A4836" s="203"/>
      <c r="B4836" s="205"/>
      <c r="C4836" s="31"/>
      <c r="D4836" s="31"/>
      <c r="E4836" s="32"/>
      <c r="F4836" s="42" t="s">
        <v>514</v>
      </c>
      <c r="G4836" s="33" t="str">
        <f>IF(ISNUMBER(F4836),E4836*F4836,"")</f>
        <v/>
      </c>
      <c r="H4836" s="34"/>
      <c r="I4836" s="30"/>
      <c r="J4836" s="148">
        <v>0</v>
      </c>
      <c r="K4836" s="222">
        <v>0</v>
      </c>
    </row>
    <row r="4837" spans="1:11" hidden="1" x14ac:dyDescent="0.25">
      <c r="A4837" s="203"/>
      <c r="B4837" s="205"/>
      <c r="C4837" s="35" t="s">
        <v>68</v>
      </c>
      <c r="D4837" s="35" t="s">
        <v>12</v>
      </c>
      <c r="E4837" s="36">
        <v>0.15</v>
      </c>
      <c r="F4837" s="33">
        <v>22.961500000000001</v>
      </c>
      <c r="G4837" s="33">
        <f>IF(ISNUMBER(F4837),E4837*F4837,"")</f>
        <v>3.4442249999999999</v>
      </c>
      <c r="H4837" s="38">
        <f>SUM(G4837:G4838)</f>
        <v>5.5922225000000001</v>
      </c>
      <c r="I4837" s="39"/>
      <c r="J4837" s="148">
        <v>0</v>
      </c>
      <c r="K4837" s="222">
        <v>0</v>
      </c>
    </row>
    <row r="4838" spans="1:11" hidden="1" x14ac:dyDescent="0.25">
      <c r="A4838" s="203"/>
      <c r="B4838" s="205"/>
      <c r="C4838" s="35" t="s">
        <v>827</v>
      </c>
      <c r="D4838" s="35" t="s">
        <v>42</v>
      </c>
      <c r="E4838" s="36">
        <v>5.5E-2</v>
      </c>
      <c r="F4838" s="30">
        <v>39.054499999999997</v>
      </c>
      <c r="G4838" s="33">
        <f>IF(ISNUMBER(F4838),E4838*F4838,"")</f>
        <v>2.1479974999999998</v>
      </c>
      <c r="H4838" s="34"/>
      <c r="I4838" s="30"/>
      <c r="J4838" s="148">
        <v>0</v>
      </c>
      <c r="K4838" s="222">
        <v>0</v>
      </c>
    </row>
    <row r="4839" spans="1:11" hidden="1" x14ac:dyDescent="0.25">
      <c r="A4839" s="203"/>
      <c r="B4839" s="205"/>
      <c r="C4839" s="35"/>
      <c r="D4839" s="35"/>
      <c r="E4839" s="36"/>
      <c r="F4839" s="30" t="s">
        <v>514</v>
      </c>
      <c r="G4839" s="33"/>
      <c r="H4839" s="34"/>
      <c r="I4839" s="30"/>
      <c r="J4839" s="148">
        <v>0</v>
      </c>
      <c r="K4839" s="222">
        <v>0</v>
      </c>
    </row>
    <row r="4840" spans="1:11" hidden="1" x14ac:dyDescent="0.25">
      <c r="A4840" s="203"/>
      <c r="B4840" s="205"/>
      <c r="C4840" s="51" t="s">
        <v>3540</v>
      </c>
      <c r="D4840" s="35"/>
      <c r="E4840" s="36"/>
      <c r="F4840" s="30" t="s">
        <v>514</v>
      </c>
      <c r="G4840" s="33"/>
      <c r="H4840" s="34"/>
      <c r="I4840" s="30"/>
      <c r="J4840" s="148">
        <v>0</v>
      </c>
      <c r="K4840" s="222">
        <v>0</v>
      </c>
    </row>
    <row r="4841" spans="1:11" hidden="1" x14ac:dyDescent="0.25">
      <c r="A4841" s="203"/>
      <c r="B4841" s="205"/>
      <c r="C4841" s="51" t="s">
        <v>3537</v>
      </c>
      <c r="D4841" s="35"/>
      <c r="E4841" s="36"/>
      <c r="F4841" s="30" t="s">
        <v>514</v>
      </c>
      <c r="G4841" s="33"/>
      <c r="H4841" s="34"/>
      <c r="I4841" s="30"/>
      <c r="J4841" s="148">
        <v>0</v>
      </c>
      <c r="K4841" s="222">
        <v>0</v>
      </c>
    </row>
    <row r="4842" spans="1:11" ht="15.75" hidden="1" thickBot="1" x14ac:dyDescent="0.3">
      <c r="A4842" s="209"/>
      <c r="B4842" s="206"/>
      <c r="C4842" s="35"/>
      <c r="D4842" s="35"/>
      <c r="E4842" s="36"/>
      <c r="F4842" s="30" t="s">
        <v>514</v>
      </c>
      <c r="G4842" s="33" t="str">
        <f>IF(ISNUMBER(F4842),E4842*F4842,"")</f>
        <v/>
      </c>
      <c r="H4842" s="34"/>
      <c r="I4842" s="30"/>
      <c r="J4842" s="148">
        <v>0</v>
      </c>
      <c r="K4842" s="222">
        <v>0</v>
      </c>
    </row>
    <row r="4843" spans="1:11" ht="15.75" hidden="1" thickBot="1" x14ac:dyDescent="0.3">
      <c r="A4843" s="202" t="s">
        <v>3385</v>
      </c>
      <c r="B4843" s="204" t="str">
        <f>INDEX(Orçamentária!A:B,MATCH(Composições!A4843,Orçamentária!A:A,0),2)</f>
        <v>Perfil guia inferior de alumínio para porta de giro em vidro temperado 8mm</v>
      </c>
      <c r="C4843" s="40"/>
      <c r="D4843" s="25" t="str">
        <f>TRIM(INDEX(Orçamentária!C:C,MATCH(Composições!A4843,Orçamentária!A:A,0),1))</f>
        <v>m</v>
      </c>
      <c r="E4843" s="26"/>
      <c r="F4843" s="41" t="s">
        <v>514</v>
      </c>
      <c r="G4843" s="27" t="str">
        <f>IF(ISNUMBER(F4843),E4843*F4843,"")</f>
        <v/>
      </c>
      <c r="H4843" s="28"/>
      <c r="I4843" s="29"/>
      <c r="J4843" s="148">
        <v>0</v>
      </c>
      <c r="K4843" s="222">
        <v>0</v>
      </c>
    </row>
    <row r="4844" spans="1:11" hidden="1" x14ac:dyDescent="0.25">
      <c r="A4844" s="203"/>
      <c r="B4844" s="205"/>
      <c r="C4844" s="31"/>
      <c r="D4844" s="31"/>
      <c r="E4844" s="32"/>
      <c r="F4844" s="42" t="s">
        <v>514</v>
      </c>
      <c r="G4844" s="33" t="str">
        <f>IF(ISNUMBER(F4844),E4844*F4844,"")</f>
        <v/>
      </c>
      <c r="H4844" s="34"/>
      <c r="I4844" s="30"/>
      <c r="J4844" s="148">
        <v>0</v>
      </c>
      <c r="K4844" s="222">
        <v>0</v>
      </c>
    </row>
    <row r="4845" spans="1:11" hidden="1" x14ac:dyDescent="0.25">
      <c r="A4845" s="203"/>
      <c r="B4845" s="205"/>
      <c r="C4845" s="35" t="s">
        <v>68</v>
      </c>
      <c r="D4845" s="35" t="s">
        <v>12</v>
      </c>
      <c r="E4845" s="36">
        <v>0.3</v>
      </c>
      <c r="F4845" s="33">
        <v>22.961500000000001</v>
      </c>
      <c r="G4845" s="33">
        <f>IF(ISNUMBER(F4845),E4845*F4845,"")</f>
        <v>6.8884499999999997</v>
      </c>
      <c r="H4845" s="38">
        <f>SUM(G4845:G4846)</f>
        <v>15.011785999999997</v>
      </c>
      <c r="I4845" s="39"/>
      <c r="J4845" s="148">
        <v>0</v>
      </c>
      <c r="K4845" s="222">
        <v>0</v>
      </c>
    </row>
    <row r="4846" spans="1:11" hidden="1" x14ac:dyDescent="0.25">
      <c r="A4846" s="203"/>
      <c r="B4846" s="205"/>
      <c r="C4846" s="35" t="s">
        <v>827</v>
      </c>
      <c r="D4846" s="35" t="s">
        <v>42</v>
      </c>
      <c r="E4846" s="36">
        <v>0.20799999999999999</v>
      </c>
      <c r="F4846" s="30">
        <v>39.054499999999997</v>
      </c>
      <c r="G4846" s="33">
        <f>IF(ISNUMBER(F4846),E4846*F4846,"")</f>
        <v>8.1233359999999983</v>
      </c>
      <c r="H4846" s="34"/>
      <c r="I4846" s="30"/>
      <c r="J4846" s="148">
        <v>0</v>
      </c>
      <c r="K4846" s="222">
        <v>0</v>
      </c>
    </row>
    <row r="4847" spans="1:11" hidden="1" x14ac:dyDescent="0.25">
      <c r="A4847" s="203"/>
      <c r="B4847" s="205"/>
      <c r="C4847" s="35"/>
      <c r="D4847" s="35"/>
      <c r="E4847" s="36"/>
      <c r="F4847" s="30" t="s">
        <v>514</v>
      </c>
      <c r="G4847" s="33"/>
      <c r="H4847" s="34"/>
      <c r="I4847" s="30"/>
      <c r="J4847" s="148">
        <v>0</v>
      </c>
      <c r="K4847" s="222">
        <v>0</v>
      </c>
    </row>
    <row r="4848" spans="1:11" hidden="1" x14ac:dyDescent="0.25">
      <c r="A4848" s="203"/>
      <c r="B4848" s="205"/>
      <c r="C4848" s="51" t="s">
        <v>3541</v>
      </c>
      <c r="D4848" s="35"/>
      <c r="E4848" s="36"/>
      <c r="F4848" s="30" t="s">
        <v>514</v>
      </c>
      <c r="G4848" s="33"/>
      <c r="H4848" s="34"/>
      <c r="I4848" s="30"/>
      <c r="J4848" s="148">
        <v>0</v>
      </c>
      <c r="K4848" s="222">
        <v>0</v>
      </c>
    </row>
    <row r="4849" spans="1:11" hidden="1" x14ac:dyDescent="0.25">
      <c r="A4849" s="203"/>
      <c r="B4849" s="205"/>
      <c r="C4849" s="51" t="s">
        <v>3537</v>
      </c>
      <c r="D4849" s="35"/>
      <c r="E4849" s="36"/>
      <c r="F4849" s="30" t="s">
        <v>514</v>
      </c>
      <c r="G4849" s="33"/>
      <c r="H4849" s="34"/>
      <c r="I4849" s="30"/>
      <c r="J4849" s="148">
        <v>0</v>
      </c>
      <c r="K4849" s="222">
        <v>0</v>
      </c>
    </row>
    <row r="4850" spans="1:11" ht="15.75" hidden="1" thickBot="1" x14ac:dyDescent="0.3">
      <c r="A4850" s="209"/>
      <c r="B4850" s="206"/>
      <c r="C4850" s="35"/>
      <c r="D4850" s="35"/>
      <c r="E4850" s="36"/>
      <c r="F4850" s="30" t="s">
        <v>514</v>
      </c>
      <c r="G4850" s="33" t="str">
        <f>IF(ISNUMBER(F4850),E4850*F4850,"")</f>
        <v/>
      </c>
      <c r="H4850" s="34"/>
      <c r="I4850" s="30"/>
      <c r="J4850" s="148">
        <v>0</v>
      </c>
      <c r="K4850" s="222">
        <v>0</v>
      </c>
    </row>
    <row r="4851" spans="1:11" ht="15.75" hidden="1" thickBot="1" x14ac:dyDescent="0.3">
      <c r="A4851" s="202" t="s">
        <v>3386</v>
      </c>
      <c r="B4851" s="204" t="str">
        <f>INDEX(Orçamentária!A:B,MATCH(Composições!A4851,Orçamentária!A:A,0),2)</f>
        <v>Perfil guia inferior de alumínio para porta de correr em vidro temperado 8mm</v>
      </c>
      <c r="C4851" s="40"/>
      <c r="D4851" s="25" t="str">
        <f>TRIM(INDEX(Orçamentária!C:C,MATCH(Composições!A4851,Orçamentária!A:A,0),1))</f>
        <v>m</v>
      </c>
      <c r="E4851" s="26"/>
      <c r="F4851" s="41" t="s">
        <v>514</v>
      </c>
      <c r="G4851" s="27" t="str">
        <f>IF(ISNUMBER(F4851),E4851*F4851,"")</f>
        <v/>
      </c>
      <c r="H4851" s="28"/>
      <c r="I4851" s="29"/>
      <c r="J4851" s="148">
        <v>0</v>
      </c>
      <c r="K4851" s="222">
        <v>0</v>
      </c>
    </row>
    <row r="4852" spans="1:11" hidden="1" x14ac:dyDescent="0.25">
      <c r="A4852" s="203"/>
      <c r="B4852" s="205"/>
      <c r="C4852" s="31"/>
      <c r="D4852" s="31"/>
      <c r="E4852" s="32"/>
      <c r="F4852" s="42" t="s">
        <v>514</v>
      </c>
      <c r="G4852" s="33" t="str">
        <f>IF(ISNUMBER(F4852),E4852*F4852,"")</f>
        <v/>
      </c>
      <c r="H4852" s="34"/>
      <c r="I4852" s="30"/>
      <c r="J4852" s="148">
        <v>0</v>
      </c>
      <c r="K4852" s="222">
        <v>0</v>
      </c>
    </row>
    <row r="4853" spans="1:11" hidden="1" x14ac:dyDescent="0.25">
      <c r="A4853" s="203"/>
      <c r="B4853" s="205"/>
      <c r="C4853" s="35" t="s">
        <v>68</v>
      </c>
      <c r="D4853" s="35" t="s">
        <v>12</v>
      </c>
      <c r="E4853" s="36">
        <v>0.3</v>
      </c>
      <c r="F4853" s="33">
        <v>22.961500000000001</v>
      </c>
      <c r="G4853" s="33">
        <f>IF(ISNUMBER(F4853),E4853*F4853,"")</f>
        <v>6.8884499999999997</v>
      </c>
      <c r="H4853" s="38">
        <f>SUM(G4853:G4854)</f>
        <v>17.003565500000001</v>
      </c>
      <c r="I4853" s="39"/>
      <c r="J4853" s="148">
        <v>0</v>
      </c>
      <c r="K4853" s="222">
        <v>0</v>
      </c>
    </row>
    <row r="4854" spans="1:11" hidden="1" x14ac:dyDescent="0.25">
      <c r="A4854" s="203"/>
      <c r="B4854" s="205"/>
      <c r="C4854" s="35" t="s">
        <v>827</v>
      </c>
      <c r="D4854" s="35" t="s">
        <v>42</v>
      </c>
      <c r="E4854" s="36">
        <v>0.25900000000000001</v>
      </c>
      <c r="F4854" s="30">
        <v>39.054499999999997</v>
      </c>
      <c r="G4854" s="33">
        <f>IF(ISNUMBER(F4854),E4854*F4854,"")</f>
        <v>10.1151155</v>
      </c>
      <c r="H4854" s="34"/>
      <c r="I4854" s="30"/>
      <c r="J4854" s="148">
        <v>0</v>
      </c>
      <c r="K4854" s="222">
        <v>0</v>
      </c>
    </row>
    <row r="4855" spans="1:11" hidden="1" x14ac:dyDescent="0.25">
      <c r="A4855" s="203"/>
      <c r="B4855" s="205"/>
      <c r="C4855" s="35"/>
      <c r="D4855" s="35"/>
      <c r="E4855" s="36"/>
      <c r="F4855" s="30" t="s">
        <v>514</v>
      </c>
      <c r="G4855" s="33"/>
      <c r="H4855" s="34"/>
      <c r="I4855" s="30"/>
      <c r="J4855" s="148">
        <v>0</v>
      </c>
      <c r="K4855" s="222">
        <v>0</v>
      </c>
    </row>
    <row r="4856" spans="1:11" hidden="1" x14ac:dyDescent="0.25">
      <c r="A4856" s="203"/>
      <c r="B4856" s="205"/>
      <c r="C4856" s="51" t="s">
        <v>3542</v>
      </c>
      <c r="D4856" s="35"/>
      <c r="E4856" s="36"/>
      <c r="F4856" s="30" t="s">
        <v>514</v>
      </c>
      <c r="G4856" s="33"/>
      <c r="H4856" s="34"/>
      <c r="I4856" s="30"/>
      <c r="J4856" s="148">
        <v>0</v>
      </c>
      <c r="K4856" s="222">
        <v>0</v>
      </c>
    </row>
    <row r="4857" spans="1:11" hidden="1" x14ac:dyDescent="0.25">
      <c r="A4857" s="203"/>
      <c r="B4857" s="205"/>
      <c r="C4857" s="51" t="s">
        <v>3537</v>
      </c>
      <c r="D4857" s="35"/>
      <c r="E4857" s="36"/>
      <c r="F4857" s="30" t="s">
        <v>514</v>
      </c>
      <c r="G4857" s="33"/>
      <c r="H4857" s="34"/>
      <c r="I4857" s="30"/>
      <c r="J4857" s="148">
        <v>0</v>
      </c>
      <c r="K4857" s="222">
        <v>0</v>
      </c>
    </row>
    <row r="4858" spans="1:11" ht="15.75" hidden="1" thickBot="1" x14ac:dyDescent="0.3">
      <c r="A4858" s="209"/>
      <c r="B4858" s="206"/>
      <c r="C4858" s="35"/>
      <c r="D4858" s="35"/>
      <c r="E4858" s="36"/>
      <c r="F4858" s="30" t="s">
        <v>514</v>
      </c>
      <c r="G4858" s="33" t="str">
        <f>IF(ISNUMBER(F4858),E4858*F4858,"")</f>
        <v/>
      </c>
      <c r="H4858" s="34"/>
      <c r="I4858" s="30"/>
      <c r="J4858" s="148">
        <v>0</v>
      </c>
      <c r="K4858" s="222">
        <v>0</v>
      </c>
    </row>
    <row r="4859" spans="1:11" ht="15.75" hidden="1" thickBot="1" x14ac:dyDescent="0.3">
      <c r="A4859" s="202" t="s">
        <v>3387</v>
      </c>
      <c r="B4859" s="204" t="str">
        <f>INDEX(Orçamentária!A:B,MATCH(Composições!A4859,Orçamentária!A:A,0),2)</f>
        <v>Trilho superior em alumínio 53,8mm x 49,6mm, para vidro temperado</v>
      </c>
      <c r="C4859" s="40"/>
      <c r="D4859" s="25" t="str">
        <f>TRIM(INDEX(Orçamentária!C:C,MATCH(Composições!A4859,Orçamentária!A:A,0),1))</f>
        <v>m</v>
      </c>
      <c r="E4859" s="26"/>
      <c r="F4859" s="41" t="s">
        <v>514</v>
      </c>
      <c r="G4859" s="27" t="str">
        <f>IF(ISNUMBER(F4859),E4859*F4859,"")</f>
        <v/>
      </c>
      <c r="H4859" s="28"/>
      <c r="I4859" s="29"/>
      <c r="J4859" s="148">
        <v>0</v>
      </c>
      <c r="K4859" s="222">
        <v>0</v>
      </c>
    </row>
    <row r="4860" spans="1:11" hidden="1" x14ac:dyDescent="0.25">
      <c r="A4860" s="203"/>
      <c r="B4860" s="205"/>
      <c r="C4860" s="31"/>
      <c r="D4860" s="31"/>
      <c r="E4860" s="32"/>
      <c r="F4860" s="42" t="s">
        <v>514</v>
      </c>
      <c r="G4860" s="33" t="str">
        <f>IF(ISNUMBER(F4860),E4860*F4860,"")</f>
        <v/>
      </c>
      <c r="H4860" s="34"/>
      <c r="I4860" s="30"/>
      <c r="J4860" s="148">
        <v>0</v>
      </c>
      <c r="K4860" s="222">
        <v>0</v>
      </c>
    </row>
    <row r="4861" spans="1:11" hidden="1" x14ac:dyDescent="0.25">
      <c r="A4861" s="203"/>
      <c r="B4861" s="205"/>
      <c r="C4861" s="35" t="s">
        <v>68</v>
      </c>
      <c r="D4861" s="35" t="s">
        <v>12</v>
      </c>
      <c r="E4861" s="36">
        <v>0.3</v>
      </c>
      <c r="F4861" s="33">
        <v>22.961500000000001</v>
      </c>
      <c r="G4861" s="33">
        <f>IF(ISNUMBER(F4861),E4861*F4861,"")</f>
        <v>6.8884499999999997</v>
      </c>
      <c r="H4861" s="38">
        <f>SUM(G4861:G4862)</f>
        <v>27.821662</v>
      </c>
      <c r="I4861" s="39"/>
      <c r="J4861" s="148">
        <v>0</v>
      </c>
      <c r="K4861" s="222">
        <v>0</v>
      </c>
    </row>
    <row r="4862" spans="1:11" hidden="1" x14ac:dyDescent="0.25">
      <c r="A4862" s="203"/>
      <c r="B4862" s="205"/>
      <c r="C4862" s="35" t="s">
        <v>827</v>
      </c>
      <c r="D4862" s="35" t="s">
        <v>42</v>
      </c>
      <c r="E4862" s="36">
        <v>0.53600000000000003</v>
      </c>
      <c r="F4862" s="30">
        <v>39.054499999999997</v>
      </c>
      <c r="G4862" s="33">
        <f>IF(ISNUMBER(F4862),E4862*F4862,"")</f>
        <v>20.933212000000001</v>
      </c>
      <c r="H4862" s="34"/>
      <c r="I4862" s="30"/>
      <c r="J4862" s="148">
        <v>0</v>
      </c>
      <c r="K4862" s="222">
        <v>0</v>
      </c>
    </row>
    <row r="4863" spans="1:11" hidden="1" x14ac:dyDescent="0.25">
      <c r="A4863" s="203"/>
      <c r="B4863" s="205"/>
      <c r="C4863" s="35"/>
      <c r="D4863" s="35"/>
      <c r="E4863" s="36"/>
      <c r="F4863" s="30" t="s">
        <v>514</v>
      </c>
      <c r="G4863" s="33"/>
      <c r="H4863" s="34"/>
      <c r="I4863" s="30"/>
      <c r="J4863" s="148">
        <v>0</v>
      </c>
      <c r="K4863" s="222">
        <v>0</v>
      </c>
    </row>
    <row r="4864" spans="1:11" hidden="1" x14ac:dyDescent="0.25">
      <c r="A4864" s="203"/>
      <c r="B4864" s="205"/>
      <c r="C4864" s="51" t="s">
        <v>3543</v>
      </c>
      <c r="D4864" s="35"/>
      <c r="E4864" s="36"/>
      <c r="F4864" s="30" t="s">
        <v>514</v>
      </c>
      <c r="G4864" s="33"/>
      <c r="H4864" s="34"/>
      <c r="I4864" s="30"/>
      <c r="J4864" s="148">
        <v>0</v>
      </c>
      <c r="K4864" s="222">
        <v>0</v>
      </c>
    </row>
    <row r="4865" spans="1:11" hidden="1" x14ac:dyDescent="0.25">
      <c r="A4865" s="203"/>
      <c r="B4865" s="205"/>
      <c r="C4865" s="51" t="s">
        <v>3537</v>
      </c>
      <c r="D4865" s="35"/>
      <c r="E4865" s="36"/>
      <c r="F4865" s="30" t="s">
        <v>514</v>
      </c>
      <c r="G4865" s="33"/>
      <c r="H4865" s="34"/>
      <c r="I4865" s="30"/>
      <c r="J4865" s="148">
        <v>0</v>
      </c>
      <c r="K4865" s="222">
        <v>0</v>
      </c>
    </row>
    <row r="4866" spans="1:11" ht="15.75" hidden="1" thickBot="1" x14ac:dyDescent="0.3">
      <c r="A4866" s="209"/>
      <c r="B4866" s="206"/>
      <c r="C4866" s="35"/>
      <c r="D4866" s="35"/>
      <c r="E4866" s="36"/>
      <c r="F4866" s="30" t="s">
        <v>514</v>
      </c>
      <c r="G4866" s="33" t="str">
        <f>IF(ISNUMBER(F4866),E4866*F4866,"")</f>
        <v/>
      </c>
      <c r="H4866" s="34"/>
      <c r="I4866" s="30"/>
      <c r="J4866" s="148">
        <v>0</v>
      </c>
      <c r="K4866" s="222">
        <v>0</v>
      </c>
    </row>
    <row r="4867" spans="1:11" ht="15.75" hidden="1" thickBot="1" x14ac:dyDescent="0.3">
      <c r="A4867" s="202" t="s">
        <v>3388</v>
      </c>
      <c r="B4867" s="204" t="str">
        <f>INDEX(Orçamentária!A:B,MATCH(Composições!A4867,Orçamentária!A:A,0),2)</f>
        <v>Perfil em alumínio, tipo U - 10,5 x 20mm - para box de vidro temperado 8mm</v>
      </c>
      <c r="C4867" s="40"/>
      <c r="D4867" s="25" t="str">
        <f>TRIM(INDEX(Orçamentária!C:C,MATCH(Composições!A4867,Orçamentária!A:A,0),1))</f>
        <v>m</v>
      </c>
      <c r="E4867" s="26"/>
      <c r="F4867" s="41" t="s">
        <v>514</v>
      </c>
      <c r="G4867" s="27" t="str">
        <f>IF(ISNUMBER(F4867),E4867*F4867,"")</f>
        <v/>
      </c>
      <c r="H4867" s="28"/>
      <c r="I4867" s="29"/>
      <c r="J4867" s="148">
        <v>0</v>
      </c>
      <c r="K4867" s="222">
        <v>0</v>
      </c>
    </row>
    <row r="4868" spans="1:11" hidden="1" x14ac:dyDescent="0.25">
      <c r="A4868" s="203"/>
      <c r="B4868" s="205"/>
      <c r="C4868" s="31"/>
      <c r="D4868" s="31"/>
      <c r="E4868" s="32"/>
      <c r="F4868" s="42" t="s">
        <v>514</v>
      </c>
      <c r="G4868" s="33" t="str">
        <f>IF(ISNUMBER(F4868),E4868*F4868,"")</f>
        <v/>
      </c>
      <c r="H4868" s="34"/>
      <c r="I4868" s="30"/>
      <c r="J4868" s="148">
        <v>0</v>
      </c>
      <c r="K4868" s="222">
        <v>0</v>
      </c>
    </row>
    <row r="4869" spans="1:11" hidden="1" x14ac:dyDescent="0.25">
      <c r="A4869" s="203"/>
      <c r="B4869" s="205"/>
      <c r="C4869" s="35" t="s">
        <v>68</v>
      </c>
      <c r="D4869" s="35" t="s">
        <v>12</v>
      </c>
      <c r="E4869" s="36">
        <v>0.2</v>
      </c>
      <c r="F4869" s="33">
        <v>22.961500000000001</v>
      </c>
      <c r="G4869" s="33">
        <f>IF(ISNUMBER(F4869),E4869*F4869,"")</f>
        <v>4.5923000000000007</v>
      </c>
      <c r="H4869" s="38">
        <f>SUM(G4869:G4870)</f>
        <v>8.6930225000000014</v>
      </c>
      <c r="I4869" s="39"/>
      <c r="J4869" s="148">
        <v>0</v>
      </c>
      <c r="K4869" s="222">
        <v>0</v>
      </c>
    </row>
    <row r="4870" spans="1:11" hidden="1" x14ac:dyDescent="0.25">
      <c r="A4870" s="203"/>
      <c r="B4870" s="205"/>
      <c r="C4870" s="35" t="s">
        <v>827</v>
      </c>
      <c r="D4870" s="35" t="s">
        <v>42</v>
      </c>
      <c r="E4870" s="36">
        <v>0.105</v>
      </c>
      <c r="F4870" s="30">
        <v>39.054499999999997</v>
      </c>
      <c r="G4870" s="33">
        <f>IF(ISNUMBER(F4870),E4870*F4870,"")</f>
        <v>4.1007224999999998</v>
      </c>
      <c r="H4870" s="34"/>
      <c r="I4870" s="30"/>
      <c r="J4870" s="148">
        <v>0</v>
      </c>
      <c r="K4870" s="222">
        <v>0</v>
      </c>
    </row>
    <row r="4871" spans="1:11" hidden="1" x14ac:dyDescent="0.25">
      <c r="A4871" s="203"/>
      <c r="B4871" s="205"/>
      <c r="C4871" s="35"/>
      <c r="D4871" s="35"/>
      <c r="E4871" s="36"/>
      <c r="F4871" s="30" t="s">
        <v>514</v>
      </c>
      <c r="G4871" s="33"/>
      <c r="H4871" s="34"/>
      <c r="I4871" s="30"/>
      <c r="J4871" s="148">
        <v>0</v>
      </c>
      <c r="K4871" s="222">
        <v>0</v>
      </c>
    </row>
    <row r="4872" spans="1:11" hidden="1" x14ac:dyDescent="0.25">
      <c r="A4872" s="203"/>
      <c r="B4872" s="205"/>
      <c r="C4872" s="51" t="s">
        <v>3544</v>
      </c>
      <c r="D4872" s="35"/>
      <c r="E4872" s="36"/>
      <c r="F4872" s="30" t="s">
        <v>514</v>
      </c>
      <c r="G4872" s="33"/>
      <c r="H4872" s="34"/>
      <c r="I4872" s="30"/>
      <c r="J4872" s="148">
        <v>0</v>
      </c>
      <c r="K4872" s="222">
        <v>0</v>
      </c>
    </row>
    <row r="4873" spans="1:11" hidden="1" x14ac:dyDescent="0.25">
      <c r="A4873" s="203"/>
      <c r="B4873" s="205"/>
      <c r="C4873" s="51" t="s">
        <v>3537</v>
      </c>
      <c r="D4873" s="35"/>
      <c r="E4873" s="36"/>
      <c r="F4873" s="30" t="s">
        <v>514</v>
      </c>
      <c r="G4873" s="33"/>
      <c r="H4873" s="34"/>
      <c r="I4873" s="30"/>
      <c r="J4873" s="148">
        <v>0</v>
      </c>
      <c r="K4873" s="222">
        <v>0</v>
      </c>
    </row>
    <row r="4874" spans="1:11" ht="15.75" hidden="1" thickBot="1" x14ac:dyDescent="0.3">
      <c r="A4874" s="209"/>
      <c r="B4874" s="206"/>
      <c r="C4874" s="35"/>
      <c r="D4874" s="35"/>
      <c r="E4874" s="36"/>
      <c r="F4874" s="30" t="s">
        <v>514</v>
      </c>
      <c r="G4874" s="33" t="str">
        <f>IF(ISNUMBER(F4874),E4874*F4874,"")</f>
        <v/>
      </c>
      <c r="H4874" s="34"/>
      <c r="I4874" s="30"/>
      <c r="J4874" s="148">
        <v>0</v>
      </c>
      <c r="K4874" s="222">
        <v>0</v>
      </c>
    </row>
    <row r="4875" spans="1:11" ht="15.75" hidden="1" thickBot="1" x14ac:dyDescent="0.3">
      <c r="A4875" s="202" t="s">
        <v>3389</v>
      </c>
      <c r="B4875" s="204" t="str">
        <f>INDEX(Orçamentária!A:B,MATCH(Composições!A4875,Orçamentária!A:A,0),2)</f>
        <v>Perfil em alumínio , tipo U –  14 x 20mm - para box de vidro temperado 8mm</v>
      </c>
      <c r="C4875" s="40"/>
      <c r="D4875" s="25" t="str">
        <f>TRIM(INDEX(Orçamentária!C:C,MATCH(Composições!A4875,Orçamentária!A:A,0),1))</f>
        <v>m</v>
      </c>
      <c r="E4875" s="26"/>
      <c r="F4875" s="41" t="s">
        <v>514</v>
      </c>
      <c r="G4875" s="27" t="str">
        <f>IF(ISNUMBER(F4875),E4875*F4875,"")</f>
        <v/>
      </c>
      <c r="H4875" s="28"/>
      <c r="I4875" s="29"/>
      <c r="J4875" s="148">
        <v>0</v>
      </c>
      <c r="K4875" s="222">
        <v>0</v>
      </c>
    </row>
    <row r="4876" spans="1:11" hidden="1" x14ac:dyDescent="0.25">
      <c r="A4876" s="203"/>
      <c r="B4876" s="205"/>
      <c r="C4876" s="31"/>
      <c r="D4876" s="31"/>
      <c r="E4876" s="32"/>
      <c r="F4876" s="42" t="s">
        <v>514</v>
      </c>
      <c r="G4876" s="33" t="str">
        <f>IF(ISNUMBER(F4876),E4876*F4876,"")</f>
        <v/>
      </c>
      <c r="H4876" s="34"/>
      <c r="I4876" s="30"/>
      <c r="J4876" s="148">
        <v>0</v>
      </c>
      <c r="K4876" s="222">
        <v>0</v>
      </c>
    </row>
    <row r="4877" spans="1:11" hidden="1" x14ac:dyDescent="0.25">
      <c r="A4877" s="203"/>
      <c r="B4877" s="205"/>
      <c r="C4877" s="35" t="s">
        <v>68</v>
      </c>
      <c r="D4877" s="35" t="s">
        <v>12</v>
      </c>
      <c r="E4877" s="36">
        <v>0.2</v>
      </c>
      <c r="F4877" s="33">
        <v>22.961500000000001</v>
      </c>
      <c r="G4877" s="33">
        <f>IF(ISNUMBER(F4877),E4877*F4877,"")</f>
        <v>4.5923000000000007</v>
      </c>
      <c r="H4877" s="38">
        <f>SUM(G4877:G4878)</f>
        <v>9.2397855</v>
      </c>
      <c r="I4877" s="39"/>
      <c r="J4877" s="148">
        <v>0</v>
      </c>
      <c r="K4877" s="222">
        <v>0</v>
      </c>
    </row>
    <row r="4878" spans="1:11" hidden="1" x14ac:dyDescent="0.25">
      <c r="A4878" s="203"/>
      <c r="B4878" s="205"/>
      <c r="C4878" s="35" t="s">
        <v>827</v>
      </c>
      <c r="D4878" s="35" t="s">
        <v>42</v>
      </c>
      <c r="E4878" s="36">
        <v>0.11899999999999999</v>
      </c>
      <c r="F4878" s="30">
        <v>39.054499999999997</v>
      </c>
      <c r="G4878" s="33">
        <f>IF(ISNUMBER(F4878),E4878*F4878,"")</f>
        <v>4.6474854999999993</v>
      </c>
      <c r="H4878" s="34"/>
      <c r="I4878" s="30"/>
      <c r="J4878" s="148">
        <v>0</v>
      </c>
      <c r="K4878" s="222">
        <v>0</v>
      </c>
    </row>
    <row r="4879" spans="1:11" hidden="1" x14ac:dyDescent="0.25">
      <c r="A4879" s="203"/>
      <c r="B4879" s="205"/>
      <c r="C4879" s="35"/>
      <c r="D4879" s="35"/>
      <c r="E4879" s="36"/>
      <c r="F4879" s="30" t="s">
        <v>514</v>
      </c>
      <c r="G4879" s="33"/>
      <c r="H4879" s="34"/>
      <c r="I4879" s="30"/>
      <c r="J4879" s="148">
        <v>0</v>
      </c>
      <c r="K4879" s="222">
        <v>0</v>
      </c>
    </row>
    <row r="4880" spans="1:11" hidden="1" x14ac:dyDescent="0.25">
      <c r="A4880" s="203"/>
      <c r="B4880" s="205"/>
      <c r="C4880" s="51" t="s">
        <v>3545</v>
      </c>
      <c r="D4880" s="35"/>
      <c r="E4880" s="36"/>
      <c r="F4880" s="30" t="s">
        <v>514</v>
      </c>
      <c r="G4880" s="33"/>
      <c r="H4880" s="34"/>
      <c r="I4880" s="30"/>
      <c r="J4880" s="148">
        <v>0</v>
      </c>
      <c r="K4880" s="222">
        <v>0</v>
      </c>
    </row>
    <row r="4881" spans="1:11" hidden="1" x14ac:dyDescent="0.25">
      <c r="A4881" s="203"/>
      <c r="B4881" s="205"/>
      <c r="C4881" s="51" t="s">
        <v>3537</v>
      </c>
      <c r="D4881" s="35"/>
      <c r="E4881" s="36"/>
      <c r="F4881" s="30" t="s">
        <v>514</v>
      </c>
      <c r="G4881" s="33"/>
      <c r="H4881" s="34"/>
      <c r="I4881" s="30"/>
      <c r="J4881" s="148">
        <v>0</v>
      </c>
      <c r="K4881" s="222">
        <v>0</v>
      </c>
    </row>
    <row r="4882" spans="1:11" ht="15.75" hidden="1" thickBot="1" x14ac:dyDescent="0.3">
      <c r="A4882" s="209"/>
      <c r="B4882" s="206"/>
      <c r="C4882" s="35"/>
      <c r="D4882" s="35"/>
      <c r="E4882" s="36"/>
      <c r="F4882" s="30" t="s">
        <v>514</v>
      </c>
      <c r="G4882" s="33" t="str">
        <f t="shared" ref="G4882:G4945" si="92">IF(ISNUMBER(F4882),E4882*F4882,"")</f>
        <v/>
      </c>
      <c r="H4882" s="34"/>
      <c r="I4882" s="30"/>
      <c r="J4882" s="148">
        <v>0</v>
      </c>
      <c r="K4882" s="222">
        <v>0</v>
      </c>
    </row>
    <row r="4883" spans="1:11" ht="15.75" hidden="1" thickBot="1" x14ac:dyDescent="0.3">
      <c r="A4883" s="202" t="s">
        <v>3390</v>
      </c>
      <c r="B4883" s="204" t="str">
        <f>INDEX(Orçamentária!A:B,MATCH(Composições!A4883,Orçamentária!A:A,0),2)</f>
        <v>Bacia convencional – Linha Residencial</v>
      </c>
      <c r="C4883" s="40"/>
      <c r="D4883" s="25" t="str">
        <f>TRIM(INDEX(Orçamentária!C:C,MATCH(Composições!A4883,Orçamentária!A:A,0),1))</f>
        <v>un</v>
      </c>
      <c r="E4883" s="26"/>
      <c r="F4883" s="41" t="s">
        <v>514</v>
      </c>
      <c r="G4883" s="27" t="str">
        <f t="shared" si="92"/>
        <v/>
      </c>
      <c r="H4883" s="28"/>
      <c r="I4883" s="29"/>
      <c r="J4883" s="148">
        <v>20</v>
      </c>
      <c r="K4883" s="222" t="s">
        <v>8074</v>
      </c>
    </row>
    <row r="4884" spans="1:11" hidden="1" x14ac:dyDescent="0.25">
      <c r="A4884" s="203"/>
      <c r="B4884" s="205"/>
      <c r="C4884" s="31"/>
      <c r="D4884" s="31"/>
      <c r="E4884" s="32"/>
      <c r="F4884" s="42" t="s">
        <v>514</v>
      </c>
      <c r="G4884" s="30" t="str">
        <f t="shared" si="92"/>
        <v/>
      </c>
      <c r="H4884" s="34"/>
      <c r="I4884" s="30"/>
      <c r="J4884" s="148">
        <v>20</v>
      </c>
      <c r="K4884" s="222" t="s">
        <v>8074</v>
      </c>
    </row>
    <row r="4885" spans="1:11" ht="25.5" hidden="1" x14ac:dyDescent="0.25">
      <c r="A4885" s="203"/>
      <c r="B4885" s="205"/>
      <c r="C4885" s="35" t="s">
        <v>3550</v>
      </c>
      <c r="D4885" s="46" t="s">
        <v>278</v>
      </c>
      <c r="E4885" s="36">
        <v>1</v>
      </c>
      <c r="F4885" s="33">
        <v>693.44</v>
      </c>
      <c r="G4885" s="33">
        <f t="shared" si="92"/>
        <v>693.44</v>
      </c>
      <c r="H4885" s="38">
        <f>SUM(G4885:G4891)</f>
        <v>903.40013545000011</v>
      </c>
      <c r="I4885" s="39"/>
      <c r="J4885" s="148">
        <v>20</v>
      </c>
      <c r="K4885" s="222" t="s">
        <v>8074</v>
      </c>
    </row>
    <row r="4886" spans="1:11" ht="25.5" hidden="1" x14ac:dyDescent="0.25">
      <c r="A4886" s="203"/>
      <c r="B4886" s="205"/>
      <c r="C4886" s="35" t="s">
        <v>301</v>
      </c>
      <c r="D4886" s="35" t="s">
        <v>20</v>
      </c>
      <c r="E4886" s="36">
        <v>1</v>
      </c>
      <c r="F4886" s="33">
        <v>127.93</v>
      </c>
      <c r="G4886" s="33">
        <f t="shared" si="92"/>
        <v>127.93</v>
      </c>
      <c r="H4886" s="34"/>
      <c r="I4886" s="30"/>
      <c r="J4886" s="148">
        <v>20</v>
      </c>
      <c r="K4886" s="222" t="s">
        <v>8074</v>
      </c>
    </row>
    <row r="4887" spans="1:11" ht="25.5" hidden="1" x14ac:dyDescent="0.25">
      <c r="A4887" s="203"/>
      <c r="B4887" s="205"/>
      <c r="C4887" s="35" t="s">
        <v>328</v>
      </c>
      <c r="D4887" s="46" t="s">
        <v>278</v>
      </c>
      <c r="E4887" s="36">
        <v>2</v>
      </c>
      <c r="F4887" s="33">
        <v>21.716999999999999</v>
      </c>
      <c r="G4887" s="33">
        <f t="shared" si="92"/>
        <v>43.433999999999997</v>
      </c>
      <c r="H4887" s="34"/>
      <c r="I4887" s="30"/>
      <c r="J4887" s="148">
        <v>20</v>
      </c>
      <c r="K4887" s="222" t="s">
        <v>8074</v>
      </c>
    </row>
    <row r="4888" spans="1:11" ht="25.5" hidden="1" x14ac:dyDescent="0.25">
      <c r="A4888" s="203"/>
      <c r="B4888" s="205"/>
      <c r="C4888" s="35" t="s">
        <v>6598</v>
      </c>
      <c r="D4888" s="46" t="s">
        <v>20</v>
      </c>
      <c r="E4888" s="36">
        <v>1</v>
      </c>
      <c r="F4888" s="33">
        <v>14.3925</v>
      </c>
      <c r="G4888" s="53">
        <f t="shared" si="92"/>
        <v>14.3925</v>
      </c>
      <c r="H4888" s="34"/>
      <c r="I4888" s="30"/>
      <c r="J4888" s="148">
        <v>20</v>
      </c>
      <c r="K4888" s="222" t="s">
        <v>8074</v>
      </c>
    </row>
    <row r="4889" spans="1:11" hidden="1" x14ac:dyDescent="0.25">
      <c r="A4889" s="203"/>
      <c r="B4889" s="205"/>
      <c r="C4889" s="35" t="s">
        <v>3514</v>
      </c>
      <c r="D4889" s="46" t="s">
        <v>42</v>
      </c>
      <c r="E4889" s="36">
        <v>8.8099999999999998E-2</v>
      </c>
      <c r="F4889" s="33">
        <v>64.619</v>
      </c>
      <c r="G4889" s="33">
        <f t="shared" si="92"/>
        <v>5.6929338999999999</v>
      </c>
      <c r="H4889" s="34"/>
      <c r="I4889" s="30"/>
      <c r="J4889" s="148">
        <v>20</v>
      </c>
      <c r="K4889" s="222" t="s">
        <v>8074</v>
      </c>
    </row>
    <row r="4890" spans="1:11" hidden="1" x14ac:dyDescent="0.25">
      <c r="A4890" s="203"/>
      <c r="B4890" s="205"/>
      <c r="C4890" s="35" t="s">
        <v>39</v>
      </c>
      <c r="D4890" s="46" t="s">
        <v>12</v>
      </c>
      <c r="E4890" s="36">
        <v>0.49680000000000002</v>
      </c>
      <c r="F4890" s="30">
        <v>24.300999999999998</v>
      </c>
      <c r="G4890" s="33">
        <f t="shared" si="92"/>
        <v>12.072736799999999</v>
      </c>
      <c r="H4890" s="34"/>
      <c r="I4890" s="30"/>
      <c r="J4890" s="148">
        <v>20</v>
      </c>
      <c r="K4890" s="222" t="s">
        <v>8074</v>
      </c>
    </row>
    <row r="4891" spans="1:11" hidden="1" x14ac:dyDescent="0.25">
      <c r="A4891" s="203"/>
      <c r="B4891" s="205"/>
      <c r="C4891" s="35" t="s">
        <v>23</v>
      </c>
      <c r="D4891" s="46" t="s">
        <v>12</v>
      </c>
      <c r="E4891" s="36">
        <v>0.34949999999999998</v>
      </c>
      <c r="F4891" s="30">
        <v>18.420500000000001</v>
      </c>
      <c r="G4891" s="33">
        <f t="shared" si="92"/>
        <v>6.4379647499999999</v>
      </c>
      <c r="H4891" s="34"/>
      <c r="I4891" s="30"/>
      <c r="J4891" s="148">
        <v>20</v>
      </c>
      <c r="K4891" s="222" t="s">
        <v>8074</v>
      </c>
    </row>
    <row r="4892" spans="1:11" ht="15.75" hidden="1" thickBot="1" x14ac:dyDescent="0.3">
      <c r="A4892" s="209"/>
      <c r="B4892" s="206"/>
      <c r="C4892" s="35"/>
      <c r="D4892" s="35"/>
      <c r="E4892" s="36"/>
      <c r="F4892" s="30" t="s">
        <v>514</v>
      </c>
      <c r="G4892" s="30" t="str">
        <f t="shared" si="92"/>
        <v/>
      </c>
      <c r="H4892" s="34"/>
      <c r="I4892" s="30"/>
      <c r="J4892" s="148">
        <v>20</v>
      </c>
      <c r="K4892" s="222" t="s">
        <v>8074</v>
      </c>
    </row>
    <row r="4893" spans="1:11" ht="15.75" hidden="1" thickBot="1" x14ac:dyDescent="0.3">
      <c r="A4893" s="202" t="s">
        <v>3391</v>
      </c>
      <c r="B4893" s="204" t="str">
        <f>INDEX(Orçamentária!A:B,MATCH(Composições!A4893,Orçamentária!A:A,0),2)</f>
        <v>Bidê 3 furos - Linha Residencial</v>
      </c>
      <c r="C4893" s="40"/>
      <c r="D4893" s="25" t="str">
        <f>TRIM(INDEX(Orçamentária!C:C,MATCH(Composições!A4893,Orçamentária!A:A,0),1))</f>
        <v>un</v>
      </c>
      <c r="E4893" s="26"/>
      <c r="F4893" s="41" t="s">
        <v>514</v>
      </c>
      <c r="G4893" s="27" t="str">
        <f t="shared" si="92"/>
        <v/>
      </c>
      <c r="H4893" s="28"/>
      <c r="I4893" s="29"/>
      <c r="J4893" s="148">
        <v>15</v>
      </c>
      <c r="K4893" s="222" t="s">
        <v>8074</v>
      </c>
    </row>
    <row r="4894" spans="1:11" hidden="1" x14ac:dyDescent="0.25">
      <c r="A4894" s="203"/>
      <c r="B4894" s="205"/>
      <c r="C4894" s="31"/>
      <c r="D4894" s="31"/>
      <c r="E4894" s="32"/>
      <c r="F4894" s="42" t="s">
        <v>514</v>
      </c>
      <c r="G4894" s="30" t="str">
        <f t="shared" si="92"/>
        <v/>
      </c>
      <c r="H4894" s="34"/>
      <c r="I4894" s="30"/>
      <c r="J4894" s="148">
        <v>15</v>
      </c>
      <c r="K4894" s="222" t="s">
        <v>8074</v>
      </c>
    </row>
    <row r="4895" spans="1:11" hidden="1" x14ac:dyDescent="0.25">
      <c r="A4895" s="203"/>
      <c r="B4895" s="205"/>
      <c r="C4895" s="35" t="s">
        <v>3548</v>
      </c>
      <c r="D4895" s="46" t="s">
        <v>278</v>
      </c>
      <c r="E4895" s="36">
        <v>1</v>
      </c>
      <c r="F4895" s="33">
        <v>593.84</v>
      </c>
      <c r="G4895" s="33">
        <f t="shared" si="92"/>
        <v>593.84</v>
      </c>
      <c r="H4895" s="38">
        <f>SUM(G4895:G4900)</f>
        <v>675.87013545000002</v>
      </c>
      <c r="I4895" s="39"/>
      <c r="J4895" s="148">
        <v>15</v>
      </c>
      <c r="K4895" s="222" t="s">
        <v>8074</v>
      </c>
    </row>
    <row r="4896" spans="1:11" ht="25.5" hidden="1" x14ac:dyDescent="0.25">
      <c r="A4896" s="203"/>
      <c r="B4896" s="205"/>
      <c r="C4896" s="35" t="s">
        <v>6598</v>
      </c>
      <c r="D4896" s="46" t="s">
        <v>20</v>
      </c>
      <c r="E4896" s="36">
        <v>1</v>
      </c>
      <c r="F4896" s="33">
        <v>14.3925</v>
      </c>
      <c r="G4896" s="53">
        <f t="shared" si="92"/>
        <v>14.3925</v>
      </c>
      <c r="H4896" s="34"/>
      <c r="I4896" s="30"/>
      <c r="J4896" s="148">
        <v>15</v>
      </c>
      <c r="K4896" s="222" t="s">
        <v>8074</v>
      </c>
    </row>
    <row r="4897" spans="1:11" ht="25.5" hidden="1" x14ac:dyDescent="0.25">
      <c r="A4897" s="203"/>
      <c r="B4897" s="205"/>
      <c r="C4897" s="35" t="s">
        <v>328</v>
      </c>
      <c r="D4897" s="46" t="s">
        <v>278</v>
      </c>
      <c r="E4897" s="36">
        <v>2</v>
      </c>
      <c r="F4897" s="33">
        <v>21.716999999999999</v>
      </c>
      <c r="G4897" s="33">
        <f t="shared" si="92"/>
        <v>43.433999999999997</v>
      </c>
      <c r="H4897" s="34"/>
      <c r="I4897" s="30"/>
      <c r="J4897" s="148">
        <v>15</v>
      </c>
      <c r="K4897" s="222" t="s">
        <v>8074</v>
      </c>
    </row>
    <row r="4898" spans="1:11" hidden="1" x14ac:dyDescent="0.25">
      <c r="A4898" s="203"/>
      <c r="B4898" s="205"/>
      <c r="C4898" s="35" t="s">
        <v>3514</v>
      </c>
      <c r="D4898" s="46" t="s">
        <v>42</v>
      </c>
      <c r="E4898" s="36">
        <v>8.8099999999999998E-2</v>
      </c>
      <c r="F4898" s="33">
        <v>64.619</v>
      </c>
      <c r="G4898" s="33">
        <f t="shared" si="92"/>
        <v>5.6929338999999999</v>
      </c>
      <c r="H4898" s="34"/>
      <c r="I4898" s="30"/>
      <c r="J4898" s="148">
        <v>15</v>
      </c>
      <c r="K4898" s="222" t="s">
        <v>8074</v>
      </c>
    </row>
    <row r="4899" spans="1:11" hidden="1" x14ac:dyDescent="0.25">
      <c r="A4899" s="203"/>
      <c r="B4899" s="205"/>
      <c r="C4899" s="35" t="s">
        <v>39</v>
      </c>
      <c r="D4899" s="46" t="s">
        <v>12</v>
      </c>
      <c r="E4899" s="36">
        <v>0.49680000000000002</v>
      </c>
      <c r="F4899" s="30">
        <v>24.300999999999998</v>
      </c>
      <c r="G4899" s="33">
        <f t="shared" si="92"/>
        <v>12.072736799999999</v>
      </c>
      <c r="H4899" s="34"/>
      <c r="I4899" s="30"/>
      <c r="J4899" s="148">
        <v>15</v>
      </c>
      <c r="K4899" s="222" t="s">
        <v>8074</v>
      </c>
    </row>
    <row r="4900" spans="1:11" hidden="1" x14ac:dyDescent="0.25">
      <c r="A4900" s="203"/>
      <c r="B4900" s="205"/>
      <c r="C4900" s="35" t="s">
        <v>23</v>
      </c>
      <c r="D4900" s="46" t="s">
        <v>12</v>
      </c>
      <c r="E4900" s="36">
        <v>0.34949999999999998</v>
      </c>
      <c r="F4900" s="30">
        <v>18.420500000000001</v>
      </c>
      <c r="G4900" s="33">
        <f t="shared" si="92"/>
        <v>6.4379647499999999</v>
      </c>
      <c r="H4900" s="34"/>
      <c r="I4900" s="30"/>
      <c r="J4900" s="148">
        <v>15</v>
      </c>
      <c r="K4900" s="222" t="s">
        <v>8074</v>
      </c>
    </row>
    <row r="4901" spans="1:11" ht="15.75" hidden="1" thickBot="1" x14ac:dyDescent="0.3">
      <c r="A4901" s="209"/>
      <c r="B4901" s="206"/>
      <c r="C4901" s="35"/>
      <c r="D4901" s="35"/>
      <c r="E4901" s="36"/>
      <c r="F4901" s="30" t="s">
        <v>514</v>
      </c>
      <c r="G4901" s="30" t="str">
        <f t="shared" si="92"/>
        <v/>
      </c>
      <c r="H4901" s="34"/>
      <c r="I4901" s="30"/>
      <c r="J4901" s="148">
        <v>15</v>
      </c>
      <c r="K4901" s="222" t="s">
        <v>8074</v>
      </c>
    </row>
    <row r="4902" spans="1:11" ht="15.75" hidden="1" thickBot="1" x14ac:dyDescent="0.3">
      <c r="A4902" s="202" t="s">
        <v>3394</v>
      </c>
      <c r="B4902" s="204" t="str">
        <f>INDEX(Orçamentária!A:B,MATCH(Composições!A4902,Orçamentária!A:A,0),2)</f>
        <v>Chuveiro de metal com tubo de parede – Linha Residencial</v>
      </c>
      <c r="C4902" s="40"/>
      <c r="D4902" s="25" t="str">
        <f>TRIM(INDEX(Orçamentária!C:C,MATCH(Composições!A4902,Orçamentária!A:A,0),1))</f>
        <v>un</v>
      </c>
      <c r="E4902" s="26"/>
      <c r="F4902" s="48" t="s">
        <v>514</v>
      </c>
      <c r="G4902" s="27" t="str">
        <f t="shared" si="92"/>
        <v/>
      </c>
      <c r="H4902" s="28"/>
      <c r="I4902" s="29"/>
      <c r="J4902" s="148">
        <v>25</v>
      </c>
      <c r="K4902" s="222" t="s">
        <v>8074</v>
      </c>
    </row>
    <row r="4903" spans="1:11" hidden="1" x14ac:dyDescent="0.25">
      <c r="A4903" s="207"/>
      <c r="B4903" s="205"/>
      <c r="C4903" s="31"/>
      <c r="D4903" s="31"/>
      <c r="E4903" s="32"/>
      <c r="F4903" s="53" t="s">
        <v>514</v>
      </c>
      <c r="G4903" s="53" t="str">
        <f t="shared" si="92"/>
        <v/>
      </c>
      <c r="H4903" s="72"/>
      <c r="I4903" s="73"/>
      <c r="J4903" s="148">
        <v>25</v>
      </c>
      <c r="K4903" s="222" t="s">
        <v>8074</v>
      </c>
    </row>
    <row r="4904" spans="1:11" ht="25.5" hidden="1" x14ac:dyDescent="0.25">
      <c r="A4904" s="207"/>
      <c r="B4904" s="205"/>
      <c r="C4904" s="35" t="s">
        <v>3549</v>
      </c>
      <c r="D4904" s="35" t="s">
        <v>278</v>
      </c>
      <c r="E4904" s="36">
        <v>1</v>
      </c>
      <c r="F4904" s="53">
        <v>311</v>
      </c>
      <c r="G4904" s="53">
        <f t="shared" si="92"/>
        <v>311</v>
      </c>
      <c r="H4904" s="38">
        <f>SUM(G4904:G4907)</f>
        <v>324.53180854999999</v>
      </c>
      <c r="I4904" s="39"/>
      <c r="J4904" s="148">
        <v>25</v>
      </c>
      <c r="K4904" s="222" t="s">
        <v>8074</v>
      </c>
    </row>
    <row r="4905" spans="1:11" hidden="1" x14ac:dyDescent="0.25">
      <c r="A4905" s="207"/>
      <c r="B4905" s="205"/>
      <c r="C4905" s="35" t="s">
        <v>1058</v>
      </c>
      <c r="D4905" s="35" t="s">
        <v>278</v>
      </c>
      <c r="E4905" s="36">
        <v>2.1000000000000001E-2</v>
      </c>
      <c r="F4905" s="53">
        <v>4.0374999999999996</v>
      </c>
      <c r="G4905" s="53">
        <f t="shared" si="92"/>
        <v>8.4787500000000002E-2</v>
      </c>
      <c r="H4905" s="72"/>
      <c r="I4905" s="73"/>
      <c r="J4905" s="148">
        <v>25</v>
      </c>
      <c r="K4905" s="222" t="s">
        <v>8074</v>
      </c>
    </row>
    <row r="4906" spans="1:11" ht="25.5" hidden="1" x14ac:dyDescent="0.25">
      <c r="A4906" s="207"/>
      <c r="B4906" s="205"/>
      <c r="C4906" s="35" t="s">
        <v>944</v>
      </c>
      <c r="D4906" s="35" t="s">
        <v>695</v>
      </c>
      <c r="E4906" s="36">
        <v>0.44669999999999999</v>
      </c>
      <c r="F4906" s="53">
        <v>24.300999999999998</v>
      </c>
      <c r="G4906" s="53">
        <f t="shared" si="92"/>
        <v>10.855256699999998</v>
      </c>
      <c r="H4906" s="72"/>
      <c r="I4906" s="73"/>
      <c r="J4906" s="148">
        <v>25</v>
      </c>
      <c r="K4906" s="222" t="s">
        <v>8074</v>
      </c>
    </row>
    <row r="4907" spans="1:11" hidden="1" x14ac:dyDescent="0.25">
      <c r="A4907" s="207"/>
      <c r="B4907" s="205"/>
      <c r="C4907" s="35" t="s">
        <v>696</v>
      </c>
      <c r="D4907" s="35" t="s">
        <v>695</v>
      </c>
      <c r="E4907" s="36">
        <v>0.14069999999999999</v>
      </c>
      <c r="F4907" s="53">
        <v>18.420500000000001</v>
      </c>
      <c r="G4907" s="53">
        <f t="shared" si="92"/>
        <v>2.5917643500000001</v>
      </c>
      <c r="H4907" s="72"/>
      <c r="I4907" s="73"/>
      <c r="J4907" s="148">
        <v>25</v>
      </c>
      <c r="K4907" s="222" t="s">
        <v>8074</v>
      </c>
    </row>
    <row r="4908" spans="1:11" ht="15.75" hidden="1" thickBot="1" x14ac:dyDescent="0.3">
      <c r="A4908" s="208"/>
      <c r="B4908" s="206"/>
      <c r="C4908" s="35"/>
      <c r="D4908" s="35"/>
      <c r="E4908" s="36"/>
      <c r="F4908" s="53" t="s">
        <v>514</v>
      </c>
      <c r="G4908" s="53" t="str">
        <f t="shared" si="92"/>
        <v/>
      </c>
      <c r="H4908" s="72"/>
      <c r="I4908" s="73"/>
      <c r="J4908" s="148">
        <v>25</v>
      </c>
      <c r="K4908" s="222" t="s">
        <v>8074</v>
      </c>
    </row>
    <row r="4909" spans="1:11" ht="15.75" hidden="1" thickBot="1" x14ac:dyDescent="0.3">
      <c r="A4909" s="202" t="s">
        <v>3395</v>
      </c>
      <c r="B4909" s="204" t="str">
        <f>INDEX(Orçamentária!A:B,MATCH(Composições!A4909,Orçamentária!A:A,0),2)</f>
        <v>Misturador para bidê – Linha Residencial</v>
      </c>
      <c r="C4909" s="40"/>
      <c r="D4909" s="25" t="str">
        <f>TRIM(INDEX(Orçamentária!C:C,MATCH(Composições!A4909,Orçamentária!A:A,0),1))</f>
        <v>un</v>
      </c>
      <c r="E4909" s="26"/>
      <c r="F4909" s="48" t="s">
        <v>514</v>
      </c>
      <c r="G4909" s="27" t="str">
        <f t="shared" si="92"/>
        <v/>
      </c>
      <c r="H4909" s="28"/>
      <c r="I4909" s="29"/>
      <c r="J4909" s="148">
        <v>15</v>
      </c>
      <c r="K4909" s="222" t="s">
        <v>8074</v>
      </c>
    </row>
    <row r="4910" spans="1:11" hidden="1" x14ac:dyDescent="0.25">
      <c r="A4910" s="207"/>
      <c r="B4910" s="205"/>
      <c r="C4910" s="31"/>
      <c r="D4910" s="31"/>
      <c r="E4910" s="32"/>
      <c r="F4910" s="53" t="s">
        <v>514</v>
      </c>
      <c r="G4910" s="53" t="str">
        <f t="shared" si="92"/>
        <v/>
      </c>
      <c r="H4910" s="72"/>
      <c r="I4910" s="73"/>
      <c r="J4910" s="148">
        <v>15</v>
      </c>
      <c r="K4910" s="222" t="s">
        <v>8074</v>
      </c>
    </row>
    <row r="4911" spans="1:11" hidden="1" x14ac:dyDescent="0.25">
      <c r="A4911" s="207"/>
      <c r="B4911" s="205"/>
      <c r="C4911" s="35" t="s">
        <v>1058</v>
      </c>
      <c r="D4911" s="35" t="s">
        <v>278</v>
      </c>
      <c r="E4911" s="36">
        <v>4.2000000000000003E-2</v>
      </c>
      <c r="F4911" s="53">
        <v>4.0374999999999996</v>
      </c>
      <c r="G4911" s="53">
        <f t="shared" si="92"/>
        <v>0.169575</v>
      </c>
      <c r="H4911" s="38">
        <f>SUM(G4911:G4914)</f>
        <v>1108.7576213000002</v>
      </c>
      <c r="I4911" s="39"/>
      <c r="J4911" s="148">
        <v>15</v>
      </c>
      <c r="K4911" s="222" t="s">
        <v>8074</v>
      </c>
    </row>
    <row r="4912" spans="1:11" hidden="1" x14ac:dyDescent="0.25">
      <c r="A4912" s="207"/>
      <c r="B4912" s="205"/>
      <c r="C4912" s="35" t="s">
        <v>3547</v>
      </c>
      <c r="D4912" s="35" t="s">
        <v>278</v>
      </c>
      <c r="E4912" s="36">
        <v>1</v>
      </c>
      <c r="F4912" s="53">
        <v>1094.6400000000001</v>
      </c>
      <c r="G4912" s="53">
        <f t="shared" si="92"/>
        <v>1094.6400000000001</v>
      </c>
      <c r="H4912" s="72"/>
      <c r="I4912" s="73"/>
      <c r="J4912" s="148">
        <v>15</v>
      </c>
      <c r="K4912" s="222" t="s">
        <v>8074</v>
      </c>
    </row>
    <row r="4913" spans="1:11" ht="25.5" hidden="1" x14ac:dyDescent="0.25">
      <c r="A4913" s="207"/>
      <c r="B4913" s="205"/>
      <c r="C4913" s="35" t="s">
        <v>944</v>
      </c>
      <c r="D4913" s="35" t="s">
        <v>695</v>
      </c>
      <c r="E4913" s="36">
        <v>0.46329999999999999</v>
      </c>
      <c r="F4913" s="53">
        <v>24.300999999999998</v>
      </c>
      <c r="G4913" s="53">
        <f t="shared" si="92"/>
        <v>11.258653299999999</v>
      </c>
      <c r="H4913" s="72"/>
      <c r="I4913" s="73"/>
      <c r="J4913" s="148">
        <v>15</v>
      </c>
      <c r="K4913" s="222" t="s">
        <v>8074</v>
      </c>
    </row>
    <row r="4914" spans="1:11" hidden="1" x14ac:dyDescent="0.25">
      <c r="A4914" s="207"/>
      <c r="B4914" s="205"/>
      <c r="C4914" s="35" t="s">
        <v>696</v>
      </c>
      <c r="D4914" s="35" t="s">
        <v>695</v>
      </c>
      <c r="E4914" s="36">
        <v>0.14599999999999999</v>
      </c>
      <c r="F4914" s="53">
        <v>18.420500000000001</v>
      </c>
      <c r="G4914" s="53">
        <f t="shared" si="92"/>
        <v>2.6893929999999999</v>
      </c>
      <c r="H4914" s="72"/>
      <c r="I4914" s="73"/>
      <c r="J4914" s="148">
        <v>15</v>
      </c>
      <c r="K4914" s="222" t="s">
        <v>8074</v>
      </c>
    </row>
    <row r="4915" spans="1:11" ht="15.75" hidden="1" thickBot="1" x14ac:dyDescent="0.3">
      <c r="A4915" s="208"/>
      <c r="B4915" s="206"/>
      <c r="C4915" s="35"/>
      <c r="D4915" s="35"/>
      <c r="E4915" s="36"/>
      <c r="F4915" s="53" t="s">
        <v>514</v>
      </c>
      <c r="G4915" s="53" t="str">
        <f t="shared" si="92"/>
        <v/>
      </c>
      <c r="H4915" s="72"/>
      <c r="I4915" s="73"/>
      <c r="J4915" s="148">
        <v>15</v>
      </c>
      <c r="K4915" s="222" t="s">
        <v>8074</v>
      </c>
    </row>
    <row r="4916" spans="1:11" ht="15.75" hidden="1" thickBot="1" x14ac:dyDescent="0.3">
      <c r="A4916" s="202" t="s">
        <v>3396</v>
      </c>
      <c r="B4916" s="204" t="str">
        <f>INDEX(Orçamentária!A:B,MATCH(Composições!A4916,Orçamentária!A:A,0),2)</f>
        <v>Misturador de mesa para cozinha bica móvel – Linha Residencial</v>
      </c>
      <c r="C4916" s="40"/>
      <c r="D4916" s="25" t="str">
        <f>TRIM(INDEX(Orçamentária!C:C,MATCH(Composições!A4916,Orçamentária!A:A,0),1))</f>
        <v>un</v>
      </c>
      <c r="E4916" s="26"/>
      <c r="F4916" s="48" t="s">
        <v>514</v>
      </c>
      <c r="G4916" s="27" t="str">
        <f t="shared" si="92"/>
        <v/>
      </c>
      <c r="H4916" s="28"/>
      <c r="I4916" s="29"/>
      <c r="J4916" s="148">
        <v>15</v>
      </c>
      <c r="K4916" s="222" t="s">
        <v>8074</v>
      </c>
    </row>
    <row r="4917" spans="1:11" hidden="1" x14ac:dyDescent="0.25">
      <c r="A4917" s="207"/>
      <c r="B4917" s="205"/>
      <c r="C4917" s="31"/>
      <c r="D4917" s="31"/>
      <c r="E4917" s="32"/>
      <c r="F4917" s="53" t="s">
        <v>514</v>
      </c>
      <c r="G4917" s="53" t="str">
        <f t="shared" si="92"/>
        <v/>
      </c>
      <c r="H4917" s="72"/>
      <c r="I4917" s="73"/>
      <c r="J4917" s="148">
        <v>15</v>
      </c>
      <c r="K4917" s="222" t="s">
        <v>8074</v>
      </c>
    </row>
    <row r="4918" spans="1:11" hidden="1" x14ac:dyDescent="0.25">
      <c r="A4918" s="207"/>
      <c r="B4918" s="205"/>
      <c r="C4918" s="35" t="s">
        <v>1058</v>
      </c>
      <c r="D4918" s="35" t="s">
        <v>278</v>
      </c>
      <c r="E4918" s="36">
        <v>4.2000000000000003E-2</v>
      </c>
      <c r="F4918" s="53">
        <v>4.0374999999999996</v>
      </c>
      <c r="G4918" s="53">
        <f t="shared" si="92"/>
        <v>0.169575</v>
      </c>
      <c r="H4918" s="38">
        <f>SUM(G4918:G4921)</f>
        <v>627.96140530000014</v>
      </c>
      <c r="I4918" s="39"/>
      <c r="J4918" s="148">
        <v>15</v>
      </c>
      <c r="K4918" s="222" t="s">
        <v>8074</v>
      </c>
    </row>
    <row r="4919" spans="1:11" ht="25.5" hidden="1" x14ac:dyDescent="0.25">
      <c r="A4919" s="207"/>
      <c r="B4919" s="205"/>
      <c r="C4919" s="35" t="s">
        <v>3546</v>
      </c>
      <c r="D4919" s="35" t="s">
        <v>278</v>
      </c>
      <c r="E4919" s="36">
        <v>1</v>
      </c>
      <c r="F4919" s="53">
        <v>620.97</v>
      </c>
      <c r="G4919" s="53">
        <f t="shared" si="92"/>
        <v>620.97</v>
      </c>
      <c r="H4919" s="72"/>
      <c r="I4919" s="73"/>
      <c r="J4919" s="148">
        <v>15</v>
      </c>
      <c r="K4919" s="222" t="s">
        <v>8074</v>
      </c>
    </row>
    <row r="4920" spans="1:11" ht="25.5" hidden="1" x14ac:dyDescent="0.25">
      <c r="A4920" s="207"/>
      <c r="B4920" s="205"/>
      <c r="C4920" s="35" t="s">
        <v>944</v>
      </c>
      <c r="D4920" s="35" t="s">
        <v>695</v>
      </c>
      <c r="E4920" s="36">
        <v>0.2266</v>
      </c>
      <c r="F4920" s="53">
        <v>24.300999999999998</v>
      </c>
      <c r="G4920" s="53">
        <f t="shared" si="92"/>
        <v>5.5066065999999996</v>
      </c>
      <c r="H4920" s="72"/>
      <c r="I4920" s="73"/>
      <c r="J4920" s="148">
        <v>15</v>
      </c>
      <c r="K4920" s="222" t="s">
        <v>8074</v>
      </c>
    </row>
    <row r="4921" spans="1:11" hidden="1" x14ac:dyDescent="0.25">
      <c r="A4921" s="207"/>
      <c r="B4921" s="205"/>
      <c r="C4921" s="35" t="s">
        <v>696</v>
      </c>
      <c r="D4921" s="35" t="s">
        <v>695</v>
      </c>
      <c r="E4921" s="36">
        <v>7.1400000000000005E-2</v>
      </c>
      <c r="F4921" s="53">
        <v>18.420500000000001</v>
      </c>
      <c r="G4921" s="53">
        <f t="shared" si="92"/>
        <v>1.3152237000000002</v>
      </c>
      <c r="H4921" s="72"/>
      <c r="I4921" s="73"/>
      <c r="J4921" s="148">
        <v>15</v>
      </c>
      <c r="K4921" s="222" t="s">
        <v>8074</v>
      </c>
    </row>
    <row r="4922" spans="1:11" ht="15.75" hidden="1" thickBot="1" x14ac:dyDescent="0.3">
      <c r="A4922" s="208"/>
      <c r="B4922" s="206"/>
      <c r="C4922" s="35"/>
      <c r="D4922" s="35"/>
      <c r="E4922" s="36"/>
      <c r="F4922" s="53" t="s">
        <v>514</v>
      </c>
      <c r="G4922" s="53" t="str">
        <f t="shared" si="92"/>
        <v/>
      </c>
      <c r="H4922" s="72"/>
      <c r="I4922" s="73"/>
      <c r="J4922" s="148">
        <v>15</v>
      </c>
      <c r="K4922" s="222" t="s">
        <v>8074</v>
      </c>
    </row>
    <row r="4923" spans="1:11" ht="15.75" hidden="1" thickBot="1" x14ac:dyDescent="0.3">
      <c r="A4923" s="202" t="s">
        <v>3397</v>
      </c>
      <c r="B4923" s="204" t="str">
        <f>INDEX(Orçamentária!A:B,MATCH(Composições!A4923,Orçamentária!A:A,0),2)</f>
        <v>Misturador de mesa para lavatório bica alta – Linha Residencial</v>
      </c>
      <c r="C4923" s="40"/>
      <c r="D4923" s="25" t="str">
        <f>TRIM(INDEX(Orçamentária!C:C,MATCH(Composições!A4923,Orçamentária!A:A,0),1))</f>
        <v>un</v>
      </c>
      <c r="E4923" s="26"/>
      <c r="F4923" s="48" t="s">
        <v>514</v>
      </c>
      <c r="G4923" s="27" t="str">
        <f t="shared" si="92"/>
        <v/>
      </c>
      <c r="H4923" s="28"/>
      <c r="I4923" s="29"/>
      <c r="J4923" s="148">
        <v>15</v>
      </c>
      <c r="K4923" s="222" t="s">
        <v>8074</v>
      </c>
    </row>
    <row r="4924" spans="1:11" hidden="1" x14ac:dyDescent="0.25">
      <c r="A4924" s="207"/>
      <c r="B4924" s="205"/>
      <c r="C4924" s="31"/>
      <c r="D4924" s="31"/>
      <c r="E4924" s="32"/>
      <c r="F4924" s="53" t="s">
        <v>514</v>
      </c>
      <c r="G4924" s="53" t="str">
        <f t="shared" si="92"/>
        <v/>
      </c>
      <c r="H4924" s="72"/>
      <c r="I4924" s="73"/>
      <c r="J4924" s="148">
        <v>15</v>
      </c>
      <c r="K4924" s="222" t="s">
        <v>8074</v>
      </c>
    </row>
    <row r="4925" spans="1:11" hidden="1" x14ac:dyDescent="0.25">
      <c r="A4925" s="207"/>
      <c r="B4925" s="205"/>
      <c r="C4925" s="35" t="s">
        <v>1058</v>
      </c>
      <c r="D4925" s="35" t="s">
        <v>278</v>
      </c>
      <c r="E4925" s="36">
        <v>4.2000000000000003E-2</v>
      </c>
      <c r="F4925" s="53">
        <v>4.0374999999999996</v>
      </c>
      <c r="G4925" s="53">
        <f t="shared" si="92"/>
        <v>0.169575</v>
      </c>
      <c r="H4925" s="38">
        <f>SUM(G4925:G4928)</f>
        <v>608.4876213</v>
      </c>
      <c r="I4925" s="39"/>
      <c r="J4925" s="148">
        <v>15</v>
      </c>
      <c r="K4925" s="222" t="s">
        <v>8074</v>
      </c>
    </row>
    <row r="4926" spans="1:11" ht="25.5" hidden="1" x14ac:dyDescent="0.25">
      <c r="A4926" s="207"/>
      <c r="B4926" s="205"/>
      <c r="C4926" s="35" t="s">
        <v>3551</v>
      </c>
      <c r="D4926" s="35" t="s">
        <v>278</v>
      </c>
      <c r="E4926" s="36">
        <v>1</v>
      </c>
      <c r="F4926" s="53">
        <v>594.37</v>
      </c>
      <c r="G4926" s="53">
        <f t="shared" si="92"/>
        <v>594.37</v>
      </c>
      <c r="H4926" s="72"/>
      <c r="I4926" s="73"/>
      <c r="J4926" s="148">
        <v>15</v>
      </c>
      <c r="K4926" s="222" t="s">
        <v>8074</v>
      </c>
    </row>
    <row r="4927" spans="1:11" ht="25.5" hidden="1" x14ac:dyDescent="0.25">
      <c r="A4927" s="207"/>
      <c r="B4927" s="205"/>
      <c r="C4927" s="35" t="s">
        <v>944</v>
      </c>
      <c r="D4927" s="35" t="s">
        <v>695</v>
      </c>
      <c r="E4927" s="36">
        <v>0.46329999999999999</v>
      </c>
      <c r="F4927" s="53">
        <v>24.300999999999998</v>
      </c>
      <c r="G4927" s="53">
        <f t="shared" si="92"/>
        <v>11.258653299999999</v>
      </c>
      <c r="H4927" s="72"/>
      <c r="I4927" s="73"/>
      <c r="J4927" s="148">
        <v>15</v>
      </c>
      <c r="K4927" s="222" t="s">
        <v>8074</v>
      </c>
    </row>
    <row r="4928" spans="1:11" hidden="1" x14ac:dyDescent="0.25">
      <c r="A4928" s="207"/>
      <c r="B4928" s="205"/>
      <c r="C4928" s="35" t="s">
        <v>696</v>
      </c>
      <c r="D4928" s="35" t="s">
        <v>695</v>
      </c>
      <c r="E4928" s="36">
        <v>0.14599999999999999</v>
      </c>
      <c r="F4928" s="53">
        <v>18.420500000000001</v>
      </c>
      <c r="G4928" s="53">
        <f t="shared" si="92"/>
        <v>2.6893929999999999</v>
      </c>
      <c r="H4928" s="72"/>
      <c r="I4928" s="73"/>
      <c r="J4928" s="148">
        <v>15</v>
      </c>
      <c r="K4928" s="222" t="s">
        <v>8074</v>
      </c>
    </row>
    <row r="4929" spans="1:11" ht="15.75" hidden="1" thickBot="1" x14ac:dyDescent="0.3">
      <c r="A4929" s="208"/>
      <c r="B4929" s="206"/>
      <c r="C4929" s="35"/>
      <c r="D4929" s="35"/>
      <c r="E4929" s="36"/>
      <c r="F4929" s="53" t="s">
        <v>514</v>
      </c>
      <c r="G4929" s="53" t="str">
        <f t="shared" si="92"/>
        <v/>
      </c>
      <c r="H4929" s="72"/>
      <c r="I4929" s="73"/>
      <c r="J4929" s="148">
        <v>15</v>
      </c>
      <c r="K4929" s="222" t="s">
        <v>8074</v>
      </c>
    </row>
    <row r="4930" spans="1:11" ht="15.75" hidden="1" thickBot="1" x14ac:dyDescent="0.3">
      <c r="A4930" s="202" t="s">
        <v>3398</v>
      </c>
      <c r="B4930" s="204" t="str">
        <f>INDEX(Orçamentária!A:B,MATCH(Composições!A4930,Orçamentária!A:A,0),2)</f>
        <v>Misturador de parede para cozinha bica móvel – Linha Residencial</v>
      </c>
      <c r="C4930" s="40"/>
      <c r="D4930" s="25" t="str">
        <f>TRIM(INDEX(Orçamentária!C:C,MATCH(Composições!A4930,Orçamentária!A:A,0),1))</f>
        <v>un</v>
      </c>
      <c r="E4930" s="26"/>
      <c r="F4930" s="48" t="s">
        <v>514</v>
      </c>
      <c r="G4930" s="27" t="str">
        <f t="shared" si="92"/>
        <v/>
      </c>
      <c r="H4930" s="28"/>
      <c r="I4930" s="29"/>
      <c r="J4930" s="148">
        <v>15</v>
      </c>
      <c r="K4930" s="222" t="s">
        <v>8074</v>
      </c>
    </row>
    <row r="4931" spans="1:11" hidden="1" x14ac:dyDescent="0.25">
      <c r="A4931" s="207"/>
      <c r="B4931" s="205"/>
      <c r="C4931" s="31"/>
      <c r="D4931" s="31"/>
      <c r="E4931" s="32"/>
      <c r="F4931" s="53" t="s">
        <v>514</v>
      </c>
      <c r="G4931" s="53" t="str">
        <f t="shared" si="92"/>
        <v/>
      </c>
      <c r="H4931" s="72"/>
      <c r="I4931" s="73"/>
      <c r="J4931" s="148">
        <v>15</v>
      </c>
      <c r="K4931" s="222" t="s">
        <v>8074</v>
      </c>
    </row>
    <row r="4932" spans="1:11" hidden="1" x14ac:dyDescent="0.25">
      <c r="A4932" s="207"/>
      <c r="B4932" s="205"/>
      <c r="C4932" s="35" t="s">
        <v>1058</v>
      </c>
      <c r="D4932" s="35" t="s">
        <v>278</v>
      </c>
      <c r="E4932" s="36">
        <v>4.2000000000000003E-2</v>
      </c>
      <c r="F4932" s="53">
        <v>4.0374999999999996</v>
      </c>
      <c r="G4932" s="53">
        <f t="shared" si="92"/>
        <v>0.169575</v>
      </c>
      <c r="H4932" s="38">
        <f>SUM(G4932:G4935)</f>
        <v>856.74140530000011</v>
      </c>
      <c r="I4932" s="39"/>
      <c r="J4932" s="148">
        <v>15</v>
      </c>
      <c r="K4932" s="222" t="s">
        <v>8074</v>
      </c>
    </row>
    <row r="4933" spans="1:11" ht="25.5" hidden="1" x14ac:dyDescent="0.25">
      <c r="A4933" s="207"/>
      <c r="B4933" s="205"/>
      <c r="C4933" s="35" t="s">
        <v>3552</v>
      </c>
      <c r="D4933" s="35" t="s">
        <v>278</v>
      </c>
      <c r="E4933" s="36">
        <v>1</v>
      </c>
      <c r="F4933" s="53">
        <v>849.75</v>
      </c>
      <c r="G4933" s="53">
        <f t="shared" si="92"/>
        <v>849.75</v>
      </c>
      <c r="H4933" s="72"/>
      <c r="I4933" s="73"/>
      <c r="J4933" s="148">
        <v>15</v>
      </c>
      <c r="K4933" s="222" t="s">
        <v>8074</v>
      </c>
    </row>
    <row r="4934" spans="1:11" ht="25.5" hidden="1" x14ac:dyDescent="0.25">
      <c r="A4934" s="207"/>
      <c r="B4934" s="205"/>
      <c r="C4934" s="35" t="s">
        <v>944</v>
      </c>
      <c r="D4934" s="35" t="s">
        <v>695</v>
      </c>
      <c r="E4934" s="36">
        <v>0.2266</v>
      </c>
      <c r="F4934" s="53">
        <v>24.300999999999998</v>
      </c>
      <c r="G4934" s="53">
        <f t="shared" si="92"/>
        <v>5.5066065999999996</v>
      </c>
      <c r="H4934" s="72"/>
      <c r="I4934" s="73"/>
      <c r="J4934" s="148">
        <v>15</v>
      </c>
      <c r="K4934" s="222" t="s">
        <v>8074</v>
      </c>
    </row>
    <row r="4935" spans="1:11" hidden="1" x14ac:dyDescent="0.25">
      <c r="A4935" s="207"/>
      <c r="B4935" s="205"/>
      <c r="C4935" s="35" t="s">
        <v>696</v>
      </c>
      <c r="D4935" s="35" t="s">
        <v>695</v>
      </c>
      <c r="E4935" s="36">
        <v>7.1400000000000005E-2</v>
      </c>
      <c r="F4935" s="53">
        <v>18.420500000000001</v>
      </c>
      <c r="G4935" s="53">
        <f t="shared" si="92"/>
        <v>1.3152237000000002</v>
      </c>
      <c r="H4935" s="72"/>
      <c r="I4935" s="73"/>
      <c r="J4935" s="148">
        <v>15</v>
      </c>
      <c r="K4935" s="222" t="s">
        <v>8074</v>
      </c>
    </row>
    <row r="4936" spans="1:11" ht="15.75" hidden="1" thickBot="1" x14ac:dyDescent="0.3">
      <c r="A4936" s="208"/>
      <c r="B4936" s="206"/>
      <c r="C4936" s="35"/>
      <c r="D4936" s="35"/>
      <c r="E4936" s="36"/>
      <c r="F4936" s="53" t="s">
        <v>514</v>
      </c>
      <c r="G4936" s="53" t="str">
        <f t="shared" si="92"/>
        <v/>
      </c>
      <c r="H4936" s="72"/>
      <c r="I4936" s="73"/>
      <c r="J4936" s="148">
        <v>15</v>
      </c>
      <c r="K4936" s="222" t="s">
        <v>8074</v>
      </c>
    </row>
    <row r="4937" spans="1:11" ht="15.75" hidden="1" thickBot="1" x14ac:dyDescent="0.3">
      <c r="A4937" s="202" t="s">
        <v>3399</v>
      </c>
      <c r="B4937" s="204" t="str">
        <f>INDEX(Orçamentária!A:B,MATCH(Composições!A4937,Orçamentária!A:A,0),2)</f>
        <v>Dobradiça automática vidro/vidro para box de vidro temperado</v>
      </c>
      <c r="C4937" s="40"/>
      <c r="D4937" s="25" t="str">
        <f>TRIM(INDEX(Orçamentária!C:C,MATCH(Composições!A4937,Orçamentária!A:A,0),1))</f>
        <v>un</v>
      </c>
      <c r="E4937" s="26"/>
      <c r="F4937" s="41" t="s">
        <v>514</v>
      </c>
      <c r="G4937" s="27" t="str">
        <f t="shared" si="92"/>
        <v/>
      </c>
      <c r="H4937" s="28"/>
      <c r="I4937" s="29"/>
      <c r="J4937" s="148">
        <v>0</v>
      </c>
      <c r="K4937" s="222">
        <v>0</v>
      </c>
    </row>
    <row r="4938" spans="1:11" hidden="1" x14ac:dyDescent="0.25">
      <c r="A4938" s="203"/>
      <c r="B4938" s="205"/>
      <c r="C4938" s="31"/>
      <c r="D4938" s="31"/>
      <c r="E4938" s="32"/>
      <c r="F4938" s="42" t="s">
        <v>514</v>
      </c>
      <c r="G4938" s="33" t="str">
        <f t="shared" si="92"/>
        <v/>
      </c>
      <c r="H4938" s="34"/>
      <c r="I4938" s="30"/>
      <c r="J4938" s="148">
        <v>0</v>
      </c>
      <c r="K4938" s="222">
        <v>0</v>
      </c>
    </row>
    <row r="4939" spans="1:11" hidden="1" x14ac:dyDescent="0.25">
      <c r="A4939" s="203"/>
      <c r="B4939" s="205"/>
      <c r="C4939" s="35" t="s">
        <v>68</v>
      </c>
      <c r="D4939" s="35" t="s">
        <v>12</v>
      </c>
      <c r="E4939" s="36">
        <v>0.3</v>
      </c>
      <c r="F4939" s="33">
        <v>22.961500000000001</v>
      </c>
      <c r="G4939" s="33">
        <f t="shared" si="92"/>
        <v>6.8884499999999997</v>
      </c>
      <c r="H4939" s="38">
        <f>SUM(G4939:G4940)</f>
        <v>6.8884499999999997</v>
      </c>
      <c r="I4939" s="39"/>
      <c r="J4939" s="148">
        <v>0</v>
      </c>
      <c r="K4939" s="222">
        <v>0</v>
      </c>
    </row>
    <row r="4940" spans="1:11" ht="25.5" hidden="1" x14ac:dyDescent="0.25">
      <c r="A4940" s="203"/>
      <c r="B4940" s="205"/>
      <c r="C4940" s="35" t="s">
        <v>3553</v>
      </c>
      <c r="D4940" s="46" t="s">
        <v>20</v>
      </c>
      <c r="E4940" s="36">
        <v>1</v>
      </c>
      <c r="F4940" s="30" t="s">
        <v>514</v>
      </c>
      <c r="G4940" s="33" t="str">
        <f t="shared" si="92"/>
        <v/>
      </c>
      <c r="H4940" s="34"/>
      <c r="I4940" s="30"/>
      <c r="J4940" s="148">
        <v>0</v>
      </c>
      <c r="K4940" s="222">
        <v>0</v>
      </c>
    </row>
    <row r="4941" spans="1:11" ht="15.75" hidden="1" thickBot="1" x14ac:dyDescent="0.3">
      <c r="A4941" s="209"/>
      <c r="B4941" s="206"/>
      <c r="C4941" s="35"/>
      <c r="D4941" s="35"/>
      <c r="E4941" s="36"/>
      <c r="F4941" s="30" t="s">
        <v>514</v>
      </c>
      <c r="G4941" s="33" t="str">
        <f t="shared" si="92"/>
        <v/>
      </c>
      <c r="H4941" s="34"/>
      <c r="I4941" s="30"/>
      <c r="J4941" s="148">
        <v>0</v>
      </c>
      <c r="K4941" s="222">
        <v>0</v>
      </c>
    </row>
    <row r="4942" spans="1:11" ht="15.75" hidden="1" thickBot="1" x14ac:dyDescent="0.3">
      <c r="A4942" s="202" t="s">
        <v>3400</v>
      </c>
      <c r="B4942" s="204" t="str">
        <f>INDEX(Orçamentária!A:B,MATCH(Composições!A4942,Orçamentária!A:A,0),2)</f>
        <v>Luminária tipo arandela – Linha Residencial</v>
      </c>
      <c r="C4942" s="40"/>
      <c r="D4942" s="25" t="str">
        <f>TRIM(INDEX(Orçamentária!C:C,MATCH(Composições!A4942,Orçamentária!A:A,0),1))</f>
        <v>un</v>
      </c>
      <c r="E4942" s="26"/>
      <c r="F4942" s="41" t="s">
        <v>514</v>
      </c>
      <c r="G4942" s="27" t="str">
        <f t="shared" si="92"/>
        <v/>
      </c>
      <c r="H4942" s="28"/>
      <c r="I4942" s="29"/>
      <c r="J4942" s="148">
        <v>20</v>
      </c>
      <c r="K4942" s="222" t="s">
        <v>8074</v>
      </c>
    </row>
    <row r="4943" spans="1:11" hidden="1" x14ac:dyDescent="0.25">
      <c r="A4943" s="203"/>
      <c r="B4943" s="205"/>
      <c r="C4943" s="31"/>
      <c r="D4943" s="31"/>
      <c r="E4943" s="32"/>
      <c r="F4943" s="42" t="s">
        <v>514</v>
      </c>
      <c r="G4943" s="30" t="str">
        <f t="shared" si="92"/>
        <v/>
      </c>
      <c r="H4943" s="34"/>
      <c r="I4943" s="30"/>
      <c r="J4943" s="148">
        <v>20</v>
      </c>
      <c r="K4943" s="222" t="s">
        <v>8074</v>
      </c>
    </row>
    <row r="4944" spans="1:11" ht="25.5" hidden="1" x14ac:dyDescent="0.25">
      <c r="A4944" s="203"/>
      <c r="B4944" s="205"/>
      <c r="C4944" s="35" t="s">
        <v>3555</v>
      </c>
      <c r="D4944" s="35" t="s">
        <v>143</v>
      </c>
      <c r="E4944" s="36">
        <v>1</v>
      </c>
      <c r="F4944" s="33">
        <v>40.76</v>
      </c>
      <c r="G4944" s="33">
        <f t="shared" si="92"/>
        <v>40.76</v>
      </c>
      <c r="H4944" s="38">
        <f>SUM(G4944:G4947)</f>
        <v>72.416679999999985</v>
      </c>
      <c r="I4944" s="39"/>
      <c r="J4944" s="148">
        <v>20</v>
      </c>
      <c r="K4944" s="222" t="s">
        <v>8074</v>
      </c>
    </row>
    <row r="4945" spans="1:11" ht="25.5" hidden="1" x14ac:dyDescent="0.25">
      <c r="A4945" s="203"/>
      <c r="B4945" s="205"/>
      <c r="C4945" s="35" t="s">
        <v>3554</v>
      </c>
      <c r="D4945" s="35" t="s">
        <v>143</v>
      </c>
      <c r="E4945" s="36">
        <v>1</v>
      </c>
      <c r="F4945" s="33">
        <v>15.93</v>
      </c>
      <c r="G4945" s="33">
        <f t="shared" si="92"/>
        <v>15.93</v>
      </c>
      <c r="H4945" s="44"/>
      <c r="I4945" s="45"/>
      <c r="J4945" s="148">
        <v>20</v>
      </c>
      <c r="K4945" s="222" t="s">
        <v>8074</v>
      </c>
    </row>
    <row r="4946" spans="1:11" hidden="1" x14ac:dyDescent="0.25">
      <c r="A4946" s="203"/>
      <c r="B4946" s="205"/>
      <c r="C4946" s="35" t="s">
        <v>74</v>
      </c>
      <c r="D4946" s="46" t="s">
        <v>12</v>
      </c>
      <c r="E4946" s="36">
        <v>0.19719999999999999</v>
      </c>
      <c r="F4946" s="30">
        <v>19.4085</v>
      </c>
      <c r="G4946" s="30">
        <f t="shared" ref="G4946:G5009" si="93">IF(ISNUMBER(F4946),E4946*F4946,"")</f>
        <v>3.8273561999999997</v>
      </c>
      <c r="H4946" s="34"/>
      <c r="I4946" s="30"/>
      <c r="J4946" s="148">
        <v>20</v>
      </c>
      <c r="K4946" s="222" t="s">
        <v>8074</v>
      </c>
    </row>
    <row r="4947" spans="1:11" hidden="1" x14ac:dyDescent="0.25">
      <c r="A4947" s="203"/>
      <c r="B4947" s="205"/>
      <c r="C4947" s="35" t="s">
        <v>30</v>
      </c>
      <c r="D4947" s="35" t="s">
        <v>12</v>
      </c>
      <c r="E4947" s="36">
        <v>0.47320000000000001</v>
      </c>
      <c r="F4947" s="30">
        <v>25.146499999999996</v>
      </c>
      <c r="G4947" s="30">
        <f t="shared" si="93"/>
        <v>11.899323799999998</v>
      </c>
      <c r="H4947" s="34"/>
      <c r="I4947" s="30"/>
      <c r="J4947" s="148">
        <v>20</v>
      </c>
      <c r="K4947" s="222" t="s">
        <v>8074</v>
      </c>
    </row>
    <row r="4948" spans="1:11" ht="15.75" hidden="1" thickBot="1" x14ac:dyDescent="0.3">
      <c r="A4948" s="209"/>
      <c r="B4948" s="206"/>
      <c r="C4948" s="35"/>
      <c r="D4948" s="35"/>
      <c r="E4948" s="36"/>
      <c r="F4948" s="30" t="s">
        <v>514</v>
      </c>
      <c r="G4948" s="30" t="str">
        <f t="shared" si="93"/>
        <v/>
      </c>
      <c r="H4948" s="34"/>
      <c r="I4948" s="30"/>
      <c r="J4948" s="148">
        <v>20</v>
      </c>
      <c r="K4948" s="222" t="s">
        <v>8074</v>
      </c>
    </row>
    <row r="4949" spans="1:11" ht="15.75" hidden="1" thickBot="1" x14ac:dyDescent="0.3">
      <c r="A4949" s="202" t="s">
        <v>3401</v>
      </c>
      <c r="B4949" s="204" t="str">
        <f>INDEX(Orçamentária!A:B,MATCH(Composições!A4949,Orçamentária!A:A,0),2)</f>
        <v>Tê misturador de transição 1/2” ou 3/4” – Linha Residencial</v>
      </c>
      <c r="C4949" s="40"/>
      <c r="D4949" s="25" t="str">
        <f>TRIM(INDEX(Orçamentária!C:C,MATCH(Composições!A4949,Orçamentária!A:A,0),1))</f>
        <v>un</v>
      </c>
      <c r="E4949" s="26"/>
      <c r="F4949" s="41" t="s">
        <v>514</v>
      </c>
      <c r="G4949" s="27" t="str">
        <f t="shared" si="93"/>
        <v/>
      </c>
      <c r="H4949" s="28"/>
      <c r="I4949" s="29"/>
      <c r="J4949" s="148">
        <v>15</v>
      </c>
      <c r="K4949" s="222" t="s">
        <v>8074</v>
      </c>
    </row>
    <row r="4950" spans="1:11" hidden="1" x14ac:dyDescent="0.25">
      <c r="A4950" s="203"/>
      <c r="B4950" s="205"/>
      <c r="C4950" s="31"/>
      <c r="D4950" s="31"/>
      <c r="E4950" s="32"/>
      <c r="F4950" s="42" t="s">
        <v>514</v>
      </c>
      <c r="G4950" s="30" t="str">
        <f t="shared" si="93"/>
        <v/>
      </c>
      <c r="H4950" s="34"/>
      <c r="I4950" s="30"/>
      <c r="J4950" s="148">
        <v>15</v>
      </c>
      <c r="K4950" s="222" t="s">
        <v>8074</v>
      </c>
    </row>
    <row r="4951" spans="1:11" hidden="1" x14ac:dyDescent="0.25">
      <c r="A4951" s="203"/>
      <c r="B4951" s="205"/>
      <c r="C4951" s="35" t="s">
        <v>3229</v>
      </c>
      <c r="D4951" s="35" t="s">
        <v>278</v>
      </c>
      <c r="E4951" s="36">
        <v>1.2E-2</v>
      </c>
      <c r="F4951" s="33">
        <v>35.415999999999997</v>
      </c>
      <c r="G4951" s="33">
        <f t="shared" si="93"/>
        <v>0.42499199999999998</v>
      </c>
      <c r="H4951" s="38">
        <f>SUM(G4951:G4954)</f>
        <v>39.184459999999994</v>
      </c>
      <c r="I4951" s="39"/>
      <c r="J4951" s="148">
        <v>15</v>
      </c>
      <c r="K4951" s="222" t="s">
        <v>8074</v>
      </c>
    </row>
    <row r="4952" spans="1:11" ht="25.5" hidden="1" x14ac:dyDescent="0.25">
      <c r="A4952" s="203"/>
      <c r="B4952" s="205"/>
      <c r="C4952" s="35" t="s">
        <v>3347</v>
      </c>
      <c r="D4952" s="35" t="s">
        <v>278</v>
      </c>
      <c r="E4952" s="36">
        <v>1</v>
      </c>
      <c r="F4952" s="33">
        <v>30.817999999999998</v>
      </c>
      <c r="G4952" s="33">
        <f t="shared" si="93"/>
        <v>30.817999999999998</v>
      </c>
      <c r="H4952" s="44"/>
      <c r="I4952" s="45"/>
      <c r="J4952" s="148">
        <v>15</v>
      </c>
      <c r="K4952" s="222" t="s">
        <v>8074</v>
      </c>
    </row>
    <row r="4953" spans="1:11" ht="25.5" hidden="1" x14ac:dyDescent="0.25">
      <c r="A4953" s="203"/>
      <c r="B4953" s="205"/>
      <c r="C4953" s="35" t="s">
        <v>943</v>
      </c>
      <c r="D4953" s="46" t="s">
        <v>695</v>
      </c>
      <c r="E4953" s="36">
        <v>0.183</v>
      </c>
      <c r="F4953" s="30">
        <v>19.094999999999999</v>
      </c>
      <c r="G4953" s="30">
        <f t="shared" si="93"/>
        <v>3.4943849999999999</v>
      </c>
      <c r="H4953" s="34"/>
      <c r="I4953" s="30"/>
      <c r="J4953" s="148">
        <v>15</v>
      </c>
      <c r="K4953" s="222" t="s">
        <v>8074</v>
      </c>
    </row>
    <row r="4954" spans="1:11" ht="25.5" hidden="1" x14ac:dyDescent="0.25">
      <c r="A4954" s="203"/>
      <c r="B4954" s="205"/>
      <c r="C4954" s="35" t="s">
        <v>944</v>
      </c>
      <c r="D4954" s="35" t="s">
        <v>695</v>
      </c>
      <c r="E4954" s="36">
        <v>0.183</v>
      </c>
      <c r="F4954" s="30">
        <v>24.300999999999998</v>
      </c>
      <c r="G4954" s="30">
        <f t="shared" si="93"/>
        <v>4.4470829999999992</v>
      </c>
      <c r="H4954" s="34"/>
      <c r="I4954" s="30"/>
      <c r="J4954" s="148">
        <v>15</v>
      </c>
      <c r="K4954" s="222" t="s">
        <v>8074</v>
      </c>
    </row>
    <row r="4955" spans="1:11" ht="15.75" hidden="1" thickBot="1" x14ac:dyDescent="0.3">
      <c r="A4955" s="209"/>
      <c r="B4955" s="206"/>
      <c r="C4955" s="35"/>
      <c r="D4955" s="35"/>
      <c r="E4955" s="36"/>
      <c r="F4955" s="30" t="s">
        <v>514</v>
      </c>
      <c r="G4955" s="30" t="str">
        <f t="shared" si="93"/>
        <v/>
      </c>
      <c r="H4955" s="34"/>
      <c r="I4955" s="30"/>
      <c r="J4955" s="148">
        <v>15</v>
      </c>
      <c r="K4955" s="222" t="s">
        <v>8074</v>
      </c>
    </row>
    <row r="4956" spans="1:11" ht="15.75" hidden="1" thickBot="1" x14ac:dyDescent="0.3">
      <c r="A4956" s="202" t="s">
        <v>3402</v>
      </c>
      <c r="B4956" s="204" t="str">
        <f>INDEX(Orçamentária!A:B,MATCH(Composições!A4956,Orçamentária!A:A,0),2)</f>
        <v>Base para válvula de descarga 1 1/2”</v>
      </c>
      <c r="C4956" s="40"/>
      <c r="D4956" s="25" t="str">
        <f>TRIM(INDEX(Orçamentária!C:C,MATCH(Composições!A4956,Orçamentária!A:A,0),1))</f>
        <v>un</v>
      </c>
      <c r="E4956" s="26"/>
      <c r="F4956" s="41" t="s">
        <v>514</v>
      </c>
      <c r="G4956" s="27" t="str">
        <f t="shared" si="93"/>
        <v/>
      </c>
      <c r="H4956" s="28"/>
      <c r="I4956" s="29"/>
      <c r="J4956" s="148">
        <v>10</v>
      </c>
      <c r="K4956" s="222" t="s">
        <v>8074</v>
      </c>
    </row>
    <row r="4957" spans="1:11" hidden="1" x14ac:dyDescent="0.25">
      <c r="A4957" s="203"/>
      <c r="B4957" s="205"/>
      <c r="C4957" s="31"/>
      <c r="D4957" s="31"/>
      <c r="E4957" s="32"/>
      <c r="F4957" s="42" t="s">
        <v>514</v>
      </c>
      <c r="G4957" s="30" t="str">
        <f t="shared" si="93"/>
        <v/>
      </c>
      <c r="H4957" s="34"/>
      <c r="I4957" s="30"/>
      <c r="J4957" s="148">
        <v>10</v>
      </c>
      <c r="K4957" s="222" t="s">
        <v>8074</v>
      </c>
    </row>
    <row r="4958" spans="1:11" hidden="1" x14ac:dyDescent="0.25">
      <c r="A4958" s="203"/>
      <c r="B4958" s="205"/>
      <c r="C4958" s="35" t="s">
        <v>317</v>
      </c>
      <c r="D4958" s="35" t="s">
        <v>278</v>
      </c>
      <c r="E4958" s="36">
        <v>1.9199999999999998E-2</v>
      </c>
      <c r="F4958" s="33">
        <v>14.8865</v>
      </c>
      <c r="G4958" s="33">
        <f t="shared" si="93"/>
        <v>0.28582079999999999</v>
      </c>
      <c r="H4958" s="38">
        <f>SUM(G4958:G4961)</f>
        <v>158.42452120000002</v>
      </c>
      <c r="I4958" s="39"/>
      <c r="J4958" s="148">
        <v>10</v>
      </c>
      <c r="K4958" s="222" t="s">
        <v>8074</v>
      </c>
    </row>
    <row r="4959" spans="1:11" hidden="1" x14ac:dyDescent="0.25">
      <c r="A4959" s="203"/>
      <c r="B4959" s="205"/>
      <c r="C4959" s="35" t="s">
        <v>3556</v>
      </c>
      <c r="D4959" s="35" t="s">
        <v>278</v>
      </c>
      <c r="E4959" s="36">
        <v>1</v>
      </c>
      <c r="F4959" s="33">
        <v>126.03</v>
      </c>
      <c r="G4959" s="33">
        <f t="shared" si="93"/>
        <v>126.03</v>
      </c>
      <c r="H4959" s="44"/>
      <c r="I4959" s="45"/>
      <c r="J4959" s="148">
        <v>10</v>
      </c>
      <c r="K4959" s="222" t="s">
        <v>8074</v>
      </c>
    </row>
    <row r="4960" spans="1:11" ht="25.5" hidden="1" x14ac:dyDescent="0.25">
      <c r="A4960" s="203"/>
      <c r="B4960" s="205"/>
      <c r="C4960" s="35" t="s">
        <v>943</v>
      </c>
      <c r="D4960" s="46" t="s">
        <v>695</v>
      </c>
      <c r="E4960" s="36">
        <f>ROUND(0.9249*0.8,4)</f>
        <v>0.7399</v>
      </c>
      <c r="F4960" s="30">
        <v>19.094999999999999</v>
      </c>
      <c r="G4960" s="30">
        <f t="shared" si="93"/>
        <v>14.1283905</v>
      </c>
      <c r="H4960" s="34"/>
      <c r="I4960" s="30"/>
      <c r="J4960" s="148">
        <v>10</v>
      </c>
      <c r="K4960" s="222" t="s">
        <v>8074</v>
      </c>
    </row>
    <row r="4961" spans="1:11" ht="25.5" hidden="1" x14ac:dyDescent="0.25">
      <c r="A4961" s="203"/>
      <c r="B4961" s="205"/>
      <c r="C4961" s="35" t="s">
        <v>944</v>
      </c>
      <c r="D4961" s="35" t="s">
        <v>695</v>
      </c>
      <c r="E4961" s="36">
        <f>ROUND(0.9249*0.8,4)</f>
        <v>0.7399</v>
      </c>
      <c r="F4961" s="30">
        <v>24.300999999999998</v>
      </c>
      <c r="G4961" s="30">
        <f t="shared" si="93"/>
        <v>17.980309899999998</v>
      </c>
      <c r="H4961" s="34"/>
      <c r="I4961" s="30"/>
      <c r="J4961" s="148">
        <v>10</v>
      </c>
      <c r="K4961" s="222" t="s">
        <v>8074</v>
      </c>
    </row>
    <row r="4962" spans="1:11" ht="15.75" hidden="1" thickBot="1" x14ac:dyDescent="0.3">
      <c r="A4962" s="209"/>
      <c r="B4962" s="206"/>
      <c r="C4962" s="35"/>
      <c r="D4962" s="35"/>
      <c r="E4962" s="36"/>
      <c r="F4962" s="30" t="s">
        <v>514</v>
      </c>
      <c r="G4962" s="30" t="str">
        <f t="shared" si="93"/>
        <v/>
      </c>
      <c r="H4962" s="34"/>
      <c r="I4962" s="30"/>
      <c r="J4962" s="148">
        <v>10</v>
      </c>
      <c r="K4962" s="222" t="s">
        <v>8074</v>
      </c>
    </row>
    <row r="4963" spans="1:11" ht="15.75" hidden="1" thickBot="1" x14ac:dyDescent="0.3">
      <c r="A4963" s="202" t="s">
        <v>3403</v>
      </c>
      <c r="B4963" s="204" t="str">
        <f>INDEX(Orçamentária!A:B,MATCH(Composições!A4963,Orçamentária!A:A,0),2)</f>
        <v>Base para válvula de descarga 1 1/4”</v>
      </c>
      <c r="C4963" s="40"/>
      <c r="D4963" s="25" t="str">
        <f>TRIM(INDEX(Orçamentária!C:C,MATCH(Composições!A4963,Orçamentária!A:A,0),1))</f>
        <v>un</v>
      </c>
      <c r="E4963" s="26"/>
      <c r="F4963" s="41" t="s">
        <v>514</v>
      </c>
      <c r="G4963" s="27" t="str">
        <f t="shared" si="93"/>
        <v/>
      </c>
      <c r="H4963" s="28"/>
      <c r="I4963" s="29"/>
      <c r="J4963" s="148">
        <v>10</v>
      </c>
      <c r="K4963" s="222" t="s">
        <v>8074</v>
      </c>
    </row>
    <row r="4964" spans="1:11" hidden="1" x14ac:dyDescent="0.25">
      <c r="A4964" s="203"/>
      <c r="B4964" s="205"/>
      <c r="C4964" s="31"/>
      <c r="D4964" s="31"/>
      <c r="E4964" s="32"/>
      <c r="F4964" s="42" t="s">
        <v>514</v>
      </c>
      <c r="G4964" s="30" t="str">
        <f t="shared" si="93"/>
        <v/>
      </c>
      <c r="H4964" s="34"/>
      <c r="I4964" s="30"/>
      <c r="J4964" s="148">
        <v>10</v>
      </c>
      <c r="K4964" s="222" t="s">
        <v>8074</v>
      </c>
    </row>
    <row r="4965" spans="1:11" hidden="1" x14ac:dyDescent="0.25">
      <c r="A4965" s="203"/>
      <c r="B4965" s="205"/>
      <c r="C4965" s="35" t="s">
        <v>317</v>
      </c>
      <c r="D4965" s="35" t="s">
        <v>278</v>
      </c>
      <c r="E4965" s="36">
        <v>1.9199999999999998E-2</v>
      </c>
      <c r="F4965" s="33">
        <v>14.8865</v>
      </c>
      <c r="G4965" s="33">
        <f t="shared" si="93"/>
        <v>0.28582079999999999</v>
      </c>
      <c r="H4965" s="38">
        <f>SUM(G4965:G4968)</f>
        <v>170.70452120000002</v>
      </c>
      <c r="I4965" s="39"/>
      <c r="J4965" s="148">
        <v>10</v>
      </c>
      <c r="K4965" s="222" t="s">
        <v>8074</v>
      </c>
    </row>
    <row r="4966" spans="1:11" hidden="1" x14ac:dyDescent="0.25">
      <c r="A4966" s="203"/>
      <c r="B4966" s="205"/>
      <c r="C4966" s="35" t="s">
        <v>3557</v>
      </c>
      <c r="D4966" s="35" t="s">
        <v>278</v>
      </c>
      <c r="E4966" s="36">
        <v>1</v>
      </c>
      <c r="F4966" s="33">
        <v>138.31</v>
      </c>
      <c r="G4966" s="33">
        <f t="shared" si="93"/>
        <v>138.31</v>
      </c>
      <c r="H4966" s="44"/>
      <c r="I4966" s="45"/>
      <c r="J4966" s="148">
        <v>10</v>
      </c>
      <c r="K4966" s="222" t="s">
        <v>8074</v>
      </c>
    </row>
    <row r="4967" spans="1:11" ht="25.5" hidden="1" x14ac:dyDescent="0.25">
      <c r="A4967" s="203"/>
      <c r="B4967" s="205"/>
      <c r="C4967" s="35" t="s">
        <v>943</v>
      </c>
      <c r="D4967" s="46" t="s">
        <v>695</v>
      </c>
      <c r="E4967" s="36">
        <f t="shared" ref="E4967:E4968" si="94">ROUND(0.9249*0.8,4)</f>
        <v>0.7399</v>
      </c>
      <c r="F4967" s="30">
        <v>19.094999999999999</v>
      </c>
      <c r="G4967" s="30">
        <f t="shared" si="93"/>
        <v>14.1283905</v>
      </c>
      <c r="H4967" s="34"/>
      <c r="I4967" s="30"/>
      <c r="J4967" s="148">
        <v>10</v>
      </c>
      <c r="K4967" s="222" t="s">
        <v>8074</v>
      </c>
    </row>
    <row r="4968" spans="1:11" ht="25.5" hidden="1" x14ac:dyDescent="0.25">
      <c r="A4968" s="203"/>
      <c r="B4968" s="205"/>
      <c r="C4968" s="35" t="s">
        <v>944</v>
      </c>
      <c r="D4968" s="35" t="s">
        <v>695</v>
      </c>
      <c r="E4968" s="36">
        <f t="shared" si="94"/>
        <v>0.7399</v>
      </c>
      <c r="F4968" s="30">
        <v>24.300999999999998</v>
      </c>
      <c r="G4968" s="30">
        <f t="shared" si="93"/>
        <v>17.980309899999998</v>
      </c>
      <c r="H4968" s="34"/>
      <c r="I4968" s="30"/>
      <c r="J4968" s="148">
        <v>10</v>
      </c>
      <c r="K4968" s="222" t="s">
        <v>8074</v>
      </c>
    </row>
    <row r="4969" spans="1:11" ht="15.75" hidden="1" thickBot="1" x14ac:dyDescent="0.3">
      <c r="A4969" s="209"/>
      <c r="B4969" s="206"/>
      <c r="C4969" s="35"/>
      <c r="D4969" s="35"/>
      <c r="E4969" s="36"/>
      <c r="F4969" s="30" t="s">
        <v>514</v>
      </c>
      <c r="G4969" s="30" t="str">
        <f t="shared" si="93"/>
        <v/>
      </c>
      <c r="H4969" s="34"/>
      <c r="I4969" s="30"/>
      <c r="J4969" s="148">
        <v>10</v>
      </c>
      <c r="K4969" s="222" t="s">
        <v>8074</v>
      </c>
    </row>
    <row r="4970" spans="1:11" ht="15.75" hidden="1" thickBot="1" x14ac:dyDescent="0.3">
      <c r="A4970" s="202" t="s">
        <v>3404</v>
      </c>
      <c r="B4970" s="204" t="str">
        <f>INDEX(Orçamentária!A:B,MATCH(Composições!A4970,Orçamentária!A:A,0),2)</f>
        <v>Anel de Vedação para bacia sanitária</v>
      </c>
      <c r="C4970" s="40"/>
      <c r="D4970" s="25" t="str">
        <f>TRIM(INDEX(Orçamentária!C:C,MATCH(Composições!A4970,Orçamentária!A:A,0),1))</f>
        <v>un</v>
      </c>
      <c r="E4970" s="26"/>
      <c r="F4970" s="41" t="s">
        <v>514</v>
      </c>
      <c r="G4970" s="27" t="str">
        <f t="shared" si="93"/>
        <v/>
      </c>
      <c r="H4970" s="28"/>
      <c r="I4970" s="29"/>
      <c r="J4970" s="148">
        <v>10</v>
      </c>
      <c r="K4970" s="222" t="s">
        <v>8074</v>
      </c>
    </row>
    <row r="4971" spans="1:11" hidden="1" x14ac:dyDescent="0.25">
      <c r="A4971" s="203"/>
      <c r="B4971" s="205"/>
      <c r="C4971" s="31"/>
      <c r="D4971" s="31"/>
      <c r="E4971" s="32"/>
      <c r="F4971" s="42" t="s">
        <v>514</v>
      </c>
      <c r="G4971" s="33" t="str">
        <f t="shared" si="93"/>
        <v/>
      </c>
      <c r="H4971" s="34"/>
      <c r="I4971" s="30"/>
      <c r="J4971" s="148">
        <v>10</v>
      </c>
      <c r="K4971" s="222" t="s">
        <v>8074</v>
      </c>
    </row>
    <row r="4972" spans="1:11" ht="25.5" hidden="1" x14ac:dyDescent="0.25">
      <c r="A4972" s="203"/>
      <c r="B4972" s="205"/>
      <c r="C4972" s="35" t="s">
        <v>6598</v>
      </c>
      <c r="D4972" s="46" t="s">
        <v>20</v>
      </c>
      <c r="E4972" s="36">
        <v>1</v>
      </c>
      <c r="F4972" s="33">
        <v>14.3925</v>
      </c>
      <c r="G4972" s="53">
        <f t="shared" si="93"/>
        <v>14.3925</v>
      </c>
      <c r="H4972" s="38">
        <f>SUM(G4972:G4973)</f>
        <v>16.822600000000001</v>
      </c>
      <c r="I4972" s="30"/>
      <c r="J4972" s="148">
        <v>10</v>
      </c>
      <c r="K4972" s="222" t="s">
        <v>8074</v>
      </c>
    </row>
    <row r="4973" spans="1:11" ht="25.5" hidden="1" x14ac:dyDescent="0.25">
      <c r="A4973" s="203"/>
      <c r="B4973" s="205"/>
      <c r="C4973" s="35" t="s">
        <v>944</v>
      </c>
      <c r="D4973" s="35" t="s">
        <v>695</v>
      </c>
      <c r="E4973" s="36">
        <v>0.1</v>
      </c>
      <c r="F4973" s="30">
        <v>24.300999999999998</v>
      </c>
      <c r="G4973" s="30">
        <f t="shared" si="93"/>
        <v>2.4300999999999999</v>
      </c>
      <c r="H4973" s="34"/>
      <c r="I4973" s="30"/>
      <c r="J4973" s="148">
        <v>10</v>
      </c>
      <c r="K4973" s="222" t="s">
        <v>8074</v>
      </c>
    </row>
    <row r="4974" spans="1:11" ht="15.75" hidden="1" thickBot="1" x14ac:dyDescent="0.3">
      <c r="A4974" s="209"/>
      <c r="B4974" s="206"/>
      <c r="C4974" s="35"/>
      <c r="D4974" s="35"/>
      <c r="E4974" s="36"/>
      <c r="F4974" s="30" t="s">
        <v>514</v>
      </c>
      <c r="G4974" s="33" t="str">
        <f t="shared" si="93"/>
        <v/>
      </c>
      <c r="H4974" s="34"/>
      <c r="I4974" s="30"/>
      <c r="J4974" s="148">
        <v>10</v>
      </c>
      <c r="K4974" s="222" t="s">
        <v>8074</v>
      </c>
    </row>
    <row r="4975" spans="1:11" ht="15.75" hidden="1" thickBot="1" x14ac:dyDescent="0.3">
      <c r="A4975" s="202" t="s">
        <v>3405</v>
      </c>
      <c r="B4975" s="204" t="str">
        <f>INDEX(Orçamentária!A:B,MATCH(Composições!A4975,Orçamentária!A:A,0),2)</f>
        <v>Folha de porta em madeira e MDF 2,10x0,60m</v>
      </c>
      <c r="C4975" s="40"/>
      <c r="D4975" s="25" t="str">
        <f>TRIM(INDEX(Orçamentária!C:C,MATCH(Composições!A4975,Orçamentária!A:A,0),1))</f>
        <v>un</v>
      </c>
      <c r="E4975" s="26"/>
      <c r="F4975" s="41" t="s">
        <v>514</v>
      </c>
      <c r="G4975" s="27" t="str">
        <f t="shared" si="93"/>
        <v/>
      </c>
      <c r="H4975" s="28"/>
      <c r="I4975" s="29"/>
      <c r="J4975" s="148">
        <v>10</v>
      </c>
      <c r="K4975" s="222" t="s">
        <v>8074</v>
      </c>
    </row>
    <row r="4976" spans="1:11" hidden="1" x14ac:dyDescent="0.25">
      <c r="A4976" s="203"/>
      <c r="B4976" s="205"/>
      <c r="C4976" s="31"/>
      <c r="D4976" s="31"/>
      <c r="E4976" s="32"/>
      <c r="F4976" s="42" t="s">
        <v>514</v>
      </c>
      <c r="G4976" s="30" t="str">
        <f t="shared" si="93"/>
        <v/>
      </c>
      <c r="H4976" s="34"/>
      <c r="I4976" s="30"/>
      <c r="J4976" s="148">
        <v>10</v>
      </c>
      <c r="K4976" s="222" t="s">
        <v>8074</v>
      </c>
    </row>
    <row r="4977" spans="1:11" ht="51" hidden="1" x14ac:dyDescent="0.25">
      <c r="A4977" s="203"/>
      <c r="B4977" s="205"/>
      <c r="C4977" s="35" t="s">
        <v>3716</v>
      </c>
      <c r="D4977" s="46" t="s">
        <v>278</v>
      </c>
      <c r="E4977" s="36">
        <v>1</v>
      </c>
      <c r="F4977" s="33">
        <v>233.30099999999999</v>
      </c>
      <c r="G4977" s="33">
        <f t="shared" si="93"/>
        <v>233.30099999999999</v>
      </c>
      <c r="H4977" s="38">
        <f>SUM(G4977:G4979)</f>
        <v>266.96862759999999</v>
      </c>
      <c r="I4977" s="39"/>
      <c r="J4977" s="148">
        <v>10</v>
      </c>
      <c r="K4977" s="222" t="s">
        <v>8074</v>
      </c>
    </row>
    <row r="4978" spans="1:11" hidden="1" x14ac:dyDescent="0.25">
      <c r="A4978" s="203"/>
      <c r="B4978" s="205"/>
      <c r="C4978" s="35" t="s">
        <v>694</v>
      </c>
      <c r="D4978" s="46" t="s">
        <v>695</v>
      </c>
      <c r="E4978" s="36">
        <f>ROUND(1.282*0.8,4)</f>
        <v>1.0256000000000001</v>
      </c>
      <c r="F4978" s="30">
        <v>23.616999999999997</v>
      </c>
      <c r="G4978" s="33">
        <f t="shared" si="93"/>
        <v>24.221595199999999</v>
      </c>
      <c r="H4978" s="34"/>
      <c r="I4978" s="30"/>
      <c r="J4978" s="148">
        <v>10</v>
      </c>
      <c r="K4978" s="222" t="s">
        <v>8074</v>
      </c>
    </row>
    <row r="4979" spans="1:11" hidden="1" x14ac:dyDescent="0.25">
      <c r="A4979" s="203"/>
      <c r="B4979" s="205"/>
      <c r="C4979" s="35" t="s">
        <v>696</v>
      </c>
      <c r="D4979" s="46" t="s">
        <v>695</v>
      </c>
      <c r="E4979" s="36">
        <f>ROUND(0.641*0.8,4)</f>
        <v>0.51280000000000003</v>
      </c>
      <c r="F4979" s="30">
        <v>18.420500000000001</v>
      </c>
      <c r="G4979" s="33">
        <f t="shared" si="93"/>
        <v>9.4460324000000018</v>
      </c>
      <c r="H4979" s="34"/>
      <c r="I4979" s="30"/>
      <c r="J4979" s="148">
        <v>10</v>
      </c>
      <c r="K4979" s="222" t="s">
        <v>8074</v>
      </c>
    </row>
    <row r="4980" spans="1:11" hidden="1" x14ac:dyDescent="0.25">
      <c r="A4980" s="203"/>
      <c r="B4980" s="205"/>
      <c r="C4980" s="35"/>
      <c r="D4980" s="46"/>
      <c r="E4980" s="36"/>
      <c r="F4980" s="33" t="s">
        <v>514</v>
      </c>
      <c r="G4980" s="33" t="str">
        <f t="shared" si="93"/>
        <v/>
      </c>
      <c r="H4980" s="34"/>
      <c r="I4980" s="30"/>
      <c r="J4980" s="148">
        <v>10</v>
      </c>
      <c r="K4980" s="222" t="s">
        <v>8074</v>
      </c>
    </row>
    <row r="4981" spans="1:11" ht="15.75" hidden="1" thickBot="1" x14ac:dyDescent="0.3">
      <c r="A4981" s="202" t="s">
        <v>3406</v>
      </c>
      <c r="B4981" s="204" t="str">
        <f>INDEX(Orçamentária!A:B,MATCH(Composições!A4981,Orçamentária!A:A,0),2)</f>
        <v>Folha de porta em madeira e MDF 2,10x0,70m</v>
      </c>
      <c r="C4981" s="40"/>
      <c r="D4981" s="25" t="str">
        <f>TRIM(INDEX(Orçamentária!C:C,MATCH(Composições!A4981,Orçamentária!A:A,0),1))</f>
        <v>un</v>
      </c>
      <c r="E4981" s="26"/>
      <c r="F4981" s="41" t="s">
        <v>514</v>
      </c>
      <c r="G4981" s="27" t="str">
        <f t="shared" si="93"/>
        <v/>
      </c>
      <c r="H4981" s="28"/>
      <c r="I4981" s="29"/>
      <c r="J4981" s="148">
        <v>15</v>
      </c>
      <c r="K4981" s="222" t="s">
        <v>8074</v>
      </c>
    </row>
    <row r="4982" spans="1:11" hidden="1" x14ac:dyDescent="0.25">
      <c r="A4982" s="203"/>
      <c r="B4982" s="205"/>
      <c r="C4982" s="31"/>
      <c r="D4982" s="31"/>
      <c r="E4982" s="32"/>
      <c r="F4982" s="42" t="s">
        <v>514</v>
      </c>
      <c r="G4982" s="30" t="str">
        <f t="shared" si="93"/>
        <v/>
      </c>
      <c r="H4982" s="34"/>
      <c r="I4982" s="30"/>
      <c r="J4982" s="148">
        <v>15</v>
      </c>
      <c r="K4982" s="222" t="s">
        <v>8074</v>
      </c>
    </row>
    <row r="4983" spans="1:11" ht="51" hidden="1" x14ac:dyDescent="0.25">
      <c r="A4983" s="203"/>
      <c r="B4983" s="205"/>
      <c r="C4983" s="35" t="s">
        <v>3711</v>
      </c>
      <c r="D4983" s="46" t="s">
        <v>278</v>
      </c>
      <c r="E4983" s="36">
        <v>1</v>
      </c>
      <c r="F4983" s="33">
        <v>253.60249999999996</v>
      </c>
      <c r="G4983" s="33">
        <f t="shared" si="93"/>
        <v>253.60249999999996</v>
      </c>
      <c r="H4983" s="38">
        <f>SUM(G4983:G4985)</f>
        <v>290.73668519999995</v>
      </c>
      <c r="I4983" s="39"/>
      <c r="J4983" s="148">
        <v>15</v>
      </c>
      <c r="K4983" s="222" t="s">
        <v>8074</v>
      </c>
    </row>
    <row r="4984" spans="1:11" hidden="1" x14ac:dyDescent="0.25">
      <c r="A4984" s="203"/>
      <c r="B4984" s="205"/>
      <c r="C4984" s="35" t="s">
        <v>694</v>
      </c>
      <c r="D4984" s="46" t="s">
        <v>695</v>
      </c>
      <c r="E4984" s="36">
        <f>ROUND(1.414*0.8,4)</f>
        <v>1.1312</v>
      </c>
      <c r="F4984" s="30">
        <v>23.616999999999997</v>
      </c>
      <c r="G4984" s="33">
        <f t="shared" si="93"/>
        <v>26.715550399999998</v>
      </c>
      <c r="H4984" s="34"/>
      <c r="I4984" s="30"/>
      <c r="J4984" s="148">
        <v>15</v>
      </c>
      <c r="K4984" s="222" t="s">
        <v>8074</v>
      </c>
    </row>
    <row r="4985" spans="1:11" hidden="1" x14ac:dyDescent="0.25">
      <c r="A4985" s="203"/>
      <c r="B4985" s="205"/>
      <c r="C4985" s="35" t="s">
        <v>696</v>
      </c>
      <c r="D4985" s="46" t="s">
        <v>695</v>
      </c>
      <c r="E4985" s="36">
        <f>ROUND(0.707*0.8,4)</f>
        <v>0.56559999999999999</v>
      </c>
      <c r="F4985" s="30">
        <v>18.420500000000001</v>
      </c>
      <c r="G4985" s="33">
        <f t="shared" si="93"/>
        <v>10.4186348</v>
      </c>
      <c r="H4985" s="34"/>
      <c r="I4985" s="30"/>
      <c r="J4985" s="148">
        <v>15</v>
      </c>
      <c r="K4985" s="222" t="s">
        <v>8074</v>
      </c>
    </row>
    <row r="4986" spans="1:11" hidden="1" x14ac:dyDescent="0.25">
      <c r="A4986" s="203"/>
      <c r="B4986" s="205"/>
      <c r="C4986" s="35"/>
      <c r="D4986" s="46"/>
      <c r="E4986" s="36"/>
      <c r="F4986" s="33" t="s">
        <v>514</v>
      </c>
      <c r="G4986" s="33" t="str">
        <f t="shared" si="93"/>
        <v/>
      </c>
      <c r="H4986" s="34"/>
      <c r="I4986" s="30"/>
      <c r="J4986" s="148">
        <v>15</v>
      </c>
      <c r="K4986" s="222" t="s">
        <v>8074</v>
      </c>
    </row>
    <row r="4987" spans="1:11" ht="15.75" hidden="1" thickBot="1" x14ac:dyDescent="0.3">
      <c r="A4987" s="202" t="s">
        <v>3407</v>
      </c>
      <c r="B4987" s="204" t="str">
        <f>INDEX(Orçamentária!A:B,MATCH(Composições!A4987,Orçamentária!A:A,0),2)</f>
        <v>Folha de porta em madeira e MDF 2,10x0,80m</v>
      </c>
      <c r="C4987" s="40"/>
      <c r="D4987" s="25" t="str">
        <f>TRIM(INDEX(Orçamentária!C:C,MATCH(Composições!A4987,Orçamentária!A:A,0),1))</f>
        <v>un</v>
      </c>
      <c r="E4987" s="26"/>
      <c r="F4987" s="41" t="s">
        <v>514</v>
      </c>
      <c r="G4987" s="27" t="str">
        <f t="shared" si="93"/>
        <v/>
      </c>
      <c r="H4987" s="28"/>
      <c r="I4987" s="29"/>
      <c r="J4987" s="148">
        <v>15</v>
      </c>
      <c r="K4987" s="222" t="s">
        <v>8074</v>
      </c>
    </row>
    <row r="4988" spans="1:11" hidden="1" x14ac:dyDescent="0.25">
      <c r="A4988" s="203"/>
      <c r="B4988" s="205"/>
      <c r="C4988" s="31"/>
      <c r="D4988" s="31"/>
      <c r="E4988" s="32"/>
      <c r="F4988" s="42" t="s">
        <v>514</v>
      </c>
      <c r="G4988" s="30" t="str">
        <f t="shared" si="93"/>
        <v/>
      </c>
      <c r="H4988" s="34"/>
      <c r="I4988" s="30"/>
      <c r="J4988" s="148">
        <v>15</v>
      </c>
      <c r="K4988" s="222" t="s">
        <v>8074</v>
      </c>
    </row>
    <row r="4989" spans="1:11" ht="51" hidden="1" x14ac:dyDescent="0.25">
      <c r="A4989" s="203"/>
      <c r="B4989" s="205"/>
      <c r="C4989" s="35" t="s">
        <v>3713</v>
      </c>
      <c r="D4989" s="46" t="s">
        <v>278</v>
      </c>
      <c r="E4989" s="36">
        <v>1</v>
      </c>
      <c r="F4989" s="33">
        <v>286.41550000000001</v>
      </c>
      <c r="G4989" s="33">
        <f t="shared" si="93"/>
        <v>286.41550000000001</v>
      </c>
      <c r="H4989" s="38">
        <f>SUM(G4989:G4991)</f>
        <v>327.01624279999999</v>
      </c>
      <c r="I4989" s="39"/>
      <c r="J4989" s="148">
        <v>15</v>
      </c>
      <c r="K4989" s="222" t="s">
        <v>8074</v>
      </c>
    </row>
    <row r="4990" spans="1:11" hidden="1" x14ac:dyDescent="0.25">
      <c r="A4990" s="203"/>
      <c r="B4990" s="205"/>
      <c r="C4990" s="35" t="s">
        <v>694</v>
      </c>
      <c r="D4990" s="46" t="s">
        <v>695</v>
      </c>
      <c r="E4990" s="36">
        <f>ROUND(1.546*0.8,4)</f>
        <v>1.2367999999999999</v>
      </c>
      <c r="F4990" s="30">
        <v>23.616999999999997</v>
      </c>
      <c r="G4990" s="33">
        <f t="shared" si="93"/>
        <v>29.209505599999993</v>
      </c>
      <c r="H4990" s="34"/>
      <c r="I4990" s="30"/>
      <c r="J4990" s="148">
        <v>15</v>
      </c>
      <c r="K4990" s="222" t="s">
        <v>8074</v>
      </c>
    </row>
    <row r="4991" spans="1:11" hidden="1" x14ac:dyDescent="0.25">
      <c r="A4991" s="203"/>
      <c r="B4991" s="205"/>
      <c r="C4991" s="35" t="s">
        <v>696</v>
      </c>
      <c r="D4991" s="46" t="s">
        <v>695</v>
      </c>
      <c r="E4991" s="36">
        <f>ROUND(0.773*0.8,4)</f>
        <v>0.61839999999999995</v>
      </c>
      <c r="F4991" s="30">
        <v>18.420500000000001</v>
      </c>
      <c r="G4991" s="33">
        <f t="shared" si="93"/>
        <v>11.391237199999999</v>
      </c>
      <c r="H4991" s="34"/>
      <c r="I4991" s="30"/>
      <c r="J4991" s="148">
        <v>15</v>
      </c>
      <c r="K4991" s="222" t="s">
        <v>8074</v>
      </c>
    </row>
    <row r="4992" spans="1:11" hidden="1" x14ac:dyDescent="0.25">
      <c r="A4992" s="203"/>
      <c r="B4992" s="205"/>
      <c r="C4992" s="35"/>
      <c r="D4992" s="46"/>
      <c r="E4992" s="36"/>
      <c r="F4992" s="33" t="s">
        <v>514</v>
      </c>
      <c r="G4992" s="33" t="str">
        <f t="shared" si="93"/>
        <v/>
      </c>
      <c r="H4992" s="34"/>
      <c r="I4992" s="30"/>
      <c r="J4992" s="148">
        <v>15</v>
      </c>
      <c r="K4992" s="222" t="s">
        <v>8074</v>
      </c>
    </row>
    <row r="4993" spans="1:11" ht="15.75" hidden="1" thickBot="1" x14ac:dyDescent="0.3">
      <c r="A4993" s="202" t="s">
        <v>3408</v>
      </c>
      <c r="B4993" s="204" t="str">
        <f>INDEX(Orçamentária!A:B,MATCH(Composições!A4993,Orçamentária!A:A,0),2)</f>
        <v>Folha de porta em madeira e MDF 2,10x0,90m</v>
      </c>
      <c r="C4993" s="40"/>
      <c r="D4993" s="25" t="str">
        <f>TRIM(INDEX(Orçamentária!C:C,MATCH(Composições!A4993,Orçamentária!A:A,0),1))</f>
        <v>un</v>
      </c>
      <c r="E4993" s="26"/>
      <c r="F4993" s="41" t="s">
        <v>514</v>
      </c>
      <c r="G4993" s="27" t="str">
        <f t="shared" si="93"/>
        <v/>
      </c>
      <c r="H4993" s="28"/>
      <c r="I4993" s="29"/>
      <c r="J4993" s="148">
        <v>10</v>
      </c>
      <c r="K4993" s="222" t="s">
        <v>8074</v>
      </c>
    </row>
    <row r="4994" spans="1:11" hidden="1" x14ac:dyDescent="0.25">
      <c r="A4994" s="203"/>
      <c r="B4994" s="205"/>
      <c r="C4994" s="31"/>
      <c r="D4994" s="31"/>
      <c r="E4994" s="32"/>
      <c r="F4994" s="42" t="s">
        <v>514</v>
      </c>
      <c r="G4994" s="30" t="str">
        <f t="shared" si="93"/>
        <v/>
      </c>
      <c r="H4994" s="34"/>
      <c r="I4994" s="30"/>
      <c r="J4994" s="148">
        <v>10</v>
      </c>
      <c r="K4994" s="222" t="s">
        <v>8074</v>
      </c>
    </row>
    <row r="4995" spans="1:11" ht="51" hidden="1" x14ac:dyDescent="0.25">
      <c r="A4995" s="203"/>
      <c r="B4995" s="205"/>
      <c r="C4995" s="35" t="s">
        <v>3715</v>
      </c>
      <c r="D4995" s="46" t="s">
        <v>278</v>
      </c>
      <c r="E4995" s="36">
        <v>1</v>
      </c>
      <c r="F4995" s="33">
        <v>320.08350000000002</v>
      </c>
      <c r="G4995" s="33">
        <f t="shared" si="93"/>
        <v>320.08350000000002</v>
      </c>
      <c r="H4995" s="38">
        <f>SUM(G4995:G4997)</f>
        <v>364.15080040000004</v>
      </c>
      <c r="I4995" s="39"/>
      <c r="J4995" s="148">
        <v>10</v>
      </c>
      <c r="K4995" s="222" t="s">
        <v>8074</v>
      </c>
    </row>
    <row r="4996" spans="1:11" hidden="1" x14ac:dyDescent="0.25">
      <c r="A4996" s="203"/>
      <c r="B4996" s="205"/>
      <c r="C4996" s="35" t="s">
        <v>694</v>
      </c>
      <c r="D4996" s="46" t="s">
        <v>695</v>
      </c>
      <c r="E4996" s="36">
        <f>ROUND(1.678*0.8,4)</f>
        <v>1.3424</v>
      </c>
      <c r="F4996" s="30">
        <v>23.616999999999997</v>
      </c>
      <c r="G4996" s="33">
        <f t="shared" si="93"/>
        <v>31.703460799999998</v>
      </c>
      <c r="H4996" s="34"/>
      <c r="I4996" s="30"/>
      <c r="J4996" s="148">
        <v>10</v>
      </c>
      <c r="K4996" s="222" t="s">
        <v>8074</v>
      </c>
    </row>
    <row r="4997" spans="1:11" hidden="1" x14ac:dyDescent="0.25">
      <c r="A4997" s="203"/>
      <c r="B4997" s="205"/>
      <c r="C4997" s="35" t="s">
        <v>696</v>
      </c>
      <c r="D4997" s="46" t="s">
        <v>695</v>
      </c>
      <c r="E4997" s="36">
        <f>ROUND(0.839*0.8,4)</f>
        <v>0.67120000000000002</v>
      </c>
      <c r="F4997" s="30">
        <v>18.420500000000001</v>
      </c>
      <c r="G4997" s="33">
        <f t="shared" si="93"/>
        <v>12.3638396</v>
      </c>
      <c r="H4997" s="34"/>
      <c r="I4997" s="30"/>
      <c r="J4997" s="148">
        <v>10</v>
      </c>
      <c r="K4997" s="222" t="s">
        <v>8074</v>
      </c>
    </row>
    <row r="4998" spans="1:11" hidden="1" x14ac:dyDescent="0.25">
      <c r="A4998" s="203"/>
      <c r="B4998" s="205"/>
      <c r="C4998" s="35"/>
      <c r="D4998" s="46"/>
      <c r="E4998" s="36"/>
      <c r="F4998" s="33" t="s">
        <v>514</v>
      </c>
      <c r="G4998" s="33" t="str">
        <f t="shared" si="93"/>
        <v/>
      </c>
      <c r="H4998" s="34"/>
      <c r="I4998" s="30"/>
      <c r="J4998" s="148">
        <v>10</v>
      </c>
      <c r="K4998" s="222" t="s">
        <v>8074</v>
      </c>
    </row>
    <row r="4999" spans="1:11" ht="15.75" hidden="1" thickBot="1" x14ac:dyDescent="0.3">
      <c r="A4999" s="202" t="s">
        <v>3409</v>
      </c>
      <c r="B4999" s="204" t="str">
        <f>INDEX(Orçamentária!A:B,MATCH(Composições!A4999,Orçamentária!A:A,0),2)</f>
        <v>Remoção de boiler</v>
      </c>
      <c r="C4999" s="40"/>
      <c r="D4999" s="25" t="str">
        <f>TRIM(INDEX(Orçamentária!C:C,MATCH(Composições!A4999,Orçamentária!A:A,0),1))</f>
        <v>un</v>
      </c>
      <c r="E4999" s="26"/>
      <c r="F4999" s="41" t="s">
        <v>514</v>
      </c>
      <c r="G4999" s="27" t="str">
        <f t="shared" si="93"/>
        <v/>
      </c>
      <c r="H4999" s="28"/>
      <c r="I4999" s="29"/>
      <c r="J4999" s="148">
        <v>15</v>
      </c>
      <c r="K4999" s="222" t="s">
        <v>8074</v>
      </c>
    </row>
    <row r="5000" spans="1:11" hidden="1" x14ac:dyDescent="0.25">
      <c r="A5000" s="203"/>
      <c r="B5000" s="205"/>
      <c r="C5000" s="31"/>
      <c r="D5000" s="31"/>
      <c r="E5000" s="32"/>
      <c r="F5000" s="42" t="s">
        <v>514</v>
      </c>
      <c r="G5000" s="30" t="str">
        <f t="shared" si="93"/>
        <v/>
      </c>
      <c r="H5000" s="34"/>
      <c r="I5000" s="30"/>
      <c r="J5000" s="148">
        <v>15</v>
      </c>
      <c r="K5000" s="222" t="s">
        <v>8074</v>
      </c>
    </row>
    <row r="5001" spans="1:11" ht="25.5" hidden="1" x14ac:dyDescent="0.25">
      <c r="A5001" s="203"/>
      <c r="B5001" s="205"/>
      <c r="C5001" s="35" t="s">
        <v>943</v>
      </c>
      <c r="D5001" s="46" t="s">
        <v>695</v>
      </c>
      <c r="E5001" s="36">
        <f>4*0.3</f>
        <v>1.2</v>
      </c>
      <c r="F5001" s="30">
        <v>19.094999999999999</v>
      </c>
      <c r="G5001" s="30">
        <f t="shared" si="93"/>
        <v>22.913999999999998</v>
      </c>
      <c r="H5001" s="38">
        <f>SUM(G5001:G5004)</f>
        <v>78.808199999999999</v>
      </c>
      <c r="I5001" s="39"/>
      <c r="J5001" s="148">
        <v>15</v>
      </c>
      <c r="K5001" s="222" t="s">
        <v>8074</v>
      </c>
    </row>
    <row r="5002" spans="1:11" ht="25.5" hidden="1" x14ac:dyDescent="0.25">
      <c r="A5002" s="203"/>
      <c r="B5002" s="205"/>
      <c r="C5002" s="35" t="s">
        <v>944</v>
      </c>
      <c r="D5002" s="35" t="s">
        <v>695</v>
      </c>
      <c r="E5002" s="36">
        <f>4*0.3</f>
        <v>1.2</v>
      </c>
      <c r="F5002" s="30">
        <v>24.300999999999998</v>
      </c>
      <c r="G5002" s="30">
        <f t="shared" si="93"/>
        <v>29.161199999999997</v>
      </c>
      <c r="H5002" s="44"/>
      <c r="I5002" s="45"/>
      <c r="J5002" s="148">
        <v>15</v>
      </c>
      <c r="K5002" s="222" t="s">
        <v>8074</v>
      </c>
    </row>
    <row r="5003" spans="1:11" hidden="1" x14ac:dyDescent="0.25">
      <c r="A5003" s="203"/>
      <c r="B5003" s="205"/>
      <c r="C5003" s="35" t="s">
        <v>74</v>
      </c>
      <c r="D5003" s="46" t="s">
        <v>695</v>
      </c>
      <c r="E5003" s="36">
        <f>2*0.3</f>
        <v>0.6</v>
      </c>
      <c r="F5003" s="30">
        <v>19.4085</v>
      </c>
      <c r="G5003" s="30">
        <f t="shared" si="93"/>
        <v>11.645099999999999</v>
      </c>
      <c r="H5003" s="34"/>
      <c r="I5003" s="30"/>
      <c r="J5003" s="148">
        <v>15</v>
      </c>
      <c r="K5003" s="222" t="s">
        <v>8074</v>
      </c>
    </row>
    <row r="5004" spans="1:11" hidden="1" x14ac:dyDescent="0.25">
      <c r="A5004" s="203"/>
      <c r="B5004" s="205"/>
      <c r="C5004" s="35" t="s">
        <v>30</v>
      </c>
      <c r="D5004" s="35" t="s">
        <v>695</v>
      </c>
      <c r="E5004" s="36">
        <f>2*0.3</f>
        <v>0.6</v>
      </c>
      <c r="F5004" s="30">
        <v>25.146499999999996</v>
      </c>
      <c r="G5004" s="30">
        <f t="shared" si="93"/>
        <v>15.087899999999998</v>
      </c>
      <c r="H5004" s="34"/>
      <c r="I5004" s="30"/>
      <c r="J5004" s="148">
        <v>15</v>
      </c>
      <c r="K5004" s="222" t="s">
        <v>8074</v>
      </c>
    </row>
    <row r="5005" spans="1:11" ht="15.75" hidden="1" thickBot="1" x14ac:dyDescent="0.3">
      <c r="A5005" s="209"/>
      <c r="B5005" s="206"/>
      <c r="C5005" s="35"/>
      <c r="D5005" s="35"/>
      <c r="E5005" s="36"/>
      <c r="F5005" s="30" t="s">
        <v>514</v>
      </c>
      <c r="G5005" s="30" t="str">
        <f t="shared" si="93"/>
        <v/>
      </c>
      <c r="H5005" s="34"/>
      <c r="I5005" s="30"/>
      <c r="J5005" s="148">
        <v>15</v>
      </c>
      <c r="K5005" s="222" t="s">
        <v>8074</v>
      </c>
    </row>
    <row r="5006" spans="1:11" ht="15.75" hidden="1" thickBot="1" x14ac:dyDescent="0.3">
      <c r="A5006" s="202" t="s">
        <v>3410</v>
      </c>
      <c r="B5006" s="204" t="str">
        <f>INDEX(Orçamentária!A:B,MATCH(Composições!A5006,Orçamentária!A:A,0),2)</f>
        <v>Remoção de tacos de madeira</v>
      </c>
      <c r="C5006" s="40"/>
      <c r="D5006" s="25" t="str">
        <f>TRIM(INDEX(Orçamentária!C:C,MATCH(Composições!A5006,Orçamentária!A:A,0),1))</f>
        <v>m2</v>
      </c>
      <c r="E5006" s="26"/>
      <c r="F5006" s="41" t="s">
        <v>514</v>
      </c>
      <c r="G5006" s="27" t="str">
        <f t="shared" si="93"/>
        <v/>
      </c>
      <c r="H5006" s="28"/>
      <c r="I5006" s="29"/>
      <c r="J5006" s="148">
        <v>400</v>
      </c>
      <c r="K5006" s="222" t="s">
        <v>8074</v>
      </c>
    </row>
    <row r="5007" spans="1:11" hidden="1" x14ac:dyDescent="0.25">
      <c r="A5007" s="203"/>
      <c r="B5007" s="205"/>
      <c r="C5007" s="31"/>
      <c r="D5007" s="31"/>
      <c r="E5007" s="32"/>
      <c r="F5007" s="42" t="s">
        <v>514</v>
      </c>
      <c r="G5007" s="30" t="str">
        <f t="shared" si="93"/>
        <v/>
      </c>
      <c r="H5007" s="34"/>
      <c r="I5007" s="30"/>
      <c r="J5007" s="148">
        <v>400</v>
      </c>
      <c r="K5007" s="222" t="s">
        <v>8074</v>
      </c>
    </row>
    <row r="5008" spans="1:11" hidden="1" x14ac:dyDescent="0.25">
      <c r="A5008" s="203"/>
      <c r="B5008" s="205"/>
      <c r="C5008" s="35" t="s">
        <v>694</v>
      </c>
      <c r="D5008" s="35" t="s">
        <v>695</v>
      </c>
      <c r="E5008" s="36">
        <v>0.12</v>
      </c>
      <c r="F5008" s="33">
        <v>23.616999999999997</v>
      </c>
      <c r="G5008" s="33">
        <f t="shared" si="93"/>
        <v>2.8340399999999994</v>
      </c>
      <c r="H5008" s="38">
        <f>SUM(G5008:G5009)</f>
        <v>26.226839999999996</v>
      </c>
      <c r="I5008" s="39"/>
      <c r="J5008" s="148">
        <v>400</v>
      </c>
      <c r="K5008" s="222" t="s">
        <v>8074</v>
      </c>
    </row>
    <row r="5009" spans="1:11" hidden="1" x14ac:dyDescent="0.25">
      <c r="A5009" s="203"/>
      <c r="B5009" s="205"/>
      <c r="C5009" s="35" t="s">
        <v>778</v>
      </c>
      <c r="D5009" s="35" t="s">
        <v>695</v>
      </c>
      <c r="E5009" s="36">
        <v>1.2</v>
      </c>
      <c r="F5009" s="33">
        <v>19.494</v>
      </c>
      <c r="G5009" s="33">
        <f t="shared" si="93"/>
        <v>23.392799999999998</v>
      </c>
      <c r="H5009" s="44"/>
      <c r="I5009" s="45"/>
      <c r="J5009" s="148">
        <v>400</v>
      </c>
      <c r="K5009" s="222" t="s">
        <v>8074</v>
      </c>
    </row>
    <row r="5010" spans="1:11" ht="15.75" hidden="1" thickBot="1" x14ac:dyDescent="0.3">
      <c r="A5010" s="209"/>
      <c r="B5010" s="206"/>
      <c r="C5010" s="35"/>
      <c r="D5010" s="35"/>
      <c r="E5010" s="36"/>
      <c r="F5010" s="30" t="s">
        <v>514</v>
      </c>
      <c r="G5010" s="30" t="str">
        <f t="shared" ref="G5010:G5073" si="95">IF(ISNUMBER(F5010),E5010*F5010,"")</f>
        <v/>
      </c>
      <c r="H5010" s="34"/>
      <c r="I5010" s="30"/>
      <c r="J5010" s="148">
        <v>400</v>
      </c>
      <c r="K5010" s="222" t="s">
        <v>8074</v>
      </c>
    </row>
    <row r="5011" spans="1:11" ht="15.75" hidden="1" thickBot="1" x14ac:dyDescent="0.3">
      <c r="A5011" s="202" t="s">
        <v>3411</v>
      </c>
      <c r="B5011" s="204" t="str">
        <f>INDEX(Orçamentária!A:B,MATCH(Composições!A5011,Orçamentária!A:A,0),2)</f>
        <v>Cerâmica 30x60cm - Glacier White - Portobello – Linha Residencial</v>
      </c>
      <c r="C5011" s="40"/>
      <c r="D5011" s="25" t="str">
        <f>TRIM(INDEX(Orçamentária!C:C,MATCH(Composições!A5011,Orçamentária!A:A,0),1))</f>
        <v>m2</v>
      </c>
      <c r="E5011" s="26"/>
      <c r="F5011" s="48" t="s">
        <v>514</v>
      </c>
      <c r="G5011" s="27" t="str">
        <f t="shared" si="95"/>
        <v/>
      </c>
      <c r="H5011" s="28"/>
      <c r="I5011" s="29"/>
      <c r="J5011" s="148">
        <v>0</v>
      </c>
      <c r="K5011" s="222">
        <v>0</v>
      </c>
    </row>
    <row r="5012" spans="1:11" hidden="1" x14ac:dyDescent="0.25">
      <c r="A5012" s="207"/>
      <c r="B5012" s="205"/>
      <c r="C5012" s="31"/>
      <c r="D5012" s="31"/>
      <c r="E5012" s="32"/>
      <c r="F5012" s="53" t="s">
        <v>514</v>
      </c>
      <c r="G5012" s="53" t="str">
        <f t="shared" si="95"/>
        <v/>
      </c>
      <c r="H5012" s="72"/>
      <c r="I5012" s="73"/>
      <c r="J5012" s="148">
        <v>0</v>
      </c>
      <c r="K5012" s="222">
        <v>0</v>
      </c>
    </row>
    <row r="5013" spans="1:11" ht="25.5" hidden="1" x14ac:dyDescent="0.25">
      <c r="A5013" s="207"/>
      <c r="B5013" s="205"/>
      <c r="C5013" s="35" t="s">
        <v>3558</v>
      </c>
      <c r="D5013" s="35" t="s">
        <v>94</v>
      </c>
      <c r="E5013" s="36">
        <v>1.08</v>
      </c>
      <c r="F5013" s="53" t="s">
        <v>514</v>
      </c>
      <c r="G5013" s="53" t="str">
        <f t="shared" si="95"/>
        <v/>
      </c>
      <c r="H5013" s="38">
        <f>SUM(G5013:G5017)</f>
        <v>29.618720000000003</v>
      </c>
      <c r="I5013" s="39"/>
      <c r="J5013" s="148">
        <v>0</v>
      </c>
      <c r="K5013" s="222">
        <v>0</v>
      </c>
    </row>
    <row r="5014" spans="1:11" hidden="1" x14ac:dyDescent="0.25">
      <c r="A5014" s="207"/>
      <c r="B5014" s="205"/>
      <c r="C5014" s="35" t="s">
        <v>3513</v>
      </c>
      <c r="D5014" s="35" t="s">
        <v>42</v>
      </c>
      <c r="E5014" s="36">
        <v>6.14</v>
      </c>
      <c r="F5014" s="53">
        <v>0.96899999999999997</v>
      </c>
      <c r="G5014" s="53">
        <f t="shared" si="95"/>
        <v>5.9496599999999997</v>
      </c>
      <c r="H5014" s="72"/>
      <c r="I5014" s="73"/>
      <c r="J5014" s="148">
        <v>0</v>
      </c>
      <c r="K5014" s="222">
        <v>0</v>
      </c>
    </row>
    <row r="5015" spans="1:11" hidden="1" x14ac:dyDescent="0.25">
      <c r="A5015" s="207"/>
      <c r="B5015" s="205"/>
      <c r="C5015" s="35" t="s">
        <v>3511</v>
      </c>
      <c r="D5015" s="35" t="s">
        <v>42</v>
      </c>
      <c r="E5015" s="36">
        <v>0.22</v>
      </c>
      <c r="F5015" s="53">
        <v>3.0590000000000002</v>
      </c>
      <c r="G5015" s="53">
        <f t="shared" si="95"/>
        <v>0.67298000000000002</v>
      </c>
      <c r="H5015" s="72"/>
      <c r="I5015" s="73"/>
      <c r="J5015" s="148">
        <v>0</v>
      </c>
      <c r="K5015" s="222">
        <v>0</v>
      </c>
    </row>
    <row r="5016" spans="1:11" hidden="1" x14ac:dyDescent="0.25">
      <c r="A5016" s="207"/>
      <c r="B5016" s="205"/>
      <c r="C5016" s="35" t="s">
        <v>36</v>
      </c>
      <c r="D5016" s="35" t="s">
        <v>12</v>
      </c>
      <c r="E5016" s="36">
        <v>0.66</v>
      </c>
      <c r="F5016" s="53">
        <v>24.795000000000002</v>
      </c>
      <c r="G5016" s="53">
        <f t="shared" si="95"/>
        <v>16.364700000000003</v>
      </c>
      <c r="H5016" s="72"/>
      <c r="I5016" s="73"/>
      <c r="J5016" s="148">
        <v>0</v>
      </c>
      <c r="K5016" s="222">
        <v>0</v>
      </c>
    </row>
    <row r="5017" spans="1:11" hidden="1" x14ac:dyDescent="0.25">
      <c r="A5017" s="207"/>
      <c r="B5017" s="205"/>
      <c r="C5017" s="35" t="s">
        <v>23</v>
      </c>
      <c r="D5017" s="35" t="s">
        <v>12</v>
      </c>
      <c r="E5017" s="36">
        <v>0.36</v>
      </c>
      <c r="F5017" s="53">
        <v>18.420500000000001</v>
      </c>
      <c r="G5017" s="53">
        <f t="shared" si="95"/>
        <v>6.6313800000000001</v>
      </c>
      <c r="H5017" s="72"/>
      <c r="I5017" s="73"/>
      <c r="J5017" s="148">
        <v>0</v>
      </c>
      <c r="K5017" s="222">
        <v>0</v>
      </c>
    </row>
    <row r="5018" spans="1:11" hidden="1" x14ac:dyDescent="0.25">
      <c r="A5018" s="207"/>
      <c r="B5018" s="205"/>
      <c r="C5018" s="35"/>
      <c r="D5018" s="46"/>
      <c r="E5018" s="36"/>
      <c r="F5018" s="53" t="s">
        <v>514</v>
      </c>
      <c r="G5018" s="53" t="str">
        <f t="shared" si="95"/>
        <v/>
      </c>
      <c r="H5018" s="72"/>
      <c r="I5018" s="73"/>
      <c r="J5018" s="148">
        <v>0</v>
      </c>
      <c r="K5018" s="222">
        <v>0</v>
      </c>
    </row>
    <row r="5019" spans="1:11" ht="15.75" hidden="1" thickBot="1" x14ac:dyDescent="0.3">
      <c r="A5019" s="202" t="s">
        <v>3412</v>
      </c>
      <c r="B5019" s="204" t="str">
        <f>INDEX(Orçamentária!A:B,MATCH(Composições!A5019,Orçamentária!A:A,0),2)</f>
        <v>Instalação de tacos de madeira reaproveitados</v>
      </c>
      <c r="C5019" s="40"/>
      <c r="D5019" s="25" t="str">
        <f>TRIM(INDEX(Orçamentária!C:C,MATCH(Composições!A5019,Orçamentária!A:A,0),1))</f>
        <v>m2</v>
      </c>
      <c r="E5019" s="26"/>
      <c r="F5019" s="41" t="s">
        <v>514</v>
      </c>
      <c r="G5019" s="27" t="str">
        <f t="shared" si="95"/>
        <v/>
      </c>
      <c r="H5019" s="28"/>
      <c r="I5019" s="29"/>
      <c r="J5019" s="148">
        <v>115</v>
      </c>
      <c r="K5019" s="222" t="s">
        <v>8074</v>
      </c>
    </row>
    <row r="5020" spans="1:11" hidden="1" x14ac:dyDescent="0.25">
      <c r="A5020" s="203"/>
      <c r="B5020" s="205"/>
      <c r="C5020" s="31"/>
      <c r="D5020" s="31"/>
      <c r="E5020" s="32"/>
      <c r="F5020" s="42" t="s">
        <v>514</v>
      </c>
      <c r="G5020" s="30" t="str">
        <f t="shared" si="95"/>
        <v/>
      </c>
      <c r="H5020" s="34"/>
      <c r="I5020" s="30"/>
      <c r="J5020" s="148">
        <v>115</v>
      </c>
      <c r="K5020" s="222" t="s">
        <v>8074</v>
      </c>
    </row>
    <row r="5021" spans="1:11" hidden="1" x14ac:dyDescent="0.25">
      <c r="A5021" s="203"/>
      <c r="B5021" s="205"/>
      <c r="C5021" s="35" t="s">
        <v>1228</v>
      </c>
      <c r="D5021" s="35" t="s">
        <v>42</v>
      </c>
      <c r="E5021" s="36">
        <v>0.57499999999999996</v>
      </c>
      <c r="F5021" s="33">
        <v>41.249000000000002</v>
      </c>
      <c r="G5021" s="33">
        <f t="shared" si="95"/>
        <v>23.718174999999999</v>
      </c>
      <c r="H5021" s="38">
        <f>SUM(G5021:G5023)</f>
        <v>42.323685599999997</v>
      </c>
      <c r="I5021" s="39"/>
      <c r="J5021" s="148">
        <v>115</v>
      </c>
      <c r="K5021" s="222" t="s">
        <v>8074</v>
      </c>
    </row>
    <row r="5022" spans="1:11" hidden="1" x14ac:dyDescent="0.25">
      <c r="A5022" s="203"/>
      <c r="B5022" s="205"/>
      <c r="C5022" s="35" t="s">
        <v>696</v>
      </c>
      <c r="D5022" s="35" t="s">
        <v>695</v>
      </c>
      <c r="E5022" s="36">
        <v>0.2399</v>
      </c>
      <c r="F5022" s="33">
        <v>18.420500000000001</v>
      </c>
      <c r="G5022" s="33">
        <f t="shared" si="95"/>
        <v>4.4190779500000001</v>
      </c>
      <c r="H5022" s="44"/>
      <c r="I5022" s="45"/>
      <c r="J5022" s="148">
        <v>115</v>
      </c>
      <c r="K5022" s="222" t="s">
        <v>8074</v>
      </c>
    </row>
    <row r="5023" spans="1:11" hidden="1" x14ac:dyDescent="0.25">
      <c r="A5023" s="203"/>
      <c r="B5023" s="205"/>
      <c r="C5023" s="35" t="s">
        <v>1207</v>
      </c>
      <c r="D5023" s="46" t="s">
        <v>695</v>
      </c>
      <c r="E5023" s="36">
        <v>0.57589999999999997</v>
      </c>
      <c r="F5023" s="30">
        <v>24.633499999999998</v>
      </c>
      <c r="G5023" s="30">
        <f t="shared" si="95"/>
        <v>14.186432649999999</v>
      </c>
      <c r="H5023" s="34"/>
      <c r="I5023" s="30"/>
      <c r="J5023" s="148">
        <v>115</v>
      </c>
      <c r="K5023" s="222" t="s">
        <v>8074</v>
      </c>
    </row>
    <row r="5024" spans="1:11" ht="15.75" hidden="1" thickBot="1" x14ac:dyDescent="0.3">
      <c r="A5024" s="209"/>
      <c r="B5024" s="206"/>
      <c r="C5024" s="35"/>
      <c r="D5024" s="35"/>
      <c r="E5024" s="36"/>
      <c r="F5024" s="30" t="s">
        <v>514</v>
      </c>
      <c r="G5024" s="30" t="str">
        <f t="shared" si="95"/>
        <v/>
      </c>
      <c r="H5024" s="34"/>
      <c r="I5024" s="30"/>
      <c r="J5024" s="148">
        <v>115</v>
      </c>
      <c r="K5024" s="222" t="s">
        <v>8074</v>
      </c>
    </row>
    <row r="5025" spans="1:11" ht="15.75" hidden="1" thickBot="1" x14ac:dyDescent="0.3">
      <c r="A5025" s="202" t="s">
        <v>3417</v>
      </c>
      <c r="B5025" s="204" t="str">
        <f>INDEX(Orçamentária!A:B,MATCH(Composições!A5025,Orçamentária!A:A,0),2)</f>
        <v>Instalação de cortinas reaproveitadas</v>
      </c>
      <c r="C5025" s="40"/>
      <c r="D5025" s="25" t="str">
        <f>TRIM(INDEX(Orçamentária!C:C,MATCH(Composições!A5025,Orçamentária!A:A,0),1))</f>
        <v>m</v>
      </c>
      <c r="E5025" s="26"/>
      <c r="F5025" s="41" t="s">
        <v>514</v>
      </c>
      <c r="G5025" s="27" t="str">
        <f t="shared" si="95"/>
        <v/>
      </c>
      <c r="H5025" s="28"/>
      <c r="I5025" s="29"/>
      <c r="J5025" s="148">
        <v>40</v>
      </c>
      <c r="K5025" s="222" t="s">
        <v>8074</v>
      </c>
    </row>
    <row r="5026" spans="1:11" hidden="1" x14ac:dyDescent="0.25">
      <c r="A5026" s="203"/>
      <c r="B5026" s="205"/>
      <c r="C5026" s="31"/>
      <c r="D5026" s="31"/>
      <c r="E5026" s="32"/>
      <c r="F5026" s="42" t="s">
        <v>514</v>
      </c>
      <c r="G5026" s="30" t="str">
        <f t="shared" si="95"/>
        <v/>
      </c>
      <c r="H5026" s="34"/>
      <c r="I5026" s="30"/>
      <c r="J5026" s="148">
        <v>40</v>
      </c>
      <c r="K5026" s="222" t="s">
        <v>8074</v>
      </c>
    </row>
    <row r="5027" spans="1:11" hidden="1" x14ac:dyDescent="0.25">
      <c r="A5027" s="203"/>
      <c r="B5027" s="205"/>
      <c r="C5027" s="35" t="s">
        <v>1370</v>
      </c>
      <c r="D5027" s="35" t="s">
        <v>695</v>
      </c>
      <c r="E5027" s="36">
        <v>0.5</v>
      </c>
      <c r="F5027" s="33">
        <v>19.474999999999998</v>
      </c>
      <c r="G5027" s="33">
        <f t="shared" si="95"/>
        <v>9.7374999999999989</v>
      </c>
      <c r="H5027" s="38">
        <f>SUM(G5027:G5027)</f>
        <v>9.7374999999999989</v>
      </c>
      <c r="I5027" s="39"/>
      <c r="J5027" s="148">
        <v>40</v>
      </c>
      <c r="K5027" s="222" t="s">
        <v>8074</v>
      </c>
    </row>
    <row r="5028" spans="1:11" ht="15.75" hidden="1" thickBot="1" x14ac:dyDescent="0.3">
      <c r="A5028" s="209"/>
      <c r="B5028" s="206"/>
      <c r="C5028" s="35"/>
      <c r="D5028" s="35"/>
      <c r="E5028" s="36"/>
      <c r="F5028" s="30" t="s">
        <v>514</v>
      </c>
      <c r="G5028" s="30" t="str">
        <f t="shared" si="95"/>
        <v/>
      </c>
      <c r="H5028" s="34"/>
      <c r="I5028" s="30"/>
      <c r="J5028" s="148">
        <v>40</v>
      </c>
      <c r="K5028" s="222" t="s">
        <v>8074</v>
      </c>
    </row>
    <row r="5029" spans="1:11" ht="15.75" hidden="1" thickBot="1" x14ac:dyDescent="0.3">
      <c r="A5029" s="202" t="s">
        <v>3418</v>
      </c>
      <c r="B5029" s="204" t="str">
        <f>INDEX(Orçamentária!A:B,MATCH(Composições!A5029,Orçamentária!A:A,0),2)</f>
        <v>Tubo CPVC soldável 22mm – Linha Residencial</v>
      </c>
      <c r="C5029" s="40"/>
      <c r="D5029" s="25" t="str">
        <f>TRIM(INDEX(Orçamentária!C:C,MATCH(Composições!A5029,Orçamentária!A:A,0),1))</f>
        <v>m</v>
      </c>
      <c r="E5029" s="26"/>
      <c r="F5029" s="41" t="s">
        <v>514</v>
      </c>
      <c r="G5029" s="27" t="str">
        <f t="shared" si="95"/>
        <v/>
      </c>
      <c r="H5029" s="28"/>
      <c r="I5029" s="29"/>
      <c r="J5029" s="148">
        <v>30</v>
      </c>
      <c r="K5029" s="222" t="s">
        <v>8074</v>
      </c>
    </row>
    <row r="5030" spans="1:11" hidden="1" x14ac:dyDescent="0.25">
      <c r="A5030" s="203"/>
      <c r="B5030" s="205"/>
      <c r="C5030" s="31"/>
      <c r="D5030" s="31"/>
      <c r="E5030" s="32"/>
      <c r="F5030" s="42" t="s">
        <v>514</v>
      </c>
      <c r="G5030" s="30" t="str">
        <f t="shared" si="95"/>
        <v/>
      </c>
      <c r="H5030" s="34"/>
      <c r="I5030" s="30"/>
      <c r="J5030" s="148">
        <v>30</v>
      </c>
      <c r="K5030" s="222" t="s">
        <v>8074</v>
      </c>
    </row>
    <row r="5031" spans="1:11" ht="25.5" hidden="1" x14ac:dyDescent="0.25">
      <c r="A5031" s="203"/>
      <c r="B5031" s="205"/>
      <c r="C5031" s="35" t="s">
        <v>3366</v>
      </c>
      <c r="D5031" s="35" t="s">
        <v>473</v>
      </c>
      <c r="E5031" s="36">
        <v>1.0609999999999999</v>
      </c>
      <c r="F5031" s="33">
        <v>13.575499999999998</v>
      </c>
      <c r="G5031" s="33">
        <f t="shared" si="95"/>
        <v>14.403605499999998</v>
      </c>
      <c r="H5031" s="38">
        <f>SUM(G5031:G5033)</f>
        <v>29.114849499999998</v>
      </c>
      <c r="I5031" s="39"/>
      <c r="J5031" s="148">
        <v>30</v>
      </c>
      <c r="K5031" s="222" t="s">
        <v>8074</v>
      </c>
    </row>
    <row r="5032" spans="1:11" ht="25.5" hidden="1" x14ac:dyDescent="0.25">
      <c r="A5032" s="203"/>
      <c r="B5032" s="205"/>
      <c r="C5032" s="35" t="s">
        <v>943</v>
      </c>
      <c r="D5032" s="35" t="s">
        <v>695</v>
      </c>
      <c r="E5032" s="36">
        <v>0.33900000000000002</v>
      </c>
      <c r="F5032" s="33">
        <v>19.094999999999999</v>
      </c>
      <c r="G5032" s="33">
        <f t="shared" si="95"/>
        <v>6.4732050000000001</v>
      </c>
      <c r="H5032" s="44"/>
      <c r="I5032" s="45"/>
      <c r="J5032" s="148">
        <v>30</v>
      </c>
      <c r="K5032" s="222" t="s">
        <v>8074</v>
      </c>
    </row>
    <row r="5033" spans="1:11" ht="25.5" hidden="1" x14ac:dyDescent="0.25">
      <c r="A5033" s="203"/>
      <c r="B5033" s="205"/>
      <c r="C5033" s="35" t="s">
        <v>944</v>
      </c>
      <c r="D5033" s="46" t="s">
        <v>695</v>
      </c>
      <c r="E5033" s="36">
        <v>0.33900000000000002</v>
      </c>
      <c r="F5033" s="30">
        <v>24.300999999999998</v>
      </c>
      <c r="G5033" s="30">
        <f t="shared" si="95"/>
        <v>8.2380390000000006</v>
      </c>
      <c r="H5033" s="34"/>
      <c r="I5033" s="30"/>
      <c r="J5033" s="148">
        <v>30</v>
      </c>
      <c r="K5033" s="222" t="s">
        <v>8074</v>
      </c>
    </row>
    <row r="5034" spans="1:11" ht="15.75" hidden="1" thickBot="1" x14ac:dyDescent="0.3">
      <c r="A5034" s="209"/>
      <c r="B5034" s="206"/>
      <c r="C5034" s="35"/>
      <c r="D5034" s="35"/>
      <c r="E5034" s="36"/>
      <c r="F5034" s="30" t="s">
        <v>514</v>
      </c>
      <c r="G5034" s="30" t="str">
        <f t="shared" si="95"/>
        <v/>
      </c>
      <c r="H5034" s="34"/>
      <c r="I5034" s="30"/>
      <c r="J5034" s="148">
        <v>30</v>
      </c>
      <c r="K5034" s="222" t="s">
        <v>8074</v>
      </c>
    </row>
    <row r="5035" spans="1:11" ht="15.75" hidden="1" thickBot="1" x14ac:dyDescent="0.3">
      <c r="A5035" s="202" t="s">
        <v>3419</v>
      </c>
      <c r="B5035" s="204" t="str">
        <f>INDEX(Orçamentária!A:B,MATCH(Composições!A5035,Orçamentária!A:A,0),2)</f>
        <v>Tubo CPVC soldável 28mm – Linha Residencial</v>
      </c>
      <c r="C5035" s="40"/>
      <c r="D5035" s="25" t="str">
        <f>TRIM(INDEX(Orçamentária!C:C,MATCH(Composições!A5035,Orçamentária!A:A,0),1))</f>
        <v>m</v>
      </c>
      <c r="E5035" s="26"/>
      <c r="F5035" s="41" t="s">
        <v>514</v>
      </c>
      <c r="G5035" s="27" t="str">
        <f t="shared" si="95"/>
        <v/>
      </c>
      <c r="H5035" s="28"/>
      <c r="I5035" s="29"/>
      <c r="J5035" s="148">
        <v>30</v>
      </c>
      <c r="K5035" s="222" t="s">
        <v>8074</v>
      </c>
    </row>
    <row r="5036" spans="1:11" hidden="1" x14ac:dyDescent="0.25">
      <c r="A5036" s="203"/>
      <c r="B5036" s="205"/>
      <c r="C5036" s="31"/>
      <c r="D5036" s="31"/>
      <c r="E5036" s="32"/>
      <c r="F5036" s="42" t="s">
        <v>514</v>
      </c>
      <c r="G5036" s="30" t="str">
        <f t="shared" si="95"/>
        <v/>
      </c>
      <c r="H5036" s="34"/>
      <c r="I5036" s="30"/>
      <c r="J5036" s="148">
        <v>30</v>
      </c>
      <c r="K5036" s="222" t="s">
        <v>8074</v>
      </c>
    </row>
    <row r="5037" spans="1:11" ht="25.5" hidden="1" x14ac:dyDescent="0.25">
      <c r="A5037" s="203"/>
      <c r="B5037" s="205"/>
      <c r="C5037" s="35" t="s">
        <v>3367</v>
      </c>
      <c r="D5037" s="35" t="s">
        <v>473</v>
      </c>
      <c r="E5037" s="36">
        <v>1.0609999999999999</v>
      </c>
      <c r="F5037" s="33">
        <v>21.792999999999999</v>
      </c>
      <c r="G5037" s="33">
        <f t="shared" si="95"/>
        <v>23.122373</v>
      </c>
      <c r="H5037" s="38">
        <f>SUM(G5037:G5039)</f>
        <v>40.480772999999999</v>
      </c>
      <c r="I5037" s="39"/>
      <c r="J5037" s="148">
        <v>30</v>
      </c>
      <c r="K5037" s="222" t="s">
        <v>8074</v>
      </c>
    </row>
    <row r="5038" spans="1:11" ht="25.5" hidden="1" x14ac:dyDescent="0.25">
      <c r="A5038" s="203"/>
      <c r="B5038" s="205"/>
      <c r="C5038" s="35" t="s">
        <v>943</v>
      </c>
      <c r="D5038" s="35" t="s">
        <v>695</v>
      </c>
      <c r="E5038" s="36">
        <v>0.4</v>
      </c>
      <c r="F5038" s="33">
        <v>19.094999999999999</v>
      </c>
      <c r="G5038" s="33">
        <f t="shared" si="95"/>
        <v>7.6379999999999999</v>
      </c>
      <c r="H5038" s="44"/>
      <c r="I5038" s="45"/>
      <c r="J5038" s="148">
        <v>30</v>
      </c>
      <c r="K5038" s="222" t="s">
        <v>8074</v>
      </c>
    </row>
    <row r="5039" spans="1:11" ht="25.5" hidden="1" x14ac:dyDescent="0.25">
      <c r="A5039" s="203"/>
      <c r="B5039" s="205"/>
      <c r="C5039" s="35" t="s">
        <v>944</v>
      </c>
      <c r="D5039" s="46" t="s">
        <v>695</v>
      </c>
      <c r="E5039" s="36">
        <v>0.4</v>
      </c>
      <c r="F5039" s="30">
        <v>24.300999999999998</v>
      </c>
      <c r="G5039" s="30">
        <f t="shared" si="95"/>
        <v>9.7203999999999997</v>
      </c>
      <c r="H5039" s="34"/>
      <c r="I5039" s="30"/>
      <c r="J5039" s="148">
        <v>30</v>
      </c>
      <c r="K5039" s="222" t="s">
        <v>8074</v>
      </c>
    </row>
    <row r="5040" spans="1:11" ht="15.75" hidden="1" thickBot="1" x14ac:dyDescent="0.3">
      <c r="A5040" s="209"/>
      <c r="B5040" s="206"/>
      <c r="C5040" s="35"/>
      <c r="D5040" s="35"/>
      <c r="E5040" s="36"/>
      <c r="F5040" s="30" t="s">
        <v>514</v>
      </c>
      <c r="G5040" s="30" t="str">
        <f t="shared" si="95"/>
        <v/>
      </c>
      <c r="H5040" s="34"/>
      <c r="I5040" s="30"/>
      <c r="J5040" s="148">
        <v>30</v>
      </c>
      <c r="K5040" s="222" t="s">
        <v>8074</v>
      </c>
    </row>
    <row r="5041" spans="1:11" ht="15.75" hidden="1" thickBot="1" x14ac:dyDescent="0.3">
      <c r="A5041" s="202" t="s">
        <v>3420</v>
      </c>
      <c r="B5041" s="204" t="str">
        <f>INDEX(Orçamentária!A:B,MATCH(Composições!A5041,Orçamentária!A:A,0),2)</f>
        <v>Instalação de bidê reaproveitado</v>
      </c>
      <c r="C5041" s="40"/>
      <c r="D5041" s="25" t="str">
        <f>TRIM(INDEX(Orçamentária!C:C,MATCH(Composições!A5041,Orçamentária!A:A,0),1))</f>
        <v>un</v>
      </c>
      <c r="E5041" s="26"/>
      <c r="F5041" s="41" t="s">
        <v>514</v>
      </c>
      <c r="G5041" s="27" t="str">
        <f t="shared" si="95"/>
        <v/>
      </c>
      <c r="H5041" s="28"/>
      <c r="I5041" s="29"/>
      <c r="J5041" s="148">
        <v>4</v>
      </c>
      <c r="K5041" s="222" t="s">
        <v>8074</v>
      </c>
    </row>
    <row r="5042" spans="1:11" hidden="1" x14ac:dyDescent="0.25">
      <c r="A5042" s="203"/>
      <c r="B5042" s="205"/>
      <c r="C5042" s="31"/>
      <c r="D5042" s="31"/>
      <c r="E5042" s="32"/>
      <c r="F5042" s="42" t="s">
        <v>514</v>
      </c>
      <c r="G5042" s="30" t="str">
        <f t="shared" si="95"/>
        <v/>
      </c>
      <c r="H5042" s="34"/>
      <c r="I5042" s="30"/>
      <c r="J5042" s="148">
        <v>4</v>
      </c>
      <c r="K5042" s="222" t="s">
        <v>8074</v>
      </c>
    </row>
    <row r="5043" spans="1:11" ht="25.5" hidden="1" x14ac:dyDescent="0.25">
      <c r="A5043" s="203"/>
      <c r="B5043" s="205"/>
      <c r="C5043" s="35" t="s">
        <v>328</v>
      </c>
      <c r="D5043" s="46" t="s">
        <v>278</v>
      </c>
      <c r="E5043" s="36">
        <v>2</v>
      </c>
      <c r="F5043" s="33">
        <v>21.716999999999999</v>
      </c>
      <c r="G5043" s="33">
        <f t="shared" si="95"/>
        <v>43.433999999999997</v>
      </c>
      <c r="H5043" s="38">
        <f>SUM(G5043:G5047)</f>
        <v>82.030135450000003</v>
      </c>
      <c r="I5043" s="39"/>
      <c r="J5043" s="148">
        <v>4</v>
      </c>
      <c r="K5043" s="222" t="s">
        <v>8074</v>
      </c>
    </row>
    <row r="5044" spans="1:11" ht="25.5" hidden="1" x14ac:dyDescent="0.25">
      <c r="A5044" s="203"/>
      <c r="B5044" s="205"/>
      <c r="C5044" s="35" t="s">
        <v>6598</v>
      </c>
      <c r="D5044" s="46" t="s">
        <v>278</v>
      </c>
      <c r="E5044" s="36">
        <v>1</v>
      </c>
      <c r="F5044" s="33">
        <v>14.3925</v>
      </c>
      <c r="G5044" s="33">
        <f t="shared" si="95"/>
        <v>14.3925</v>
      </c>
      <c r="H5044" s="34"/>
      <c r="I5044" s="39"/>
      <c r="J5044" s="148">
        <v>4</v>
      </c>
      <c r="K5044" s="222" t="s">
        <v>8074</v>
      </c>
    </row>
    <row r="5045" spans="1:11" hidden="1" x14ac:dyDescent="0.25">
      <c r="A5045" s="203"/>
      <c r="B5045" s="205"/>
      <c r="C5045" s="35" t="s">
        <v>3514</v>
      </c>
      <c r="D5045" s="46" t="s">
        <v>42</v>
      </c>
      <c r="E5045" s="36">
        <v>8.8099999999999998E-2</v>
      </c>
      <c r="F5045" s="33">
        <v>64.619</v>
      </c>
      <c r="G5045" s="33">
        <f t="shared" si="95"/>
        <v>5.6929338999999999</v>
      </c>
      <c r="H5045" s="34"/>
      <c r="I5045" s="30"/>
      <c r="J5045" s="148">
        <v>4</v>
      </c>
      <c r="K5045" s="222" t="s">
        <v>8074</v>
      </c>
    </row>
    <row r="5046" spans="1:11" hidden="1" x14ac:dyDescent="0.25">
      <c r="A5046" s="203"/>
      <c r="B5046" s="205"/>
      <c r="C5046" s="35" t="s">
        <v>39</v>
      </c>
      <c r="D5046" s="46" t="s">
        <v>12</v>
      </c>
      <c r="E5046" s="36">
        <v>0.49680000000000002</v>
      </c>
      <c r="F5046" s="30">
        <v>24.300999999999998</v>
      </c>
      <c r="G5046" s="33">
        <f t="shared" si="95"/>
        <v>12.072736799999999</v>
      </c>
      <c r="H5046" s="34"/>
      <c r="I5046" s="30"/>
      <c r="J5046" s="148">
        <v>4</v>
      </c>
      <c r="K5046" s="222" t="s">
        <v>8074</v>
      </c>
    </row>
    <row r="5047" spans="1:11" hidden="1" x14ac:dyDescent="0.25">
      <c r="A5047" s="203"/>
      <c r="B5047" s="205"/>
      <c r="C5047" s="35" t="s">
        <v>23</v>
      </c>
      <c r="D5047" s="46" t="s">
        <v>12</v>
      </c>
      <c r="E5047" s="36">
        <v>0.34949999999999998</v>
      </c>
      <c r="F5047" s="30">
        <v>18.420500000000001</v>
      </c>
      <c r="G5047" s="33">
        <f t="shared" si="95"/>
        <v>6.4379647499999999</v>
      </c>
      <c r="H5047" s="34"/>
      <c r="I5047" s="30"/>
      <c r="J5047" s="148">
        <v>4</v>
      </c>
      <c r="K5047" s="222" t="s">
        <v>8074</v>
      </c>
    </row>
    <row r="5048" spans="1:11" ht="15.75" hidden="1" thickBot="1" x14ac:dyDescent="0.3">
      <c r="A5048" s="209"/>
      <c r="B5048" s="206"/>
      <c r="C5048" s="35"/>
      <c r="D5048" s="35"/>
      <c r="E5048" s="36"/>
      <c r="F5048" s="30" t="s">
        <v>514</v>
      </c>
      <c r="G5048" s="30" t="str">
        <f t="shared" si="95"/>
        <v/>
      </c>
      <c r="H5048" s="34"/>
      <c r="I5048" s="30"/>
      <c r="J5048" s="148">
        <v>4</v>
      </c>
      <c r="K5048" s="222" t="s">
        <v>8074</v>
      </c>
    </row>
    <row r="5049" spans="1:11" ht="15.75" hidden="1" thickBot="1" x14ac:dyDescent="0.3">
      <c r="A5049" s="202" t="s">
        <v>3421</v>
      </c>
      <c r="B5049" s="204" t="str">
        <f>INDEX(Orçamentária!A:B,MATCH(Composições!A5049,Orçamentária!A:A,0),2)</f>
        <v>Aquecedor elétrico para pia – Linha Residencial</v>
      </c>
      <c r="C5049" s="40"/>
      <c r="D5049" s="25" t="str">
        <f>TRIM(INDEX(Orçamentária!C:C,MATCH(Composições!A5049,Orçamentária!A:A,0),1))</f>
        <v>un</v>
      </c>
      <c r="E5049" s="26"/>
      <c r="F5049" s="41" t="s">
        <v>514</v>
      </c>
      <c r="G5049" s="27" t="str">
        <f t="shared" si="95"/>
        <v/>
      </c>
      <c r="H5049" s="28"/>
      <c r="I5049" s="29"/>
      <c r="J5049" s="148">
        <v>15</v>
      </c>
      <c r="K5049" s="222" t="s">
        <v>8074</v>
      </c>
    </row>
    <row r="5050" spans="1:11" hidden="1" x14ac:dyDescent="0.25">
      <c r="A5050" s="203"/>
      <c r="B5050" s="205"/>
      <c r="C5050" s="31"/>
      <c r="D5050" s="31"/>
      <c r="E5050" s="32"/>
      <c r="F5050" s="42" t="s">
        <v>514</v>
      </c>
      <c r="G5050" s="30" t="str">
        <f t="shared" si="95"/>
        <v/>
      </c>
      <c r="H5050" s="34"/>
      <c r="I5050" s="30"/>
      <c r="J5050" s="148">
        <v>15</v>
      </c>
      <c r="K5050" s="222" t="s">
        <v>8074</v>
      </c>
    </row>
    <row r="5051" spans="1:11" ht="25.5" hidden="1" x14ac:dyDescent="0.25">
      <c r="A5051" s="203"/>
      <c r="B5051" s="205"/>
      <c r="C5051" s="35" t="s">
        <v>944</v>
      </c>
      <c r="D5051" s="46" t="s">
        <v>695</v>
      </c>
      <c r="E5051" s="36">
        <v>0.5</v>
      </c>
      <c r="F5051" s="30">
        <v>24.300999999999998</v>
      </c>
      <c r="G5051" s="30">
        <f t="shared" si="95"/>
        <v>12.150499999999999</v>
      </c>
      <c r="H5051" s="38">
        <f>SUM(G5051:G5054)</f>
        <v>806.77793310000004</v>
      </c>
      <c r="I5051" s="39"/>
      <c r="J5051" s="148">
        <v>15</v>
      </c>
      <c r="K5051" s="222" t="s">
        <v>8074</v>
      </c>
    </row>
    <row r="5052" spans="1:11" ht="25.5" hidden="1" x14ac:dyDescent="0.25">
      <c r="A5052" s="203"/>
      <c r="B5052" s="205"/>
      <c r="C5052" s="35" t="s">
        <v>943</v>
      </c>
      <c r="D5052" s="35" t="s">
        <v>695</v>
      </c>
      <c r="E5052" s="36">
        <v>0.5</v>
      </c>
      <c r="F5052" s="33">
        <v>19.094999999999999</v>
      </c>
      <c r="G5052" s="33">
        <f t="shared" si="95"/>
        <v>9.5474999999999994</v>
      </c>
      <c r="H5052" s="34"/>
      <c r="I5052" s="30"/>
      <c r="J5052" s="148">
        <v>15</v>
      </c>
      <c r="K5052" s="222" t="s">
        <v>8074</v>
      </c>
    </row>
    <row r="5053" spans="1:11" hidden="1" x14ac:dyDescent="0.25">
      <c r="A5053" s="203"/>
      <c r="B5053" s="205"/>
      <c r="C5053" s="35" t="s">
        <v>317</v>
      </c>
      <c r="D5053" s="35" t="s">
        <v>278</v>
      </c>
      <c r="E5053" s="36">
        <f>0.47/50</f>
        <v>9.3999999999999986E-3</v>
      </c>
      <c r="F5053" s="33">
        <v>14.8865</v>
      </c>
      <c r="G5053" s="33">
        <f t="shared" si="95"/>
        <v>0.13993309999999998</v>
      </c>
      <c r="H5053" s="34"/>
      <c r="I5053" s="30"/>
      <c r="J5053" s="148">
        <v>15</v>
      </c>
      <c r="K5053" s="222" t="s">
        <v>8074</v>
      </c>
    </row>
    <row r="5054" spans="1:11" hidden="1" x14ac:dyDescent="0.25">
      <c r="A5054" s="203"/>
      <c r="B5054" s="205"/>
      <c r="C5054" s="35" t="s">
        <v>3559</v>
      </c>
      <c r="D5054" s="35" t="s">
        <v>278</v>
      </c>
      <c r="E5054" s="36">
        <v>1</v>
      </c>
      <c r="F5054" s="30">
        <v>784.94</v>
      </c>
      <c r="G5054" s="33">
        <f t="shared" si="95"/>
        <v>784.94</v>
      </c>
      <c r="H5054" s="34"/>
      <c r="I5054" s="30"/>
      <c r="J5054" s="148">
        <v>15</v>
      </c>
      <c r="K5054" s="222" t="s">
        <v>8074</v>
      </c>
    </row>
    <row r="5055" spans="1:11" ht="15.75" hidden="1" thickBot="1" x14ac:dyDescent="0.3">
      <c r="A5055" s="209"/>
      <c r="B5055" s="206"/>
      <c r="C5055" s="35"/>
      <c r="D5055" s="35"/>
      <c r="E5055" s="36"/>
      <c r="F5055" s="30" t="s">
        <v>514</v>
      </c>
      <c r="G5055" s="30" t="str">
        <f t="shared" si="95"/>
        <v/>
      </c>
      <c r="H5055" s="34"/>
      <c r="I5055" s="30"/>
      <c r="J5055" s="148">
        <v>15</v>
      </c>
      <c r="K5055" s="222" t="s">
        <v>8074</v>
      </c>
    </row>
    <row r="5056" spans="1:11" ht="15.75" hidden="1" thickBot="1" x14ac:dyDescent="0.3">
      <c r="A5056" s="202" t="s">
        <v>3422</v>
      </c>
      <c r="B5056" s="204" t="str">
        <f>INDEX(Orçamentária!A:B,MATCH(Composições!A5056,Orçamentária!A:A,0),2)</f>
        <v>Chuveiro elétrico – Linha Residencial</v>
      </c>
      <c r="C5056" s="40"/>
      <c r="D5056" s="25" t="str">
        <f>TRIM(INDEX(Orçamentária!C:C,MATCH(Composições!A5056,Orçamentária!A:A,0),1))</f>
        <v>un</v>
      </c>
      <c r="E5056" s="26"/>
      <c r="F5056" s="48" t="s">
        <v>514</v>
      </c>
      <c r="G5056" s="27" t="str">
        <f t="shared" si="95"/>
        <v/>
      </c>
      <c r="H5056" s="28"/>
      <c r="I5056" s="29"/>
      <c r="J5056" s="148">
        <v>30</v>
      </c>
      <c r="K5056" s="222" t="s">
        <v>8074</v>
      </c>
    </row>
    <row r="5057" spans="1:11" hidden="1" x14ac:dyDescent="0.25">
      <c r="A5057" s="207"/>
      <c r="B5057" s="205"/>
      <c r="C5057" s="31"/>
      <c r="D5057" s="31"/>
      <c r="E5057" s="32"/>
      <c r="F5057" s="53" t="s">
        <v>514</v>
      </c>
      <c r="G5057" s="53" t="str">
        <f t="shared" si="95"/>
        <v/>
      </c>
      <c r="H5057" s="72"/>
      <c r="I5057" s="73"/>
      <c r="J5057" s="148">
        <v>30</v>
      </c>
      <c r="K5057" s="222" t="s">
        <v>8074</v>
      </c>
    </row>
    <row r="5058" spans="1:11" hidden="1" x14ac:dyDescent="0.25">
      <c r="A5058" s="207"/>
      <c r="B5058" s="205"/>
      <c r="C5058" s="35" t="s">
        <v>3666</v>
      </c>
      <c r="D5058" s="35" t="s">
        <v>278</v>
      </c>
      <c r="E5058" s="36">
        <v>1</v>
      </c>
      <c r="F5058" s="53">
        <v>285.29000000000002</v>
      </c>
      <c r="G5058" s="53">
        <f t="shared" si="95"/>
        <v>285.29000000000002</v>
      </c>
      <c r="H5058" s="38">
        <f>SUM(G5058:G5061)</f>
        <v>298.82180855000001</v>
      </c>
      <c r="I5058" s="39"/>
      <c r="J5058" s="148">
        <v>30</v>
      </c>
      <c r="K5058" s="222" t="s">
        <v>8074</v>
      </c>
    </row>
    <row r="5059" spans="1:11" hidden="1" x14ac:dyDescent="0.25">
      <c r="A5059" s="207"/>
      <c r="B5059" s="205"/>
      <c r="C5059" s="35" t="s">
        <v>1058</v>
      </c>
      <c r="D5059" s="35" t="s">
        <v>278</v>
      </c>
      <c r="E5059" s="36">
        <v>2.1000000000000001E-2</v>
      </c>
      <c r="F5059" s="53">
        <v>4.0374999999999996</v>
      </c>
      <c r="G5059" s="53">
        <f t="shared" si="95"/>
        <v>8.4787500000000002E-2</v>
      </c>
      <c r="H5059" s="72"/>
      <c r="I5059" s="73"/>
      <c r="J5059" s="148">
        <v>30</v>
      </c>
      <c r="K5059" s="222" t="s">
        <v>8074</v>
      </c>
    </row>
    <row r="5060" spans="1:11" ht="25.5" hidden="1" x14ac:dyDescent="0.25">
      <c r="A5060" s="207"/>
      <c r="B5060" s="205"/>
      <c r="C5060" s="35" t="s">
        <v>944</v>
      </c>
      <c r="D5060" s="35" t="s">
        <v>695</v>
      </c>
      <c r="E5060" s="36">
        <v>0.44669999999999999</v>
      </c>
      <c r="F5060" s="53">
        <v>24.300999999999998</v>
      </c>
      <c r="G5060" s="53">
        <f t="shared" si="95"/>
        <v>10.855256699999998</v>
      </c>
      <c r="H5060" s="72"/>
      <c r="I5060" s="73"/>
      <c r="J5060" s="148">
        <v>30</v>
      </c>
      <c r="K5060" s="222" t="s">
        <v>8074</v>
      </c>
    </row>
    <row r="5061" spans="1:11" hidden="1" x14ac:dyDescent="0.25">
      <c r="A5061" s="207"/>
      <c r="B5061" s="205"/>
      <c r="C5061" s="35" t="s">
        <v>696</v>
      </c>
      <c r="D5061" s="35" t="s">
        <v>695</v>
      </c>
      <c r="E5061" s="36">
        <v>0.14069999999999999</v>
      </c>
      <c r="F5061" s="53">
        <v>18.420500000000001</v>
      </c>
      <c r="G5061" s="53">
        <f t="shared" si="95"/>
        <v>2.5917643500000001</v>
      </c>
      <c r="H5061" s="72"/>
      <c r="I5061" s="73"/>
      <c r="J5061" s="148">
        <v>30</v>
      </c>
      <c r="K5061" s="222" t="s">
        <v>8074</v>
      </c>
    </row>
    <row r="5062" spans="1:11" ht="15.75" hidden="1" thickBot="1" x14ac:dyDescent="0.3">
      <c r="A5062" s="208"/>
      <c r="B5062" s="206"/>
      <c r="C5062" s="35"/>
      <c r="D5062" s="35"/>
      <c r="E5062" s="36"/>
      <c r="F5062" s="53" t="s">
        <v>514</v>
      </c>
      <c r="G5062" s="53" t="str">
        <f t="shared" si="95"/>
        <v/>
      </c>
      <c r="H5062" s="72"/>
      <c r="I5062" s="73"/>
      <c r="J5062" s="148">
        <v>30</v>
      </c>
      <c r="K5062" s="222" t="s">
        <v>8074</v>
      </c>
    </row>
    <row r="5063" spans="1:11" ht="15.75" hidden="1" thickBot="1" x14ac:dyDescent="0.3">
      <c r="A5063" s="202" t="s">
        <v>3423</v>
      </c>
      <c r="B5063" s="204" t="str">
        <f>INDEX(Orçamentária!A:B,MATCH(Composições!A5063,Orçamentária!A:A,0),2)</f>
        <v>Instalação de boiler reaproveitado</v>
      </c>
      <c r="C5063" s="40"/>
      <c r="D5063" s="25" t="str">
        <f>TRIM(INDEX(Orçamentária!C:C,MATCH(Composições!A5063,Orçamentária!A:A,0),1))</f>
        <v>un</v>
      </c>
      <c r="E5063" s="26"/>
      <c r="F5063" s="48" t="s">
        <v>514</v>
      </c>
      <c r="G5063" s="27" t="str">
        <f t="shared" si="95"/>
        <v/>
      </c>
      <c r="H5063" s="28"/>
      <c r="I5063" s="29"/>
      <c r="J5063" s="148">
        <v>10</v>
      </c>
      <c r="K5063" s="222" t="s">
        <v>8074</v>
      </c>
    </row>
    <row r="5064" spans="1:11" hidden="1" x14ac:dyDescent="0.25">
      <c r="A5064" s="207"/>
      <c r="B5064" s="205"/>
      <c r="C5064" s="31"/>
      <c r="D5064" s="31"/>
      <c r="E5064" s="32"/>
      <c r="F5064" s="53" t="s">
        <v>514</v>
      </c>
      <c r="G5064" s="53" t="str">
        <f t="shared" si="95"/>
        <v/>
      </c>
      <c r="H5064" s="72"/>
      <c r="I5064" s="73"/>
      <c r="J5064" s="148">
        <v>10</v>
      </c>
      <c r="K5064" s="222" t="s">
        <v>8074</v>
      </c>
    </row>
    <row r="5065" spans="1:11" ht="25.5" hidden="1" x14ac:dyDescent="0.25">
      <c r="A5065" s="207"/>
      <c r="B5065" s="205"/>
      <c r="C5065" s="35" t="s">
        <v>943</v>
      </c>
      <c r="D5065" s="46" t="s">
        <v>695</v>
      </c>
      <c r="E5065" s="36">
        <v>4</v>
      </c>
      <c r="F5065" s="30">
        <v>19.094999999999999</v>
      </c>
      <c r="G5065" s="53">
        <f t="shared" si="95"/>
        <v>76.38</v>
      </c>
      <c r="H5065" s="38">
        <f>SUM(G5065:G5069)</f>
        <v>263.17850000000004</v>
      </c>
      <c r="I5065" s="39"/>
      <c r="J5065" s="148">
        <v>10</v>
      </c>
      <c r="K5065" s="222" t="s">
        <v>8074</v>
      </c>
    </row>
    <row r="5066" spans="1:11" ht="25.5" hidden="1" x14ac:dyDescent="0.25">
      <c r="A5066" s="207"/>
      <c r="B5066" s="205"/>
      <c r="C5066" s="35" t="s">
        <v>944</v>
      </c>
      <c r="D5066" s="35" t="s">
        <v>695</v>
      </c>
      <c r="E5066" s="36">
        <v>4</v>
      </c>
      <c r="F5066" s="30">
        <v>24.300999999999998</v>
      </c>
      <c r="G5066" s="53">
        <f t="shared" si="95"/>
        <v>97.203999999999994</v>
      </c>
      <c r="H5066" s="72"/>
      <c r="I5066" s="73"/>
      <c r="J5066" s="148">
        <v>10</v>
      </c>
      <c r="K5066" s="222" t="s">
        <v>8074</v>
      </c>
    </row>
    <row r="5067" spans="1:11" hidden="1" x14ac:dyDescent="0.25">
      <c r="A5067" s="207"/>
      <c r="B5067" s="205"/>
      <c r="C5067" s="35" t="s">
        <v>74</v>
      </c>
      <c r="D5067" s="46" t="s">
        <v>695</v>
      </c>
      <c r="E5067" s="36">
        <v>2</v>
      </c>
      <c r="F5067" s="30">
        <v>19.4085</v>
      </c>
      <c r="G5067" s="53">
        <f t="shared" si="95"/>
        <v>38.817</v>
      </c>
      <c r="H5067" s="72"/>
      <c r="I5067" s="73"/>
      <c r="J5067" s="148">
        <v>10</v>
      </c>
      <c r="K5067" s="222" t="s">
        <v>8074</v>
      </c>
    </row>
    <row r="5068" spans="1:11" hidden="1" x14ac:dyDescent="0.25">
      <c r="A5068" s="207"/>
      <c r="B5068" s="205"/>
      <c r="C5068" s="35" t="s">
        <v>30</v>
      </c>
      <c r="D5068" s="35" t="s">
        <v>695</v>
      </c>
      <c r="E5068" s="36">
        <v>2</v>
      </c>
      <c r="F5068" s="30">
        <v>25.146499999999996</v>
      </c>
      <c r="G5068" s="53">
        <f t="shared" si="95"/>
        <v>50.292999999999992</v>
      </c>
      <c r="H5068" s="72"/>
      <c r="I5068" s="73"/>
      <c r="J5068" s="148">
        <v>10</v>
      </c>
      <c r="K5068" s="222" t="s">
        <v>8074</v>
      </c>
    </row>
    <row r="5069" spans="1:11" hidden="1" x14ac:dyDescent="0.25">
      <c r="A5069" s="207"/>
      <c r="B5069" s="205"/>
      <c r="C5069" s="35" t="s">
        <v>1058</v>
      </c>
      <c r="D5069" s="35" t="s">
        <v>278</v>
      </c>
      <c r="E5069" s="36">
        <f>1.2/10</f>
        <v>0.12</v>
      </c>
      <c r="F5069" s="53">
        <v>4.0374999999999996</v>
      </c>
      <c r="G5069" s="53">
        <f t="shared" si="95"/>
        <v>0.48449999999999993</v>
      </c>
      <c r="H5069" s="72"/>
      <c r="I5069" s="73"/>
      <c r="J5069" s="148">
        <v>10</v>
      </c>
      <c r="K5069" s="222" t="s">
        <v>8074</v>
      </c>
    </row>
    <row r="5070" spans="1:11" hidden="1" x14ac:dyDescent="0.25">
      <c r="A5070" s="207"/>
      <c r="B5070" s="205"/>
      <c r="C5070" s="35"/>
      <c r="D5070" s="46"/>
      <c r="E5070" s="36"/>
      <c r="F5070" s="53" t="s">
        <v>514</v>
      </c>
      <c r="G5070" s="53" t="str">
        <f t="shared" si="95"/>
        <v/>
      </c>
      <c r="H5070" s="72"/>
      <c r="I5070" s="73"/>
      <c r="J5070" s="148">
        <v>10</v>
      </c>
      <c r="K5070" s="222" t="s">
        <v>8074</v>
      </c>
    </row>
    <row r="5071" spans="1:11" ht="15.75" hidden="1" thickBot="1" x14ac:dyDescent="0.3">
      <c r="A5071" s="202" t="s">
        <v>3424</v>
      </c>
      <c r="B5071" s="204" t="str">
        <f>INDEX(Orçamentária!A:B,MATCH(Composições!A5071,Orçamentária!A:A,0),2)</f>
        <v>Prateleira – Linha Residencial</v>
      </c>
      <c r="C5071" s="40"/>
      <c r="D5071" s="25" t="str">
        <f>TRIM(INDEX(Orçamentária!C:C,MATCH(Composições!A5071,Orçamentária!A:A,0),1))</f>
        <v>un</v>
      </c>
      <c r="E5071" s="26"/>
      <c r="F5071" s="41" t="s">
        <v>514</v>
      </c>
      <c r="G5071" s="27" t="str">
        <f t="shared" si="95"/>
        <v/>
      </c>
      <c r="H5071" s="28"/>
      <c r="I5071" s="29"/>
      <c r="J5071" s="148">
        <v>30</v>
      </c>
      <c r="K5071" s="222" t="s">
        <v>8074</v>
      </c>
    </row>
    <row r="5072" spans="1:11" hidden="1" x14ac:dyDescent="0.25">
      <c r="A5072" s="203"/>
      <c r="B5072" s="205"/>
      <c r="C5072" s="31"/>
      <c r="D5072" s="31"/>
      <c r="E5072" s="32"/>
      <c r="F5072" s="42" t="s">
        <v>514</v>
      </c>
      <c r="G5072" s="30" t="str">
        <f t="shared" si="95"/>
        <v/>
      </c>
      <c r="H5072" s="34"/>
      <c r="I5072" s="30"/>
      <c r="J5072" s="148">
        <v>30</v>
      </c>
      <c r="K5072" s="222" t="s">
        <v>8074</v>
      </c>
    </row>
    <row r="5073" spans="1:11" ht="25.5" hidden="1" x14ac:dyDescent="0.25">
      <c r="A5073" s="203"/>
      <c r="B5073" s="205"/>
      <c r="C5073" s="35" t="s">
        <v>3560</v>
      </c>
      <c r="D5073" s="46" t="s">
        <v>143</v>
      </c>
      <c r="E5073" s="36">
        <v>1</v>
      </c>
      <c r="F5073" s="33">
        <v>331.31</v>
      </c>
      <c r="G5073" s="33">
        <f t="shared" si="95"/>
        <v>331.31</v>
      </c>
      <c r="H5073" s="38">
        <f>SUM(G5073:G5075)</f>
        <v>350.34488590000001</v>
      </c>
      <c r="I5073" s="39"/>
      <c r="J5073" s="148">
        <v>30</v>
      </c>
      <c r="K5073" s="222" t="s">
        <v>8074</v>
      </c>
    </row>
    <row r="5074" spans="1:11" hidden="1" x14ac:dyDescent="0.25">
      <c r="A5074" s="203"/>
      <c r="B5074" s="205"/>
      <c r="C5074" s="35" t="s">
        <v>39</v>
      </c>
      <c r="D5074" s="46" t="s">
        <v>12</v>
      </c>
      <c r="E5074" s="36">
        <v>0.63229999999999997</v>
      </c>
      <c r="F5074" s="30">
        <v>24.300999999999998</v>
      </c>
      <c r="G5074" s="33">
        <f t="shared" ref="G5074:G5137" si="96">IF(ISNUMBER(F5074),E5074*F5074,"")</f>
        <v>15.365522299999999</v>
      </c>
      <c r="H5074" s="34"/>
      <c r="I5074" s="30"/>
      <c r="J5074" s="148">
        <v>30</v>
      </c>
      <c r="K5074" s="222" t="s">
        <v>8074</v>
      </c>
    </row>
    <row r="5075" spans="1:11" hidden="1" x14ac:dyDescent="0.25">
      <c r="A5075" s="203"/>
      <c r="B5075" s="205"/>
      <c r="C5075" s="35" t="s">
        <v>23</v>
      </c>
      <c r="D5075" s="46" t="s">
        <v>12</v>
      </c>
      <c r="E5075" s="36">
        <v>0.19919999999999999</v>
      </c>
      <c r="F5075" s="30">
        <v>18.420500000000001</v>
      </c>
      <c r="G5075" s="33">
        <f t="shared" si="96"/>
        <v>3.6693636000000001</v>
      </c>
      <c r="H5075" s="34"/>
      <c r="I5075" s="30"/>
      <c r="J5075" s="148">
        <v>30</v>
      </c>
      <c r="K5075" s="222" t="s">
        <v>8074</v>
      </c>
    </row>
    <row r="5076" spans="1:11" ht="15.75" hidden="1" thickBot="1" x14ac:dyDescent="0.3">
      <c r="A5076" s="209"/>
      <c r="B5076" s="206"/>
      <c r="C5076" s="35"/>
      <c r="D5076" s="35"/>
      <c r="E5076" s="36"/>
      <c r="F5076" s="30" t="s">
        <v>514</v>
      </c>
      <c r="G5076" s="30" t="str">
        <f t="shared" si="96"/>
        <v/>
      </c>
      <c r="H5076" s="34"/>
      <c r="I5076" s="30"/>
      <c r="J5076" s="148">
        <v>30</v>
      </c>
      <c r="K5076" s="222" t="s">
        <v>8074</v>
      </c>
    </row>
    <row r="5077" spans="1:11" ht="15.75" hidden="1" thickBot="1" x14ac:dyDescent="0.3">
      <c r="A5077" s="202" t="s">
        <v>3425</v>
      </c>
      <c r="B5077" s="204" t="str">
        <f>INDEX(Orçamentária!A:B,MATCH(Composições!A5077,Orçamentária!A:A,0),2)</f>
        <v>Saboneteira – Linha Residencial</v>
      </c>
      <c r="C5077" s="40"/>
      <c r="D5077" s="25" t="str">
        <f>TRIM(INDEX(Orçamentária!C:C,MATCH(Composições!A5077,Orçamentária!A:A,0),1))</f>
        <v>un</v>
      </c>
      <c r="E5077" s="26"/>
      <c r="F5077" s="41" t="s">
        <v>514</v>
      </c>
      <c r="G5077" s="27" t="str">
        <f t="shared" si="96"/>
        <v/>
      </c>
      <c r="H5077" s="28"/>
      <c r="I5077" s="29"/>
      <c r="J5077" s="148">
        <v>30</v>
      </c>
      <c r="K5077" s="222" t="s">
        <v>8074</v>
      </c>
    </row>
    <row r="5078" spans="1:11" hidden="1" x14ac:dyDescent="0.25">
      <c r="A5078" s="203"/>
      <c r="B5078" s="205"/>
      <c r="C5078" s="31"/>
      <c r="D5078" s="31"/>
      <c r="E5078" s="32"/>
      <c r="F5078" s="42" t="s">
        <v>514</v>
      </c>
      <c r="G5078" s="30" t="str">
        <f t="shared" si="96"/>
        <v/>
      </c>
      <c r="H5078" s="34"/>
      <c r="I5078" s="30"/>
      <c r="J5078" s="148">
        <v>30</v>
      </c>
      <c r="K5078" s="222" t="s">
        <v>8074</v>
      </c>
    </row>
    <row r="5079" spans="1:11" ht="25.5" hidden="1" x14ac:dyDescent="0.25">
      <c r="A5079" s="203"/>
      <c r="B5079" s="205"/>
      <c r="C5079" s="35" t="s">
        <v>3561</v>
      </c>
      <c r="D5079" s="46" t="s">
        <v>143</v>
      </c>
      <c r="E5079" s="36">
        <v>1</v>
      </c>
      <c r="F5079" s="33">
        <v>232.55</v>
      </c>
      <c r="G5079" s="33">
        <f t="shared" si="96"/>
        <v>232.55</v>
      </c>
      <c r="H5079" s="38">
        <f>SUM(G5079:G5081)</f>
        <v>242.068658</v>
      </c>
      <c r="I5079" s="39"/>
      <c r="J5079" s="148">
        <v>30</v>
      </c>
      <c r="K5079" s="222" t="s">
        <v>8074</v>
      </c>
    </row>
    <row r="5080" spans="1:11" hidden="1" x14ac:dyDescent="0.25">
      <c r="A5080" s="203"/>
      <c r="B5080" s="205"/>
      <c r="C5080" s="35" t="s">
        <v>39</v>
      </c>
      <c r="D5080" s="46" t="s">
        <v>12</v>
      </c>
      <c r="E5080" s="36">
        <v>0.31619999999999998</v>
      </c>
      <c r="F5080" s="30">
        <v>24.300999999999998</v>
      </c>
      <c r="G5080" s="33">
        <f t="shared" si="96"/>
        <v>7.6839761999999991</v>
      </c>
      <c r="H5080" s="34"/>
      <c r="I5080" s="30"/>
      <c r="J5080" s="148">
        <v>30</v>
      </c>
      <c r="K5080" s="222" t="s">
        <v>8074</v>
      </c>
    </row>
    <row r="5081" spans="1:11" hidden="1" x14ac:dyDescent="0.25">
      <c r="A5081" s="203"/>
      <c r="B5081" s="205"/>
      <c r="C5081" s="35" t="s">
        <v>23</v>
      </c>
      <c r="D5081" s="46" t="s">
        <v>12</v>
      </c>
      <c r="E5081" s="36">
        <v>9.9599999999999994E-2</v>
      </c>
      <c r="F5081" s="30">
        <v>18.420500000000001</v>
      </c>
      <c r="G5081" s="33">
        <f t="shared" si="96"/>
        <v>1.8346818</v>
      </c>
      <c r="H5081" s="34"/>
      <c r="I5081" s="30"/>
      <c r="J5081" s="148">
        <v>30</v>
      </c>
      <c r="K5081" s="222" t="s">
        <v>8074</v>
      </c>
    </row>
    <row r="5082" spans="1:11" ht="15.75" hidden="1" thickBot="1" x14ac:dyDescent="0.3">
      <c r="A5082" s="209"/>
      <c r="B5082" s="206"/>
      <c r="C5082" s="35"/>
      <c r="D5082" s="35"/>
      <c r="E5082" s="36"/>
      <c r="F5082" s="30" t="s">
        <v>514</v>
      </c>
      <c r="G5082" s="30" t="str">
        <f t="shared" si="96"/>
        <v/>
      </c>
      <c r="H5082" s="34"/>
      <c r="I5082" s="30"/>
      <c r="J5082" s="148">
        <v>30</v>
      </c>
      <c r="K5082" s="222" t="s">
        <v>8074</v>
      </c>
    </row>
    <row r="5083" spans="1:11" ht="15.75" hidden="1" thickBot="1" x14ac:dyDescent="0.3">
      <c r="A5083" s="202" t="s">
        <v>3426</v>
      </c>
      <c r="B5083" s="204" t="str">
        <f>INDEX(Orçamentária!A:B,MATCH(Composições!A5083,Orçamentária!A:A,0),2)</f>
        <v>Módulo campainha eletrônica – Linha Residencial</v>
      </c>
      <c r="C5083" s="40"/>
      <c r="D5083" s="25" t="str">
        <f>TRIM(INDEX(Orçamentária!C:C,MATCH(Composições!A5083,Orçamentária!A:A,0),1))</f>
        <v>un</v>
      </c>
      <c r="E5083" s="26"/>
      <c r="F5083" s="41" t="s">
        <v>514</v>
      </c>
      <c r="G5083" s="27" t="str">
        <f t="shared" si="96"/>
        <v/>
      </c>
      <c r="H5083" s="28"/>
      <c r="I5083" s="29"/>
      <c r="J5083" s="148">
        <v>15</v>
      </c>
      <c r="K5083" s="222" t="s">
        <v>8074</v>
      </c>
    </row>
    <row r="5084" spans="1:11" hidden="1" x14ac:dyDescent="0.25">
      <c r="A5084" s="203"/>
      <c r="B5084" s="205"/>
      <c r="C5084" s="31"/>
      <c r="D5084" s="31"/>
      <c r="E5084" s="32"/>
      <c r="F5084" s="42" t="s">
        <v>514</v>
      </c>
      <c r="G5084" s="30" t="str">
        <f t="shared" si="96"/>
        <v/>
      </c>
      <c r="H5084" s="34"/>
      <c r="I5084" s="30"/>
      <c r="J5084" s="148">
        <v>15</v>
      </c>
      <c r="K5084" s="222" t="s">
        <v>8074</v>
      </c>
    </row>
    <row r="5085" spans="1:11" hidden="1" x14ac:dyDescent="0.25">
      <c r="A5085" s="203"/>
      <c r="B5085" s="205"/>
      <c r="C5085" s="35" t="s">
        <v>3562</v>
      </c>
      <c r="D5085" s="35" t="s">
        <v>20</v>
      </c>
      <c r="E5085" s="36">
        <v>1</v>
      </c>
      <c r="F5085" s="33">
        <v>127.08</v>
      </c>
      <c r="G5085" s="30">
        <f t="shared" si="96"/>
        <v>127.08</v>
      </c>
      <c r="H5085" s="38">
        <f>SUM(G5085:G5087)</f>
        <v>142.718805</v>
      </c>
      <c r="I5085" s="39"/>
      <c r="J5085" s="148">
        <v>15</v>
      </c>
      <c r="K5085" s="222" t="s">
        <v>8074</v>
      </c>
    </row>
    <row r="5086" spans="1:11" hidden="1" x14ac:dyDescent="0.25">
      <c r="A5086" s="203"/>
      <c r="B5086" s="205"/>
      <c r="C5086" s="35" t="s">
        <v>74</v>
      </c>
      <c r="D5086" s="35" t="s">
        <v>12</v>
      </c>
      <c r="E5086" s="36">
        <v>0.35099999999999998</v>
      </c>
      <c r="F5086" s="30">
        <v>19.4085</v>
      </c>
      <c r="G5086" s="33">
        <f t="shared" si="96"/>
        <v>6.8123834999999993</v>
      </c>
      <c r="H5086" s="34"/>
      <c r="I5086" s="30"/>
      <c r="J5086" s="148">
        <v>15</v>
      </c>
      <c r="K5086" s="222" t="s">
        <v>8074</v>
      </c>
    </row>
    <row r="5087" spans="1:11" hidden="1" x14ac:dyDescent="0.25">
      <c r="A5087" s="203"/>
      <c r="B5087" s="205"/>
      <c r="C5087" s="35" t="s">
        <v>30</v>
      </c>
      <c r="D5087" s="35" t="s">
        <v>12</v>
      </c>
      <c r="E5087" s="36">
        <v>0.35099999999999998</v>
      </c>
      <c r="F5087" s="30">
        <v>25.146499999999996</v>
      </c>
      <c r="G5087" s="33">
        <f t="shared" si="96"/>
        <v>8.8264214999999986</v>
      </c>
      <c r="H5087" s="34"/>
      <c r="I5087" s="30"/>
      <c r="J5087" s="148">
        <v>15</v>
      </c>
      <c r="K5087" s="222" t="s">
        <v>8074</v>
      </c>
    </row>
    <row r="5088" spans="1:11" ht="15.75" hidden="1" thickBot="1" x14ac:dyDescent="0.3">
      <c r="A5088" s="209"/>
      <c r="B5088" s="206"/>
      <c r="C5088" s="35"/>
      <c r="D5088" s="35"/>
      <c r="E5088" s="36"/>
      <c r="F5088" s="30" t="s">
        <v>514</v>
      </c>
      <c r="G5088" s="30" t="str">
        <f t="shared" si="96"/>
        <v/>
      </c>
      <c r="H5088" s="34"/>
      <c r="I5088" s="30"/>
      <c r="J5088" s="148">
        <v>15</v>
      </c>
      <c r="K5088" s="222" t="s">
        <v>8074</v>
      </c>
    </row>
    <row r="5089" spans="1:11" ht="15.75" hidden="1" thickBot="1" x14ac:dyDescent="0.3">
      <c r="A5089" s="202" t="s">
        <v>3427</v>
      </c>
      <c r="B5089" s="204" t="str">
        <f>INDEX(Orçamentária!A:B,MATCH(Composições!A5089,Orçamentária!A:A,0),2)</f>
        <v>Módulo pulsador – Linha Residencial</v>
      </c>
      <c r="C5089" s="40"/>
      <c r="D5089" s="25" t="str">
        <f>TRIM(INDEX(Orçamentária!C:C,MATCH(Composições!A5089,Orçamentária!A:A,0),1))</f>
        <v>un</v>
      </c>
      <c r="E5089" s="26"/>
      <c r="F5089" s="41" t="s">
        <v>514</v>
      </c>
      <c r="G5089" s="27" t="str">
        <f t="shared" si="96"/>
        <v/>
      </c>
      <c r="H5089" s="28"/>
      <c r="I5089" s="29"/>
      <c r="J5089" s="148">
        <v>15</v>
      </c>
      <c r="K5089" s="222" t="s">
        <v>8074</v>
      </c>
    </row>
    <row r="5090" spans="1:11" hidden="1" x14ac:dyDescent="0.25">
      <c r="A5090" s="203"/>
      <c r="B5090" s="205"/>
      <c r="C5090" s="31"/>
      <c r="D5090" s="31"/>
      <c r="E5090" s="32"/>
      <c r="F5090" s="42" t="s">
        <v>514</v>
      </c>
      <c r="G5090" s="30" t="str">
        <f t="shared" si="96"/>
        <v/>
      </c>
      <c r="H5090" s="34"/>
      <c r="I5090" s="30"/>
      <c r="J5090" s="148">
        <v>15</v>
      </c>
      <c r="K5090" s="222" t="s">
        <v>8074</v>
      </c>
    </row>
    <row r="5091" spans="1:11" hidden="1" x14ac:dyDescent="0.25">
      <c r="A5091" s="203"/>
      <c r="B5091" s="205"/>
      <c r="C5091" s="35" t="s">
        <v>3334</v>
      </c>
      <c r="D5091" s="35" t="s">
        <v>278</v>
      </c>
      <c r="E5091" s="36">
        <v>1</v>
      </c>
      <c r="F5091" s="33">
        <v>6.4885000000000002</v>
      </c>
      <c r="G5091" s="30">
        <f t="shared" si="96"/>
        <v>6.4885000000000002</v>
      </c>
      <c r="H5091" s="38">
        <f>SUM(G5091:G5093)</f>
        <v>16.513375</v>
      </c>
      <c r="I5091" s="39"/>
      <c r="J5091" s="148">
        <v>15</v>
      </c>
      <c r="K5091" s="222" t="s">
        <v>8074</v>
      </c>
    </row>
    <row r="5092" spans="1:11" hidden="1" x14ac:dyDescent="0.25">
      <c r="A5092" s="203"/>
      <c r="B5092" s="205"/>
      <c r="C5092" s="35" t="s">
        <v>74</v>
      </c>
      <c r="D5092" s="35" t="s">
        <v>12</v>
      </c>
      <c r="E5092" s="36">
        <v>0.22500000000000001</v>
      </c>
      <c r="F5092" s="30">
        <v>19.4085</v>
      </c>
      <c r="G5092" s="33">
        <f t="shared" si="96"/>
        <v>4.3669124999999998</v>
      </c>
      <c r="H5092" s="34"/>
      <c r="I5092" s="30"/>
      <c r="J5092" s="148">
        <v>15</v>
      </c>
      <c r="K5092" s="222" t="s">
        <v>8074</v>
      </c>
    </row>
    <row r="5093" spans="1:11" hidden="1" x14ac:dyDescent="0.25">
      <c r="A5093" s="203"/>
      <c r="B5093" s="205"/>
      <c r="C5093" s="35" t="s">
        <v>30</v>
      </c>
      <c r="D5093" s="35" t="s">
        <v>12</v>
      </c>
      <c r="E5093" s="36">
        <v>0.22500000000000001</v>
      </c>
      <c r="F5093" s="30">
        <v>25.146499999999996</v>
      </c>
      <c r="G5093" s="33">
        <f t="shared" si="96"/>
        <v>5.6579624999999991</v>
      </c>
      <c r="H5093" s="34"/>
      <c r="I5093" s="30"/>
      <c r="J5093" s="148">
        <v>15</v>
      </c>
      <c r="K5093" s="222" t="s">
        <v>8074</v>
      </c>
    </row>
    <row r="5094" spans="1:11" ht="15.75" hidden="1" thickBot="1" x14ac:dyDescent="0.3">
      <c r="A5094" s="209"/>
      <c r="B5094" s="206"/>
      <c r="C5094" s="35"/>
      <c r="D5094" s="35"/>
      <c r="E5094" s="36"/>
      <c r="F5094" s="30" t="s">
        <v>514</v>
      </c>
      <c r="G5094" s="30" t="str">
        <f t="shared" si="96"/>
        <v/>
      </c>
      <c r="H5094" s="34"/>
      <c r="I5094" s="30"/>
      <c r="J5094" s="148">
        <v>15</v>
      </c>
      <c r="K5094" s="222" t="s">
        <v>8074</v>
      </c>
    </row>
    <row r="5095" spans="1:11" ht="15.75" hidden="1" thickBot="1" x14ac:dyDescent="0.3">
      <c r="A5095" s="202" t="s">
        <v>3428</v>
      </c>
      <c r="B5095" s="204" t="str">
        <f>INDEX(Orçamentária!A:B,MATCH(Composições!A5095,Orçamentária!A:A,0),2)</f>
        <v>Luminária redonda de sobrepor (plafond) – Linha Residencial</v>
      </c>
      <c r="C5095" s="40"/>
      <c r="D5095" s="25" t="str">
        <f>TRIM(INDEX(Orçamentária!C:C,MATCH(Composições!A5095,Orçamentária!A:A,0),1))</f>
        <v>un</v>
      </c>
      <c r="E5095" s="26"/>
      <c r="F5095" s="41" t="s">
        <v>514</v>
      </c>
      <c r="G5095" s="27" t="str">
        <f t="shared" si="96"/>
        <v/>
      </c>
      <c r="H5095" s="28"/>
      <c r="I5095" s="29"/>
      <c r="J5095" s="148">
        <v>30</v>
      </c>
      <c r="K5095" s="222" t="s">
        <v>8074</v>
      </c>
    </row>
    <row r="5096" spans="1:11" hidden="1" x14ac:dyDescent="0.25">
      <c r="A5096" s="203"/>
      <c r="B5096" s="205"/>
      <c r="C5096" s="31"/>
      <c r="D5096" s="31"/>
      <c r="E5096" s="32"/>
      <c r="F5096" s="42" t="s">
        <v>514</v>
      </c>
      <c r="G5096" s="30" t="str">
        <f t="shared" si="96"/>
        <v/>
      </c>
      <c r="H5096" s="34"/>
      <c r="I5096" s="30"/>
      <c r="J5096" s="148">
        <v>30</v>
      </c>
      <c r="K5096" s="222" t="s">
        <v>8074</v>
      </c>
    </row>
    <row r="5097" spans="1:11" ht="38.25" hidden="1" x14ac:dyDescent="0.25">
      <c r="A5097" s="203"/>
      <c r="B5097" s="205"/>
      <c r="C5097" s="35" t="s">
        <v>3309</v>
      </c>
      <c r="D5097" s="35" t="s">
        <v>278</v>
      </c>
      <c r="E5097" s="36">
        <v>1</v>
      </c>
      <c r="F5097" s="33">
        <v>43.652500000000003</v>
      </c>
      <c r="G5097" s="33">
        <f t="shared" si="96"/>
        <v>43.652500000000003</v>
      </c>
      <c r="H5097" s="38">
        <f>SUM(G5097:G5100)</f>
        <v>93.287348550000004</v>
      </c>
      <c r="I5097" s="39"/>
      <c r="J5097" s="148">
        <v>30</v>
      </c>
      <c r="K5097" s="222" t="s">
        <v>8074</v>
      </c>
    </row>
    <row r="5098" spans="1:11" ht="25.5" hidden="1" x14ac:dyDescent="0.25">
      <c r="A5098" s="203"/>
      <c r="B5098" s="205"/>
      <c r="C5098" s="35" t="s">
        <v>3306</v>
      </c>
      <c r="D5098" s="35" t="s">
        <v>278</v>
      </c>
      <c r="E5098" s="36">
        <v>2</v>
      </c>
      <c r="F5098" s="33">
        <v>13.318999999999999</v>
      </c>
      <c r="G5098" s="33">
        <f t="shared" si="96"/>
        <v>26.637999999999998</v>
      </c>
      <c r="H5098" s="44"/>
      <c r="I5098" s="45"/>
      <c r="J5098" s="148">
        <v>30</v>
      </c>
      <c r="K5098" s="222" t="s">
        <v>8074</v>
      </c>
    </row>
    <row r="5099" spans="1:11" hidden="1" x14ac:dyDescent="0.25">
      <c r="A5099" s="203"/>
      <c r="B5099" s="205"/>
      <c r="C5099" s="35" t="s">
        <v>74</v>
      </c>
      <c r="D5099" s="46" t="s">
        <v>12</v>
      </c>
      <c r="E5099" s="36">
        <v>0.2883</v>
      </c>
      <c r="F5099" s="30">
        <v>19.4085</v>
      </c>
      <c r="G5099" s="30">
        <f t="shared" si="96"/>
        <v>5.5954705499999999</v>
      </c>
      <c r="H5099" s="34"/>
      <c r="I5099" s="30"/>
      <c r="J5099" s="148">
        <v>30</v>
      </c>
      <c r="K5099" s="222" t="s">
        <v>8074</v>
      </c>
    </row>
    <row r="5100" spans="1:11" hidden="1" x14ac:dyDescent="0.25">
      <c r="A5100" s="203"/>
      <c r="B5100" s="205"/>
      <c r="C5100" s="35" t="s">
        <v>30</v>
      </c>
      <c r="D5100" s="35" t="s">
        <v>12</v>
      </c>
      <c r="E5100" s="36">
        <v>0.69199999999999995</v>
      </c>
      <c r="F5100" s="30">
        <v>25.146499999999996</v>
      </c>
      <c r="G5100" s="30">
        <f t="shared" si="96"/>
        <v>17.401377999999998</v>
      </c>
      <c r="H5100" s="34"/>
      <c r="I5100" s="30"/>
      <c r="J5100" s="148">
        <v>30</v>
      </c>
      <c r="K5100" s="222" t="s">
        <v>8074</v>
      </c>
    </row>
    <row r="5101" spans="1:11" ht="15.75" hidden="1" thickBot="1" x14ac:dyDescent="0.3">
      <c r="A5101" s="209"/>
      <c r="B5101" s="206"/>
      <c r="C5101" s="35"/>
      <c r="D5101" s="35"/>
      <c r="E5101" s="36"/>
      <c r="F5101" s="30" t="s">
        <v>514</v>
      </c>
      <c r="G5101" s="30" t="str">
        <f t="shared" si="96"/>
        <v/>
      </c>
      <c r="H5101" s="34"/>
      <c r="I5101" s="30"/>
      <c r="J5101" s="148">
        <v>30</v>
      </c>
      <c r="K5101" s="222" t="s">
        <v>8074</v>
      </c>
    </row>
    <row r="5102" spans="1:11" ht="15.75" hidden="1" thickBot="1" x14ac:dyDescent="0.3">
      <c r="A5102" s="202" t="s">
        <v>3563</v>
      </c>
      <c r="B5102" s="204" t="str">
        <f>INDEX(Orçamentária!A:B,MATCH(Composições!A5102,Orçamentária!A:A,0),2)</f>
        <v>Bandeira de porta, em madeira e MDF</v>
      </c>
      <c r="C5102" s="40"/>
      <c r="D5102" s="25" t="str">
        <f>TRIM(INDEX(Orçamentária!C:C,MATCH(Composições!A5102,Orçamentária!A:A,0),1))</f>
        <v>m2</v>
      </c>
      <c r="E5102" s="26"/>
      <c r="F5102" s="41" t="s">
        <v>514</v>
      </c>
      <c r="G5102" s="27" t="str">
        <f t="shared" si="96"/>
        <v/>
      </c>
      <c r="H5102" s="28"/>
      <c r="I5102" s="29"/>
      <c r="J5102" s="148">
        <v>25</v>
      </c>
      <c r="K5102" s="222" t="s">
        <v>8074</v>
      </c>
    </row>
    <row r="5103" spans="1:11" hidden="1" x14ac:dyDescent="0.25">
      <c r="A5103" s="203"/>
      <c r="B5103" s="205"/>
      <c r="C5103" s="31"/>
      <c r="D5103" s="31"/>
      <c r="E5103" s="32"/>
      <c r="F5103" s="42" t="s">
        <v>514</v>
      </c>
      <c r="G5103" s="30" t="str">
        <f t="shared" si="96"/>
        <v/>
      </c>
      <c r="H5103" s="34"/>
      <c r="I5103" s="30"/>
      <c r="J5103" s="148">
        <v>25</v>
      </c>
      <c r="K5103" s="222" t="s">
        <v>8074</v>
      </c>
    </row>
    <row r="5104" spans="1:11" ht="51" hidden="1" x14ac:dyDescent="0.25">
      <c r="A5104" s="203"/>
      <c r="B5104" s="205"/>
      <c r="C5104" s="35" t="s">
        <v>3713</v>
      </c>
      <c r="D5104" s="46" t="s">
        <v>278</v>
      </c>
      <c r="E5104" s="36">
        <f>1/(0.8*2.1)</f>
        <v>0.59523809523809523</v>
      </c>
      <c r="F5104" s="33">
        <v>286.41550000000001</v>
      </c>
      <c r="G5104" s="33">
        <f t="shared" si="96"/>
        <v>170.48541666666668</v>
      </c>
      <c r="H5104" s="38">
        <f>SUM(G5104:G5107)</f>
        <v>219.25783811666668</v>
      </c>
      <c r="I5104" s="39"/>
      <c r="J5104" s="148">
        <v>25</v>
      </c>
      <c r="K5104" s="222" t="s">
        <v>8074</v>
      </c>
    </row>
    <row r="5105" spans="1:11" hidden="1" x14ac:dyDescent="0.25">
      <c r="A5105" s="203"/>
      <c r="B5105" s="205"/>
      <c r="C5105" s="35" t="s">
        <v>3241</v>
      </c>
      <c r="D5105" s="46" t="s">
        <v>473</v>
      </c>
      <c r="E5105" s="36">
        <f>1/0.8</f>
        <v>1.25</v>
      </c>
      <c r="F5105" s="30">
        <v>19.683999999999997</v>
      </c>
      <c r="G5105" s="33">
        <f t="shared" si="96"/>
        <v>24.604999999999997</v>
      </c>
      <c r="H5105" s="34"/>
      <c r="I5105" s="30"/>
      <c r="J5105" s="148">
        <v>25</v>
      </c>
      <c r="K5105" s="222" t="s">
        <v>8074</v>
      </c>
    </row>
    <row r="5106" spans="1:11" hidden="1" x14ac:dyDescent="0.25">
      <c r="A5106" s="203"/>
      <c r="B5106" s="205"/>
      <c r="C5106" s="35" t="s">
        <v>694</v>
      </c>
      <c r="D5106" s="46" t="s">
        <v>695</v>
      </c>
      <c r="E5106" s="36">
        <f>ROUND(1.546*0.8/(2.1*0.8),4)</f>
        <v>0.73619999999999997</v>
      </c>
      <c r="F5106" s="30">
        <v>23.616999999999997</v>
      </c>
      <c r="G5106" s="33">
        <f t="shared" si="96"/>
        <v>17.386835399999999</v>
      </c>
      <c r="H5106" s="34"/>
      <c r="I5106" s="30"/>
      <c r="J5106" s="148">
        <v>25</v>
      </c>
      <c r="K5106" s="222" t="s">
        <v>8074</v>
      </c>
    </row>
    <row r="5107" spans="1:11" hidden="1" x14ac:dyDescent="0.25">
      <c r="A5107" s="203"/>
      <c r="B5107" s="205"/>
      <c r="C5107" s="35" t="s">
        <v>696</v>
      </c>
      <c r="D5107" s="46" t="s">
        <v>695</v>
      </c>
      <c r="E5107" s="36">
        <f>ROUND(0.773*0.8/(2.1*0.8),4)</f>
        <v>0.36809999999999998</v>
      </c>
      <c r="F5107" s="30">
        <v>18.420500000000001</v>
      </c>
      <c r="G5107" s="33">
        <f t="shared" si="96"/>
        <v>6.7805860500000001</v>
      </c>
      <c r="H5107" s="34"/>
      <c r="I5107" s="30"/>
      <c r="J5107" s="148">
        <v>25</v>
      </c>
      <c r="K5107" s="222" t="s">
        <v>8074</v>
      </c>
    </row>
    <row r="5108" spans="1:11" hidden="1" x14ac:dyDescent="0.25">
      <c r="A5108" s="203"/>
      <c r="B5108" s="205"/>
      <c r="C5108" s="35"/>
      <c r="D5108" s="46"/>
      <c r="E5108" s="36"/>
      <c r="F5108" s="33" t="s">
        <v>514</v>
      </c>
      <c r="G5108" s="33" t="str">
        <f t="shared" si="96"/>
        <v/>
      </c>
      <c r="H5108" s="34"/>
      <c r="I5108" s="30"/>
      <c r="J5108" s="148">
        <v>25</v>
      </c>
      <c r="K5108" s="222" t="s">
        <v>8074</v>
      </c>
    </row>
    <row r="5109" spans="1:11" ht="15.75" hidden="1" thickBot="1" x14ac:dyDescent="0.3">
      <c r="A5109" s="202" t="s">
        <v>3565</v>
      </c>
      <c r="B5109" s="204" t="str">
        <f>INDEX(Orçamentária!A:B,MATCH(Composições!A5109,Orçamentária!A:A,0),2)</f>
        <v>Bandeira de porta, em madeira pintada</v>
      </c>
      <c r="C5109" s="40"/>
      <c r="D5109" s="25" t="str">
        <f>TRIM(INDEX(Orçamentária!C:C,MATCH(Composições!A5109,Orçamentária!A:A,0),1))</f>
        <v>m2</v>
      </c>
      <c r="E5109" s="26"/>
      <c r="F5109" s="41" t="s">
        <v>514</v>
      </c>
      <c r="G5109" s="27" t="str">
        <f t="shared" si="96"/>
        <v/>
      </c>
      <c r="H5109" s="28"/>
      <c r="I5109" s="29"/>
      <c r="J5109" s="148">
        <v>15</v>
      </c>
      <c r="K5109" s="222" t="s">
        <v>8074</v>
      </c>
    </row>
    <row r="5110" spans="1:11" hidden="1" x14ac:dyDescent="0.25">
      <c r="A5110" s="203"/>
      <c r="B5110" s="205"/>
      <c r="C5110" s="31"/>
      <c r="D5110" s="31"/>
      <c r="E5110" s="32"/>
      <c r="F5110" s="42" t="s">
        <v>514</v>
      </c>
      <c r="G5110" s="30" t="str">
        <f t="shared" si="96"/>
        <v/>
      </c>
      <c r="H5110" s="34"/>
      <c r="I5110" s="30"/>
      <c r="J5110" s="148">
        <v>15</v>
      </c>
      <c r="K5110" s="222" t="s">
        <v>8074</v>
      </c>
    </row>
    <row r="5111" spans="1:11" ht="51" hidden="1" x14ac:dyDescent="0.25">
      <c r="A5111" s="203"/>
      <c r="B5111" s="205"/>
      <c r="C5111" s="35" t="s">
        <v>3714</v>
      </c>
      <c r="D5111" s="46" t="s">
        <v>278</v>
      </c>
      <c r="E5111" s="36">
        <f>1/(0.8*2.1)</f>
        <v>0.59523809523809523</v>
      </c>
      <c r="F5111" s="33">
        <v>279.77499999999998</v>
      </c>
      <c r="G5111" s="33">
        <f t="shared" si="96"/>
        <v>166.53273809523807</v>
      </c>
      <c r="H5111" s="38">
        <f>SUM(G5111:G5116)</f>
        <v>238.41079454523808</v>
      </c>
      <c r="I5111" s="39"/>
      <c r="J5111" s="148">
        <v>15</v>
      </c>
      <c r="K5111" s="222" t="s">
        <v>8074</v>
      </c>
    </row>
    <row r="5112" spans="1:11" hidden="1" x14ac:dyDescent="0.25">
      <c r="A5112" s="203"/>
      <c r="B5112" s="205"/>
      <c r="C5112" s="35" t="s">
        <v>3241</v>
      </c>
      <c r="D5112" s="46" t="s">
        <v>473</v>
      </c>
      <c r="E5112" s="36">
        <f>1/0.8</f>
        <v>1.25</v>
      </c>
      <c r="F5112" s="30">
        <v>19.683999999999997</v>
      </c>
      <c r="G5112" s="33">
        <f t="shared" si="96"/>
        <v>24.604999999999997</v>
      </c>
      <c r="H5112" s="34"/>
      <c r="I5112" s="30"/>
      <c r="J5112" s="148">
        <v>15</v>
      </c>
      <c r="K5112" s="222" t="s">
        <v>8074</v>
      </c>
    </row>
    <row r="5113" spans="1:11" hidden="1" x14ac:dyDescent="0.25">
      <c r="A5113" s="203"/>
      <c r="B5113" s="205"/>
      <c r="C5113" s="35" t="s">
        <v>694</v>
      </c>
      <c r="D5113" s="46" t="s">
        <v>695</v>
      </c>
      <c r="E5113" s="36">
        <f>ROUND(1.546*0.8/(0.8*2.1),4)</f>
        <v>0.73619999999999997</v>
      </c>
      <c r="F5113" s="30">
        <v>23.616999999999997</v>
      </c>
      <c r="G5113" s="33">
        <f t="shared" si="96"/>
        <v>17.386835399999999</v>
      </c>
      <c r="H5113" s="34"/>
      <c r="I5113" s="30"/>
      <c r="J5113" s="148">
        <v>15</v>
      </c>
      <c r="K5113" s="222" t="s">
        <v>8074</v>
      </c>
    </row>
    <row r="5114" spans="1:11" hidden="1" x14ac:dyDescent="0.25">
      <c r="A5114" s="203"/>
      <c r="B5114" s="205"/>
      <c r="C5114" s="35" t="s">
        <v>696</v>
      </c>
      <c r="D5114" s="46" t="s">
        <v>695</v>
      </c>
      <c r="E5114" s="36">
        <f>ROUND(0.773*0.8/(0.8*2.1),4)</f>
        <v>0.36809999999999998</v>
      </c>
      <c r="F5114" s="30">
        <v>18.420500000000001</v>
      </c>
      <c r="G5114" s="33">
        <f t="shared" si="96"/>
        <v>6.7805860500000001</v>
      </c>
      <c r="H5114" s="34"/>
      <c r="I5114" s="30"/>
      <c r="J5114" s="148">
        <v>15</v>
      </c>
      <c r="K5114" s="222" t="s">
        <v>8074</v>
      </c>
    </row>
    <row r="5115" spans="1:11" hidden="1" x14ac:dyDescent="0.25">
      <c r="A5115" s="203"/>
      <c r="B5115" s="205"/>
      <c r="C5115" s="35" t="s">
        <v>201</v>
      </c>
      <c r="D5115" s="49" t="s">
        <v>101</v>
      </c>
      <c r="E5115" s="36">
        <v>0.108</v>
      </c>
      <c r="F5115" s="33">
        <v>44.33</v>
      </c>
      <c r="G5115" s="30">
        <f t="shared" si="96"/>
        <v>4.7876399999999997</v>
      </c>
      <c r="H5115" s="34"/>
      <c r="I5115" s="30"/>
      <c r="J5115" s="148">
        <v>15</v>
      </c>
      <c r="K5115" s="222" t="s">
        <v>8074</v>
      </c>
    </row>
    <row r="5116" spans="1:11" hidden="1" x14ac:dyDescent="0.25">
      <c r="A5116" s="203"/>
      <c r="B5116" s="205"/>
      <c r="C5116" s="35" t="s">
        <v>99</v>
      </c>
      <c r="D5116" s="35" t="s">
        <v>12</v>
      </c>
      <c r="E5116" s="36">
        <v>0.70760000000000001</v>
      </c>
      <c r="F5116" s="30">
        <v>25.887499999999999</v>
      </c>
      <c r="G5116" s="30">
        <f t="shared" si="96"/>
        <v>18.317995</v>
      </c>
      <c r="H5116" s="34"/>
      <c r="I5116" s="30"/>
      <c r="J5116" s="148">
        <v>15</v>
      </c>
      <c r="K5116" s="222" t="s">
        <v>8074</v>
      </c>
    </row>
    <row r="5117" spans="1:11" hidden="1" x14ac:dyDescent="0.25">
      <c r="A5117" s="203"/>
      <c r="B5117" s="205"/>
      <c r="C5117" s="35"/>
      <c r="D5117" s="35"/>
      <c r="E5117" s="36"/>
      <c r="F5117" s="30" t="s">
        <v>514</v>
      </c>
      <c r="G5117" s="30"/>
      <c r="H5117" s="34"/>
      <c r="I5117" s="30"/>
      <c r="J5117" s="148">
        <v>15</v>
      </c>
      <c r="K5117" s="222" t="s">
        <v>8074</v>
      </c>
    </row>
    <row r="5118" spans="1:11" ht="38.25" hidden="1" x14ac:dyDescent="0.25">
      <c r="A5118" s="203"/>
      <c r="B5118" s="205"/>
      <c r="C5118" s="51" t="s">
        <v>3372</v>
      </c>
      <c r="D5118" s="35"/>
      <c r="E5118" s="36"/>
      <c r="F5118" s="30" t="s">
        <v>514</v>
      </c>
      <c r="G5118" s="30"/>
      <c r="H5118" s="34"/>
      <c r="I5118" s="30"/>
      <c r="J5118" s="148">
        <v>15</v>
      </c>
      <c r="K5118" s="222" t="s">
        <v>8074</v>
      </c>
    </row>
    <row r="5119" spans="1:11" hidden="1" x14ac:dyDescent="0.25">
      <c r="A5119" s="203"/>
      <c r="B5119" s="205"/>
      <c r="C5119" s="35"/>
      <c r="D5119" s="46"/>
      <c r="E5119" s="36"/>
      <c r="F5119" s="33" t="s">
        <v>514</v>
      </c>
      <c r="G5119" s="33" t="str">
        <f t="shared" ref="G5119:G5150" si="97">IF(ISNUMBER(F5119),E5119*F5119,"")</f>
        <v/>
      </c>
      <c r="H5119" s="34"/>
      <c r="I5119" s="30"/>
      <c r="J5119" s="148">
        <v>15</v>
      </c>
      <c r="K5119" s="222" t="s">
        <v>8074</v>
      </c>
    </row>
    <row r="5120" spans="1:11" ht="15.75" hidden="1" thickBot="1" x14ac:dyDescent="0.3">
      <c r="A5120" s="202" t="s">
        <v>3593</v>
      </c>
      <c r="B5120" s="204" t="str">
        <f>INDEX(Orçamentária!A:B,MATCH(Composições!A5120,Orçamentária!A:A,0),2)</f>
        <v>Cambota elastomérica de 8”</v>
      </c>
      <c r="C5120" s="40"/>
      <c r="D5120" s="25" t="str">
        <f>TRIM(INDEX(Orçamentária!C:C,MATCH(Composições!A5120,Orçamentária!A:A,0),1))</f>
        <v>un</v>
      </c>
      <c r="E5120" s="26"/>
      <c r="F5120" s="48" t="s">
        <v>514</v>
      </c>
      <c r="G5120" s="27" t="str">
        <f t="shared" si="97"/>
        <v/>
      </c>
      <c r="H5120" s="28"/>
      <c r="I5120" s="29"/>
      <c r="J5120" s="148">
        <v>0</v>
      </c>
      <c r="K5120" s="222">
        <v>0</v>
      </c>
    </row>
    <row r="5121" spans="1:11" hidden="1" x14ac:dyDescent="0.25">
      <c r="A5121" s="207"/>
      <c r="B5121" s="205"/>
      <c r="C5121" s="31"/>
      <c r="D5121" s="31"/>
      <c r="E5121" s="32"/>
      <c r="F5121" s="53" t="s">
        <v>514</v>
      </c>
      <c r="G5121" s="53" t="str">
        <f t="shared" si="97"/>
        <v/>
      </c>
      <c r="H5121" s="72"/>
      <c r="I5121" s="73"/>
      <c r="J5121" s="148">
        <v>0</v>
      </c>
      <c r="K5121" s="222">
        <v>0</v>
      </c>
    </row>
    <row r="5122" spans="1:11" ht="25.5" hidden="1" x14ac:dyDescent="0.25">
      <c r="A5122" s="207"/>
      <c r="B5122" s="205"/>
      <c r="C5122" s="35" t="s">
        <v>943</v>
      </c>
      <c r="D5122" s="46" t="s">
        <v>695</v>
      </c>
      <c r="E5122" s="36">
        <v>0.93</v>
      </c>
      <c r="F5122" s="30">
        <v>19.094999999999999</v>
      </c>
      <c r="G5122" s="53">
        <f t="shared" si="97"/>
        <v>17.75835</v>
      </c>
      <c r="H5122" s="38">
        <f>SUM(G5122:G5124)</f>
        <v>40.358280000000001</v>
      </c>
      <c r="I5122" s="39"/>
      <c r="J5122" s="148">
        <v>0</v>
      </c>
      <c r="K5122" s="222">
        <v>0</v>
      </c>
    </row>
    <row r="5123" spans="1:11" ht="25.5" hidden="1" x14ac:dyDescent="0.25">
      <c r="A5123" s="207"/>
      <c r="B5123" s="205"/>
      <c r="C5123" s="35" t="s">
        <v>944</v>
      </c>
      <c r="D5123" s="35" t="s">
        <v>695</v>
      </c>
      <c r="E5123" s="36">
        <v>0.93</v>
      </c>
      <c r="F5123" s="30">
        <v>24.300999999999998</v>
      </c>
      <c r="G5123" s="53">
        <f t="shared" si="97"/>
        <v>22.599930000000001</v>
      </c>
      <c r="H5123" s="72"/>
      <c r="I5123" s="73"/>
      <c r="J5123" s="148">
        <v>0</v>
      </c>
      <c r="K5123" s="222">
        <v>0</v>
      </c>
    </row>
    <row r="5124" spans="1:11" hidden="1" x14ac:dyDescent="0.25">
      <c r="A5124" s="207"/>
      <c r="B5124" s="205"/>
      <c r="C5124" s="35" t="s">
        <v>3653</v>
      </c>
      <c r="D5124" s="35" t="s">
        <v>278</v>
      </c>
      <c r="E5124" s="36">
        <v>1</v>
      </c>
      <c r="F5124" s="30" t="s">
        <v>514</v>
      </c>
      <c r="G5124" s="53" t="str">
        <f t="shared" si="97"/>
        <v/>
      </c>
      <c r="H5124" s="72"/>
      <c r="I5124" s="73"/>
      <c r="J5124" s="148">
        <v>0</v>
      </c>
      <c r="K5124" s="222">
        <v>0</v>
      </c>
    </row>
    <row r="5125" spans="1:11" hidden="1" x14ac:dyDescent="0.25">
      <c r="A5125" s="207"/>
      <c r="B5125" s="205"/>
      <c r="C5125" s="35"/>
      <c r="D5125" s="46"/>
      <c r="E5125" s="36"/>
      <c r="F5125" s="53" t="s">
        <v>514</v>
      </c>
      <c r="G5125" s="53" t="str">
        <f t="shared" si="97"/>
        <v/>
      </c>
      <c r="H5125" s="72"/>
      <c r="I5125" s="73"/>
      <c r="J5125" s="148">
        <v>0</v>
      </c>
      <c r="K5125" s="222">
        <v>0</v>
      </c>
    </row>
    <row r="5126" spans="1:11" ht="15.75" hidden="1" thickBot="1" x14ac:dyDescent="0.3">
      <c r="A5126" s="202" t="s">
        <v>3595</v>
      </c>
      <c r="B5126" s="204" t="str">
        <f>INDEX(Orçamentária!A:B,MATCH(Composições!A5126,Orçamentária!A:A,0),2)</f>
        <v>Curva raio curto 45° em aço carbono para solda de topo DN 125 (5" NPS)</v>
      </c>
      <c r="C5126" s="40"/>
      <c r="D5126" s="25" t="str">
        <f>TRIM(INDEX(Orçamentária!C:C,MATCH(Composições!A5126,Orçamentária!A:A,0),1))</f>
        <v>un</v>
      </c>
      <c r="E5126" s="26"/>
      <c r="F5126" s="48" t="s">
        <v>514</v>
      </c>
      <c r="G5126" s="27" t="str">
        <f t="shared" si="97"/>
        <v/>
      </c>
      <c r="H5126" s="28"/>
      <c r="I5126" s="29"/>
      <c r="J5126" s="148">
        <v>0</v>
      </c>
      <c r="K5126" s="222">
        <v>0</v>
      </c>
    </row>
    <row r="5127" spans="1:11" hidden="1" x14ac:dyDescent="0.25">
      <c r="A5127" s="207"/>
      <c r="B5127" s="205"/>
      <c r="C5127" s="31"/>
      <c r="D5127" s="31"/>
      <c r="E5127" s="32"/>
      <c r="F5127" s="53" t="s">
        <v>514</v>
      </c>
      <c r="G5127" s="53" t="str">
        <f t="shared" si="97"/>
        <v/>
      </c>
      <c r="H5127" s="72"/>
      <c r="I5127" s="73"/>
      <c r="J5127" s="148">
        <v>0</v>
      </c>
      <c r="K5127" s="222">
        <v>0</v>
      </c>
    </row>
    <row r="5128" spans="1:11" hidden="1" x14ac:dyDescent="0.25">
      <c r="A5128" s="207"/>
      <c r="B5128" s="205"/>
      <c r="C5128" s="35" t="s">
        <v>1170</v>
      </c>
      <c r="D5128" s="46" t="s">
        <v>891</v>
      </c>
      <c r="E5128" s="36">
        <f>ROUND(0.089*1.3,4)</f>
        <v>0.1157</v>
      </c>
      <c r="F5128" s="30">
        <v>32.746499999999997</v>
      </c>
      <c r="G5128" s="53">
        <f t="shared" si="97"/>
        <v>3.7887700499999997</v>
      </c>
      <c r="H5128" s="38">
        <f>SUM(G5128:G5132)</f>
        <v>87.116072550000013</v>
      </c>
      <c r="I5128" s="39"/>
      <c r="J5128" s="148">
        <v>0</v>
      </c>
      <c r="K5128" s="222">
        <v>0</v>
      </c>
    </row>
    <row r="5129" spans="1:11" ht="25.5" hidden="1" x14ac:dyDescent="0.25">
      <c r="A5129" s="207"/>
      <c r="B5129" s="205"/>
      <c r="C5129" s="35" t="s">
        <v>3654</v>
      </c>
      <c r="D5129" s="35" t="s">
        <v>278</v>
      </c>
      <c r="E5129" s="36">
        <v>1</v>
      </c>
      <c r="F5129" s="30" t="s">
        <v>514</v>
      </c>
      <c r="G5129" s="53" t="str">
        <f t="shared" si="97"/>
        <v/>
      </c>
      <c r="H5129" s="72"/>
      <c r="I5129" s="73"/>
      <c r="J5129" s="148">
        <v>0</v>
      </c>
      <c r="K5129" s="222">
        <v>0</v>
      </c>
    </row>
    <row r="5130" spans="1:11" ht="25.5" hidden="1" x14ac:dyDescent="0.25">
      <c r="A5130" s="207"/>
      <c r="B5130" s="205"/>
      <c r="C5130" s="35" t="s">
        <v>943</v>
      </c>
      <c r="D5130" s="46" t="s">
        <v>695</v>
      </c>
      <c r="E5130" s="36">
        <f>ROUND(0.93*1.3,4)</f>
        <v>1.2090000000000001</v>
      </c>
      <c r="F5130" s="30">
        <v>19.094999999999999</v>
      </c>
      <c r="G5130" s="53">
        <f t="shared" si="97"/>
        <v>23.085854999999999</v>
      </c>
      <c r="H5130" s="72"/>
      <c r="I5130" s="73"/>
      <c r="J5130" s="148">
        <v>0</v>
      </c>
      <c r="K5130" s="222">
        <v>0</v>
      </c>
    </row>
    <row r="5131" spans="1:11" ht="25.5" hidden="1" x14ac:dyDescent="0.25">
      <c r="A5131" s="207"/>
      <c r="B5131" s="205"/>
      <c r="C5131" s="35" t="s">
        <v>944</v>
      </c>
      <c r="D5131" s="35" t="s">
        <v>695</v>
      </c>
      <c r="E5131" s="36">
        <f>ROUND(0.93*1.3,4)</f>
        <v>1.2090000000000001</v>
      </c>
      <c r="F5131" s="30">
        <v>24.300999999999998</v>
      </c>
      <c r="G5131" s="53">
        <f t="shared" si="97"/>
        <v>29.379909000000001</v>
      </c>
      <c r="H5131" s="72"/>
      <c r="I5131" s="73"/>
      <c r="J5131" s="148">
        <v>0</v>
      </c>
      <c r="K5131" s="222">
        <v>0</v>
      </c>
    </row>
    <row r="5132" spans="1:11" hidden="1" x14ac:dyDescent="0.25">
      <c r="A5132" s="207"/>
      <c r="B5132" s="205"/>
      <c r="C5132" s="35" t="s">
        <v>3219</v>
      </c>
      <c r="D5132" s="35" t="s">
        <v>695</v>
      </c>
      <c r="E5132" s="36">
        <f>ROUND(0.93*1.3,4)</f>
        <v>1.2090000000000001</v>
      </c>
      <c r="F5132" s="53">
        <v>25.526499999999999</v>
      </c>
      <c r="G5132" s="53">
        <f t="shared" si="97"/>
        <v>30.861538500000002</v>
      </c>
      <c r="H5132" s="72"/>
      <c r="I5132" s="73"/>
      <c r="J5132" s="148">
        <v>0</v>
      </c>
      <c r="K5132" s="222">
        <v>0</v>
      </c>
    </row>
    <row r="5133" spans="1:11" hidden="1" x14ac:dyDescent="0.25">
      <c r="A5133" s="207"/>
      <c r="B5133" s="205"/>
      <c r="C5133" s="35"/>
      <c r="D5133" s="46"/>
      <c r="E5133" s="36"/>
      <c r="F5133" s="53" t="s">
        <v>514</v>
      </c>
      <c r="G5133" s="53" t="str">
        <f t="shared" si="97"/>
        <v/>
      </c>
      <c r="H5133" s="72"/>
      <c r="I5133" s="73"/>
      <c r="J5133" s="148">
        <v>0</v>
      </c>
      <c r="K5133" s="222">
        <v>0</v>
      </c>
    </row>
    <row r="5134" spans="1:11" ht="15.75" hidden="1" thickBot="1" x14ac:dyDescent="0.3">
      <c r="A5134" s="202" t="s">
        <v>3597</v>
      </c>
      <c r="B5134" s="204" t="str">
        <f>INDEX(Orçamentária!A:B,MATCH(Composições!A5134,Orçamentária!A:A,0),2)</f>
        <v>Curva raio curto 90° em aço carbono para solda de topo DN 125 (5" NPS)</v>
      </c>
      <c r="C5134" s="40"/>
      <c r="D5134" s="25" t="str">
        <f>TRIM(INDEX(Orçamentária!C:C,MATCH(Composições!A5134,Orçamentária!A:A,0),1))</f>
        <v>un</v>
      </c>
      <c r="E5134" s="26"/>
      <c r="F5134" s="48" t="s">
        <v>514</v>
      </c>
      <c r="G5134" s="27" t="str">
        <f t="shared" si="97"/>
        <v/>
      </c>
      <c r="H5134" s="28"/>
      <c r="I5134" s="29"/>
      <c r="J5134" s="148">
        <v>0</v>
      </c>
      <c r="K5134" s="222">
        <v>0</v>
      </c>
    </row>
    <row r="5135" spans="1:11" hidden="1" x14ac:dyDescent="0.25">
      <c r="A5135" s="207"/>
      <c r="B5135" s="205"/>
      <c r="C5135" s="31"/>
      <c r="D5135" s="31"/>
      <c r="E5135" s="32"/>
      <c r="F5135" s="53" t="s">
        <v>514</v>
      </c>
      <c r="G5135" s="53" t="str">
        <f t="shared" si="97"/>
        <v/>
      </c>
      <c r="H5135" s="72"/>
      <c r="I5135" s="73"/>
      <c r="J5135" s="148">
        <v>0</v>
      </c>
      <c r="K5135" s="222">
        <v>0</v>
      </c>
    </row>
    <row r="5136" spans="1:11" hidden="1" x14ac:dyDescent="0.25">
      <c r="A5136" s="207"/>
      <c r="B5136" s="205"/>
      <c r="C5136" s="35" t="s">
        <v>1170</v>
      </c>
      <c r="D5136" s="46" t="s">
        <v>891</v>
      </c>
      <c r="E5136" s="36">
        <f>ROUND(0.089*1.3,4)</f>
        <v>0.1157</v>
      </c>
      <c r="F5136" s="30">
        <v>32.746499999999997</v>
      </c>
      <c r="G5136" s="53">
        <f t="shared" si="97"/>
        <v>3.7887700499999997</v>
      </c>
      <c r="H5136" s="38">
        <f>SUM(G5136:G5140)</f>
        <v>87.116072550000013</v>
      </c>
      <c r="I5136" s="39"/>
      <c r="J5136" s="148">
        <v>0</v>
      </c>
      <c r="K5136" s="222">
        <v>0</v>
      </c>
    </row>
    <row r="5137" spans="1:11" ht="25.5" hidden="1" x14ac:dyDescent="0.25">
      <c r="A5137" s="207"/>
      <c r="B5137" s="205"/>
      <c r="C5137" s="35" t="s">
        <v>3655</v>
      </c>
      <c r="D5137" s="35" t="s">
        <v>278</v>
      </c>
      <c r="E5137" s="36">
        <v>1</v>
      </c>
      <c r="F5137" s="30" t="s">
        <v>514</v>
      </c>
      <c r="G5137" s="53" t="str">
        <f t="shared" si="97"/>
        <v/>
      </c>
      <c r="H5137" s="72"/>
      <c r="I5137" s="73"/>
      <c r="J5137" s="148">
        <v>0</v>
      </c>
      <c r="K5137" s="222">
        <v>0</v>
      </c>
    </row>
    <row r="5138" spans="1:11" ht="25.5" hidden="1" x14ac:dyDescent="0.25">
      <c r="A5138" s="207"/>
      <c r="B5138" s="205"/>
      <c r="C5138" s="35" t="s">
        <v>943</v>
      </c>
      <c r="D5138" s="46" t="s">
        <v>695</v>
      </c>
      <c r="E5138" s="36">
        <f>ROUND(0.93*1.3,4)</f>
        <v>1.2090000000000001</v>
      </c>
      <c r="F5138" s="30">
        <v>19.094999999999999</v>
      </c>
      <c r="G5138" s="53">
        <f t="shared" si="97"/>
        <v>23.085854999999999</v>
      </c>
      <c r="H5138" s="72"/>
      <c r="I5138" s="73"/>
      <c r="J5138" s="148">
        <v>0</v>
      </c>
      <c r="K5138" s="222">
        <v>0</v>
      </c>
    </row>
    <row r="5139" spans="1:11" ht="25.5" hidden="1" x14ac:dyDescent="0.25">
      <c r="A5139" s="207"/>
      <c r="B5139" s="205"/>
      <c r="C5139" s="35" t="s">
        <v>944</v>
      </c>
      <c r="D5139" s="35" t="s">
        <v>695</v>
      </c>
      <c r="E5139" s="36">
        <f>ROUND(0.93*1.3,4)</f>
        <v>1.2090000000000001</v>
      </c>
      <c r="F5139" s="30">
        <v>24.300999999999998</v>
      </c>
      <c r="G5139" s="53">
        <f t="shared" si="97"/>
        <v>29.379909000000001</v>
      </c>
      <c r="H5139" s="72"/>
      <c r="I5139" s="73"/>
      <c r="J5139" s="148">
        <v>0</v>
      </c>
      <c r="K5139" s="222">
        <v>0</v>
      </c>
    </row>
    <row r="5140" spans="1:11" hidden="1" x14ac:dyDescent="0.25">
      <c r="A5140" s="207"/>
      <c r="B5140" s="205"/>
      <c r="C5140" s="35" t="s">
        <v>3219</v>
      </c>
      <c r="D5140" s="35" t="s">
        <v>695</v>
      </c>
      <c r="E5140" s="36">
        <f>ROUND(0.93*1.3,4)</f>
        <v>1.2090000000000001</v>
      </c>
      <c r="F5140" s="53">
        <v>25.526499999999999</v>
      </c>
      <c r="G5140" s="53">
        <f t="shared" si="97"/>
        <v>30.861538500000002</v>
      </c>
      <c r="H5140" s="72"/>
      <c r="I5140" s="73"/>
      <c r="J5140" s="148">
        <v>0</v>
      </c>
      <c r="K5140" s="222">
        <v>0</v>
      </c>
    </row>
    <row r="5141" spans="1:11" hidden="1" x14ac:dyDescent="0.25">
      <c r="A5141" s="207"/>
      <c r="B5141" s="205"/>
      <c r="C5141" s="35"/>
      <c r="D5141" s="46"/>
      <c r="E5141" s="36"/>
      <c r="F5141" s="53" t="s">
        <v>514</v>
      </c>
      <c r="G5141" s="53" t="str">
        <f t="shared" si="97"/>
        <v/>
      </c>
      <c r="H5141" s="72"/>
      <c r="I5141" s="73"/>
      <c r="J5141" s="148">
        <v>0</v>
      </c>
      <c r="K5141" s="222">
        <v>0</v>
      </c>
    </row>
    <row r="5142" spans="1:11" ht="15.75" hidden="1" thickBot="1" x14ac:dyDescent="0.3">
      <c r="A5142" s="202" t="s">
        <v>3599</v>
      </c>
      <c r="B5142" s="204" t="str">
        <f>INDEX(Orçamentária!A:B,MATCH(Composições!A5142,Orçamentária!A:A,0),2)</f>
        <v>Curva raio longo 90° em aço carbono para solda de topo DN 125 (5" NPS)</v>
      </c>
      <c r="C5142" s="40"/>
      <c r="D5142" s="25" t="str">
        <f>TRIM(INDEX(Orçamentária!C:C,MATCH(Composições!A5142,Orçamentária!A:A,0),1))</f>
        <v>un</v>
      </c>
      <c r="E5142" s="26"/>
      <c r="F5142" s="48" t="s">
        <v>514</v>
      </c>
      <c r="G5142" s="27" t="str">
        <f t="shared" si="97"/>
        <v/>
      </c>
      <c r="H5142" s="28"/>
      <c r="I5142" s="29"/>
      <c r="J5142" s="148">
        <v>0</v>
      </c>
      <c r="K5142" s="222">
        <v>0</v>
      </c>
    </row>
    <row r="5143" spans="1:11" hidden="1" x14ac:dyDescent="0.25">
      <c r="A5143" s="207"/>
      <c r="B5143" s="205"/>
      <c r="C5143" s="31"/>
      <c r="D5143" s="31"/>
      <c r="E5143" s="32"/>
      <c r="F5143" s="53" t="s">
        <v>514</v>
      </c>
      <c r="G5143" s="53" t="str">
        <f t="shared" si="97"/>
        <v/>
      </c>
      <c r="H5143" s="72"/>
      <c r="I5143" s="73"/>
      <c r="J5143" s="148">
        <v>0</v>
      </c>
      <c r="K5143" s="222">
        <v>0</v>
      </c>
    </row>
    <row r="5144" spans="1:11" hidden="1" x14ac:dyDescent="0.25">
      <c r="A5144" s="207"/>
      <c r="B5144" s="205"/>
      <c r="C5144" s="35" t="s">
        <v>1170</v>
      </c>
      <c r="D5144" s="46" t="s">
        <v>891</v>
      </c>
      <c r="E5144" s="36">
        <f>ROUND(0.089*1.3,4)</f>
        <v>0.1157</v>
      </c>
      <c r="F5144" s="30">
        <v>32.746499999999997</v>
      </c>
      <c r="G5144" s="53">
        <f t="shared" si="97"/>
        <v>3.7887700499999997</v>
      </c>
      <c r="H5144" s="38">
        <f>SUM(G5144:G5148)</f>
        <v>87.116072550000013</v>
      </c>
      <c r="I5144" s="39"/>
      <c r="J5144" s="148">
        <v>0</v>
      </c>
      <c r="K5144" s="222">
        <v>0</v>
      </c>
    </row>
    <row r="5145" spans="1:11" ht="25.5" hidden="1" x14ac:dyDescent="0.25">
      <c r="A5145" s="207"/>
      <c r="B5145" s="205"/>
      <c r="C5145" s="35" t="s">
        <v>3656</v>
      </c>
      <c r="D5145" s="35" t="s">
        <v>278</v>
      </c>
      <c r="E5145" s="36">
        <v>1</v>
      </c>
      <c r="F5145" s="30" t="s">
        <v>514</v>
      </c>
      <c r="G5145" s="53" t="str">
        <f t="shared" si="97"/>
        <v/>
      </c>
      <c r="H5145" s="72"/>
      <c r="I5145" s="73"/>
      <c r="J5145" s="148">
        <v>0</v>
      </c>
      <c r="K5145" s="222">
        <v>0</v>
      </c>
    </row>
    <row r="5146" spans="1:11" ht="25.5" hidden="1" x14ac:dyDescent="0.25">
      <c r="A5146" s="207"/>
      <c r="B5146" s="205"/>
      <c r="C5146" s="35" t="s">
        <v>943</v>
      </c>
      <c r="D5146" s="46" t="s">
        <v>695</v>
      </c>
      <c r="E5146" s="36">
        <f>ROUND(0.93*1.3,4)</f>
        <v>1.2090000000000001</v>
      </c>
      <c r="F5146" s="30">
        <v>19.094999999999999</v>
      </c>
      <c r="G5146" s="53">
        <f t="shared" si="97"/>
        <v>23.085854999999999</v>
      </c>
      <c r="H5146" s="72"/>
      <c r="I5146" s="73"/>
      <c r="J5146" s="148">
        <v>0</v>
      </c>
      <c r="K5146" s="222">
        <v>0</v>
      </c>
    </row>
    <row r="5147" spans="1:11" ht="25.5" hidden="1" x14ac:dyDescent="0.25">
      <c r="A5147" s="207"/>
      <c r="B5147" s="205"/>
      <c r="C5147" s="35" t="s">
        <v>944</v>
      </c>
      <c r="D5147" s="35" t="s">
        <v>695</v>
      </c>
      <c r="E5147" s="36">
        <f>ROUND(0.93*1.3,4)</f>
        <v>1.2090000000000001</v>
      </c>
      <c r="F5147" s="30">
        <v>24.300999999999998</v>
      </c>
      <c r="G5147" s="53">
        <f t="shared" si="97"/>
        <v>29.379909000000001</v>
      </c>
      <c r="H5147" s="72"/>
      <c r="I5147" s="73"/>
      <c r="J5147" s="148">
        <v>0</v>
      </c>
      <c r="K5147" s="222">
        <v>0</v>
      </c>
    </row>
    <row r="5148" spans="1:11" hidden="1" x14ac:dyDescent="0.25">
      <c r="A5148" s="207"/>
      <c r="B5148" s="205"/>
      <c r="C5148" s="35" t="s">
        <v>3219</v>
      </c>
      <c r="D5148" s="35" t="s">
        <v>695</v>
      </c>
      <c r="E5148" s="36">
        <f>ROUND(0.93*1.3,4)</f>
        <v>1.2090000000000001</v>
      </c>
      <c r="F5148" s="53">
        <v>25.526499999999999</v>
      </c>
      <c r="G5148" s="53">
        <f t="shared" si="97"/>
        <v>30.861538500000002</v>
      </c>
      <c r="H5148" s="72"/>
      <c r="I5148" s="73"/>
      <c r="J5148" s="148">
        <v>0</v>
      </c>
      <c r="K5148" s="222">
        <v>0</v>
      </c>
    </row>
    <row r="5149" spans="1:11" hidden="1" x14ac:dyDescent="0.25">
      <c r="A5149" s="207"/>
      <c r="B5149" s="205"/>
      <c r="C5149" s="35"/>
      <c r="D5149" s="46"/>
      <c r="E5149" s="36"/>
      <c r="F5149" s="53" t="s">
        <v>514</v>
      </c>
      <c r="G5149" s="53" t="str">
        <f t="shared" si="97"/>
        <v/>
      </c>
      <c r="H5149" s="72"/>
      <c r="I5149" s="73"/>
      <c r="J5149" s="148">
        <v>0</v>
      </c>
      <c r="K5149" s="222">
        <v>0</v>
      </c>
    </row>
    <row r="5150" spans="1:11" ht="15.75" hidden="1" thickBot="1" x14ac:dyDescent="0.3">
      <c r="A5150" s="202" t="s">
        <v>3601</v>
      </c>
      <c r="B5150" s="204" t="str">
        <f>INDEX(Orçamentária!A:B,MATCH(Composições!A5150,Orçamentária!A:A,0),2)</f>
        <v>Curva raio longo 90° em aço carbono para solda de topo DN 200 (8" NPS)</v>
      </c>
      <c r="C5150" s="40"/>
      <c r="D5150" s="25" t="str">
        <f>TRIM(INDEX(Orçamentária!C:C,MATCH(Composições!A5150,Orçamentária!A:A,0),1))</f>
        <v>un</v>
      </c>
      <c r="E5150" s="26"/>
      <c r="F5150" s="48" t="s">
        <v>514</v>
      </c>
      <c r="G5150" s="27" t="str">
        <f t="shared" si="97"/>
        <v/>
      </c>
      <c r="H5150" s="28"/>
      <c r="I5150" s="29"/>
      <c r="J5150" s="148">
        <v>0</v>
      </c>
      <c r="K5150" s="222">
        <v>0</v>
      </c>
    </row>
    <row r="5151" spans="1:11" hidden="1" x14ac:dyDescent="0.25">
      <c r="A5151" s="207"/>
      <c r="B5151" s="205"/>
      <c r="C5151" s="31"/>
      <c r="D5151" s="31"/>
      <c r="E5151" s="32"/>
      <c r="F5151" s="53" t="s">
        <v>514</v>
      </c>
      <c r="G5151" s="53" t="str">
        <f t="shared" ref="G5151:G5182" si="98">IF(ISNUMBER(F5151),E5151*F5151,"")</f>
        <v/>
      </c>
      <c r="H5151" s="72"/>
      <c r="I5151" s="73"/>
      <c r="J5151" s="148">
        <v>0</v>
      </c>
      <c r="K5151" s="222">
        <v>0</v>
      </c>
    </row>
    <row r="5152" spans="1:11" hidden="1" x14ac:dyDescent="0.25">
      <c r="A5152" s="207"/>
      <c r="B5152" s="205"/>
      <c r="C5152" s="35" t="s">
        <v>1170</v>
      </c>
      <c r="D5152" s="46" t="s">
        <v>891</v>
      </c>
      <c r="E5152" s="36">
        <f>ROUND(0.089*1.5,4)</f>
        <v>0.13350000000000001</v>
      </c>
      <c r="F5152" s="30">
        <v>32.746499999999997</v>
      </c>
      <c r="G5152" s="53">
        <f t="shared" si="98"/>
        <v>4.3716577499999998</v>
      </c>
      <c r="H5152" s="38">
        <f>SUM(G5152:G5156)</f>
        <v>100.51854524999999</v>
      </c>
      <c r="I5152" s="39"/>
      <c r="J5152" s="148">
        <v>0</v>
      </c>
      <c r="K5152" s="222">
        <v>0</v>
      </c>
    </row>
    <row r="5153" spans="1:11" ht="25.5" hidden="1" x14ac:dyDescent="0.25">
      <c r="A5153" s="207"/>
      <c r="B5153" s="205"/>
      <c r="C5153" s="35" t="s">
        <v>3657</v>
      </c>
      <c r="D5153" s="35" t="s">
        <v>278</v>
      </c>
      <c r="E5153" s="36">
        <v>1</v>
      </c>
      <c r="F5153" s="30" t="s">
        <v>514</v>
      </c>
      <c r="G5153" s="53" t="str">
        <f t="shared" si="98"/>
        <v/>
      </c>
      <c r="H5153" s="72"/>
      <c r="I5153" s="73"/>
      <c r="J5153" s="148">
        <v>0</v>
      </c>
      <c r="K5153" s="222">
        <v>0</v>
      </c>
    </row>
    <row r="5154" spans="1:11" ht="25.5" hidden="1" x14ac:dyDescent="0.25">
      <c r="A5154" s="207"/>
      <c r="B5154" s="205"/>
      <c r="C5154" s="35" t="s">
        <v>943</v>
      </c>
      <c r="D5154" s="46" t="s">
        <v>695</v>
      </c>
      <c r="E5154" s="36">
        <f>ROUND(0.93*1.5,4)</f>
        <v>1.395</v>
      </c>
      <c r="F5154" s="30">
        <v>19.094999999999999</v>
      </c>
      <c r="G5154" s="53">
        <f t="shared" si="98"/>
        <v>26.637525</v>
      </c>
      <c r="H5154" s="72"/>
      <c r="I5154" s="73"/>
      <c r="J5154" s="148">
        <v>0</v>
      </c>
      <c r="K5154" s="222">
        <v>0</v>
      </c>
    </row>
    <row r="5155" spans="1:11" ht="25.5" hidden="1" x14ac:dyDescent="0.25">
      <c r="A5155" s="207"/>
      <c r="B5155" s="205"/>
      <c r="C5155" s="35" t="s">
        <v>944</v>
      </c>
      <c r="D5155" s="35" t="s">
        <v>695</v>
      </c>
      <c r="E5155" s="36">
        <f>ROUND(0.93*1.5,4)</f>
        <v>1.395</v>
      </c>
      <c r="F5155" s="30">
        <v>24.300999999999998</v>
      </c>
      <c r="G5155" s="53">
        <f t="shared" si="98"/>
        <v>33.899895000000001</v>
      </c>
      <c r="H5155" s="72"/>
      <c r="I5155" s="73"/>
      <c r="J5155" s="148">
        <v>0</v>
      </c>
      <c r="K5155" s="222">
        <v>0</v>
      </c>
    </row>
    <row r="5156" spans="1:11" hidden="1" x14ac:dyDescent="0.25">
      <c r="A5156" s="207"/>
      <c r="B5156" s="205"/>
      <c r="C5156" s="35" t="s">
        <v>3219</v>
      </c>
      <c r="D5156" s="35" t="s">
        <v>695</v>
      </c>
      <c r="E5156" s="36">
        <f>ROUND(0.93*1.5,4)</f>
        <v>1.395</v>
      </c>
      <c r="F5156" s="53">
        <v>25.526499999999999</v>
      </c>
      <c r="G5156" s="53">
        <f t="shared" si="98"/>
        <v>35.609467500000001</v>
      </c>
      <c r="H5156" s="72"/>
      <c r="I5156" s="73"/>
      <c r="J5156" s="148">
        <v>0</v>
      </c>
      <c r="K5156" s="222">
        <v>0</v>
      </c>
    </row>
    <row r="5157" spans="1:11" hidden="1" x14ac:dyDescent="0.25">
      <c r="A5157" s="207"/>
      <c r="B5157" s="205"/>
      <c r="C5157" s="35"/>
      <c r="D5157" s="46"/>
      <c r="E5157" s="36"/>
      <c r="F5157" s="53" t="s">
        <v>514</v>
      </c>
      <c r="G5157" s="53" t="str">
        <f t="shared" si="98"/>
        <v/>
      </c>
      <c r="H5157" s="72"/>
      <c r="I5157" s="73"/>
      <c r="J5157" s="148">
        <v>0</v>
      </c>
      <c r="K5157" s="222">
        <v>0</v>
      </c>
    </row>
    <row r="5158" spans="1:11" ht="15.75" hidden="1" thickBot="1" x14ac:dyDescent="0.3">
      <c r="A5158" s="202" t="s">
        <v>3603</v>
      </c>
      <c r="B5158" s="204" t="str">
        <f>INDEX(Orçamentária!A:B,MATCH(Composições!A5158,Orçamentária!A:A,0),2)</f>
        <v>Eliminador de ar para líquidos DN 20 (3/4" NPS)</v>
      </c>
      <c r="C5158" s="40"/>
      <c r="D5158" s="25" t="str">
        <f>TRIM(INDEX(Orçamentária!C:C,MATCH(Composições!A5158,Orçamentária!A:A,0),1))</f>
        <v>un</v>
      </c>
      <c r="E5158" s="26"/>
      <c r="F5158" s="48" t="s">
        <v>514</v>
      </c>
      <c r="G5158" s="27" t="str">
        <f t="shared" si="98"/>
        <v/>
      </c>
      <c r="H5158" s="28"/>
      <c r="I5158" s="29"/>
      <c r="J5158" s="148">
        <v>0</v>
      </c>
      <c r="K5158" s="222">
        <v>0</v>
      </c>
    </row>
    <row r="5159" spans="1:11" hidden="1" x14ac:dyDescent="0.25">
      <c r="A5159" s="207"/>
      <c r="B5159" s="205"/>
      <c r="C5159" s="31"/>
      <c r="D5159" s="31"/>
      <c r="E5159" s="32"/>
      <c r="F5159" s="53" t="s">
        <v>514</v>
      </c>
      <c r="G5159" s="53" t="str">
        <f t="shared" si="98"/>
        <v/>
      </c>
      <c r="H5159" s="72"/>
      <c r="I5159" s="73"/>
      <c r="J5159" s="148">
        <v>0</v>
      </c>
      <c r="K5159" s="222">
        <v>0</v>
      </c>
    </row>
    <row r="5160" spans="1:11" ht="25.5" hidden="1" x14ac:dyDescent="0.25">
      <c r="A5160" s="207"/>
      <c r="B5160" s="205"/>
      <c r="C5160" s="35" t="s">
        <v>3658</v>
      </c>
      <c r="D5160" s="35" t="s">
        <v>278</v>
      </c>
      <c r="E5160" s="36">
        <v>1</v>
      </c>
      <c r="F5160" s="30" t="s">
        <v>514</v>
      </c>
      <c r="G5160" s="53" t="str">
        <f t="shared" si="98"/>
        <v/>
      </c>
      <c r="H5160" s="38">
        <f>SUM(G5160:G5162)</f>
        <v>17.011232</v>
      </c>
      <c r="I5160" s="39"/>
      <c r="J5160" s="148">
        <v>0</v>
      </c>
      <c r="K5160" s="222">
        <v>0</v>
      </c>
    </row>
    <row r="5161" spans="1:11" ht="25.5" hidden="1" x14ac:dyDescent="0.25">
      <c r="A5161" s="207"/>
      <c r="B5161" s="205"/>
      <c r="C5161" s="35" t="s">
        <v>943</v>
      </c>
      <c r="D5161" s="46" t="s">
        <v>695</v>
      </c>
      <c r="E5161" s="36">
        <v>0.39200000000000002</v>
      </c>
      <c r="F5161" s="30">
        <v>19.094999999999999</v>
      </c>
      <c r="G5161" s="53">
        <f t="shared" si="98"/>
        <v>7.4852400000000001</v>
      </c>
      <c r="H5161" s="72"/>
      <c r="I5161" s="73"/>
      <c r="J5161" s="148">
        <v>0</v>
      </c>
      <c r="K5161" s="222">
        <v>0</v>
      </c>
    </row>
    <row r="5162" spans="1:11" ht="25.5" hidden="1" x14ac:dyDescent="0.25">
      <c r="A5162" s="207"/>
      <c r="B5162" s="205"/>
      <c r="C5162" s="35" t="s">
        <v>944</v>
      </c>
      <c r="D5162" s="35" t="s">
        <v>695</v>
      </c>
      <c r="E5162" s="36">
        <v>0.39200000000000002</v>
      </c>
      <c r="F5162" s="30">
        <v>24.300999999999998</v>
      </c>
      <c r="G5162" s="53">
        <f t="shared" si="98"/>
        <v>9.5259920000000005</v>
      </c>
      <c r="H5162" s="72"/>
      <c r="I5162" s="73"/>
      <c r="J5162" s="148">
        <v>0</v>
      </c>
      <c r="K5162" s="222">
        <v>0</v>
      </c>
    </row>
    <row r="5163" spans="1:11" hidden="1" x14ac:dyDescent="0.25">
      <c r="A5163" s="207"/>
      <c r="B5163" s="205"/>
      <c r="C5163" s="35"/>
      <c r="D5163" s="46"/>
      <c r="E5163" s="36"/>
      <c r="F5163" s="53" t="s">
        <v>514</v>
      </c>
      <c r="G5163" s="53" t="str">
        <f t="shared" si="98"/>
        <v/>
      </c>
      <c r="H5163" s="72"/>
      <c r="I5163" s="73"/>
      <c r="J5163" s="148">
        <v>0</v>
      </c>
      <c r="K5163" s="222">
        <v>0</v>
      </c>
    </row>
    <row r="5164" spans="1:11" ht="15.75" hidden="1" thickBot="1" x14ac:dyDescent="0.3">
      <c r="A5164" s="202" t="s">
        <v>3605</v>
      </c>
      <c r="B5164" s="204" t="str">
        <f>INDEX(Orçamentária!A:B,MATCH(Composições!A5164,Orçamentária!A:A,0),2)</f>
        <v>Flange de pescoço, aço carbono, classe 150, DN 125 (5" NPS)</v>
      </c>
      <c r="C5164" s="40"/>
      <c r="D5164" s="25" t="str">
        <f>TRIM(INDEX(Orçamentária!C:C,MATCH(Composições!A5164,Orçamentária!A:A,0),1))</f>
        <v>un</v>
      </c>
      <c r="E5164" s="26"/>
      <c r="F5164" s="48" t="s">
        <v>514</v>
      </c>
      <c r="G5164" s="27" t="str">
        <f t="shared" si="98"/>
        <v/>
      </c>
      <c r="H5164" s="28"/>
      <c r="I5164" s="29"/>
      <c r="J5164" s="148">
        <v>0</v>
      </c>
      <c r="K5164" s="222">
        <v>0</v>
      </c>
    </row>
    <row r="5165" spans="1:11" hidden="1" x14ac:dyDescent="0.25">
      <c r="A5165" s="207"/>
      <c r="B5165" s="205"/>
      <c r="C5165" s="31"/>
      <c r="D5165" s="31"/>
      <c r="E5165" s="32"/>
      <c r="F5165" s="53" t="s">
        <v>514</v>
      </c>
      <c r="G5165" s="53" t="str">
        <f t="shared" si="98"/>
        <v/>
      </c>
      <c r="H5165" s="72"/>
      <c r="I5165" s="73"/>
      <c r="J5165" s="148">
        <v>0</v>
      </c>
      <c r="K5165" s="222">
        <v>0</v>
      </c>
    </row>
    <row r="5166" spans="1:11" hidden="1" x14ac:dyDescent="0.25">
      <c r="A5166" s="207"/>
      <c r="B5166" s="205"/>
      <c r="C5166" s="35" t="s">
        <v>1170</v>
      </c>
      <c r="D5166" s="46" t="s">
        <v>891</v>
      </c>
      <c r="E5166" s="36">
        <f>ROUND(0.089*1.3,4)</f>
        <v>0.1157</v>
      </c>
      <c r="F5166" s="30">
        <v>32.746499999999997</v>
      </c>
      <c r="G5166" s="53">
        <f t="shared" si="98"/>
        <v>3.7887700499999997</v>
      </c>
      <c r="H5166" s="38">
        <f>SUM(G5166:G5170)</f>
        <v>87.116072550000013</v>
      </c>
      <c r="I5166" s="39"/>
      <c r="J5166" s="148">
        <v>0</v>
      </c>
      <c r="K5166" s="222">
        <v>0</v>
      </c>
    </row>
    <row r="5167" spans="1:11" hidden="1" x14ac:dyDescent="0.25">
      <c r="A5167" s="207"/>
      <c r="B5167" s="205"/>
      <c r="C5167" s="35" t="s">
        <v>3659</v>
      </c>
      <c r="D5167" s="35" t="s">
        <v>278</v>
      </c>
      <c r="E5167" s="36">
        <v>1</v>
      </c>
      <c r="F5167" s="30" t="s">
        <v>514</v>
      </c>
      <c r="G5167" s="53" t="str">
        <f t="shared" si="98"/>
        <v/>
      </c>
      <c r="H5167" s="72"/>
      <c r="I5167" s="73"/>
      <c r="J5167" s="148">
        <v>0</v>
      </c>
      <c r="K5167" s="222">
        <v>0</v>
      </c>
    </row>
    <row r="5168" spans="1:11" ht="25.5" hidden="1" x14ac:dyDescent="0.25">
      <c r="A5168" s="207"/>
      <c r="B5168" s="205"/>
      <c r="C5168" s="35" t="s">
        <v>943</v>
      </c>
      <c r="D5168" s="46" t="s">
        <v>695</v>
      </c>
      <c r="E5168" s="36">
        <f>ROUND(0.93*1.3,4)</f>
        <v>1.2090000000000001</v>
      </c>
      <c r="F5168" s="30">
        <v>19.094999999999999</v>
      </c>
      <c r="G5168" s="53">
        <f t="shared" si="98"/>
        <v>23.085854999999999</v>
      </c>
      <c r="H5168" s="72"/>
      <c r="I5168" s="73"/>
      <c r="J5168" s="148">
        <v>0</v>
      </c>
      <c r="K5168" s="222">
        <v>0</v>
      </c>
    </row>
    <row r="5169" spans="1:11" ht="25.5" hidden="1" x14ac:dyDescent="0.25">
      <c r="A5169" s="207"/>
      <c r="B5169" s="205"/>
      <c r="C5169" s="35" t="s">
        <v>944</v>
      </c>
      <c r="D5169" s="35" t="s">
        <v>695</v>
      </c>
      <c r="E5169" s="36">
        <f>ROUND(0.93*1.3,4)</f>
        <v>1.2090000000000001</v>
      </c>
      <c r="F5169" s="30">
        <v>24.300999999999998</v>
      </c>
      <c r="G5169" s="53">
        <f t="shared" si="98"/>
        <v>29.379909000000001</v>
      </c>
      <c r="H5169" s="72"/>
      <c r="I5169" s="73"/>
      <c r="J5169" s="148">
        <v>0</v>
      </c>
      <c r="K5169" s="222">
        <v>0</v>
      </c>
    </row>
    <row r="5170" spans="1:11" hidden="1" x14ac:dyDescent="0.25">
      <c r="A5170" s="207"/>
      <c r="B5170" s="205"/>
      <c r="C5170" s="35" t="s">
        <v>3219</v>
      </c>
      <c r="D5170" s="35" t="s">
        <v>695</v>
      </c>
      <c r="E5170" s="36">
        <f>ROUND(0.93*1.3,4)</f>
        <v>1.2090000000000001</v>
      </c>
      <c r="F5170" s="53">
        <v>25.526499999999999</v>
      </c>
      <c r="G5170" s="53">
        <f t="shared" si="98"/>
        <v>30.861538500000002</v>
      </c>
      <c r="H5170" s="72"/>
      <c r="I5170" s="73"/>
      <c r="J5170" s="148">
        <v>0</v>
      </c>
      <c r="K5170" s="222">
        <v>0</v>
      </c>
    </row>
    <row r="5171" spans="1:11" hidden="1" x14ac:dyDescent="0.25">
      <c r="A5171" s="207"/>
      <c r="B5171" s="205"/>
      <c r="C5171" s="35"/>
      <c r="D5171" s="46"/>
      <c r="E5171" s="36"/>
      <c r="F5171" s="53" t="s">
        <v>514</v>
      </c>
      <c r="G5171" s="53" t="str">
        <f t="shared" si="98"/>
        <v/>
      </c>
      <c r="H5171" s="72"/>
      <c r="I5171" s="73"/>
      <c r="J5171" s="148">
        <v>0</v>
      </c>
      <c r="K5171" s="222">
        <v>0</v>
      </c>
    </row>
    <row r="5172" spans="1:11" ht="15.75" hidden="1" thickBot="1" x14ac:dyDescent="0.3">
      <c r="A5172" s="202" t="s">
        <v>3607</v>
      </c>
      <c r="B5172" s="204" t="str">
        <f>INDEX(Orçamentária!A:B,MATCH(Composições!A5172,Orçamentária!A:A,0),2)</f>
        <v>Isolamento elastomérico para tubulações de ferro de 5”</v>
      </c>
      <c r="C5172" s="40"/>
      <c r="D5172" s="25" t="str">
        <f>TRIM(INDEX(Orçamentária!C:C,MATCH(Composições!A5172,Orçamentária!A:A,0),1))</f>
        <v>m</v>
      </c>
      <c r="E5172" s="26"/>
      <c r="F5172" s="48" t="s">
        <v>514</v>
      </c>
      <c r="G5172" s="27" t="str">
        <f t="shared" si="98"/>
        <v/>
      </c>
      <c r="H5172" s="28"/>
      <c r="I5172" s="29"/>
      <c r="J5172" s="148">
        <v>0</v>
      </c>
      <c r="K5172" s="222">
        <v>0</v>
      </c>
    </row>
    <row r="5173" spans="1:11" hidden="1" x14ac:dyDescent="0.25">
      <c r="A5173" s="207"/>
      <c r="B5173" s="205"/>
      <c r="C5173" s="31"/>
      <c r="D5173" s="31"/>
      <c r="E5173" s="32"/>
      <c r="F5173" s="53" t="s">
        <v>514</v>
      </c>
      <c r="G5173" s="53" t="str">
        <f t="shared" si="98"/>
        <v/>
      </c>
      <c r="H5173" s="72"/>
      <c r="I5173" s="73"/>
      <c r="J5173" s="148">
        <v>0</v>
      </c>
      <c r="K5173" s="222">
        <v>0</v>
      </c>
    </row>
    <row r="5174" spans="1:11" ht="38.25" hidden="1" x14ac:dyDescent="0.25">
      <c r="A5174" s="207"/>
      <c r="B5174" s="205"/>
      <c r="C5174" s="35" t="s">
        <v>3660</v>
      </c>
      <c r="D5174" s="35" t="s">
        <v>92</v>
      </c>
      <c r="E5174" s="36">
        <v>1.0210999999999999</v>
      </c>
      <c r="F5174" s="30" t="s">
        <v>514</v>
      </c>
      <c r="G5174" s="53" t="str">
        <f t="shared" si="98"/>
        <v/>
      </c>
      <c r="H5174" s="38">
        <f>SUM(G5174:G5176)</f>
        <v>4.1660159999999999</v>
      </c>
      <c r="I5174" s="39"/>
      <c r="J5174" s="148">
        <v>0</v>
      </c>
      <c r="K5174" s="222">
        <v>0</v>
      </c>
    </row>
    <row r="5175" spans="1:11" ht="25.5" hidden="1" x14ac:dyDescent="0.25">
      <c r="A5175" s="207"/>
      <c r="B5175" s="205"/>
      <c r="C5175" s="35" t="s">
        <v>943</v>
      </c>
      <c r="D5175" s="46" t="s">
        <v>695</v>
      </c>
      <c r="E5175" s="36">
        <f>5*0.064*0.3</f>
        <v>9.6000000000000002E-2</v>
      </c>
      <c r="F5175" s="30">
        <v>19.094999999999999</v>
      </c>
      <c r="G5175" s="53">
        <f t="shared" si="98"/>
        <v>1.8331199999999999</v>
      </c>
      <c r="H5175" s="72"/>
      <c r="I5175" s="73"/>
      <c r="J5175" s="148">
        <v>0</v>
      </c>
      <c r="K5175" s="222">
        <v>0</v>
      </c>
    </row>
    <row r="5176" spans="1:11" ht="25.5" hidden="1" x14ac:dyDescent="0.25">
      <c r="A5176" s="207"/>
      <c r="B5176" s="205"/>
      <c r="C5176" s="35" t="s">
        <v>944</v>
      </c>
      <c r="D5176" s="35" t="s">
        <v>695</v>
      </c>
      <c r="E5176" s="36">
        <f>5*0.064*0.3</f>
        <v>9.6000000000000002E-2</v>
      </c>
      <c r="F5176" s="30">
        <v>24.300999999999998</v>
      </c>
      <c r="G5176" s="53">
        <f t="shared" si="98"/>
        <v>2.3328959999999999</v>
      </c>
      <c r="H5176" s="72"/>
      <c r="I5176" s="73"/>
      <c r="J5176" s="148">
        <v>0</v>
      </c>
      <c r="K5176" s="222">
        <v>0</v>
      </c>
    </row>
    <row r="5177" spans="1:11" hidden="1" x14ac:dyDescent="0.25">
      <c r="A5177" s="207"/>
      <c r="B5177" s="205"/>
      <c r="C5177" s="35"/>
      <c r="D5177" s="46"/>
      <c r="E5177" s="36"/>
      <c r="F5177" s="53" t="s">
        <v>514</v>
      </c>
      <c r="G5177" s="53" t="str">
        <f t="shared" si="98"/>
        <v/>
      </c>
      <c r="H5177" s="72"/>
      <c r="I5177" s="73"/>
      <c r="J5177" s="148">
        <v>0</v>
      </c>
      <c r="K5177" s="222">
        <v>0</v>
      </c>
    </row>
    <row r="5178" spans="1:11" ht="15.75" hidden="1" thickBot="1" x14ac:dyDescent="0.3">
      <c r="A5178" s="202" t="s">
        <v>3609</v>
      </c>
      <c r="B5178" s="204" t="str">
        <f>INDEX(Orçamentária!A:B,MATCH(Composições!A5178,Orçamentária!A:A,0),2)</f>
        <v>Meia luva em aço carbono DN 15 (1/2" NPS)</v>
      </c>
      <c r="C5178" s="40"/>
      <c r="D5178" s="25" t="str">
        <f>TRIM(INDEX(Orçamentária!C:C,MATCH(Composições!A5178,Orçamentária!A:A,0),1))</f>
        <v>un</v>
      </c>
      <c r="E5178" s="26"/>
      <c r="F5178" s="48" t="s">
        <v>514</v>
      </c>
      <c r="G5178" s="27" t="str">
        <f t="shared" si="98"/>
        <v/>
      </c>
      <c r="H5178" s="28"/>
      <c r="I5178" s="29"/>
      <c r="J5178" s="148">
        <v>0</v>
      </c>
      <c r="K5178" s="222">
        <v>0</v>
      </c>
    </row>
    <row r="5179" spans="1:11" hidden="1" x14ac:dyDescent="0.25">
      <c r="A5179" s="207"/>
      <c r="B5179" s="205"/>
      <c r="C5179" s="31"/>
      <c r="D5179" s="31"/>
      <c r="E5179" s="32"/>
      <c r="F5179" s="53" t="s">
        <v>514</v>
      </c>
      <c r="G5179" s="53" t="str">
        <f t="shared" si="98"/>
        <v/>
      </c>
      <c r="H5179" s="72"/>
      <c r="I5179" s="73"/>
      <c r="J5179" s="148">
        <v>0</v>
      </c>
      <c r="K5179" s="222">
        <v>0</v>
      </c>
    </row>
    <row r="5180" spans="1:11" hidden="1" x14ac:dyDescent="0.25">
      <c r="A5180" s="207"/>
      <c r="B5180" s="205"/>
      <c r="C5180" s="35" t="s">
        <v>1170</v>
      </c>
      <c r="D5180" s="46" t="s">
        <v>891</v>
      </c>
      <c r="E5180" s="36">
        <v>8.9999999999999993E-3</v>
      </c>
      <c r="F5180" s="30">
        <v>32.746499999999997</v>
      </c>
      <c r="G5180" s="53">
        <f t="shared" si="98"/>
        <v>0.29471849999999994</v>
      </c>
      <c r="H5180" s="38">
        <f>SUM(G5180:G5184)</f>
        <v>8.1518835000000003</v>
      </c>
      <c r="I5180" s="39"/>
      <c r="J5180" s="148">
        <v>0</v>
      </c>
      <c r="K5180" s="222">
        <v>0</v>
      </c>
    </row>
    <row r="5181" spans="1:11" ht="25.5" hidden="1" x14ac:dyDescent="0.25">
      <c r="A5181" s="207"/>
      <c r="B5181" s="205"/>
      <c r="C5181" s="35" t="s">
        <v>3661</v>
      </c>
      <c r="D5181" s="35" t="s">
        <v>278</v>
      </c>
      <c r="E5181" s="36">
        <v>1</v>
      </c>
      <c r="F5181" s="30" t="s">
        <v>514</v>
      </c>
      <c r="G5181" s="53" t="str">
        <f t="shared" si="98"/>
        <v/>
      </c>
      <c r="H5181" s="72"/>
      <c r="I5181" s="73"/>
      <c r="J5181" s="148">
        <v>0</v>
      </c>
      <c r="K5181" s="222">
        <v>0</v>
      </c>
    </row>
    <row r="5182" spans="1:11" ht="25.5" hidden="1" x14ac:dyDescent="0.25">
      <c r="A5182" s="207"/>
      <c r="B5182" s="205"/>
      <c r="C5182" s="35" t="s">
        <v>943</v>
      </c>
      <c r="D5182" s="46" t="s">
        <v>695</v>
      </c>
      <c r="E5182" s="36">
        <v>0.114</v>
      </c>
      <c r="F5182" s="30">
        <v>19.094999999999999</v>
      </c>
      <c r="G5182" s="53">
        <f t="shared" si="98"/>
        <v>2.1768299999999998</v>
      </c>
      <c r="H5182" s="72"/>
      <c r="I5182" s="73"/>
      <c r="J5182" s="148">
        <v>0</v>
      </c>
      <c r="K5182" s="222">
        <v>0</v>
      </c>
    </row>
    <row r="5183" spans="1:11" ht="25.5" hidden="1" x14ac:dyDescent="0.25">
      <c r="A5183" s="207"/>
      <c r="B5183" s="205"/>
      <c r="C5183" s="35" t="s">
        <v>944</v>
      </c>
      <c r="D5183" s="35" t="s">
        <v>695</v>
      </c>
      <c r="E5183" s="36">
        <v>0.114</v>
      </c>
      <c r="F5183" s="30">
        <v>24.300999999999998</v>
      </c>
      <c r="G5183" s="53">
        <f t="shared" ref="G5183:G5214" si="99">IF(ISNUMBER(F5183),E5183*F5183,"")</f>
        <v>2.7703139999999999</v>
      </c>
      <c r="H5183" s="72"/>
      <c r="I5183" s="73"/>
      <c r="J5183" s="148">
        <v>0</v>
      </c>
      <c r="K5183" s="222">
        <v>0</v>
      </c>
    </row>
    <row r="5184" spans="1:11" hidden="1" x14ac:dyDescent="0.25">
      <c r="A5184" s="207"/>
      <c r="B5184" s="205"/>
      <c r="C5184" s="35" t="s">
        <v>3219</v>
      </c>
      <c r="D5184" s="35" t="s">
        <v>695</v>
      </c>
      <c r="E5184" s="36">
        <v>0.114</v>
      </c>
      <c r="F5184" s="53">
        <v>25.526499999999999</v>
      </c>
      <c r="G5184" s="53">
        <f t="shared" si="99"/>
        <v>2.910021</v>
      </c>
      <c r="H5184" s="72"/>
      <c r="I5184" s="73"/>
      <c r="J5184" s="148">
        <v>0</v>
      </c>
      <c r="K5184" s="222">
        <v>0</v>
      </c>
    </row>
    <row r="5185" spans="1:11" hidden="1" x14ac:dyDescent="0.25">
      <c r="A5185" s="207"/>
      <c r="B5185" s="205"/>
      <c r="C5185" s="35"/>
      <c r="D5185" s="46"/>
      <c r="E5185" s="36"/>
      <c r="F5185" s="53" t="s">
        <v>514</v>
      </c>
      <c r="G5185" s="53" t="str">
        <f t="shared" si="99"/>
        <v/>
      </c>
      <c r="H5185" s="72"/>
      <c r="I5185" s="73"/>
      <c r="J5185" s="148">
        <v>0</v>
      </c>
      <c r="K5185" s="222">
        <v>0</v>
      </c>
    </row>
    <row r="5186" spans="1:11" ht="15.75" hidden="1" thickBot="1" x14ac:dyDescent="0.3">
      <c r="A5186" s="202" t="s">
        <v>3611</v>
      </c>
      <c r="B5186" s="204" t="str">
        <f>INDEX(Orçamentária!A:B,MATCH(Composições!A5186,Orçamentária!A:A,0),2)</f>
        <v>Redução concêntrica em aço carbono para solda de topo DN 200 (8" NPS) × DN 125 (5" NPS)</v>
      </c>
      <c r="C5186" s="40"/>
      <c r="D5186" s="25" t="str">
        <f>TRIM(INDEX(Orçamentária!C:C,MATCH(Composições!A5186,Orçamentária!A:A,0),1))</f>
        <v>un</v>
      </c>
      <c r="E5186" s="26"/>
      <c r="F5186" s="48" t="s">
        <v>514</v>
      </c>
      <c r="G5186" s="27" t="str">
        <f t="shared" si="99"/>
        <v/>
      </c>
      <c r="H5186" s="28"/>
      <c r="I5186" s="29"/>
      <c r="J5186" s="148">
        <v>0</v>
      </c>
      <c r="K5186" s="222">
        <v>0</v>
      </c>
    </row>
    <row r="5187" spans="1:11" hidden="1" x14ac:dyDescent="0.25">
      <c r="A5187" s="207"/>
      <c r="B5187" s="205"/>
      <c r="C5187" s="31"/>
      <c r="D5187" s="31"/>
      <c r="E5187" s="32"/>
      <c r="F5187" s="53" t="s">
        <v>514</v>
      </c>
      <c r="G5187" s="53" t="str">
        <f t="shared" si="99"/>
        <v/>
      </c>
      <c r="H5187" s="72"/>
      <c r="I5187" s="73"/>
      <c r="J5187" s="148">
        <v>0</v>
      </c>
      <c r="K5187" s="222">
        <v>0</v>
      </c>
    </row>
    <row r="5188" spans="1:11" hidden="1" x14ac:dyDescent="0.25">
      <c r="A5188" s="207"/>
      <c r="B5188" s="205"/>
      <c r="C5188" s="35" t="s">
        <v>1170</v>
      </c>
      <c r="D5188" s="46" t="s">
        <v>891</v>
      </c>
      <c r="E5188" s="36">
        <f>ROUND(0.089*1.3,4)</f>
        <v>0.1157</v>
      </c>
      <c r="F5188" s="30">
        <v>32.746499999999997</v>
      </c>
      <c r="G5188" s="53">
        <f t="shared" si="99"/>
        <v>3.7887700499999997</v>
      </c>
      <c r="H5188" s="38">
        <f>SUM(G5188:G5192)</f>
        <v>59.340305049999998</v>
      </c>
      <c r="I5188" s="39"/>
      <c r="J5188" s="148">
        <v>0</v>
      </c>
      <c r="K5188" s="222">
        <v>0</v>
      </c>
    </row>
    <row r="5189" spans="1:11" ht="25.5" hidden="1" x14ac:dyDescent="0.25">
      <c r="A5189" s="207"/>
      <c r="B5189" s="205"/>
      <c r="C5189" s="35" t="s">
        <v>3662</v>
      </c>
      <c r="D5189" s="35" t="s">
        <v>278</v>
      </c>
      <c r="E5189" s="36">
        <v>1</v>
      </c>
      <c r="F5189" s="30" t="s">
        <v>514</v>
      </c>
      <c r="G5189" s="53" t="str">
        <f t="shared" si="99"/>
        <v/>
      </c>
      <c r="H5189" s="72"/>
      <c r="I5189" s="73"/>
      <c r="J5189" s="148">
        <v>0</v>
      </c>
      <c r="K5189" s="222">
        <v>0</v>
      </c>
    </row>
    <row r="5190" spans="1:11" ht="25.5" hidden="1" x14ac:dyDescent="0.25">
      <c r="A5190" s="207"/>
      <c r="B5190" s="205"/>
      <c r="C5190" s="35" t="s">
        <v>943</v>
      </c>
      <c r="D5190" s="46" t="s">
        <v>695</v>
      </c>
      <c r="E5190" s="36">
        <f>ROUND(0.62*1.3,4)</f>
        <v>0.80600000000000005</v>
      </c>
      <c r="F5190" s="30">
        <v>19.094999999999999</v>
      </c>
      <c r="G5190" s="53">
        <f t="shared" si="99"/>
        <v>15.39057</v>
      </c>
      <c r="H5190" s="72"/>
      <c r="I5190" s="73"/>
      <c r="J5190" s="148">
        <v>0</v>
      </c>
      <c r="K5190" s="222">
        <v>0</v>
      </c>
    </row>
    <row r="5191" spans="1:11" ht="25.5" hidden="1" x14ac:dyDescent="0.25">
      <c r="A5191" s="207"/>
      <c r="B5191" s="205"/>
      <c r="C5191" s="35" t="s">
        <v>944</v>
      </c>
      <c r="D5191" s="35" t="s">
        <v>695</v>
      </c>
      <c r="E5191" s="36">
        <f>ROUND(0.62*1.3,4)</f>
        <v>0.80600000000000005</v>
      </c>
      <c r="F5191" s="30">
        <v>24.300999999999998</v>
      </c>
      <c r="G5191" s="53">
        <f t="shared" si="99"/>
        <v>19.586606</v>
      </c>
      <c r="H5191" s="72"/>
      <c r="I5191" s="73"/>
      <c r="J5191" s="148">
        <v>0</v>
      </c>
      <c r="K5191" s="222">
        <v>0</v>
      </c>
    </row>
    <row r="5192" spans="1:11" hidden="1" x14ac:dyDescent="0.25">
      <c r="A5192" s="207"/>
      <c r="B5192" s="205"/>
      <c r="C5192" s="35" t="s">
        <v>3219</v>
      </c>
      <c r="D5192" s="35" t="s">
        <v>695</v>
      </c>
      <c r="E5192" s="36">
        <f>ROUND(0.62*1.3,4)</f>
        <v>0.80600000000000005</v>
      </c>
      <c r="F5192" s="53">
        <v>25.526499999999999</v>
      </c>
      <c r="G5192" s="53">
        <f t="shared" si="99"/>
        <v>20.574359000000001</v>
      </c>
      <c r="H5192" s="72"/>
      <c r="I5192" s="73"/>
      <c r="J5192" s="148">
        <v>0</v>
      </c>
      <c r="K5192" s="222">
        <v>0</v>
      </c>
    </row>
    <row r="5193" spans="1:11" hidden="1" x14ac:dyDescent="0.25">
      <c r="A5193" s="207"/>
      <c r="B5193" s="205"/>
      <c r="C5193" s="35"/>
      <c r="D5193" s="46"/>
      <c r="E5193" s="36"/>
      <c r="F5193" s="53" t="s">
        <v>514</v>
      </c>
      <c r="G5193" s="53" t="str">
        <f t="shared" si="99"/>
        <v/>
      </c>
      <c r="H5193" s="72"/>
      <c r="I5193" s="73"/>
      <c r="J5193" s="148">
        <v>0</v>
      </c>
      <c r="K5193" s="222">
        <v>0</v>
      </c>
    </row>
    <row r="5194" spans="1:11" ht="15.75" hidden="1" thickBot="1" x14ac:dyDescent="0.3">
      <c r="A5194" s="202" t="s">
        <v>3623</v>
      </c>
      <c r="B5194" s="204" t="str">
        <f>INDEX(Orçamentária!A:B,MATCH(Composições!A5194,Orçamentária!A:A,0),2)</f>
        <v>Tê em aço carbono para solda de topo DN 200 (8" NPS)</v>
      </c>
      <c r="C5194" s="40"/>
      <c r="D5194" s="25" t="str">
        <f>TRIM(INDEX(Orçamentária!C:C,MATCH(Composições!A5194,Orçamentária!A:A,0),1))</f>
        <v>un</v>
      </c>
      <c r="E5194" s="26"/>
      <c r="F5194" s="48" t="s">
        <v>514</v>
      </c>
      <c r="G5194" s="27" t="str">
        <f t="shared" si="99"/>
        <v/>
      </c>
      <c r="H5194" s="28"/>
      <c r="I5194" s="29"/>
      <c r="J5194" s="148">
        <v>0</v>
      </c>
      <c r="K5194" s="222">
        <v>0</v>
      </c>
    </row>
    <row r="5195" spans="1:11" hidden="1" x14ac:dyDescent="0.25">
      <c r="A5195" s="207"/>
      <c r="B5195" s="205"/>
      <c r="C5195" s="31"/>
      <c r="D5195" s="31"/>
      <c r="E5195" s="32"/>
      <c r="F5195" s="53" t="s">
        <v>514</v>
      </c>
      <c r="G5195" s="53" t="str">
        <f t="shared" si="99"/>
        <v/>
      </c>
      <c r="H5195" s="72"/>
      <c r="I5195" s="73"/>
      <c r="J5195" s="148">
        <v>0</v>
      </c>
      <c r="K5195" s="222">
        <v>0</v>
      </c>
    </row>
    <row r="5196" spans="1:11" hidden="1" x14ac:dyDescent="0.25">
      <c r="A5196" s="207"/>
      <c r="B5196" s="205"/>
      <c r="C5196" s="35" t="s">
        <v>1170</v>
      </c>
      <c r="D5196" s="46" t="s">
        <v>891</v>
      </c>
      <c r="E5196" s="36">
        <f>ROUND(0.133*1.3,4)</f>
        <v>0.1729</v>
      </c>
      <c r="F5196" s="30">
        <v>32.746499999999997</v>
      </c>
      <c r="G5196" s="53">
        <f t="shared" si="99"/>
        <v>5.6618698499999995</v>
      </c>
      <c r="H5196" s="38">
        <f>SUM(G5196:G5200)</f>
        <v>91.85634834999999</v>
      </c>
      <c r="I5196" s="39"/>
      <c r="J5196" s="148">
        <v>0</v>
      </c>
      <c r="K5196" s="222">
        <v>0</v>
      </c>
    </row>
    <row r="5197" spans="1:11" hidden="1" x14ac:dyDescent="0.25">
      <c r="A5197" s="207"/>
      <c r="B5197" s="205"/>
      <c r="C5197" s="35" t="s">
        <v>3663</v>
      </c>
      <c r="D5197" s="35" t="s">
        <v>278</v>
      </c>
      <c r="E5197" s="36">
        <v>1</v>
      </c>
      <c r="F5197" s="30" t="s">
        <v>514</v>
      </c>
      <c r="G5197" s="53" t="str">
        <f t="shared" si="99"/>
        <v/>
      </c>
      <c r="H5197" s="72"/>
      <c r="I5197" s="73"/>
      <c r="J5197" s="148">
        <v>0</v>
      </c>
      <c r="K5197" s="222">
        <v>0</v>
      </c>
    </row>
    <row r="5198" spans="1:11" ht="25.5" hidden="1" x14ac:dyDescent="0.25">
      <c r="A5198" s="207"/>
      <c r="B5198" s="205"/>
      <c r="C5198" s="35" t="s">
        <v>943</v>
      </c>
      <c r="D5198" s="46" t="s">
        <v>695</v>
      </c>
      <c r="E5198" s="36">
        <f>ROUND(0.962*1.3,4)</f>
        <v>1.2505999999999999</v>
      </c>
      <c r="F5198" s="30">
        <v>19.094999999999999</v>
      </c>
      <c r="G5198" s="53">
        <f t="shared" si="99"/>
        <v>23.880206999999999</v>
      </c>
      <c r="H5198" s="72"/>
      <c r="I5198" s="73"/>
      <c r="J5198" s="148">
        <v>0</v>
      </c>
      <c r="K5198" s="222">
        <v>0</v>
      </c>
    </row>
    <row r="5199" spans="1:11" ht="25.5" hidden="1" x14ac:dyDescent="0.25">
      <c r="A5199" s="207"/>
      <c r="B5199" s="205"/>
      <c r="C5199" s="35" t="s">
        <v>944</v>
      </c>
      <c r="D5199" s="35" t="s">
        <v>695</v>
      </c>
      <c r="E5199" s="36">
        <f>ROUND(0.962*1.3,4)</f>
        <v>1.2505999999999999</v>
      </c>
      <c r="F5199" s="30">
        <v>24.300999999999998</v>
      </c>
      <c r="G5199" s="53">
        <f t="shared" si="99"/>
        <v>30.390830599999997</v>
      </c>
      <c r="H5199" s="72"/>
      <c r="I5199" s="73"/>
      <c r="J5199" s="148">
        <v>0</v>
      </c>
      <c r="K5199" s="222">
        <v>0</v>
      </c>
    </row>
    <row r="5200" spans="1:11" hidden="1" x14ac:dyDescent="0.25">
      <c r="A5200" s="207"/>
      <c r="B5200" s="205"/>
      <c r="C5200" s="35" t="s">
        <v>3219</v>
      </c>
      <c r="D5200" s="35" t="s">
        <v>695</v>
      </c>
      <c r="E5200" s="36">
        <f>ROUND(0.962*1.3,4)</f>
        <v>1.2505999999999999</v>
      </c>
      <c r="F5200" s="53">
        <v>25.526499999999999</v>
      </c>
      <c r="G5200" s="53">
        <f t="shared" si="99"/>
        <v>31.923440899999996</v>
      </c>
      <c r="H5200" s="72"/>
      <c r="I5200" s="73"/>
      <c r="J5200" s="148">
        <v>0</v>
      </c>
      <c r="K5200" s="222">
        <v>0</v>
      </c>
    </row>
    <row r="5201" spans="1:11" hidden="1" x14ac:dyDescent="0.25">
      <c r="A5201" s="207"/>
      <c r="B5201" s="205"/>
      <c r="C5201" s="35"/>
      <c r="D5201" s="46"/>
      <c r="E5201" s="36"/>
      <c r="F5201" s="53" t="s">
        <v>514</v>
      </c>
      <c r="G5201" s="53" t="str">
        <f t="shared" si="99"/>
        <v/>
      </c>
      <c r="H5201" s="72"/>
      <c r="I5201" s="73"/>
      <c r="J5201" s="148">
        <v>0</v>
      </c>
      <c r="K5201" s="222">
        <v>0</v>
      </c>
    </row>
    <row r="5202" spans="1:11" ht="15.75" hidden="1" thickBot="1" x14ac:dyDescent="0.3">
      <c r="A5202" s="202" t="s">
        <v>3625</v>
      </c>
      <c r="B5202" s="204" t="str">
        <f>INDEX(Orçamentária!A:B,MATCH(Composições!A5202,Orçamentária!A:A,0),2)</f>
        <v>Tubo de aço-carbono preto DN 125 (5" NPS)</v>
      </c>
      <c r="C5202" s="40"/>
      <c r="D5202" s="25" t="str">
        <f>TRIM(INDEX(Orçamentária!C:C,MATCH(Composições!A5202,Orçamentária!A:A,0),1))</f>
        <v>m</v>
      </c>
      <c r="E5202" s="26"/>
      <c r="F5202" s="48" t="s">
        <v>514</v>
      </c>
      <c r="G5202" s="27" t="str">
        <f t="shared" si="99"/>
        <v/>
      </c>
      <c r="H5202" s="28"/>
      <c r="I5202" s="29"/>
      <c r="J5202" s="148">
        <v>0</v>
      </c>
      <c r="K5202" s="222">
        <v>0</v>
      </c>
    </row>
    <row r="5203" spans="1:11" hidden="1" x14ac:dyDescent="0.25">
      <c r="A5203" s="207"/>
      <c r="B5203" s="205"/>
      <c r="C5203" s="31"/>
      <c r="D5203" s="31"/>
      <c r="E5203" s="32"/>
      <c r="F5203" s="53" t="s">
        <v>514</v>
      </c>
      <c r="G5203" s="53" t="str">
        <f t="shared" si="99"/>
        <v/>
      </c>
      <c r="H5203" s="72"/>
      <c r="I5203" s="73"/>
      <c r="J5203" s="148">
        <v>0</v>
      </c>
      <c r="K5203" s="222">
        <v>0</v>
      </c>
    </row>
    <row r="5204" spans="1:11" ht="38.25" hidden="1" x14ac:dyDescent="0.25">
      <c r="A5204" s="207"/>
      <c r="B5204" s="205"/>
      <c r="C5204" s="35" t="s">
        <v>3178</v>
      </c>
      <c r="D5204" s="46" t="s">
        <v>932</v>
      </c>
      <c r="E5204" s="36">
        <v>2.1100000000000001E-2</v>
      </c>
      <c r="F5204" s="30">
        <v>209.0855</v>
      </c>
      <c r="G5204" s="53">
        <f t="shared" si="99"/>
        <v>4.41170405</v>
      </c>
      <c r="H5204" s="38">
        <f>SUM(G5204:G5213)</f>
        <v>559.86464017358401</v>
      </c>
      <c r="I5204" s="39"/>
      <c r="J5204" s="148">
        <v>0</v>
      </c>
      <c r="K5204" s="222">
        <v>0</v>
      </c>
    </row>
    <row r="5205" spans="1:11" ht="38.25" hidden="1" x14ac:dyDescent="0.25">
      <c r="A5205" s="207"/>
      <c r="B5205" s="205"/>
      <c r="C5205" s="35" t="s">
        <v>3184</v>
      </c>
      <c r="D5205" s="35" t="s">
        <v>934</v>
      </c>
      <c r="E5205" s="36">
        <v>4.0300000000000002E-2</v>
      </c>
      <c r="F5205" s="30">
        <v>76.902500000000003</v>
      </c>
      <c r="G5205" s="53">
        <f t="shared" si="99"/>
        <v>3.0991707500000003</v>
      </c>
      <c r="H5205" s="72"/>
      <c r="I5205" s="73"/>
      <c r="J5205" s="148">
        <v>0</v>
      </c>
      <c r="K5205" s="222">
        <v>0</v>
      </c>
    </row>
    <row r="5206" spans="1:11" hidden="1" x14ac:dyDescent="0.25">
      <c r="A5206" s="207"/>
      <c r="B5206" s="205"/>
      <c r="C5206" s="35" t="s">
        <v>131</v>
      </c>
      <c r="D5206" s="46" t="s">
        <v>891</v>
      </c>
      <c r="E5206" s="36">
        <v>0.1125</v>
      </c>
      <c r="F5206" s="30">
        <v>34.104999999999997</v>
      </c>
      <c r="G5206" s="53">
        <f t="shared" si="99"/>
        <v>3.8368124999999997</v>
      </c>
      <c r="H5206" s="72"/>
      <c r="I5206" s="73"/>
      <c r="J5206" s="148">
        <v>0</v>
      </c>
      <c r="K5206" s="222">
        <v>0</v>
      </c>
    </row>
    <row r="5207" spans="1:11" hidden="1" x14ac:dyDescent="0.25">
      <c r="A5207" s="207"/>
      <c r="B5207" s="205"/>
      <c r="C5207" s="35" t="s">
        <v>3215</v>
      </c>
      <c r="D5207" s="35" t="s">
        <v>695</v>
      </c>
      <c r="E5207" s="36">
        <v>6.5600000000000006E-2</v>
      </c>
      <c r="F5207" s="30">
        <v>19.389499999999998</v>
      </c>
      <c r="G5207" s="53">
        <f t="shared" si="99"/>
        <v>1.2719511999999999</v>
      </c>
      <c r="H5207" s="72"/>
      <c r="I5207" s="73"/>
      <c r="J5207" s="148">
        <v>0</v>
      </c>
      <c r="K5207" s="222">
        <v>0</v>
      </c>
    </row>
    <row r="5208" spans="1:11" hidden="1" x14ac:dyDescent="0.25">
      <c r="A5208" s="207"/>
      <c r="B5208" s="205"/>
      <c r="C5208" s="35" t="s">
        <v>696</v>
      </c>
      <c r="D5208" s="35" t="s">
        <v>695</v>
      </c>
      <c r="E5208" s="36">
        <v>6.5600000000000006E-2</v>
      </c>
      <c r="F5208" s="53">
        <v>18.420500000000001</v>
      </c>
      <c r="G5208" s="53">
        <f t="shared" si="99"/>
        <v>1.2083848000000001</v>
      </c>
      <c r="H5208" s="72"/>
      <c r="I5208" s="73"/>
      <c r="J5208" s="148">
        <v>0</v>
      </c>
      <c r="K5208" s="222">
        <v>0</v>
      </c>
    </row>
    <row r="5209" spans="1:11" hidden="1" x14ac:dyDescent="0.25">
      <c r="A5209" s="207"/>
      <c r="B5209" s="205"/>
      <c r="C5209" s="35" t="s">
        <v>3219</v>
      </c>
      <c r="D5209" s="35" t="s">
        <v>695</v>
      </c>
      <c r="E5209" s="36">
        <v>0.28749999999999998</v>
      </c>
      <c r="F5209" s="53">
        <v>25.526499999999999</v>
      </c>
      <c r="G5209" s="53">
        <f t="shared" si="99"/>
        <v>7.3388687499999987</v>
      </c>
      <c r="H5209" s="72"/>
      <c r="I5209" s="73"/>
      <c r="J5209" s="148">
        <v>0</v>
      </c>
      <c r="K5209" s="222">
        <v>0</v>
      </c>
    </row>
    <row r="5210" spans="1:11" ht="25.5" hidden="1" x14ac:dyDescent="0.25">
      <c r="A5210" s="207"/>
      <c r="B5210" s="205"/>
      <c r="C5210" s="35" t="s">
        <v>3501</v>
      </c>
      <c r="D5210" s="35" t="s">
        <v>473</v>
      </c>
      <c r="E5210" s="36">
        <v>1</v>
      </c>
      <c r="F5210" s="53">
        <v>512.97149999999999</v>
      </c>
      <c r="G5210" s="53">
        <f t="shared" si="99"/>
        <v>512.97149999999999</v>
      </c>
      <c r="H5210" s="72"/>
      <c r="I5210" s="73"/>
      <c r="J5210" s="148">
        <v>0</v>
      </c>
      <c r="K5210" s="222">
        <v>0</v>
      </c>
    </row>
    <row r="5211" spans="1:11" ht="38.25" hidden="1" x14ac:dyDescent="0.25">
      <c r="A5211" s="207"/>
      <c r="B5211" s="205"/>
      <c r="C5211" s="35" t="s">
        <v>3509</v>
      </c>
      <c r="D5211" s="35" t="s">
        <v>1278</v>
      </c>
      <c r="E5211" s="36">
        <v>2.1760000000000002E-2</v>
      </c>
      <c r="F5211" s="53">
        <v>36.456589149999999</v>
      </c>
      <c r="G5211" s="53">
        <f t="shared" si="99"/>
        <v>0.79329537990400001</v>
      </c>
      <c r="H5211" s="72"/>
      <c r="I5211" s="73"/>
      <c r="J5211" s="148">
        <v>0</v>
      </c>
      <c r="K5211" s="222">
        <v>0</v>
      </c>
    </row>
    <row r="5212" spans="1:11" ht="38.25" hidden="1" x14ac:dyDescent="0.25">
      <c r="A5212" s="207"/>
      <c r="B5212" s="205"/>
      <c r="C5212" s="35" t="s">
        <v>3505</v>
      </c>
      <c r="D5212" s="35" t="s">
        <v>1426</v>
      </c>
      <c r="E5212" s="36">
        <v>0.65280000000000005</v>
      </c>
      <c r="F5212" s="53">
        <v>2.6770980999999998</v>
      </c>
      <c r="G5212" s="53">
        <f t="shared" si="99"/>
        <v>1.74760963968</v>
      </c>
      <c r="H5212" s="72"/>
      <c r="I5212" s="73"/>
      <c r="J5212" s="148">
        <v>0</v>
      </c>
      <c r="K5212" s="222">
        <v>0</v>
      </c>
    </row>
    <row r="5213" spans="1:11" ht="51" hidden="1" x14ac:dyDescent="0.25">
      <c r="A5213" s="207"/>
      <c r="B5213" s="205"/>
      <c r="C5213" s="35" t="s">
        <v>3506</v>
      </c>
      <c r="D5213" s="35" t="s">
        <v>1426</v>
      </c>
      <c r="E5213" s="36">
        <v>21.76</v>
      </c>
      <c r="F5213" s="53">
        <v>1.0655029</v>
      </c>
      <c r="G5213" s="53">
        <f t="shared" si="99"/>
        <v>23.185343104000001</v>
      </c>
      <c r="H5213" s="72"/>
      <c r="I5213" s="73"/>
      <c r="J5213" s="148">
        <v>0</v>
      </c>
      <c r="K5213" s="222">
        <v>0</v>
      </c>
    </row>
    <row r="5214" spans="1:11" hidden="1" x14ac:dyDescent="0.25">
      <c r="A5214" s="207"/>
      <c r="B5214" s="205"/>
      <c r="C5214" s="35"/>
      <c r="D5214" s="35"/>
      <c r="E5214" s="36"/>
      <c r="F5214" s="53" t="s">
        <v>514</v>
      </c>
      <c r="G5214" s="53" t="str">
        <f t="shared" si="99"/>
        <v/>
      </c>
      <c r="H5214" s="72"/>
      <c r="I5214" s="73"/>
      <c r="J5214" s="148">
        <v>0</v>
      </c>
      <c r="K5214" s="222">
        <v>0</v>
      </c>
    </row>
    <row r="5215" spans="1:11" hidden="1" x14ac:dyDescent="0.25">
      <c r="A5215" s="207"/>
      <c r="B5215" s="205"/>
      <c r="C5215" s="47" t="s">
        <v>6786</v>
      </c>
      <c r="D5215" s="35"/>
      <c r="E5215" s="36"/>
      <c r="F5215" s="53" t="s">
        <v>514</v>
      </c>
      <c r="G5215" s="53" t="str">
        <f t="shared" ref="G5215:G5246" si="100">IF(ISNUMBER(F5215),E5215*F5215,"")</f>
        <v/>
      </c>
      <c r="H5215" s="72"/>
      <c r="I5215" s="73"/>
      <c r="J5215" s="148">
        <v>0</v>
      </c>
      <c r="K5215" s="222">
        <v>0</v>
      </c>
    </row>
    <row r="5216" spans="1:11" hidden="1" x14ac:dyDescent="0.25">
      <c r="A5216" s="207"/>
      <c r="B5216" s="205"/>
      <c r="C5216" s="35"/>
      <c r="D5216" s="46"/>
      <c r="E5216" s="36"/>
      <c r="F5216" s="53" t="s">
        <v>514</v>
      </c>
      <c r="G5216" s="53" t="str">
        <f t="shared" si="100"/>
        <v/>
      </c>
      <c r="H5216" s="72"/>
      <c r="I5216" s="73"/>
      <c r="J5216" s="148">
        <v>0</v>
      </c>
      <c r="K5216" s="222">
        <v>0</v>
      </c>
    </row>
    <row r="5217" spans="1:11" ht="15.75" hidden="1" thickBot="1" x14ac:dyDescent="0.3">
      <c r="A5217" s="202" t="s">
        <v>3627</v>
      </c>
      <c r="B5217" s="204" t="str">
        <f>INDEX(Orçamentária!A:B,MATCH(Composições!A5217,Orçamentária!A:A,0),2)</f>
        <v>Tubo de aço-carbono preto DN 200 (8" NPS)</v>
      </c>
      <c r="C5217" s="40"/>
      <c r="D5217" s="25" t="str">
        <f>TRIM(INDEX(Orçamentária!C:C,MATCH(Composições!A5217,Orçamentária!A:A,0),1))</f>
        <v>m</v>
      </c>
      <c r="E5217" s="26"/>
      <c r="F5217" s="48" t="s">
        <v>514</v>
      </c>
      <c r="G5217" s="27" t="str">
        <f t="shared" si="100"/>
        <v/>
      </c>
      <c r="H5217" s="28"/>
      <c r="I5217" s="29"/>
      <c r="J5217" s="148">
        <v>0</v>
      </c>
      <c r="K5217" s="222">
        <v>0</v>
      </c>
    </row>
    <row r="5218" spans="1:11" hidden="1" x14ac:dyDescent="0.25">
      <c r="A5218" s="207"/>
      <c r="B5218" s="205"/>
      <c r="C5218" s="31"/>
      <c r="D5218" s="31"/>
      <c r="E5218" s="32"/>
      <c r="F5218" s="53" t="s">
        <v>514</v>
      </c>
      <c r="G5218" s="53" t="str">
        <f t="shared" si="100"/>
        <v/>
      </c>
      <c r="H5218" s="72"/>
      <c r="I5218" s="73"/>
      <c r="J5218" s="148">
        <v>0</v>
      </c>
      <c r="K5218" s="222">
        <v>0</v>
      </c>
    </row>
    <row r="5219" spans="1:11" ht="38.25" hidden="1" x14ac:dyDescent="0.25">
      <c r="A5219" s="207"/>
      <c r="B5219" s="205"/>
      <c r="C5219" s="35" t="s">
        <v>3178</v>
      </c>
      <c r="D5219" s="46" t="s">
        <v>932</v>
      </c>
      <c r="E5219" s="36">
        <v>2.1100000000000001E-2</v>
      </c>
      <c r="F5219" s="30">
        <v>209.0855</v>
      </c>
      <c r="G5219" s="53">
        <f t="shared" si="100"/>
        <v>4.41170405</v>
      </c>
      <c r="H5219" s="38">
        <f>SUM(G5219:G5230)</f>
        <v>944.24551715519749</v>
      </c>
      <c r="I5219" s="39"/>
      <c r="J5219" s="148">
        <v>0</v>
      </c>
      <c r="K5219" s="222">
        <v>0</v>
      </c>
    </row>
    <row r="5220" spans="1:11" ht="38.25" hidden="1" x14ac:dyDescent="0.25">
      <c r="A5220" s="207"/>
      <c r="B5220" s="205"/>
      <c r="C5220" s="35" t="s">
        <v>3184</v>
      </c>
      <c r="D5220" s="35" t="s">
        <v>934</v>
      </c>
      <c r="E5220" s="36">
        <v>4.0300000000000002E-2</v>
      </c>
      <c r="F5220" s="30">
        <v>76.902500000000003</v>
      </c>
      <c r="G5220" s="53">
        <f t="shared" si="100"/>
        <v>3.0991707500000003</v>
      </c>
      <c r="H5220" s="72"/>
      <c r="I5220" s="73"/>
      <c r="J5220" s="148">
        <v>0</v>
      </c>
      <c r="K5220" s="222">
        <v>0</v>
      </c>
    </row>
    <row r="5221" spans="1:11" hidden="1" x14ac:dyDescent="0.25">
      <c r="A5221" s="207"/>
      <c r="B5221" s="205"/>
      <c r="C5221" s="35" t="s">
        <v>131</v>
      </c>
      <c r="D5221" s="46" t="s">
        <v>891</v>
      </c>
      <c r="E5221" s="36">
        <v>0.15</v>
      </c>
      <c r="F5221" s="30">
        <v>34.104999999999997</v>
      </c>
      <c r="G5221" s="53">
        <f t="shared" si="100"/>
        <v>5.1157499999999994</v>
      </c>
      <c r="H5221" s="72"/>
      <c r="I5221" s="73"/>
      <c r="J5221" s="148">
        <v>0</v>
      </c>
      <c r="K5221" s="222">
        <v>0</v>
      </c>
    </row>
    <row r="5222" spans="1:11" hidden="1" x14ac:dyDescent="0.25">
      <c r="A5222" s="207"/>
      <c r="B5222" s="205"/>
      <c r="C5222" s="35" t="s">
        <v>3215</v>
      </c>
      <c r="D5222" s="35" t="s">
        <v>695</v>
      </c>
      <c r="E5222" s="36">
        <v>6.5600000000000006E-2</v>
      </c>
      <c r="F5222" s="30">
        <v>19.389499999999998</v>
      </c>
      <c r="G5222" s="53">
        <f t="shared" si="100"/>
        <v>1.2719511999999999</v>
      </c>
      <c r="H5222" s="72"/>
      <c r="I5222" s="73"/>
      <c r="J5222" s="148">
        <v>0</v>
      </c>
      <c r="K5222" s="222">
        <v>0</v>
      </c>
    </row>
    <row r="5223" spans="1:11" hidden="1" x14ac:dyDescent="0.25">
      <c r="A5223" s="207"/>
      <c r="B5223" s="205"/>
      <c r="C5223" s="35" t="s">
        <v>696</v>
      </c>
      <c r="D5223" s="35" t="s">
        <v>695</v>
      </c>
      <c r="E5223" s="36">
        <v>6.5600000000000006E-2</v>
      </c>
      <c r="F5223" s="53">
        <v>18.420500000000001</v>
      </c>
      <c r="G5223" s="53">
        <f t="shared" si="100"/>
        <v>1.2083848000000001</v>
      </c>
      <c r="H5223" s="72"/>
      <c r="I5223" s="73"/>
      <c r="J5223" s="148">
        <v>0</v>
      </c>
      <c r="K5223" s="222">
        <v>0</v>
      </c>
    </row>
    <row r="5224" spans="1:11" hidden="1" x14ac:dyDescent="0.25">
      <c r="A5224" s="207"/>
      <c r="B5224" s="205"/>
      <c r="C5224" s="35" t="s">
        <v>3219</v>
      </c>
      <c r="D5224" s="35" t="s">
        <v>695</v>
      </c>
      <c r="E5224" s="36">
        <v>0.38340000000000002</v>
      </c>
      <c r="F5224" s="53">
        <v>25.526499999999999</v>
      </c>
      <c r="G5224" s="53">
        <f t="shared" si="100"/>
        <v>9.7868601000000002</v>
      </c>
      <c r="H5224" s="72"/>
      <c r="I5224" s="73"/>
      <c r="J5224" s="148">
        <v>0</v>
      </c>
      <c r="K5224" s="222">
        <v>0</v>
      </c>
    </row>
    <row r="5225" spans="1:11" ht="25.5" hidden="1" x14ac:dyDescent="0.25">
      <c r="A5225" s="207"/>
      <c r="B5225" s="205"/>
      <c r="C5225" s="35" t="s">
        <v>3365</v>
      </c>
      <c r="D5225" s="35" t="s">
        <v>473</v>
      </c>
      <c r="E5225" s="36">
        <v>1</v>
      </c>
      <c r="F5225" s="53">
        <v>869.42099999999994</v>
      </c>
      <c r="G5225" s="53">
        <f t="shared" si="100"/>
        <v>869.42099999999994</v>
      </c>
      <c r="H5225" s="72"/>
      <c r="I5225" s="73"/>
      <c r="J5225" s="148">
        <v>0</v>
      </c>
      <c r="K5225" s="222">
        <v>0</v>
      </c>
    </row>
    <row r="5226" spans="1:11" ht="38.25" hidden="1" x14ac:dyDescent="0.25">
      <c r="A5226" s="207"/>
      <c r="B5226" s="205"/>
      <c r="C5226" s="35" t="s">
        <v>3510</v>
      </c>
      <c r="D5226" s="35" t="s">
        <v>1278</v>
      </c>
      <c r="E5226" s="36">
        <v>4.2549999999999998E-2</v>
      </c>
      <c r="F5226" s="53">
        <v>27.643528449999998</v>
      </c>
      <c r="G5226" s="53">
        <f t="shared" si="100"/>
        <v>1.1762321355474998</v>
      </c>
      <c r="H5226" s="72"/>
      <c r="I5226" s="73"/>
      <c r="J5226" s="148">
        <v>0</v>
      </c>
      <c r="K5226" s="222">
        <v>0</v>
      </c>
    </row>
    <row r="5227" spans="1:11" ht="38.25" hidden="1" x14ac:dyDescent="0.25">
      <c r="A5227" s="207"/>
      <c r="B5227" s="205"/>
      <c r="C5227" s="35" t="s">
        <v>3505</v>
      </c>
      <c r="D5227" s="35" t="s">
        <v>1426</v>
      </c>
      <c r="E5227" s="36">
        <v>1.2765</v>
      </c>
      <c r="F5227" s="53">
        <v>2.6770980999999998</v>
      </c>
      <c r="G5227" s="53">
        <f t="shared" si="100"/>
        <v>3.4173157246499999</v>
      </c>
      <c r="H5227" s="72"/>
      <c r="I5227" s="73"/>
      <c r="J5227" s="148">
        <v>0</v>
      </c>
      <c r="K5227" s="222">
        <v>0</v>
      </c>
    </row>
    <row r="5228" spans="1:11" ht="51" hidden="1" x14ac:dyDescent="0.25">
      <c r="A5228" s="207"/>
      <c r="B5228" s="205"/>
      <c r="C5228" s="35" t="s">
        <v>3506</v>
      </c>
      <c r="D5228" s="35" t="s">
        <v>1426</v>
      </c>
      <c r="E5228" s="36">
        <v>42.55</v>
      </c>
      <c r="F5228" s="53">
        <v>1.0655029</v>
      </c>
      <c r="G5228" s="53">
        <f t="shared" si="100"/>
        <v>45.337148395</v>
      </c>
      <c r="H5228" s="72"/>
      <c r="I5228" s="73"/>
      <c r="J5228" s="148">
        <v>0</v>
      </c>
      <c r="K5228" s="222">
        <v>0</v>
      </c>
    </row>
    <row r="5229" spans="1:11" hidden="1" x14ac:dyDescent="0.25">
      <c r="A5229" s="207"/>
      <c r="B5229" s="205"/>
      <c r="C5229" s="35"/>
      <c r="D5229" s="35"/>
      <c r="E5229" s="36"/>
      <c r="F5229" s="53"/>
      <c r="G5229" s="53"/>
      <c r="H5229" s="72"/>
      <c r="I5229" s="73"/>
      <c r="J5229" s="148">
        <v>0</v>
      </c>
      <c r="K5229" s="222">
        <v>0</v>
      </c>
    </row>
    <row r="5230" spans="1:11" hidden="1" x14ac:dyDescent="0.25">
      <c r="A5230" s="207"/>
      <c r="B5230" s="205"/>
      <c r="C5230" s="47" t="s">
        <v>6786</v>
      </c>
      <c r="D5230" s="35"/>
      <c r="E5230" s="36"/>
      <c r="F5230" s="53" t="s">
        <v>514</v>
      </c>
      <c r="G5230" s="53" t="str">
        <f t="shared" ref="G5230:G5293" si="101">IF(ISNUMBER(F5230),E5230*F5230,"")</f>
        <v/>
      </c>
      <c r="H5230" s="72"/>
      <c r="I5230" s="73"/>
      <c r="J5230" s="148">
        <v>0</v>
      </c>
      <c r="K5230" s="222">
        <v>0</v>
      </c>
    </row>
    <row r="5231" spans="1:11" hidden="1" x14ac:dyDescent="0.25">
      <c r="A5231" s="207"/>
      <c r="B5231" s="205"/>
      <c r="C5231" s="35"/>
      <c r="D5231" s="46"/>
      <c r="E5231" s="36"/>
      <c r="F5231" s="53" t="s">
        <v>514</v>
      </c>
      <c r="G5231" s="53" t="str">
        <f t="shared" si="101"/>
        <v/>
      </c>
      <c r="H5231" s="72"/>
      <c r="I5231" s="73"/>
      <c r="J5231" s="148">
        <v>0</v>
      </c>
      <c r="K5231" s="222">
        <v>0</v>
      </c>
    </row>
    <row r="5232" spans="1:11" ht="15.75" hidden="1" thickBot="1" x14ac:dyDescent="0.3">
      <c r="A5232" s="202" t="s">
        <v>3629</v>
      </c>
      <c r="B5232" s="204" t="str">
        <f>INDEX(Orçamentária!A:B,MATCH(Composições!A5232,Orçamentária!A:A,0),2)</f>
        <v>Válvula de esfera em bronze 1/2”</v>
      </c>
      <c r="C5232" s="40"/>
      <c r="D5232" s="25" t="str">
        <f>TRIM(INDEX(Orçamentária!C:C,MATCH(Composições!A5232,Orçamentária!A:A,0),1))</f>
        <v>un</v>
      </c>
      <c r="E5232" s="26"/>
      <c r="F5232" s="48" t="s">
        <v>514</v>
      </c>
      <c r="G5232" s="27" t="str">
        <f t="shared" si="101"/>
        <v/>
      </c>
      <c r="H5232" s="28"/>
      <c r="I5232" s="29"/>
      <c r="J5232" s="148">
        <v>0</v>
      </c>
      <c r="K5232" s="222">
        <v>0</v>
      </c>
    </row>
    <row r="5233" spans="1:11" hidden="1" x14ac:dyDescent="0.25">
      <c r="A5233" s="207"/>
      <c r="B5233" s="205"/>
      <c r="C5233" s="31"/>
      <c r="D5233" s="31"/>
      <c r="E5233" s="32"/>
      <c r="F5233" s="53" t="s">
        <v>514</v>
      </c>
      <c r="G5233" s="53" t="str">
        <f t="shared" si="101"/>
        <v/>
      </c>
      <c r="H5233" s="72"/>
      <c r="I5233" s="73"/>
      <c r="J5233" s="148">
        <v>0</v>
      </c>
      <c r="K5233" s="222">
        <v>0</v>
      </c>
    </row>
    <row r="5234" spans="1:11" hidden="1" x14ac:dyDescent="0.25">
      <c r="A5234" s="207"/>
      <c r="B5234" s="205"/>
      <c r="C5234" s="35" t="s">
        <v>317</v>
      </c>
      <c r="D5234" s="35" t="s">
        <v>278</v>
      </c>
      <c r="E5234" s="36">
        <v>8.3999999999999995E-3</v>
      </c>
      <c r="F5234" s="30">
        <v>14.8865</v>
      </c>
      <c r="G5234" s="53">
        <f t="shared" si="101"/>
        <v>0.12504659999999998</v>
      </c>
      <c r="H5234" s="38">
        <f>SUM(G5234:G5237)</f>
        <v>55.447718999999999</v>
      </c>
      <c r="I5234" s="39"/>
      <c r="J5234" s="148">
        <v>0</v>
      </c>
      <c r="K5234" s="222">
        <v>0</v>
      </c>
    </row>
    <row r="5235" spans="1:11" hidden="1" x14ac:dyDescent="0.25">
      <c r="A5235" s="207"/>
      <c r="B5235" s="205"/>
      <c r="C5235" s="35" t="s">
        <v>1136</v>
      </c>
      <c r="D5235" s="35" t="s">
        <v>278</v>
      </c>
      <c r="E5235" s="36">
        <v>1</v>
      </c>
      <c r="F5235" s="30">
        <v>52.202500000000001</v>
      </c>
      <c r="G5235" s="53">
        <f t="shared" si="101"/>
        <v>52.202500000000001</v>
      </c>
      <c r="H5235" s="72"/>
      <c r="I5235" s="73"/>
      <c r="J5235" s="148">
        <v>0</v>
      </c>
      <c r="K5235" s="222">
        <v>0</v>
      </c>
    </row>
    <row r="5236" spans="1:11" ht="25.5" hidden="1" x14ac:dyDescent="0.25">
      <c r="A5236" s="207"/>
      <c r="B5236" s="205"/>
      <c r="C5236" s="35" t="s">
        <v>943</v>
      </c>
      <c r="D5236" s="46" t="s">
        <v>695</v>
      </c>
      <c r="E5236" s="36">
        <v>7.1900000000000006E-2</v>
      </c>
      <c r="F5236" s="30">
        <v>19.094999999999999</v>
      </c>
      <c r="G5236" s="53">
        <f t="shared" si="101"/>
        <v>1.3729305000000001</v>
      </c>
      <c r="H5236" s="72"/>
      <c r="I5236" s="73"/>
      <c r="J5236" s="148">
        <v>0</v>
      </c>
      <c r="K5236" s="222">
        <v>0</v>
      </c>
    </row>
    <row r="5237" spans="1:11" ht="25.5" hidden="1" x14ac:dyDescent="0.25">
      <c r="A5237" s="207"/>
      <c r="B5237" s="205"/>
      <c r="C5237" s="35" t="s">
        <v>944</v>
      </c>
      <c r="D5237" s="35" t="s">
        <v>695</v>
      </c>
      <c r="E5237" s="36">
        <v>7.1900000000000006E-2</v>
      </c>
      <c r="F5237" s="30">
        <v>24.300999999999998</v>
      </c>
      <c r="G5237" s="53">
        <f t="shared" si="101"/>
        <v>1.7472419000000001</v>
      </c>
      <c r="H5237" s="72"/>
      <c r="I5237" s="73"/>
      <c r="J5237" s="148">
        <v>0</v>
      </c>
      <c r="K5237" s="222">
        <v>0</v>
      </c>
    </row>
    <row r="5238" spans="1:11" hidden="1" x14ac:dyDescent="0.25">
      <c r="A5238" s="207"/>
      <c r="B5238" s="205"/>
      <c r="C5238" s="35"/>
      <c r="D5238" s="46"/>
      <c r="E5238" s="36"/>
      <c r="F5238" s="53" t="s">
        <v>514</v>
      </c>
      <c r="G5238" s="53" t="str">
        <f t="shared" si="101"/>
        <v/>
      </c>
      <c r="H5238" s="72"/>
      <c r="I5238" s="73"/>
      <c r="J5238" s="148">
        <v>0</v>
      </c>
      <c r="K5238" s="222">
        <v>0</v>
      </c>
    </row>
    <row r="5239" spans="1:11" ht="15.75" hidden="1" thickBot="1" x14ac:dyDescent="0.3">
      <c r="A5239" s="202" t="s">
        <v>3631</v>
      </c>
      <c r="B5239" s="204" t="str">
        <f>INDEX(Orçamentária!A:B,MATCH(Composições!A5239,Orçamentária!A:A,0),2)</f>
        <v>Válvula gaveta com flange DN 125 (5" NPS)</v>
      </c>
      <c r="C5239" s="40"/>
      <c r="D5239" s="25" t="str">
        <f>TRIM(INDEX(Orçamentária!C:C,MATCH(Composições!A5239,Orçamentária!A:A,0),1))</f>
        <v>un</v>
      </c>
      <c r="E5239" s="26"/>
      <c r="F5239" s="48" t="s">
        <v>514</v>
      </c>
      <c r="G5239" s="27" t="str">
        <f t="shared" si="101"/>
        <v/>
      </c>
      <c r="H5239" s="28"/>
      <c r="I5239" s="29"/>
      <c r="J5239" s="148">
        <v>0</v>
      </c>
      <c r="K5239" s="222">
        <v>0</v>
      </c>
    </row>
    <row r="5240" spans="1:11" hidden="1" x14ac:dyDescent="0.25">
      <c r="A5240" s="207"/>
      <c r="B5240" s="205"/>
      <c r="C5240" s="31"/>
      <c r="D5240" s="31"/>
      <c r="E5240" s="32"/>
      <c r="F5240" s="53" t="s">
        <v>514</v>
      </c>
      <c r="G5240" s="53" t="str">
        <f t="shared" si="101"/>
        <v/>
      </c>
      <c r="H5240" s="72"/>
      <c r="I5240" s="73"/>
      <c r="J5240" s="148">
        <v>0</v>
      </c>
      <c r="K5240" s="222">
        <v>0</v>
      </c>
    </row>
    <row r="5241" spans="1:11" hidden="1" x14ac:dyDescent="0.25">
      <c r="A5241" s="207"/>
      <c r="B5241" s="205"/>
      <c r="C5241" s="35" t="s">
        <v>317</v>
      </c>
      <c r="D5241" s="35" t="s">
        <v>278</v>
      </c>
      <c r="E5241" s="36">
        <v>4.5199999999999997E-2</v>
      </c>
      <c r="F5241" s="30">
        <v>14.8865</v>
      </c>
      <c r="G5241" s="53">
        <f t="shared" si="101"/>
        <v>0.67286979999999996</v>
      </c>
      <c r="H5241" s="38">
        <f>SUM(G5241:G5244)</f>
        <v>32.026479800000004</v>
      </c>
      <c r="I5241" s="39"/>
      <c r="J5241" s="148">
        <v>0</v>
      </c>
      <c r="K5241" s="222">
        <v>0</v>
      </c>
    </row>
    <row r="5242" spans="1:11" hidden="1" x14ac:dyDescent="0.25">
      <c r="A5242" s="207"/>
      <c r="B5242" s="205"/>
      <c r="C5242" s="35" t="s">
        <v>3632</v>
      </c>
      <c r="D5242" s="35" t="s">
        <v>278</v>
      </c>
      <c r="E5242" s="36">
        <v>1</v>
      </c>
      <c r="F5242" s="30" t="s">
        <v>514</v>
      </c>
      <c r="G5242" s="53" t="str">
        <f t="shared" si="101"/>
        <v/>
      </c>
      <c r="H5242" s="72"/>
      <c r="I5242" s="73"/>
      <c r="J5242" s="148">
        <v>0</v>
      </c>
      <c r="K5242" s="222">
        <v>0</v>
      </c>
    </row>
    <row r="5243" spans="1:11" ht="25.5" hidden="1" x14ac:dyDescent="0.25">
      <c r="A5243" s="207"/>
      <c r="B5243" s="205"/>
      <c r="C5243" s="35" t="s">
        <v>943</v>
      </c>
      <c r="D5243" s="46" t="s">
        <v>695</v>
      </c>
      <c r="E5243" s="36">
        <v>0.72250000000000003</v>
      </c>
      <c r="F5243" s="30">
        <v>19.094999999999999</v>
      </c>
      <c r="G5243" s="53">
        <f t="shared" si="101"/>
        <v>13.7961375</v>
      </c>
      <c r="H5243" s="72"/>
      <c r="I5243" s="73"/>
      <c r="J5243" s="148">
        <v>0</v>
      </c>
      <c r="K5243" s="222">
        <v>0</v>
      </c>
    </row>
    <row r="5244" spans="1:11" ht="25.5" hidden="1" x14ac:dyDescent="0.25">
      <c r="A5244" s="207"/>
      <c r="B5244" s="205"/>
      <c r="C5244" s="35" t="s">
        <v>944</v>
      </c>
      <c r="D5244" s="35" t="s">
        <v>695</v>
      </c>
      <c r="E5244" s="36">
        <v>0.72250000000000003</v>
      </c>
      <c r="F5244" s="30">
        <v>24.300999999999998</v>
      </c>
      <c r="G5244" s="53">
        <f t="shared" si="101"/>
        <v>17.557472499999999</v>
      </c>
      <c r="H5244" s="72"/>
      <c r="I5244" s="73"/>
      <c r="J5244" s="148">
        <v>0</v>
      </c>
      <c r="K5244" s="222">
        <v>0</v>
      </c>
    </row>
    <row r="5245" spans="1:11" hidden="1" x14ac:dyDescent="0.25">
      <c r="A5245" s="207"/>
      <c r="B5245" s="205"/>
      <c r="C5245" s="35"/>
      <c r="D5245" s="46"/>
      <c r="E5245" s="36"/>
      <c r="F5245" s="53" t="s">
        <v>514</v>
      </c>
      <c r="G5245" s="53" t="str">
        <f t="shared" si="101"/>
        <v/>
      </c>
      <c r="H5245" s="72"/>
      <c r="I5245" s="73"/>
      <c r="J5245" s="148">
        <v>0</v>
      </c>
      <c r="K5245" s="222">
        <v>0</v>
      </c>
    </row>
    <row r="5246" spans="1:11" ht="15.75" hidden="1" thickBot="1" x14ac:dyDescent="0.3">
      <c r="A5246" s="202" t="s">
        <v>3635</v>
      </c>
      <c r="B5246" s="204" t="str">
        <f>INDEX(Orçamentária!A:B,MATCH(Composições!A5246,Orçamentária!A:A,0),2)</f>
        <v>Cabo de fibra óptica monomodo 12 fibras</v>
      </c>
      <c r="C5246" s="40"/>
      <c r="D5246" s="25" t="str">
        <f>TRIM(INDEX(Orçamentária!C:C,MATCH(Composições!A5246,Orçamentária!A:A,0),1))</f>
        <v>m</v>
      </c>
      <c r="E5246" s="26"/>
      <c r="F5246" s="48" t="s">
        <v>514</v>
      </c>
      <c r="G5246" s="27" t="str">
        <f t="shared" si="101"/>
        <v/>
      </c>
      <c r="H5246" s="28"/>
      <c r="I5246" s="29"/>
      <c r="J5246" s="148">
        <v>0</v>
      </c>
      <c r="K5246" s="222">
        <v>0</v>
      </c>
    </row>
    <row r="5247" spans="1:11" hidden="1" x14ac:dyDescent="0.25">
      <c r="A5247" s="207"/>
      <c r="B5247" s="205"/>
      <c r="C5247" s="31"/>
      <c r="D5247" s="31"/>
      <c r="E5247" s="32"/>
      <c r="F5247" s="53" t="s">
        <v>514</v>
      </c>
      <c r="G5247" s="53" t="str">
        <f t="shared" si="101"/>
        <v/>
      </c>
      <c r="H5247" s="72"/>
      <c r="I5247" s="73"/>
      <c r="J5247" s="148">
        <v>0</v>
      </c>
      <c r="K5247" s="222">
        <v>0</v>
      </c>
    </row>
    <row r="5248" spans="1:11" hidden="1" x14ac:dyDescent="0.25">
      <c r="A5248" s="207"/>
      <c r="B5248" s="205"/>
      <c r="C5248" s="35" t="s">
        <v>3664</v>
      </c>
      <c r="D5248" s="35" t="s">
        <v>92</v>
      </c>
      <c r="E5248" s="36">
        <v>1.05</v>
      </c>
      <c r="F5248" s="30" t="s">
        <v>514</v>
      </c>
      <c r="G5248" s="53" t="str">
        <f t="shared" si="101"/>
        <v/>
      </c>
      <c r="H5248" s="38">
        <f>SUM(G5248:G5250)</f>
        <v>3.1678604999999997</v>
      </c>
      <c r="I5248" s="39"/>
      <c r="J5248" s="148">
        <v>0</v>
      </c>
      <c r="K5248" s="222">
        <v>0</v>
      </c>
    </row>
    <row r="5249" spans="1:11" hidden="1" x14ac:dyDescent="0.25">
      <c r="A5249" s="207"/>
      <c r="B5249" s="205"/>
      <c r="C5249" s="35" t="s">
        <v>1150</v>
      </c>
      <c r="D5249" s="46" t="s">
        <v>695</v>
      </c>
      <c r="E5249" s="36">
        <v>7.1099999999999997E-2</v>
      </c>
      <c r="F5249" s="30">
        <v>19.4085</v>
      </c>
      <c r="G5249" s="53">
        <f t="shared" si="101"/>
        <v>1.3799443499999999</v>
      </c>
      <c r="H5249" s="72"/>
      <c r="I5249" s="73"/>
      <c r="J5249" s="148">
        <v>0</v>
      </c>
      <c r="K5249" s="222">
        <v>0</v>
      </c>
    </row>
    <row r="5250" spans="1:11" hidden="1" x14ac:dyDescent="0.25">
      <c r="A5250" s="207"/>
      <c r="B5250" s="205"/>
      <c r="C5250" s="35" t="s">
        <v>1151</v>
      </c>
      <c r="D5250" s="35" t="s">
        <v>695</v>
      </c>
      <c r="E5250" s="36">
        <v>7.1099999999999997E-2</v>
      </c>
      <c r="F5250" s="30">
        <v>25.146499999999996</v>
      </c>
      <c r="G5250" s="53">
        <f t="shared" si="101"/>
        <v>1.7879161499999996</v>
      </c>
      <c r="H5250" s="72"/>
      <c r="I5250" s="73"/>
      <c r="J5250" s="148">
        <v>0</v>
      </c>
      <c r="K5250" s="222">
        <v>0</v>
      </c>
    </row>
    <row r="5251" spans="1:11" hidden="1" x14ac:dyDescent="0.25">
      <c r="A5251" s="207"/>
      <c r="B5251" s="205"/>
      <c r="C5251" s="35"/>
      <c r="D5251" s="46"/>
      <c r="E5251" s="36"/>
      <c r="F5251" s="53" t="s">
        <v>514</v>
      </c>
      <c r="G5251" s="53" t="str">
        <f t="shared" si="101"/>
        <v/>
      </c>
      <c r="H5251" s="72"/>
      <c r="I5251" s="73"/>
      <c r="J5251" s="148">
        <v>0</v>
      </c>
      <c r="K5251" s="222">
        <v>0</v>
      </c>
    </row>
    <row r="5252" spans="1:11" ht="15.75" hidden="1" thickBot="1" x14ac:dyDescent="0.3">
      <c r="A5252" s="202" t="s">
        <v>3637</v>
      </c>
      <c r="B5252" s="204" t="str">
        <f>INDEX(Orçamentária!A:B,MATCH(Composições!A5252,Orçamentária!A:A,0),2)</f>
        <v>Cabo de fibra óptica monomodo 144 fibras</v>
      </c>
      <c r="C5252" s="40"/>
      <c r="D5252" s="25" t="str">
        <f>TRIM(INDEX(Orçamentária!C:C,MATCH(Composições!A5252,Orçamentária!A:A,0),1))</f>
        <v>m</v>
      </c>
      <c r="E5252" s="26"/>
      <c r="F5252" s="48" t="s">
        <v>514</v>
      </c>
      <c r="G5252" s="27" t="str">
        <f t="shared" si="101"/>
        <v/>
      </c>
      <c r="H5252" s="28"/>
      <c r="I5252" s="29"/>
      <c r="J5252" s="148">
        <v>0</v>
      </c>
      <c r="K5252" s="222">
        <v>0</v>
      </c>
    </row>
    <row r="5253" spans="1:11" hidden="1" x14ac:dyDescent="0.25">
      <c r="A5253" s="207"/>
      <c r="B5253" s="205"/>
      <c r="C5253" s="31"/>
      <c r="D5253" s="31"/>
      <c r="E5253" s="32"/>
      <c r="F5253" s="53" t="s">
        <v>514</v>
      </c>
      <c r="G5253" s="53" t="str">
        <f t="shared" si="101"/>
        <v/>
      </c>
      <c r="H5253" s="72"/>
      <c r="I5253" s="73"/>
      <c r="J5253" s="148">
        <v>0</v>
      </c>
      <c r="K5253" s="222">
        <v>0</v>
      </c>
    </row>
    <row r="5254" spans="1:11" hidden="1" x14ac:dyDescent="0.25">
      <c r="A5254" s="207"/>
      <c r="B5254" s="205"/>
      <c r="C5254" s="35" t="s">
        <v>3665</v>
      </c>
      <c r="D5254" s="35" t="s">
        <v>92</v>
      </c>
      <c r="E5254" s="36">
        <v>1.05</v>
      </c>
      <c r="F5254" s="30" t="s">
        <v>514</v>
      </c>
      <c r="G5254" s="53" t="str">
        <f t="shared" si="101"/>
        <v/>
      </c>
      <c r="H5254" s="38">
        <f>SUM(G5254:G5256)</f>
        <v>6.184234</v>
      </c>
      <c r="I5254" s="39"/>
      <c r="J5254" s="148">
        <v>0</v>
      </c>
      <c r="K5254" s="222">
        <v>0</v>
      </c>
    </row>
    <row r="5255" spans="1:11" hidden="1" x14ac:dyDescent="0.25">
      <c r="A5255" s="207"/>
      <c r="B5255" s="205"/>
      <c r="C5255" s="35" t="s">
        <v>1150</v>
      </c>
      <c r="D5255" s="46" t="s">
        <v>695</v>
      </c>
      <c r="E5255" s="36">
        <v>0.13880000000000001</v>
      </c>
      <c r="F5255" s="30">
        <v>19.4085</v>
      </c>
      <c r="G5255" s="53">
        <f t="shared" si="101"/>
        <v>2.6938998000000001</v>
      </c>
      <c r="H5255" s="72"/>
      <c r="I5255" s="73"/>
      <c r="J5255" s="148">
        <v>0</v>
      </c>
      <c r="K5255" s="222">
        <v>0</v>
      </c>
    </row>
    <row r="5256" spans="1:11" hidden="1" x14ac:dyDescent="0.25">
      <c r="A5256" s="207"/>
      <c r="B5256" s="205"/>
      <c r="C5256" s="35" t="s">
        <v>1151</v>
      </c>
      <c r="D5256" s="35" t="s">
        <v>695</v>
      </c>
      <c r="E5256" s="36">
        <v>0.13880000000000001</v>
      </c>
      <c r="F5256" s="30">
        <v>25.146499999999996</v>
      </c>
      <c r="G5256" s="53">
        <f t="shared" si="101"/>
        <v>3.4903341999999995</v>
      </c>
      <c r="H5256" s="72"/>
      <c r="I5256" s="73"/>
      <c r="J5256" s="148">
        <v>0</v>
      </c>
      <c r="K5256" s="222">
        <v>0</v>
      </c>
    </row>
    <row r="5257" spans="1:11" hidden="1" x14ac:dyDescent="0.25">
      <c r="A5257" s="207"/>
      <c r="B5257" s="205"/>
      <c r="C5257" s="35"/>
      <c r="D5257" s="46"/>
      <c r="E5257" s="36"/>
      <c r="F5257" s="53" t="s">
        <v>514</v>
      </c>
      <c r="G5257" s="53" t="str">
        <f t="shared" si="101"/>
        <v/>
      </c>
      <c r="H5257" s="72"/>
      <c r="I5257" s="73"/>
      <c r="J5257" s="148">
        <v>0</v>
      </c>
      <c r="K5257" s="222">
        <v>0</v>
      </c>
    </row>
    <row r="5258" spans="1:11" ht="15.75" hidden="1" thickBot="1" x14ac:dyDescent="0.3">
      <c r="A5258" s="202" t="s">
        <v>3639</v>
      </c>
      <c r="B5258" s="204" t="str">
        <f>INDEX(Orçamentária!A:B,MATCH(Composições!A5258,Orçamentária!A:A,0),2)</f>
        <v>Eletroduto PEAD 1 1/4" - fornecimento e instalação</v>
      </c>
      <c r="C5258" s="40"/>
      <c r="D5258" s="25" t="str">
        <f>TRIM(INDEX(Orçamentária!C:C,MATCH(Composições!A5258,Orçamentária!A:A,0),1))</f>
        <v>m</v>
      </c>
      <c r="E5258" s="26"/>
      <c r="F5258" s="41" t="s">
        <v>514</v>
      </c>
      <c r="G5258" s="27" t="str">
        <f t="shared" si="101"/>
        <v/>
      </c>
      <c r="H5258" s="28"/>
      <c r="I5258" s="29"/>
      <c r="J5258" s="148">
        <v>0</v>
      </c>
      <c r="K5258" s="222">
        <v>0</v>
      </c>
    </row>
    <row r="5259" spans="1:11" hidden="1" x14ac:dyDescent="0.25">
      <c r="A5259" s="203"/>
      <c r="B5259" s="205"/>
      <c r="C5259" s="31"/>
      <c r="D5259" s="31"/>
      <c r="E5259" s="32"/>
      <c r="F5259" s="42" t="s">
        <v>514</v>
      </c>
      <c r="G5259" s="30" t="str">
        <f t="shared" si="101"/>
        <v/>
      </c>
      <c r="H5259" s="34"/>
      <c r="I5259" s="30"/>
      <c r="J5259" s="148">
        <v>0</v>
      </c>
      <c r="K5259" s="222">
        <v>0</v>
      </c>
    </row>
    <row r="5260" spans="1:11" ht="38.25" hidden="1" x14ac:dyDescent="0.25">
      <c r="A5260" s="203"/>
      <c r="B5260" s="205"/>
      <c r="C5260" s="35" t="s">
        <v>6775</v>
      </c>
      <c r="D5260" s="35" t="s">
        <v>473</v>
      </c>
      <c r="E5260" s="36">
        <v>1.1000000000000001</v>
      </c>
      <c r="F5260" s="30">
        <v>4.0564999999999998</v>
      </c>
      <c r="G5260" s="33">
        <f t="shared" si="101"/>
        <v>4.4621500000000003</v>
      </c>
      <c r="H5260" s="38">
        <f>SUM(G5260:G5263)</f>
        <v>12.451384000000001</v>
      </c>
      <c r="I5260" s="39"/>
      <c r="J5260" s="148">
        <v>0</v>
      </c>
      <c r="K5260" s="222">
        <v>0</v>
      </c>
    </row>
    <row r="5261" spans="1:11" hidden="1" x14ac:dyDescent="0.25">
      <c r="A5261" s="203"/>
      <c r="B5261" s="205"/>
      <c r="C5261" s="35" t="s">
        <v>1150</v>
      </c>
      <c r="D5261" s="35" t="s">
        <v>695</v>
      </c>
      <c r="E5261" s="36">
        <v>0.113</v>
      </c>
      <c r="F5261" s="30">
        <v>19.4085</v>
      </c>
      <c r="G5261" s="33">
        <f t="shared" si="101"/>
        <v>2.1931605000000003</v>
      </c>
      <c r="H5261" s="34"/>
      <c r="I5261" s="30"/>
      <c r="J5261" s="148">
        <v>0</v>
      </c>
      <c r="K5261" s="222">
        <v>0</v>
      </c>
    </row>
    <row r="5262" spans="1:11" hidden="1" x14ac:dyDescent="0.25">
      <c r="A5262" s="203"/>
      <c r="B5262" s="205"/>
      <c r="C5262" s="35" t="s">
        <v>1151</v>
      </c>
      <c r="D5262" s="35" t="s">
        <v>695</v>
      </c>
      <c r="E5262" s="36">
        <v>0.113</v>
      </c>
      <c r="F5262" s="30">
        <v>25.146499999999996</v>
      </c>
      <c r="G5262" s="33">
        <f t="shared" si="101"/>
        <v>2.8415544999999995</v>
      </c>
      <c r="H5262" s="34"/>
      <c r="I5262" s="30"/>
      <c r="J5262" s="148">
        <v>0</v>
      </c>
      <c r="K5262" s="222">
        <v>0</v>
      </c>
    </row>
    <row r="5263" spans="1:11" ht="51" hidden="1" x14ac:dyDescent="0.25">
      <c r="A5263" s="203"/>
      <c r="B5263" s="205"/>
      <c r="C5263" s="35" t="s">
        <v>3202</v>
      </c>
      <c r="D5263" s="35" t="s">
        <v>473</v>
      </c>
      <c r="E5263" s="36">
        <v>1</v>
      </c>
      <c r="F5263" s="33">
        <v>2.9545190000000003</v>
      </c>
      <c r="G5263" s="30">
        <f t="shared" si="101"/>
        <v>2.9545190000000003</v>
      </c>
      <c r="H5263" s="34"/>
      <c r="I5263" s="30"/>
      <c r="J5263" s="148">
        <v>0</v>
      </c>
      <c r="K5263" s="222">
        <v>0</v>
      </c>
    </row>
    <row r="5264" spans="1:11" ht="15.75" hidden="1" thickBot="1" x14ac:dyDescent="0.3">
      <c r="A5264" s="209"/>
      <c r="B5264" s="206"/>
      <c r="C5264" s="35"/>
      <c r="D5264" s="35"/>
      <c r="E5264" s="36"/>
      <c r="F5264" s="30" t="s">
        <v>514</v>
      </c>
      <c r="G5264" s="30" t="str">
        <f t="shared" si="101"/>
        <v/>
      </c>
      <c r="H5264" s="34"/>
      <c r="I5264" s="30"/>
      <c r="J5264" s="148">
        <v>0</v>
      </c>
      <c r="K5264" s="222">
        <v>0</v>
      </c>
    </row>
    <row r="5265" spans="1:11" ht="15.75" hidden="1" thickBot="1" x14ac:dyDescent="0.3">
      <c r="A5265" s="202" t="s">
        <v>3641</v>
      </c>
      <c r="B5265" s="204" t="str">
        <f>INDEX(Orçamentária!A:B,MATCH(Composições!A5265,Orçamentária!A:A,0),2)</f>
        <v>Caixa de Passagem Subterrânea 1600x2000mm</v>
      </c>
      <c r="C5265" s="40"/>
      <c r="D5265" s="25" t="str">
        <f>TRIM(INDEX(Orçamentária!C:C,MATCH(Composições!A5265,Orçamentária!A:A,0),1))</f>
        <v>un</v>
      </c>
      <c r="E5265" s="26"/>
      <c r="F5265" s="41" t="s">
        <v>514</v>
      </c>
      <c r="G5265" s="27" t="str">
        <f t="shared" si="101"/>
        <v/>
      </c>
      <c r="H5265" s="28"/>
      <c r="I5265" s="29"/>
      <c r="J5265" s="148">
        <v>0</v>
      </c>
      <c r="K5265" s="222">
        <v>0</v>
      </c>
    </row>
    <row r="5266" spans="1:11" hidden="1" x14ac:dyDescent="0.25">
      <c r="A5266" s="203"/>
      <c r="B5266" s="205"/>
      <c r="C5266" s="31"/>
      <c r="D5266" s="31"/>
      <c r="E5266" s="32"/>
      <c r="F5266" s="42" t="s">
        <v>514</v>
      </c>
      <c r="G5266" s="30" t="str">
        <f t="shared" si="101"/>
        <v/>
      </c>
      <c r="H5266" s="34"/>
      <c r="I5266" s="30"/>
      <c r="J5266" s="148">
        <v>0</v>
      </c>
      <c r="K5266" s="222">
        <v>0</v>
      </c>
    </row>
    <row r="5267" spans="1:11" ht="63.75" hidden="1" x14ac:dyDescent="0.25">
      <c r="A5267" s="203"/>
      <c r="B5267" s="205"/>
      <c r="C5267" s="35" t="s">
        <v>3179</v>
      </c>
      <c r="D5267" s="35" t="s">
        <v>932</v>
      </c>
      <c r="E5267" s="36">
        <f>ROUND(0.0087*3.33,4)</f>
        <v>2.9000000000000001E-2</v>
      </c>
      <c r="F5267" s="30">
        <v>138.96600000000001</v>
      </c>
      <c r="G5267" s="33">
        <f t="shared" si="101"/>
        <v>4.0300140000000004</v>
      </c>
      <c r="H5267" s="38">
        <f>SUM(G5267:G5275)</f>
        <v>1835.392564874498</v>
      </c>
      <c r="I5267" s="39"/>
      <c r="J5267" s="148">
        <v>0</v>
      </c>
      <c r="K5267" s="222">
        <v>0</v>
      </c>
    </row>
    <row r="5268" spans="1:11" ht="63.75" hidden="1" x14ac:dyDescent="0.25">
      <c r="A5268" s="203"/>
      <c r="B5268" s="205"/>
      <c r="C5268" s="35" t="s">
        <v>3185</v>
      </c>
      <c r="D5268" s="35" t="s">
        <v>934</v>
      </c>
      <c r="E5268" s="36">
        <f>ROUND(0.0294*3.33,4)</f>
        <v>9.7900000000000001E-2</v>
      </c>
      <c r="F5268" s="30">
        <v>50.8155</v>
      </c>
      <c r="G5268" s="33">
        <f t="shared" si="101"/>
        <v>4.9748374499999999</v>
      </c>
      <c r="H5268" s="34"/>
      <c r="I5268" s="30"/>
      <c r="J5268" s="148">
        <v>0</v>
      </c>
      <c r="K5268" s="222">
        <v>0</v>
      </c>
    </row>
    <row r="5269" spans="1:11" hidden="1" x14ac:dyDescent="0.25">
      <c r="A5269" s="203"/>
      <c r="B5269" s="205"/>
      <c r="C5269" s="35" t="s">
        <v>3498</v>
      </c>
      <c r="D5269" s="35" t="s">
        <v>278</v>
      </c>
      <c r="E5269" s="36">
        <f>ROUND(169.8027*3.33,4)</f>
        <v>565.44299999999998</v>
      </c>
      <c r="F5269" s="33">
        <v>0.64600000000000002</v>
      </c>
      <c r="G5269" s="30">
        <f t="shared" si="101"/>
        <v>365.27617800000002</v>
      </c>
      <c r="H5269" s="34"/>
      <c r="I5269" s="30"/>
      <c r="J5269" s="148">
        <v>0</v>
      </c>
      <c r="K5269" s="222">
        <v>0</v>
      </c>
    </row>
    <row r="5270" spans="1:11" ht="38.25" hidden="1" x14ac:dyDescent="0.25">
      <c r="A5270" s="203"/>
      <c r="B5270" s="205"/>
      <c r="C5270" s="35" t="s">
        <v>992</v>
      </c>
      <c r="D5270" s="35" t="s">
        <v>119</v>
      </c>
      <c r="E5270" s="36">
        <f>ROUND(0.0014*3.33,4)</f>
        <v>4.7000000000000002E-3</v>
      </c>
      <c r="F5270" s="30">
        <v>557.594803974</v>
      </c>
      <c r="G5270" s="33">
        <f t="shared" si="101"/>
        <v>2.6206955786777999</v>
      </c>
      <c r="H5270" s="34"/>
      <c r="I5270" s="39"/>
      <c r="J5270" s="148">
        <v>0</v>
      </c>
      <c r="K5270" s="222">
        <v>0</v>
      </c>
    </row>
    <row r="5271" spans="1:11" hidden="1" x14ac:dyDescent="0.25">
      <c r="A5271" s="203"/>
      <c r="B5271" s="205"/>
      <c r="C5271" s="35" t="s">
        <v>703</v>
      </c>
      <c r="D5271" s="35" t="s">
        <v>695</v>
      </c>
      <c r="E5271" s="36">
        <f>ROUND(5.4392*3.33,4)</f>
        <v>18.112500000000001</v>
      </c>
      <c r="F5271" s="30">
        <v>24.889999999999997</v>
      </c>
      <c r="G5271" s="33">
        <f t="shared" si="101"/>
        <v>450.82012499999996</v>
      </c>
      <c r="H5271" s="34"/>
      <c r="I5271" s="30"/>
      <c r="J5271" s="148">
        <v>0</v>
      </c>
      <c r="K5271" s="222">
        <v>0</v>
      </c>
    </row>
    <row r="5272" spans="1:11" hidden="1" x14ac:dyDescent="0.25">
      <c r="A5272" s="203"/>
      <c r="B5272" s="205"/>
      <c r="C5272" s="35" t="s">
        <v>696</v>
      </c>
      <c r="D5272" s="35" t="s">
        <v>695</v>
      </c>
      <c r="E5272" s="36">
        <f>ROUND(5.4392*3.33,4)</f>
        <v>18.112500000000001</v>
      </c>
      <c r="F5272" s="33">
        <v>18.420500000000001</v>
      </c>
      <c r="G5272" s="30">
        <f t="shared" si="101"/>
        <v>333.64130625000001</v>
      </c>
      <c r="H5272" s="34"/>
      <c r="I5272" s="30"/>
      <c r="J5272" s="148">
        <v>0</v>
      </c>
      <c r="K5272" s="222">
        <v>0</v>
      </c>
    </row>
    <row r="5273" spans="1:11" ht="25.5" hidden="1" x14ac:dyDescent="0.25">
      <c r="A5273" s="203"/>
      <c r="B5273" s="205"/>
      <c r="C5273" s="35" t="s">
        <v>3212</v>
      </c>
      <c r="D5273" s="35" t="s">
        <v>119</v>
      </c>
      <c r="E5273" s="36">
        <f>ROUND(0.1012*3.33,4)</f>
        <v>0.33700000000000002</v>
      </c>
      <c r="F5273" s="30">
        <v>631.98173465899993</v>
      </c>
      <c r="G5273" s="33">
        <f t="shared" si="101"/>
        <v>212.977844580083</v>
      </c>
      <c r="H5273" s="34"/>
      <c r="I5273" s="39"/>
      <c r="J5273" s="148">
        <v>0</v>
      </c>
      <c r="K5273" s="222">
        <v>0</v>
      </c>
    </row>
    <row r="5274" spans="1:11" ht="25.5" hidden="1" x14ac:dyDescent="0.25">
      <c r="A5274" s="203"/>
      <c r="B5274" s="205"/>
      <c r="C5274" s="35" t="s">
        <v>3201</v>
      </c>
      <c r="D5274" s="35" t="s">
        <v>119</v>
      </c>
      <c r="E5274" s="36">
        <f>ROUND(0.0448*3.33,4)</f>
        <v>0.1492</v>
      </c>
      <c r="F5274" s="30">
        <v>2438.7459780766985</v>
      </c>
      <c r="G5274" s="33">
        <f t="shared" si="101"/>
        <v>363.8608999290434</v>
      </c>
      <c r="H5274" s="34"/>
      <c r="I5274" s="30"/>
      <c r="J5274" s="148">
        <v>0</v>
      </c>
      <c r="K5274" s="222">
        <v>0</v>
      </c>
    </row>
    <row r="5275" spans="1:11" ht="25.5" hidden="1" x14ac:dyDescent="0.25">
      <c r="A5275" s="203"/>
      <c r="B5275" s="205"/>
      <c r="C5275" s="35" t="s">
        <v>3673</v>
      </c>
      <c r="D5275" s="35" t="s">
        <v>119</v>
      </c>
      <c r="E5275" s="36">
        <f>ROUND(0.081*3.33,4)</f>
        <v>0.2697</v>
      </c>
      <c r="F5275" s="33">
        <v>360.36582901999998</v>
      </c>
      <c r="G5275" s="30">
        <f t="shared" si="101"/>
        <v>97.190664086693999</v>
      </c>
      <c r="H5275" s="34"/>
      <c r="I5275" s="30"/>
      <c r="J5275" s="148">
        <v>0</v>
      </c>
      <c r="K5275" s="222">
        <v>0</v>
      </c>
    </row>
    <row r="5276" spans="1:11" ht="15.75" hidden="1" thickBot="1" x14ac:dyDescent="0.3">
      <c r="A5276" s="209"/>
      <c r="B5276" s="206"/>
      <c r="C5276" s="35"/>
      <c r="D5276" s="35"/>
      <c r="E5276" s="36"/>
      <c r="F5276" s="30" t="s">
        <v>514</v>
      </c>
      <c r="G5276" s="30" t="str">
        <f t="shared" si="101"/>
        <v/>
      </c>
      <c r="H5276" s="34"/>
      <c r="I5276" s="30"/>
      <c r="J5276" s="148">
        <v>0</v>
      </c>
      <c r="K5276" s="222">
        <v>0</v>
      </c>
    </row>
    <row r="5277" spans="1:11" ht="15.75" hidden="1" thickBot="1" x14ac:dyDescent="0.3">
      <c r="A5277" s="202" t="s">
        <v>3643</v>
      </c>
      <c r="B5277" s="204" t="str">
        <f>INDEX(Orçamentária!A:B,MATCH(Composições!A5277,Orçamentária!A:A,0),2)</f>
        <v>Projeto Executivo de Rede de Telecomunicações Backbone</v>
      </c>
      <c r="C5277" s="40"/>
      <c r="D5277" s="25" t="str">
        <f>TRIM(INDEX(Orçamentária!C:C,MATCH(Composições!A5277,Orçamentária!A:A,0),1))</f>
        <v>un</v>
      </c>
      <c r="E5277" s="26"/>
      <c r="F5277" s="41" t="s">
        <v>514</v>
      </c>
      <c r="G5277" s="27" t="str">
        <f t="shared" si="101"/>
        <v/>
      </c>
      <c r="H5277" s="28"/>
      <c r="I5277" s="29"/>
      <c r="J5277" s="148">
        <v>0</v>
      </c>
      <c r="K5277" s="222">
        <v>0</v>
      </c>
    </row>
    <row r="5278" spans="1:11" hidden="1" x14ac:dyDescent="0.25">
      <c r="A5278" s="203"/>
      <c r="B5278" s="205"/>
      <c r="C5278" s="31"/>
      <c r="D5278" s="31"/>
      <c r="E5278" s="32"/>
      <c r="F5278" s="42" t="s">
        <v>514</v>
      </c>
      <c r="G5278" s="30" t="str">
        <f t="shared" si="101"/>
        <v/>
      </c>
      <c r="H5278" s="34"/>
      <c r="I5278" s="30"/>
      <c r="J5278" s="148">
        <v>0</v>
      </c>
      <c r="K5278" s="222">
        <v>0</v>
      </c>
    </row>
    <row r="5279" spans="1:11" hidden="1" x14ac:dyDescent="0.25">
      <c r="A5279" s="203"/>
      <c r="B5279" s="205"/>
      <c r="C5279" s="35" t="s">
        <v>18</v>
      </c>
      <c r="D5279" s="35" t="s">
        <v>695</v>
      </c>
      <c r="E5279" s="36">
        <v>40</v>
      </c>
      <c r="F5279" s="30">
        <v>109.45899999999999</v>
      </c>
      <c r="G5279" s="33">
        <f t="shared" si="101"/>
        <v>4378.3599999999997</v>
      </c>
      <c r="H5279" s="38">
        <f>SUM(G5279:G5283)</f>
        <v>5491.8099999999986</v>
      </c>
      <c r="I5279" s="39"/>
      <c r="J5279" s="148">
        <v>0</v>
      </c>
      <c r="K5279" s="222">
        <v>0</v>
      </c>
    </row>
    <row r="5280" spans="1:11" hidden="1" x14ac:dyDescent="0.25">
      <c r="A5280" s="203"/>
      <c r="B5280" s="205"/>
      <c r="C5280" s="35" t="s">
        <v>3222</v>
      </c>
      <c r="D5280" s="35" t="s">
        <v>12</v>
      </c>
      <c r="E5280" s="36">
        <v>20</v>
      </c>
      <c r="F5280" s="30">
        <v>14.725</v>
      </c>
      <c r="G5280" s="33">
        <f t="shared" si="101"/>
        <v>294.5</v>
      </c>
      <c r="H5280" s="34"/>
      <c r="I5280" s="30"/>
      <c r="J5280" s="148">
        <v>0</v>
      </c>
      <c r="K5280" s="222">
        <v>0</v>
      </c>
    </row>
    <row r="5281" spans="1:11" hidden="1" x14ac:dyDescent="0.25">
      <c r="A5281" s="203"/>
      <c r="B5281" s="205"/>
      <c r="C5281" s="35" t="s">
        <v>3224</v>
      </c>
      <c r="D5281" s="35" t="s">
        <v>12</v>
      </c>
      <c r="E5281" s="36">
        <v>20</v>
      </c>
      <c r="F5281" s="30">
        <v>19.617499999999996</v>
      </c>
      <c r="G5281" s="33">
        <f t="shared" si="101"/>
        <v>392.34999999999991</v>
      </c>
      <c r="H5281" s="34"/>
      <c r="I5281" s="30"/>
      <c r="J5281" s="148">
        <v>0</v>
      </c>
      <c r="K5281" s="222">
        <v>0</v>
      </c>
    </row>
    <row r="5282" spans="1:11" hidden="1" x14ac:dyDescent="0.25">
      <c r="A5282" s="203"/>
      <c r="B5282" s="205"/>
      <c r="C5282" s="35" t="s">
        <v>3216</v>
      </c>
      <c r="D5282" s="35" t="s">
        <v>12</v>
      </c>
      <c r="E5282" s="36">
        <v>20</v>
      </c>
      <c r="F5282" s="30">
        <v>9.6330000000000009</v>
      </c>
      <c r="G5282" s="33">
        <f t="shared" si="101"/>
        <v>192.66000000000003</v>
      </c>
      <c r="H5282" s="34"/>
      <c r="I5282" s="30"/>
      <c r="J5282" s="148">
        <v>0</v>
      </c>
      <c r="K5282" s="222">
        <v>0</v>
      </c>
    </row>
    <row r="5283" spans="1:11" hidden="1" x14ac:dyDescent="0.25">
      <c r="A5283" s="203"/>
      <c r="B5283" s="205"/>
      <c r="C5283" s="35" t="s">
        <v>19</v>
      </c>
      <c r="D5283" s="35" t="s">
        <v>20</v>
      </c>
      <c r="E5283" s="36">
        <v>1</v>
      </c>
      <c r="F5283" s="33">
        <v>233.94</v>
      </c>
      <c r="G5283" s="30">
        <f t="shared" si="101"/>
        <v>233.94</v>
      </c>
      <c r="H5283" s="34"/>
      <c r="I5283" s="30"/>
      <c r="J5283" s="148">
        <v>0</v>
      </c>
      <c r="K5283" s="222">
        <v>0</v>
      </c>
    </row>
    <row r="5284" spans="1:11" ht="15.75" hidden="1" thickBot="1" x14ac:dyDescent="0.3">
      <c r="A5284" s="209"/>
      <c r="B5284" s="206"/>
      <c r="C5284" s="35"/>
      <c r="D5284" s="35"/>
      <c r="E5284" s="36"/>
      <c r="F5284" s="30" t="s">
        <v>514</v>
      </c>
      <c r="G5284" s="30" t="str">
        <f t="shared" si="101"/>
        <v/>
      </c>
      <c r="H5284" s="34"/>
      <c r="I5284" s="30"/>
      <c r="J5284" s="148">
        <v>0</v>
      </c>
      <c r="K5284" s="222">
        <v>0</v>
      </c>
    </row>
    <row r="5285" spans="1:11" ht="15.75" hidden="1" thickBot="1" x14ac:dyDescent="0.3">
      <c r="A5285" s="202" t="s">
        <v>3645</v>
      </c>
      <c r="B5285" s="204" t="str">
        <f>INDEX(Orçamentária!A:B,MATCH(Composições!A5285,Orçamentária!A:A,0),2)</f>
        <v>Eletroduto PEAD 2”</v>
      </c>
      <c r="C5285" s="40"/>
      <c r="D5285" s="25" t="str">
        <f>TRIM(INDEX(Orçamentária!C:C,MATCH(Composições!A5285,Orçamentária!A:A,0),1))</f>
        <v>m</v>
      </c>
      <c r="E5285" s="26"/>
      <c r="F5285" s="41" t="s">
        <v>514</v>
      </c>
      <c r="G5285" s="27" t="str">
        <f t="shared" si="101"/>
        <v/>
      </c>
      <c r="H5285" s="28"/>
      <c r="I5285" s="29"/>
      <c r="J5285" s="148">
        <v>400</v>
      </c>
      <c r="K5285" s="222" t="s">
        <v>8074</v>
      </c>
    </row>
    <row r="5286" spans="1:11" hidden="1" x14ac:dyDescent="0.25">
      <c r="A5286" s="203"/>
      <c r="B5286" s="205"/>
      <c r="C5286" s="31"/>
      <c r="D5286" s="31"/>
      <c r="E5286" s="32"/>
      <c r="F5286" s="42" t="s">
        <v>514</v>
      </c>
      <c r="G5286" s="30" t="str">
        <f t="shared" si="101"/>
        <v/>
      </c>
      <c r="H5286" s="34"/>
      <c r="I5286" s="30"/>
      <c r="J5286" s="148">
        <v>400</v>
      </c>
      <c r="K5286" s="222" t="s">
        <v>8074</v>
      </c>
    </row>
    <row r="5287" spans="1:11" ht="38.25" hidden="1" x14ac:dyDescent="0.25">
      <c r="A5287" s="203"/>
      <c r="B5287" s="205"/>
      <c r="C5287" s="35" t="s">
        <v>6618</v>
      </c>
      <c r="D5287" s="35" t="s">
        <v>473</v>
      </c>
      <c r="E5287" s="36">
        <v>1.1000000000000001</v>
      </c>
      <c r="F5287" s="30">
        <v>6.6879999999999997</v>
      </c>
      <c r="G5287" s="33">
        <f t="shared" si="101"/>
        <v>7.3568000000000007</v>
      </c>
      <c r="H5287" s="38">
        <f>SUM(G5287:G5289)</f>
        <v>11.567247500000001</v>
      </c>
      <c r="I5287" s="39"/>
      <c r="J5287" s="148">
        <v>400</v>
      </c>
      <c r="K5287" s="222" t="s">
        <v>8074</v>
      </c>
    </row>
    <row r="5288" spans="1:11" hidden="1" x14ac:dyDescent="0.25">
      <c r="A5288" s="203"/>
      <c r="B5288" s="205"/>
      <c r="C5288" s="35" t="s">
        <v>1150</v>
      </c>
      <c r="D5288" s="35" t="s">
        <v>695</v>
      </c>
      <c r="E5288" s="36">
        <v>9.4500000000000001E-2</v>
      </c>
      <c r="F5288" s="30">
        <v>19.4085</v>
      </c>
      <c r="G5288" s="33">
        <f t="shared" si="101"/>
        <v>1.8341032500000001</v>
      </c>
      <c r="H5288" s="34"/>
      <c r="I5288" s="30"/>
      <c r="J5288" s="148">
        <v>400</v>
      </c>
      <c r="K5288" s="222" t="s">
        <v>8074</v>
      </c>
    </row>
    <row r="5289" spans="1:11" hidden="1" x14ac:dyDescent="0.25">
      <c r="A5289" s="203"/>
      <c r="B5289" s="205"/>
      <c r="C5289" s="35" t="s">
        <v>1151</v>
      </c>
      <c r="D5289" s="35" t="s">
        <v>695</v>
      </c>
      <c r="E5289" s="36">
        <v>9.4500000000000001E-2</v>
      </c>
      <c r="F5289" s="33">
        <v>25.146499999999996</v>
      </c>
      <c r="G5289" s="30">
        <f t="shared" si="101"/>
        <v>2.3763442499999998</v>
      </c>
      <c r="H5289" s="34"/>
      <c r="I5289" s="30"/>
      <c r="J5289" s="148">
        <v>400</v>
      </c>
      <c r="K5289" s="222" t="s">
        <v>8074</v>
      </c>
    </row>
    <row r="5290" spans="1:11" ht="15.75" hidden="1" thickBot="1" x14ac:dyDescent="0.3">
      <c r="A5290" s="209"/>
      <c r="B5290" s="206"/>
      <c r="C5290" s="35"/>
      <c r="D5290" s="35"/>
      <c r="E5290" s="36"/>
      <c r="F5290" s="30" t="s">
        <v>514</v>
      </c>
      <c r="G5290" s="30" t="str">
        <f t="shared" si="101"/>
        <v/>
      </c>
      <c r="H5290" s="34"/>
      <c r="I5290" s="30"/>
      <c r="J5290" s="148">
        <v>400</v>
      </c>
      <c r="K5290" s="222" t="s">
        <v>8074</v>
      </c>
    </row>
    <row r="5291" spans="1:11" ht="15.75" hidden="1" thickBot="1" x14ac:dyDescent="0.3">
      <c r="A5291" s="202" t="s">
        <v>3651</v>
      </c>
      <c r="B5291" s="204" t="str">
        <f>INDEX(Orçamentária!A:B,MATCH(Composições!A5291,Orçamentária!A:A,0),2)</f>
        <v>Tampa em Ferro Fundido - Circular DN-600 mm Classe 400</v>
      </c>
      <c r="C5291" s="40"/>
      <c r="D5291" s="25" t="str">
        <f>TRIM(INDEX(Orçamentária!C:C,MATCH(Composições!A5291,Orçamentária!A:A,0),1))</f>
        <v>un</v>
      </c>
      <c r="E5291" s="26"/>
      <c r="F5291" s="48" t="s">
        <v>514</v>
      </c>
      <c r="G5291" s="27" t="str">
        <f t="shared" si="101"/>
        <v/>
      </c>
      <c r="H5291" s="28"/>
      <c r="I5291" s="29"/>
      <c r="J5291" s="148">
        <v>0</v>
      </c>
      <c r="K5291" s="222">
        <v>0</v>
      </c>
    </row>
    <row r="5292" spans="1:11" hidden="1" x14ac:dyDescent="0.25">
      <c r="A5292" s="207"/>
      <c r="B5292" s="205"/>
      <c r="C5292" s="31"/>
      <c r="D5292" s="31"/>
      <c r="E5292" s="32"/>
      <c r="F5292" s="53" t="s">
        <v>514</v>
      </c>
      <c r="G5292" s="53" t="str">
        <f t="shared" si="101"/>
        <v/>
      </c>
      <c r="H5292" s="72"/>
      <c r="I5292" s="73"/>
      <c r="J5292" s="148">
        <v>0</v>
      </c>
      <c r="K5292" s="222">
        <v>0</v>
      </c>
    </row>
    <row r="5293" spans="1:11" ht="38.25" hidden="1" x14ac:dyDescent="0.25">
      <c r="A5293" s="207"/>
      <c r="B5293" s="205"/>
      <c r="C5293" s="35" t="s">
        <v>7762</v>
      </c>
      <c r="D5293" s="35" t="s">
        <v>278</v>
      </c>
      <c r="E5293" s="36">
        <v>1</v>
      </c>
      <c r="F5293" s="30">
        <v>826.4905</v>
      </c>
      <c r="G5293" s="53">
        <f t="shared" si="101"/>
        <v>826.4905</v>
      </c>
      <c r="H5293" s="38">
        <f>SUM(G5293:G5296)</f>
        <v>868.98467098249967</v>
      </c>
      <c r="I5293" s="39"/>
      <c r="J5293" s="148">
        <v>0</v>
      </c>
      <c r="K5293" s="222">
        <v>0</v>
      </c>
    </row>
    <row r="5294" spans="1:11" hidden="1" x14ac:dyDescent="0.25">
      <c r="A5294" s="207"/>
      <c r="B5294" s="205"/>
      <c r="C5294" s="35" t="s">
        <v>703</v>
      </c>
      <c r="D5294" s="35" t="s">
        <v>695</v>
      </c>
      <c r="E5294" s="36">
        <v>1.0088999999999999</v>
      </c>
      <c r="F5294" s="30">
        <v>24.889999999999997</v>
      </c>
      <c r="G5294" s="53">
        <f t="shared" ref="G5294:G5357" si="102">IF(ISNUMBER(F5294),E5294*F5294,"")</f>
        <v>25.111520999999996</v>
      </c>
      <c r="H5294" s="72"/>
      <c r="I5294" s="73"/>
      <c r="J5294" s="148">
        <v>0</v>
      </c>
      <c r="K5294" s="222">
        <v>0</v>
      </c>
    </row>
    <row r="5295" spans="1:11" hidden="1" x14ac:dyDescent="0.25">
      <c r="A5295" s="207"/>
      <c r="B5295" s="205"/>
      <c r="C5295" s="35" t="s">
        <v>696</v>
      </c>
      <c r="D5295" s="46" t="s">
        <v>695</v>
      </c>
      <c r="E5295" s="36">
        <v>0.79269999999999996</v>
      </c>
      <c r="F5295" s="30">
        <v>18.420500000000001</v>
      </c>
      <c r="G5295" s="53">
        <f t="shared" si="102"/>
        <v>14.60193035</v>
      </c>
      <c r="H5295" s="72"/>
      <c r="I5295" s="73"/>
      <c r="J5295" s="148">
        <v>0</v>
      </c>
      <c r="K5295" s="222">
        <v>0</v>
      </c>
    </row>
    <row r="5296" spans="1:11" ht="25.5" hidden="1" x14ac:dyDescent="0.25">
      <c r="A5296" s="207"/>
      <c r="B5296" s="205"/>
      <c r="C5296" s="35" t="s">
        <v>3212</v>
      </c>
      <c r="D5296" s="35" t="s">
        <v>119</v>
      </c>
      <c r="E5296" s="36">
        <v>4.4000000000000003E-3</v>
      </c>
      <c r="F5296" s="30">
        <v>631.98173465899993</v>
      </c>
      <c r="G5296" s="53">
        <f t="shared" si="102"/>
        <v>2.7807196324995997</v>
      </c>
      <c r="H5296" s="72"/>
      <c r="I5296" s="73"/>
      <c r="J5296" s="148">
        <v>0</v>
      </c>
      <c r="K5296" s="222">
        <v>0</v>
      </c>
    </row>
    <row r="5297" spans="1:11" ht="15.75" hidden="1" thickBot="1" x14ac:dyDescent="0.3">
      <c r="A5297" s="208"/>
      <c r="B5297" s="206"/>
      <c r="C5297" s="54"/>
      <c r="D5297" s="150"/>
      <c r="E5297" s="65"/>
      <c r="F5297" s="75" t="s">
        <v>514</v>
      </c>
      <c r="G5297" s="75" t="str">
        <f t="shared" si="102"/>
        <v/>
      </c>
      <c r="H5297" s="76"/>
      <c r="I5297" s="73"/>
      <c r="J5297" s="148">
        <v>0</v>
      </c>
      <c r="K5297" s="222">
        <v>0</v>
      </c>
    </row>
    <row r="5298" spans="1:11" ht="15.75" hidden="1" thickBot="1" x14ac:dyDescent="0.3">
      <c r="A5298" s="202" t="s">
        <v>3693</v>
      </c>
      <c r="B5298" s="204" t="str">
        <f>INDEX(Orçamentária!A:B,MATCH(Composições!A5298,Orçamentária!A:A,0),2)</f>
        <v>Tubo multicamadas flexível 20 mm para gás</v>
      </c>
      <c r="C5298" s="40"/>
      <c r="D5298" s="25" t="str">
        <f>TRIM(INDEX(Orçamentária!C:C,MATCH(Composições!A5298,Orçamentária!A:A,0),1))</f>
        <v>m</v>
      </c>
      <c r="E5298" s="26"/>
      <c r="F5298" s="48" t="s">
        <v>514</v>
      </c>
      <c r="G5298" s="27" t="str">
        <f t="shared" si="102"/>
        <v/>
      </c>
      <c r="H5298" s="28"/>
      <c r="I5298" s="29"/>
      <c r="J5298" s="148">
        <v>0</v>
      </c>
      <c r="K5298" s="222">
        <v>0</v>
      </c>
    </row>
    <row r="5299" spans="1:11" hidden="1" x14ac:dyDescent="0.25">
      <c r="A5299" s="207"/>
      <c r="B5299" s="205"/>
      <c r="C5299" s="31"/>
      <c r="D5299" s="31"/>
      <c r="E5299" s="32"/>
      <c r="F5299" s="53" t="s">
        <v>514</v>
      </c>
      <c r="G5299" s="53" t="str">
        <f t="shared" si="102"/>
        <v/>
      </c>
      <c r="H5299" s="72"/>
      <c r="I5299" s="73"/>
      <c r="J5299" s="148">
        <v>0</v>
      </c>
      <c r="K5299" s="222">
        <v>0</v>
      </c>
    </row>
    <row r="5300" spans="1:11" ht="25.5" hidden="1" x14ac:dyDescent="0.25">
      <c r="A5300" s="207"/>
      <c r="B5300" s="205"/>
      <c r="C5300" s="35" t="s">
        <v>3369</v>
      </c>
      <c r="D5300" s="35" t="s">
        <v>473</v>
      </c>
      <c r="E5300" s="36">
        <v>1.0216000000000001</v>
      </c>
      <c r="F5300" s="30">
        <v>18.971499999999999</v>
      </c>
      <c r="G5300" s="53">
        <f t="shared" si="102"/>
        <v>19.381284399999998</v>
      </c>
      <c r="H5300" s="38">
        <f>SUM(G5300:G5302)</f>
        <v>27.504525399999999</v>
      </c>
      <c r="I5300" s="39"/>
      <c r="J5300" s="148">
        <v>0</v>
      </c>
      <c r="K5300" s="222">
        <v>0</v>
      </c>
    </row>
    <row r="5301" spans="1:11" ht="25.5" hidden="1" x14ac:dyDescent="0.25">
      <c r="A5301" s="207"/>
      <c r="B5301" s="205"/>
      <c r="C5301" s="35" t="s">
        <v>943</v>
      </c>
      <c r="D5301" s="46" t="s">
        <v>695</v>
      </c>
      <c r="E5301" s="36">
        <v>8.1799999999999998E-2</v>
      </c>
      <c r="F5301" s="30">
        <v>19.094999999999999</v>
      </c>
      <c r="G5301" s="53">
        <f t="shared" si="102"/>
        <v>1.5619709999999998</v>
      </c>
      <c r="H5301" s="72"/>
      <c r="I5301" s="73"/>
      <c r="J5301" s="148">
        <v>0</v>
      </c>
      <c r="K5301" s="222">
        <v>0</v>
      </c>
    </row>
    <row r="5302" spans="1:11" ht="25.5" hidden="1" x14ac:dyDescent="0.25">
      <c r="A5302" s="207"/>
      <c r="B5302" s="205"/>
      <c r="C5302" s="35" t="s">
        <v>944</v>
      </c>
      <c r="D5302" s="35" t="s">
        <v>695</v>
      </c>
      <c r="E5302" s="36">
        <v>0.27</v>
      </c>
      <c r="F5302" s="30">
        <v>24.300999999999998</v>
      </c>
      <c r="G5302" s="53">
        <f t="shared" si="102"/>
        <v>6.5612700000000004</v>
      </c>
      <c r="H5302" s="72"/>
      <c r="I5302" s="73"/>
      <c r="J5302" s="148">
        <v>0</v>
      </c>
      <c r="K5302" s="222">
        <v>0</v>
      </c>
    </row>
    <row r="5303" spans="1:11" hidden="1" x14ac:dyDescent="0.25">
      <c r="A5303" s="207"/>
      <c r="B5303" s="205"/>
      <c r="C5303" s="35"/>
      <c r="D5303" s="46"/>
      <c r="E5303" s="36"/>
      <c r="F5303" s="53" t="s">
        <v>514</v>
      </c>
      <c r="G5303" s="53" t="str">
        <f t="shared" si="102"/>
        <v/>
      </c>
      <c r="H5303" s="72"/>
      <c r="I5303" s="73"/>
      <c r="J5303" s="148">
        <v>0</v>
      </c>
      <c r="K5303" s="222">
        <v>0</v>
      </c>
    </row>
    <row r="5304" spans="1:11" ht="15.75" hidden="1" thickBot="1" x14ac:dyDescent="0.3">
      <c r="A5304" s="202" t="s">
        <v>3694</v>
      </c>
      <c r="B5304" s="204" t="str">
        <f>INDEX(Orçamentária!A:B,MATCH(Composições!A5304,Orçamentária!A:A,0),2)</f>
        <v>Tubo multicamadas flexível 26 mm para gás</v>
      </c>
      <c r="C5304" s="40"/>
      <c r="D5304" s="25" t="str">
        <f>TRIM(INDEX(Orçamentária!C:C,MATCH(Composições!A5304,Orçamentária!A:A,0),1))</f>
        <v>m</v>
      </c>
      <c r="E5304" s="26"/>
      <c r="F5304" s="48" t="s">
        <v>514</v>
      </c>
      <c r="G5304" s="27" t="str">
        <f t="shared" si="102"/>
        <v/>
      </c>
      <c r="H5304" s="28"/>
      <c r="I5304" s="29"/>
      <c r="J5304" s="148">
        <v>0</v>
      </c>
      <c r="K5304" s="222">
        <v>0</v>
      </c>
    </row>
    <row r="5305" spans="1:11" hidden="1" x14ac:dyDescent="0.25">
      <c r="A5305" s="207"/>
      <c r="B5305" s="205"/>
      <c r="C5305" s="31"/>
      <c r="D5305" s="31"/>
      <c r="E5305" s="32"/>
      <c r="F5305" s="53" t="s">
        <v>514</v>
      </c>
      <c r="G5305" s="53" t="str">
        <f t="shared" si="102"/>
        <v/>
      </c>
      <c r="H5305" s="72"/>
      <c r="I5305" s="73"/>
      <c r="J5305" s="148">
        <v>0</v>
      </c>
      <c r="K5305" s="222">
        <v>0</v>
      </c>
    </row>
    <row r="5306" spans="1:11" ht="25.5" hidden="1" x14ac:dyDescent="0.25">
      <c r="A5306" s="207"/>
      <c r="B5306" s="205"/>
      <c r="C5306" s="35" t="s">
        <v>3368</v>
      </c>
      <c r="D5306" s="35" t="s">
        <v>473</v>
      </c>
      <c r="E5306" s="36">
        <v>1.0216000000000001</v>
      </c>
      <c r="F5306" s="30">
        <v>26.267499999999998</v>
      </c>
      <c r="G5306" s="53">
        <f t="shared" si="102"/>
        <v>26.834878</v>
      </c>
      <c r="H5306" s="38">
        <f>SUM(G5306:G5308)</f>
        <v>36.553501500000003</v>
      </c>
      <c r="I5306" s="39"/>
      <c r="J5306" s="148">
        <v>0</v>
      </c>
      <c r="K5306" s="222">
        <v>0</v>
      </c>
    </row>
    <row r="5307" spans="1:11" ht="25.5" hidden="1" x14ac:dyDescent="0.25">
      <c r="A5307" s="207"/>
      <c r="B5307" s="205"/>
      <c r="C5307" s="35" t="s">
        <v>943</v>
      </c>
      <c r="D5307" s="46" t="s">
        <v>695</v>
      </c>
      <c r="E5307" s="36">
        <v>9.7900000000000001E-2</v>
      </c>
      <c r="F5307" s="30">
        <v>19.094999999999999</v>
      </c>
      <c r="G5307" s="53">
        <f t="shared" si="102"/>
        <v>1.8694004999999998</v>
      </c>
      <c r="H5307" s="72"/>
      <c r="I5307" s="73"/>
      <c r="J5307" s="148">
        <v>0</v>
      </c>
      <c r="K5307" s="222">
        <v>0</v>
      </c>
    </row>
    <row r="5308" spans="1:11" ht="25.5" hidden="1" x14ac:dyDescent="0.25">
      <c r="A5308" s="207"/>
      <c r="B5308" s="205"/>
      <c r="C5308" s="35" t="s">
        <v>944</v>
      </c>
      <c r="D5308" s="35" t="s">
        <v>695</v>
      </c>
      <c r="E5308" s="36">
        <v>0.32300000000000001</v>
      </c>
      <c r="F5308" s="30">
        <v>24.300999999999998</v>
      </c>
      <c r="G5308" s="53">
        <f t="shared" si="102"/>
        <v>7.8492229999999994</v>
      </c>
      <c r="H5308" s="72"/>
      <c r="I5308" s="73"/>
      <c r="J5308" s="148">
        <v>0</v>
      </c>
      <c r="K5308" s="222">
        <v>0</v>
      </c>
    </row>
    <row r="5309" spans="1:11" ht="15.75" hidden="1" thickBot="1" x14ac:dyDescent="0.3">
      <c r="A5309" s="208"/>
      <c r="B5309" s="206"/>
      <c r="C5309" s="54"/>
      <c r="D5309" s="150"/>
      <c r="E5309" s="65"/>
      <c r="F5309" s="75" t="s">
        <v>514</v>
      </c>
      <c r="G5309" s="75" t="str">
        <f t="shared" si="102"/>
        <v/>
      </c>
      <c r="H5309" s="76"/>
      <c r="I5309" s="73"/>
      <c r="J5309" s="148">
        <v>0</v>
      </c>
      <c r="K5309" s="222">
        <v>0</v>
      </c>
    </row>
    <row r="5310" spans="1:11" ht="15.75" hidden="1" thickBot="1" x14ac:dyDescent="0.3">
      <c r="A5310" s="202" t="s">
        <v>3740</v>
      </c>
      <c r="B5310" s="204" t="str">
        <f>INDEX(Orçamentária!A:B,MATCH(Composições!A5310,Orçamentária!A:A,0),2)</f>
        <v>Bloco autônomo de emergência 1000 lumens – fornecimento e instalação</v>
      </c>
      <c r="C5310" s="40"/>
      <c r="D5310" s="25" t="str">
        <f>TRIM(INDEX(Orçamentária!C:C,MATCH(Composições!A5310,Orçamentária!A:A,0),1))</f>
        <v>un</v>
      </c>
      <c r="E5310" s="26"/>
      <c r="F5310" s="48" t="s">
        <v>514</v>
      </c>
      <c r="G5310" s="27" t="str">
        <f t="shared" si="102"/>
        <v/>
      </c>
      <c r="H5310" s="28"/>
      <c r="I5310" s="29"/>
      <c r="J5310" s="148">
        <v>0</v>
      </c>
      <c r="K5310" s="222">
        <v>0</v>
      </c>
    </row>
    <row r="5311" spans="1:11" hidden="1" x14ac:dyDescent="0.25">
      <c r="A5311" s="207"/>
      <c r="B5311" s="205"/>
      <c r="C5311" s="31"/>
      <c r="D5311" s="31"/>
      <c r="E5311" s="32"/>
      <c r="F5311" s="53" t="s">
        <v>514</v>
      </c>
      <c r="G5311" s="53" t="str">
        <f t="shared" si="102"/>
        <v/>
      </c>
      <c r="H5311" s="72"/>
      <c r="I5311" s="73"/>
      <c r="J5311" s="148">
        <v>0</v>
      </c>
      <c r="K5311" s="222">
        <v>0</v>
      </c>
    </row>
    <row r="5312" spans="1:11" hidden="1" x14ac:dyDescent="0.25">
      <c r="A5312" s="207"/>
      <c r="B5312" s="205"/>
      <c r="C5312" s="35" t="s">
        <v>6387</v>
      </c>
      <c r="D5312" s="35" t="s">
        <v>278</v>
      </c>
      <c r="E5312" s="36">
        <v>1</v>
      </c>
      <c r="F5312" s="30" t="s">
        <v>514</v>
      </c>
      <c r="G5312" s="53" t="str">
        <f t="shared" si="102"/>
        <v/>
      </c>
      <c r="H5312" s="38">
        <f>SUM(G5312:G5314)</f>
        <v>5.9655525499999991</v>
      </c>
      <c r="I5312" s="39"/>
      <c r="J5312" s="148">
        <v>0</v>
      </c>
      <c r="K5312" s="222">
        <v>0</v>
      </c>
    </row>
    <row r="5313" spans="1:11" hidden="1" x14ac:dyDescent="0.25">
      <c r="A5313" s="207"/>
      <c r="B5313" s="205"/>
      <c r="C5313" s="35" t="s">
        <v>1150</v>
      </c>
      <c r="D5313" s="46" t="s">
        <v>695</v>
      </c>
      <c r="E5313" s="36">
        <v>7.4800000000000005E-2</v>
      </c>
      <c r="F5313" s="30">
        <v>19.4085</v>
      </c>
      <c r="G5313" s="53">
        <f t="shared" si="102"/>
        <v>1.4517558000000002</v>
      </c>
      <c r="H5313" s="72"/>
      <c r="I5313" s="73"/>
      <c r="J5313" s="148">
        <v>0</v>
      </c>
      <c r="K5313" s="222">
        <v>0</v>
      </c>
    </row>
    <row r="5314" spans="1:11" hidden="1" x14ac:dyDescent="0.25">
      <c r="A5314" s="207"/>
      <c r="B5314" s="205"/>
      <c r="C5314" s="35" t="s">
        <v>1151</v>
      </c>
      <c r="D5314" s="35" t="s">
        <v>695</v>
      </c>
      <c r="E5314" s="36">
        <v>0.17949999999999999</v>
      </c>
      <c r="F5314" s="30">
        <v>25.146499999999996</v>
      </c>
      <c r="G5314" s="53">
        <f t="shared" si="102"/>
        <v>4.5137967499999991</v>
      </c>
      <c r="H5314" s="72"/>
      <c r="I5314" s="73"/>
      <c r="J5314" s="148">
        <v>0</v>
      </c>
      <c r="K5314" s="222">
        <v>0</v>
      </c>
    </row>
    <row r="5315" spans="1:11" ht="15.75" hidden="1" thickBot="1" x14ac:dyDescent="0.3">
      <c r="A5315" s="208"/>
      <c r="B5315" s="206"/>
      <c r="C5315" s="54"/>
      <c r="D5315" s="150"/>
      <c r="E5315" s="65"/>
      <c r="F5315" s="75" t="s">
        <v>514</v>
      </c>
      <c r="G5315" s="75" t="str">
        <f t="shared" si="102"/>
        <v/>
      </c>
      <c r="H5315" s="76"/>
      <c r="I5315" s="73"/>
      <c r="J5315" s="148">
        <v>0</v>
      </c>
      <c r="K5315" s="222">
        <v>0</v>
      </c>
    </row>
    <row r="5316" spans="1:11" ht="15.75" hidden="1" thickBot="1" x14ac:dyDescent="0.3">
      <c r="A5316" s="202" t="s">
        <v>3741</v>
      </c>
      <c r="B5316" s="204" t="str">
        <f>INDEX(Orçamentária!A:B,MATCH(Composições!A5316,Orçamentária!A:A,0),2)</f>
        <v>Cabo Ethernet blindado</v>
      </c>
      <c r="C5316" s="40"/>
      <c r="D5316" s="25" t="str">
        <f>TRIM(INDEX(Orçamentária!C:C,MATCH(Composições!A5316,Orçamentária!A:A,0),1))</f>
        <v>m</v>
      </c>
      <c r="E5316" s="26"/>
      <c r="F5316" s="48" t="s">
        <v>514</v>
      </c>
      <c r="G5316" s="27" t="str">
        <f t="shared" si="102"/>
        <v/>
      </c>
      <c r="H5316" s="28"/>
      <c r="I5316" s="29"/>
      <c r="J5316" s="148">
        <v>0</v>
      </c>
      <c r="K5316" s="222">
        <v>0</v>
      </c>
    </row>
    <row r="5317" spans="1:11" hidden="1" x14ac:dyDescent="0.25">
      <c r="A5317" s="207"/>
      <c r="B5317" s="205"/>
      <c r="C5317" s="31"/>
      <c r="D5317" s="31"/>
      <c r="E5317" s="32"/>
      <c r="F5317" s="53" t="s">
        <v>514</v>
      </c>
      <c r="G5317" s="53" t="str">
        <f t="shared" si="102"/>
        <v/>
      </c>
      <c r="H5317" s="72"/>
      <c r="I5317" s="73"/>
      <c r="J5317" s="148">
        <v>0</v>
      </c>
      <c r="K5317" s="222">
        <v>0</v>
      </c>
    </row>
    <row r="5318" spans="1:11" hidden="1" x14ac:dyDescent="0.25">
      <c r="A5318" s="207"/>
      <c r="B5318" s="205"/>
      <c r="C5318" s="35" t="s">
        <v>6388</v>
      </c>
      <c r="D5318" s="35" t="s">
        <v>92</v>
      </c>
      <c r="E5318" s="36">
        <v>1.05</v>
      </c>
      <c r="F5318" s="30" t="s">
        <v>514</v>
      </c>
      <c r="G5318" s="53" t="str">
        <f t="shared" si="102"/>
        <v/>
      </c>
      <c r="H5318" s="38">
        <f>SUM(G5318:G5320)</f>
        <v>0.12475399999999999</v>
      </c>
      <c r="I5318" s="39"/>
      <c r="J5318" s="148">
        <v>0</v>
      </c>
      <c r="K5318" s="222">
        <v>0</v>
      </c>
    </row>
    <row r="5319" spans="1:11" hidden="1" x14ac:dyDescent="0.25">
      <c r="A5319" s="207"/>
      <c r="B5319" s="205"/>
      <c r="C5319" s="35" t="s">
        <v>1150</v>
      </c>
      <c r="D5319" s="46" t="s">
        <v>695</v>
      </c>
      <c r="E5319" s="36">
        <v>2.8E-3</v>
      </c>
      <c r="F5319" s="30">
        <v>19.4085</v>
      </c>
      <c r="G5319" s="53">
        <f t="shared" si="102"/>
        <v>5.4343799999999998E-2</v>
      </c>
      <c r="H5319" s="72"/>
      <c r="I5319" s="73"/>
      <c r="J5319" s="148">
        <v>0</v>
      </c>
      <c r="K5319" s="222">
        <v>0</v>
      </c>
    </row>
    <row r="5320" spans="1:11" hidden="1" x14ac:dyDescent="0.25">
      <c r="A5320" s="207"/>
      <c r="B5320" s="205"/>
      <c r="C5320" s="35" t="s">
        <v>1151</v>
      </c>
      <c r="D5320" s="35" t="s">
        <v>695</v>
      </c>
      <c r="E5320" s="36">
        <v>2.8E-3</v>
      </c>
      <c r="F5320" s="30">
        <v>25.146499999999996</v>
      </c>
      <c r="G5320" s="53">
        <f t="shared" si="102"/>
        <v>7.0410199999999992E-2</v>
      </c>
      <c r="H5320" s="72"/>
      <c r="I5320" s="73"/>
      <c r="J5320" s="148">
        <v>0</v>
      </c>
      <c r="K5320" s="222">
        <v>0</v>
      </c>
    </row>
    <row r="5321" spans="1:11" hidden="1" x14ac:dyDescent="0.25">
      <c r="A5321" s="207"/>
      <c r="B5321" s="205"/>
      <c r="C5321" s="35"/>
      <c r="D5321" s="46"/>
      <c r="E5321" s="36"/>
      <c r="F5321" s="53" t="s">
        <v>514</v>
      </c>
      <c r="G5321" s="53" t="str">
        <f t="shared" si="102"/>
        <v/>
      </c>
      <c r="H5321" s="72"/>
      <c r="I5321" s="73"/>
      <c r="J5321" s="148">
        <v>0</v>
      </c>
      <c r="K5321" s="222">
        <v>0</v>
      </c>
    </row>
    <row r="5322" spans="1:11" ht="15.75" hidden="1" thickBot="1" x14ac:dyDescent="0.3">
      <c r="A5322" s="202" t="s">
        <v>3742</v>
      </c>
      <c r="B5322" s="204" t="str">
        <f>INDEX(Orçamentária!A:B,MATCH(Composições!A5322,Orçamentária!A:A,0),2)</f>
        <v>Cabo de fibra óptica multimodo 12 fibras</v>
      </c>
      <c r="C5322" s="40"/>
      <c r="D5322" s="25" t="str">
        <f>TRIM(INDEX(Orçamentária!C:C,MATCH(Composições!A5322,Orçamentária!A:A,0),1))</f>
        <v>m</v>
      </c>
      <c r="E5322" s="26"/>
      <c r="F5322" s="48" t="s">
        <v>514</v>
      </c>
      <c r="G5322" s="27" t="str">
        <f t="shared" si="102"/>
        <v/>
      </c>
      <c r="H5322" s="28"/>
      <c r="I5322" s="29"/>
      <c r="J5322" s="148">
        <v>0</v>
      </c>
      <c r="K5322" s="222">
        <v>0</v>
      </c>
    </row>
    <row r="5323" spans="1:11" hidden="1" x14ac:dyDescent="0.25">
      <c r="A5323" s="207"/>
      <c r="B5323" s="205"/>
      <c r="C5323" s="31"/>
      <c r="D5323" s="31"/>
      <c r="E5323" s="32"/>
      <c r="F5323" s="53" t="s">
        <v>514</v>
      </c>
      <c r="G5323" s="53" t="str">
        <f t="shared" si="102"/>
        <v/>
      </c>
      <c r="H5323" s="72"/>
      <c r="I5323" s="73"/>
      <c r="J5323" s="148">
        <v>0</v>
      </c>
      <c r="K5323" s="222">
        <v>0</v>
      </c>
    </row>
    <row r="5324" spans="1:11" hidden="1" x14ac:dyDescent="0.25">
      <c r="A5324" s="207"/>
      <c r="B5324" s="205"/>
      <c r="C5324" s="35" t="s">
        <v>6389</v>
      </c>
      <c r="D5324" s="35" t="s">
        <v>92</v>
      </c>
      <c r="E5324" s="36">
        <v>1.05</v>
      </c>
      <c r="F5324" s="30" t="s">
        <v>514</v>
      </c>
      <c r="G5324" s="53" t="str">
        <f t="shared" si="102"/>
        <v/>
      </c>
      <c r="H5324" s="38">
        <f>SUM(G5324:G5326)</f>
        <v>3.1678604999999997</v>
      </c>
      <c r="I5324" s="39"/>
      <c r="J5324" s="148">
        <v>0</v>
      </c>
      <c r="K5324" s="222">
        <v>0</v>
      </c>
    </row>
    <row r="5325" spans="1:11" hidden="1" x14ac:dyDescent="0.25">
      <c r="A5325" s="207"/>
      <c r="B5325" s="205"/>
      <c r="C5325" s="35" t="s">
        <v>1150</v>
      </c>
      <c r="D5325" s="46" t="s">
        <v>695</v>
      </c>
      <c r="E5325" s="36">
        <v>7.1099999999999997E-2</v>
      </c>
      <c r="F5325" s="30">
        <v>19.4085</v>
      </c>
      <c r="G5325" s="53">
        <f t="shared" si="102"/>
        <v>1.3799443499999999</v>
      </c>
      <c r="H5325" s="72"/>
      <c r="I5325" s="73"/>
      <c r="J5325" s="148">
        <v>0</v>
      </c>
      <c r="K5325" s="222">
        <v>0</v>
      </c>
    </row>
    <row r="5326" spans="1:11" hidden="1" x14ac:dyDescent="0.25">
      <c r="A5326" s="207"/>
      <c r="B5326" s="205"/>
      <c r="C5326" s="35" t="s">
        <v>1151</v>
      </c>
      <c r="D5326" s="35" t="s">
        <v>695</v>
      </c>
      <c r="E5326" s="36">
        <v>7.1099999999999997E-2</v>
      </c>
      <c r="F5326" s="30">
        <v>25.146499999999996</v>
      </c>
      <c r="G5326" s="53">
        <f t="shared" si="102"/>
        <v>1.7879161499999996</v>
      </c>
      <c r="H5326" s="72"/>
      <c r="I5326" s="73"/>
      <c r="J5326" s="148">
        <v>0</v>
      </c>
      <c r="K5326" s="222">
        <v>0</v>
      </c>
    </row>
    <row r="5327" spans="1:11" hidden="1" x14ac:dyDescent="0.25">
      <c r="A5327" s="207"/>
      <c r="B5327" s="205"/>
      <c r="C5327" s="35"/>
      <c r="D5327" s="46"/>
      <c r="E5327" s="36"/>
      <c r="F5327" s="53" t="s">
        <v>514</v>
      </c>
      <c r="G5327" s="53" t="str">
        <f t="shared" si="102"/>
        <v/>
      </c>
      <c r="H5327" s="72"/>
      <c r="I5327" s="73"/>
      <c r="J5327" s="148">
        <v>0</v>
      </c>
      <c r="K5327" s="222">
        <v>0</v>
      </c>
    </row>
    <row r="5328" spans="1:11" ht="15.75" hidden="1" thickBot="1" x14ac:dyDescent="0.3">
      <c r="A5328" s="202" t="s">
        <v>3743</v>
      </c>
      <c r="B5328" s="204" t="str">
        <f>INDEX(Orçamentária!A:B,MATCH(Composições!A5328,Orçamentária!A:A,0),2)</f>
        <v>Cabos de cobre para comunicação CANbus</v>
      </c>
      <c r="C5328" s="40"/>
      <c r="D5328" s="25" t="str">
        <f>TRIM(INDEX(Orçamentária!C:C,MATCH(Composições!A5328,Orçamentária!A:A,0),1))</f>
        <v>m</v>
      </c>
      <c r="E5328" s="26"/>
      <c r="F5328" s="48" t="s">
        <v>514</v>
      </c>
      <c r="G5328" s="27" t="str">
        <f t="shared" si="102"/>
        <v/>
      </c>
      <c r="H5328" s="28"/>
      <c r="I5328" s="29"/>
      <c r="J5328" s="148">
        <v>0</v>
      </c>
      <c r="K5328" s="222">
        <v>0</v>
      </c>
    </row>
    <row r="5329" spans="1:11" hidden="1" x14ac:dyDescent="0.25">
      <c r="A5329" s="207"/>
      <c r="B5329" s="205"/>
      <c r="C5329" s="31"/>
      <c r="D5329" s="31"/>
      <c r="E5329" s="32"/>
      <c r="F5329" s="53" t="s">
        <v>514</v>
      </c>
      <c r="G5329" s="53" t="str">
        <f t="shared" si="102"/>
        <v/>
      </c>
      <c r="H5329" s="72"/>
      <c r="I5329" s="73"/>
      <c r="J5329" s="148">
        <v>0</v>
      </c>
      <c r="K5329" s="222">
        <v>0</v>
      </c>
    </row>
    <row r="5330" spans="1:11" hidden="1" x14ac:dyDescent="0.25">
      <c r="A5330" s="207"/>
      <c r="B5330" s="205"/>
      <c r="C5330" s="35" t="s">
        <v>6390</v>
      </c>
      <c r="D5330" s="35" t="s">
        <v>92</v>
      </c>
      <c r="E5330" s="36">
        <v>1.05</v>
      </c>
      <c r="F5330" s="30" t="s">
        <v>514</v>
      </c>
      <c r="G5330" s="53" t="str">
        <f t="shared" si="102"/>
        <v/>
      </c>
      <c r="H5330" s="38">
        <f>SUM(G5330:G5332)</f>
        <v>0.12475399999999999</v>
      </c>
      <c r="I5330" s="39"/>
      <c r="J5330" s="148">
        <v>0</v>
      </c>
      <c r="K5330" s="222">
        <v>0</v>
      </c>
    </row>
    <row r="5331" spans="1:11" hidden="1" x14ac:dyDescent="0.25">
      <c r="A5331" s="207"/>
      <c r="B5331" s="205"/>
      <c r="C5331" s="35" t="s">
        <v>1150</v>
      </c>
      <c r="D5331" s="46" t="s">
        <v>695</v>
      </c>
      <c r="E5331" s="36">
        <v>2.8E-3</v>
      </c>
      <c r="F5331" s="30">
        <v>19.4085</v>
      </c>
      <c r="G5331" s="53">
        <f t="shared" si="102"/>
        <v>5.4343799999999998E-2</v>
      </c>
      <c r="H5331" s="72"/>
      <c r="I5331" s="73"/>
      <c r="J5331" s="148">
        <v>0</v>
      </c>
      <c r="K5331" s="222">
        <v>0</v>
      </c>
    </row>
    <row r="5332" spans="1:11" hidden="1" x14ac:dyDescent="0.25">
      <c r="A5332" s="207"/>
      <c r="B5332" s="205"/>
      <c r="C5332" s="35" t="s">
        <v>1151</v>
      </c>
      <c r="D5332" s="35" t="s">
        <v>695</v>
      </c>
      <c r="E5332" s="36">
        <v>2.8E-3</v>
      </c>
      <c r="F5332" s="30">
        <v>25.146499999999996</v>
      </c>
      <c r="G5332" s="53">
        <f t="shared" si="102"/>
        <v>7.0410199999999992E-2</v>
      </c>
      <c r="H5332" s="72"/>
      <c r="I5332" s="73"/>
      <c r="J5332" s="148">
        <v>0</v>
      </c>
      <c r="K5332" s="222">
        <v>0</v>
      </c>
    </row>
    <row r="5333" spans="1:11" hidden="1" x14ac:dyDescent="0.25">
      <c r="A5333" s="207"/>
      <c r="B5333" s="205"/>
      <c r="C5333" s="35"/>
      <c r="D5333" s="46"/>
      <c r="E5333" s="36"/>
      <c r="F5333" s="53" t="s">
        <v>514</v>
      </c>
      <c r="G5333" s="53" t="str">
        <f t="shared" si="102"/>
        <v/>
      </c>
      <c r="H5333" s="72"/>
      <c r="I5333" s="73"/>
      <c r="J5333" s="148">
        <v>0</v>
      </c>
      <c r="K5333" s="222">
        <v>0</v>
      </c>
    </row>
    <row r="5334" spans="1:11" ht="15.75" hidden="1" thickBot="1" x14ac:dyDescent="0.3">
      <c r="A5334" s="202" t="s">
        <v>3744</v>
      </c>
      <c r="B5334" s="204" t="str">
        <f>INDEX(Orçamentária!A:B,MATCH(Composições!A5334,Orçamentária!A:A,0),2)</f>
        <v>Cabos de cobre para comunicação padrão RS-485</v>
      </c>
      <c r="C5334" s="40"/>
      <c r="D5334" s="25" t="str">
        <f>TRIM(INDEX(Orçamentária!C:C,MATCH(Composições!A5334,Orçamentária!A:A,0),1))</f>
        <v>m</v>
      </c>
      <c r="E5334" s="26"/>
      <c r="F5334" s="48" t="s">
        <v>514</v>
      </c>
      <c r="G5334" s="27" t="str">
        <f t="shared" si="102"/>
        <v/>
      </c>
      <c r="H5334" s="28"/>
      <c r="I5334" s="29"/>
      <c r="J5334" s="148">
        <v>0</v>
      </c>
      <c r="K5334" s="222">
        <v>0</v>
      </c>
    </row>
    <row r="5335" spans="1:11" hidden="1" x14ac:dyDescent="0.25">
      <c r="A5335" s="207"/>
      <c r="B5335" s="205"/>
      <c r="C5335" s="31"/>
      <c r="D5335" s="31"/>
      <c r="E5335" s="32"/>
      <c r="F5335" s="53" t="s">
        <v>514</v>
      </c>
      <c r="G5335" s="53" t="str">
        <f t="shared" si="102"/>
        <v/>
      </c>
      <c r="H5335" s="72"/>
      <c r="I5335" s="73"/>
      <c r="J5335" s="148">
        <v>0</v>
      </c>
      <c r="K5335" s="222">
        <v>0</v>
      </c>
    </row>
    <row r="5336" spans="1:11" hidden="1" x14ac:dyDescent="0.25">
      <c r="A5336" s="207"/>
      <c r="B5336" s="205"/>
      <c r="C5336" s="35" t="s">
        <v>6391</v>
      </c>
      <c r="D5336" s="35" t="s">
        <v>92</v>
      </c>
      <c r="E5336" s="36">
        <v>1.05</v>
      </c>
      <c r="F5336" s="30" t="s">
        <v>514</v>
      </c>
      <c r="G5336" s="53" t="str">
        <f t="shared" si="102"/>
        <v/>
      </c>
      <c r="H5336" s="38">
        <f>SUM(G5336:G5338)</f>
        <v>0.12475399999999999</v>
      </c>
      <c r="I5336" s="39"/>
      <c r="J5336" s="148">
        <v>0</v>
      </c>
      <c r="K5336" s="222">
        <v>0</v>
      </c>
    </row>
    <row r="5337" spans="1:11" hidden="1" x14ac:dyDescent="0.25">
      <c r="A5337" s="207"/>
      <c r="B5337" s="205"/>
      <c r="C5337" s="35" t="s">
        <v>1150</v>
      </c>
      <c r="D5337" s="46" t="s">
        <v>695</v>
      </c>
      <c r="E5337" s="36">
        <v>2.8E-3</v>
      </c>
      <c r="F5337" s="30">
        <v>19.4085</v>
      </c>
      <c r="G5337" s="53">
        <f t="shared" si="102"/>
        <v>5.4343799999999998E-2</v>
      </c>
      <c r="H5337" s="72"/>
      <c r="I5337" s="73"/>
      <c r="J5337" s="148">
        <v>0</v>
      </c>
      <c r="K5337" s="222">
        <v>0</v>
      </c>
    </row>
    <row r="5338" spans="1:11" hidden="1" x14ac:dyDescent="0.25">
      <c r="A5338" s="207"/>
      <c r="B5338" s="205"/>
      <c r="C5338" s="35" t="s">
        <v>1151</v>
      </c>
      <c r="D5338" s="35" t="s">
        <v>695</v>
      </c>
      <c r="E5338" s="36">
        <v>2.8E-3</v>
      </c>
      <c r="F5338" s="30">
        <v>25.146499999999996</v>
      </c>
      <c r="G5338" s="53">
        <f t="shared" si="102"/>
        <v>7.0410199999999992E-2</v>
      </c>
      <c r="H5338" s="72"/>
      <c r="I5338" s="73"/>
      <c r="J5338" s="148">
        <v>0</v>
      </c>
      <c r="K5338" s="222">
        <v>0</v>
      </c>
    </row>
    <row r="5339" spans="1:11" hidden="1" x14ac:dyDescent="0.25">
      <c r="A5339" s="207"/>
      <c r="B5339" s="205"/>
      <c r="C5339" s="35"/>
      <c r="D5339" s="46"/>
      <c r="E5339" s="36"/>
      <c r="F5339" s="53" t="s">
        <v>514</v>
      </c>
      <c r="G5339" s="53" t="str">
        <f t="shared" si="102"/>
        <v/>
      </c>
      <c r="H5339" s="72"/>
      <c r="I5339" s="73"/>
      <c r="J5339" s="148">
        <v>0</v>
      </c>
      <c r="K5339" s="222">
        <v>0</v>
      </c>
    </row>
    <row r="5340" spans="1:11" ht="15.75" hidden="1" thickBot="1" x14ac:dyDescent="0.3">
      <c r="A5340" s="202" t="s">
        <v>3745</v>
      </c>
      <c r="B5340" s="204" t="str">
        <f>INDEX(Orçamentária!A:B,MATCH(Composições!A5340,Orçamentária!A:A,0),2)</f>
        <v>Condulete de alumínio de 2”</v>
      </c>
      <c r="C5340" s="40"/>
      <c r="D5340" s="25" t="str">
        <f>TRIM(INDEX(Orçamentária!C:C,MATCH(Composições!A5340,Orçamentária!A:A,0),1))</f>
        <v>un</v>
      </c>
      <c r="E5340" s="26"/>
      <c r="F5340" s="41" t="s">
        <v>514</v>
      </c>
      <c r="G5340" s="27" t="str">
        <f t="shared" si="102"/>
        <v/>
      </c>
      <c r="H5340" s="28"/>
      <c r="I5340" s="29"/>
      <c r="J5340" s="148">
        <v>150</v>
      </c>
      <c r="K5340" s="222" t="s">
        <v>8074</v>
      </c>
    </row>
    <row r="5341" spans="1:11" hidden="1" x14ac:dyDescent="0.25">
      <c r="A5341" s="203"/>
      <c r="B5341" s="205"/>
      <c r="C5341" s="31"/>
      <c r="D5341" s="31"/>
      <c r="E5341" s="32"/>
      <c r="F5341" s="42" t="s">
        <v>514</v>
      </c>
      <c r="G5341" s="30" t="str">
        <f t="shared" si="102"/>
        <v/>
      </c>
      <c r="H5341" s="34"/>
      <c r="I5341" s="30"/>
      <c r="J5341" s="148">
        <v>150</v>
      </c>
      <c r="K5341" s="222" t="s">
        <v>8074</v>
      </c>
    </row>
    <row r="5342" spans="1:11" hidden="1" x14ac:dyDescent="0.25">
      <c r="A5342" s="203"/>
      <c r="B5342" s="205"/>
      <c r="C5342" s="35" t="s">
        <v>74</v>
      </c>
      <c r="D5342" s="35" t="s">
        <v>12</v>
      </c>
      <c r="E5342" s="36">
        <v>0.5121</v>
      </c>
      <c r="F5342" s="30">
        <v>19.4085</v>
      </c>
      <c r="G5342" s="33">
        <f t="shared" si="102"/>
        <v>9.9390928499999998</v>
      </c>
      <c r="H5342" s="38">
        <f>SUM(G5342:G5345)</f>
        <v>78.562615499999993</v>
      </c>
      <c r="I5342" s="39"/>
      <c r="J5342" s="148">
        <v>150</v>
      </c>
      <c r="K5342" s="222" t="s">
        <v>8074</v>
      </c>
    </row>
    <row r="5343" spans="1:11" hidden="1" x14ac:dyDescent="0.25">
      <c r="A5343" s="203"/>
      <c r="B5343" s="205"/>
      <c r="C5343" s="35" t="s">
        <v>30</v>
      </c>
      <c r="D5343" s="35" t="s">
        <v>12</v>
      </c>
      <c r="E5343" s="36">
        <v>0.5121</v>
      </c>
      <c r="F5343" s="30">
        <v>25.146499999999996</v>
      </c>
      <c r="G5343" s="33">
        <f t="shared" si="102"/>
        <v>12.877522649999998</v>
      </c>
      <c r="H5343" s="34"/>
      <c r="I5343" s="30"/>
      <c r="J5343" s="148">
        <v>150</v>
      </c>
      <c r="K5343" s="222" t="s">
        <v>8074</v>
      </c>
    </row>
    <row r="5344" spans="1:11" ht="25.5" hidden="1" x14ac:dyDescent="0.25">
      <c r="A5344" s="203"/>
      <c r="B5344" s="205"/>
      <c r="C5344" s="35" t="s">
        <v>429</v>
      </c>
      <c r="D5344" s="35" t="s">
        <v>20</v>
      </c>
      <c r="E5344" s="36">
        <v>2</v>
      </c>
      <c r="F5344" s="33">
        <v>0.38949999999999996</v>
      </c>
      <c r="G5344" s="33">
        <f t="shared" si="102"/>
        <v>0.77899999999999991</v>
      </c>
      <c r="H5344" s="34"/>
      <c r="I5344" s="30"/>
      <c r="J5344" s="148">
        <v>150</v>
      </c>
      <c r="K5344" s="222" t="s">
        <v>8074</v>
      </c>
    </row>
    <row r="5345" spans="1:11" ht="25.5" hidden="1" x14ac:dyDescent="0.25">
      <c r="A5345" s="203"/>
      <c r="B5345" s="205"/>
      <c r="C5345" s="35" t="s">
        <v>3257</v>
      </c>
      <c r="D5345" s="35" t="s">
        <v>20</v>
      </c>
      <c r="E5345" s="36">
        <v>1</v>
      </c>
      <c r="F5345" s="33">
        <v>54.966999999999999</v>
      </c>
      <c r="G5345" s="30">
        <f t="shared" si="102"/>
        <v>54.966999999999999</v>
      </c>
      <c r="H5345" s="34"/>
      <c r="I5345" s="30"/>
      <c r="J5345" s="148">
        <v>150</v>
      </c>
      <c r="K5345" s="222" t="s">
        <v>8074</v>
      </c>
    </row>
    <row r="5346" spans="1:11" ht="15.75" hidden="1" thickBot="1" x14ac:dyDescent="0.3">
      <c r="A5346" s="209"/>
      <c r="B5346" s="206"/>
      <c r="C5346" s="35"/>
      <c r="D5346" s="35"/>
      <c r="E5346" s="36"/>
      <c r="F5346" s="30" t="s">
        <v>514</v>
      </c>
      <c r="G5346" s="30" t="str">
        <f t="shared" si="102"/>
        <v/>
      </c>
      <c r="H5346" s="34"/>
      <c r="I5346" s="30"/>
      <c r="J5346" s="148">
        <v>150</v>
      </c>
      <c r="K5346" s="222" t="s">
        <v>8074</v>
      </c>
    </row>
    <row r="5347" spans="1:11" ht="15.75" hidden="1" thickBot="1" x14ac:dyDescent="0.3">
      <c r="A5347" s="202" t="s">
        <v>3746</v>
      </c>
      <c r="B5347" s="204" t="str">
        <f>INDEX(Orçamentária!A:B,MATCH(Composições!A5347,Orçamentária!A:A,0),2)</f>
        <v>Cabo de potência, 8,7 kV/15 kV, 95 mm²</v>
      </c>
      <c r="C5347" s="40"/>
      <c r="D5347" s="25" t="str">
        <f>TRIM(INDEX(Orçamentária!C:C,MATCH(Composições!A5347,Orçamentária!A:A,0),1))</f>
        <v>m</v>
      </c>
      <c r="E5347" s="26"/>
      <c r="F5347" s="41" t="s">
        <v>514</v>
      </c>
      <c r="G5347" s="27" t="str">
        <f t="shared" si="102"/>
        <v/>
      </c>
      <c r="H5347" s="28"/>
      <c r="I5347" s="29"/>
      <c r="J5347" s="148">
        <v>0</v>
      </c>
      <c r="K5347" s="222">
        <v>0</v>
      </c>
    </row>
    <row r="5348" spans="1:11" hidden="1" x14ac:dyDescent="0.25">
      <c r="A5348" s="203"/>
      <c r="B5348" s="205"/>
      <c r="C5348" s="31"/>
      <c r="D5348" s="31"/>
      <c r="E5348" s="32"/>
      <c r="F5348" s="42" t="s">
        <v>514</v>
      </c>
      <c r="G5348" s="30" t="str">
        <f t="shared" si="102"/>
        <v/>
      </c>
      <c r="H5348" s="34"/>
      <c r="I5348" s="30"/>
      <c r="J5348" s="148">
        <v>0</v>
      </c>
      <c r="K5348" s="222">
        <v>0</v>
      </c>
    </row>
    <row r="5349" spans="1:11" hidden="1" x14ac:dyDescent="0.25">
      <c r="A5349" s="203"/>
      <c r="B5349" s="205"/>
      <c r="C5349" s="35" t="s">
        <v>74</v>
      </c>
      <c r="D5349" s="35" t="s">
        <v>12</v>
      </c>
      <c r="E5349" s="36">
        <v>0.128</v>
      </c>
      <c r="F5349" s="30">
        <v>19.4085</v>
      </c>
      <c r="G5349" s="33">
        <f t="shared" si="102"/>
        <v>2.4842880000000003</v>
      </c>
      <c r="H5349" s="38">
        <f>SUM(G5349:G5352)</f>
        <v>5.7415149999999997</v>
      </c>
      <c r="I5349" s="39"/>
      <c r="J5349" s="148">
        <v>0</v>
      </c>
      <c r="K5349" s="222">
        <v>0</v>
      </c>
    </row>
    <row r="5350" spans="1:11" hidden="1" x14ac:dyDescent="0.25">
      <c r="A5350" s="203"/>
      <c r="B5350" s="205"/>
      <c r="C5350" s="35" t="s">
        <v>30</v>
      </c>
      <c r="D5350" s="35" t="s">
        <v>12</v>
      </c>
      <c r="E5350" s="36">
        <v>0.128</v>
      </c>
      <c r="F5350" s="30">
        <v>25.146499999999996</v>
      </c>
      <c r="G5350" s="33">
        <f t="shared" si="102"/>
        <v>3.2187519999999994</v>
      </c>
      <c r="H5350" s="34"/>
      <c r="I5350" s="30"/>
      <c r="J5350" s="148">
        <v>0</v>
      </c>
      <c r="K5350" s="222">
        <v>0</v>
      </c>
    </row>
    <row r="5351" spans="1:11" ht="25.5" hidden="1" x14ac:dyDescent="0.25">
      <c r="A5351" s="203"/>
      <c r="B5351" s="205"/>
      <c r="C5351" s="35" t="s">
        <v>3303</v>
      </c>
      <c r="D5351" s="35" t="s">
        <v>278</v>
      </c>
      <c r="E5351" s="36">
        <v>8.9999999999999993E-3</v>
      </c>
      <c r="F5351" s="33">
        <v>4.2749999999999995</v>
      </c>
      <c r="G5351" s="33">
        <f t="shared" si="102"/>
        <v>3.8474999999999995E-2</v>
      </c>
      <c r="H5351" s="34"/>
      <c r="I5351" s="30"/>
      <c r="J5351" s="148">
        <v>0</v>
      </c>
      <c r="K5351" s="222">
        <v>0</v>
      </c>
    </row>
    <row r="5352" spans="1:11" hidden="1" x14ac:dyDescent="0.25">
      <c r="A5352" s="203"/>
      <c r="B5352" s="205"/>
      <c r="C5352" s="35" t="s">
        <v>6392</v>
      </c>
      <c r="D5352" s="35" t="s">
        <v>92</v>
      </c>
      <c r="E5352" s="36">
        <v>1.0149999999999999</v>
      </c>
      <c r="F5352" s="33" t="s">
        <v>514</v>
      </c>
      <c r="G5352" s="30" t="str">
        <f t="shared" si="102"/>
        <v/>
      </c>
      <c r="H5352" s="34"/>
      <c r="I5352" s="30"/>
      <c r="J5352" s="148">
        <v>0</v>
      </c>
      <c r="K5352" s="222">
        <v>0</v>
      </c>
    </row>
    <row r="5353" spans="1:11" ht="15.75" hidden="1" thickBot="1" x14ac:dyDescent="0.3">
      <c r="A5353" s="209"/>
      <c r="B5353" s="206"/>
      <c r="C5353" s="35"/>
      <c r="D5353" s="35"/>
      <c r="E5353" s="36"/>
      <c r="F5353" s="30" t="s">
        <v>514</v>
      </c>
      <c r="G5353" s="30" t="str">
        <f t="shared" si="102"/>
        <v/>
      </c>
      <c r="H5353" s="34"/>
      <c r="I5353" s="30"/>
      <c r="J5353" s="148">
        <v>0</v>
      </c>
      <c r="K5353" s="222">
        <v>0</v>
      </c>
    </row>
    <row r="5354" spans="1:11" ht="15.75" hidden="1" thickBot="1" x14ac:dyDescent="0.3">
      <c r="A5354" s="202" t="s">
        <v>3747</v>
      </c>
      <c r="B5354" s="204" t="str">
        <f>INDEX(Orçamentária!A:B,MATCH(Composições!A5354,Orçamentária!A:A,0),2)</f>
        <v>Cabo de potência, 8,7 kV/15 kV, 240 mm²</v>
      </c>
      <c r="C5354" s="40"/>
      <c r="D5354" s="25" t="str">
        <f>TRIM(INDEX(Orçamentária!C:C,MATCH(Composições!A5354,Orçamentária!A:A,0),1))</f>
        <v>m</v>
      </c>
      <c r="E5354" s="26"/>
      <c r="F5354" s="41" t="s">
        <v>514</v>
      </c>
      <c r="G5354" s="27" t="str">
        <f t="shared" si="102"/>
        <v/>
      </c>
      <c r="H5354" s="28"/>
      <c r="I5354" s="29"/>
      <c r="J5354" s="148">
        <v>0</v>
      </c>
      <c r="K5354" s="222">
        <v>0</v>
      </c>
    </row>
    <row r="5355" spans="1:11" hidden="1" x14ac:dyDescent="0.25">
      <c r="A5355" s="203"/>
      <c r="B5355" s="205"/>
      <c r="C5355" s="31"/>
      <c r="D5355" s="31"/>
      <c r="E5355" s="32"/>
      <c r="F5355" s="42" t="s">
        <v>514</v>
      </c>
      <c r="G5355" s="30" t="str">
        <f t="shared" si="102"/>
        <v/>
      </c>
      <c r="H5355" s="34"/>
      <c r="I5355" s="30"/>
      <c r="J5355" s="148">
        <v>0</v>
      </c>
      <c r="K5355" s="222">
        <v>0</v>
      </c>
    </row>
    <row r="5356" spans="1:11" hidden="1" x14ac:dyDescent="0.25">
      <c r="A5356" s="203"/>
      <c r="B5356" s="205"/>
      <c r="C5356" s="35" t="s">
        <v>74</v>
      </c>
      <c r="D5356" s="35" t="s">
        <v>12</v>
      </c>
      <c r="E5356" s="36">
        <v>0.26300000000000001</v>
      </c>
      <c r="F5356" s="30">
        <v>19.4085</v>
      </c>
      <c r="G5356" s="33">
        <f t="shared" si="102"/>
        <v>5.1044355000000001</v>
      </c>
      <c r="H5356" s="38">
        <f>SUM(G5356:G5359)</f>
        <v>11.75644</v>
      </c>
      <c r="I5356" s="39"/>
      <c r="J5356" s="148">
        <v>0</v>
      </c>
      <c r="K5356" s="222">
        <v>0</v>
      </c>
    </row>
    <row r="5357" spans="1:11" hidden="1" x14ac:dyDescent="0.25">
      <c r="A5357" s="203"/>
      <c r="B5357" s="205"/>
      <c r="C5357" s="35" t="s">
        <v>30</v>
      </c>
      <c r="D5357" s="35" t="s">
        <v>12</v>
      </c>
      <c r="E5357" s="36">
        <v>0.26300000000000001</v>
      </c>
      <c r="F5357" s="30">
        <v>25.146499999999996</v>
      </c>
      <c r="G5357" s="33">
        <f t="shared" si="102"/>
        <v>6.6135294999999994</v>
      </c>
      <c r="H5357" s="34"/>
      <c r="I5357" s="30"/>
      <c r="J5357" s="148">
        <v>0</v>
      </c>
      <c r="K5357" s="222">
        <v>0</v>
      </c>
    </row>
    <row r="5358" spans="1:11" ht="25.5" hidden="1" x14ac:dyDescent="0.25">
      <c r="A5358" s="203"/>
      <c r="B5358" s="205"/>
      <c r="C5358" s="35" t="s">
        <v>3303</v>
      </c>
      <c r="D5358" s="35" t="s">
        <v>278</v>
      </c>
      <c r="E5358" s="36">
        <v>8.9999999999999993E-3</v>
      </c>
      <c r="F5358" s="33">
        <v>4.2749999999999995</v>
      </c>
      <c r="G5358" s="33">
        <f t="shared" ref="G5358:G5421" si="103">IF(ISNUMBER(F5358),E5358*F5358,"")</f>
        <v>3.8474999999999995E-2</v>
      </c>
      <c r="H5358" s="34"/>
      <c r="I5358" s="30"/>
      <c r="J5358" s="148">
        <v>0</v>
      </c>
      <c r="K5358" s="222">
        <v>0</v>
      </c>
    </row>
    <row r="5359" spans="1:11" hidden="1" x14ac:dyDescent="0.25">
      <c r="A5359" s="203"/>
      <c r="B5359" s="205"/>
      <c r="C5359" s="35" t="s">
        <v>6393</v>
      </c>
      <c r="D5359" s="35" t="s">
        <v>92</v>
      </c>
      <c r="E5359" s="36">
        <v>1.0149999999999999</v>
      </c>
      <c r="F5359" s="33" t="s">
        <v>514</v>
      </c>
      <c r="G5359" s="30" t="str">
        <f t="shared" si="103"/>
        <v/>
      </c>
      <c r="H5359" s="34"/>
      <c r="I5359" s="30"/>
      <c r="J5359" s="148">
        <v>0</v>
      </c>
      <c r="K5359" s="222">
        <v>0</v>
      </c>
    </row>
    <row r="5360" spans="1:11" ht="15.75" hidden="1" thickBot="1" x14ac:dyDescent="0.3">
      <c r="A5360" s="209"/>
      <c r="B5360" s="206"/>
      <c r="C5360" s="35"/>
      <c r="D5360" s="35"/>
      <c r="E5360" s="36"/>
      <c r="F5360" s="30" t="s">
        <v>514</v>
      </c>
      <c r="G5360" s="30" t="str">
        <f t="shared" si="103"/>
        <v/>
      </c>
      <c r="H5360" s="34"/>
      <c r="I5360" s="30"/>
      <c r="J5360" s="148">
        <v>0</v>
      </c>
      <c r="K5360" s="222">
        <v>0</v>
      </c>
    </row>
    <row r="5361" spans="1:11" ht="15.75" hidden="1" thickBot="1" x14ac:dyDescent="0.3">
      <c r="A5361" s="202" t="s">
        <v>3748</v>
      </c>
      <c r="B5361" s="204" t="str">
        <f>INDEX(Orçamentária!A:B,MATCH(Composições!A5361,Orçamentária!A:A,0),2)</f>
        <v>Distribuidor Interno Óptico Industrial – fornecimento e instalação</v>
      </c>
      <c r="C5361" s="40"/>
      <c r="D5361" s="25" t="str">
        <f>TRIM(INDEX(Orçamentária!C:C,MATCH(Composições!A5361,Orçamentária!A:A,0),1))</f>
        <v>un</v>
      </c>
      <c r="E5361" s="26"/>
      <c r="F5361" s="48" t="s">
        <v>514</v>
      </c>
      <c r="G5361" s="27" t="str">
        <f t="shared" si="103"/>
        <v/>
      </c>
      <c r="H5361" s="28"/>
      <c r="I5361" s="29"/>
      <c r="J5361" s="148">
        <v>0</v>
      </c>
      <c r="K5361" s="222">
        <v>0</v>
      </c>
    </row>
    <row r="5362" spans="1:11" hidden="1" x14ac:dyDescent="0.25">
      <c r="A5362" s="207"/>
      <c r="B5362" s="205"/>
      <c r="C5362" s="31"/>
      <c r="D5362" s="31"/>
      <c r="E5362" s="32"/>
      <c r="F5362" s="53" t="s">
        <v>514</v>
      </c>
      <c r="G5362" s="53" t="str">
        <f t="shared" si="103"/>
        <v/>
      </c>
      <c r="H5362" s="72"/>
      <c r="I5362" s="73"/>
      <c r="J5362" s="148">
        <v>0</v>
      </c>
      <c r="K5362" s="222">
        <v>0</v>
      </c>
    </row>
    <row r="5363" spans="1:11" hidden="1" x14ac:dyDescent="0.25">
      <c r="A5363" s="207"/>
      <c r="B5363" s="205"/>
      <c r="C5363" s="35" t="s">
        <v>6394</v>
      </c>
      <c r="D5363" s="35" t="s">
        <v>20</v>
      </c>
      <c r="E5363" s="36">
        <v>1</v>
      </c>
      <c r="F5363" s="30" t="s">
        <v>514</v>
      </c>
      <c r="G5363" s="53" t="str">
        <f t="shared" si="103"/>
        <v/>
      </c>
      <c r="H5363" s="38">
        <f>SUM(G5363:G5365)</f>
        <v>111.38749999999999</v>
      </c>
      <c r="I5363" s="39"/>
      <c r="J5363" s="148">
        <v>0</v>
      </c>
      <c r="K5363" s="222">
        <v>0</v>
      </c>
    </row>
    <row r="5364" spans="1:11" hidden="1" x14ac:dyDescent="0.25">
      <c r="A5364" s="207"/>
      <c r="B5364" s="205"/>
      <c r="C5364" s="35" t="s">
        <v>1150</v>
      </c>
      <c r="D5364" s="46" t="s">
        <v>695</v>
      </c>
      <c r="E5364" s="36">
        <v>2.5</v>
      </c>
      <c r="F5364" s="30">
        <v>19.4085</v>
      </c>
      <c r="G5364" s="53">
        <f t="shared" si="103"/>
        <v>48.521250000000002</v>
      </c>
      <c r="H5364" s="72"/>
      <c r="I5364" s="73"/>
      <c r="J5364" s="148">
        <v>0</v>
      </c>
      <c r="K5364" s="222">
        <v>0</v>
      </c>
    </row>
    <row r="5365" spans="1:11" hidden="1" x14ac:dyDescent="0.25">
      <c r="A5365" s="207"/>
      <c r="B5365" s="205"/>
      <c r="C5365" s="35" t="s">
        <v>1151</v>
      </c>
      <c r="D5365" s="35" t="s">
        <v>695</v>
      </c>
      <c r="E5365" s="36">
        <v>2.5</v>
      </c>
      <c r="F5365" s="30">
        <v>25.146499999999996</v>
      </c>
      <c r="G5365" s="53">
        <f t="shared" si="103"/>
        <v>62.866249999999994</v>
      </c>
      <c r="H5365" s="72"/>
      <c r="I5365" s="73"/>
      <c r="J5365" s="148">
        <v>0</v>
      </c>
      <c r="K5365" s="222">
        <v>0</v>
      </c>
    </row>
    <row r="5366" spans="1:11" hidden="1" x14ac:dyDescent="0.25">
      <c r="A5366" s="207"/>
      <c r="B5366" s="205"/>
      <c r="C5366" s="35"/>
      <c r="D5366" s="46"/>
      <c r="E5366" s="36"/>
      <c r="F5366" s="53" t="s">
        <v>514</v>
      </c>
      <c r="G5366" s="53" t="str">
        <f t="shared" si="103"/>
        <v/>
      </c>
      <c r="H5366" s="72"/>
      <c r="I5366" s="73"/>
      <c r="J5366" s="148">
        <v>0</v>
      </c>
      <c r="K5366" s="222">
        <v>0</v>
      </c>
    </row>
    <row r="5367" spans="1:11" ht="15.75" hidden="1" thickBot="1" x14ac:dyDescent="0.3">
      <c r="A5367" s="202" t="s">
        <v>3749</v>
      </c>
      <c r="B5367" s="204" t="str">
        <f>INDEX(Orçamentária!A:B,MATCH(Composições!A5367,Orçamentária!A:A,0),2)</f>
        <v>Eletroduto PEAD 5”</v>
      </c>
      <c r="C5367" s="40"/>
      <c r="D5367" s="25" t="str">
        <f>TRIM(INDEX(Orçamentária!C:C,MATCH(Composições!A5367,Orçamentária!A:A,0),1))</f>
        <v>m</v>
      </c>
      <c r="E5367" s="26"/>
      <c r="F5367" s="41" t="s">
        <v>514</v>
      </c>
      <c r="G5367" s="27" t="str">
        <f t="shared" si="103"/>
        <v/>
      </c>
      <c r="H5367" s="28"/>
      <c r="I5367" s="29"/>
      <c r="J5367" s="148">
        <v>0</v>
      </c>
      <c r="K5367" s="222">
        <v>0</v>
      </c>
    </row>
    <row r="5368" spans="1:11" hidden="1" x14ac:dyDescent="0.25">
      <c r="A5368" s="203"/>
      <c r="B5368" s="205"/>
      <c r="C5368" s="31"/>
      <c r="D5368" s="31"/>
      <c r="E5368" s="32"/>
      <c r="F5368" s="42" t="s">
        <v>514</v>
      </c>
      <c r="G5368" s="30" t="str">
        <f t="shared" si="103"/>
        <v/>
      </c>
      <c r="H5368" s="34"/>
      <c r="I5368" s="30"/>
      <c r="J5368" s="148">
        <v>0</v>
      </c>
      <c r="K5368" s="222">
        <v>0</v>
      </c>
    </row>
    <row r="5369" spans="1:11" ht="38.25" hidden="1" x14ac:dyDescent="0.25">
      <c r="A5369" s="203"/>
      <c r="B5369" s="205"/>
      <c r="C5369" s="35" t="s">
        <v>6395</v>
      </c>
      <c r="D5369" s="35" t="s">
        <v>473</v>
      </c>
      <c r="E5369" s="36">
        <v>1.1000000000000001</v>
      </c>
      <c r="F5369" s="30">
        <v>0</v>
      </c>
      <c r="G5369" s="33">
        <f t="shared" si="103"/>
        <v>0</v>
      </c>
      <c r="H5369" s="38">
        <f>SUM(G5369:G5371)</f>
        <v>10.24765</v>
      </c>
      <c r="I5369" s="39"/>
      <c r="J5369" s="148">
        <v>0</v>
      </c>
      <c r="K5369" s="222">
        <v>0</v>
      </c>
    </row>
    <row r="5370" spans="1:11" hidden="1" x14ac:dyDescent="0.25">
      <c r="A5370" s="203"/>
      <c r="B5370" s="205"/>
      <c r="C5370" s="35" t="s">
        <v>1150</v>
      </c>
      <c r="D5370" s="35" t="s">
        <v>695</v>
      </c>
      <c r="E5370" s="36">
        <v>0.23</v>
      </c>
      <c r="F5370" s="30">
        <v>19.4085</v>
      </c>
      <c r="G5370" s="33">
        <f t="shared" si="103"/>
        <v>4.4639550000000003</v>
      </c>
      <c r="H5370" s="34"/>
      <c r="I5370" s="30"/>
      <c r="J5370" s="148">
        <v>0</v>
      </c>
      <c r="K5370" s="222">
        <v>0</v>
      </c>
    </row>
    <row r="5371" spans="1:11" hidden="1" x14ac:dyDescent="0.25">
      <c r="A5371" s="203"/>
      <c r="B5371" s="205"/>
      <c r="C5371" s="35" t="s">
        <v>1151</v>
      </c>
      <c r="D5371" s="35" t="s">
        <v>695</v>
      </c>
      <c r="E5371" s="36">
        <v>0.23</v>
      </c>
      <c r="F5371" s="33">
        <v>25.146499999999996</v>
      </c>
      <c r="G5371" s="30">
        <f t="shared" si="103"/>
        <v>5.7836949999999989</v>
      </c>
      <c r="H5371" s="34"/>
      <c r="I5371" s="30"/>
      <c r="J5371" s="148">
        <v>0</v>
      </c>
      <c r="K5371" s="222">
        <v>0</v>
      </c>
    </row>
    <row r="5372" spans="1:11" ht="15.75" hidden="1" thickBot="1" x14ac:dyDescent="0.3">
      <c r="A5372" s="209"/>
      <c r="B5372" s="206"/>
      <c r="C5372" s="35"/>
      <c r="D5372" s="35"/>
      <c r="E5372" s="36"/>
      <c r="F5372" s="30" t="s">
        <v>514</v>
      </c>
      <c r="G5372" s="30" t="str">
        <f t="shared" si="103"/>
        <v/>
      </c>
      <c r="H5372" s="34"/>
      <c r="I5372" s="30"/>
      <c r="J5372" s="148">
        <v>0</v>
      </c>
      <c r="K5372" s="222">
        <v>0</v>
      </c>
    </row>
    <row r="5373" spans="1:11" ht="15.75" hidden="1" thickBot="1" x14ac:dyDescent="0.3">
      <c r="A5373" s="202" t="s">
        <v>3751</v>
      </c>
      <c r="B5373" s="204" t="str">
        <f>INDEX(Orçamentária!A:B,MATCH(Composições!A5373,Orçamentária!A:A,0),2)</f>
        <v>Interruptor duplo para condulete</v>
      </c>
      <c r="C5373" s="40"/>
      <c r="D5373" s="25" t="str">
        <f>TRIM(INDEX(Orçamentária!C:C,MATCH(Composições!A5373,Orçamentária!A:A,0),1))</f>
        <v>un</v>
      </c>
      <c r="E5373" s="26"/>
      <c r="F5373" s="41" t="s">
        <v>514</v>
      </c>
      <c r="G5373" s="27" t="str">
        <f t="shared" si="103"/>
        <v/>
      </c>
      <c r="H5373" s="28"/>
      <c r="I5373" s="29"/>
      <c r="J5373" s="148">
        <v>0</v>
      </c>
      <c r="K5373" s="222">
        <v>0</v>
      </c>
    </row>
    <row r="5374" spans="1:11" hidden="1" x14ac:dyDescent="0.25">
      <c r="A5374" s="203"/>
      <c r="B5374" s="205"/>
      <c r="C5374" s="31"/>
      <c r="D5374" s="31"/>
      <c r="E5374" s="32"/>
      <c r="F5374" s="42" t="s">
        <v>514</v>
      </c>
      <c r="G5374" s="30" t="str">
        <f t="shared" si="103"/>
        <v/>
      </c>
      <c r="H5374" s="34"/>
      <c r="I5374" s="30"/>
      <c r="J5374" s="148">
        <v>0</v>
      </c>
      <c r="K5374" s="222">
        <v>0</v>
      </c>
    </row>
    <row r="5375" spans="1:11" hidden="1" x14ac:dyDescent="0.25">
      <c r="A5375" s="203"/>
      <c r="B5375" s="205"/>
      <c r="C5375" s="35" t="s">
        <v>30</v>
      </c>
      <c r="D5375" s="35" t="s">
        <v>12</v>
      </c>
      <c r="E5375" s="36">
        <f>0.3/2</f>
        <v>0.15</v>
      </c>
      <c r="F5375" s="30">
        <v>25.146499999999996</v>
      </c>
      <c r="G5375" s="33">
        <f t="shared" si="103"/>
        <v>3.7719749999999994</v>
      </c>
      <c r="H5375" s="38">
        <f>SUM(G5375:G5378)</f>
        <v>11.58325</v>
      </c>
      <c r="I5375" s="39"/>
      <c r="J5375" s="148">
        <v>0</v>
      </c>
      <c r="K5375" s="222">
        <v>0</v>
      </c>
    </row>
    <row r="5376" spans="1:11" hidden="1" x14ac:dyDescent="0.25">
      <c r="A5376" s="203"/>
      <c r="B5376" s="205"/>
      <c r="C5376" s="35" t="s">
        <v>74</v>
      </c>
      <c r="D5376" s="35" t="s">
        <v>12</v>
      </c>
      <c r="E5376" s="36">
        <f>0.3/2</f>
        <v>0.15</v>
      </c>
      <c r="F5376" s="30">
        <v>19.4085</v>
      </c>
      <c r="G5376" s="33">
        <f t="shared" si="103"/>
        <v>2.9112749999999998</v>
      </c>
      <c r="H5376" s="34"/>
      <c r="I5376" s="30"/>
      <c r="J5376" s="148">
        <v>0</v>
      </c>
      <c r="K5376" s="222">
        <v>0</v>
      </c>
    </row>
    <row r="5377" spans="1:11" ht="25.5" hidden="1" x14ac:dyDescent="0.25">
      <c r="A5377" s="203"/>
      <c r="B5377" s="205"/>
      <c r="C5377" s="35" t="s">
        <v>499</v>
      </c>
      <c r="D5377" s="35" t="s">
        <v>20</v>
      </c>
      <c r="E5377" s="36">
        <v>1</v>
      </c>
      <c r="F5377" s="33">
        <v>4.9000000000000004</v>
      </c>
      <c r="G5377" s="33">
        <f t="shared" si="103"/>
        <v>4.9000000000000004</v>
      </c>
      <c r="H5377" s="34"/>
      <c r="I5377" s="30"/>
      <c r="J5377" s="148">
        <v>0</v>
      </c>
      <c r="K5377" s="222">
        <v>0</v>
      </c>
    </row>
    <row r="5378" spans="1:11" ht="25.5" hidden="1" x14ac:dyDescent="0.25">
      <c r="A5378" s="203"/>
      <c r="B5378" s="205"/>
      <c r="C5378" s="35" t="s">
        <v>6396</v>
      </c>
      <c r="D5378" s="35" t="s">
        <v>20</v>
      </c>
      <c r="E5378" s="36">
        <v>1</v>
      </c>
      <c r="F5378" s="33" t="s">
        <v>514</v>
      </c>
      <c r="G5378" s="30" t="str">
        <f t="shared" si="103"/>
        <v/>
      </c>
      <c r="H5378" s="34"/>
      <c r="I5378" s="30"/>
      <c r="J5378" s="148">
        <v>0</v>
      </c>
      <c r="K5378" s="222">
        <v>0</v>
      </c>
    </row>
    <row r="5379" spans="1:11" ht="15.75" hidden="1" thickBot="1" x14ac:dyDescent="0.3">
      <c r="A5379" s="209"/>
      <c r="B5379" s="206"/>
      <c r="C5379" s="35"/>
      <c r="D5379" s="35"/>
      <c r="E5379" s="36"/>
      <c r="F5379" s="30" t="s">
        <v>514</v>
      </c>
      <c r="G5379" s="30" t="str">
        <f t="shared" si="103"/>
        <v/>
      </c>
      <c r="H5379" s="34"/>
      <c r="I5379" s="30"/>
      <c r="J5379" s="148">
        <v>0</v>
      </c>
      <c r="K5379" s="222">
        <v>0</v>
      </c>
    </row>
    <row r="5380" spans="1:11" ht="15.75" hidden="1" thickBot="1" x14ac:dyDescent="0.3">
      <c r="A5380" s="202" t="s">
        <v>3752</v>
      </c>
      <c r="B5380" s="204" t="str">
        <f>INDEX(Orçamentária!A:B,MATCH(Composições!A5380,Orçamentária!A:A,0),2)</f>
        <v>Leito 400x100 mm</v>
      </c>
      <c r="C5380" s="40"/>
      <c r="D5380" s="25" t="str">
        <f>TRIM(INDEX(Orçamentária!C:C,MATCH(Composições!A5380,Orçamentária!A:A,0),1))</f>
        <v>m</v>
      </c>
      <c r="E5380" s="26"/>
      <c r="F5380" s="41" t="s">
        <v>514</v>
      </c>
      <c r="G5380" s="27" t="str">
        <f t="shared" si="103"/>
        <v/>
      </c>
      <c r="H5380" s="28"/>
      <c r="I5380" s="29"/>
      <c r="J5380" s="148">
        <v>0</v>
      </c>
      <c r="K5380" s="222">
        <v>0</v>
      </c>
    </row>
    <row r="5381" spans="1:11" hidden="1" x14ac:dyDescent="0.25">
      <c r="A5381" s="203"/>
      <c r="B5381" s="205"/>
      <c r="C5381" s="31"/>
      <c r="D5381" s="31"/>
      <c r="E5381" s="32"/>
      <c r="F5381" s="42" t="s">
        <v>514</v>
      </c>
      <c r="G5381" s="30" t="str">
        <f t="shared" si="103"/>
        <v/>
      </c>
      <c r="H5381" s="34"/>
      <c r="I5381" s="30"/>
      <c r="J5381" s="148">
        <v>0</v>
      </c>
      <c r="K5381" s="222">
        <v>0</v>
      </c>
    </row>
    <row r="5382" spans="1:11" hidden="1" x14ac:dyDescent="0.25">
      <c r="A5382" s="203"/>
      <c r="B5382" s="205"/>
      <c r="C5382" s="35" t="s">
        <v>30</v>
      </c>
      <c r="D5382" s="35" t="s">
        <v>12</v>
      </c>
      <c r="E5382" s="36">
        <v>0.6</v>
      </c>
      <c r="F5382" s="30">
        <v>25.146499999999996</v>
      </c>
      <c r="G5382" s="33">
        <f t="shared" si="103"/>
        <v>15.087899999999998</v>
      </c>
      <c r="H5382" s="38">
        <f>SUM(G5382:G5384)</f>
        <v>26.732999999999997</v>
      </c>
      <c r="I5382" s="39"/>
      <c r="J5382" s="148">
        <v>0</v>
      </c>
      <c r="K5382" s="222">
        <v>0</v>
      </c>
    </row>
    <row r="5383" spans="1:11" hidden="1" x14ac:dyDescent="0.25">
      <c r="A5383" s="203"/>
      <c r="B5383" s="205"/>
      <c r="C5383" s="35" t="s">
        <v>74</v>
      </c>
      <c r="D5383" s="35" t="s">
        <v>12</v>
      </c>
      <c r="E5383" s="36">
        <v>0.6</v>
      </c>
      <c r="F5383" s="30">
        <v>19.4085</v>
      </c>
      <c r="G5383" s="33">
        <f t="shared" si="103"/>
        <v>11.645099999999999</v>
      </c>
      <c r="H5383" s="34"/>
      <c r="I5383" s="30"/>
      <c r="J5383" s="148">
        <v>0</v>
      </c>
      <c r="K5383" s="222">
        <v>0</v>
      </c>
    </row>
    <row r="5384" spans="1:11" ht="25.5" hidden="1" x14ac:dyDescent="0.25">
      <c r="A5384" s="203"/>
      <c r="B5384" s="205"/>
      <c r="C5384" s="35" t="s">
        <v>6397</v>
      </c>
      <c r="D5384" s="35" t="s">
        <v>92</v>
      </c>
      <c r="E5384" s="36">
        <v>1.05</v>
      </c>
      <c r="F5384" s="30" t="s">
        <v>514</v>
      </c>
      <c r="G5384" s="33" t="str">
        <f t="shared" si="103"/>
        <v/>
      </c>
      <c r="H5384" s="34"/>
      <c r="I5384" s="30"/>
      <c r="J5384" s="148">
        <v>0</v>
      </c>
      <c r="K5384" s="222">
        <v>0</v>
      </c>
    </row>
    <row r="5385" spans="1:11" ht="15.75" hidden="1" thickBot="1" x14ac:dyDescent="0.3">
      <c r="A5385" s="209"/>
      <c r="B5385" s="206"/>
      <c r="C5385" s="35"/>
      <c r="D5385" s="35"/>
      <c r="E5385" s="36"/>
      <c r="F5385" s="30" t="s">
        <v>514</v>
      </c>
      <c r="G5385" s="30" t="str">
        <f t="shared" si="103"/>
        <v/>
      </c>
      <c r="H5385" s="34"/>
      <c r="I5385" s="30"/>
      <c r="J5385" s="148">
        <v>0</v>
      </c>
      <c r="K5385" s="222">
        <v>0</v>
      </c>
    </row>
    <row r="5386" spans="1:11" ht="15.75" hidden="1" thickBot="1" x14ac:dyDescent="0.3">
      <c r="A5386" s="202" t="s">
        <v>3753</v>
      </c>
      <c r="B5386" s="204" t="str">
        <f>INDEX(Orçamentária!A:B,MATCH(Composições!A5386,Orçamentária!A:A,0),2)</f>
        <v>Leito 600x100 mm</v>
      </c>
      <c r="C5386" s="40"/>
      <c r="D5386" s="25" t="str">
        <f>TRIM(INDEX(Orçamentária!C:C,MATCH(Composições!A5386,Orçamentária!A:A,0),1))</f>
        <v>m</v>
      </c>
      <c r="E5386" s="26"/>
      <c r="F5386" s="41" t="s">
        <v>514</v>
      </c>
      <c r="G5386" s="27" t="str">
        <f t="shared" si="103"/>
        <v/>
      </c>
      <c r="H5386" s="28"/>
      <c r="I5386" s="29"/>
      <c r="J5386" s="148">
        <v>0</v>
      </c>
      <c r="K5386" s="222">
        <v>0</v>
      </c>
    </row>
    <row r="5387" spans="1:11" hidden="1" x14ac:dyDescent="0.25">
      <c r="A5387" s="203"/>
      <c r="B5387" s="205"/>
      <c r="C5387" s="31"/>
      <c r="D5387" s="31"/>
      <c r="E5387" s="32"/>
      <c r="F5387" s="42" t="s">
        <v>514</v>
      </c>
      <c r="G5387" s="30" t="str">
        <f t="shared" si="103"/>
        <v/>
      </c>
      <c r="H5387" s="34"/>
      <c r="I5387" s="30"/>
      <c r="J5387" s="148">
        <v>0</v>
      </c>
      <c r="K5387" s="222">
        <v>0</v>
      </c>
    </row>
    <row r="5388" spans="1:11" hidden="1" x14ac:dyDescent="0.25">
      <c r="A5388" s="203"/>
      <c r="B5388" s="205"/>
      <c r="C5388" s="35" t="s">
        <v>30</v>
      </c>
      <c r="D5388" s="35" t="s">
        <v>12</v>
      </c>
      <c r="E5388" s="36">
        <v>0.7</v>
      </c>
      <c r="F5388" s="30">
        <v>25.146499999999996</v>
      </c>
      <c r="G5388" s="33">
        <f t="shared" si="103"/>
        <v>17.602549999999997</v>
      </c>
      <c r="H5388" s="38">
        <f>SUM(G5388:G5390)</f>
        <v>31.188499999999998</v>
      </c>
      <c r="I5388" s="39"/>
      <c r="J5388" s="148">
        <v>0</v>
      </c>
      <c r="K5388" s="222">
        <v>0</v>
      </c>
    </row>
    <row r="5389" spans="1:11" hidden="1" x14ac:dyDescent="0.25">
      <c r="A5389" s="203"/>
      <c r="B5389" s="205"/>
      <c r="C5389" s="35" t="s">
        <v>74</v>
      </c>
      <c r="D5389" s="35" t="s">
        <v>12</v>
      </c>
      <c r="E5389" s="36">
        <v>0.7</v>
      </c>
      <c r="F5389" s="30">
        <v>19.4085</v>
      </c>
      <c r="G5389" s="33">
        <f t="shared" si="103"/>
        <v>13.585949999999999</v>
      </c>
      <c r="H5389" s="34"/>
      <c r="I5389" s="30"/>
      <c r="J5389" s="148">
        <v>0</v>
      </c>
      <c r="K5389" s="222">
        <v>0</v>
      </c>
    </row>
    <row r="5390" spans="1:11" ht="25.5" hidden="1" x14ac:dyDescent="0.25">
      <c r="A5390" s="203"/>
      <c r="B5390" s="205"/>
      <c r="C5390" s="35" t="s">
        <v>6398</v>
      </c>
      <c r="D5390" s="35" t="s">
        <v>92</v>
      </c>
      <c r="E5390" s="36">
        <v>1.05</v>
      </c>
      <c r="F5390" s="30" t="s">
        <v>514</v>
      </c>
      <c r="G5390" s="33" t="str">
        <f t="shared" si="103"/>
        <v/>
      </c>
      <c r="H5390" s="34"/>
      <c r="I5390" s="30"/>
      <c r="J5390" s="148">
        <v>0</v>
      </c>
      <c r="K5390" s="222">
        <v>0</v>
      </c>
    </row>
    <row r="5391" spans="1:11" ht="15.75" hidden="1" thickBot="1" x14ac:dyDescent="0.3">
      <c r="A5391" s="209"/>
      <c r="B5391" s="206"/>
      <c r="C5391" s="35"/>
      <c r="D5391" s="35"/>
      <c r="E5391" s="36"/>
      <c r="F5391" s="30" t="s">
        <v>514</v>
      </c>
      <c r="G5391" s="30" t="str">
        <f t="shared" si="103"/>
        <v/>
      </c>
      <c r="H5391" s="34"/>
      <c r="I5391" s="30"/>
      <c r="J5391" s="148">
        <v>0</v>
      </c>
      <c r="K5391" s="222">
        <v>0</v>
      </c>
    </row>
    <row r="5392" spans="1:11" ht="15.75" hidden="1" thickBot="1" x14ac:dyDescent="0.3">
      <c r="A5392" s="202" t="s">
        <v>3754</v>
      </c>
      <c r="B5392" s="204" t="str">
        <f>INDEX(Orçamentária!A:B,MATCH(Composições!A5392,Orçamentária!A:A,0),2)</f>
        <v>Luminária 2x28 W hermética de sobrepor</v>
      </c>
      <c r="C5392" s="40"/>
      <c r="D5392" s="25" t="str">
        <f>TRIM(INDEX(Orçamentária!C:C,MATCH(Composições!A5392,Orçamentária!A:A,0),1))</f>
        <v>un</v>
      </c>
      <c r="E5392" s="26"/>
      <c r="F5392" s="41" t="s">
        <v>514</v>
      </c>
      <c r="G5392" s="27" t="str">
        <f t="shared" si="103"/>
        <v/>
      </c>
      <c r="H5392" s="28"/>
      <c r="I5392" s="29"/>
      <c r="J5392" s="148">
        <v>0</v>
      </c>
      <c r="K5392" s="222">
        <v>0</v>
      </c>
    </row>
    <row r="5393" spans="1:11" hidden="1" x14ac:dyDescent="0.25">
      <c r="A5393" s="203"/>
      <c r="B5393" s="205"/>
      <c r="C5393" s="31"/>
      <c r="D5393" s="31"/>
      <c r="E5393" s="32"/>
      <c r="F5393" s="42" t="s">
        <v>514</v>
      </c>
      <c r="G5393" s="30" t="str">
        <f t="shared" si="103"/>
        <v/>
      </c>
      <c r="H5393" s="34"/>
      <c r="I5393" s="30"/>
      <c r="J5393" s="148">
        <v>0</v>
      </c>
      <c r="K5393" s="222">
        <v>0</v>
      </c>
    </row>
    <row r="5394" spans="1:11" ht="51" hidden="1" x14ac:dyDescent="0.25">
      <c r="A5394" s="203"/>
      <c r="B5394" s="205"/>
      <c r="C5394" s="35" t="s">
        <v>6399</v>
      </c>
      <c r="D5394" s="35" t="s">
        <v>143</v>
      </c>
      <c r="E5394" s="36">
        <v>1</v>
      </c>
      <c r="F5394" s="33" t="s">
        <v>514</v>
      </c>
      <c r="G5394" s="30" t="str">
        <f t="shared" si="103"/>
        <v/>
      </c>
      <c r="H5394" s="38">
        <f>SUM(G5394:G5398)</f>
        <v>302.69255754999995</v>
      </c>
      <c r="I5394" s="39"/>
      <c r="J5394" s="148">
        <v>0</v>
      </c>
      <c r="K5394" s="222">
        <v>0</v>
      </c>
    </row>
    <row r="5395" spans="1:11" ht="25.5" hidden="1" x14ac:dyDescent="0.25">
      <c r="A5395" s="203"/>
      <c r="B5395" s="205"/>
      <c r="C5395" s="35" t="s">
        <v>6384</v>
      </c>
      <c r="D5395" s="35" t="s">
        <v>143</v>
      </c>
      <c r="E5395" s="36">
        <v>1</v>
      </c>
      <c r="F5395" s="33">
        <v>127.16</v>
      </c>
      <c r="G5395" s="30">
        <f t="shared" si="103"/>
        <v>127.16</v>
      </c>
      <c r="H5395" s="44"/>
      <c r="I5395" s="45"/>
      <c r="J5395" s="148">
        <v>0</v>
      </c>
      <c r="K5395" s="222">
        <v>0</v>
      </c>
    </row>
    <row r="5396" spans="1:11" ht="25.5" hidden="1" x14ac:dyDescent="0.25">
      <c r="A5396" s="203"/>
      <c r="B5396" s="205"/>
      <c r="C5396" s="35" t="s">
        <v>541</v>
      </c>
      <c r="D5396" s="35" t="s">
        <v>143</v>
      </c>
      <c r="E5396" s="36">
        <v>2</v>
      </c>
      <c r="F5396" s="33">
        <v>80.88</v>
      </c>
      <c r="G5396" s="30">
        <f t="shared" si="103"/>
        <v>161.76</v>
      </c>
      <c r="H5396" s="44"/>
      <c r="I5396" s="45"/>
      <c r="J5396" s="148">
        <v>0</v>
      </c>
      <c r="K5396" s="222">
        <v>0</v>
      </c>
    </row>
    <row r="5397" spans="1:11" hidden="1" x14ac:dyDescent="0.25">
      <c r="A5397" s="203"/>
      <c r="B5397" s="205"/>
      <c r="C5397" s="35" t="s">
        <v>74</v>
      </c>
      <c r="D5397" s="35" t="s">
        <v>12</v>
      </c>
      <c r="E5397" s="36">
        <v>0.17269999999999999</v>
      </c>
      <c r="F5397" s="30">
        <v>19.4085</v>
      </c>
      <c r="G5397" s="30">
        <f t="shared" si="103"/>
        <v>3.3518479499999998</v>
      </c>
      <c r="H5397" s="34"/>
      <c r="I5397" s="30"/>
      <c r="J5397" s="148">
        <v>0</v>
      </c>
      <c r="K5397" s="222">
        <v>0</v>
      </c>
    </row>
    <row r="5398" spans="1:11" hidden="1" x14ac:dyDescent="0.25">
      <c r="A5398" s="203"/>
      <c r="B5398" s="205"/>
      <c r="C5398" s="35" t="s">
        <v>30</v>
      </c>
      <c r="D5398" s="35" t="s">
        <v>12</v>
      </c>
      <c r="E5398" s="36">
        <v>0.41439999999999999</v>
      </c>
      <c r="F5398" s="30">
        <v>25.146499999999996</v>
      </c>
      <c r="G5398" s="30">
        <f t="shared" si="103"/>
        <v>10.420709599999999</v>
      </c>
      <c r="H5398" s="34"/>
      <c r="I5398" s="30"/>
      <c r="J5398" s="148">
        <v>0</v>
      </c>
      <c r="K5398" s="222">
        <v>0</v>
      </c>
    </row>
    <row r="5399" spans="1:11" ht="15.75" hidden="1" thickBot="1" x14ac:dyDescent="0.3">
      <c r="A5399" s="209"/>
      <c r="B5399" s="206"/>
      <c r="C5399" s="35"/>
      <c r="D5399" s="35"/>
      <c r="E5399" s="36"/>
      <c r="F5399" s="30" t="s">
        <v>514</v>
      </c>
      <c r="G5399" s="30" t="str">
        <f t="shared" si="103"/>
        <v/>
      </c>
      <c r="H5399" s="34"/>
      <c r="I5399" s="30"/>
      <c r="J5399" s="148">
        <v>0</v>
      </c>
      <c r="K5399" s="222">
        <v>0</v>
      </c>
    </row>
    <row r="5400" spans="1:11" ht="15.75" hidden="1" thickBot="1" x14ac:dyDescent="0.3">
      <c r="A5400" s="202" t="s">
        <v>3755</v>
      </c>
      <c r="B5400" s="204" t="str">
        <f>INDEX(Orçamentária!A:B,MATCH(Composições!A5400,Orçamentária!A:A,0),2)</f>
        <v>Luminária LED para poste 60 W</v>
      </c>
      <c r="C5400" s="40"/>
      <c r="D5400" s="25" t="str">
        <f>TRIM(INDEX(Orçamentária!C:C,MATCH(Composições!A5400,Orçamentária!A:A,0),1))</f>
        <v>un</v>
      </c>
      <c r="E5400" s="26"/>
      <c r="F5400" s="41" t="s">
        <v>514</v>
      </c>
      <c r="G5400" s="27" t="str">
        <f t="shared" si="103"/>
        <v/>
      </c>
      <c r="H5400" s="28"/>
      <c r="I5400" s="29"/>
      <c r="J5400" s="148">
        <v>0</v>
      </c>
      <c r="K5400" s="222">
        <v>0</v>
      </c>
    </row>
    <row r="5401" spans="1:11" hidden="1" x14ac:dyDescent="0.25">
      <c r="A5401" s="203"/>
      <c r="B5401" s="205"/>
      <c r="C5401" s="31"/>
      <c r="D5401" s="31"/>
      <c r="E5401" s="32"/>
      <c r="F5401" s="42" t="s">
        <v>514</v>
      </c>
      <c r="G5401" s="30" t="str">
        <f t="shared" si="103"/>
        <v/>
      </c>
      <c r="H5401" s="34"/>
      <c r="I5401" s="30"/>
      <c r="J5401" s="148">
        <v>0</v>
      </c>
      <c r="K5401" s="222">
        <v>0</v>
      </c>
    </row>
    <row r="5402" spans="1:11" ht="51" hidden="1" x14ac:dyDescent="0.25">
      <c r="A5402" s="203"/>
      <c r="B5402" s="205"/>
      <c r="C5402" s="35" t="s">
        <v>3180</v>
      </c>
      <c r="D5402" s="35" t="s">
        <v>932</v>
      </c>
      <c r="E5402" s="36">
        <v>0.23880000000000001</v>
      </c>
      <c r="F5402" s="33">
        <v>266.81700000000001</v>
      </c>
      <c r="G5402" s="30">
        <f t="shared" si="103"/>
        <v>63.715899600000007</v>
      </c>
      <c r="H5402" s="38">
        <f>SUM(G5402:G5406)</f>
        <v>480.49979509999997</v>
      </c>
      <c r="I5402" s="39"/>
      <c r="J5402" s="148">
        <v>0</v>
      </c>
      <c r="K5402" s="222">
        <v>0</v>
      </c>
    </row>
    <row r="5403" spans="1:11" ht="25.5" hidden="1" x14ac:dyDescent="0.25">
      <c r="A5403" s="203"/>
      <c r="B5403" s="205"/>
      <c r="C5403" s="35" t="s">
        <v>3303</v>
      </c>
      <c r="D5403" s="35" t="s">
        <v>278</v>
      </c>
      <c r="E5403" s="36">
        <v>1.4E-2</v>
      </c>
      <c r="F5403" s="33">
        <v>4.2749999999999995</v>
      </c>
      <c r="G5403" s="30">
        <f t="shared" si="103"/>
        <v>5.9849999999999993E-2</v>
      </c>
      <c r="H5403" s="44"/>
      <c r="I5403" s="45"/>
      <c r="J5403" s="148">
        <v>0</v>
      </c>
      <c r="K5403" s="222">
        <v>0</v>
      </c>
    </row>
    <row r="5404" spans="1:11" ht="25.5" hidden="1" x14ac:dyDescent="0.25">
      <c r="A5404" s="203"/>
      <c r="B5404" s="205"/>
      <c r="C5404" s="35" t="s">
        <v>3307</v>
      </c>
      <c r="D5404" s="35" t="s">
        <v>278</v>
      </c>
      <c r="E5404" s="36">
        <v>1</v>
      </c>
      <c r="F5404" s="33">
        <v>406.1155</v>
      </c>
      <c r="G5404" s="30">
        <f t="shared" si="103"/>
        <v>406.1155</v>
      </c>
      <c r="H5404" s="44"/>
      <c r="I5404" s="45"/>
      <c r="J5404" s="148">
        <v>0</v>
      </c>
      <c r="K5404" s="222">
        <v>0</v>
      </c>
    </row>
    <row r="5405" spans="1:11" hidden="1" x14ac:dyDescent="0.25">
      <c r="A5405" s="203"/>
      <c r="B5405" s="205"/>
      <c r="C5405" s="35" t="s">
        <v>1150</v>
      </c>
      <c r="D5405" s="35" t="s">
        <v>695</v>
      </c>
      <c r="E5405" s="36">
        <v>0.23810000000000001</v>
      </c>
      <c r="F5405" s="30">
        <v>19.4085</v>
      </c>
      <c r="G5405" s="30">
        <f t="shared" si="103"/>
        <v>4.6211638500000003</v>
      </c>
      <c r="H5405" s="34"/>
      <c r="I5405" s="30"/>
      <c r="J5405" s="148">
        <v>0</v>
      </c>
      <c r="K5405" s="222">
        <v>0</v>
      </c>
    </row>
    <row r="5406" spans="1:11" hidden="1" x14ac:dyDescent="0.25">
      <c r="A5406" s="203"/>
      <c r="B5406" s="205"/>
      <c r="C5406" s="35" t="s">
        <v>1151</v>
      </c>
      <c r="D5406" s="35" t="s">
        <v>695</v>
      </c>
      <c r="E5406" s="36">
        <v>0.23810000000000001</v>
      </c>
      <c r="F5406" s="30">
        <v>25.146499999999996</v>
      </c>
      <c r="G5406" s="30">
        <f t="shared" si="103"/>
        <v>5.9873816499999988</v>
      </c>
      <c r="H5406" s="34"/>
      <c r="I5406" s="30"/>
      <c r="J5406" s="148">
        <v>0</v>
      </c>
      <c r="K5406" s="222">
        <v>0</v>
      </c>
    </row>
    <row r="5407" spans="1:11" ht="15.75" hidden="1" thickBot="1" x14ac:dyDescent="0.3">
      <c r="A5407" s="209"/>
      <c r="B5407" s="206"/>
      <c r="C5407" s="35"/>
      <c r="D5407" s="35"/>
      <c r="E5407" s="36"/>
      <c r="F5407" s="30" t="s">
        <v>514</v>
      </c>
      <c r="G5407" s="30" t="str">
        <f t="shared" si="103"/>
        <v/>
      </c>
      <c r="H5407" s="34"/>
      <c r="I5407" s="30"/>
      <c r="J5407" s="148">
        <v>0</v>
      </c>
      <c r="K5407" s="222">
        <v>0</v>
      </c>
    </row>
    <row r="5408" spans="1:11" ht="15.75" hidden="1" thickBot="1" x14ac:dyDescent="0.3">
      <c r="A5408" s="202" t="s">
        <v>3756</v>
      </c>
      <c r="B5408" s="204" t="str">
        <f>INDEX(Orçamentária!A:B,MATCH(Composições!A5408,Orçamentária!A:A,0),2)</f>
        <v>Luminária LED para poste 120 W</v>
      </c>
      <c r="C5408" s="40"/>
      <c r="D5408" s="25" t="str">
        <f>TRIM(INDEX(Orçamentária!C:C,MATCH(Composições!A5408,Orçamentária!A:A,0),1))</f>
        <v>un</v>
      </c>
      <c r="E5408" s="26"/>
      <c r="F5408" s="41" t="s">
        <v>514</v>
      </c>
      <c r="G5408" s="27" t="str">
        <f t="shared" si="103"/>
        <v/>
      </c>
      <c r="H5408" s="28"/>
      <c r="I5408" s="29"/>
      <c r="J5408" s="148">
        <v>0</v>
      </c>
      <c r="K5408" s="222">
        <v>0</v>
      </c>
    </row>
    <row r="5409" spans="1:11" hidden="1" x14ac:dyDescent="0.25">
      <c r="A5409" s="203"/>
      <c r="B5409" s="205"/>
      <c r="C5409" s="31"/>
      <c r="D5409" s="31"/>
      <c r="E5409" s="32"/>
      <c r="F5409" s="42" t="s">
        <v>514</v>
      </c>
      <c r="G5409" s="30" t="str">
        <f t="shared" si="103"/>
        <v/>
      </c>
      <c r="H5409" s="34"/>
      <c r="I5409" s="30"/>
      <c r="J5409" s="148">
        <v>0</v>
      </c>
      <c r="K5409" s="222">
        <v>0</v>
      </c>
    </row>
    <row r="5410" spans="1:11" ht="51" hidden="1" x14ac:dyDescent="0.25">
      <c r="A5410" s="203"/>
      <c r="B5410" s="205"/>
      <c r="C5410" s="35" t="s">
        <v>3180</v>
      </c>
      <c r="D5410" s="35" t="s">
        <v>932</v>
      </c>
      <c r="E5410" s="36">
        <v>0.23880000000000001</v>
      </c>
      <c r="F5410" s="33">
        <v>266.81700000000001</v>
      </c>
      <c r="G5410" s="30">
        <f t="shared" si="103"/>
        <v>63.715899600000007</v>
      </c>
      <c r="H5410" s="38">
        <f>SUM(G5410:G5414)</f>
        <v>616.46379509999997</v>
      </c>
      <c r="I5410" s="39"/>
      <c r="J5410" s="148">
        <v>0</v>
      </c>
      <c r="K5410" s="222">
        <v>0</v>
      </c>
    </row>
    <row r="5411" spans="1:11" ht="25.5" hidden="1" x14ac:dyDescent="0.25">
      <c r="A5411" s="203"/>
      <c r="B5411" s="205"/>
      <c r="C5411" s="35" t="s">
        <v>3303</v>
      </c>
      <c r="D5411" s="35" t="s">
        <v>278</v>
      </c>
      <c r="E5411" s="36">
        <v>1.4E-2</v>
      </c>
      <c r="F5411" s="33">
        <v>4.2749999999999995</v>
      </c>
      <c r="G5411" s="30">
        <f t="shared" si="103"/>
        <v>5.9849999999999993E-2</v>
      </c>
      <c r="H5411" s="44"/>
      <c r="I5411" s="45"/>
      <c r="J5411" s="148">
        <v>0</v>
      </c>
      <c r="K5411" s="222">
        <v>0</v>
      </c>
    </row>
    <row r="5412" spans="1:11" ht="25.5" hidden="1" x14ac:dyDescent="0.25">
      <c r="A5412" s="203"/>
      <c r="B5412" s="205"/>
      <c r="C5412" s="35" t="s">
        <v>3308</v>
      </c>
      <c r="D5412" s="35" t="s">
        <v>278</v>
      </c>
      <c r="E5412" s="36">
        <v>1</v>
      </c>
      <c r="F5412" s="33">
        <v>542.07949999999994</v>
      </c>
      <c r="G5412" s="30">
        <f t="shared" si="103"/>
        <v>542.07949999999994</v>
      </c>
      <c r="H5412" s="44"/>
      <c r="I5412" s="45"/>
      <c r="J5412" s="148">
        <v>0</v>
      </c>
      <c r="K5412" s="222">
        <v>0</v>
      </c>
    </row>
    <row r="5413" spans="1:11" hidden="1" x14ac:dyDescent="0.25">
      <c r="A5413" s="203"/>
      <c r="B5413" s="205"/>
      <c r="C5413" s="35" t="s">
        <v>1150</v>
      </c>
      <c r="D5413" s="35" t="s">
        <v>695</v>
      </c>
      <c r="E5413" s="36">
        <v>0.23810000000000001</v>
      </c>
      <c r="F5413" s="30">
        <v>19.4085</v>
      </c>
      <c r="G5413" s="30">
        <f t="shared" si="103"/>
        <v>4.6211638500000003</v>
      </c>
      <c r="H5413" s="34"/>
      <c r="I5413" s="30"/>
      <c r="J5413" s="148">
        <v>0</v>
      </c>
      <c r="K5413" s="222">
        <v>0</v>
      </c>
    </row>
    <row r="5414" spans="1:11" hidden="1" x14ac:dyDescent="0.25">
      <c r="A5414" s="203"/>
      <c r="B5414" s="205"/>
      <c r="C5414" s="35" t="s">
        <v>1151</v>
      </c>
      <c r="D5414" s="35" t="s">
        <v>695</v>
      </c>
      <c r="E5414" s="36">
        <v>0.23810000000000001</v>
      </c>
      <c r="F5414" s="30">
        <v>25.146499999999996</v>
      </c>
      <c r="G5414" s="30">
        <f t="shared" si="103"/>
        <v>5.9873816499999988</v>
      </c>
      <c r="H5414" s="34"/>
      <c r="I5414" s="30"/>
      <c r="J5414" s="148">
        <v>0</v>
      </c>
      <c r="K5414" s="222">
        <v>0</v>
      </c>
    </row>
    <row r="5415" spans="1:11" ht="15.75" hidden="1" thickBot="1" x14ac:dyDescent="0.3">
      <c r="A5415" s="209"/>
      <c r="B5415" s="206"/>
      <c r="C5415" s="35"/>
      <c r="D5415" s="35"/>
      <c r="E5415" s="36"/>
      <c r="F5415" s="30" t="s">
        <v>514</v>
      </c>
      <c r="G5415" s="30" t="str">
        <f t="shared" si="103"/>
        <v/>
      </c>
      <c r="H5415" s="34"/>
      <c r="I5415" s="30"/>
      <c r="J5415" s="148">
        <v>0</v>
      </c>
      <c r="K5415" s="222">
        <v>0</v>
      </c>
    </row>
    <row r="5416" spans="1:11" ht="15.75" hidden="1" thickBot="1" x14ac:dyDescent="0.3">
      <c r="A5416" s="202" t="s">
        <v>3762</v>
      </c>
      <c r="B5416" s="204" t="str">
        <f>INDEX(Orçamentária!A:B,MATCH(Composições!A5416,Orçamentária!A:A,0),2)</f>
        <v>Poste curvo simples 8 metros</v>
      </c>
      <c r="C5416" s="40"/>
      <c r="D5416" s="25" t="str">
        <f>TRIM(INDEX(Orçamentária!C:C,MATCH(Composições!A5416,Orçamentária!A:A,0),1))</f>
        <v>un</v>
      </c>
      <c r="E5416" s="26"/>
      <c r="F5416" s="41" t="s">
        <v>514</v>
      </c>
      <c r="G5416" s="27" t="str">
        <f t="shared" si="103"/>
        <v/>
      </c>
      <c r="H5416" s="28"/>
      <c r="I5416" s="29"/>
      <c r="J5416" s="148">
        <v>0</v>
      </c>
      <c r="K5416" s="222">
        <v>0</v>
      </c>
    </row>
    <row r="5417" spans="1:11" hidden="1" x14ac:dyDescent="0.25">
      <c r="A5417" s="203"/>
      <c r="B5417" s="205"/>
      <c r="C5417" s="31"/>
      <c r="D5417" s="31"/>
      <c r="E5417" s="32"/>
      <c r="F5417" s="42" t="s">
        <v>514</v>
      </c>
      <c r="G5417" s="30" t="str">
        <f t="shared" si="103"/>
        <v/>
      </c>
      <c r="H5417" s="34"/>
      <c r="I5417" s="30"/>
      <c r="J5417" s="148">
        <v>0</v>
      </c>
      <c r="K5417" s="222">
        <v>0</v>
      </c>
    </row>
    <row r="5418" spans="1:11" ht="25.5" hidden="1" x14ac:dyDescent="0.25">
      <c r="A5418" s="203"/>
      <c r="B5418" s="205"/>
      <c r="C5418" s="35" t="s">
        <v>6619</v>
      </c>
      <c r="D5418" s="35" t="s">
        <v>278</v>
      </c>
      <c r="E5418" s="36">
        <v>1</v>
      </c>
      <c r="F5418" s="33">
        <v>2005.0415</v>
      </c>
      <c r="G5418" s="30">
        <f t="shared" si="103"/>
        <v>2005.0415</v>
      </c>
      <c r="H5418" s="38">
        <f>SUM(G5418:G5421)</f>
        <v>2106.1192295000001</v>
      </c>
      <c r="I5418" s="39"/>
      <c r="J5418" s="148">
        <v>0</v>
      </c>
      <c r="K5418" s="222">
        <v>0</v>
      </c>
    </row>
    <row r="5419" spans="1:11" ht="51" hidden="1" x14ac:dyDescent="0.25">
      <c r="A5419" s="203"/>
      <c r="B5419" s="205"/>
      <c r="C5419" s="35" t="s">
        <v>3180</v>
      </c>
      <c r="D5419" s="35" t="s">
        <v>932</v>
      </c>
      <c r="E5419" s="36">
        <v>0.111</v>
      </c>
      <c r="F5419" s="33">
        <v>266.81700000000001</v>
      </c>
      <c r="G5419" s="30">
        <f t="shared" si="103"/>
        <v>29.616687000000002</v>
      </c>
      <c r="H5419" s="44"/>
      <c r="I5419" s="45"/>
      <c r="J5419" s="148">
        <v>0</v>
      </c>
      <c r="K5419" s="222">
        <v>0</v>
      </c>
    </row>
    <row r="5420" spans="1:11" hidden="1" x14ac:dyDescent="0.25">
      <c r="A5420" s="203"/>
      <c r="B5420" s="205"/>
      <c r="C5420" s="35" t="s">
        <v>1150</v>
      </c>
      <c r="D5420" s="35" t="s">
        <v>695</v>
      </c>
      <c r="E5420" s="36">
        <f>1.413/2</f>
        <v>0.70650000000000002</v>
      </c>
      <c r="F5420" s="33">
        <v>19.4085</v>
      </c>
      <c r="G5420" s="30">
        <f t="shared" si="103"/>
        <v>13.71210525</v>
      </c>
      <c r="H5420" s="44"/>
      <c r="I5420" s="45"/>
      <c r="J5420" s="148">
        <v>0</v>
      </c>
      <c r="K5420" s="222">
        <v>0</v>
      </c>
    </row>
    <row r="5421" spans="1:11" hidden="1" x14ac:dyDescent="0.25">
      <c r="A5421" s="203"/>
      <c r="B5421" s="205"/>
      <c r="C5421" s="35" t="s">
        <v>1151</v>
      </c>
      <c r="D5421" s="35" t="s">
        <v>695</v>
      </c>
      <c r="E5421" s="36">
        <f>4.593/2</f>
        <v>2.2965</v>
      </c>
      <c r="F5421" s="30">
        <v>25.146499999999996</v>
      </c>
      <c r="G5421" s="30">
        <f t="shared" si="103"/>
        <v>57.74893724999999</v>
      </c>
      <c r="H5421" s="34"/>
      <c r="I5421" s="30"/>
      <c r="J5421" s="148">
        <v>0</v>
      </c>
      <c r="K5421" s="222">
        <v>0</v>
      </c>
    </row>
    <row r="5422" spans="1:11" ht="15.75" hidden="1" thickBot="1" x14ac:dyDescent="0.3">
      <c r="A5422" s="209"/>
      <c r="B5422" s="206"/>
      <c r="C5422" s="35"/>
      <c r="D5422" s="35"/>
      <c r="E5422" s="36"/>
      <c r="F5422" s="30" t="s">
        <v>514</v>
      </c>
      <c r="G5422" s="30" t="str">
        <f t="shared" ref="G5422:G5485" si="104">IF(ISNUMBER(F5422),E5422*F5422,"")</f>
        <v/>
      </c>
      <c r="H5422" s="34"/>
      <c r="I5422" s="30"/>
      <c r="J5422" s="148">
        <v>0</v>
      </c>
      <c r="K5422" s="222">
        <v>0</v>
      </c>
    </row>
    <row r="5423" spans="1:11" ht="15.75" hidden="1" thickBot="1" x14ac:dyDescent="0.3">
      <c r="A5423" s="202" t="s">
        <v>3763</v>
      </c>
      <c r="B5423" s="204" t="str">
        <f>INDEX(Orçamentária!A:B,MATCH(Composições!A5423,Orçamentária!A:A,0),2)</f>
        <v>Caixa de Passagem Subterrânea 300x300x500mm</v>
      </c>
      <c r="C5423" s="40"/>
      <c r="D5423" s="25" t="str">
        <f>TRIM(INDEX(Orçamentária!C:C,MATCH(Composições!A5423,Orçamentária!A:A,0),1))</f>
        <v>un</v>
      </c>
      <c r="E5423" s="26"/>
      <c r="F5423" s="41" t="s">
        <v>514</v>
      </c>
      <c r="G5423" s="27" t="str">
        <f t="shared" si="104"/>
        <v/>
      </c>
      <c r="H5423" s="28"/>
      <c r="I5423" s="29"/>
      <c r="J5423" s="148">
        <v>0</v>
      </c>
      <c r="K5423" s="222">
        <v>0</v>
      </c>
    </row>
    <row r="5424" spans="1:11" hidden="1" x14ac:dyDescent="0.25">
      <c r="A5424" s="203"/>
      <c r="B5424" s="205"/>
      <c r="C5424" s="31"/>
      <c r="D5424" s="31"/>
      <c r="E5424" s="32"/>
      <c r="F5424" s="42" t="s">
        <v>514</v>
      </c>
      <c r="G5424" s="30" t="str">
        <f t="shared" si="104"/>
        <v/>
      </c>
      <c r="H5424" s="34"/>
      <c r="I5424" s="30"/>
      <c r="J5424" s="148">
        <v>0</v>
      </c>
      <c r="K5424" s="222">
        <v>0</v>
      </c>
    </row>
    <row r="5425" spans="1:11" hidden="1" x14ac:dyDescent="0.25">
      <c r="A5425" s="203"/>
      <c r="B5425" s="205"/>
      <c r="C5425" s="35" t="s">
        <v>3498</v>
      </c>
      <c r="D5425" s="35" t="s">
        <v>278</v>
      </c>
      <c r="E5425" s="36">
        <f>48.7507*5/3</f>
        <v>81.251166666666663</v>
      </c>
      <c r="F5425" s="30">
        <v>0.64600000000000002</v>
      </c>
      <c r="G5425" s="33">
        <f t="shared" si="104"/>
        <v>52.488253666666665</v>
      </c>
      <c r="H5425" s="38">
        <f>SUM(G5425:G5431)</f>
        <v>258.01236569563162</v>
      </c>
      <c r="I5425" s="39"/>
      <c r="J5425" s="148">
        <v>0</v>
      </c>
      <c r="K5425" s="222">
        <v>0</v>
      </c>
    </row>
    <row r="5426" spans="1:11" ht="38.25" hidden="1" x14ac:dyDescent="0.25">
      <c r="A5426" s="203"/>
      <c r="B5426" s="205"/>
      <c r="C5426" s="35" t="s">
        <v>992</v>
      </c>
      <c r="D5426" s="35" t="s">
        <v>119</v>
      </c>
      <c r="E5426" s="36">
        <f>0.0004*5/3</f>
        <v>6.6666666666666664E-4</v>
      </c>
      <c r="F5426" s="30">
        <v>557.594803974</v>
      </c>
      <c r="G5426" s="33">
        <f t="shared" si="104"/>
        <v>0.37172986931599999</v>
      </c>
      <c r="H5426" s="34"/>
      <c r="I5426" s="30"/>
      <c r="J5426" s="148">
        <v>0</v>
      </c>
      <c r="K5426" s="222">
        <v>0</v>
      </c>
    </row>
    <row r="5427" spans="1:11" hidden="1" x14ac:dyDescent="0.25">
      <c r="A5427" s="203"/>
      <c r="B5427" s="205"/>
      <c r="C5427" s="35" t="s">
        <v>703</v>
      </c>
      <c r="D5427" s="35" t="s">
        <v>695</v>
      </c>
      <c r="E5427" s="36">
        <f>1.5362*5/3</f>
        <v>2.5603333333333333</v>
      </c>
      <c r="F5427" s="33">
        <v>24.889999999999997</v>
      </c>
      <c r="G5427" s="30">
        <f t="shared" si="104"/>
        <v>63.726696666666662</v>
      </c>
      <c r="H5427" s="34"/>
      <c r="I5427" s="30"/>
      <c r="J5427" s="148">
        <v>0</v>
      </c>
      <c r="K5427" s="222">
        <v>0</v>
      </c>
    </row>
    <row r="5428" spans="1:11" hidden="1" x14ac:dyDescent="0.25">
      <c r="A5428" s="203"/>
      <c r="B5428" s="205"/>
      <c r="C5428" s="35" t="s">
        <v>696</v>
      </c>
      <c r="D5428" s="35" t="s">
        <v>695</v>
      </c>
      <c r="E5428" s="36">
        <f>1.5362*5/3</f>
        <v>2.5603333333333333</v>
      </c>
      <c r="F5428" s="30">
        <v>18.420500000000001</v>
      </c>
      <c r="G5428" s="33">
        <f t="shared" si="104"/>
        <v>47.16262016666667</v>
      </c>
      <c r="H5428" s="34"/>
      <c r="I5428" s="39"/>
      <c r="J5428" s="148">
        <v>0</v>
      </c>
      <c r="K5428" s="222">
        <v>0</v>
      </c>
    </row>
    <row r="5429" spans="1:11" ht="25.5" hidden="1" x14ac:dyDescent="0.25">
      <c r="A5429" s="203"/>
      <c r="B5429" s="205"/>
      <c r="C5429" s="35" t="s">
        <v>3212</v>
      </c>
      <c r="D5429" s="35" t="s">
        <v>119</v>
      </c>
      <c r="E5429" s="36">
        <f>0.0278*5/3</f>
        <v>4.6333333333333331E-2</v>
      </c>
      <c r="F5429" s="30">
        <v>631.98173465899993</v>
      </c>
      <c r="G5429" s="33">
        <f t="shared" si="104"/>
        <v>29.281820372533662</v>
      </c>
      <c r="H5429" s="34"/>
      <c r="I5429" s="30"/>
      <c r="J5429" s="148">
        <v>0</v>
      </c>
      <c r="K5429" s="222">
        <v>0</v>
      </c>
    </row>
    <row r="5430" spans="1:11" ht="25.5" hidden="1" x14ac:dyDescent="0.25">
      <c r="A5430" s="203"/>
      <c r="B5430" s="205"/>
      <c r="C5430" s="35" t="s">
        <v>3200</v>
      </c>
      <c r="D5430" s="35" t="s">
        <v>119</v>
      </c>
      <c r="E5430" s="36">
        <f>0.0175</f>
        <v>1.7500000000000002E-2</v>
      </c>
      <c r="F5430" s="33">
        <v>2905.4640497749674</v>
      </c>
      <c r="G5430" s="30">
        <f t="shared" si="104"/>
        <v>50.845620871061932</v>
      </c>
      <c r="H5430" s="34"/>
      <c r="I5430" s="30"/>
      <c r="J5430" s="148">
        <v>0</v>
      </c>
      <c r="K5430" s="222">
        <v>0</v>
      </c>
    </row>
    <row r="5431" spans="1:11" ht="25.5" hidden="1" x14ac:dyDescent="0.25">
      <c r="A5431" s="203"/>
      <c r="B5431" s="205"/>
      <c r="C5431" s="35" t="s">
        <v>3672</v>
      </c>
      <c r="D5431" s="35" t="s">
        <v>119</v>
      </c>
      <c r="E5431" s="36">
        <f>0.036</f>
        <v>3.5999999999999997E-2</v>
      </c>
      <c r="F5431" s="30">
        <v>392.65622452000002</v>
      </c>
      <c r="G5431" s="33">
        <f t="shared" si="104"/>
        <v>14.13562408272</v>
      </c>
      <c r="H5431" s="34"/>
      <c r="I5431" s="39"/>
      <c r="J5431" s="148">
        <v>0</v>
      </c>
      <c r="K5431" s="222">
        <v>0</v>
      </c>
    </row>
    <row r="5432" spans="1:11" ht="15.75" hidden="1" thickBot="1" x14ac:dyDescent="0.3">
      <c r="A5432" s="209"/>
      <c r="B5432" s="206"/>
      <c r="C5432" s="35"/>
      <c r="D5432" s="35"/>
      <c r="E5432" s="36"/>
      <c r="F5432" s="30" t="s">
        <v>514</v>
      </c>
      <c r="G5432" s="30" t="str">
        <f t="shared" si="104"/>
        <v/>
      </c>
      <c r="H5432" s="34"/>
      <c r="I5432" s="30"/>
      <c r="J5432" s="148">
        <v>0</v>
      </c>
      <c r="K5432" s="222">
        <v>0</v>
      </c>
    </row>
    <row r="5433" spans="1:11" ht="15.75" hidden="1" thickBot="1" x14ac:dyDescent="0.3">
      <c r="A5433" s="202" t="s">
        <v>3766</v>
      </c>
      <c r="B5433" s="204" t="str">
        <f>INDEX(Orçamentária!A:B,MATCH(Composições!A5433,Orçamentária!A:A,0),2)</f>
        <v>Caixa de Passagem Subterrânea 600x600x800mm</v>
      </c>
      <c r="C5433" s="40"/>
      <c r="D5433" s="25" t="str">
        <f>TRIM(INDEX(Orçamentária!C:C,MATCH(Composições!A5433,Orçamentária!A:A,0),1))</f>
        <v>un</v>
      </c>
      <c r="E5433" s="26"/>
      <c r="F5433" s="41" t="s">
        <v>514</v>
      </c>
      <c r="G5433" s="27" t="str">
        <f t="shared" si="104"/>
        <v/>
      </c>
      <c r="H5433" s="28"/>
      <c r="I5433" s="29"/>
      <c r="J5433" s="148">
        <v>0</v>
      </c>
      <c r="K5433" s="222">
        <v>0</v>
      </c>
    </row>
    <row r="5434" spans="1:11" hidden="1" x14ac:dyDescent="0.25">
      <c r="A5434" s="203"/>
      <c r="B5434" s="205"/>
      <c r="C5434" s="31"/>
      <c r="D5434" s="31"/>
      <c r="E5434" s="32"/>
      <c r="F5434" s="42" t="s">
        <v>514</v>
      </c>
      <c r="G5434" s="30" t="str">
        <f t="shared" si="104"/>
        <v/>
      </c>
      <c r="H5434" s="34"/>
      <c r="I5434" s="30"/>
      <c r="J5434" s="148">
        <v>0</v>
      </c>
      <c r="K5434" s="222">
        <v>0</v>
      </c>
    </row>
    <row r="5435" spans="1:11" ht="63.75" hidden="1" x14ac:dyDescent="0.25">
      <c r="A5435" s="203"/>
      <c r="B5435" s="205"/>
      <c r="C5435" s="35" t="s">
        <v>3179</v>
      </c>
      <c r="D5435" s="35" t="s">
        <v>932</v>
      </c>
      <c r="E5435" s="36">
        <f>ROUND(0.0087*8/6,4)</f>
        <v>1.1599999999999999E-2</v>
      </c>
      <c r="F5435" s="30">
        <v>138.96600000000001</v>
      </c>
      <c r="G5435" s="33">
        <f t="shared" si="104"/>
        <v>1.6120056</v>
      </c>
      <c r="H5435" s="38">
        <f>SUM(G5435:G5443)</f>
        <v>688.7206560515059</v>
      </c>
      <c r="I5435" s="39"/>
      <c r="J5435" s="148">
        <v>0</v>
      </c>
      <c r="K5435" s="222">
        <v>0</v>
      </c>
    </row>
    <row r="5436" spans="1:11" ht="63.75" hidden="1" x14ac:dyDescent="0.25">
      <c r="A5436" s="203"/>
      <c r="B5436" s="205"/>
      <c r="C5436" s="35" t="s">
        <v>3185</v>
      </c>
      <c r="D5436" s="35" t="s">
        <v>934</v>
      </c>
      <c r="E5436" s="36">
        <f>ROUND(0.0294*8/6,4)</f>
        <v>3.9199999999999999E-2</v>
      </c>
      <c r="F5436" s="30">
        <v>50.8155</v>
      </c>
      <c r="G5436" s="33">
        <f t="shared" si="104"/>
        <v>1.9919675999999999</v>
      </c>
      <c r="H5436" s="34"/>
      <c r="I5436" s="30"/>
      <c r="J5436" s="148">
        <v>0</v>
      </c>
      <c r="K5436" s="222">
        <v>0</v>
      </c>
    </row>
    <row r="5437" spans="1:11" hidden="1" x14ac:dyDescent="0.25">
      <c r="A5437" s="203"/>
      <c r="B5437" s="205"/>
      <c r="C5437" s="35" t="s">
        <v>3498</v>
      </c>
      <c r="D5437" s="35" t="s">
        <v>278</v>
      </c>
      <c r="E5437" s="36">
        <f>ROUND(169.8027*8/6,4)</f>
        <v>226.40360000000001</v>
      </c>
      <c r="F5437" s="33">
        <v>0.64600000000000002</v>
      </c>
      <c r="G5437" s="30">
        <f t="shared" si="104"/>
        <v>146.25672560000001</v>
      </c>
      <c r="H5437" s="34"/>
      <c r="I5437" s="30"/>
      <c r="J5437" s="148">
        <v>0</v>
      </c>
      <c r="K5437" s="222">
        <v>0</v>
      </c>
    </row>
    <row r="5438" spans="1:11" ht="38.25" hidden="1" x14ac:dyDescent="0.25">
      <c r="A5438" s="203"/>
      <c r="B5438" s="205"/>
      <c r="C5438" s="35" t="s">
        <v>992</v>
      </c>
      <c r="D5438" s="35" t="s">
        <v>119</v>
      </c>
      <c r="E5438" s="36">
        <f>ROUND(0.0014*8/6,4)</f>
        <v>1.9E-3</v>
      </c>
      <c r="F5438" s="30">
        <v>557.594803974</v>
      </c>
      <c r="G5438" s="33">
        <f t="shared" si="104"/>
        <v>1.0594301275506</v>
      </c>
      <c r="H5438" s="34"/>
      <c r="I5438" s="39"/>
      <c r="J5438" s="148">
        <v>0</v>
      </c>
      <c r="K5438" s="222">
        <v>0</v>
      </c>
    </row>
    <row r="5439" spans="1:11" hidden="1" x14ac:dyDescent="0.25">
      <c r="A5439" s="203"/>
      <c r="B5439" s="205"/>
      <c r="C5439" s="35" t="s">
        <v>703</v>
      </c>
      <c r="D5439" s="35" t="s">
        <v>695</v>
      </c>
      <c r="E5439" s="36">
        <f>ROUND(5.4392*8/6,4)</f>
        <v>7.2523</v>
      </c>
      <c r="F5439" s="30">
        <v>24.889999999999997</v>
      </c>
      <c r="G5439" s="33">
        <f t="shared" si="104"/>
        <v>180.50974699999998</v>
      </c>
      <c r="H5439" s="34"/>
      <c r="I5439" s="30"/>
      <c r="J5439" s="148">
        <v>0</v>
      </c>
      <c r="K5439" s="222">
        <v>0</v>
      </c>
    </row>
    <row r="5440" spans="1:11" hidden="1" x14ac:dyDescent="0.25">
      <c r="A5440" s="203"/>
      <c r="B5440" s="205"/>
      <c r="C5440" s="35" t="s">
        <v>696</v>
      </c>
      <c r="D5440" s="35" t="s">
        <v>695</v>
      </c>
      <c r="E5440" s="36">
        <f>ROUND(5.4392*8/6,4)</f>
        <v>7.2523</v>
      </c>
      <c r="F5440" s="33">
        <v>18.420500000000001</v>
      </c>
      <c r="G5440" s="30">
        <f t="shared" si="104"/>
        <v>133.59099215000001</v>
      </c>
      <c r="H5440" s="34"/>
      <c r="I5440" s="30"/>
      <c r="J5440" s="148">
        <v>0</v>
      </c>
      <c r="K5440" s="222">
        <v>0</v>
      </c>
    </row>
    <row r="5441" spans="1:11" ht="25.5" hidden="1" x14ac:dyDescent="0.25">
      <c r="A5441" s="203"/>
      <c r="B5441" s="205"/>
      <c r="C5441" s="35" t="s">
        <v>3212</v>
      </c>
      <c r="D5441" s="35" t="s">
        <v>119</v>
      </c>
      <c r="E5441" s="36">
        <f>ROUND(0.1012*8/6,4)</f>
        <v>0.13489999999999999</v>
      </c>
      <c r="F5441" s="30">
        <v>631.98173465899993</v>
      </c>
      <c r="G5441" s="33">
        <f t="shared" si="104"/>
        <v>85.254336005499084</v>
      </c>
      <c r="H5441" s="34"/>
      <c r="I5441" s="39"/>
      <c r="J5441" s="148">
        <v>0</v>
      </c>
      <c r="K5441" s="222">
        <v>0</v>
      </c>
    </row>
    <row r="5442" spans="1:11" ht="25.5" hidden="1" x14ac:dyDescent="0.25">
      <c r="A5442" s="203"/>
      <c r="B5442" s="205"/>
      <c r="C5442" s="35" t="s">
        <v>3201</v>
      </c>
      <c r="D5442" s="35" t="s">
        <v>119</v>
      </c>
      <c r="E5442" s="36">
        <v>4.48E-2</v>
      </c>
      <c r="F5442" s="30">
        <v>2438.7459780766985</v>
      </c>
      <c r="G5442" s="33">
        <f t="shared" si="104"/>
        <v>109.2558198178361</v>
      </c>
      <c r="H5442" s="34"/>
      <c r="I5442" s="30"/>
      <c r="J5442" s="148">
        <v>0</v>
      </c>
      <c r="K5442" s="222">
        <v>0</v>
      </c>
    </row>
    <row r="5443" spans="1:11" ht="25.5" hidden="1" x14ac:dyDescent="0.25">
      <c r="A5443" s="203"/>
      <c r="B5443" s="205"/>
      <c r="C5443" s="35" t="s">
        <v>3673</v>
      </c>
      <c r="D5443" s="35" t="s">
        <v>119</v>
      </c>
      <c r="E5443" s="36">
        <v>8.1000000000000003E-2</v>
      </c>
      <c r="F5443" s="33">
        <v>360.36582901999998</v>
      </c>
      <c r="G5443" s="30">
        <f t="shared" si="104"/>
        <v>29.18963215062</v>
      </c>
      <c r="H5443" s="34"/>
      <c r="I5443" s="30"/>
      <c r="J5443" s="148">
        <v>0</v>
      </c>
      <c r="K5443" s="222">
        <v>0</v>
      </c>
    </row>
    <row r="5444" spans="1:11" ht="15.75" hidden="1" thickBot="1" x14ac:dyDescent="0.3">
      <c r="A5444" s="209"/>
      <c r="B5444" s="206"/>
      <c r="C5444" s="35"/>
      <c r="D5444" s="35"/>
      <c r="E5444" s="36"/>
      <c r="F5444" s="30" t="s">
        <v>514</v>
      </c>
      <c r="G5444" s="30" t="str">
        <f t="shared" si="104"/>
        <v/>
      </c>
      <c r="H5444" s="34"/>
      <c r="I5444" s="30"/>
      <c r="J5444" s="148">
        <v>0</v>
      </c>
      <c r="K5444" s="222">
        <v>0</v>
      </c>
    </row>
    <row r="5445" spans="1:11" ht="15.75" hidden="1" thickBot="1" x14ac:dyDescent="0.3">
      <c r="A5445" s="202" t="s">
        <v>3768</v>
      </c>
      <c r="B5445" s="204" t="str">
        <f>INDEX(Orçamentária!A:B,MATCH(Composições!A5445,Orçamentária!A:A,0),2)</f>
        <v>Kit terminal para cabo de potência, 8,7 kV/15 kV, 95 mm²</v>
      </c>
      <c r="C5445" s="40"/>
      <c r="D5445" s="25" t="str">
        <f>TRIM(INDEX(Orçamentária!C:C,MATCH(Composições!A5445,Orçamentária!A:A,0),1))</f>
        <v>un</v>
      </c>
      <c r="E5445" s="26"/>
      <c r="F5445" s="41" t="s">
        <v>514</v>
      </c>
      <c r="G5445" s="27" t="str">
        <f t="shared" si="104"/>
        <v/>
      </c>
      <c r="H5445" s="28"/>
      <c r="I5445" s="29"/>
      <c r="J5445" s="148">
        <v>0</v>
      </c>
      <c r="K5445" s="222">
        <v>0</v>
      </c>
    </row>
    <row r="5446" spans="1:11" hidden="1" x14ac:dyDescent="0.25">
      <c r="A5446" s="203"/>
      <c r="B5446" s="205"/>
      <c r="C5446" s="31"/>
      <c r="D5446" s="31"/>
      <c r="E5446" s="32"/>
      <c r="F5446" s="42" t="s">
        <v>514</v>
      </c>
      <c r="G5446" s="30" t="str">
        <f t="shared" si="104"/>
        <v/>
      </c>
      <c r="H5446" s="34"/>
      <c r="I5446" s="30"/>
      <c r="J5446" s="148">
        <v>0</v>
      </c>
      <c r="K5446" s="222">
        <v>0</v>
      </c>
    </row>
    <row r="5447" spans="1:11" hidden="1" x14ac:dyDescent="0.25">
      <c r="A5447" s="203"/>
      <c r="B5447" s="205"/>
      <c r="C5447" s="35" t="s">
        <v>6400</v>
      </c>
      <c r="D5447" s="35" t="s">
        <v>278</v>
      </c>
      <c r="E5447" s="36">
        <v>1</v>
      </c>
      <c r="F5447" s="33" t="s">
        <v>514</v>
      </c>
      <c r="G5447" s="30" t="str">
        <f t="shared" si="104"/>
        <v/>
      </c>
      <c r="H5447" s="38">
        <f>SUM(G5447:G5449)</f>
        <v>22.277499999999996</v>
      </c>
      <c r="I5447" s="39"/>
      <c r="J5447" s="148">
        <v>0</v>
      </c>
      <c r="K5447" s="222">
        <v>0</v>
      </c>
    </row>
    <row r="5448" spans="1:11" hidden="1" x14ac:dyDescent="0.25">
      <c r="A5448" s="203"/>
      <c r="B5448" s="205"/>
      <c r="C5448" s="35" t="s">
        <v>1150</v>
      </c>
      <c r="D5448" s="35" t="s">
        <v>695</v>
      </c>
      <c r="E5448" s="36">
        <v>0.5</v>
      </c>
      <c r="F5448" s="33">
        <v>19.4085</v>
      </c>
      <c r="G5448" s="30">
        <f t="shared" si="104"/>
        <v>9.70425</v>
      </c>
      <c r="H5448" s="44"/>
      <c r="I5448" s="45"/>
      <c r="J5448" s="148">
        <v>0</v>
      </c>
      <c r="K5448" s="222">
        <v>0</v>
      </c>
    </row>
    <row r="5449" spans="1:11" hidden="1" x14ac:dyDescent="0.25">
      <c r="A5449" s="203"/>
      <c r="B5449" s="205"/>
      <c r="C5449" s="35" t="s">
        <v>1151</v>
      </c>
      <c r="D5449" s="35" t="s">
        <v>695</v>
      </c>
      <c r="E5449" s="36">
        <v>0.5</v>
      </c>
      <c r="F5449" s="30">
        <v>25.146499999999996</v>
      </c>
      <c r="G5449" s="30">
        <f t="shared" si="104"/>
        <v>12.573249999999998</v>
      </c>
      <c r="H5449" s="34"/>
      <c r="I5449" s="30"/>
      <c r="J5449" s="148">
        <v>0</v>
      </c>
      <c r="K5449" s="222">
        <v>0</v>
      </c>
    </row>
    <row r="5450" spans="1:11" ht="15.75" hidden="1" thickBot="1" x14ac:dyDescent="0.3">
      <c r="A5450" s="209"/>
      <c r="B5450" s="206"/>
      <c r="C5450" s="35"/>
      <c r="D5450" s="35"/>
      <c r="E5450" s="36"/>
      <c r="F5450" s="30" t="s">
        <v>514</v>
      </c>
      <c r="G5450" s="30" t="str">
        <f t="shared" si="104"/>
        <v/>
      </c>
      <c r="H5450" s="34"/>
      <c r="I5450" s="30"/>
      <c r="J5450" s="148">
        <v>0</v>
      </c>
      <c r="K5450" s="222">
        <v>0</v>
      </c>
    </row>
    <row r="5451" spans="1:11" ht="15.75" hidden="1" thickBot="1" x14ac:dyDescent="0.3">
      <c r="A5451" s="202" t="s">
        <v>3769</v>
      </c>
      <c r="B5451" s="204" t="str">
        <f>INDEX(Orçamentária!A:B,MATCH(Composições!A5451,Orçamentária!A:A,0),2)</f>
        <v>Kit terminal para cabo de potência, 8,7 kV/15 kV, 240 mm²</v>
      </c>
      <c r="C5451" s="40"/>
      <c r="D5451" s="25" t="str">
        <f>TRIM(INDEX(Orçamentária!C:C,MATCH(Composições!A5451,Orçamentária!A:A,0),1))</f>
        <v>un</v>
      </c>
      <c r="E5451" s="26"/>
      <c r="F5451" s="41" t="s">
        <v>514</v>
      </c>
      <c r="G5451" s="27" t="str">
        <f t="shared" si="104"/>
        <v/>
      </c>
      <c r="H5451" s="28"/>
      <c r="I5451" s="29"/>
      <c r="J5451" s="148">
        <v>0</v>
      </c>
      <c r="K5451" s="222">
        <v>0</v>
      </c>
    </row>
    <row r="5452" spans="1:11" hidden="1" x14ac:dyDescent="0.25">
      <c r="A5452" s="203"/>
      <c r="B5452" s="205"/>
      <c r="C5452" s="31"/>
      <c r="D5452" s="31"/>
      <c r="E5452" s="32"/>
      <c r="F5452" s="42" t="s">
        <v>514</v>
      </c>
      <c r="G5452" s="30" t="str">
        <f t="shared" si="104"/>
        <v/>
      </c>
      <c r="H5452" s="34"/>
      <c r="I5452" s="30"/>
      <c r="J5452" s="148">
        <v>0</v>
      </c>
      <c r="K5452" s="222">
        <v>0</v>
      </c>
    </row>
    <row r="5453" spans="1:11" hidden="1" x14ac:dyDescent="0.25">
      <c r="A5453" s="203"/>
      <c r="B5453" s="205"/>
      <c r="C5453" s="35" t="s">
        <v>6401</v>
      </c>
      <c r="D5453" s="35" t="s">
        <v>278</v>
      </c>
      <c r="E5453" s="36">
        <v>1</v>
      </c>
      <c r="F5453" s="33" t="s">
        <v>514</v>
      </c>
      <c r="G5453" s="30" t="str">
        <f t="shared" si="104"/>
        <v/>
      </c>
      <c r="H5453" s="38">
        <f>SUM(G5453:G5455)</f>
        <v>22.277499999999996</v>
      </c>
      <c r="I5453" s="39"/>
      <c r="J5453" s="148">
        <v>0</v>
      </c>
      <c r="K5453" s="222">
        <v>0</v>
      </c>
    </row>
    <row r="5454" spans="1:11" hidden="1" x14ac:dyDescent="0.25">
      <c r="A5454" s="203"/>
      <c r="B5454" s="205"/>
      <c r="C5454" s="35" t="s">
        <v>1150</v>
      </c>
      <c r="D5454" s="35" t="s">
        <v>695</v>
      </c>
      <c r="E5454" s="36">
        <v>0.5</v>
      </c>
      <c r="F5454" s="33">
        <v>19.4085</v>
      </c>
      <c r="G5454" s="30">
        <f t="shared" si="104"/>
        <v>9.70425</v>
      </c>
      <c r="H5454" s="44"/>
      <c r="I5454" s="45"/>
      <c r="J5454" s="148">
        <v>0</v>
      </c>
      <c r="K5454" s="222">
        <v>0</v>
      </c>
    </row>
    <row r="5455" spans="1:11" hidden="1" x14ac:dyDescent="0.25">
      <c r="A5455" s="203"/>
      <c r="B5455" s="205"/>
      <c r="C5455" s="35" t="s">
        <v>1151</v>
      </c>
      <c r="D5455" s="35" t="s">
        <v>695</v>
      </c>
      <c r="E5455" s="36">
        <v>0.5</v>
      </c>
      <c r="F5455" s="30">
        <v>25.146499999999996</v>
      </c>
      <c r="G5455" s="30">
        <f t="shared" si="104"/>
        <v>12.573249999999998</v>
      </c>
      <c r="H5455" s="34"/>
      <c r="I5455" s="30"/>
      <c r="J5455" s="148">
        <v>0</v>
      </c>
      <c r="K5455" s="222">
        <v>0</v>
      </c>
    </row>
    <row r="5456" spans="1:11" ht="15.75" hidden="1" thickBot="1" x14ac:dyDescent="0.3">
      <c r="A5456" s="209"/>
      <c r="B5456" s="206"/>
      <c r="C5456" s="35"/>
      <c r="D5456" s="35"/>
      <c r="E5456" s="36"/>
      <c r="F5456" s="30" t="s">
        <v>514</v>
      </c>
      <c r="G5456" s="30" t="str">
        <f t="shared" si="104"/>
        <v/>
      </c>
      <c r="H5456" s="34"/>
      <c r="I5456" s="30"/>
      <c r="J5456" s="148">
        <v>0</v>
      </c>
      <c r="K5456" s="222">
        <v>0</v>
      </c>
    </row>
    <row r="5457" spans="1:11" ht="15.75" hidden="1" thickBot="1" x14ac:dyDescent="0.3">
      <c r="A5457" s="202" t="s">
        <v>3770</v>
      </c>
      <c r="B5457" s="204" t="str">
        <f>INDEX(Orçamentária!A:B,MATCH(Composições!A5457,Orçamentária!A:A,0),2)</f>
        <v>Tomada para condulete (20 A)</v>
      </c>
      <c r="C5457" s="40"/>
      <c r="D5457" s="25" t="str">
        <f>TRIM(INDEX(Orçamentária!C:C,MATCH(Composições!A5457,Orçamentária!A:A,0),1))</f>
        <v>un</v>
      </c>
      <c r="E5457" s="26"/>
      <c r="F5457" s="41" t="s">
        <v>514</v>
      </c>
      <c r="G5457" s="27" t="str">
        <f t="shared" si="104"/>
        <v/>
      </c>
      <c r="H5457" s="28"/>
      <c r="I5457" s="29"/>
      <c r="J5457" s="148">
        <v>0</v>
      </c>
      <c r="K5457" s="222">
        <v>0</v>
      </c>
    </row>
    <row r="5458" spans="1:11" hidden="1" x14ac:dyDescent="0.25">
      <c r="A5458" s="203"/>
      <c r="B5458" s="205"/>
      <c r="C5458" s="31"/>
      <c r="D5458" s="31"/>
      <c r="E5458" s="32"/>
      <c r="F5458" s="42" t="s">
        <v>514</v>
      </c>
      <c r="G5458" s="30" t="str">
        <f t="shared" si="104"/>
        <v/>
      </c>
      <c r="H5458" s="34"/>
      <c r="I5458" s="30"/>
      <c r="J5458" s="148">
        <v>0</v>
      </c>
      <c r="K5458" s="222">
        <v>0</v>
      </c>
    </row>
    <row r="5459" spans="1:11" hidden="1" x14ac:dyDescent="0.25">
      <c r="A5459" s="203"/>
      <c r="B5459" s="205"/>
      <c r="C5459" s="35" t="s">
        <v>30</v>
      </c>
      <c r="D5459" s="35" t="s">
        <v>12</v>
      </c>
      <c r="E5459" s="36">
        <v>0.308</v>
      </c>
      <c r="F5459" s="30">
        <v>25.146499999999996</v>
      </c>
      <c r="G5459" s="33">
        <f t="shared" si="104"/>
        <v>7.7451219999999985</v>
      </c>
      <c r="H5459" s="38">
        <f>SUM(G5459:G5462)</f>
        <v>18.62294</v>
      </c>
      <c r="I5459" s="39"/>
      <c r="J5459" s="148">
        <v>0</v>
      </c>
      <c r="K5459" s="222">
        <v>0</v>
      </c>
    </row>
    <row r="5460" spans="1:11" hidden="1" x14ac:dyDescent="0.25">
      <c r="A5460" s="203"/>
      <c r="B5460" s="205"/>
      <c r="C5460" s="35" t="s">
        <v>74</v>
      </c>
      <c r="D5460" s="35" t="s">
        <v>12</v>
      </c>
      <c r="E5460" s="36">
        <v>0.308</v>
      </c>
      <c r="F5460" s="30">
        <v>19.4085</v>
      </c>
      <c r="G5460" s="33">
        <f t="shared" si="104"/>
        <v>5.9778180000000001</v>
      </c>
      <c r="H5460" s="34"/>
      <c r="I5460" s="30"/>
      <c r="J5460" s="148">
        <v>0</v>
      </c>
      <c r="K5460" s="222">
        <v>0</v>
      </c>
    </row>
    <row r="5461" spans="1:11" ht="25.5" hidden="1" x14ac:dyDescent="0.25">
      <c r="A5461" s="203"/>
      <c r="B5461" s="205"/>
      <c r="C5461" s="35" t="s">
        <v>499</v>
      </c>
      <c r="D5461" s="35" t="s">
        <v>20</v>
      </c>
      <c r="E5461" s="36">
        <v>1</v>
      </c>
      <c r="F5461" s="33">
        <v>4.9000000000000004</v>
      </c>
      <c r="G5461" s="33">
        <f t="shared" si="104"/>
        <v>4.9000000000000004</v>
      </c>
      <c r="H5461" s="34"/>
      <c r="I5461" s="30"/>
      <c r="J5461" s="148">
        <v>0</v>
      </c>
      <c r="K5461" s="222">
        <v>0</v>
      </c>
    </row>
    <row r="5462" spans="1:11" ht="25.5" hidden="1" x14ac:dyDescent="0.25">
      <c r="A5462" s="203"/>
      <c r="B5462" s="205"/>
      <c r="C5462" s="35" t="s">
        <v>6402</v>
      </c>
      <c r="D5462" s="35" t="s">
        <v>20</v>
      </c>
      <c r="E5462" s="36">
        <v>1</v>
      </c>
      <c r="F5462" s="33" t="s">
        <v>514</v>
      </c>
      <c r="G5462" s="30" t="str">
        <f t="shared" si="104"/>
        <v/>
      </c>
      <c r="H5462" s="34"/>
      <c r="I5462" s="30"/>
      <c r="J5462" s="148">
        <v>0</v>
      </c>
      <c r="K5462" s="222">
        <v>0</v>
      </c>
    </row>
    <row r="5463" spans="1:11" ht="15.75" hidden="1" thickBot="1" x14ac:dyDescent="0.3">
      <c r="A5463" s="209"/>
      <c r="B5463" s="206"/>
      <c r="C5463" s="35"/>
      <c r="D5463" s="35"/>
      <c r="E5463" s="36"/>
      <c r="F5463" s="30" t="s">
        <v>514</v>
      </c>
      <c r="G5463" s="30" t="str">
        <f t="shared" si="104"/>
        <v/>
      </c>
      <c r="H5463" s="34"/>
      <c r="I5463" s="30"/>
      <c r="J5463" s="148">
        <v>0</v>
      </c>
      <c r="K5463" s="222">
        <v>0</v>
      </c>
    </row>
    <row r="5464" spans="1:11" ht="15.75" hidden="1" thickBot="1" x14ac:dyDescent="0.3">
      <c r="A5464" s="202" t="s">
        <v>4997</v>
      </c>
      <c r="B5464" s="204" t="str">
        <f>INDEX(Orçamentária!A:B,MATCH(Composições!A5464,Orçamentária!A:A,0),2)</f>
        <v>Cabo de cobre nu 50 mm²</v>
      </c>
      <c r="C5464" s="40"/>
      <c r="D5464" s="25" t="str">
        <f>TRIM(INDEX(Orçamentária!C:C,MATCH(Composições!A5464,Orçamentária!A:A,0),1))</f>
        <v>m</v>
      </c>
      <c r="E5464" s="26"/>
      <c r="F5464" s="41" t="s">
        <v>514</v>
      </c>
      <c r="G5464" s="27" t="str">
        <f t="shared" si="104"/>
        <v/>
      </c>
      <c r="H5464" s="28"/>
      <c r="I5464" s="29"/>
      <c r="J5464" s="148">
        <v>0</v>
      </c>
      <c r="K5464" s="222">
        <v>0</v>
      </c>
    </row>
    <row r="5465" spans="1:11" hidden="1" x14ac:dyDescent="0.25">
      <c r="A5465" s="203"/>
      <c r="B5465" s="205"/>
      <c r="C5465" s="31"/>
      <c r="D5465" s="31"/>
      <c r="E5465" s="32"/>
      <c r="F5465" s="42" t="s">
        <v>514</v>
      </c>
      <c r="G5465" s="30" t="str">
        <f t="shared" si="104"/>
        <v/>
      </c>
      <c r="H5465" s="34"/>
      <c r="I5465" s="30"/>
      <c r="J5465" s="148">
        <v>0</v>
      </c>
      <c r="K5465" s="222">
        <v>0</v>
      </c>
    </row>
    <row r="5466" spans="1:11" hidden="1" x14ac:dyDescent="0.25">
      <c r="A5466" s="203"/>
      <c r="B5466" s="205"/>
      <c r="C5466" s="35" t="s">
        <v>3237</v>
      </c>
      <c r="D5466" s="35" t="s">
        <v>473</v>
      </c>
      <c r="E5466" s="36">
        <v>1.1000000000000001</v>
      </c>
      <c r="F5466" s="33">
        <v>39.719500000000004</v>
      </c>
      <c r="G5466" s="30">
        <f t="shared" si="104"/>
        <v>43.69145000000001</v>
      </c>
      <c r="H5466" s="38">
        <f>SUM(G5466:G5468)</f>
        <v>45.192953500000016</v>
      </c>
      <c r="I5466" s="39"/>
      <c r="J5466" s="148">
        <v>0</v>
      </c>
      <c r="K5466" s="222">
        <v>0</v>
      </c>
    </row>
    <row r="5467" spans="1:11" hidden="1" x14ac:dyDescent="0.25">
      <c r="A5467" s="203"/>
      <c r="B5467" s="205"/>
      <c r="C5467" s="35" t="s">
        <v>1150</v>
      </c>
      <c r="D5467" s="35" t="s">
        <v>695</v>
      </c>
      <c r="E5467" s="36">
        <v>3.3700000000000001E-2</v>
      </c>
      <c r="F5467" s="33">
        <v>19.4085</v>
      </c>
      <c r="G5467" s="30">
        <f t="shared" si="104"/>
        <v>0.65406644999999997</v>
      </c>
      <c r="H5467" s="44"/>
      <c r="I5467" s="45"/>
      <c r="J5467" s="148">
        <v>0</v>
      </c>
      <c r="K5467" s="222">
        <v>0</v>
      </c>
    </row>
    <row r="5468" spans="1:11" hidden="1" x14ac:dyDescent="0.25">
      <c r="A5468" s="203"/>
      <c r="B5468" s="205"/>
      <c r="C5468" s="35" t="s">
        <v>1151</v>
      </c>
      <c r="D5468" s="35" t="s">
        <v>695</v>
      </c>
      <c r="E5468" s="36">
        <v>3.3700000000000001E-2</v>
      </c>
      <c r="F5468" s="30">
        <v>25.146499999999996</v>
      </c>
      <c r="G5468" s="30">
        <f t="shared" si="104"/>
        <v>0.84743704999999991</v>
      </c>
      <c r="H5468" s="34"/>
      <c r="I5468" s="30"/>
      <c r="J5468" s="148">
        <v>0</v>
      </c>
      <c r="K5468" s="222">
        <v>0</v>
      </c>
    </row>
    <row r="5469" spans="1:11" ht="15.75" hidden="1" thickBot="1" x14ac:dyDescent="0.3">
      <c r="A5469" s="209"/>
      <c r="B5469" s="206"/>
      <c r="C5469" s="35"/>
      <c r="D5469" s="35"/>
      <c r="E5469" s="36"/>
      <c r="F5469" s="30" t="s">
        <v>514</v>
      </c>
      <c r="G5469" s="30" t="str">
        <f t="shared" si="104"/>
        <v/>
      </c>
      <c r="H5469" s="34"/>
      <c r="I5469" s="30"/>
      <c r="J5469" s="148">
        <v>0</v>
      </c>
      <c r="K5469" s="222">
        <v>0</v>
      </c>
    </row>
    <row r="5470" spans="1:11" ht="15.75" hidden="1" thickBot="1" x14ac:dyDescent="0.3">
      <c r="A5470" s="202" t="s">
        <v>4999</v>
      </c>
      <c r="B5470" s="204" t="str">
        <f>INDEX(Orçamentária!A:B,MATCH(Composições!A5470,Orçamentária!A:A,0),2)</f>
        <v>Haste de aterramento 3/4” x 3 m</v>
      </c>
      <c r="C5470" s="40"/>
      <c r="D5470" s="25" t="str">
        <f>TRIM(INDEX(Orçamentária!C:C,MATCH(Composições!A5470,Orçamentária!A:A,0),1))</f>
        <v>un</v>
      </c>
      <c r="E5470" s="26"/>
      <c r="F5470" s="41" t="s">
        <v>514</v>
      </c>
      <c r="G5470" s="27" t="str">
        <f t="shared" si="104"/>
        <v/>
      </c>
      <c r="H5470" s="28"/>
      <c r="I5470" s="29"/>
      <c r="J5470" s="148">
        <v>0</v>
      </c>
      <c r="K5470" s="222">
        <v>0</v>
      </c>
    </row>
    <row r="5471" spans="1:11" hidden="1" x14ac:dyDescent="0.25">
      <c r="A5471" s="203"/>
      <c r="B5471" s="205"/>
      <c r="C5471" s="31"/>
      <c r="D5471" s="31"/>
      <c r="E5471" s="32"/>
      <c r="F5471" s="42" t="s">
        <v>514</v>
      </c>
      <c r="G5471" s="30" t="str">
        <f t="shared" si="104"/>
        <v/>
      </c>
      <c r="H5471" s="34"/>
      <c r="I5471" s="30"/>
      <c r="J5471" s="148">
        <v>0</v>
      </c>
      <c r="K5471" s="222">
        <v>0</v>
      </c>
    </row>
    <row r="5472" spans="1:11" hidden="1" x14ac:dyDescent="0.25">
      <c r="A5472" s="203"/>
      <c r="B5472" s="205"/>
      <c r="C5472" s="35" t="s">
        <v>6403</v>
      </c>
      <c r="D5472" s="35" t="s">
        <v>20</v>
      </c>
      <c r="E5472" s="36">
        <v>1</v>
      </c>
      <c r="F5472" s="33" t="s">
        <v>514</v>
      </c>
      <c r="G5472" s="30" t="str">
        <f t="shared" si="104"/>
        <v/>
      </c>
      <c r="H5472" s="38">
        <f>SUM(G5472:G5474)</f>
        <v>17.621502499999998</v>
      </c>
      <c r="I5472" s="39"/>
      <c r="J5472" s="148">
        <v>0</v>
      </c>
      <c r="K5472" s="222">
        <v>0</v>
      </c>
    </row>
    <row r="5473" spans="1:11" hidden="1" x14ac:dyDescent="0.25">
      <c r="A5473" s="203"/>
      <c r="B5473" s="205"/>
      <c r="C5473" s="35" t="s">
        <v>1150</v>
      </c>
      <c r="D5473" s="35" t="s">
        <v>695</v>
      </c>
      <c r="E5473" s="36">
        <v>0.39550000000000002</v>
      </c>
      <c r="F5473" s="33">
        <v>19.4085</v>
      </c>
      <c r="G5473" s="30">
        <f t="shared" si="104"/>
        <v>7.6760617500000006</v>
      </c>
      <c r="H5473" s="44"/>
      <c r="I5473" s="45"/>
      <c r="J5473" s="148">
        <v>0</v>
      </c>
      <c r="K5473" s="222">
        <v>0</v>
      </c>
    </row>
    <row r="5474" spans="1:11" hidden="1" x14ac:dyDescent="0.25">
      <c r="A5474" s="203"/>
      <c r="B5474" s="205"/>
      <c r="C5474" s="35" t="s">
        <v>1151</v>
      </c>
      <c r="D5474" s="35" t="s">
        <v>695</v>
      </c>
      <c r="E5474" s="36">
        <v>0.39550000000000002</v>
      </c>
      <c r="F5474" s="30">
        <v>25.146499999999996</v>
      </c>
      <c r="G5474" s="30">
        <f t="shared" si="104"/>
        <v>9.9454407499999995</v>
      </c>
      <c r="H5474" s="34"/>
      <c r="I5474" s="30"/>
      <c r="J5474" s="148">
        <v>0</v>
      </c>
      <c r="K5474" s="222">
        <v>0</v>
      </c>
    </row>
    <row r="5475" spans="1:11" ht="15.75" hidden="1" thickBot="1" x14ac:dyDescent="0.3">
      <c r="A5475" s="209"/>
      <c r="B5475" s="206"/>
      <c r="C5475" s="35"/>
      <c r="D5475" s="35"/>
      <c r="E5475" s="36"/>
      <c r="F5475" s="30" t="s">
        <v>514</v>
      </c>
      <c r="G5475" s="30" t="str">
        <f t="shared" si="104"/>
        <v/>
      </c>
      <c r="H5475" s="34"/>
      <c r="I5475" s="30"/>
      <c r="J5475" s="148">
        <v>0</v>
      </c>
      <c r="K5475" s="222">
        <v>0</v>
      </c>
    </row>
    <row r="5476" spans="1:11" ht="15.75" hidden="1" thickBot="1" x14ac:dyDescent="0.3">
      <c r="A5476" s="202" t="s">
        <v>5000</v>
      </c>
      <c r="B5476" s="204" t="str">
        <f>INDEX(Orçamentária!A:B,MATCH(Composições!A5476,Orçamentária!A:A,0),2)</f>
        <v>Leito 800x100 mm</v>
      </c>
      <c r="C5476" s="40"/>
      <c r="D5476" s="25" t="str">
        <f>TRIM(INDEX(Orçamentária!C:C,MATCH(Composições!A5476,Orçamentária!A:A,0),1))</f>
        <v>m</v>
      </c>
      <c r="E5476" s="26"/>
      <c r="F5476" s="41" t="s">
        <v>514</v>
      </c>
      <c r="G5476" s="27" t="str">
        <f t="shared" si="104"/>
        <v/>
      </c>
      <c r="H5476" s="28"/>
      <c r="I5476" s="29"/>
      <c r="J5476" s="148">
        <v>0</v>
      </c>
      <c r="K5476" s="222">
        <v>0</v>
      </c>
    </row>
    <row r="5477" spans="1:11" hidden="1" x14ac:dyDescent="0.25">
      <c r="A5477" s="203"/>
      <c r="B5477" s="205"/>
      <c r="C5477" s="31"/>
      <c r="D5477" s="31"/>
      <c r="E5477" s="32"/>
      <c r="F5477" s="42" t="s">
        <v>514</v>
      </c>
      <c r="G5477" s="30" t="str">
        <f t="shared" si="104"/>
        <v/>
      </c>
      <c r="H5477" s="34"/>
      <c r="I5477" s="30"/>
      <c r="J5477" s="148">
        <v>0</v>
      </c>
      <c r="K5477" s="222">
        <v>0</v>
      </c>
    </row>
    <row r="5478" spans="1:11" hidden="1" x14ac:dyDescent="0.25">
      <c r="A5478" s="203"/>
      <c r="B5478" s="205"/>
      <c r="C5478" s="35" t="s">
        <v>30</v>
      </c>
      <c r="D5478" s="35" t="s">
        <v>12</v>
      </c>
      <c r="E5478" s="36">
        <v>0.75</v>
      </c>
      <c r="F5478" s="30">
        <v>25.146499999999996</v>
      </c>
      <c r="G5478" s="33">
        <f t="shared" si="104"/>
        <v>18.859874999999995</v>
      </c>
      <c r="H5478" s="38">
        <f>SUM(G5478:G5480)</f>
        <v>33.416249999999991</v>
      </c>
      <c r="I5478" s="39"/>
      <c r="J5478" s="148">
        <v>0</v>
      </c>
      <c r="K5478" s="222">
        <v>0</v>
      </c>
    </row>
    <row r="5479" spans="1:11" hidden="1" x14ac:dyDescent="0.25">
      <c r="A5479" s="203"/>
      <c r="B5479" s="205"/>
      <c r="C5479" s="35" t="s">
        <v>74</v>
      </c>
      <c r="D5479" s="35" t="s">
        <v>12</v>
      </c>
      <c r="E5479" s="36">
        <v>0.75</v>
      </c>
      <c r="F5479" s="30">
        <v>19.4085</v>
      </c>
      <c r="G5479" s="33">
        <f t="shared" si="104"/>
        <v>14.556374999999999</v>
      </c>
      <c r="H5479" s="34"/>
      <c r="I5479" s="30"/>
      <c r="J5479" s="148">
        <v>0</v>
      </c>
      <c r="K5479" s="222">
        <v>0</v>
      </c>
    </row>
    <row r="5480" spans="1:11" ht="25.5" hidden="1" x14ac:dyDescent="0.25">
      <c r="A5480" s="203"/>
      <c r="B5480" s="205"/>
      <c r="C5480" s="35" t="s">
        <v>6404</v>
      </c>
      <c r="D5480" s="35" t="s">
        <v>92</v>
      </c>
      <c r="E5480" s="36">
        <v>1.05</v>
      </c>
      <c r="F5480" s="30" t="s">
        <v>514</v>
      </c>
      <c r="G5480" s="33" t="str">
        <f t="shared" si="104"/>
        <v/>
      </c>
      <c r="H5480" s="34"/>
      <c r="I5480" s="30"/>
      <c r="J5480" s="148">
        <v>0</v>
      </c>
      <c r="K5480" s="222">
        <v>0</v>
      </c>
    </row>
    <row r="5481" spans="1:11" ht="15.75" hidden="1" thickBot="1" x14ac:dyDescent="0.3">
      <c r="A5481" s="209"/>
      <c r="B5481" s="206"/>
      <c r="C5481" s="35"/>
      <c r="D5481" s="35"/>
      <c r="E5481" s="36"/>
      <c r="F5481" s="30" t="s">
        <v>514</v>
      </c>
      <c r="G5481" s="30" t="str">
        <f t="shared" si="104"/>
        <v/>
      </c>
      <c r="H5481" s="34"/>
      <c r="I5481" s="30"/>
      <c r="J5481" s="148">
        <v>0</v>
      </c>
      <c r="K5481" s="222">
        <v>0</v>
      </c>
    </row>
    <row r="5482" spans="1:11" ht="15.75" hidden="1" thickBot="1" x14ac:dyDescent="0.3">
      <c r="A5482" s="202" t="s">
        <v>5001</v>
      </c>
      <c r="B5482" s="204" t="str">
        <f>INDEX(Orçamentária!A:B,MATCH(Composições!A5482,Orçamentária!A:A,0),2)</f>
        <v>Engenheiro(a) eletricista pleno</v>
      </c>
      <c r="C5482" s="40"/>
      <c r="D5482" s="25" t="str">
        <f>TRIM(INDEX(Orçamentária!C:C,MATCH(Composições!A5482,Orçamentária!A:A,0),1))</f>
        <v>hh</v>
      </c>
      <c r="E5482" s="26"/>
      <c r="F5482" s="41" t="s">
        <v>514</v>
      </c>
      <c r="G5482" s="27" t="str">
        <f t="shared" si="104"/>
        <v/>
      </c>
      <c r="H5482" s="28"/>
      <c r="I5482" s="29"/>
      <c r="J5482" s="148">
        <v>0</v>
      </c>
      <c r="K5482" s="222">
        <v>0</v>
      </c>
    </row>
    <row r="5483" spans="1:11" hidden="1" x14ac:dyDescent="0.25">
      <c r="A5483" s="203"/>
      <c r="B5483" s="205"/>
      <c r="C5483" s="31"/>
      <c r="D5483" s="31"/>
      <c r="E5483" s="32"/>
      <c r="F5483" s="42" t="s">
        <v>514</v>
      </c>
      <c r="G5483" s="30" t="str">
        <f t="shared" si="104"/>
        <v/>
      </c>
      <c r="H5483" s="34"/>
      <c r="I5483" s="30"/>
      <c r="J5483" s="148">
        <v>0</v>
      </c>
      <c r="K5483" s="222">
        <v>0</v>
      </c>
    </row>
    <row r="5484" spans="1:11" hidden="1" x14ac:dyDescent="0.25">
      <c r="A5484" s="203"/>
      <c r="B5484" s="205"/>
      <c r="C5484" s="35" t="s">
        <v>6405</v>
      </c>
      <c r="D5484" s="35" t="s">
        <v>12</v>
      </c>
      <c r="E5484" s="36">
        <v>1</v>
      </c>
      <c r="F5484" s="30">
        <v>114.18049999999999</v>
      </c>
      <c r="G5484" s="33">
        <f t="shared" si="104"/>
        <v>114.18049999999999</v>
      </c>
      <c r="H5484" s="38">
        <f>SUM(G5484:G5484)</f>
        <v>114.18049999999999</v>
      </c>
      <c r="I5484" s="39"/>
      <c r="J5484" s="148">
        <v>0</v>
      </c>
      <c r="K5484" s="222">
        <v>0</v>
      </c>
    </row>
    <row r="5485" spans="1:11" ht="15.75" hidden="1" thickBot="1" x14ac:dyDescent="0.3">
      <c r="A5485" s="209"/>
      <c r="B5485" s="206"/>
      <c r="C5485" s="35"/>
      <c r="D5485" s="35"/>
      <c r="E5485" s="36"/>
      <c r="F5485" s="30" t="s">
        <v>514</v>
      </c>
      <c r="G5485" s="30" t="str">
        <f t="shared" si="104"/>
        <v/>
      </c>
      <c r="H5485" s="34"/>
      <c r="I5485" s="30"/>
      <c r="J5485" s="148">
        <v>0</v>
      </c>
      <c r="K5485" s="222">
        <v>0</v>
      </c>
    </row>
    <row r="5486" spans="1:11" ht="15.75" hidden="1" thickBot="1" x14ac:dyDescent="0.3">
      <c r="A5486" s="202" t="s">
        <v>5003</v>
      </c>
      <c r="B5486" s="204" t="str">
        <f>INDEX(Orçamentária!A:B,MATCH(Composições!A5486,Orçamentária!A:A,0),2)</f>
        <v>Mão francesa metálica dupla</v>
      </c>
      <c r="C5486" s="40"/>
      <c r="D5486" s="25" t="str">
        <f>TRIM(INDEX(Orçamentária!C:C,MATCH(Composições!A5486,Orçamentária!A:A,0),1))</f>
        <v>un</v>
      </c>
      <c r="E5486" s="26"/>
      <c r="F5486" s="41" t="s">
        <v>514</v>
      </c>
      <c r="G5486" s="27" t="str">
        <f t="shared" ref="G5486:G5549" si="105">IF(ISNUMBER(F5486),E5486*F5486,"")</f>
        <v/>
      </c>
      <c r="H5486" s="28"/>
      <c r="I5486" s="29"/>
      <c r="J5486" s="148">
        <v>0</v>
      </c>
      <c r="K5486" s="222">
        <v>0</v>
      </c>
    </row>
    <row r="5487" spans="1:11" hidden="1" x14ac:dyDescent="0.25">
      <c r="A5487" s="203"/>
      <c r="B5487" s="205"/>
      <c r="C5487" s="31"/>
      <c r="D5487" s="31"/>
      <c r="E5487" s="32"/>
      <c r="F5487" s="42" t="s">
        <v>514</v>
      </c>
      <c r="G5487" s="30" t="str">
        <f t="shared" si="105"/>
        <v/>
      </c>
      <c r="H5487" s="34"/>
      <c r="I5487" s="30"/>
      <c r="J5487" s="148">
        <v>0</v>
      </c>
      <c r="K5487" s="222">
        <v>0</v>
      </c>
    </row>
    <row r="5488" spans="1:11" ht="38.25" hidden="1" x14ac:dyDescent="0.25">
      <c r="A5488" s="203"/>
      <c r="B5488" s="205"/>
      <c r="C5488" s="35" t="s">
        <v>1122</v>
      </c>
      <c r="D5488" s="35" t="s">
        <v>278</v>
      </c>
      <c r="E5488" s="36">
        <v>3</v>
      </c>
      <c r="F5488" s="30">
        <v>1.159</v>
      </c>
      <c r="G5488" s="33">
        <f t="shared" si="105"/>
        <v>3.4770000000000003</v>
      </c>
      <c r="H5488" s="38">
        <f>SUM(G5488:G5491)</f>
        <v>18.303614849999999</v>
      </c>
      <c r="I5488" s="39"/>
      <c r="J5488" s="148">
        <v>0</v>
      </c>
      <c r="K5488" s="222">
        <v>0</v>
      </c>
    </row>
    <row r="5489" spans="1:11" ht="25.5" hidden="1" x14ac:dyDescent="0.25">
      <c r="A5489" s="203"/>
      <c r="B5489" s="205"/>
      <c r="C5489" s="35" t="s">
        <v>6406</v>
      </c>
      <c r="D5489" s="35" t="s">
        <v>278</v>
      </c>
      <c r="E5489" s="36">
        <v>1</v>
      </c>
      <c r="F5489" s="30" t="s">
        <v>514</v>
      </c>
      <c r="G5489" s="33" t="str">
        <f t="shared" si="105"/>
        <v/>
      </c>
      <c r="H5489" s="34"/>
      <c r="I5489" s="30"/>
      <c r="J5489" s="148">
        <v>0</v>
      </c>
      <c r="K5489" s="222">
        <v>0</v>
      </c>
    </row>
    <row r="5490" spans="1:11" hidden="1" x14ac:dyDescent="0.25">
      <c r="A5490" s="203"/>
      <c r="B5490" s="205"/>
      <c r="C5490" s="35" t="s">
        <v>30</v>
      </c>
      <c r="D5490" s="35" t="s">
        <v>695</v>
      </c>
      <c r="E5490" s="36">
        <v>0.4743</v>
      </c>
      <c r="F5490" s="30">
        <v>25.146499999999996</v>
      </c>
      <c r="G5490" s="33">
        <f t="shared" si="105"/>
        <v>11.926984949999998</v>
      </c>
      <c r="H5490" s="34"/>
      <c r="I5490" s="30"/>
      <c r="J5490" s="148">
        <v>0</v>
      </c>
      <c r="K5490" s="222">
        <v>0</v>
      </c>
    </row>
    <row r="5491" spans="1:11" hidden="1" x14ac:dyDescent="0.25">
      <c r="A5491" s="203"/>
      <c r="B5491" s="205"/>
      <c r="C5491" s="35" t="s">
        <v>74</v>
      </c>
      <c r="D5491" s="35" t="s">
        <v>695</v>
      </c>
      <c r="E5491" s="36">
        <v>0.14940000000000001</v>
      </c>
      <c r="F5491" s="30">
        <v>19.4085</v>
      </c>
      <c r="G5491" s="33">
        <f t="shared" si="105"/>
        <v>2.8996299000000003</v>
      </c>
      <c r="H5491" s="34"/>
      <c r="I5491" s="30"/>
      <c r="J5491" s="148">
        <v>0</v>
      </c>
      <c r="K5491" s="222">
        <v>0</v>
      </c>
    </row>
    <row r="5492" spans="1:11" ht="15.75" hidden="1" thickBot="1" x14ac:dyDescent="0.3">
      <c r="A5492" s="209"/>
      <c r="B5492" s="206"/>
      <c r="C5492" s="35"/>
      <c r="D5492" s="35"/>
      <c r="E5492" s="36"/>
      <c r="F5492" s="30" t="s">
        <v>514</v>
      </c>
      <c r="G5492" s="30" t="str">
        <f t="shared" si="105"/>
        <v/>
      </c>
      <c r="H5492" s="34"/>
      <c r="I5492" s="30"/>
      <c r="J5492" s="148">
        <v>0</v>
      </c>
      <c r="K5492" s="222">
        <v>0</v>
      </c>
    </row>
    <row r="5493" spans="1:11" ht="15.75" hidden="1" thickBot="1" x14ac:dyDescent="0.3">
      <c r="A5493" s="202" t="s">
        <v>5004</v>
      </c>
      <c r="B5493" s="204" t="str">
        <f>INDEX(Orçamentária!A:B,MATCH(Composições!A5493,Orçamentária!A:A,0),2)</f>
        <v>Óleo diesel</v>
      </c>
      <c r="C5493" s="40"/>
      <c r="D5493" s="25" t="str">
        <f>TRIM(INDEX(Orçamentária!C:C,MATCH(Composições!A5493,Orçamentária!A:A,0),1))</f>
        <v>L</v>
      </c>
      <c r="E5493" s="26"/>
      <c r="F5493" s="41" t="s">
        <v>514</v>
      </c>
      <c r="G5493" s="27" t="str">
        <f t="shared" si="105"/>
        <v/>
      </c>
      <c r="H5493" s="28"/>
      <c r="I5493" s="29"/>
      <c r="J5493" s="148">
        <v>0</v>
      </c>
      <c r="K5493" s="222">
        <v>0</v>
      </c>
    </row>
    <row r="5494" spans="1:11" hidden="1" x14ac:dyDescent="0.25">
      <c r="A5494" s="203"/>
      <c r="B5494" s="205"/>
      <c r="C5494" s="31"/>
      <c r="D5494" s="31"/>
      <c r="E5494" s="32"/>
      <c r="F5494" s="42" t="s">
        <v>514</v>
      </c>
      <c r="G5494" s="30" t="str">
        <f t="shared" si="105"/>
        <v/>
      </c>
      <c r="H5494" s="34"/>
      <c r="I5494" s="30"/>
      <c r="J5494" s="148">
        <v>0</v>
      </c>
      <c r="K5494" s="222">
        <v>0</v>
      </c>
    </row>
    <row r="5495" spans="1:11" hidden="1" x14ac:dyDescent="0.25">
      <c r="A5495" s="203"/>
      <c r="B5495" s="205"/>
      <c r="C5495" s="35" t="s">
        <v>7668</v>
      </c>
      <c r="D5495" s="35" t="s">
        <v>101</v>
      </c>
      <c r="E5495" s="36">
        <v>1</v>
      </c>
      <c r="F5495" s="30">
        <v>6.84</v>
      </c>
      <c r="G5495" s="33">
        <f t="shared" si="105"/>
        <v>6.84</v>
      </c>
      <c r="H5495" s="38">
        <f>SUM(G5495:G5495)</f>
        <v>6.84</v>
      </c>
      <c r="I5495" s="39"/>
      <c r="J5495" s="148">
        <v>0</v>
      </c>
      <c r="K5495" s="222">
        <v>0</v>
      </c>
    </row>
    <row r="5496" spans="1:11" ht="15.75" hidden="1" thickBot="1" x14ac:dyDescent="0.3">
      <c r="A5496" s="209"/>
      <c r="B5496" s="206"/>
      <c r="C5496" s="35"/>
      <c r="D5496" s="35"/>
      <c r="E5496" s="36"/>
      <c r="F5496" s="30" t="s">
        <v>514</v>
      </c>
      <c r="G5496" s="30" t="str">
        <f t="shared" si="105"/>
        <v/>
      </c>
      <c r="H5496" s="34"/>
      <c r="I5496" s="30"/>
      <c r="J5496" s="148">
        <v>0</v>
      </c>
      <c r="K5496" s="222">
        <v>0</v>
      </c>
    </row>
    <row r="5497" spans="1:11" ht="15.75" hidden="1" thickBot="1" x14ac:dyDescent="0.3">
      <c r="A5497" s="202" t="s">
        <v>5016</v>
      </c>
      <c r="B5497" s="204" t="str">
        <f>INDEX(Orçamentária!A:B,MATCH(Composições!A5497,Orçamentária!A:A,0),2)</f>
        <v>Supervisor Técnico – Sistema Elétrico</v>
      </c>
      <c r="C5497" s="40"/>
      <c r="D5497" s="25" t="str">
        <f>TRIM(INDEX(Orçamentária!C:C,MATCH(Composições!A5497,Orçamentária!A:A,0),1))</f>
        <v>Profissional</v>
      </c>
      <c r="E5497" s="26"/>
      <c r="F5497" s="48" t="s">
        <v>514</v>
      </c>
      <c r="G5497" s="27" t="str">
        <f t="shared" si="105"/>
        <v/>
      </c>
      <c r="H5497" s="28"/>
      <c r="I5497" s="29"/>
      <c r="J5497" s="148">
        <v>0</v>
      </c>
      <c r="K5497" s="222">
        <v>0</v>
      </c>
    </row>
    <row r="5498" spans="1:11" hidden="1" x14ac:dyDescent="0.25">
      <c r="A5498" s="207"/>
      <c r="B5498" s="205"/>
      <c r="C5498" s="31"/>
      <c r="D5498" s="31"/>
      <c r="E5498" s="32"/>
      <c r="F5498" s="53" t="s">
        <v>514</v>
      </c>
      <c r="G5498" s="53" t="str">
        <f t="shared" si="105"/>
        <v/>
      </c>
      <c r="H5498" s="72"/>
      <c r="I5498" s="73"/>
      <c r="J5498" s="148">
        <v>0</v>
      </c>
      <c r="K5498" s="222">
        <v>0</v>
      </c>
    </row>
    <row r="5499" spans="1:11" hidden="1" x14ac:dyDescent="0.25">
      <c r="A5499" s="207"/>
      <c r="B5499" s="205"/>
      <c r="C5499" s="35" t="s">
        <v>3225</v>
      </c>
      <c r="D5499" s="35" t="s">
        <v>12</v>
      </c>
      <c r="E5499" s="36">
        <f>ROUND(220/(1+110.14%),4)</f>
        <v>104.6921</v>
      </c>
      <c r="F5499" s="30">
        <v>114.18049999999999</v>
      </c>
      <c r="G5499" s="53">
        <f t="shared" si="105"/>
        <v>11953.796324049999</v>
      </c>
      <c r="H5499" s="38">
        <f>SUM(G5499:G5499)</f>
        <v>11953.796324049999</v>
      </c>
      <c r="I5499" s="39"/>
      <c r="J5499" s="148">
        <v>0</v>
      </c>
      <c r="K5499" s="222">
        <v>0</v>
      </c>
    </row>
    <row r="5500" spans="1:11" hidden="1" x14ac:dyDescent="0.25">
      <c r="A5500" s="207"/>
      <c r="B5500" s="205"/>
      <c r="C5500" s="31"/>
      <c r="D5500" s="31"/>
      <c r="E5500" s="32"/>
      <c r="F5500" s="53" t="s">
        <v>514</v>
      </c>
      <c r="G5500" s="53" t="str">
        <f t="shared" si="105"/>
        <v/>
      </c>
      <c r="H5500" s="72"/>
      <c r="I5500" s="73"/>
      <c r="J5500" s="148">
        <v>0</v>
      </c>
      <c r="K5500" s="222">
        <v>0</v>
      </c>
    </row>
    <row r="5501" spans="1:11" ht="25.5" hidden="1" x14ac:dyDescent="0.25">
      <c r="A5501" s="207"/>
      <c r="B5501" s="205"/>
      <c r="C5501" s="47" t="s">
        <v>773</v>
      </c>
      <c r="D5501" s="31"/>
      <c r="E5501" s="32"/>
      <c r="F5501" s="53" t="s">
        <v>514</v>
      </c>
      <c r="G5501" s="53" t="str">
        <f t="shared" si="105"/>
        <v/>
      </c>
      <c r="H5501" s="72"/>
      <c r="I5501" s="73"/>
      <c r="J5501" s="148">
        <v>0</v>
      </c>
      <c r="K5501" s="222">
        <v>0</v>
      </c>
    </row>
    <row r="5502" spans="1:11" ht="15.75" hidden="1" thickBot="1" x14ac:dyDescent="0.3">
      <c r="A5502" s="208"/>
      <c r="B5502" s="206"/>
      <c r="C5502" s="54"/>
      <c r="D5502" s="150"/>
      <c r="E5502" s="65"/>
      <c r="F5502" s="75" t="s">
        <v>514</v>
      </c>
      <c r="G5502" s="75" t="str">
        <f t="shared" si="105"/>
        <v/>
      </c>
      <c r="H5502" s="76"/>
      <c r="I5502" s="73"/>
      <c r="J5502" s="148">
        <v>0</v>
      </c>
      <c r="K5502" s="222">
        <v>0</v>
      </c>
    </row>
    <row r="5503" spans="1:11" ht="15.75" hidden="1" thickBot="1" x14ac:dyDescent="0.3">
      <c r="A5503" s="202" t="s">
        <v>5017</v>
      </c>
      <c r="B5503" s="204" t="str">
        <f>INDEX(Orçamentária!A:B,MATCH(Composições!A5503,Orçamentária!A:A,0),2)</f>
        <v>Supervisor Técnico – Sistema Elétrico e Segurança do Trabalho</v>
      </c>
      <c r="C5503" s="40"/>
      <c r="D5503" s="25" t="str">
        <f>TRIM(INDEX(Orçamentária!C:C,MATCH(Composições!A5503,Orçamentária!A:A,0),1))</f>
        <v>Profissional</v>
      </c>
      <c r="E5503" s="26"/>
      <c r="F5503" s="48" t="s">
        <v>514</v>
      </c>
      <c r="G5503" s="27" t="str">
        <f t="shared" si="105"/>
        <v/>
      </c>
      <c r="H5503" s="28"/>
      <c r="I5503" s="29"/>
      <c r="J5503" s="148">
        <v>0</v>
      </c>
      <c r="K5503" s="222">
        <v>0</v>
      </c>
    </row>
    <row r="5504" spans="1:11" hidden="1" x14ac:dyDescent="0.25">
      <c r="A5504" s="207"/>
      <c r="B5504" s="205"/>
      <c r="C5504" s="31"/>
      <c r="D5504" s="31"/>
      <c r="E5504" s="32"/>
      <c r="F5504" s="53" t="s">
        <v>514</v>
      </c>
      <c r="G5504" s="53" t="str">
        <f t="shared" si="105"/>
        <v/>
      </c>
      <c r="H5504" s="72"/>
      <c r="I5504" s="73"/>
      <c r="J5504" s="148">
        <v>0</v>
      </c>
      <c r="K5504" s="222">
        <v>0</v>
      </c>
    </row>
    <row r="5505" spans="1:11" hidden="1" x14ac:dyDescent="0.25">
      <c r="A5505" s="207"/>
      <c r="B5505" s="205"/>
      <c r="C5505" s="35" t="s">
        <v>3225</v>
      </c>
      <c r="D5505" s="35" t="s">
        <v>12</v>
      </c>
      <c r="E5505" s="36">
        <f>ROUND(220/(1+110.14%),4)</f>
        <v>104.6921</v>
      </c>
      <c r="F5505" s="30">
        <v>114.18049999999999</v>
      </c>
      <c r="G5505" s="53">
        <f t="shared" si="105"/>
        <v>11953.796324049999</v>
      </c>
      <c r="H5505" s="38">
        <f>SUM(G5505:G5505)</f>
        <v>11953.796324049999</v>
      </c>
      <c r="I5505" s="39"/>
      <c r="J5505" s="148">
        <v>0</v>
      </c>
      <c r="K5505" s="222">
        <v>0</v>
      </c>
    </row>
    <row r="5506" spans="1:11" hidden="1" x14ac:dyDescent="0.25">
      <c r="A5506" s="207"/>
      <c r="B5506" s="205"/>
      <c r="C5506" s="31"/>
      <c r="D5506" s="31"/>
      <c r="E5506" s="32"/>
      <c r="F5506" s="53" t="s">
        <v>514</v>
      </c>
      <c r="G5506" s="53" t="str">
        <f t="shared" si="105"/>
        <v/>
      </c>
      <c r="H5506" s="72"/>
      <c r="I5506" s="73"/>
      <c r="J5506" s="148">
        <v>0</v>
      </c>
      <c r="K5506" s="222">
        <v>0</v>
      </c>
    </row>
    <row r="5507" spans="1:11" ht="25.5" hidden="1" x14ac:dyDescent="0.25">
      <c r="A5507" s="207"/>
      <c r="B5507" s="205"/>
      <c r="C5507" s="47" t="s">
        <v>773</v>
      </c>
      <c r="D5507" s="31"/>
      <c r="E5507" s="32"/>
      <c r="F5507" s="53" t="s">
        <v>514</v>
      </c>
      <c r="G5507" s="53" t="str">
        <f t="shared" si="105"/>
        <v/>
      </c>
      <c r="H5507" s="72"/>
      <c r="I5507" s="73"/>
      <c r="J5507" s="148">
        <v>0</v>
      </c>
      <c r="K5507" s="222">
        <v>0</v>
      </c>
    </row>
    <row r="5508" spans="1:11" ht="15.75" hidden="1" thickBot="1" x14ac:dyDescent="0.3">
      <c r="A5508" s="208"/>
      <c r="B5508" s="206"/>
      <c r="C5508" s="54"/>
      <c r="D5508" s="150"/>
      <c r="E5508" s="65"/>
      <c r="F5508" s="75" t="s">
        <v>514</v>
      </c>
      <c r="G5508" s="75" t="str">
        <f t="shared" si="105"/>
        <v/>
      </c>
      <c r="H5508" s="76"/>
      <c r="I5508" s="73"/>
      <c r="J5508" s="148">
        <v>0</v>
      </c>
      <c r="K5508" s="222">
        <v>0</v>
      </c>
    </row>
    <row r="5509" spans="1:11" ht="15.75" hidden="1" thickBot="1" x14ac:dyDescent="0.3">
      <c r="A5509" s="202" t="s">
        <v>5018</v>
      </c>
      <c r="B5509" s="204" t="str">
        <f>INDEX(Orçamentária!A:B,MATCH(Composições!A5509,Orçamentária!A:A,0),2)</f>
        <v>Técnico de Segurança do Trabalho</v>
      </c>
      <c r="C5509" s="40"/>
      <c r="D5509" s="25" t="str">
        <f>TRIM(INDEX(Orçamentária!C:C,MATCH(Composições!A5509,Orçamentária!A:A,0),1))</f>
        <v>Profissional</v>
      </c>
      <c r="E5509" s="26"/>
      <c r="F5509" s="48" t="s">
        <v>514</v>
      </c>
      <c r="G5509" s="27" t="str">
        <f t="shared" si="105"/>
        <v/>
      </c>
      <c r="H5509" s="28"/>
      <c r="I5509" s="29"/>
      <c r="J5509" s="148">
        <v>0</v>
      </c>
      <c r="K5509" s="222">
        <v>0</v>
      </c>
    </row>
    <row r="5510" spans="1:11" hidden="1" x14ac:dyDescent="0.25">
      <c r="A5510" s="207"/>
      <c r="B5510" s="205"/>
      <c r="C5510" s="31"/>
      <c r="D5510" s="31"/>
      <c r="E5510" s="32"/>
      <c r="F5510" s="53" t="s">
        <v>514</v>
      </c>
      <c r="G5510" s="53" t="str">
        <f t="shared" si="105"/>
        <v/>
      </c>
      <c r="H5510" s="72"/>
      <c r="I5510" s="73"/>
      <c r="J5510" s="148">
        <v>0</v>
      </c>
      <c r="K5510" s="222">
        <v>0</v>
      </c>
    </row>
    <row r="5511" spans="1:11" ht="25.5" hidden="1" x14ac:dyDescent="0.25">
      <c r="A5511" s="207"/>
      <c r="B5511" s="205"/>
      <c r="C5511" s="35" t="s">
        <v>1112</v>
      </c>
      <c r="D5511" s="35" t="s">
        <v>12</v>
      </c>
      <c r="E5511" s="36">
        <f>ROUND(220/(1+110.14%),4)</f>
        <v>104.6921</v>
      </c>
      <c r="F5511" s="30">
        <v>41.581499999999998</v>
      </c>
      <c r="G5511" s="53">
        <f t="shared" si="105"/>
        <v>4353.2545561500001</v>
      </c>
      <c r="H5511" s="38">
        <f>SUM(G5511:G5511)</f>
        <v>4353.2545561500001</v>
      </c>
      <c r="I5511" s="39"/>
      <c r="J5511" s="148">
        <v>0</v>
      </c>
      <c r="K5511" s="222">
        <v>0</v>
      </c>
    </row>
    <row r="5512" spans="1:11" hidden="1" x14ac:dyDescent="0.25">
      <c r="A5512" s="207"/>
      <c r="B5512" s="205"/>
      <c r="C5512" s="31"/>
      <c r="D5512" s="31"/>
      <c r="E5512" s="32"/>
      <c r="F5512" s="53" t="s">
        <v>514</v>
      </c>
      <c r="G5512" s="53" t="str">
        <f t="shared" si="105"/>
        <v/>
      </c>
      <c r="H5512" s="72"/>
      <c r="I5512" s="73"/>
      <c r="J5512" s="148">
        <v>0</v>
      </c>
      <c r="K5512" s="222">
        <v>0</v>
      </c>
    </row>
    <row r="5513" spans="1:11" ht="25.5" hidden="1" x14ac:dyDescent="0.25">
      <c r="A5513" s="207"/>
      <c r="B5513" s="205"/>
      <c r="C5513" s="47" t="s">
        <v>773</v>
      </c>
      <c r="D5513" s="31"/>
      <c r="E5513" s="32"/>
      <c r="F5513" s="53" t="s">
        <v>514</v>
      </c>
      <c r="G5513" s="53" t="str">
        <f t="shared" si="105"/>
        <v/>
      </c>
      <c r="H5513" s="72"/>
      <c r="I5513" s="73"/>
      <c r="J5513" s="148">
        <v>0</v>
      </c>
      <c r="K5513" s="222">
        <v>0</v>
      </c>
    </row>
    <row r="5514" spans="1:11" ht="15.75" hidden="1" thickBot="1" x14ac:dyDescent="0.3">
      <c r="A5514" s="208"/>
      <c r="B5514" s="206"/>
      <c r="C5514" s="54"/>
      <c r="D5514" s="150"/>
      <c r="E5514" s="65"/>
      <c r="F5514" s="75" t="s">
        <v>514</v>
      </c>
      <c r="G5514" s="75" t="str">
        <f t="shared" si="105"/>
        <v/>
      </c>
      <c r="H5514" s="76"/>
      <c r="I5514" s="73"/>
      <c r="J5514" s="148">
        <v>0</v>
      </c>
      <c r="K5514" s="222">
        <v>0</v>
      </c>
    </row>
    <row r="5515" spans="1:11" ht="15.75" hidden="1" thickBot="1" x14ac:dyDescent="0.3">
      <c r="A5515" s="202" t="s">
        <v>5019</v>
      </c>
      <c r="B5515" s="204" t="str">
        <f>INDEX(Orçamentária!A:B,MATCH(Composições!A5515,Orçamentária!A:A,0),2)</f>
        <v>Auxiliar de Almoxarifado</v>
      </c>
      <c r="C5515" s="40"/>
      <c r="D5515" s="25" t="str">
        <f>TRIM(INDEX(Orçamentária!C:C,MATCH(Composições!A5515,Orçamentária!A:A,0),1))</f>
        <v>Profissional</v>
      </c>
      <c r="E5515" s="26"/>
      <c r="F5515" s="48" t="s">
        <v>514</v>
      </c>
      <c r="G5515" s="27" t="str">
        <f t="shared" si="105"/>
        <v/>
      </c>
      <c r="H5515" s="28"/>
      <c r="I5515" s="29"/>
      <c r="J5515" s="148">
        <v>0</v>
      </c>
      <c r="K5515" s="222">
        <v>0</v>
      </c>
    </row>
    <row r="5516" spans="1:11" hidden="1" x14ac:dyDescent="0.25">
      <c r="A5516" s="207"/>
      <c r="B5516" s="205"/>
      <c r="C5516" s="31"/>
      <c r="D5516" s="31"/>
      <c r="E5516" s="32"/>
      <c r="F5516" s="53" t="s">
        <v>514</v>
      </c>
      <c r="G5516" s="53" t="str">
        <f t="shared" si="105"/>
        <v/>
      </c>
      <c r="H5516" s="72"/>
      <c r="I5516" s="73"/>
      <c r="J5516" s="148">
        <v>0</v>
      </c>
      <c r="K5516" s="222">
        <v>0</v>
      </c>
    </row>
    <row r="5517" spans="1:11" hidden="1" x14ac:dyDescent="0.25">
      <c r="A5517" s="207"/>
      <c r="B5517" s="205"/>
      <c r="C5517" s="35" t="s">
        <v>3226</v>
      </c>
      <c r="D5517" s="35" t="s">
        <v>12</v>
      </c>
      <c r="E5517" s="36">
        <f>ROUND(220/(1+110.14%),4)</f>
        <v>104.6921</v>
      </c>
      <c r="F5517" s="30">
        <v>19.797999999999998</v>
      </c>
      <c r="G5517" s="53">
        <f t="shared" si="105"/>
        <v>2072.6941957999998</v>
      </c>
      <c r="H5517" s="38">
        <f>SUM(G5517:G5517)</f>
        <v>2072.6941957999998</v>
      </c>
      <c r="I5517" s="39"/>
      <c r="J5517" s="148">
        <v>0</v>
      </c>
      <c r="K5517" s="222">
        <v>0</v>
      </c>
    </row>
    <row r="5518" spans="1:11" hidden="1" x14ac:dyDescent="0.25">
      <c r="A5518" s="207"/>
      <c r="B5518" s="205"/>
      <c r="C5518" s="31"/>
      <c r="D5518" s="31"/>
      <c r="E5518" s="32"/>
      <c r="F5518" s="53" t="s">
        <v>514</v>
      </c>
      <c r="G5518" s="53" t="str">
        <f t="shared" si="105"/>
        <v/>
      </c>
      <c r="H5518" s="72"/>
      <c r="I5518" s="73"/>
      <c r="J5518" s="148">
        <v>0</v>
      </c>
      <c r="K5518" s="222">
        <v>0</v>
      </c>
    </row>
    <row r="5519" spans="1:11" ht="25.5" hidden="1" x14ac:dyDescent="0.25">
      <c r="A5519" s="207"/>
      <c r="B5519" s="205"/>
      <c r="C5519" s="47" t="s">
        <v>773</v>
      </c>
      <c r="D5519" s="31"/>
      <c r="E5519" s="32"/>
      <c r="F5519" s="53" t="s">
        <v>514</v>
      </c>
      <c r="G5519" s="53" t="str">
        <f t="shared" si="105"/>
        <v/>
      </c>
      <c r="H5519" s="72"/>
      <c r="I5519" s="73"/>
      <c r="J5519" s="148">
        <v>0</v>
      </c>
      <c r="K5519" s="222">
        <v>0</v>
      </c>
    </row>
    <row r="5520" spans="1:11" ht="15.75" hidden="1" thickBot="1" x14ac:dyDescent="0.3">
      <c r="A5520" s="208"/>
      <c r="B5520" s="206"/>
      <c r="C5520" s="54"/>
      <c r="D5520" s="150"/>
      <c r="E5520" s="65"/>
      <c r="F5520" s="75" t="s">
        <v>514</v>
      </c>
      <c r="G5520" s="75" t="str">
        <f t="shared" si="105"/>
        <v/>
      </c>
      <c r="H5520" s="76"/>
      <c r="I5520" s="73"/>
      <c r="J5520" s="148">
        <v>0</v>
      </c>
      <c r="K5520" s="222">
        <v>0</v>
      </c>
    </row>
    <row r="5521" spans="1:11" ht="15.75" hidden="1" thickBot="1" x14ac:dyDescent="0.3">
      <c r="A5521" s="202" t="s">
        <v>5020</v>
      </c>
      <c r="B5521" s="204" t="str">
        <f>INDEX(Orçamentária!A:B,MATCH(Composições!A5521,Orçamentária!A:A,0),2)</f>
        <v>Auxiliar Administrativo</v>
      </c>
      <c r="C5521" s="40"/>
      <c r="D5521" s="25" t="str">
        <f>TRIM(INDEX(Orçamentária!C:C,MATCH(Composições!A5521,Orçamentária!A:A,0),1))</f>
        <v>Profissional</v>
      </c>
      <c r="E5521" s="26"/>
      <c r="F5521" s="48" t="s">
        <v>514</v>
      </c>
      <c r="G5521" s="27" t="str">
        <f t="shared" si="105"/>
        <v/>
      </c>
      <c r="H5521" s="28"/>
      <c r="I5521" s="29"/>
      <c r="J5521" s="148">
        <v>0</v>
      </c>
      <c r="K5521" s="222">
        <v>0</v>
      </c>
    </row>
    <row r="5522" spans="1:11" hidden="1" x14ac:dyDescent="0.25">
      <c r="A5522" s="207"/>
      <c r="B5522" s="205"/>
      <c r="C5522" s="31"/>
      <c r="D5522" s="31"/>
      <c r="E5522" s="32"/>
      <c r="F5522" s="53" t="s">
        <v>514</v>
      </c>
      <c r="G5522" s="53" t="str">
        <f t="shared" si="105"/>
        <v/>
      </c>
      <c r="H5522" s="72"/>
      <c r="I5522" s="73"/>
      <c r="J5522" s="148">
        <v>0</v>
      </c>
      <c r="K5522" s="222">
        <v>0</v>
      </c>
    </row>
    <row r="5523" spans="1:11" hidden="1" x14ac:dyDescent="0.25">
      <c r="A5523" s="207"/>
      <c r="B5523" s="205"/>
      <c r="C5523" s="35" t="s">
        <v>3221</v>
      </c>
      <c r="D5523" s="35" t="s">
        <v>12</v>
      </c>
      <c r="E5523" s="36">
        <f>ROUND(220/(1+110.14%),4)</f>
        <v>104.6921</v>
      </c>
      <c r="F5523" s="30">
        <v>22.343999999999998</v>
      </c>
      <c r="G5523" s="53">
        <f t="shared" si="105"/>
        <v>2339.2402823999996</v>
      </c>
      <c r="H5523" s="38">
        <f>SUM(G5523:G5523)</f>
        <v>2339.2402823999996</v>
      </c>
      <c r="I5523" s="39"/>
      <c r="J5523" s="148">
        <v>0</v>
      </c>
      <c r="K5523" s="222">
        <v>0</v>
      </c>
    </row>
    <row r="5524" spans="1:11" hidden="1" x14ac:dyDescent="0.25">
      <c r="A5524" s="207"/>
      <c r="B5524" s="205"/>
      <c r="C5524" s="31"/>
      <c r="D5524" s="31"/>
      <c r="E5524" s="32"/>
      <c r="F5524" s="53" t="s">
        <v>514</v>
      </c>
      <c r="G5524" s="53" t="str">
        <f t="shared" si="105"/>
        <v/>
      </c>
      <c r="H5524" s="72"/>
      <c r="I5524" s="73"/>
      <c r="J5524" s="148">
        <v>0</v>
      </c>
      <c r="K5524" s="222">
        <v>0</v>
      </c>
    </row>
    <row r="5525" spans="1:11" ht="25.5" hidden="1" x14ac:dyDescent="0.25">
      <c r="A5525" s="207"/>
      <c r="B5525" s="205"/>
      <c r="C5525" s="47" t="s">
        <v>773</v>
      </c>
      <c r="D5525" s="31"/>
      <c r="E5525" s="32"/>
      <c r="F5525" s="53" t="s">
        <v>514</v>
      </c>
      <c r="G5525" s="53" t="str">
        <f t="shared" si="105"/>
        <v/>
      </c>
      <c r="H5525" s="72"/>
      <c r="I5525" s="73"/>
      <c r="J5525" s="148">
        <v>0</v>
      </c>
      <c r="K5525" s="222">
        <v>0</v>
      </c>
    </row>
    <row r="5526" spans="1:11" ht="15.75" hidden="1" thickBot="1" x14ac:dyDescent="0.3">
      <c r="A5526" s="208"/>
      <c r="B5526" s="206"/>
      <c r="C5526" s="54"/>
      <c r="D5526" s="150"/>
      <c r="E5526" s="65"/>
      <c r="F5526" s="75" t="s">
        <v>514</v>
      </c>
      <c r="G5526" s="75" t="str">
        <f t="shared" si="105"/>
        <v/>
      </c>
      <c r="H5526" s="76"/>
      <c r="I5526" s="73"/>
      <c r="J5526" s="148">
        <v>0</v>
      </c>
      <c r="K5526" s="222">
        <v>0</v>
      </c>
    </row>
    <row r="5527" spans="1:11" ht="15.75" hidden="1" thickBot="1" x14ac:dyDescent="0.3">
      <c r="A5527" s="202" t="s">
        <v>5021</v>
      </c>
      <c r="B5527" s="204" t="str">
        <f>INDEX(Orçamentária!A:B,MATCH(Composições!A5527,Orçamentária!A:A,0),2)</f>
        <v>Desenhista Técnico</v>
      </c>
      <c r="C5527" s="40"/>
      <c r="D5527" s="25" t="str">
        <f>TRIM(INDEX(Orçamentária!C:C,MATCH(Composições!A5527,Orçamentária!A:A,0),1))</f>
        <v>Profissional</v>
      </c>
      <c r="E5527" s="26"/>
      <c r="F5527" s="48" t="s">
        <v>514</v>
      </c>
      <c r="G5527" s="27" t="str">
        <f t="shared" si="105"/>
        <v/>
      </c>
      <c r="H5527" s="28"/>
      <c r="I5527" s="29"/>
      <c r="J5527" s="148">
        <v>0</v>
      </c>
      <c r="K5527" s="222">
        <v>0</v>
      </c>
    </row>
    <row r="5528" spans="1:11" hidden="1" x14ac:dyDescent="0.25">
      <c r="A5528" s="207"/>
      <c r="B5528" s="205"/>
      <c r="C5528" s="31"/>
      <c r="D5528" s="31"/>
      <c r="E5528" s="32"/>
      <c r="F5528" s="53" t="s">
        <v>514</v>
      </c>
      <c r="G5528" s="53" t="str">
        <f t="shared" si="105"/>
        <v/>
      </c>
      <c r="H5528" s="72"/>
      <c r="I5528" s="73"/>
      <c r="J5528" s="148">
        <v>0</v>
      </c>
      <c r="K5528" s="222">
        <v>0</v>
      </c>
    </row>
    <row r="5529" spans="1:11" hidden="1" x14ac:dyDescent="0.25">
      <c r="A5529" s="207"/>
      <c r="B5529" s="205"/>
      <c r="C5529" s="35" t="s">
        <v>3222</v>
      </c>
      <c r="D5529" s="35" t="s">
        <v>12</v>
      </c>
      <c r="E5529" s="36">
        <f>ROUND(220/(1+110.14%),4)</f>
        <v>104.6921</v>
      </c>
      <c r="F5529" s="30">
        <v>14.725</v>
      </c>
      <c r="G5529" s="53">
        <f t="shared" si="105"/>
        <v>1541.5911724999999</v>
      </c>
      <c r="H5529" s="38">
        <f>SUM(G5529:G5529)</f>
        <v>1541.5911724999999</v>
      </c>
      <c r="I5529" s="39"/>
      <c r="J5529" s="148">
        <v>0</v>
      </c>
      <c r="K5529" s="222">
        <v>0</v>
      </c>
    </row>
    <row r="5530" spans="1:11" hidden="1" x14ac:dyDescent="0.25">
      <c r="A5530" s="207"/>
      <c r="B5530" s="205"/>
      <c r="C5530" s="31"/>
      <c r="D5530" s="31"/>
      <c r="E5530" s="32"/>
      <c r="F5530" s="53" t="s">
        <v>514</v>
      </c>
      <c r="G5530" s="53" t="str">
        <f t="shared" si="105"/>
        <v/>
      </c>
      <c r="H5530" s="72"/>
      <c r="I5530" s="73"/>
      <c r="J5530" s="148">
        <v>0</v>
      </c>
      <c r="K5530" s="222">
        <v>0</v>
      </c>
    </row>
    <row r="5531" spans="1:11" ht="25.5" hidden="1" x14ac:dyDescent="0.25">
      <c r="A5531" s="207"/>
      <c r="B5531" s="205"/>
      <c r="C5531" s="47" t="s">
        <v>773</v>
      </c>
      <c r="D5531" s="31"/>
      <c r="E5531" s="32"/>
      <c r="F5531" s="53" t="s">
        <v>514</v>
      </c>
      <c r="G5531" s="53" t="str">
        <f t="shared" si="105"/>
        <v/>
      </c>
      <c r="H5531" s="72"/>
      <c r="I5531" s="73"/>
      <c r="J5531" s="148">
        <v>0</v>
      </c>
      <c r="K5531" s="222">
        <v>0</v>
      </c>
    </row>
    <row r="5532" spans="1:11" ht="15.75" hidden="1" thickBot="1" x14ac:dyDescent="0.3">
      <c r="A5532" s="208"/>
      <c r="B5532" s="206"/>
      <c r="C5532" s="54"/>
      <c r="D5532" s="150"/>
      <c r="E5532" s="65"/>
      <c r="F5532" s="75" t="s">
        <v>514</v>
      </c>
      <c r="G5532" s="75" t="str">
        <f t="shared" si="105"/>
        <v/>
      </c>
      <c r="H5532" s="76"/>
      <c r="I5532" s="73"/>
      <c r="J5532" s="148">
        <v>0</v>
      </c>
      <c r="K5532" s="222">
        <v>0</v>
      </c>
    </row>
    <row r="5533" spans="1:11" ht="15.75" hidden="1" thickBot="1" x14ac:dyDescent="0.3">
      <c r="A5533" s="202" t="s">
        <v>5022</v>
      </c>
      <c r="B5533" s="204" t="str">
        <f>INDEX(Orçamentária!A:B,MATCH(Composições!A5533,Orçamentária!A:A,0),2)</f>
        <v>Técnico em Eletrotécnica Encarregado</v>
      </c>
      <c r="C5533" s="40"/>
      <c r="D5533" s="25" t="str">
        <f>TRIM(INDEX(Orçamentária!C:C,MATCH(Composições!A5533,Orçamentária!A:A,0),1))</f>
        <v>Profissional</v>
      </c>
      <c r="E5533" s="26"/>
      <c r="F5533" s="48" t="s">
        <v>514</v>
      </c>
      <c r="G5533" s="27" t="str">
        <f t="shared" si="105"/>
        <v/>
      </c>
      <c r="H5533" s="28"/>
      <c r="I5533" s="29"/>
      <c r="J5533" s="148">
        <v>0</v>
      </c>
      <c r="K5533" s="222">
        <v>0</v>
      </c>
    </row>
    <row r="5534" spans="1:11" hidden="1" x14ac:dyDescent="0.25">
      <c r="A5534" s="207"/>
      <c r="B5534" s="205"/>
      <c r="C5534" s="31"/>
      <c r="D5534" s="31"/>
      <c r="E5534" s="32"/>
      <c r="F5534" s="53" t="s">
        <v>514</v>
      </c>
      <c r="G5534" s="53" t="str">
        <f t="shared" si="105"/>
        <v/>
      </c>
      <c r="H5534" s="72"/>
      <c r="I5534" s="73"/>
      <c r="J5534" s="148">
        <v>0</v>
      </c>
      <c r="K5534" s="222">
        <v>0</v>
      </c>
    </row>
    <row r="5535" spans="1:11" hidden="1" x14ac:dyDescent="0.25">
      <c r="A5535" s="207"/>
      <c r="B5535" s="205"/>
      <c r="C5535" s="35" t="s">
        <v>3217</v>
      </c>
      <c r="D5535" s="35" t="s">
        <v>12</v>
      </c>
      <c r="E5535" s="36">
        <f>ROUND(220/(1+110.14%),4)</f>
        <v>104.6921</v>
      </c>
      <c r="F5535" s="30">
        <v>30.551999999999996</v>
      </c>
      <c r="G5535" s="53">
        <f t="shared" si="105"/>
        <v>3198.5530391999996</v>
      </c>
      <c r="H5535" s="38">
        <f>SUM(G5535:G5535)</f>
        <v>3198.5530391999996</v>
      </c>
      <c r="I5535" s="39"/>
      <c r="J5535" s="148">
        <v>0</v>
      </c>
      <c r="K5535" s="222">
        <v>0</v>
      </c>
    </row>
    <row r="5536" spans="1:11" hidden="1" x14ac:dyDescent="0.25">
      <c r="A5536" s="207"/>
      <c r="B5536" s="205"/>
      <c r="C5536" s="31"/>
      <c r="D5536" s="31"/>
      <c r="E5536" s="32"/>
      <c r="F5536" s="53" t="s">
        <v>514</v>
      </c>
      <c r="G5536" s="53" t="str">
        <f t="shared" si="105"/>
        <v/>
      </c>
      <c r="H5536" s="72"/>
      <c r="I5536" s="73"/>
      <c r="J5536" s="148">
        <v>0</v>
      </c>
      <c r="K5536" s="222">
        <v>0</v>
      </c>
    </row>
    <row r="5537" spans="1:11" ht="25.5" hidden="1" x14ac:dyDescent="0.25">
      <c r="A5537" s="207"/>
      <c r="B5537" s="205"/>
      <c r="C5537" s="47" t="s">
        <v>773</v>
      </c>
      <c r="D5537" s="31"/>
      <c r="E5537" s="32"/>
      <c r="F5537" s="53" t="s">
        <v>514</v>
      </c>
      <c r="G5537" s="53" t="str">
        <f t="shared" si="105"/>
        <v/>
      </c>
      <c r="H5537" s="72"/>
      <c r="I5537" s="73"/>
      <c r="J5537" s="148">
        <v>0</v>
      </c>
      <c r="K5537" s="222">
        <v>0</v>
      </c>
    </row>
    <row r="5538" spans="1:11" ht="15.75" hidden="1" thickBot="1" x14ac:dyDescent="0.3">
      <c r="A5538" s="208"/>
      <c r="B5538" s="206"/>
      <c r="C5538" s="54"/>
      <c r="D5538" s="150"/>
      <c r="E5538" s="65"/>
      <c r="F5538" s="75" t="s">
        <v>514</v>
      </c>
      <c r="G5538" s="75" t="str">
        <f t="shared" si="105"/>
        <v/>
      </c>
      <c r="H5538" s="76"/>
      <c r="I5538" s="73"/>
      <c r="J5538" s="148">
        <v>0</v>
      </c>
      <c r="K5538" s="222">
        <v>0</v>
      </c>
    </row>
    <row r="5539" spans="1:11" ht="15.75" hidden="1" thickBot="1" x14ac:dyDescent="0.3">
      <c r="A5539" s="202" t="s">
        <v>5023</v>
      </c>
      <c r="B5539" s="204" t="str">
        <f>INDEX(Orçamentária!A:B,MATCH(Composições!A5539,Orçamentária!A:A,0),2)</f>
        <v>Técnico em Eletrotécnica Planejador de Manutenção</v>
      </c>
      <c r="C5539" s="40"/>
      <c r="D5539" s="25" t="str">
        <f>TRIM(INDEX(Orçamentária!C:C,MATCH(Composições!A5539,Orçamentária!A:A,0),1))</f>
        <v>Profissional</v>
      </c>
      <c r="E5539" s="26"/>
      <c r="F5539" s="48" t="s">
        <v>514</v>
      </c>
      <c r="G5539" s="27" t="str">
        <f t="shared" si="105"/>
        <v/>
      </c>
      <c r="H5539" s="28"/>
      <c r="I5539" s="29"/>
      <c r="J5539" s="148">
        <v>0</v>
      </c>
      <c r="K5539" s="222">
        <v>0</v>
      </c>
    </row>
    <row r="5540" spans="1:11" hidden="1" x14ac:dyDescent="0.25">
      <c r="A5540" s="207"/>
      <c r="B5540" s="205"/>
      <c r="C5540" s="31"/>
      <c r="D5540" s="31"/>
      <c r="E5540" s="32"/>
      <c r="F5540" s="53" t="s">
        <v>514</v>
      </c>
      <c r="G5540" s="53" t="str">
        <f t="shared" si="105"/>
        <v/>
      </c>
      <c r="H5540" s="72"/>
      <c r="I5540" s="73"/>
      <c r="J5540" s="148">
        <v>0</v>
      </c>
      <c r="K5540" s="222">
        <v>0</v>
      </c>
    </row>
    <row r="5541" spans="1:11" hidden="1" x14ac:dyDescent="0.25">
      <c r="A5541" s="207"/>
      <c r="B5541" s="205"/>
      <c r="C5541" s="35" t="s">
        <v>3217</v>
      </c>
      <c r="D5541" s="35" t="s">
        <v>12</v>
      </c>
      <c r="E5541" s="36">
        <f>ROUND(220/(1+110.14%),4)</f>
        <v>104.6921</v>
      </c>
      <c r="F5541" s="30">
        <v>30.551999999999996</v>
      </c>
      <c r="G5541" s="53">
        <f t="shared" si="105"/>
        <v>3198.5530391999996</v>
      </c>
      <c r="H5541" s="38">
        <f>SUM(G5541:G5541)</f>
        <v>3198.5530391999996</v>
      </c>
      <c r="I5541" s="39"/>
      <c r="J5541" s="148">
        <v>0</v>
      </c>
      <c r="K5541" s="222">
        <v>0</v>
      </c>
    </row>
    <row r="5542" spans="1:11" hidden="1" x14ac:dyDescent="0.25">
      <c r="A5542" s="207"/>
      <c r="B5542" s="205"/>
      <c r="C5542" s="31"/>
      <c r="D5542" s="31"/>
      <c r="E5542" s="32"/>
      <c r="F5542" s="53" t="s">
        <v>514</v>
      </c>
      <c r="G5542" s="53" t="str">
        <f t="shared" si="105"/>
        <v/>
      </c>
      <c r="H5542" s="72"/>
      <c r="I5542" s="73"/>
      <c r="J5542" s="148">
        <v>0</v>
      </c>
      <c r="K5542" s="222">
        <v>0</v>
      </c>
    </row>
    <row r="5543" spans="1:11" ht="25.5" hidden="1" x14ac:dyDescent="0.25">
      <c r="A5543" s="207"/>
      <c r="B5543" s="205"/>
      <c r="C5543" s="47" t="s">
        <v>773</v>
      </c>
      <c r="D5543" s="31"/>
      <c r="E5543" s="32"/>
      <c r="F5543" s="53" t="s">
        <v>514</v>
      </c>
      <c r="G5543" s="53" t="str">
        <f t="shared" si="105"/>
        <v/>
      </c>
      <c r="H5543" s="72"/>
      <c r="I5543" s="73"/>
      <c r="J5543" s="148">
        <v>0</v>
      </c>
      <c r="K5543" s="222">
        <v>0</v>
      </c>
    </row>
    <row r="5544" spans="1:11" ht="15.75" hidden="1" thickBot="1" x14ac:dyDescent="0.3">
      <c r="A5544" s="208"/>
      <c r="B5544" s="206"/>
      <c r="C5544" s="54"/>
      <c r="D5544" s="150"/>
      <c r="E5544" s="65"/>
      <c r="F5544" s="75" t="s">
        <v>514</v>
      </c>
      <c r="G5544" s="75" t="str">
        <f t="shared" si="105"/>
        <v/>
      </c>
      <c r="H5544" s="76"/>
      <c r="I5544" s="73"/>
      <c r="J5544" s="148">
        <v>0</v>
      </c>
      <c r="K5544" s="222">
        <v>0</v>
      </c>
    </row>
    <row r="5545" spans="1:11" ht="15.75" hidden="1" thickBot="1" x14ac:dyDescent="0.3">
      <c r="A5545" s="202" t="s">
        <v>5024</v>
      </c>
      <c r="B5545" s="204" t="str">
        <f>INDEX(Orçamentária!A:B,MATCH(Composições!A5545,Orçamentária!A:A,0),2)</f>
        <v>Técnico em Eletrotécnica Termografista</v>
      </c>
      <c r="C5545" s="40"/>
      <c r="D5545" s="25" t="str">
        <f>TRIM(INDEX(Orçamentária!C:C,MATCH(Composições!A5545,Orçamentária!A:A,0),1))</f>
        <v>Profissional</v>
      </c>
      <c r="E5545" s="26"/>
      <c r="F5545" s="48" t="s">
        <v>514</v>
      </c>
      <c r="G5545" s="27" t="str">
        <f t="shared" si="105"/>
        <v/>
      </c>
      <c r="H5545" s="28"/>
      <c r="I5545" s="29"/>
      <c r="J5545" s="148">
        <v>0</v>
      </c>
      <c r="K5545" s="222">
        <v>0</v>
      </c>
    </row>
    <row r="5546" spans="1:11" hidden="1" x14ac:dyDescent="0.25">
      <c r="A5546" s="207"/>
      <c r="B5546" s="205"/>
      <c r="C5546" s="31"/>
      <c r="D5546" s="31"/>
      <c r="E5546" s="32"/>
      <c r="F5546" s="53" t="s">
        <v>514</v>
      </c>
      <c r="G5546" s="53" t="str">
        <f t="shared" si="105"/>
        <v/>
      </c>
      <c r="H5546" s="72"/>
      <c r="I5546" s="73"/>
      <c r="J5546" s="148">
        <v>0</v>
      </c>
      <c r="K5546" s="222">
        <v>0</v>
      </c>
    </row>
    <row r="5547" spans="1:11" hidden="1" x14ac:dyDescent="0.25">
      <c r="A5547" s="207"/>
      <c r="B5547" s="205"/>
      <c r="C5547" s="35" t="s">
        <v>3217</v>
      </c>
      <c r="D5547" s="35" t="s">
        <v>12</v>
      </c>
      <c r="E5547" s="36">
        <f>ROUND(220/(1+110.14%),4)</f>
        <v>104.6921</v>
      </c>
      <c r="F5547" s="30">
        <v>30.551999999999996</v>
      </c>
      <c r="G5547" s="53">
        <f t="shared" si="105"/>
        <v>3198.5530391999996</v>
      </c>
      <c r="H5547" s="38">
        <f>SUM(G5547:G5547)</f>
        <v>3198.5530391999996</v>
      </c>
      <c r="I5547" s="39"/>
      <c r="J5547" s="148">
        <v>0</v>
      </c>
      <c r="K5547" s="222">
        <v>0</v>
      </c>
    </row>
    <row r="5548" spans="1:11" hidden="1" x14ac:dyDescent="0.25">
      <c r="A5548" s="207"/>
      <c r="B5548" s="205"/>
      <c r="C5548" s="31"/>
      <c r="D5548" s="31"/>
      <c r="E5548" s="32"/>
      <c r="F5548" s="53" t="s">
        <v>514</v>
      </c>
      <c r="G5548" s="53" t="str">
        <f t="shared" si="105"/>
        <v/>
      </c>
      <c r="H5548" s="72"/>
      <c r="I5548" s="73"/>
      <c r="J5548" s="148">
        <v>0</v>
      </c>
      <c r="K5548" s="222">
        <v>0</v>
      </c>
    </row>
    <row r="5549" spans="1:11" ht="25.5" hidden="1" x14ac:dyDescent="0.25">
      <c r="A5549" s="207"/>
      <c r="B5549" s="205"/>
      <c r="C5549" s="47" t="s">
        <v>773</v>
      </c>
      <c r="D5549" s="31"/>
      <c r="E5549" s="32"/>
      <c r="F5549" s="53" t="s">
        <v>514</v>
      </c>
      <c r="G5549" s="53" t="str">
        <f t="shared" si="105"/>
        <v/>
      </c>
      <c r="H5549" s="72"/>
      <c r="I5549" s="73"/>
      <c r="J5549" s="148">
        <v>0</v>
      </c>
      <c r="K5549" s="222">
        <v>0</v>
      </c>
    </row>
    <row r="5550" spans="1:11" ht="15.75" hidden="1" thickBot="1" x14ac:dyDescent="0.3">
      <c r="A5550" s="208"/>
      <c r="B5550" s="206"/>
      <c r="C5550" s="54"/>
      <c r="D5550" s="150"/>
      <c r="E5550" s="65"/>
      <c r="F5550" s="75" t="s">
        <v>514</v>
      </c>
      <c r="G5550" s="75" t="str">
        <f t="shared" ref="G5550:G5613" si="106">IF(ISNUMBER(F5550),E5550*F5550,"")</f>
        <v/>
      </c>
      <c r="H5550" s="76"/>
      <c r="I5550" s="73"/>
      <c r="J5550" s="148">
        <v>0</v>
      </c>
      <c r="K5550" s="222">
        <v>0</v>
      </c>
    </row>
    <row r="5551" spans="1:11" ht="15.75" hidden="1" thickBot="1" x14ac:dyDescent="0.3">
      <c r="A5551" s="202" t="s">
        <v>5025</v>
      </c>
      <c r="B5551" s="204" t="str">
        <f>INDEX(Orçamentária!A:B,MATCH(Composições!A5551,Orçamentária!A:A,0),2)</f>
        <v>Técnico em Eletrotécnica</v>
      </c>
      <c r="C5551" s="40"/>
      <c r="D5551" s="25" t="str">
        <f>TRIM(INDEX(Orçamentária!C:C,MATCH(Composições!A5551,Orçamentária!A:A,0),1))</f>
        <v>Profissional</v>
      </c>
      <c r="E5551" s="26"/>
      <c r="F5551" s="48" t="s">
        <v>514</v>
      </c>
      <c r="G5551" s="27" t="str">
        <f t="shared" si="106"/>
        <v/>
      </c>
      <c r="H5551" s="28"/>
      <c r="I5551" s="29"/>
      <c r="J5551" s="148">
        <v>0</v>
      </c>
      <c r="K5551" s="222">
        <v>0</v>
      </c>
    </row>
    <row r="5552" spans="1:11" hidden="1" x14ac:dyDescent="0.25">
      <c r="A5552" s="207"/>
      <c r="B5552" s="205"/>
      <c r="C5552" s="31"/>
      <c r="D5552" s="31"/>
      <c r="E5552" s="32"/>
      <c r="F5552" s="53" t="s">
        <v>514</v>
      </c>
      <c r="G5552" s="53" t="str">
        <f t="shared" si="106"/>
        <v/>
      </c>
      <c r="H5552" s="72"/>
      <c r="I5552" s="73"/>
      <c r="J5552" s="148">
        <v>0</v>
      </c>
      <c r="K5552" s="222">
        <v>0</v>
      </c>
    </row>
    <row r="5553" spans="1:11" hidden="1" x14ac:dyDescent="0.25">
      <c r="A5553" s="207"/>
      <c r="B5553" s="205"/>
      <c r="C5553" s="35" t="s">
        <v>3217</v>
      </c>
      <c r="D5553" s="35" t="s">
        <v>12</v>
      </c>
      <c r="E5553" s="36">
        <f>ROUND(220/(1+110.14%),4)</f>
        <v>104.6921</v>
      </c>
      <c r="F5553" s="30">
        <v>30.551999999999996</v>
      </c>
      <c r="G5553" s="53">
        <f t="shared" si="106"/>
        <v>3198.5530391999996</v>
      </c>
      <c r="H5553" s="38">
        <f>SUM(G5553:G5553)</f>
        <v>3198.5530391999996</v>
      </c>
      <c r="I5553" s="39"/>
      <c r="J5553" s="148">
        <v>0</v>
      </c>
      <c r="K5553" s="222">
        <v>0</v>
      </c>
    </row>
    <row r="5554" spans="1:11" hidden="1" x14ac:dyDescent="0.25">
      <c r="A5554" s="207"/>
      <c r="B5554" s="205"/>
      <c r="C5554" s="31"/>
      <c r="D5554" s="31"/>
      <c r="E5554" s="32"/>
      <c r="F5554" s="53" t="s">
        <v>514</v>
      </c>
      <c r="G5554" s="53" t="str">
        <f t="shared" si="106"/>
        <v/>
      </c>
      <c r="H5554" s="72"/>
      <c r="I5554" s="73"/>
      <c r="J5554" s="148">
        <v>0</v>
      </c>
      <c r="K5554" s="222">
        <v>0</v>
      </c>
    </row>
    <row r="5555" spans="1:11" ht="25.5" hidden="1" x14ac:dyDescent="0.25">
      <c r="A5555" s="207"/>
      <c r="B5555" s="205"/>
      <c r="C5555" s="47" t="s">
        <v>773</v>
      </c>
      <c r="D5555" s="31"/>
      <c r="E5555" s="32"/>
      <c r="F5555" s="53" t="s">
        <v>514</v>
      </c>
      <c r="G5555" s="53" t="str">
        <f t="shared" si="106"/>
        <v/>
      </c>
      <c r="H5555" s="72"/>
      <c r="I5555" s="73"/>
      <c r="J5555" s="148">
        <v>0</v>
      </c>
      <c r="K5555" s="222">
        <v>0</v>
      </c>
    </row>
    <row r="5556" spans="1:11" ht="15.75" hidden="1" thickBot="1" x14ac:dyDescent="0.3">
      <c r="A5556" s="208"/>
      <c r="B5556" s="206"/>
      <c r="C5556" s="54"/>
      <c r="D5556" s="150"/>
      <c r="E5556" s="65"/>
      <c r="F5556" s="75" t="s">
        <v>514</v>
      </c>
      <c r="G5556" s="75" t="str">
        <f t="shared" si="106"/>
        <v/>
      </c>
      <c r="H5556" s="76"/>
      <c r="I5556" s="73"/>
      <c r="J5556" s="148">
        <v>0</v>
      </c>
      <c r="K5556" s="222">
        <v>0</v>
      </c>
    </row>
    <row r="5557" spans="1:11" ht="15.75" hidden="1" thickBot="1" x14ac:dyDescent="0.3">
      <c r="A5557" s="202" t="s">
        <v>5026</v>
      </c>
      <c r="B5557" s="204" t="str">
        <f>INDEX(Orçamentária!A:B,MATCH(Composições!A5557,Orçamentária!A:A,0),2)</f>
        <v>Eletricista</v>
      </c>
      <c r="C5557" s="40"/>
      <c r="D5557" s="25" t="str">
        <f>TRIM(INDEX(Orçamentária!C:C,MATCH(Composições!A5557,Orçamentária!A:A,0),1))</f>
        <v>Profissional</v>
      </c>
      <c r="E5557" s="26"/>
      <c r="F5557" s="48" t="s">
        <v>514</v>
      </c>
      <c r="G5557" s="27" t="str">
        <f t="shared" si="106"/>
        <v/>
      </c>
      <c r="H5557" s="28"/>
      <c r="I5557" s="29"/>
      <c r="J5557" s="148">
        <v>0</v>
      </c>
      <c r="K5557" s="222">
        <v>0</v>
      </c>
    </row>
    <row r="5558" spans="1:11" hidden="1" x14ac:dyDescent="0.25">
      <c r="A5558" s="207"/>
      <c r="B5558" s="205"/>
      <c r="C5558" s="31"/>
      <c r="D5558" s="31"/>
      <c r="E5558" s="32"/>
      <c r="F5558" s="53" t="s">
        <v>514</v>
      </c>
      <c r="G5558" s="53" t="str">
        <f t="shared" si="106"/>
        <v/>
      </c>
      <c r="H5558" s="72"/>
      <c r="I5558" s="73"/>
      <c r="J5558" s="148">
        <v>0</v>
      </c>
      <c r="K5558" s="222">
        <v>0</v>
      </c>
    </row>
    <row r="5559" spans="1:11" hidden="1" x14ac:dyDescent="0.25">
      <c r="A5559" s="207"/>
      <c r="B5559" s="205"/>
      <c r="C5559" s="35" t="s">
        <v>1151</v>
      </c>
      <c r="D5559" s="35" t="s">
        <v>12</v>
      </c>
      <c r="E5559" s="36">
        <f>ROUND(220/(1+110.14%),4)</f>
        <v>104.6921</v>
      </c>
      <c r="F5559" s="30">
        <v>25.146499999999996</v>
      </c>
      <c r="G5559" s="53">
        <f t="shared" si="106"/>
        <v>2632.6398926499996</v>
      </c>
      <c r="H5559" s="38">
        <f>SUM(G5559:G5559)</f>
        <v>2632.6398926499996</v>
      </c>
      <c r="I5559" s="39"/>
      <c r="J5559" s="148">
        <v>0</v>
      </c>
      <c r="K5559" s="222">
        <v>0</v>
      </c>
    </row>
    <row r="5560" spans="1:11" hidden="1" x14ac:dyDescent="0.25">
      <c r="A5560" s="207"/>
      <c r="B5560" s="205"/>
      <c r="C5560" s="31"/>
      <c r="D5560" s="31"/>
      <c r="E5560" s="32"/>
      <c r="F5560" s="53" t="s">
        <v>514</v>
      </c>
      <c r="G5560" s="53" t="str">
        <f t="shared" si="106"/>
        <v/>
      </c>
      <c r="H5560" s="72"/>
      <c r="I5560" s="73"/>
      <c r="J5560" s="148">
        <v>0</v>
      </c>
      <c r="K5560" s="222">
        <v>0</v>
      </c>
    </row>
    <row r="5561" spans="1:11" ht="25.5" hidden="1" x14ac:dyDescent="0.25">
      <c r="A5561" s="207"/>
      <c r="B5561" s="205"/>
      <c r="C5561" s="47" t="s">
        <v>773</v>
      </c>
      <c r="D5561" s="31"/>
      <c r="E5561" s="32"/>
      <c r="F5561" s="53" t="s">
        <v>514</v>
      </c>
      <c r="G5561" s="53" t="str">
        <f t="shared" si="106"/>
        <v/>
      </c>
      <c r="H5561" s="72"/>
      <c r="I5561" s="73"/>
      <c r="J5561" s="148">
        <v>0</v>
      </c>
      <c r="K5561" s="222">
        <v>0</v>
      </c>
    </row>
    <row r="5562" spans="1:11" ht="15.75" hidden="1" thickBot="1" x14ac:dyDescent="0.3">
      <c r="A5562" s="208"/>
      <c r="B5562" s="206"/>
      <c r="C5562" s="54"/>
      <c r="D5562" s="150"/>
      <c r="E5562" s="65"/>
      <c r="F5562" s="75" t="s">
        <v>514</v>
      </c>
      <c r="G5562" s="75" t="str">
        <f t="shared" si="106"/>
        <v/>
      </c>
      <c r="H5562" s="76"/>
      <c r="I5562" s="73"/>
      <c r="J5562" s="148">
        <v>0</v>
      </c>
      <c r="K5562" s="222">
        <v>0</v>
      </c>
    </row>
    <row r="5563" spans="1:11" ht="15.75" hidden="1" thickBot="1" x14ac:dyDescent="0.3">
      <c r="A5563" s="202" t="s">
        <v>5027</v>
      </c>
      <c r="B5563" s="204" t="str">
        <f>INDEX(Orçamentária!A:B,MATCH(Composições!A5563,Orçamentária!A:A,0),2)</f>
        <v>Auxiliar de Eletricista</v>
      </c>
      <c r="C5563" s="40"/>
      <c r="D5563" s="25" t="str">
        <f>TRIM(INDEX(Orçamentária!C:C,MATCH(Composições!A5563,Orçamentária!A:A,0),1))</f>
        <v>Profissional</v>
      </c>
      <c r="E5563" s="26"/>
      <c r="F5563" s="48" t="s">
        <v>514</v>
      </c>
      <c r="G5563" s="27" t="str">
        <f t="shared" si="106"/>
        <v/>
      </c>
      <c r="H5563" s="28"/>
      <c r="I5563" s="29"/>
      <c r="J5563" s="148">
        <v>0</v>
      </c>
      <c r="K5563" s="222">
        <v>0</v>
      </c>
    </row>
    <row r="5564" spans="1:11" hidden="1" x14ac:dyDescent="0.25">
      <c r="A5564" s="207"/>
      <c r="B5564" s="205"/>
      <c r="C5564" s="31"/>
      <c r="D5564" s="31"/>
      <c r="E5564" s="32"/>
      <c r="F5564" s="53" t="s">
        <v>514</v>
      </c>
      <c r="G5564" s="53" t="str">
        <f t="shared" si="106"/>
        <v/>
      </c>
      <c r="H5564" s="72"/>
      <c r="I5564" s="73"/>
      <c r="J5564" s="148">
        <v>0</v>
      </c>
      <c r="K5564" s="222">
        <v>0</v>
      </c>
    </row>
    <row r="5565" spans="1:11" hidden="1" x14ac:dyDescent="0.25">
      <c r="A5565" s="207"/>
      <c r="B5565" s="205"/>
      <c r="C5565" s="35" t="s">
        <v>1150</v>
      </c>
      <c r="D5565" s="35" t="s">
        <v>12</v>
      </c>
      <c r="E5565" s="36">
        <f>ROUND(220/(1+110.14%),4)</f>
        <v>104.6921</v>
      </c>
      <c r="F5565" s="30">
        <v>19.4085</v>
      </c>
      <c r="G5565" s="53">
        <f t="shared" si="106"/>
        <v>2031.9166228499998</v>
      </c>
      <c r="H5565" s="38">
        <f>SUM(G5565:G5565)</f>
        <v>2031.9166228499998</v>
      </c>
      <c r="I5565" s="39"/>
      <c r="J5565" s="148">
        <v>0</v>
      </c>
      <c r="K5565" s="222">
        <v>0</v>
      </c>
    </row>
    <row r="5566" spans="1:11" hidden="1" x14ac:dyDescent="0.25">
      <c r="A5566" s="207"/>
      <c r="B5566" s="205"/>
      <c r="C5566" s="31"/>
      <c r="D5566" s="31"/>
      <c r="E5566" s="32"/>
      <c r="F5566" s="53" t="s">
        <v>514</v>
      </c>
      <c r="G5566" s="53" t="str">
        <f t="shared" si="106"/>
        <v/>
      </c>
      <c r="H5566" s="72"/>
      <c r="I5566" s="73"/>
      <c r="J5566" s="148">
        <v>0</v>
      </c>
      <c r="K5566" s="222">
        <v>0</v>
      </c>
    </row>
    <row r="5567" spans="1:11" ht="25.5" hidden="1" x14ac:dyDescent="0.25">
      <c r="A5567" s="207"/>
      <c r="B5567" s="205"/>
      <c r="C5567" s="47" t="s">
        <v>773</v>
      </c>
      <c r="D5567" s="31"/>
      <c r="E5567" s="32"/>
      <c r="F5567" s="53" t="s">
        <v>514</v>
      </c>
      <c r="G5567" s="53" t="str">
        <f t="shared" si="106"/>
        <v/>
      </c>
      <c r="H5567" s="72"/>
      <c r="I5567" s="73"/>
      <c r="J5567" s="148">
        <v>0</v>
      </c>
      <c r="K5567" s="222">
        <v>0</v>
      </c>
    </row>
    <row r="5568" spans="1:11" ht="15.75" hidden="1" thickBot="1" x14ac:dyDescent="0.3">
      <c r="A5568" s="208"/>
      <c r="B5568" s="206"/>
      <c r="C5568" s="54"/>
      <c r="D5568" s="150"/>
      <c r="E5568" s="65"/>
      <c r="F5568" s="75" t="s">
        <v>514</v>
      </c>
      <c r="G5568" s="75" t="str">
        <f t="shared" si="106"/>
        <v/>
      </c>
      <c r="H5568" s="76"/>
      <c r="I5568" s="73"/>
      <c r="J5568" s="148">
        <v>0</v>
      </c>
      <c r="K5568" s="222">
        <v>0</v>
      </c>
    </row>
    <row r="5569" spans="1:11" ht="15.75" hidden="1" thickBot="1" x14ac:dyDescent="0.3">
      <c r="A5569" s="202" t="s">
        <v>5028</v>
      </c>
      <c r="B5569" s="204" t="str">
        <f>INDEX(Orçamentária!A:B,MATCH(Composições!A5569,Orçamentária!A:A,0),2)</f>
        <v>Técnico em Eletromecânica</v>
      </c>
      <c r="C5569" s="40"/>
      <c r="D5569" s="25" t="str">
        <f>TRIM(INDEX(Orçamentária!C:C,MATCH(Composições!A5569,Orçamentária!A:A,0),1))</f>
        <v>Profissional</v>
      </c>
      <c r="E5569" s="26"/>
      <c r="F5569" s="48" t="s">
        <v>514</v>
      </c>
      <c r="G5569" s="27" t="str">
        <f t="shared" si="106"/>
        <v/>
      </c>
      <c r="H5569" s="28"/>
      <c r="I5569" s="29"/>
      <c r="J5569" s="148">
        <v>0</v>
      </c>
      <c r="K5569" s="222">
        <v>0</v>
      </c>
    </row>
    <row r="5570" spans="1:11" hidden="1" x14ac:dyDescent="0.25">
      <c r="A5570" s="207"/>
      <c r="B5570" s="205"/>
      <c r="C5570" s="31"/>
      <c r="D5570" s="31"/>
      <c r="E5570" s="32"/>
      <c r="F5570" s="53" t="s">
        <v>514</v>
      </c>
      <c r="G5570" s="53" t="str">
        <f t="shared" si="106"/>
        <v/>
      </c>
      <c r="H5570" s="72"/>
      <c r="I5570" s="73"/>
      <c r="J5570" s="148">
        <v>0</v>
      </c>
      <c r="K5570" s="222">
        <v>0</v>
      </c>
    </row>
    <row r="5571" spans="1:11" hidden="1" x14ac:dyDescent="0.25">
      <c r="A5571" s="207"/>
      <c r="B5571" s="205"/>
      <c r="C5571" s="35" t="s">
        <v>3217</v>
      </c>
      <c r="D5571" s="35" t="s">
        <v>12</v>
      </c>
      <c r="E5571" s="36">
        <f>ROUND(220/(1+110.14%),4)</f>
        <v>104.6921</v>
      </c>
      <c r="F5571" s="30">
        <v>30.551999999999996</v>
      </c>
      <c r="G5571" s="53">
        <f t="shared" si="106"/>
        <v>3198.5530391999996</v>
      </c>
      <c r="H5571" s="38">
        <f>SUM(G5571:G5571)</f>
        <v>3198.5530391999996</v>
      </c>
      <c r="I5571" s="39"/>
      <c r="J5571" s="148">
        <v>0</v>
      </c>
      <c r="K5571" s="222">
        <v>0</v>
      </c>
    </row>
    <row r="5572" spans="1:11" hidden="1" x14ac:dyDescent="0.25">
      <c r="A5572" s="207"/>
      <c r="B5572" s="205"/>
      <c r="C5572" s="31"/>
      <c r="D5572" s="31"/>
      <c r="E5572" s="32"/>
      <c r="F5572" s="53" t="s">
        <v>514</v>
      </c>
      <c r="G5572" s="53" t="str">
        <f t="shared" si="106"/>
        <v/>
      </c>
      <c r="H5572" s="72"/>
      <c r="I5572" s="73"/>
      <c r="J5572" s="148">
        <v>0</v>
      </c>
      <c r="K5572" s="222">
        <v>0</v>
      </c>
    </row>
    <row r="5573" spans="1:11" ht="25.5" hidden="1" x14ac:dyDescent="0.25">
      <c r="A5573" s="207"/>
      <c r="B5573" s="205"/>
      <c r="C5573" s="47" t="s">
        <v>773</v>
      </c>
      <c r="D5573" s="31"/>
      <c r="E5573" s="32"/>
      <c r="F5573" s="53" t="s">
        <v>514</v>
      </c>
      <c r="G5573" s="53" t="str">
        <f t="shared" si="106"/>
        <v/>
      </c>
      <c r="H5573" s="72"/>
      <c r="I5573" s="73"/>
      <c r="J5573" s="148">
        <v>0</v>
      </c>
      <c r="K5573" s="222">
        <v>0</v>
      </c>
    </row>
    <row r="5574" spans="1:11" ht="15.75" hidden="1" thickBot="1" x14ac:dyDescent="0.3">
      <c r="A5574" s="208"/>
      <c r="B5574" s="206"/>
      <c r="C5574" s="54"/>
      <c r="D5574" s="150"/>
      <c r="E5574" s="65"/>
      <c r="F5574" s="75" t="s">
        <v>514</v>
      </c>
      <c r="G5574" s="75" t="str">
        <f t="shared" si="106"/>
        <v/>
      </c>
      <c r="H5574" s="76"/>
      <c r="I5574" s="73"/>
      <c r="J5574" s="148">
        <v>0</v>
      </c>
      <c r="K5574" s="222">
        <v>0</v>
      </c>
    </row>
    <row r="5575" spans="1:11" ht="15.75" hidden="1" thickBot="1" x14ac:dyDescent="0.3">
      <c r="A5575" s="202" t="s">
        <v>5029</v>
      </c>
      <c r="B5575" s="204" t="str">
        <f>INDEX(Orçamentária!A:B,MATCH(Composições!A5575,Orçamentária!A:A,0),2)</f>
        <v>Técnico em Automação</v>
      </c>
      <c r="C5575" s="40"/>
      <c r="D5575" s="25" t="str">
        <f>TRIM(INDEX(Orçamentária!C:C,MATCH(Composições!A5575,Orçamentária!A:A,0),1))</f>
        <v>Profissional</v>
      </c>
      <c r="E5575" s="26"/>
      <c r="F5575" s="48" t="s">
        <v>514</v>
      </c>
      <c r="G5575" s="27" t="str">
        <f t="shared" si="106"/>
        <v/>
      </c>
      <c r="H5575" s="28"/>
      <c r="I5575" s="29"/>
      <c r="J5575" s="148">
        <v>0</v>
      </c>
      <c r="K5575" s="222">
        <v>0</v>
      </c>
    </row>
    <row r="5576" spans="1:11" hidden="1" x14ac:dyDescent="0.25">
      <c r="A5576" s="207"/>
      <c r="B5576" s="205"/>
      <c r="C5576" s="31"/>
      <c r="D5576" s="31"/>
      <c r="E5576" s="32"/>
      <c r="F5576" s="53" t="s">
        <v>514</v>
      </c>
      <c r="G5576" s="53" t="str">
        <f t="shared" si="106"/>
        <v/>
      </c>
      <c r="H5576" s="72"/>
      <c r="I5576" s="73"/>
      <c r="J5576" s="148">
        <v>0</v>
      </c>
      <c r="K5576" s="222">
        <v>0</v>
      </c>
    </row>
    <row r="5577" spans="1:11" hidden="1" x14ac:dyDescent="0.25">
      <c r="A5577" s="207"/>
      <c r="B5577" s="205"/>
      <c r="C5577" s="35" t="s">
        <v>3217</v>
      </c>
      <c r="D5577" s="35" t="s">
        <v>12</v>
      </c>
      <c r="E5577" s="36">
        <f>ROUND(220/(1+110.14%),4)</f>
        <v>104.6921</v>
      </c>
      <c r="F5577" s="30">
        <v>30.551999999999996</v>
      </c>
      <c r="G5577" s="53">
        <f t="shared" si="106"/>
        <v>3198.5530391999996</v>
      </c>
      <c r="H5577" s="38">
        <f>SUM(G5577:G5577)</f>
        <v>3198.5530391999996</v>
      </c>
      <c r="I5577" s="39"/>
      <c r="J5577" s="148">
        <v>0</v>
      </c>
      <c r="K5577" s="222">
        <v>0</v>
      </c>
    </row>
    <row r="5578" spans="1:11" hidden="1" x14ac:dyDescent="0.25">
      <c r="A5578" s="207"/>
      <c r="B5578" s="205"/>
      <c r="C5578" s="31"/>
      <c r="D5578" s="31"/>
      <c r="E5578" s="32"/>
      <c r="F5578" s="53" t="s">
        <v>514</v>
      </c>
      <c r="G5578" s="53" t="str">
        <f t="shared" si="106"/>
        <v/>
      </c>
      <c r="H5578" s="72"/>
      <c r="I5578" s="73"/>
      <c r="J5578" s="148">
        <v>0</v>
      </c>
      <c r="K5578" s="222">
        <v>0</v>
      </c>
    </row>
    <row r="5579" spans="1:11" ht="25.5" hidden="1" x14ac:dyDescent="0.25">
      <c r="A5579" s="207"/>
      <c r="B5579" s="205"/>
      <c r="C5579" s="47" t="s">
        <v>773</v>
      </c>
      <c r="D5579" s="31"/>
      <c r="E5579" s="32"/>
      <c r="F5579" s="53" t="s">
        <v>514</v>
      </c>
      <c r="G5579" s="53" t="str">
        <f t="shared" si="106"/>
        <v/>
      </c>
      <c r="H5579" s="72"/>
      <c r="I5579" s="73"/>
      <c r="J5579" s="148">
        <v>0</v>
      </c>
      <c r="K5579" s="222">
        <v>0</v>
      </c>
    </row>
    <row r="5580" spans="1:11" ht="15.75" hidden="1" thickBot="1" x14ac:dyDescent="0.3">
      <c r="A5580" s="208"/>
      <c r="B5580" s="206"/>
      <c r="C5580" s="54"/>
      <c r="D5580" s="150"/>
      <c r="E5580" s="65"/>
      <c r="F5580" s="75" t="s">
        <v>514</v>
      </c>
      <c r="G5580" s="75" t="str">
        <f t="shared" si="106"/>
        <v/>
      </c>
      <c r="H5580" s="76"/>
      <c r="I5580" s="73"/>
      <c r="J5580" s="148">
        <v>0</v>
      </c>
      <c r="K5580" s="222">
        <v>0</v>
      </c>
    </row>
    <row r="5581" spans="1:11" ht="15.75" hidden="1" thickBot="1" x14ac:dyDescent="0.3">
      <c r="A5581" s="202" t="s">
        <v>5030</v>
      </c>
      <c r="B5581" s="204" t="str">
        <f>INDEX(Orçamentária!A:B,MATCH(Composições!A5581,Orçamentária!A:A,0),2)</f>
        <v>Técnico em Eletrotécnica Plantonista (diurno)</v>
      </c>
      <c r="C5581" s="40"/>
      <c r="D5581" s="25" t="str">
        <f>TRIM(INDEX(Orçamentária!C:C,MATCH(Composições!A5581,Orçamentária!A:A,0),1))</f>
        <v>Profissional</v>
      </c>
      <c r="E5581" s="26"/>
      <c r="F5581" s="48" t="s">
        <v>514</v>
      </c>
      <c r="G5581" s="27" t="str">
        <f t="shared" si="106"/>
        <v/>
      </c>
      <c r="H5581" s="28"/>
      <c r="I5581" s="29"/>
      <c r="J5581" s="148">
        <v>0</v>
      </c>
      <c r="K5581" s="222">
        <v>0</v>
      </c>
    </row>
    <row r="5582" spans="1:11" hidden="1" x14ac:dyDescent="0.25">
      <c r="A5582" s="207"/>
      <c r="B5582" s="205"/>
      <c r="C5582" s="31"/>
      <c r="D5582" s="31"/>
      <c r="E5582" s="32"/>
      <c r="F5582" s="53" t="s">
        <v>514</v>
      </c>
      <c r="G5582" s="53" t="str">
        <f t="shared" si="106"/>
        <v/>
      </c>
      <c r="H5582" s="72"/>
      <c r="I5582" s="73"/>
      <c r="J5582" s="148">
        <v>0</v>
      </c>
      <c r="K5582" s="222">
        <v>0</v>
      </c>
    </row>
    <row r="5583" spans="1:11" hidden="1" x14ac:dyDescent="0.25">
      <c r="A5583" s="207"/>
      <c r="B5583" s="205"/>
      <c r="C5583" s="35" t="s">
        <v>3217</v>
      </c>
      <c r="D5583" s="35" t="s">
        <v>12</v>
      </c>
      <c r="E5583" s="36">
        <f>ROUND(220/(1+110.14%),4)</f>
        <v>104.6921</v>
      </c>
      <c r="F5583" s="30">
        <v>30.551999999999996</v>
      </c>
      <c r="G5583" s="53">
        <f t="shared" si="106"/>
        <v>3198.5530391999996</v>
      </c>
      <c r="H5583" s="38">
        <f>SUM(G5583:G5583)</f>
        <v>3198.5530391999996</v>
      </c>
      <c r="I5583" s="39"/>
      <c r="J5583" s="148">
        <v>0</v>
      </c>
      <c r="K5583" s="222">
        <v>0</v>
      </c>
    </row>
    <row r="5584" spans="1:11" hidden="1" x14ac:dyDescent="0.25">
      <c r="A5584" s="207"/>
      <c r="B5584" s="205"/>
      <c r="C5584" s="31"/>
      <c r="D5584" s="31"/>
      <c r="E5584" s="32"/>
      <c r="F5584" s="53" t="s">
        <v>514</v>
      </c>
      <c r="G5584" s="53" t="str">
        <f t="shared" si="106"/>
        <v/>
      </c>
      <c r="H5584" s="72"/>
      <c r="I5584" s="73"/>
      <c r="J5584" s="148">
        <v>0</v>
      </c>
      <c r="K5584" s="222">
        <v>0</v>
      </c>
    </row>
    <row r="5585" spans="1:11" ht="25.5" hidden="1" x14ac:dyDescent="0.25">
      <c r="A5585" s="207"/>
      <c r="B5585" s="205"/>
      <c r="C5585" s="47" t="s">
        <v>773</v>
      </c>
      <c r="D5585" s="31"/>
      <c r="E5585" s="32"/>
      <c r="F5585" s="53" t="s">
        <v>514</v>
      </c>
      <c r="G5585" s="53" t="str">
        <f t="shared" si="106"/>
        <v/>
      </c>
      <c r="H5585" s="72"/>
      <c r="I5585" s="73"/>
      <c r="J5585" s="148">
        <v>0</v>
      </c>
      <c r="K5585" s="222">
        <v>0</v>
      </c>
    </row>
    <row r="5586" spans="1:11" ht="15.75" hidden="1" thickBot="1" x14ac:dyDescent="0.3">
      <c r="A5586" s="208"/>
      <c r="B5586" s="206"/>
      <c r="C5586" s="54"/>
      <c r="D5586" s="150"/>
      <c r="E5586" s="65"/>
      <c r="F5586" s="75" t="s">
        <v>514</v>
      </c>
      <c r="G5586" s="75" t="str">
        <f t="shared" si="106"/>
        <v/>
      </c>
      <c r="H5586" s="76"/>
      <c r="I5586" s="73"/>
      <c r="J5586" s="148">
        <v>0</v>
      </c>
      <c r="K5586" s="222">
        <v>0</v>
      </c>
    </row>
    <row r="5587" spans="1:11" ht="15.75" hidden="1" thickBot="1" x14ac:dyDescent="0.3">
      <c r="A5587" s="202" t="s">
        <v>5031</v>
      </c>
      <c r="B5587" s="204" t="str">
        <f>INDEX(Orçamentária!A:B,MATCH(Composições!A5587,Orçamentária!A:A,0),2)</f>
        <v>Técnico em Eletrotécnica Plantonista (noturno)</v>
      </c>
      <c r="C5587" s="40"/>
      <c r="D5587" s="25" t="str">
        <f>TRIM(INDEX(Orçamentária!C:C,MATCH(Composições!A5587,Orçamentária!A:A,0),1))</f>
        <v>Profissional</v>
      </c>
      <c r="E5587" s="26"/>
      <c r="F5587" s="48" t="s">
        <v>514</v>
      </c>
      <c r="G5587" s="27" t="str">
        <f t="shared" si="106"/>
        <v/>
      </c>
      <c r="H5587" s="28"/>
      <c r="I5587" s="29"/>
      <c r="J5587" s="148">
        <v>0</v>
      </c>
      <c r="K5587" s="222">
        <v>0</v>
      </c>
    </row>
    <row r="5588" spans="1:11" hidden="1" x14ac:dyDescent="0.25">
      <c r="A5588" s="207"/>
      <c r="B5588" s="205"/>
      <c r="C5588" s="31"/>
      <c r="D5588" s="31"/>
      <c r="E5588" s="32"/>
      <c r="F5588" s="53" t="s">
        <v>514</v>
      </c>
      <c r="G5588" s="53" t="str">
        <f t="shared" si="106"/>
        <v/>
      </c>
      <c r="H5588" s="72"/>
      <c r="I5588" s="73"/>
      <c r="J5588" s="148">
        <v>0</v>
      </c>
      <c r="K5588" s="222">
        <v>0</v>
      </c>
    </row>
    <row r="5589" spans="1:11" hidden="1" x14ac:dyDescent="0.25">
      <c r="A5589" s="207"/>
      <c r="B5589" s="205"/>
      <c r="C5589" s="35" t="s">
        <v>3217</v>
      </c>
      <c r="D5589" s="35" t="s">
        <v>12</v>
      </c>
      <c r="E5589" s="36">
        <f>ROUND(220/(1+110.14%),4)</f>
        <v>104.6921</v>
      </c>
      <c r="F5589" s="30">
        <v>30.551999999999996</v>
      </c>
      <c r="G5589" s="53">
        <f t="shared" si="106"/>
        <v>3198.5530391999996</v>
      </c>
      <c r="H5589" s="38">
        <f>SUM(G5589:G5589)</f>
        <v>3198.5530391999996</v>
      </c>
      <c r="I5589" s="39"/>
      <c r="J5589" s="148">
        <v>0</v>
      </c>
      <c r="K5589" s="222">
        <v>0</v>
      </c>
    </row>
    <row r="5590" spans="1:11" hidden="1" x14ac:dyDescent="0.25">
      <c r="A5590" s="207"/>
      <c r="B5590" s="205"/>
      <c r="C5590" s="31"/>
      <c r="D5590" s="31"/>
      <c r="E5590" s="32"/>
      <c r="F5590" s="53" t="s">
        <v>514</v>
      </c>
      <c r="G5590" s="53" t="str">
        <f t="shared" si="106"/>
        <v/>
      </c>
      <c r="H5590" s="72"/>
      <c r="I5590" s="73"/>
      <c r="J5590" s="148">
        <v>0</v>
      </c>
      <c r="K5590" s="222">
        <v>0</v>
      </c>
    </row>
    <row r="5591" spans="1:11" ht="25.5" hidden="1" x14ac:dyDescent="0.25">
      <c r="A5591" s="207"/>
      <c r="B5591" s="205"/>
      <c r="C5591" s="47" t="s">
        <v>773</v>
      </c>
      <c r="D5591" s="31"/>
      <c r="E5591" s="32"/>
      <c r="F5591" s="53" t="s">
        <v>514</v>
      </c>
      <c r="G5591" s="53" t="str">
        <f t="shared" si="106"/>
        <v/>
      </c>
      <c r="H5591" s="72"/>
      <c r="I5591" s="73"/>
      <c r="J5591" s="148">
        <v>0</v>
      </c>
      <c r="K5591" s="222">
        <v>0</v>
      </c>
    </row>
    <row r="5592" spans="1:11" ht="15.75" hidden="1" thickBot="1" x14ac:dyDescent="0.3">
      <c r="A5592" s="208"/>
      <c r="B5592" s="206"/>
      <c r="C5592" s="54"/>
      <c r="D5592" s="150"/>
      <c r="E5592" s="65"/>
      <c r="F5592" s="75" t="s">
        <v>514</v>
      </c>
      <c r="G5592" s="75" t="str">
        <f t="shared" si="106"/>
        <v/>
      </c>
      <c r="H5592" s="76"/>
      <c r="I5592" s="73"/>
      <c r="J5592" s="148">
        <v>0</v>
      </c>
      <c r="K5592" s="222">
        <v>0</v>
      </c>
    </row>
    <row r="5593" spans="1:11" ht="15.75" hidden="1" thickBot="1" x14ac:dyDescent="0.3">
      <c r="A5593" s="202" t="s">
        <v>5032</v>
      </c>
      <c r="B5593" s="204" t="str">
        <f>INDEX(Orçamentária!A:B,MATCH(Composições!A5593,Orçamentária!A:A,0),2)</f>
        <v>Eletricista Plantonista (diurno)</v>
      </c>
      <c r="C5593" s="40"/>
      <c r="D5593" s="25" t="str">
        <f>TRIM(INDEX(Orçamentária!C:C,MATCH(Composições!A5593,Orçamentária!A:A,0),1))</f>
        <v>Profissional</v>
      </c>
      <c r="E5593" s="26"/>
      <c r="F5593" s="48" t="s">
        <v>514</v>
      </c>
      <c r="G5593" s="27" t="str">
        <f t="shared" si="106"/>
        <v/>
      </c>
      <c r="H5593" s="28"/>
      <c r="I5593" s="29"/>
      <c r="J5593" s="148">
        <v>0</v>
      </c>
      <c r="K5593" s="222">
        <v>0</v>
      </c>
    </row>
    <row r="5594" spans="1:11" hidden="1" x14ac:dyDescent="0.25">
      <c r="A5594" s="207"/>
      <c r="B5594" s="205"/>
      <c r="C5594" s="31"/>
      <c r="D5594" s="31"/>
      <c r="E5594" s="32"/>
      <c r="F5594" s="53" t="s">
        <v>514</v>
      </c>
      <c r="G5594" s="53" t="str">
        <f t="shared" si="106"/>
        <v/>
      </c>
      <c r="H5594" s="72"/>
      <c r="I5594" s="73"/>
      <c r="J5594" s="148">
        <v>0</v>
      </c>
      <c r="K5594" s="222">
        <v>0</v>
      </c>
    </row>
    <row r="5595" spans="1:11" hidden="1" x14ac:dyDescent="0.25">
      <c r="A5595" s="207"/>
      <c r="B5595" s="205"/>
      <c r="C5595" s="35" t="s">
        <v>1151</v>
      </c>
      <c r="D5595" s="35" t="s">
        <v>12</v>
      </c>
      <c r="E5595" s="36">
        <f>ROUND(220/(1+110.14%),4)</f>
        <v>104.6921</v>
      </c>
      <c r="F5595" s="30">
        <v>25.146499999999996</v>
      </c>
      <c r="G5595" s="53">
        <f t="shared" si="106"/>
        <v>2632.6398926499996</v>
      </c>
      <c r="H5595" s="38">
        <f>SUM(G5595:G5595)</f>
        <v>2632.6398926499996</v>
      </c>
      <c r="I5595" s="39"/>
      <c r="J5595" s="148">
        <v>0</v>
      </c>
      <c r="K5595" s="222">
        <v>0</v>
      </c>
    </row>
    <row r="5596" spans="1:11" hidden="1" x14ac:dyDescent="0.25">
      <c r="A5596" s="207"/>
      <c r="B5596" s="205"/>
      <c r="C5596" s="31"/>
      <c r="D5596" s="31"/>
      <c r="E5596" s="32"/>
      <c r="F5596" s="53" t="s">
        <v>514</v>
      </c>
      <c r="G5596" s="53" t="str">
        <f t="shared" si="106"/>
        <v/>
      </c>
      <c r="H5596" s="72"/>
      <c r="I5596" s="73"/>
      <c r="J5596" s="148">
        <v>0</v>
      </c>
      <c r="K5596" s="222">
        <v>0</v>
      </c>
    </row>
    <row r="5597" spans="1:11" ht="25.5" hidden="1" x14ac:dyDescent="0.25">
      <c r="A5597" s="207"/>
      <c r="B5597" s="205"/>
      <c r="C5597" s="47" t="s">
        <v>773</v>
      </c>
      <c r="D5597" s="31"/>
      <c r="E5597" s="32"/>
      <c r="F5597" s="53" t="s">
        <v>514</v>
      </c>
      <c r="G5597" s="53" t="str">
        <f t="shared" si="106"/>
        <v/>
      </c>
      <c r="H5597" s="72"/>
      <c r="I5597" s="73"/>
      <c r="J5597" s="148">
        <v>0</v>
      </c>
      <c r="K5597" s="222">
        <v>0</v>
      </c>
    </row>
    <row r="5598" spans="1:11" ht="15.75" hidden="1" thickBot="1" x14ac:dyDescent="0.3">
      <c r="A5598" s="208"/>
      <c r="B5598" s="206"/>
      <c r="C5598" s="54"/>
      <c r="D5598" s="150"/>
      <c r="E5598" s="65"/>
      <c r="F5598" s="75" t="s">
        <v>514</v>
      </c>
      <c r="G5598" s="75" t="str">
        <f t="shared" si="106"/>
        <v/>
      </c>
      <c r="H5598" s="76"/>
      <c r="I5598" s="73"/>
      <c r="J5598" s="148">
        <v>0</v>
      </c>
      <c r="K5598" s="222">
        <v>0</v>
      </c>
    </row>
    <row r="5599" spans="1:11" ht="15.75" hidden="1" thickBot="1" x14ac:dyDescent="0.3">
      <c r="A5599" s="202" t="s">
        <v>5033</v>
      </c>
      <c r="B5599" s="204" t="str">
        <f>INDEX(Orçamentária!A:B,MATCH(Composições!A5599,Orçamentária!A:A,0),2)</f>
        <v>Eletricista Plantonista (noturno)</v>
      </c>
      <c r="C5599" s="40"/>
      <c r="D5599" s="25" t="str">
        <f>TRIM(INDEX(Orçamentária!C:C,MATCH(Composições!A5599,Orçamentária!A:A,0),1))</f>
        <v>Profissional</v>
      </c>
      <c r="E5599" s="26"/>
      <c r="F5599" s="48" t="s">
        <v>514</v>
      </c>
      <c r="G5599" s="27" t="str">
        <f t="shared" si="106"/>
        <v/>
      </c>
      <c r="H5599" s="28"/>
      <c r="I5599" s="29"/>
      <c r="J5599" s="148">
        <v>0</v>
      </c>
      <c r="K5599" s="222">
        <v>0</v>
      </c>
    </row>
    <row r="5600" spans="1:11" hidden="1" x14ac:dyDescent="0.25">
      <c r="A5600" s="207"/>
      <c r="B5600" s="205"/>
      <c r="C5600" s="31"/>
      <c r="D5600" s="31"/>
      <c r="E5600" s="32"/>
      <c r="F5600" s="53" t="s">
        <v>514</v>
      </c>
      <c r="G5600" s="53" t="str">
        <f t="shared" si="106"/>
        <v/>
      </c>
      <c r="H5600" s="72"/>
      <c r="I5600" s="73"/>
      <c r="J5600" s="148">
        <v>0</v>
      </c>
      <c r="K5600" s="222">
        <v>0</v>
      </c>
    </row>
    <row r="5601" spans="1:11" hidden="1" x14ac:dyDescent="0.25">
      <c r="A5601" s="207"/>
      <c r="B5601" s="205"/>
      <c r="C5601" s="35" t="s">
        <v>1151</v>
      </c>
      <c r="D5601" s="35" t="s">
        <v>12</v>
      </c>
      <c r="E5601" s="36">
        <f>ROUND(220/(1+110.14%),4)</f>
        <v>104.6921</v>
      </c>
      <c r="F5601" s="30">
        <v>25.146499999999996</v>
      </c>
      <c r="G5601" s="53">
        <f t="shared" si="106"/>
        <v>2632.6398926499996</v>
      </c>
      <c r="H5601" s="38">
        <f>SUM(G5601:G5601)</f>
        <v>2632.6398926499996</v>
      </c>
      <c r="I5601" s="39"/>
      <c r="J5601" s="148">
        <v>0</v>
      </c>
      <c r="K5601" s="222">
        <v>0</v>
      </c>
    </row>
    <row r="5602" spans="1:11" hidden="1" x14ac:dyDescent="0.25">
      <c r="A5602" s="207"/>
      <c r="B5602" s="205"/>
      <c r="C5602" s="31"/>
      <c r="D5602" s="31"/>
      <c r="E5602" s="32"/>
      <c r="F5602" s="53" t="s">
        <v>514</v>
      </c>
      <c r="G5602" s="53" t="str">
        <f t="shared" si="106"/>
        <v/>
      </c>
      <c r="H5602" s="72"/>
      <c r="I5602" s="73"/>
      <c r="J5602" s="148">
        <v>0</v>
      </c>
      <c r="K5602" s="222">
        <v>0</v>
      </c>
    </row>
    <row r="5603" spans="1:11" ht="25.5" hidden="1" x14ac:dyDescent="0.25">
      <c r="A5603" s="207"/>
      <c r="B5603" s="205"/>
      <c r="C5603" s="47" t="s">
        <v>773</v>
      </c>
      <c r="D5603" s="31"/>
      <c r="E5603" s="32"/>
      <c r="F5603" s="53" t="s">
        <v>514</v>
      </c>
      <c r="G5603" s="53" t="str">
        <f t="shared" si="106"/>
        <v/>
      </c>
      <c r="H5603" s="72"/>
      <c r="I5603" s="73"/>
      <c r="J5603" s="148">
        <v>0</v>
      </c>
      <c r="K5603" s="222">
        <v>0</v>
      </c>
    </row>
    <row r="5604" spans="1:11" ht="15.75" hidden="1" thickBot="1" x14ac:dyDescent="0.3">
      <c r="A5604" s="208"/>
      <c r="B5604" s="206"/>
      <c r="C5604" s="54"/>
      <c r="D5604" s="150"/>
      <c r="E5604" s="65"/>
      <c r="F5604" s="75" t="s">
        <v>514</v>
      </c>
      <c r="G5604" s="75" t="str">
        <f t="shared" si="106"/>
        <v/>
      </c>
      <c r="H5604" s="76"/>
      <c r="I5604" s="73"/>
      <c r="J5604" s="148">
        <v>0</v>
      </c>
      <c r="K5604" s="222">
        <v>0</v>
      </c>
    </row>
    <row r="5605" spans="1:11" ht="15.75" hidden="1" thickBot="1" x14ac:dyDescent="0.3">
      <c r="A5605" s="202" t="s">
        <v>5034</v>
      </c>
      <c r="B5605" s="204" t="str">
        <f>INDEX(Orçamentária!A:B,MATCH(Composições!A5605,Orçamentária!A:A,0),2)</f>
        <v>Eletricista Plantonista – Áreas Restritas (diurno)</v>
      </c>
      <c r="C5605" s="40"/>
      <c r="D5605" s="25" t="str">
        <f>TRIM(INDEX(Orçamentária!C:C,MATCH(Composições!A5605,Orçamentária!A:A,0),1))</f>
        <v>Profissional</v>
      </c>
      <c r="E5605" s="26"/>
      <c r="F5605" s="48" t="s">
        <v>514</v>
      </c>
      <c r="G5605" s="27" t="str">
        <f t="shared" si="106"/>
        <v/>
      </c>
      <c r="H5605" s="28"/>
      <c r="I5605" s="29"/>
      <c r="J5605" s="148">
        <v>0</v>
      </c>
      <c r="K5605" s="222">
        <v>0</v>
      </c>
    </row>
    <row r="5606" spans="1:11" hidden="1" x14ac:dyDescent="0.25">
      <c r="A5606" s="207"/>
      <c r="B5606" s="205"/>
      <c r="C5606" s="31"/>
      <c r="D5606" s="31"/>
      <c r="E5606" s="32"/>
      <c r="F5606" s="53" t="s">
        <v>514</v>
      </c>
      <c r="G5606" s="53" t="str">
        <f t="shared" si="106"/>
        <v/>
      </c>
      <c r="H5606" s="72"/>
      <c r="I5606" s="73"/>
      <c r="J5606" s="148">
        <v>0</v>
      </c>
      <c r="K5606" s="222">
        <v>0</v>
      </c>
    </row>
    <row r="5607" spans="1:11" hidden="1" x14ac:dyDescent="0.25">
      <c r="A5607" s="207"/>
      <c r="B5607" s="205"/>
      <c r="C5607" s="35" t="s">
        <v>1151</v>
      </c>
      <c r="D5607" s="35" t="s">
        <v>12</v>
      </c>
      <c r="E5607" s="36">
        <f>ROUND(220/(1+110.14%),4)</f>
        <v>104.6921</v>
      </c>
      <c r="F5607" s="30">
        <v>25.146499999999996</v>
      </c>
      <c r="G5607" s="53">
        <f t="shared" si="106"/>
        <v>2632.6398926499996</v>
      </c>
      <c r="H5607" s="38">
        <f>SUM(G5607:G5607)</f>
        <v>2632.6398926499996</v>
      </c>
      <c r="I5607" s="39"/>
      <c r="J5607" s="148">
        <v>0</v>
      </c>
      <c r="K5607" s="222">
        <v>0</v>
      </c>
    </row>
    <row r="5608" spans="1:11" hidden="1" x14ac:dyDescent="0.25">
      <c r="A5608" s="207"/>
      <c r="B5608" s="205"/>
      <c r="C5608" s="31"/>
      <c r="D5608" s="31"/>
      <c r="E5608" s="32"/>
      <c r="F5608" s="53" t="s">
        <v>514</v>
      </c>
      <c r="G5608" s="53" t="str">
        <f t="shared" si="106"/>
        <v/>
      </c>
      <c r="H5608" s="72"/>
      <c r="I5608" s="73"/>
      <c r="J5608" s="148">
        <v>0</v>
      </c>
      <c r="K5608" s="222">
        <v>0</v>
      </c>
    </row>
    <row r="5609" spans="1:11" ht="25.5" hidden="1" x14ac:dyDescent="0.25">
      <c r="A5609" s="207"/>
      <c r="B5609" s="205"/>
      <c r="C5609" s="47" t="s">
        <v>773</v>
      </c>
      <c r="D5609" s="31"/>
      <c r="E5609" s="32"/>
      <c r="F5609" s="53" t="s">
        <v>514</v>
      </c>
      <c r="G5609" s="53" t="str">
        <f t="shared" si="106"/>
        <v/>
      </c>
      <c r="H5609" s="72"/>
      <c r="I5609" s="73"/>
      <c r="J5609" s="148">
        <v>0</v>
      </c>
      <c r="K5609" s="222">
        <v>0</v>
      </c>
    </row>
    <row r="5610" spans="1:11" ht="15.75" hidden="1" thickBot="1" x14ac:dyDescent="0.3">
      <c r="A5610" s="208"/>
      <c r="B5610" s="206"/>
      <c r="C5610" s="54"/>
      <c r="D5610" s="150"/>
      <c r="E5610" s="65"/>
      <c r="F5610" s="75" t="s">
        <v>514</v>
      </c>
      <c r="G5610" s="75" t="str">
        <f t="shared" si="106"/>
        <v/>
      </c>
      <c r="H5610" s="76"/>
      <c r="I5610" s="73"/>
      <c r="J5610" s="148">
        <v>0</v>
      </c>
      <c r="K5610" s="222">
        <v>0</v>
      </c>
    </row>
    <row r="5611" spans="1:11" ht="15.75" hidden="1" thickBot="1" x14ac:dyDescent="0.3">
      <c r="A5611" s="202" t="s">
        <v>5035</v>
      </c>
      <c r="B5611" s="204" t="str">
        <f>INDEX(Orçamentária!A:B,MATCH(Composições!A5611,Orçamentária!A:A,0),2)</f>
        <v>Eletricista Plantonista – Áreas Restritas (noturno)</v>
      </c>
      <c r="C5611" s="40"/>
      <c r="D5611" s="25" t="str">
        <f>TRIM(INDEX(Orçamentária!C:C,MATCH(Composições!A5611,Orçamentária!A:A,0),1))</f>
        <v>Profissional</v>
      </c>
      <c r="E5611" s="26"/>
      <c r="F5611" s="48" t="s">
        <v>514</v>
      </c>
      <c r="G5611" s="27" t="str">
        <f t="shared" si="106"/>
        <v/>
      </c>
      <c r="H5611" s="28"/>
      <c r="I5611" s="29"/>
      <c r="J5611" s="148">
        <v>0</v>
      </c>
      <c r="K5611" s="222">
        <v>0</v>
      </c>
    </row>
    <row r="5612" spans="1:11" hidden="1" x14ac:dyDescent="0.25">
      <c r="A5612" s="207"/>
      <c r="B5612" s="205"/>
      <c r="C5612" s="31"/>
      <c r="D5612" s="31"/>
      <c r="E5612" s="32"/>
      <c r="F5612" s="53" t="s">
        <v>514</v>
      </c>
      <c r="G5612" s="53" t="str">
        <f t="shared" si="106"/>
        <v/>
      </c>
      <c r="H5612" s="72"/>
      <c r="I5612" s="73"/>
      <c r="J5612" s="148">
        <v>0</v>
      </c>
      <c r="K5612" s="222">
        <v>0</v>
      </c>
    </row>
    <row r="5613" spans="1:11" hidden="1" x14ac:dyDescent="0.25">
      <c r="A5613" s="207"/>
      <c r="B5613" s="205"/>
      <c r="C5613" s="35" t="s">
        <v>1151</v>
      </c>
      <c r="D5613" s="35" t="s">
        <v>12</v>
      </c>
      <c r="E5613" s="36">
        <f>ROUND(220/(1+110.14%),4)</f>
        <v>104.6921</v>
      </c>
      <c r="F5613" s="30">
        <v>25.146499999999996</v>
      </c>
      <c r="G5613" s="53">
        <f t="shared" si="106"/>
        <v>2632.6398926499996</v>
      </c>
      <c r="H5613" s="38">
        <f>SUM(G5613:G5613)</f>
        <v>2632.6398926499996</v>
      </c>
      <c r="I5613" s="39"/>
      <c r="J5613" s="148">
        <v>0</v>
      </c>
      <c r="K5613" s="222">
        <v>0</v>
      </c>
    </row>
    <row r="5614" spans="1:11" hidden="1" x14ac:dyDescent="0.25">
      <c r="A5614" s="207"/>
      <c r="B5614" s="205"/>
      <c r="C5614" s="31"/>
      <c r="D5614" s="31"/>
      <c r="E5614" s="32"/>
      <c r="F5614" s="53" t="s">
        <v>514</v>
      </c>
      <c r="G5614" s="53" t="str">
        <f t="shared" ref="G5614:G5677" si="107">IF(ISNUMBER(F5614),E5614*F5614,"")</f>
        <v/>
      </c>
      <c r="H5614" s="72"/>
      <c r="I5614" s="73"/>
      <c r="J5614" s="148">
        <v>0</v>
      </c>
      <c r="K5614" s="222">
        <v>0</v>
      </c>
    </row>
    <row r="5615" spans="1:11" ht="25.5" hidden="1" x14ac:dyDescent="0.25">
      <c r="A5615" s="207"/>
      <c r="B5615" s="205"/>
      <c r="C5615" s="47" t="s">
        <v>773</v>
      </c>
      <c r="D5615" s="31"/>
      <c r="E5615" s="32"/>
      <c r="F5615" s="53" t="s">
        <v>514</v>
      </c>
      <c r="G5615" s="53" t="str">
        <f t="shared" si="107"/>
        <v/>
      </c>
      <c r="H5615" s="72"/>
      <c r="I5615" s="73"/>
      <c r="J5615" s="148">
        <v>0</v>
      </c>
      <c r="K5615" s="222">
        <v>0</v>
      </c>
    </row>
    <row r="5616" spans="1:11" ht="15.75" hidden="1" thickBot="1" x14ac:dyDescent="0.3">
      <c r="A5616" s="208"/>
      <c r="B5616" s="206"/>
      <c r="C5616" s="54"/>
      <c r="D5616" s="150"/>
      <c r="E5616" s="65"/>
      <c r="F5616" s="75" t="s">
        <v>514</v>
      </c>
      <c r="G5616" s="75" t="str">
        <f t="shared" si="107"/>
        <v/>
      </c>
      <c r="H5616" s="76"/>
      <c r="I5616" s="73"/>
      <c r="J5616" s="148">
        <v>0</v>
      </c>
      <c r="K5616" s="222">
        <v>0</v>
      </c>
    </row>
    <row r="5617" spans="1:11" ht="15.75" hidden="1" thickBot="1" x14ac:dyDescent="0.3">
      <c r="A5617" s="202" t="s">
        <v>5101</v>
      </c>
      <c r="B5617" s="204" t="str">
        <f>INDEX(Orçamentária!A:B,MATCH(Composições!A5617,Orçamentária!A:A,0),2)</f>
        <v>Chapa de aço galvanizado</v>
      </c>
      <c r="C5617" s="40"/>
      <c r="D5617" s="25" t="str">
        <f>TRIM(INDEX(Orçamentária!C:C,MATCH(Composições!A5617,Orçamentária!A:A,0),1))</f>
        <v>kg</v>
      </c>
      <c r="E5617" s="26"/>
      <c r="F5617" s="48" t="s">
        <v>514</v>
      </c>
      <c r="G5617" s="27" t="str">
        <f t="shared" si="107"/>
        <v/>
      </c>
      <c r="H5617" s="28"/>
      <c r="I5617" s="29"/>
      <c r="J5617" s="148">
        <v>0</v>
      </c>
      <c r="K5617" s="222">
        <v>0</v>
      </c>
    </row>
    <row r="5618" spans="1:11" hidden="1" x14ac:dyDescent="0.25">
      <c r="A5618" s="207"/>
      <c r="B5618" s="205"/>
      <c r="C5618" s="31"/>
      <c r="D5618" s="31"/>
      <c r="E5618" s="32"/>
      <c r="F5618" s="53" t="s">
        <v>514</v>
      </c>
      <c r="G5618" s="53" t="str">
        <f t="shared" si="107"/>
        <v/>
      </c>
      <c r="H5618" s="72"/>
      <c r="I5618" s="73"/>
      <c r="J5618" s="148">
        <v>0</v>
      </c>
      <c r="K5618" s="222">
        <v>0</v>
      </c>
    </row>
    <row r="5619" spans="1:11" ht="25.5" hidden="1" x14ac:dyDescent="0.25">
      <c r="A5619" s="207"/>
      <c r="B5619" s="205"/>
      <c r="C5619" s="35" t="s">
        <v>3243</v>
      </c>
      <c r="D5619" s="35" t="s">
        <v>42</v>
      </c>
      <c r="E5619" s="36">
        <v>1</v>
      </c>
      <c r="F5619" s="30">
        <v>14.706</v>
      </c>
      <c r="G5619" s="53">
        <f t="shared" si="107"/>
        <v>14.706</v>
      </c>
      <c r="H5619" s="38">
        <f>SUM(G5619:G5619)</f>
        <v>14.706</v>
      </c>
      <c r="I5619" s="39"/>
      <c r="J5619" s="148">
        <v>0</v>
      </c>
      <c r="K5619" s="222">
        <v>0</v>
      </c>
    </row>
    <row r="5620" spans="1:11" ht="15.75" hidden="1" thickBot="1" x14ac:dyDescent="0.3">
      <c r="A5620" s="208"/>
      <c r="B5620" s="206"/>
      <c r="C5620" s="54"/>
      <c r="D5620" s="150"/>
      <c r="E5620" s="65"/>
      <c r="F5620" s="75" t="s">
        <v>514</v>
      </c>
      <c r="G5620" s="75" t="str">
        <f t="shared" si="107"/>
        <v/>
      </c>
      <c r="H5620" s="76"/>
      <c r="I5620" s="73"/>
      <c r="J5620" s="148">
        <v>0</v>
      </c>
      <c r="K5620" s="222">
        <v>0</v>
      </c>
    </row>
    <row r="5621" spans="1:11" ht="15.75" hidden="1" thickBot="1" x14ac:dyDescent="0.3">
      <c r="A5621" s="202" t="s">
        <v>5107</v>
      </c>
      <c r="B5621" s="204" t="str">
        <f>INDEX(Orçamentária!A:B,MATCH(Composições!A5621,Orçamentária!A:A,0),2)</f>
        <v>Perfil de aço</v>
      </c>
      <c r="C5621" s="40"/>
      <c r="D5621" s="25" t="str">
        <f>TRIM(INDEX(Orçamentária!C:C,MATCH(Composições!A5621,Orçamentária!A:A,0),1))</f>
        <v>kg</v>
      </c>
      <c r="E5621" s="26"/>
      <c r="F5621" s="48" t="s">
        <v>514</v>
      </c>
      <c r="G5621" s="27" t="str">
        <f t="shared" si="107"/>
        <v/>
      </c>
      <c r="H5621" s="28"/>
      <c r="I5621" s="29"/>
      <c r="J5621" s="148">
        <v>0</v>
      </c>
      <c r="K5621" s="222">
        <v>0</v>
      </c>
    </row>
    <row r="5622" spans="1:11" hidden="1" x14ac:dyDescent="0.25">
      <c r="A5622" s="207"/>
      <c r="B5622" s="205"/>
      <c r="C5622" s="31"/>
      <c r="D5622" s="31"/>
      <c r="E5622" s="32"/>
      <c r="F5622" s="53" t="s">
        <v>514</v>
      </c>
      <c r="G5622" s="53" t="str">
        <f t="shared" si="107"/>
        <v/>
      </c>
      <c r="H5622" s="72"/>
      <c r="I5622" s="73"/>
      <c r="J5622" s="148">
        <v>0</v>
      </c>
      <c r="K5622" s="222">
        <v>0</v>
      </c>
    </row>
    <row r="5623" spans="1:11" ht="25.5" hidden="1" x14ac:dyDescent="0.25">
      <c r="A5623" s="207"/>
      <c r="B5623" s="205"/>
      <c r="C5623" s="35" t="s">
        <v>129</v>
      </c>
      <c r="D5623" s="35" t="s">
        <v>42</v>
      </c>
      <c r="E5623" s="36">
        <v>1</v>
      </c>
      <c r="F5623" s="30">
        <v>11.067499999999999</v>
      </c>
      <c r="G5623" s="53">
        <f t="shared" si="107"/>
        <v>11.067499999999999</v>
      </c>
      <c r="H5623" s="38">
        <f>SUM(G5623:G5623)</f>
        <v>11.067499999999999</v>
      </c>
      <c r="I5623" s="39"/>
      <c r="J5623" s="148">
        <v>0</v>
      </c>
      <c r="K5623" s="222">
        <v>0</v>
      </c>
    </row>
    <row r="5624" spans="1:11" ht="15.75" hidden="1" thickBot="1" x14ac:dyDescent="0.3">
      <c r="A5624" s="208"/>
      <c r="B5624" s="206"/>
      <c r="C5624" s="54"/>
      <c r="D5624" s="150"/>
      <c r="E5624" s="65"/>
      <c r="F5624" s="75" t="s">
        <v>514</v>
      </c>
      <c r="G5624" s="75" t="str">
        <f t="shared" si="107"/>
        <v/>
      </c>
      <c r="H5624" s="76"/>
      <c r="I5624" s="73"/>
      <c r="J5624" s="148">
        <v>0</v>
      </c>
      <c r="K5624" s="222">
        <v>0</v>
      </c>
    </row>
    <row r="5625" spans="1:11" ht="15.75" hidden="1" thickBot="1" x14ac:dyDescent="0.3">
      <c r="A5625" s="202" t="s">
        <v>5153</v>
      </c>
      <c r="B5625" s="204" t="str">
        <f>INDEX(Orçamentária!A:B,MATCH(Composições!A5625,Orçamentária!A:A,0),2)</f>
        <v>Condulete de alumínio de 3/4”</v>
      </c>
      <c r="C5625" s="40"/>
      <c r="D5625" s="25" t="str">
        <f>TRIM(INDEX(Orçamentária!C:C,MATCH(Composições!A5625,Orçamentária!A:A,0),1))</f>
        <v>un</v>
      </c>
      <c r="E5625" s="26"/>
      <c r="F5625" s="48" t="s">
        <v>514</v>
      </c>
      <c r="G5625" s="27" t="str">
        <f t="shared" si="107"/>
        <v/>
      </c>
      <c r="H5625" s="28"/>
      <c r="I5625" s="29"/>
      <c r="J5625" s="148">
        <v>0</v>
      </c>
      <c r="K5625" s="222">
        <v>0</v>
      </c>
    </row>
    <row r="5626" spans="1:11" hidden="1" x14ac:dyDescent="0.25">
      <c r="A5626" s="207"/>
      <c r="B5626" s="205"/>
      <c r="C5626" s="31"/>
      <c r="D5626" s="31"/>
      <c r="E5626" s="32"/>
      <c r="F5626" s="53" t="s">
        <v>514</v>
      </c>
      <c r="G5626" s="53" t="str">
        <f t="shared" si="107"/>
        <v/>
      </c>
      <c r="H5626" s="72"/>
      <c r="I5626" s="73"/>
      <c r="J5626" s="148">
        <v>0</v>
      </c>
      <c r="K5626" s="222">
        <v>0</v>
      </c>
    </row>
    <row r="5627" spans="1:11" ht="25.5" hidden="1" x14ac:dyDescent="0.25">
      <c r="A5627" s="207"/>
      <c r="B5627" s="205"/>
      <c r="C5627" s="35" t="s">
        <v>3255</v>
      </c>
      <c r="D5627" s="35" t="s">
        <v>20</v>
      </c>
      <c r="E5627" s="36">
        <v>1</v>
      </c>
      <c r="F5627" s="30">
        <v>10.696999999999999</v>
      </c>
      <c r="G5627" s="53">
        <f t="shared" si="107"/>
        <v>10.696999999999999</v>
      </c>
      <c r="H5627" s="38">
        <f>SUM(G5627:G5627)</f>
        <v>10.696999999999999</v>
      </c>
      <c r="I5627" s="39"/>
      <c r="J5627" s="148">
        <v>0</v>
      </c>
      <c r="K5627" s="222">
        <v>0</v>
      </c>
    </row>
    <row r="5628" spans="1:11" ht="15.75" hidden="1" thickBot="1" x14ac:dyDescent="0.3">
      <c r="A5628" s="208"/>
      <c r="B5628" s="206"/>
      <c r="C5628" s="54"/>
      <c r="D5628" s="150"/>
      <c r="E5628" s="65"/>
      <c r="F5628" s="75" t="s">
        <v>514</v>
      </c>
      <c r="G5628" s="75" t="str">
        <f t="shared" si="107"/>
        <v/>
      </c>
      <c r="H5628" s="76"/>
      <c r="I5628" s="73"/>
      <c r="J5628" s="148">
        <v>0</v>
      </c>
      <c r="K5628" s="222">
        <v>0</v>
      </c>
    </row>
    <row r="5629" spans="1:11" ht="15.75" hidden="1" thickBot="1" x14ac:dyDescent="0.3">
      <c r="A5629" s="202" t="s">
        <v>5154</v>
      </c>
      <c r="B5629" s="204" t="str">
        <f>INDEX(Orçamentária!A:B,MATCH(Composições!A5629,Orçamentária!A:A,0),2)</f>
        <v>Condulete de alumínio de 1”</v>
      </c>
      <c r="C5629" s="40"/>
      <c r="D5629" s="25" t="str">
        <f>TRIM(INDEX(Orçamentária!C:C,MATCH(Composições!A5629,Orçamentária!A:A,0),1))</f>
        <v>un</v>
      </c>
      <c r="E5629" s="26"/>
      <c r="F5629" s="48" t="s">
        <v>514</v>
      </c>
      <c r="G5629" s="27" t="str">
        <f t="shared" si="107"/>
        <v/>
      </c>
      <c r="H5629" s="28"/>
      <c r="I5629" s="29"/>
      <c r="J5629" s="148">
        <v>0</v>
      </c>
      <c r="K5629" s="222">
        <v>0</v>
      </c>
    </row>
    <row r="5630" spans="1:11" hidden="1" x14ac:dyDescent="0.25">
      <c r="A5630" s="207"/>
      <c r="B5630" s="205"/>
      <c r="C5630" s="31"/>
      <c r="D5630" s="31"/>
      <c r="E5630" s="32"/>
      <c r="F5630" s="53" t="s">
        <v>514</v>
      </c>
      <c r="G5630" s="53" t="str">
        <f t="shared" si="107"/>
        <v/>
      </c>
      <c r="H5630" s="72"/>
      <c r="I5630" s="73"/>
      <c r="J5630" s="148">
        <v>0</v>
      </c>
      <c r="K5630" s="222">
        <v>0</v>
      </c>
    </row>
    <row r="5631" spans="1:11" ht="25.5" hidden="1" x14ac:dyDescent="0.25">
      <c r="A5631" s="207"/>
      <c r="B5631" s="205"/>
      <c r="C5631" s="35" t="s">
        <v>3253</v>
      </c>
      <c r="D5631" s="35" t="s">
        <v>20</v>
      </c>
      <c r="E5631" s="36">
        <v>1</v>
      </c>
      <c r="F5631" s="30">
        <v>17.964500000000001</v>
      </c>
      <c r="G5631" s="53">
        <f t="shared" si="107"/>
        <v>17.964500000000001</v>
      </c>
      <c r="H5631" s="38">
        <f>SUM(G5631:G5631)</f>
        <v>17.964500000000001</v>
      </c>
      <c r="I5631" s="39"/>
      <c r="J5631" s="148">
        <v>0</v>
      </c>
      <c r="K5631" s="222">
        <v>0</v>
      </c>
    </row>
    <row r="5632" spans="1:11" ht="15.75" hidden="1" thickBot="1" x14ac:dyDescent="0.3">
      <c r="A5632" s="208"/>
      <c r="B5632" s="206"/>
      <c r="C5632" s="54"/>
      <c r="D5632" s="150"/>
      <c r="E5632" s="65"/>
      <c r="F5632" s="75" t="s">
        <v>514</v>
      </c>
      <c r="G5632" s="75" t="str">
        <f t="shared" si="107"/>
        <v/>
      </c>
      <c r="H5632" s="76"/>
      <c r="I5632" s="73"/>
      <c r="J5632" s="148">
        <v>0</v>
      </c>
      <c r="K5632" s="222">
        <v>0</v>
      </c>
    </row>
    <row r="5633" spans="1:11" ht="15.75" hidden="1" thickBot="1" x14ac:dyDescent="0.3">
      <c r="A5633" s="202" t="s">
        <v>5155</v>
      </c>
      <c r="B5633" s="204" t="str">
        <f>INDEX(Orçamentária!A:B,MATCH(Composições!A5633,Orçamentária!A:A,0),2)</f>
        <v>Condulete de alumínio de 1 1/4”</v>
      </c>
      <c r="C5633" s="40"/>
      <c r="D5633" s="25" t="str">
        <f>TRIM(INDEX(Orçamentária!C:C,MATCH(Composições!A5633,Orçamentária!A:A,0),1))</f>
        <v>un</v>
      </c>
      <c r="E5633" s="26"/>
      <c r="F5633" s="48" t="s">
        <v>514</v>
      </c>
      <c r="G5633" s="27" t="str">
        <f t="shared" si="107"/>
        <v/>
      </c>
      <c r="H5633" s="28"/>
      <c r="I5633" s="29"/>
      <c r="J5633" s="148">
        <v>0</v>
      </c>
      <c r="K5633" s="222">
        <v>0</v>
      </c>
    </row>
    <row r="5634" spans="1:11" hidden="1" x14ac:dyDescent="0.25">
      <c r="A5634" s="207"/>
      <c r="B5634" s="205"/>
      <c r="C5634" s="31"/>
      <c r="D5634" s="31"/>
      <c r="E5634" s="32"/>
      <c r="F5634" s="53" t="s">
        <v>514</v>
      </c>
      <c r="G5634" s="53" t="str">
        <f t="shared" si="107"/>
        <v/>
      </c>
      <c r="H5634" s="72"/>
      <c r="I5634" s="73"/>
      <c r="J5634" s="148">
        <v>0</v>
      </c>
      <c r="K5634" s="222">
        <v>0</v>
      </c>
    </row>
    <row r="5635" spans="1:11" ht="25.5" hidden="1" x14ac:dyDescent="0.25">
      <c r="A5635" s="207"/>
      <c r="B5635" s="205"/>
      <c r="C5635" s="35" t="s">
        <v>6620</v>
      </c>
      <c r="D5635" s="35" t="s">
        <v>20</v>
      </c>
      <c r="E5635" s="36">
        <v>1</v>
      </c>
      <c r="F5635" s="30">
        <v>22.0305</v>
      </c>
      <c r="G5635" s="53">
        <f t="shared" si="107"/>
        <v>22.0305</v>
      </c>
      <c r="H5635" s="38">
        <f>SUM(G5635:G5635)</f>
        <v>22.0305</v>
      </c>
      <c r="I5635" s="39"/>
      <c r="J5635" s="148">
        <v>0</v>
      </c>
      <c r="K5635" s="222">
        <v>0</v>
      </c>
    </row>
    <row r="5636" spans="1:11" ht="15.75" hidden="1" thickBot="1" x14ac:dyDescent="0.3">
      <c r="A5636" s="208"/>
      <c r="B5636" s="206"/>
      <c r="C5636" s="54"/>
      <c r="D5636" s="150"/>
      <c r="E5636" s="65"/>
      <c r="F5636" s="75" t="s">
        <v>514</v>
      </c>
      <c r="G5636" s="75" t="str">
        <f t="shared" si="107"/>
        <v/>
      </c>
      <c r="H5636" s="76"/>
      <c r="I5636" s="73"/>
      <c r="J5636" s="148">
        <v>0</v>
      </c>
      <c r="K5636" s="222">
        <v>0</v>
      </c>
    </row>
    <row r="5637" spans="1:11" ht="15.75" hidden="1" thickBot="1" x14ac:dyDescent="0.3">
      <c r="A5637" s="202" t="s">
        <v>5156</v>
      </c>
      <c r="B5637" s="204" t="str">
        <f>INDEX(Orçamentária!A:B,MATCH(Composições!A5637,Orçamentária!A:A,0),2)</f>
        <v>Condulete de alumínio de 1 1/2”</v>
      </c>
      <c r="C5637" s="40"/>
      <c r="D5637" s="25" t="str">
        <f>TRIM(INDEX(Orçamentária!C:C,MATCH(Composições!A5637,Orçamentária!A:A,0),1))</f>
        <v>un</v>
      </c>
      <c r="E5637" s="26"/>
      <c r="F5637" s="48" t="s">
        <v>514</v>
      </c>
      <c r="G5637" s="27" t="str">
        <f t="shared" si="107"/>
        <v/>
      </c>
      <c r="H5637" s="28"/>
      <c r="I5637" s="29"/>
      <c r="J5637" s="148">
        <v>0</v>
      </c>
      <c r="K5637" s="222">
        <v>0</v>
      </c>
    </row>
    <row r="5638" spans="1:11" hidden="1" x14ac:dyDescent="0.25">
      <c r="A5638" s="207"/>
      <c r="B5638" s="205"/>
      <c r="C5638" s="31"/>
      <c r="D5638" s="31"/>
      <c r="E5638" s="32"/>
      <c r="F5638" s="53" t="s">
        <v>514</v>
      </c>
      <c r="G5638" s="53" t="str">
        <f t="shared" si="107"/>
        <v/>
      </c>
      <c r="H5638" s="72"/>
      <c r="I5638" s="73"/>
      <c r="J5638" s="148">
        <v>0</v>
      </c>
      <c r="K5638" s="222">
        <v>0</v>
      </c>
    </row>
    <row r="5639" spans="1:11" ht="25.5" hidden="1" x14ac:dyDescent="0.25">
      <c r="A5639" s="207"/>
      <c r="B5639" s="205"/>
      <c r="C5639" s="35" t="s">
        <v>3252</v>
      </c>
      <c r="D5639" s="35" t="s">
        <v>20</v>
      </c>
      <c r="E5639" s="36">
        <v>1</v>
      </c>
      <c r="F5639" s="30">
        <v>29.279</v>
      </c>
      <c r="G5639" s="53">
        <f t="shared" si="107"/>
        <v>29.279</v>
      </c>
      <c r="H5639" s="38">
        <f>SUM(G5639:G5639)</f>
        <v>29.279</v>
      </c>
      <c r="I5639" s="39"/>
      <c r="J5639" s="148">
        <v>0</v>
      </c>
      <c r="K5639" s="222">
        <v>0</v>
      </c>
    </row>
    <row r="5640" spans="1:11" ht="15.75" hidden="1" thickBot="1" x14ac:dyDescent="0.3">
      <c r="A5640" s="208"/>
      <c r="B5640" s="206"/>
      <c r="C5640" s="54"/>
      <c r="D5640" s="150"/>
      <c r="E5640" s="65"/>
      <c r="F5640" s="75" t="s">
        <v>514</v>
      </c>
      <c r="G5640" s="75" t="str">
        <f t="shared" si="107"/>
        <v/>
      </c>
      <c r="H5640" s="76"/>
      <c r="I5640" s="73"/>
      <c r="J5640" s="148">
        <v>0</v>
      </c>
      <c r="K5640" s="222">
        <v>0</v>
      </c>
    </row>
    <row r="5641" spans="1:11" ht="15.75" hidden="1" thickBot="1" x14ac:dyDescent="0.3">
      <c r="A5641" s="202" t="s">
        <v>5157</v>
      </c>
      <c r="B5641" s="204" t="str">
        <f>INDEX(Orçamentária!A:B,MATCH(Composições!A5641,Orçamentária!A:A,0),2)</f>
        <v xml:space="preserve">Condulete de alumínio de 2” </v>
      </c>
      <c r="C5641" s="40"/>
      <c r="D5641" s="25" t="str">
        <f>TRIM(INDEX(Orçamentária!C:C,MATCH(Composições!A5641,Orçamentária!A:A,0),1))</f>
        <v>un</v>
      </c>
      <c r="E5641" s="26"/>
      <c r="F5641" s="48" t="s">
        <v>514</v>
      </c>
      <c r="G5641" s="27" t="str">
        <f t="shared" si="107"/>
        <v/>
      </c>
      <c r="H5641" s="28"/>
      <c r="I5641" s="29"/>
      <c r="J5641" s="148">
        <v>0</v>
      </c>
      <c r="K5641" s="222">
        <v>0</v>
      </c>
    </row>
    <row r="5642" spans="1:11" hidden="1" x14ac:dyDescent="0.25">
      <c r="A5642" s="207"/>
      <c r="B5642" s="205"/>
      <c r="C5642" s="31"/>
      <c r="D5642" s="31"/>
      <c r="E5642" s="32"/>
      <c r="F5642" s="53" t="s">
        <v>514</v>
      </c>
      <c r="G5642" s="53" t="str">
        <f t="shared" si="107"/>
        <v/>
      </c>
      <c r="H5642" s="72"/>
      <c r="I5642" s="73"/>
      <c r="J5642" s="148">
        <v>0</v>
      </c>
      <c r="K5642" s="222">
        <v>0</v>
      </c>
    </row>
    <row r="5643" spans="1:11" ht="25.5" hidden="1" x14ac:dyDescent="0.25">
      <c r="A5643" s="207"/>
      <c r="B5643" s="205"/>
      <c r="C5643" s="35" t="s">
        <v>3254</v>
      </c>
      <c r="D5643" s="35" t="s">
        <v>20</v>
      </c>
      <c r="E5643" s="36">
        <v>1</v>
      </c>
      <c r="F5643" s="30">
        <v>42.9495</v>
      </c>
      <c r="G5643" s="53">
        <f t="shared" si="107"/>
        <v>42.9495</v>
      </c>
      <c r="H5643" s="38">
        <f>SUM(G5643:G5643)</f>
        <v>42.9495</v>
      </c>
      <c r="I5643" s="39"/>
      <c r="J5643" s="148">
        <v>0</v>
      </c>
      <c r="K5643" s="222">
        <v>0</v>
      </c>
    </row>
    <row r="5644" spans="1:11" ht="15.75" hidden="1" thickBot="1" x14ac:dyDescent="0.3">
      <c r="A5644" s="208"/>
      <c r="B5644" s="206"/>
      <c r="C5644" s="54"/>
      <c r="D5644" s="150"/>
      <c r="E5644" s="65"/>
      <c r="F5644" s="75" t="s">
        <v>514</v>
      </c>
      <c r="G5644" s="75" t="str">
        <f t="shared" si="107"/>
        <v/>
      </c>
      <c r="H5644" s="76"/>
      <c r="I5644" s="73"/>
      <c r="J5644" s="148">
        <v>0</v>
      </c>
      <c r="K5644" s="222">
        <v>0</v>
      </c>
    </row>
    <row r="5645" spans="1:11" ht="15.75" hidden="1" thickBot="1" x14ac:dyDescent="0.3">
      <c r="A5645" s="202" t="s">
        <v>5159</v>
      </c>
      <c r="B5645" s="204" t="str">
        <f>INDEX(Orçamentária!A:B,MATCH(Composições!A5645,Orçamentária!A:A,0),2)</f>
        <v>Condulete de alumínio de 3”</v>
      </c>
      <c r="C5645" s="40"/>
      <c r="D5645" s="25" t="str">
        <f>TRIM(INDEX(Orçamentária!C:C,MATCH(Composições!A5645,Orçamentária!A:A,0),1))</f>
        <v>un</v>
      </c>
      <c r="E5645" s="26"/>
      <c r="F5645" s="48" t="s">
        <v>514</v>
      </c>
      <c r="G5645" s="27" t="str">
        <f t="shared" si="107"/>
        <v/>
      </c>
      <c r="H5645" s="28"/>
      <c r="I5645" s="29"/>
      <c r="J5645" s="148">
        <v>0</v>
      </c>
      <c r="K5645" s="222">
        <v>0</v>
      </c>
    </row>
    <row r="5646" spans="1:11" hidden="1" x14ac:dyDescent="0.25">
      <c r="A5646" s="207"/>
      <c r="B5646" s="205"/>
      <c r="C5646" s="31"/>
      <c r="D5646" s="31"/>
      <c r="E5646" s="32"/>
      <c r="F5646" s="53" t="s">
        <v>514</v>
      </c>
      <c r="G5646" s="53" t="str">
        <f t="shared" si="107"/>
        <v/>
      </c>
      <c r="H5646" s="72"/>
      <c r="I5646" s="73"/>
      <c r="J5646" s="148">
        <v>0</v>
      </c>
      <c r="K5646" s="222">
        <v>0</v>
      </c>
    </row>
    <row r="5647" spans="1:11" ht="25.5" hidden="1" x14ac:dyDescent="0.25">
      <c r="A5647" s="207"/>
      <c r="B5647" s="205"/>
      <c r="C5647" s="35" t="s">
        <v>3256</v>
      </c>
      <c r="D5647" s="35" t="s">
        <v>20</v>
      </c>
      <c r="E5647" s="36">
        <v>1</v>
      </c>
      <c r="F5647" s="30">
        <v>119.26300000000001</v>
      </c>
      <c r="G5647" s="53">
        <f t="shared" si="107"/>
        <v>119.26300000000001</v>
      </c>
      <c r="H5647" s="38">
        <f>SUM(G5647:G5647)</f>
        <v>119.26300000000001</v>
      </c>
      <c r="I5647" s="39"/>
      <c r="J5647" s="148">
        <v>0</v>
      </c>
      <c r="K5647" s="222">
        <v>0</v>
      </c>
    </row>
    <row r="5648" spans="1:11" ht="15.75" hidden="1" thickBot="1" x14ac:dyDescent="0.3">
      <c r="A5648" s="208"/>
      <c r="B5648" s="206"/>
      <c r="C5648" s="54"/>
      <c r="D5648" s="150"/>
      <c r="E5648" s="65"/>
      <c r="F5648" s="75" t="s">
        <v>514</v>
      </c>
      <c r="G5648" s="75" t="str">
        <f t="shared" si="107"/>
        <v/>
      </c>
      <c r="H5648" s="76"/>
      <c r="I5648" s="73"/>
      <c r="J5648" s="148">
        <v>0</v>
      </c>
      <c r="K5648" s="222">
        <v>0</v>
      </c>
    </row>
    <row r="5649" spans="1:11" ht="15.75" hidden="1" thickBot="1" x14ac:dyDescent="0.3">
      <c r="A5649" s="202" t="s">
        <v>5160</v>
      </c>
      <c r="B5649" s="204" t="str">
        <f>INDEX(Orçamentária!A:B,MATCH(Composições!A5649,Orçamentária!A:A,0),2)</f>
        <v>Condulete de alumínio de 4”</v>
      </c>
      <c r="C5649" s="40"/>
      <c r="D5649" s="25" t="str">
        <f>TRIM(INDEX(Orçamentária!C:C,MATCH(Composições!A5649,Orçamentária!A:A,0),1))</f>
        <v>un</v>
      </c>
      <c r="E5649" s="26"/>
      <c r="F5649" s="48" t="s">
        <v>514</v>
      </c>
      <c r="G5649" s="27" t="str">
        <f t="shared" si="107"/>
        <v/>
      </c>
      <c r="H5649" s="28"/>
      <c r="I5649" s="29"/>
      <c r="J5649" s="148">
        <v>0</v>
      </c>
      <c r="K5649" s="222">
        <v>0</v>
      </c>
    </row>
    <row r="5650" spans="1:11" hidden="1" x14ac:dyDescent="0.25">
      <c r="A5650" s="207"/>
      <c r="B5650" s="205"/>
      <c r="C5650" s="31"/>
      <c r="D5650" s="31"/>
      <c r="E5650" s="32"/>
      <c r="F5650" s="53" t="s">
        <v>514</v>
      </c>
      <c r="G5650" s="53" t="str">
        <f t="shared" si="107"/>
        <v/>
      </c>
      <c r="H5650" s="72"/>
      <c r="I5650" s="73"/>
      <c r="J5650" s="148">
        <v>0</v>
      </c>
      <c r="K5650" s="222">
        <v>0</v>
      </c>
    </row>
    <row r="5651" spans="1:11" ht="25.5" hidden="1" x14ac:dyDescent="0.25">
      <c r="A5651" s="207"/>
      <c r="B5651" s="205"/>
      <c r="C5651" s="35" t="s">
        <v>3251</v>
      </c>
      <c r="D5651" s="35" t="s">
        <v>20</v>
      </c>
      <c r="E5651" s="36">
        <v>1</v>
      </c>
      <c r="F5651" s="30">
        <v>218.9085</v>
      </c>
      <c r="G5651" s="53">
        <f t="shared" si="107"/>
        <v>218.9085</v>
      </c>
      <c r="H5651" s="38">
        <f>SUM(G5651:G5651)</f>
        <v>218.9085</v>
      </c>
      <c r="I5651" s="39"/>
      <c r="J5651" s="148">
        <v>0</v>
      </c>
      <c r="K5651" s="222">
        <v>0</v>
      </c>
    </row>
    <row r="5652" spans="1:11" ht="15.75" hidden="1" thickBot="1" x14ac:dyDescent="0.3">
      <c r="A5652" s="208"/>
      <c r="B5652" s="206"/>
      <c r="C5652" s="54"/>
      <c r="D5652" s="150"/>
      <c r="E5652" s="65"/>
      <c r="F5652" s="75" t="s">
        <v>514</v>
      </c>
      <c r="G5652" s="75" t="str">
        <f t="shared" si="107"/>
        <v/>
      </c>
      <c r="H5652" s="76"/>
      <c r="I5652" s="73"/>
      <c r="J5652" s="148">
        <v>0</v>
      </c>
      <c r="K5652" s="222">
        <v>0</v>
      </c>
    </row>
    <row r="5653" spans="1:11" ht="15.75" hidden="1" thickBot="1" x14ac:dyDescent="0.3">
      <c r="A5653" s="202" t="s">
        <v>5174</v>
      </c>
      <c r="B5653" s="204" t="str">
        <f>INDEX(Orçamentária!A:B,MATCH(Composições!A5653,Orçamentária!A:A,0),2)</f>
        <v>Tampa para condulete de PVC</v>
      </c>
      <c r="C5653" s="40"/>
      <c r="D5653" s="25" t="str">
        <f>TRIM(INDEX(Orçamentária!C:C,MATCH(Composições!A5653,Orçamentária!A:A,0),1))</f>
        <v>un</v>
      </c>
      <c r="E5653" s="26"/>
      <c r="F5653" s="48" t="s">
        <v>514</v>
      </c>
      <c r="G5653" s="27" t="str">
        <f t="shared" si="107"/>
        <v/>
      </c>
      <c r="H5653" s="28"/>
      <c r="I5653" s="29"/>
      <c r="J5653" s="148">
        <v>0</v>
      </c>
      <c r="K5653" s="222">
        <v>0</v>
      </c>
    </row>
    <row r="5654" spans="1:11" hidden="1" x14ac:dyDescent="0.25">
      <c r="A5654" s="207"/>
      <c r="B5654" s="205"/>
      <c r="C5654" s="31"/>
      <c r="D5654" s="31"/>
      <c r="E5654" s="32"/>
      <c r="F5654" s="53" t="s">
        <v>514</v>
      </c>
      <c r="G5654" s="53" t="str">
        <f t="shared" si="107"/>
        <v/>
      </c>
      <c r="H5654" s="72"/>
      <c r="I5654" s="73"/>
      <c r="J5654" s="148">
        <v>0</v>
      </c>
      <c r="K5654" s="222">
        <v>0</v>
      </c>
    </row>
    <row r="5655" spans="1:11" hidden="1" x14ac:dyDescent="0.25">
      <c r="A5655" s="207"/>
      <c r="B5655" s="205"/>
      <c r="C5655" s="35" t="s">
        <v>3343</v>
      </c>
      <c r="D5655" s="35" t="s">
        <v>20</v>
      </c>
      <c r="E5655" s="36">
        <v>1</v>
      </c>
      <c r="F5655" s="30">
        <v>4.3890000000000002</v>
      </c>
      <c r="G5655" s="53">
        <f t="shared" si="107"/>
        <v>4.3890000000000002</v>
      </c>
      <c r="H5655" s="38">
        <f>SUM(G5655:G5655)</f>
        <v>4.3890000000000002</v>
      </c>
      <c r="I5655" s="39"/>
      <c r="J5655" s="148">
        <v>0</v>
      </c>
      <c r="K5655" s="222">
        <v>0</v>
      </c>
    </row>
    <row r="5656" spans="1:11" ht="15.75" hidden="1" thickBot="1" x14ac:dyDescent="0.3">
      <c r="A5656" s="208"/>
      <c r="B5656" s="206"/>
      <c r="C5656" s="54"/>
      <c r="D5656" s="150"/>
      <c r="E5656" s="65"/>
      <c r="F5656" s="75" t="s">
        <v>514</v>
      </c>
      <c r="G5656" s="75" t="str">
        <f t="shared" si="107"/>
        <v/>
      </c>
      <c r="H5656" s="76"/>
      <c r="I5656" s="73"/>
      <c r="J5656" s="148">
        <v>0</v>
      </c>
      <c r="K5656" s="222">
        <v>0</v>
      </c>
    </row>
    <row r="5657" spans="1:11" ht="15.75" hidden="1" thickBot="1" x14ac:dyDescent="0.3">
      <c r="A5657" s="202" t="s">
        <v>5176</v>
      </c>
      <c r="B5657" s="204" t="str">
        <f>INDEX(Orçamentária!A:B,MATCH(Composições!A5657,Orçamentária!A:A,0),2)</f>
        <v>Terminal de compressão 25 mm²</v>
      </c>
      <c r="C5657" s="40"/>
      <c r="D5657" s="25" t="str">
        <f>TRIM(INDEX(Orçamentária!C:C,MATCH(Composições!A5657,Orçamentária!A:A,0),1))</f>
        <v>un</v>
      </c>
      <c r="E5657" s="26"/>
      <c r="F5657" s="48" t="s">
        <v>514</v>
      </c>
      <c r="G5657" s="27" t="str">
        <f t="shared" si="107"/>
        <v/>
      </c>
      <c r="H5657" s="28"/>
      <c r="I5657" s="29"/>
      <c r="J5657" s="148">
        <v>0</v>
      </c>
      <c r="K5657" s="222">
        <v>0</v>
      </c>
    </row>
    <row r="5658" spans="1:11" hidden="1" x14ac:dyDescent="0.25">
      <c r="A5658" s="207"/>
      <c r="B5658" s="205"/>
      <c r="C5658" s="31"/>
      <c r="D5658" s="31"/>
      <c r="E5658" s="32"/>
      <c r="F5658" s="53" t="s">
        <v>514</v>
      </c>
      <c r="G5658" s="53" t="str">
        <f t="shared" si="107"/>
        <v/>
      </c>
      <c r="H5658" s="72"/>
      <c r="I5658" s="73"/>
      <c r="J5658" s="148">
        <v>0</v>
      </c>
      <c r="K5658" s="222">
        <v>0</v>
      </c>
    </row>
    <row r="5659" spans="1:11" ht="25.5" hidden="1" x14ac:dyDescent="0.25">
      <c r="A5659" s="207"/>
      <c r="B5659" s="205"/>
      <c r="C5659" s="35" t="s">
        <v>3354</v>
      </c>
      <c r="D5659" s="35" t="s">
        <v>20</v>
      </c>
      <c r="E5659" s="36">
        <v>1</v>
      </c>
      <c r="F5659" s="30">
        <v>2.1755</v>
      </c>
      <c r="G5659" s="53">
        <f t="shared" si="107"/>
        <v>2.1755</v>
      </c>
      <c r="H5659" s="38">
        <f>SUM(G5659:G5659)</f>
        <v>2.1755</v>
      </c>
      <c r="I5659" s="39"/>
      <c r="J5659" s="148">
        <v>0</v>
      </c>
      <c r="K5659" s="222">
        <v>0</v>
      </c>
    </row>
    <row r="5660" spans="1:11" ht="15.75" hidden="1" thickBot="1" x14ac:dyDescent="0.3">
      <c r="A5660" s="208"/>
      <c r="B5660" s="206"/>
      <c r="C5660" s="54"/>
      <c r="D5660" s="150"/>
      <c r="E5660" s="65"/>
      <c r="F5660" s="75" t="s">
        <v>514</v>
      </c>
      <c r="G5660" s="75" t="str">
        <f t="shared" si="107"/>
        <v/>
      </c>
      <c r="H5660" s="76"/>
      <c r="I5660" s="73"/>
      <c r="J5660" s="148">
        <v>0</v>
      </c>
      <c r="K5660" s="222">
        <v>0</v>
      </c>
    </row>
    <row r="5661" spans="1:11" ht="15.75" hidden="1" thickBot="1" x14ac:dyDescent="0.3">
      <c r="A5661" s="202" t="s">
        <v>5177</v>
      </c>
      <c r="B5661" s="204" t="str">
        <f>INDEX(Orçamentária!A:B,MATCH(Composições!A5661,Orçamentária!A:A,0),2)</f>
        <v>Terminal de compressão 35 mm²</v>
      </c>
      <c r="C5661" s="40"/>
      <c r="D5661" s="25" t="str">
        <f>TRIM(INDEX(Orçamentária!C:C,MATCH(Composições!A5661,Orçamentária!A:A,0),1))</f>
        <v>un</v>
      </c>
      <c r="E5661" s="26"/>
      <c r="F5661" s="48" t="s">
        <v>514</v>
      </c>
      <c r="G5661" s="27" t="str">
        <f t="shared" si="107"/>
        <v/>
      </c>
      <c r="H5661" s="28"/>
      <c r="I5661" s="29"/>
      <c r="J5661" s="148">
        <v>0</v>
      </c>
      <c r="K5661" s="222">
        <v>0</v>
      </c>
    </row>
    <row r="5662" spans="1:11" hidden="1" x14ac:dyDescent="0.25">
      <c r="A5662" s="207"/>
      <c r="B5662" s="205"/>
      <c r="C5662" s="31"/>
      <c r="D5662" s="31"/>
      <c r="E5662" s="32"/>
      <c r="F5662" s="53" t="s">
        <v>514</v>
      </c>
      <c r="G5662" s="53" t="str">
        <f t="shared" si="107"/>
        <v/>
      </c>
      <c r="H5662" s="72"/>
      <c r="I5662" s="73"/>
      <c r="J5662" s="148">
        <v>0</v>
      </c>
      <c r="K5662" s="222">
        <v>0</v>
      </c>
    </row>
    <row r="5663" spans="1:11" ht="25.5" hidden="1" x14ac:dyDescent="0.25">
      <c r="A5663" s="207"/>
      <c r="B5663" s="205"/>
      <c r="C5663" s="35" t="s">
        <v>3355</v>
      </c>
      <c r="D5663" s="35" t="s">
        <v>20</v>
      </c>
      <c r="E5663" s="36">
        <v>1</v>
      </c>
      <c r="F5663" s="30">
        <v>2.4510000000000001</v>
      </c>
      <c r="G5663" s="53">
        <f t="shared" si="107"/>
        <v>2.4510000000000001</v>
      </c>
      <c r="H5663" s="38">
        <f>SUM(G5663:G5663)</f>
        <v>2.4510000000000001</v>
      </c>
      <c r="I5663" s="39"/>
      <c r="J5663" s="148">
        <v>0</v>
      </c>
      <c r="K5663" s="222">
        <v>0</v>
      </c>
    </row>
    <row r="5664" spans="1:11" ht="15.75" hidden="1" thickBot="1" x14ac:dyDescent="0.3">
      <c r="A5664" s="208"/>
      <c r="B5664" s="206"/>
      <c r="C5664" s="54"/>
      <c r="D5664" s="150"/>
      <c r="E5664" s="65"/>
      <c r="F5664" s="75" t="s">
        <v>514</v>
      </c>
      <c r="G5664" s="75" t="str">
        <f t="shared" si="107"/>
        <v/>
      </c>
      <c r="H5664" s="76"/>
      <c r="I5664" s="73"/>
      <c r="J5664" s="148">
        <v>0</v>
      </c>
      <c r="K5664" s="222">
        <v>0</v>
      </c>
    </row>
    <row r="5665" spans="1:11" ht="15.75" hidden="1" thickBot="1" x14ac:dyDescent="0.3">
      <c r="A5665" s="202" t="s">
        <v>5178</v>
      </c>
      <c r="B5665" s="204" t="str">
        <f>INDEX(Orçamentária!A:B,MATCH(Composições!A5665,Orçamentária!A:A,0),2)</f>
        <v>Terminal de compressão 50 mm²</v>
      </c>
      <c r="C5665" s="40"/>
      <c r="D5665" s="25" t="str">
        <f>TRIM(INDEX(Orçamentária!C:C,MATCH(Composições!A5665,Orçamentária!A:A,0),1))</f>
        <v>un</v>
      </c>
      <c r="E5665" s="26"/>
      <c r="F5665" s="48" t="s">
        <v>514</v>
      </c>
      <c r="G5665" s="27" t="str">
        <f t="shared" si="107"/>
        <v/>
      </c>
      <c r="H5665" s="28"/>
      <c r="I5665" s="29"/>
      <c r="J5665" s="148">
        <v>0</v>
      </c>
      <c r="K5665" s="222">
        <v>0</v>
      </c>
    </row>
    <row r="5666" spans="1:11" hidden="1" x14ac:dyDescent="0.25">
      <c r="A5666" s="207"/>
      <c r="B5666" s="205"/>
      <c r="C5666" s="31"/>
      <c r="D5666" s="31"/>
      <c r="E5666" s="32"/>
      <c r="F5666" s="53" t="s">
        <v>514</v>
      </c>
      <c r="G5666" s="53" t="str">
        <f t="shared" si="107"/>
        <v/>
      </c>
      <c r="H5666" s="72"/>
      <c r="I5666" s="73"/>
      <c r="J5666" s="148">
        <v>0</v>
      </c>
      <c r="K5666" s="222">
        <v>0</v>
      </c>
    </row>
    <row r="5667" spans="1:11" ht="25.5" hidden="1" x14ac:dyDescent="0.25">
      <c r="A5667" s="207"/>
      <c r="B5667" s="205"/>
      <c r="C5667" s="35" t="s">
        <v>3356</v>
      </c>
      <c r="D5667" s="35" t="s">
        <v>20</v>
      </c>
      <c r="E5667" s="36">
        <v>1</v>
      </c>
      <c r="F5667" s="30">
        <v>4.2560000000000002</v>
      </c>
      <c r="G5667" s="53">
        <f t="shared" si="107"/>
        <v>4.2560000000000002</v>
      </c>
      <c r="H5667" s="38">
        <f>SUM(G5667:G5667)</f>
        <v>4.2560000000000002</v>
      </c>
      <c r="I5667" s="39"/>
      <c r="J5667" s="148">
        <v>0</v>
      </c>
      <c r="K5667" s="222">
        <v>0</v>
      </c>
    </row>
    <row r="5668" spans="1:11" ht="15.75" hidden="1" thickBot="1" x14ac:dyDescent="0.3">
      <c r="A5668" s="208"/>
      <c r="B5668" s="206"/>
      <c r="C5668" s="54"/>
      <c r="D5668" s="150"/>
      <c r="E5668" s="65"/>
      <c r="F5668" s="75" t="s">
        <v>514</v>
      </c>
      <c r="G5668" s="75" t="str">
        <f t="shared" si="107"/>
        <v/>
      </c>
      <c r="H5668" s="76"/>
      <c r="I5668" s="73"/>
      <c r="J5668" s="148">
        <v>0</v>
      </c>
      <c r="K5668" s="222">
        <v>0</v>
      </c>
    </row>
    <row r="5669" spans="1:11" ht="15.75" hidden="1" thickBot="1" x14ac:dyDescent="0.3">
      <c r="A5669" s="202" t="s">
        <v>5179</v>
      </c>
      <c r="B5669" s="204" t="str">
        <f>INDEX(Orçamentária!A:B,MATCH(Composições!A5669,Orçamentária!A:A,0),2)</f>
        <v>Terminal de compressão 70 mm²</v>
      </c>
      <c r="C5669" s="40"/>
      <c r="D5669" s="25" t="str">
        <f>TRIM(INDEX(Orçamentária!C:C,MATCH(Composições!A5669,Orçamentária!A:A,0),1))</f>
        <v>un</v>
      </c>
      <c r="E5669" s="26"/>
      <c r="F5669" s="48" t="s">
        <v>514</v>
      </c>
      <c r="G5669" s="27" t="str">
        <f t="shared" si="107"/>
        <v/>
      </c>
      <c r="H5669" s="28"/>
      <c r="I5669" s="29"/>
      <c r="J5669" s="148">
        <v>0</v>
      </c>
      <c r="K5669" s="222">
        <v>0</v>
      </c>
    </row>
    <row r="5670" spans="1:11" hidden="1" x14ac:dyDescent="0.25">
      <c r="A5670" s="207"/>
      <c r="B5670" s="205"/>
      <c r="C5670" s="31"/>
      <c r="D5670" s="31"/>
      <c r="E5670" s="32"/>
      <c r="F5670" s="53" t="s">
        <v>514</v>
      </c>
      <c r="G5670" s="53" t="str">
        <f t="shared" si="107"/>
        <v/>
      </c>
      <c r="H5670" s="72"/>
      <c r="I5670" s="73"/>
      <c r="J5670" s="148">
        <v>0</v>
      </c>
      <c r="K5670" s="222">
        <v>0</v>
      </c>
    </row>
    <row r="5671" spans="1:11" ht="25.5" hidden="1" x14ac:dyDescent="0.25">
      <c r="A5671" s="207"/>
      <c r="B5671" s="205"/>
      <c r="C5671" s="35" t="s">
        <v>3357</v>
      </c>
      <c r="D5671" s="35" t="s">
        <v>20</v>
      </c>
      <c r="E5671" s="36">
        <v>1</v>
      </c>
      <c r="F5671" s="30">
        <v>5.3104999999999993</v>
      </c>
      <c r="G5671" s="53">
        <f t="shared" si="107"/>
        <v>5.3104999999999993</v>
      </c>
      <c r="H5671" s="38">
        <f>SUM(G5671:G5671)</f>
        <v>5.3104999999999993</v>
      </c>
      <c r="I5671" s="39"/>
      <c r="J5671" s="148">
        <v>0</v>
      </c>
      <c r="K5671" s="222">
        <v>0</v>
      </c>
    </row>
    <row r="5672" spans="1:11" ht="15.75" hidden="1" thickBot="1" x14ac:dyDescent="0.3">
      <c r="A5672" s="208"/>
      <c r="B5672" s="206"/>
      <c r="C5672" s="54"/>
      <c r="D5672" s="150"/>
      <c r="E5672" s="65"/>
      <c r="F5672" s="75" t="s">
        <v>514</v>
      </c>
      <c r="G5672" s="75" t="str">
        <f t="shared" si="107"/>
        <v/>
      </c>
      <c r="H5672" s="76"/>
      <c r="I5672" s="73"/>
      <c r="J5672" s="148">
        <v>0</v>
      </c>
      <c r="K5672" s="222">
        <v>0</v>
      </c>
    </row>
    <row r="5673" spans="1:11" ht="15.75" hidden="1" thickBot="1" x14ac:dyDescent="0.3">
      <c r="A5673" s="202" t="s">
        <v>5180</v>
      </c>
      <c r="B5673" s="204" t="str">
        <f>INDEX(Orçamentária!A:B,MATCH(Composições!A5673,Orçamentária!A:A,0),2)</f>
        <v>Terminal de compressão 95 mm²</v>
      </c>
      <c r="C5673" s="40"/>
      <c r="D5673" s="25" t="str">
        <f>TRIM(INDEX(Orçamentária!C:C,MATCH(Composições!A5673,Orçamentária!A:A,0),1))</f>
        <v>un</v>
      </c>
      <c r="E5673" s="26"/>
      <c r="F5673" s="48" t="s">
        <v>514</v>
      </c>
      <c r="G5673" s="27" t="str">
        <f t="shared" si="107"/>
        <v/>
      </c>
      <c r="H5673" s="28"/>
      <c r="I5673" s="29"/>
      <c r="J5673" s="148">
        <v>0</v>
      </c>
      <c r="K5673" s="222">
        <v>0</v>
      </c>
    </row>
    <row r="5674" spans="1:11" hidden="1" x14ac:dyDescent="0.25">
      <c r="A5674" s="207"/>
      <c r="B5674" s="205"/>
      <c r="C5674" s="31"/>
      <c r="D5674" s="31"/>
      <c r="E5674" s="32"/>
      <c r="F5674" s="53" t="s">
        <v>514</v>
      </c>
      <c r="G5674" s="53" t="str">
        <f t="shared" si="107"/>
        <v/>
      </c>
      <c r="H5674" s="72"/>
      <c r="I5674" s="73"/>
      <c r="J5674" s="148">
        <v>0</v>
      </c>
      <c r="K5674" s="222">
        <v>0</v>
      </c>
    </row>
    <row r="5675" spans="1:11" ht="25.5" hidden="1" x14ac:dyDescent="0.25">
      <c r="A5675" s="207"/>
      <c r="B5675" s="205"/>
      <c r="C5675" s="35" t="s">
        <v>3358</v>
      </c>
      <c r="D5675" s="35" t="s">
        <v>20</v>
      </c>
      <c r="E5675" s="36">
        <v>1</v>
      </c>
      <c r="F5675" s="30">
        <v>6.5359999999999996</v>
      </c>
      <c r="G5675" s="53">
        <f t="shared" si="107"/>
        <v>6.5359999999999996</v>
      </c>
      <c r="H5675" s="38">
        <f>SUM(G5675:G5675)</f>
        <v>6.5359999999999996</v>
      </c>
      <c r="I5675" s="39"/>
      <c r="J5675" s="148">
        <v>0</v>
      </c>
      <c r="K5675" s="222">
        <v>0</v>
      </c>
    </row>
    <row r="5676" spans="1:11" ht="15.75" hidden="1" thickBot="1" x14ac:dyDescent="0.3">
      <c r="A5676" s="208"/>
      <c r="B5676" s="206"/>
      <c r="C5676" s="54"/>
      <c r="D5676" s="150"/>
      <c r="E5676" s="65"/>
      <c r="F5676" s="75" t="s">
        <v>514</v>
      </c>
      <c r="G5676" s="75" t="str">
        <f t="shared" si="107"/>
        <v/>
      </c>
      <c r="H5676" s="76"/>
      <c r="I5676" s="73"/>
      <c r="J5676" s="148">
        <v>0</v>
      </c>
      <c r="K5676" s="222">
        <v>0</v>
      </c>
    </row>
    <row r="5677" spans="1:11" ht="15.75" hidden="1" thickBot="1" x14ac:dyDescent="0.3">
      <c r="A5677" s="202" t="s">
        <v>5181</v>
      </c>
      <c r="B5677" s="204" t="str">
        <f>INDEX(Orçamentária!A:B,MATCH(Composições!A5677,Orçamentária!A:A,0),2)</f>
        <v>Terminal de compressão 120 mm²</v>
      </c>
      <c r="C5677" s="40"/>
      <c r="D5677" s="25" t="str">
        <f>TRIM(INDEX(Orçamentária!C:C,MATCH(Composições!A5677,Orçamentária!A:A,0),1))</f>
        <v>un</v>
      </c>
      <c r="E5677" s="26"/>
      <c r="F5677" s="48" t="s">
        <v>514</v>
      </c>
      <c r="G5677" s="27" t="str">
        <f t="shared" si="107"/>
        <v/>
      </c>
      <c r="H5677" s="28"/>
      <c r="I5677" s="29"/>
      <c r="J5677" s="148">
        <v>0</v>
      </c>
      <c r="K5677" s="222">
        <v>0</v>
      </c>
    </row>
    <row r="5678" spans="1:11" hidden="1" x14ac:dyDescent="0.25">
      <c r="A5678" s="207"/>
      <c r="B5678" s="205"/>
      <c r="C5678" s="31"/>
      <c r="D5678" s="31"/>
      <c r="E5678" s="32"/>
      <c r="F5678" s="53" t="s">
        <v>514</v>
      </c>
      <c r="G5678" s="53" t="str">
        <f t="shared" ref="G5678:G5741" si="108">IF(ISNUMBER(F5678),E5678*F5678,"")</f>
        <v/>
      </c>
      <c r="H5678" s="72"/>
      <c r="I5678" s="73"/>
      <c r="J5678" s="148">
        <v>0</v>
      </c>
      <c r="K5678" s="222">
        <v>0</v>
      </c>
    </row>
    <row r="5679" spans="1:11" ht="38.25" hidden="1" x14ac:dyDescent="0.25">
      <c r="A5679" s="207"/>
      <c r="B5679" s="205"/>
      <c r="C5679" s="35" t="s">
        <v>3353</v>
      </c>
      <c r="D5679" s="35" t="s">
        <v>20</v>
      </c>
      <c r="E5679" s="36">
        <v>1</v>
      </c>
      <c r="F5679" s="30">
        <v>9.1959999999999997</v>
      </c>
      <c r="G5679" s="53">
        <f t="shared" si="108"/>
        <v>9.1959999999999997</v>
      </c>
      <c r="H5679" s="38">
        <f>SUM(G5679:G5679)</f>
        <v>9.1959999999999997</v>
      </c>
      <c r="I5679" s="39"/>
      <c r="J5679" s="148">
        <v>0</v>
      </c>
      <c r="K5679" s="222">
        <v>0</v>
      </c>
    </row>
    <row r="5680" spans="1:11" ht="15.75" hidden="1" thickBot="1" x14ac:dyDescent="0.3">
      <c r="A5680" s="208"/>
      <c r="B5680" s="206"/>
      <c r="C5680" s="54"/>
      <c r="D5680" s="150"/>
      <c r="E5680" s="65"/>
      <c r="F5680" s="75" t="s">
        <v>514</v>
      </c>
      <c r="G5680" s="75" t="str">
        <f t="shared" si="108"/>
        <v/>
      </c>
      <c r="H5680" s="76"/>
      <c r="I5680" s="73"/>
      <c r="J5680" s="148">
        <v>0</v>
      </c>
      <c r="K5680" s="222">
        <v>0</v>
      </c>
    </row>
    <row r="5681" spans="1:11" ht="15.75" hidden="1" thickBot="1" x14ac:dyDescent="0.3">
      <c r="A5681" s="202" t="s">
        <v>5182</v>
      </c>
      <c r="B5681" s="204" t="str">
        <f>INDEX(Orçamentária!A:B,MATCH(Composições!A5681,Orçamentária!A:A,0),2)</f>
        <v>Terminal de compressão 150 mm²</v>
      </c>
      <c r="C5681" s="40"/>
      <c r="D5681" s="25" t="str">
        <f>TRIM(INDEX(Orçamentária!C:C,MATCH(Composições!A5681,Orçamentária!A:A,0),1))</f>
        <v>un</v>
      </c>
      <c r="E5681" s="26"/>
      <c r="F5681" s="48" t="s">
        <v>514</v>
      </c>
      <c r="G5681" s="27" t="str">
        <f t="shared" si="108"/>
        <v/>
      </c>
      <c r="H5681" s="28"/>
      <c r="I5681" s="29"/>
      <c r="J5681" s="148">
        <v>0</v>
      </c>
      <c r="K5681" s="222">
        <v>0</v>
      </c>
    </row>
    <row r="5682" spans="1:11" hidden="1" x14ac:dyDescent="0.25">
      <c r="A5682" s="207"/>
      <c r="B5682" s="205"/>
      <c r="C5682" s="31"/>
      <c r="D5682" s="31"/>
      <c r="E5682" s="32"/>
      <c r="F5682" s="53" t="s">
        <v>514</v>
      </c>
      <c r="G5682" s="53" t="str">
        <f t="shared" si="108"/>
        <v/>
      </c>
      <c r="H5682" s="72"/>
      <c r="I5682" s="73"/>
      <c r="J5682" s="148">
        <v>0</v>
      </c>
      <c r="K5682" s="222">
        <v>0</v>
      </c>
    </row>
    <row r="5683" spans="1:11" ht="25.5" hidden="1" x14ac:dyDescent="0.25">
      <c r="A5683" s="207"/>
      <c r="B5683" s="205"/>
      <c r="C5683" s="35" t="s">
        <v>3359</v>
      </c>
      <c r="D5683" s="35" t="s">
        <v>20</v>
      </c>
      <c r="E5683" s="36">
        <v>1</v>
      </c>
      <c r="F5683" s="30">
        <v>20.700499999999998</v>
      </c>
      <c r="G5683" s="53">
        <f t="shared" si="108"/>
        <v>20.700499999999998</v>
      </c>
      <c r="H5683" s="38">
        <f>SUM(G5683:G5683)</f>
        <v>20.700499999999998</v>
      </c>
      <c r="I5683" s="39"/>
      <c r="J5683" s="148">
        <v>0</v>
      </c>
      <c r="K5683" s="222">
        <v>0</v>
      </c>
    </row>
    <row r="5684" spans="1:11" ht="15.75" hidden="1" thickBot="1" x14ac:dyDescent="0.3">
      <c r="A5684" s="208"/>
      <c r="B5684" s="206"/>
      <c r="C5684" s="54"/>
      <c r="D5684" s="150"/>
      <c r="E5684" s="65"/>
      <c r="F5684" s="75" t="s">
        <v>514</v>
      </c>
      <c r="G5684" s="75" t="str">
        <f t="shared" si="108"/>
        <v/>
      </c>
      <c r="H5684" s="76"/>
      <c r="I5684" s="73"/>
      <c r="J5684" s="148">
        <v>0</v>
      </c>
      <c r="K5684" s="222">
        <v>0</v>
      </c>
    </row>
    <row r="5685" spans="1:11" ht="15.75" hidden="1" thickBot="1" x14ac:dyDescent="0.3">
      <c r="A5685" s="202" t="s">
        <v>5183</v>
      </c>
      <c r="B5685" s="204" t="str">
        <f>INDEX(Orçamentária!A:B,MATCH(Composições!A5685,Orçamentária!A:A,0),2)</f>
        <v>Terminal de compressão 185 mm²</v>
      </c>
      <c r="C5685" s="40"/>
      <c r="D5685" s="25" t="str">
        <f>TRIM(INDEX(Orçamentária!C:C,MATCH(Composições!A5685,Orçamentária!A:A,0),1))</f>
        <v>un</v>
      </c>
      <c r="E5685" s="26"/>
      <c r="F5685" s="48" t="s">
        <v>514</v>
      </c>
      <c r="G5685" s="27" t="str">
        <f t="shared" si="108"/>
        <v/>
      </c>
      <c r="H5685" s="28"/>
      <c r="I5685" s="29"/>
      <c r="J5685" s="148">
        <v>0</v>
      </c>
      <c r="K5685" s="222">
        <v>0</v>
      </c>
    </row>
    <row r="5686" spans="1:11" hidden="1" x14ac:dyDescent="0.25">
      <c r="A5686" s="207"/>
      <c r="B5686" s="205"/>
      <c r="C5686" s="31"/>
      <c r="D5686" s="31"/>
      <c r="E5686" s="32"/>
      <c r="F5686" s="53" t="s">
        <v>514</v>
      </c>
      <c r="G5686" s="53" t="str">
        <f t="shared" si="108"/>
        <v/>
      </c>
      <c r="H5686" s="72"/>
      <c r="I5686" s="73"/>
      <c r="J5686" s="148">
        <v>0</v>
      </c>
      <c r="K5686" s="222">
        <v>0</v>
      </c>
    </row>
    <row r="5687" spans="1:11" ht="25.5" hidden="1" x14ac:dyDescent="0.25">
      <c r="A5687" s="207"/>
      <c r="B5687" s="205"/>
      <c r="C5687" s="35" t="s">
        <v>3360</v>
      </c>
      <c r="D5687" s="35" t="s">
        <v>20</v>
      </c>
      <c r="E5687" s="36">
        <v>1</v>
      </c>
      <c r="F5687" s="30">
        <v>22.628999999999998</v>
      </c>
      <c r="G5687" s="53">
        <f t="shared" si="108"/>
        <v>22.628999999999998</v>
      </c>
      <c r="H5687" s="38">
        <f>SUM(G5687:G5687)</f>
        <v>22.628999999999998</v>
      </c>
      <c r="I5687" s="39"/>
      <c r="J5687" s="148">
        <v>0</v>
      </c>
      <c r="K5687" s="222">
        <v>0</v>
      </c>
    </row>
    <row r="5688" spans="1:11" ht="15.75" hidden="1" thickBot="1" x14ac:dyDescent="0.3">
      <c r="A5688" s="208"/>
      <c r="B5688" s="206"/>
      <c r="C5688" s="54"/>
      <c r="D5688" s="150"/>
      <c r="E5688" s="65"/>
      <c r="F5688" s="75" t="s">
        <v>514</v>
      </c>
      <c r="G5688" s="75" t="str">
        <f t="shared" si="108"/>
        <v/>
      </c>
      <c r="H5688" s="76"/>
      <c r="I5688" s="73"/>
      <c r="J5688" s="148">
        <v>0</v>
      </c>
      <c r="K5688" s="222">
        <v>0</v>
      </c>
    </row>
    <row r="5689" spans="1:11" ht="15.75" hidden="1" thickBot="1" x14ac:dyDescent="0.3">
      <c r="A5689" s="202" t="s">
        <v>5184</v>
      </c>
      <c r="B5689" s="204" t="str">
        <f>INDEX(Orçamentária!A:B,MATCH(Composições!A5689,Orçamentária!A:A,0),2)</f>
        <v>Terminal de compressão 240 mm²</v>
      </c>
      <c r="C5689" s="40"/>
      <c r="D5689" s="25" t="str">
        <f>TRIM(INDEX(Orçamentária!C:C,MATCH(Composições!A5689,Orçamentária!A:A,0),1))</f>
        <v>un</v>
      </c>
      <c r="E5689" s="26"/>
      <c r="F5689" s="48" t="s">
        <v>514</v>
      </c>
      <c r="G5689" s="27" t="str">
        <f t="shared" si="108"/>
        <v/>
      </c>
      <c r="H5689" s="28"/>
      <c r="I5689" s="29"/>
      <c r="J5689" s="148">
        <v>0</v>
      </c>
      <c r="K5689" s="222">
        <v>0</v>
      </c>
    </row>
    <row r="5690" spans="1:11" hidden="1" x14ac:dyDescent="0.25">
      <c r="A5690" s="207"/>
      <c r="B5690" s="205"/>
      <c r="C5690" s="31"/>
      <c r="D5690" s="31"/>
      <c r="E5690" s="32"/>
      <c r="F5690" s="53" t="s">
        <v>514</v>
      </c>
      <c r="G5690" s="53" t="str">
        <f t="shared" si="108"/>
        <v/>
      </c>
      <c r="H5690" s="72"/>
      <c r="I5690" s="73"/>
      <c r="J5690" s="148">
        <v>0</v>
      </c>
      <c r="K5690" s="222">
        <v>0</v>
      </c>
    </row>
    <row r="5691" spans="1:11" ht="25.5" hidden="1" x14ac:dyDescent="0.25">
      <c r="A5691" s="207"/>
      <c r="B5691" s="205"/>
      <c r="C5691" s="35" t="s">
        <v>3361</v>
      </c>
      <c r="D5691" s="35" t="s">
        <v>20</v>
      </c>
      <c r="E5691" s="36">
        <v>1</v>
      </c>
      <c r="F5691" s="30">
        <v>29.858499999999999</v>
      </c>
      <c r="G5691" s="53">
        <f t="shared" si="108"/>
        <v>29.858499999999999</v>
      </c>
      <c r="H5691" s="38">
        <f>SUM(G5691:G5691)</f>
        <v>29.858499999999999</v>
      </c>
      <c r="I5691" s="39"/>
      <c r="J5691" s="148">
        <v>0</v>
      </c>
      <c r="K5691" s="222">
        <v>0</v>
      </c>
    </row>
    <row r="5692" spans="1:11" ht="15.75" hidden="1" thickBot="1" x14ac:dyDescent="0.3">
      <c r="A5692" s="208"/>
      <c r="B5692" s="206"/>
      <c r="C5692" s="54"/>
      <c r="D5692" s="150"/>
      <c r="E5692" s="65"/>
      <c r="F5692" s="75" t="s">
        <v>514</v>
      </c>
      <c r="G5692" s="75" t="str">
        <f t="shared" si="108"/>
        <v/>
      </c>
      <c r="H5692" s="76"/>
      <c r="I5692" s="73"/>
      <c r="J5692" s="148">
        <v>0</v>
      </c>
      <c r="K5692" s="222">
        <v>0</v>
      </c>
    </row>
    <row r="5693" spans="1:11" ht="15.75" hidden="1" thickBot="1" x14ac:dyDescent="0.3">
      <c r="A5693" s="202" t="s">
        <v>5185</v>
      </c>
      <c r="B5693" s="204" t="str">
        <f>INDEX(Orçamentária!A:B,MATCH(Composições!A5693,Orçamentária!A:A,0),2)</f>
        <v>Terminal de compressão 300 mm²</v>
      </c>
      <c r="C5693" s="40"/>
      <c r="D5693" s="25" t="str">
        <f>TRIM(INDEX(Orçamentária!C:C,MATCH(Composições!A5693,Orçamentária!A:A,0),1))</f>
        <v>un</v>
      </c>
      <c r="E5693" s="26"/>
      <c r="F5693" s="48" t="s">
        <v>514</v>
      </c>
      <c r="G5693" s="27" t="str">
        <f t="shared" si="108"/>
        <v/>
      </c>
      <c r="H5693" s="28"/>
      <c r="I5693" s="29"/>
      <c r="J5693" s="148">
        <v>0</v>
      </c>
      <c r="K5693" s="222">
        <v>0</v>
      </c>
    </row>
    <row r="5694" spans="1:11" hidden="1" x14ac:dyDescent="0.25">
      <c r="A5694" s="207"/>
      <c r="B5694" s="205"/>
      <c r="C5694" s="31"/>
      <c r="D5694" s="31"/>
      <c r="E5694" s="32"/>
      <c r="F5694" s="53" t="s">
        <v>514</v>
      </c>
      <c r="G5694" s="53" t="str">
        <f t="shared" si="108"/>
        <v/>
      </c>
      <c r="H5694" s="72"/>
      <c r="I5694" s="73"/>
      <c r="J5694" s="148">
        <v>0</v>
      </c>
      <c r="K5694" s="222">
        <v>0</v>
      </c>
    </row>
    <row r="5695" spans="1:11" ht="25.5" hidden="1" x14ac:dyDescent="0.25">
      <c r="A5695" s="207"/>
      <c r="B5695" s="205"/>
      <c r="C5695" s="35" t="s">
        <v>3362</v>
      </c>
      <c r="D5695" s="35" t="s">
        <v>20</v>
      </c>
      <c r="E5695" s="36">
        <v>1</v>
      </c>
      <c r="F5695" s="30">
        <v>43.443499999999993</v>
      </c>
      <c r="G5695" s="53">
        <f t="shared" si="108"/>
        <v>43.443499999999993</v>
      </c>
      <c r="H5695" s="38">
        <f>SUM(G5695:G5695)</f>
        <v>43.443499999999993</v>
      </c>
      <c r="I5695" s="39"/>
      <c r="J5695" s="148">
        <v>0</v>
      </c>
      <c r="K5695" s="222">
        <v>0</v>
      </c>
    </row>
    <row r="5696" spans="1:11" ht="15.75" hidden="1" thickBot="1" x14ac:dyDescent="0.3">
      <c r="A5696" s="208"/>
      <c r="B5696" s="206"/>
      <c r="C5696" s="54"/>
      <c r="D5696" s="150"/>
      <c r="E5696" s="65"/>
      <c r="F5696" s="75" t="s">
        <v>514</v>
      </c>
      <c r="G5696" s="75" t="str">
        <f t="shared" si="108"/>
        <v/>
      </c>
      <c r="H5696" s="76"/>
      <c r="I5696" s="73"/>
      <c r="J5696" s="148">
        <v>0</v>
      </c>
      <c r="K5696" s="222">
        <v>0</v>
      </c>
    </row>
    <row r="5697" spans="1:11" ht="15.75" hidden="1" thickBot="1" x14ac:dyDescent="0.3">
      <c r="A5697" s="202" t="s">
        <v>5212</v>
      </c>
      <c r="B5697" s="204" t="str">
        <f>INDEX(Orçamentária!A:B,MATCH(Composições!A5697,Orçamentária!A:A,0),2)</f>
        <v>Cobre nu 16 mm²</v>
      </c>
      <c r="C5697" s="40"/>
      <c r="D5697" s="25" t="str">
        <f>TRIM(INDEX(Orçamentária!C:C,MATCH(Composições!A5697,Orçamentária!A:A,0),1))</f>
        <v>m</v>
      </c>
      <c r="E5697" s="26"/>
      <c r="F5697" s="48" t="s">
        <v>514</v>
      </c>
      <c r="G5697" s="27" t="str">
        <f t="shared" si="108"/>
        <v/>
      </c>
      <c r="H5697" s="28"/>
      <c r="I5697" s="29"/>
      <c r="J5697" s="148">
        <v>0</v>
      </c>
      <c r="K5697" s="222">
        <v>0</v>
      </c>
    </row>
    <row r="5698" spans="1:11" hidden="1" x14ac:dyDescent="0.25">
      <c r="A5698" s="207"/>
      <c r="B5698" s="205"/>
      <c r="C5698" s="31"/>
      <c r="D5698" s="31"/>
      <c r="E5698" s="32"/>
      <c r="F5698" s="53" t="s">
        <v>514</v>
      </c>
      <c r="G5698" s="53" t="str">
        <f t="shared" si="108"/>
        <v/>
      </c>
      <c r="H5698" s="72"/>
      <c r="I5698" s="73"/>
      <c r="J5698" s="148">
        <v>0</v>
      </c>
      <c r="K5698" s="222">
        <v>0</v>
      </c>
    </row>
    <row r="5699" spans="1:11" hidden="1" x14ac:dyDescent="0.25">
      <c r="A5699" s="207"/>
      <c r="B5699" s="205"/>
      <c r="C5699" s="35" t="s">
        <v>3234</v>
      </c>
      <c r="D5699" s="35" t="s">
        <v>92</v>
      </c>
      <c r="E5699" s="36">
        <v>1</v>
      </c>
      <c r="F5699" s="30">
        <v>13.3665</v>
      </c>
      <c r="G5699" s="53">
        <f t="shared" si="108"/>
        <v>13.3665</v>
      </c>
      <c r="H5699" s="38">
        <f>SUM(G5699:G5699)</f>
        <v>13.3665</v>
      </c>
      <c r="I5699" s="39"/>
      <c r="J5699" s="148">
        <v>0</v>
      </c>
      <c r="K5699" s="222">
        <v>0</v>
      </c>
    </row>
    <row r="5700" spans="1:11" ht="15.75" hidden="1" thickBot="1" x14ac:dyDescent="0.3">
      <c r="A5700" s="208"/>
      <c r="B5700" s="206"/>
      <c r="C5700" s="54"/>
      <c r="D5700" s="150"/>
      <c r="E5700" s="65"/>
      <c r="F5700" s="75" t="s">
        <v>514</v>
      </c>
      <c r="G5700" s="75" t="str">
        <f t="shared" si="108"/>
        <v/>
      </c>
      <c r="H5700" s="76"/>
      <c r="I5700" s="73"/>
      <c r="J5700" s="148">
        <v>0</v>
      </c>
      <c r="K5700" s="222">
        <v>0</v>
      </c>
    </row>
    <row r="5701" spans="1:11" ht="15.75" hidden="1" thickBot="1" x14ac:dyDescent="0.3">
      <c r="A5701" s="202" t="s">
        <v>5213</v>
      </c>
      <c r="B5701" s="204" t="str">
        <f>INDEX(Orçamentária!A:B,MATCH(Composições!A5701,Orçamentária!A:A,0),2)</f>
        <v>Cobre nu 25 mm²</v>
      </c>
      <c r="C5701" s="40"/>
      <c r="D5701" s="25" t="str">
        <f>TRIM(INDEX(Orçamentária!C:C,MATCH(Composições!A5701,Orçamentária!A:A,0),1))</f>
        <v>m</v>
      </c>
      <c r="E5701" s="26"/>
      <c r="F5701" s="48" t="s">
        <v>514</v>
      </c>
      <c r="G5701" s="27" t="str">
        <f t="shared" si="108"/>
        <v/>
      </c>
      <c r="H5701" s="28"/>
      <c r="I5701" s="29"/>
      <c r="J5701" s="148">
        <v>0</v>
      </c>
      <c r="K5701" s="222">
        <v>0</v>
      </c>
    </row>
    <row r="5702" spans="1:11" hidden="1" x14ac:dyDescent="0.25">
      <c r="A5702" s="207"/>
      <c r="B5702" s="205"/>
      <c r="C5702" s="31"/>
      <c r="D5702" s="31"/>
      <c r="E5702" s="32"/>
      <c r="F5702" s="53" t="s">
        <v>514</v>
      </c>
      <c r="G5702" s="53" t="str">
        <f t="shared" si="108"/>
        <v/>
      </c>
      <c r="H5702" s="72"/>
      <c r="I5702" s="73"/>
      <c r="J5702" s="148">
        <v>0</v>
      </c>
      <c r="K5702" s="222">
        <v>0</v>
      </c>
    </row>
    <row r="5703" spans="1:11" hidden="1" x14ac:dyDescent="0.25">
      <c r="A5703" s="207"/>
      <c r="B5703" s="205"/>
      <c r="C5703" s="35" t="s">
        <v>3235</v>
      </c>
      <c r="D5703" s="35" t="s">
        <v>92</v>
      </c>
      <c r="E5703" s="36">
        <v>1</v>
      </c>
      <c r="F5703" s="30">
        <v>20.6435</v>
      </c>
      <c r="G5703" s="53">
        <f t="shared" si="108"/>
        <v>20.6435</v>
      </c>
      <c r="H5703" s="38">
        <f>SUM(G5703:G5703)</f>
        <v>20.6435</v>
      </c>
      <c r="I5703" s="39"/>
      <c r="J5703" s="148">
        <v>0</v>
      </c>
      <c r="K5703" s="222">
        <v>0</v>
      </c>
    </row>
    <row r="5704" spans="1:11" ht="15.75" hidden="1" thickBot="1" x14ac:dyDescent="0.3">
      <c r="A5704" s="208"/>
      <c r="B5704" s="206"/>
      <c r="C5704" s="54"/>
      <c r="D5704" s="150"/>
      <c r="E5704" s="65"/>
      <c r="F5704" s="75" t="s">
        <v>514</v>
      </c>
      <c r="G5704" s="75" t="str">
        <f t="shared" si="108"/>
        <v/>
      </c>
      <c r="H5704" s="76"/>
      <c r="I5704" s="73"/>
      <c r="J5704" s="148">
        <v>0</v>
      </c>
      <c r="K5704" s="222">
        <v>0</v>
      </c>
    </row>
    <row r="5705" spans="1:11" ht="15.75" hidden="1" thickBot="1" x14ac:dyDescent="0.3">
      <c r="A5705" s="202" t="s">
        <v>5214</v>
      </c>
      <c r="B5705" s="204" t="str">
        <f>INDEX(Orçamentária!A:B,MATCH(Composições!A5705,Orçamentária!A:A,0),2)</f>
        <v>Cobre nu 35 mm²</v>
      </c>
      <c r="C5705" s="40"/>
      <c r="D5705" s="25" t="str">
        <f>TRIM(INDEX(Orçamentária!C:C,MATCH(Composições!A5705,Orçamentária!A:A,0),1))</f>
        <v>m</v>
      </c>
      <c r="E5705" s="26"/>
      <c r="F5705" s="48" t="s">
        <v>514</v>
      </c>
      <c r="G5705" s="27" t="str">
        <f t="shared" si="108"/>
        <v/>
      </c>
      <c r="H5705" s="28"/>
      <c r="I5705" s="29"/>
      <c r="J5705" s="148">
        <v>0</v>
      </c>
      <c r="K5705" s="222">
        <v>0</v>
      </c>
    </row>
    <row r="5706" spans="1:11" hidden="1" x14ac:dyDescent="0.25">
      <c r="A5706" s="207"/>
      <c r="B5706" s="205"/>
      <c r="C5706" s="31"/>
      <c r="D5706" s="31"/>
      <c r="E5706" s="32"/>
      <c r="F5706" s="53" t="s">
        <v>514</v>
      </c>
      <c r="G5706" s="53" t="str">
        <f t="shared" si="108"/>
        <v/>
      </c>
      <c r="H5706" s="72"/>
      <c r="I5706" s="73"/>
      <c r="J5706" s="148">
        <v>0</v>
      </c>
      <c r="K5706" s="222">
        <v>0</v>
      </c>
    </row>
    <row r="5707" spans="1:11" hidden="1" x14ac:dyDescent="0.25">
      <c r="A5707" s="207"/>
      <c r="B5707" s="205"/>
      <c r="C5707" s="35" t="s">
        <v>3236</v>
      </c>
      <c r="D5707" s="35" t="s">
        <v>92</v>
      </c>
      <c r="E5707" s="36">
        <v>1</v>
      </c>
      <c r="F5707" s="30">
        <v>28.518999999999998</v>
      </c>
      <c r="G5707" s="53">
        <f t="shared" si="108"/>
        <v>28.518999999999998</v>
      </c>
      <c r="H5707" s="38">
        <f>SUM(G5707:G5707)</f>
        <v>28.518999999999998</v>
      </c>
      <c r="I5707" s="39"/>
      <c r="J5707" s="148">
        <v>0</v>
      </c>
      <c r="K5707" s="222">
        <v>0</v>
      </c>
    </row>
    <row r="5708" spans="1:11" ht="15.75" hidden="1" thickBot="1" x14ac:dyDescent="0.3">
      <c r="A5708" s="208"/>
      <c r="B5708" s="206"/>
      <c r="C5708" s="54"/>
      <c r="D5708" s="150"/>
      <c r="E5708" s="65"/>
      <c r="F5708" s="75" t="s">
        <v>514</v>
      </c>
      <c r="G5708" s="75" t="str">
        <f t="shared" si="108"/>
        <v/>
      </c>
      <c r="H5708" s="76"/>
      <c r="I5708" s="73"/>
      <c r="J5708" s="148">
        <v>0</v>
      </c>
      <c r="K5708" s="222">
        <v>0</v>
      </c>
    </row>
    <row r="5709" spans="1:11" ht="15.75" hidden="1" thickBot="1" x14ac:dyDescent="0.3">
      <c r="A5709" s="202" t="s">
        <v>5215</v>
      </c>
      <c r="B5709" s="204" t="str">
        <f>INDEX(Orçamentária!A:B,MATCH(Composições!A5709,Orçamentária!A:A,0),2)</f>
        <v>Cobre nu 50 mm²</v>
      </c>
      <c r="C5709" s="40"/>
      <c r="D5709" s="25" t="str">
        <f>TRIM(INDEX(Orçamentária!C:C,MATCH(Composições!A5709,Orçamentária!A:A,0),1))</f>
        <v>m</v>
      </c>
      <c r="E5709" s="26"/>
      <c r="F5709" s="48" t="s">
        <v>514</v>
      </c>
      <c r="G5709" s="27" t="str">
        <f t="shared" si="108"/>
        <v/>
      </c>
      <c r="H5709" s="28"/>
      <c r="I5709" s="29"/>
      <c r="J5709" s="148">
        <v>0</v>
      </c>
      <c r="K5709" s="222">
        <v>0</v>
      </c>
    </row>
    <row r="5710" spans="1:11" hidden="1" x14ac:dyDescent="0.25">
      <c r="A5710" s="207"/>
      <c r="B5710" s="205"/>
      <c r="C5710" s="31"/>
      <c r="D5710" s="31"/>
      <c r="E5710" s="32"/>
      <c r="F5710" s="53" t="s">
        <v>514</v>
      </c>
      <c r="G5710" s="53" t="str">
        <f t="shared" si="108"/>
        <v/>
      </c>
      <c r="H5710" s="72"/>
      <c r="I5710" s="73"/>
      <c r="J5710" s="148">
        <v>0</v>
      </c>
      <c r="K5710" s="222">
        <v>0</v>
      </c>
    </row>
    <row r="5711" spans="1:11" hidden="1" x14ac:dyDescent="0.25">
      <c r="A5711" s="207"/>
      <c r="B5711" s="205"/>
      <c r="C5711" s="35" t="s">
        <v>3237</v>
      </c>
      <c r="D5711" s="35" t="s">
        <v>92</v>
      </c>
      <c r="E5711" s="36">
        <v>1</v>
      </c>
      <c r="F5711" s="30">
        <v>39.719500000000004</v>
      </c>
      <c r="G5711" s="53">
        <f t="shared" si="108"/>
        <v>39.719500000000004</v>
      </c>
      <c r="H5711" s="38">
        <f>SUM(G5711:G5711)</f>
        <v>39.719500000000004</v>
      </c>
      <c r="I5711" s="39"/>
      <c r="J5711" s="148">
        <v>0</v>
      </c>
      <c r="K5711" s="222">
        <v>0</v>
      </c>
    </row>
    <row r="5712" spans="1:11" ht="15.75" hidden="1" thickBot="1" x14ac:dyDescent="0.3">
      <c r="A5712" s="208"/>
      <c r="B5712" s="206"/>
      <c r="C5712" s="54"/>
      <c r="D5712" s="150"/>
      <c r="E5712" s="65"/>
      <c r="F5712" s="75" t="s">
        <v>514</v>
      </c>
      <c r="G5712" s="75" t="str">
        <f t="shared" si="108"/>
        <v/>
      </c>
      <c r="H5712" s="76"/>
      <c r="I5712" s="73"/>
      <c r="J5712" s="148">
        <v>0</v>
      </c>
      <c r="K5712" s="222">
        <v>0</v>
      </c>
    </row>
    <row r="5713" spans="1:11" ht="15.75" hidden="1" thickBot="1" x14ac:dyDescent="0.3">
      <c r="A5713" s="202" t="s">
        <v>5216</v>
      </c>
      <c r="B5713" s="204" t="str">
        <f>INDEX(Orçamentária!A:B,MATCH(Composições!A5713,Orçamentária!A:A,0),2)</f>
        <v>Cobre nu 70 mm²</v>
      </c>
      <c r="C5713" s="40"/>
      <c r="D5713" s="25" t="str">
        <f>TRIM(INDEX(Orçamentária!C:C,MATCH(Composições!A5713,Orçamentária!A:A,0),1))</f>
        <v>m</v>
      </c>
      <c r="E5713" s="26"/>
      <c r="F5713" s="48" t="s">
        <v>514</v>
      </c>
      <c r="G5713" s="27" t="str">
        <f t="shared" si="108"/>
        <v/>
      </c>
      <c r="H5713" s="28"/>
      <c r="I5713" s="29"/>
      <c r="J5713" s="148">
        <v>0</v>
      </c>
      <c r="K5713" s="222">
        <v>0</v>
      </c>
    </row>
    <row r="5714" spans="1:11" hidden="1" x14ac:dyDescent="0.25">
      <c r="A5714" s="207"/>
      <c r="B5714" s="205"/>
      <c r="C5714" s="31"/>
      <c r="D5714" s="31"/>
      <c r="E5714" s="32"/>
      <c r="F5714" s="53" t="s">
        <v>514</v>
      </c>
      <c r="G5714" s="53" t="str">
        <f t="shared" si="108"/>
        <v/>
      </c>
      <c r="H5714" s="72"/>
      <c r="I5714" s="73"/>
      <c r="J5714" s="148">
        <v>0</v>
      </c>
      <c r="K5714" s="222">
        <v>0</v>
      </c>
    </row>
    <row r="5715" spans="1:11" hidden="1" x14ac:dyDescent="0.25">
      <c r="A5715" s="207"/>
      <c r="B5715" s="205"/>
      <c r="C5715" s="35" t="s">
        <v>3238</v>
      </c>
      <c r="D5715" s="35" t="s">
        <v>92</v>
      </c>
      <c r="E5715" s="36">
        <v>1</v>
      </c>
      <c r="F5715" s="30">
        <v>55.954999999999998</v>
      </c>
      <c r="G5715" s="53">
        <f t="shared" si="108"/>
        <v>55.954999999999998</v>
      </c>
      <c r="H5715" s="38">
        <f>SUM(G5715:G5715)</f>
        <v>55.954999999999998</v>
      </c>
      <c r="I5715" s="39"/>
      <c r="J5715" s="148">
        <v>0</v>
      </c>
      <c r="K5715" s="222">
        <v>0</v>
      </c>
    </row>
    <row r="5716" spans="1:11" ht="15.75" hidden="1" thickBot="1" x14ac:dyDescent="0.3">
      <c r="A5716" s="208"/>
      <c r="B5716" s="206"/>
      <c r="C5716" s="54"/>
      <c r="D5716" s="150"/>
      <c r="E5716" s="65"/>
      <c r="F5716" s="75" t="s">
        <v>514</v>
      </c>
      <c r="G5716" s="75" t="str">
        <f t="shared" si="108"/>
        <v/>
      </c>
      <c r="H5716" s="76"/>
      <c r="I5716" s="73"/>
      <c r="J5716" s="148">
        <v>0</v>
      </c>
      <c r="K5716" s="222">
        <v>0</v>
      </c>
    </row>
    <row r="5717" spans="1:11" ht="15.75" hidden="1" thickBot="1" x14ac:dyDescent="0.3">
      <c r="A5717" s="202" t="s">
        <v>5420</v>
      </c>
      <c r="B5717" s="204" t="str">
        <f>INDEX(Orçamentária!A:B,MATCH(Composições!A5717,Orçamentária!A:A,0),2)</f>
        <v>Eletroduto de aço galvanizado de 3/4”</v>
      </c>
      <c r="C5717" s="40"/>
      <c r="D5717" s="25" t="str">
        <f>TRIM(INDEX(Orçamentária!C:C,MATCH(Composições!A5717,Orçamentária!A:A,0),1))</f>
        <v>m</v>
      </c>
      <c r="E5717" s="26"/>
      <c r="F5717" s="48" t="s">
        <v>514</v>
      </c>
      <c r="G5717" s="27" t="str">
        <f t="shared" si="108"/>
        <v/>
      </c>
      <c r="H5717" s="28"/>
      <c r="I5717" s="29"/>
      <c r="J5717" s="148">
        <v>0</v>
      </c>
      <c r="K5717" s="222">
        <v>0</v>
      </c>
    </row>
    <row r="5718" spans="1:11" hidden="1" x14ac:dyDescent="0.25">
      <c r="A5718" s="207"/>
      <c r="B5718" s="205"/>
      <c r="C5718" s="31"/>
      <c r="D5718" s="31"/>
      <c r="E5718" s="32"/>
      <c r="F5718" s="53" t="s">
        <v>514</v>
      </c>
      <c r="G5718" s="53" t="str">
        <f t="shared" si="108"/>
        <v/>
      </c>
      <c r="H5718" s="72"/>
      <c r="I5718" s="73"/>
      <c r="J5718" s="148">
        <v>0</v>
      </c>
      <c r="K5718" s="222">
        <v>0</v>
      </c>
    </row>
    <row r="5719" spans="1:11" ht="25.5" hidden="1" x14ac:dyDescent="0.25">
      <c r="A5719" s="207"/>
      <c r="B5719" s="205"/>
      <c r="C5719" s="35" t="s">
        <v>6356</v>
      </c>
      <c r="D5719" s="35" t="s">
        <v>92</v>
      </c>
      <c r="E5719" s="36">
        <v>1</v>
      </c>
      <c r="F5719" s="30">
        <v>0</v>
      </c>
      <c r="G5719" s="53">
        <f t="shared" si="108"/>
        <v>0</v>
      </c>
      <c r="H5719" s="38">
        <f>SUM(G5719:G5719)</f>
        <v>0</v>
      </c>
      <c r="I5719" s="39"/>
      <c r="J5719" s="148">
        <v>0</v>
      </c>
      <c r="K5719" s="222">
        <v>0</v>
      </c>
    </row>
    <row r="5720" spans="1:11" ht="15.75" hidden="1" thickBot="1" x14ac:dyDescent="0.3">
      <c r="A5720" s="208"/>
      <c r="B5720" s="206"/>
      <c r="C5720" s="54"/>
      <c r="D5720" s="150"/>
      <c r="E5720" s="65"/>
      <c r="F5720" s="75" t="s">
        <v>514</v>
      </c>
      <c r="G5720" s="75" t="str">
        <f t="shared" si="108"/>
        <v/>
      </c>
      <c r="H5720" s="76"/>
      <c r="I5720" s="73"/>
      <c r="J5720" s="148">
        <v>0</v>
      </c>
      <c r="K5720" s="222">
        <v>0</v>
      </c>
    </row>
    <row r="5721" spans="1:11" ht="15.75" hidden="1" thickBot="1" x14ac:dyDescent="0.3">
      <c r="A5721" s="202" t="s">
        <v>5421</v>
      </c>
      <c r="B5721" s="204" t="str">
        <f>INDEX(Orçamentária!A:B,MATCH(Composições!A5721,Orçamentária!A:A,0),2)</f>
        <v>Eletroduto de aço galvanizado de 1”</v>
      </c>
      <c r="C5721" s="40"/>
      <c r="D5721" s="25" t="str">
        <f>TRIM(INDEX(Orçamentária!C:C,MATCH(Composições!A5721,Orçamentária!A:A,0),1))</f>
        <v>m</v>
      </c>
      <c r="E5721" s="26"/>
      <c r="F5721" s="48" t="s">
        <v>514</v>
      </c>
      <c r="G5721" s="27" t="str">
        <f t="shared" si="108"/>
        <v/>
      </c>
      <c r="H5721" s="28"/>
      <c r="I5721" s="29"/>
      <c r="J5721" s="148">
        <v>0</v>
      </c>
      <c r="K5721" s="222">
        <v>0</v>
      </c>
    </row>
    <row r="5722" spans="1:11" hidden="1" x14ac:dyDescent="0.25">
      <c r="A5722" s="207"/>
      <c r="B5722" s="205"/>
      <c r="C5722" s="31"/>
      <c r="D5722" s="31"/>
      <c r="E5722" s="32"/>
      <c r="F5722" s="53" t="s">
        <v>514</v>
      </c>
      <c r="G5722" s="53" t="str">
        <f t="shared" si="108"/>
        <v/>
      </c>
      <c r="H5722" s="72"/>
      <c r="I5722" s="73"/>
      <c r="J5722" s="148">
        <v>0</v>
      </c>
      <c r="K5722" s="222">
        <v>0</v>
      </c>
    </row>
    <row r="5723" spans="1:11" ht="25.5" hidden="1" x14ac:dyDescent="0.25">
      <c r="A5723" s="207"/>
      <c r="B5723" s="205"/>
      <c r="C5723" s="35" t="s">
        <v>6357</v>
      </c>
      <c r="D5723" s="35" t="s">
        <v>92</v>
      </c>
      <c r="E5723" s="36">
        <v>1</v>
      </c>
      <c r="F5723" s="30">
        <v>0</v>
      </c>
      <c r="G5723" s="53">
        <f t="shared" si="108"/>
        <v>0</v>
      </c>
      <c r="H5723" s="38">
        <f>SUM(G5723:G5723)</f>
        <v>0</v>
      </c>
      <c r="I5723" s="39"/>
      <c r="J5723" s="148">
        <v>0</v>
      </c>
      <c r="K5723" s="222">
        <v>0</v>
      </c>
    </row>
    <row r="5724" spans="1:11" ht="15.75" hidden="1" thickBot="1" x14ac:dyDescent="0.3">
      <c r="A5724" s="208"/>
      <c r="B5724" s="206"/>
      <c r="C5724" s="54"/>
      <c r="D5724" s="150"/>
      <c r="E5724" s="65"/>
      <c r="F5724" s="75" t="s">
        <v>514</v>
      </c>
      <c r="G5724" s="75" t="str">
        <f t="shared" si="108"/>
        <v/>
      </c>
      <c r="H5724" s="76"/>
      <c r="I5724" s="73"/>
      <c r="J5724" s="148">
        <v>0</v>
      </c>
      <c r="K5724" s="222">
        <v>0</v>
      </c>
    </row>
    <row r="5725" spans="1:11" ht="15.75" hidden="1" thickBot="1" x14ac:dyDescent="0.3">
      <c r="A5725" s="202" t="s">
        <v>5422</v>
      </c>
      <c r="B5725" s="204" t="str">
        <f>INDEX(Orçamentária!A:B,MATCH(Composições!A5725,Orçamentária!A:A,0),2)</f>
        <v>Eletroduto de aço galvanizado de 1 1/4”</v>
      </c>
      <c r="C5725" s="40"/>
      <c r="D5725" s="25" t="str">
        <f>TRIM(INDEX(Orçamentária!C:C,MATCH(Composições!A5725,Orçamentária!A:A,0),1))</f>
        <v>m</v>
      </c>
      <c r="E5725" s="26"/>
      <c r="F5725" s="48" t="s">
        <v>514</v>
      </c>
      <c r="G5725" s="27" t="str">
        <f t="shared" si="108"/>
        <v/>
      </c>
      <c r="H5725" s="28"/>
      <c r="I5725" s="29"/>
      <c r="J5725" s="148">
        <v>0</v>
      </c>
      <c r="K5725" s="222">
        <v>0</v>
      </c>
    </row>
    <row r="5726" spans="1:11" hidden="1" x14ac:dyDescent="0.25">
      <c r="A5726" s="207"/>
      <c r="B5726" s="205"/>
      <c r="C5726" s="31"/>
      <c r="D5726" s="31"/>
      <c r="E5726" s="32"/>
      <c r="F5726" s="53" t="s">
        <v>514</v>
      </c>
      <c r="G5726" s="53" t="str">
        <f t="shared" si="108"/>
        <v/>
      </c>
      <c r="H5726" s="72"/>
      <c r="I5726" s="73"/>
      <c r="J5726" s="148">
        <v>0</v>
      </c>
      <c r="K5726" s="222">
        <v>0</v>
      </c>
    </row>
    <row r="5727" spans="1:11" ht="25.5" hidden="1" x14ac:dyDescent="0.25">
      <c r="A5727" s="207"/>
      <c r="B5727" s="205"/>
      <c r="C5727" s="35" t="s">
        <v>6358</v>
      </c>
      <c r="D5727" s="35" t="s">
        <v>92</v>
      </c>
      <c r="E5727" s="36">
        <v>1</v>
      </c>
      <c r="F5727" s="30">
        <v>0</v>
      </c>
      <c r="G5727" s="53">
        <f t="shared" si="108"/>
        <v>0</v>
      </c>
      <c r="H5727" s="38">
        <f>SUM(G5727:G5727)</f>
        <v>0</v>
      </c>
      <c r="I5727" s="39"/>
      <c r="J5727" s="148">
        <v>0</v>
      </c>
      <c r="K5727" s="222">
        <v>0</v>
      </c>
    </row>
    <row r="5728" spans="1:11" ht="15.75" hidden="1" thickBot="1" x14ac:dyDescent="0.3">
      <c r="A5728" s="208"/>
      <c r="B5728" s="206"/>
      <c r="C5728" s="54"/>
      <c r="D5728" s="150"/>
      <c r="E5728" s="65"/>
      <c r="F5728" s="75" t="s">
        <v>514</v>
      </c>
      <c r="G5728" s="75" t="str">
        <f t="shared" si="108"/>
        <v/>
      </c>
      <c r="H5728" s="76"/>
      <c r="I5728" s="73"/>
      <c r="J5728" s="148">
        <v>0</v>
      </c>
      <c r="K5728" s="222">
        <v>0</v>
      </c>
    </row>
    <row r="5729" spans="1:11" ht="15.75" hidden="1" thickBot="1" x14ac:dyDescent="0.3">
      <c r="A5729" s="202" t="s">
        <v>5423</v>
      </c>
      <c r="B5729" s="204" t="str">
        <f>INDEX(Orçamentária!A:B,MATCH(Composições!A5729,Orçamentária!A:A,0),2)</f>
        <v>Eletroduto de aço galvanizado de 1 1/2”</v>
      </c>
      <c r="C5729" s="40"/>
      <c r="D5729" s="25" t="str">
        <f>TRIM(INDEX(Orçamentária!C:C,MATCH(Composições!A5729,Orçamentária!A:A,0),1))</f>
        <v>m</v>
      </c>
      <c r="E5729" s="26"/>
      <c r="F5729" s="48" t="s">
        <v>514</v>
      </c>
      <c r="G5729" s="27" t="str">
        <f t="shared" si="108"/>
        <v/>
      </c>
      <c r="H5729" s="28"/>
      <c r="I5729" s="29"/>
      <c r="J5729" s="148">
        <v>0</v>
      </c>
      <c r="K5729" s="222">
        <v>0</v>
      </c>
    </row>
    <row r="5730" spans="1:11" hidden="1" x14ac:dyDescent="0.25">
      <c r="A5730" s="207"/>
      <c r="B5730" s="205"/>
      <c r="C5730" s="31"/>
      <c r="D5730" s="31"/>
      <c r="E5730" s="32"/>
      <c r="F5730" s="53" t="s">
        <v>514</v>
      </c>
      <c r="G5730" s="53" t="str">
        <f t="shared" si="108"/>
        <v/>
      </c>
      <c r="H5730" s="72"/>
      <c r="I5730" s="73"/>
      <c r="J5730" s="148">
        <v>0</v>
      </c>
      <c r="K5730" s="222">
        <v>0</v>
      </c>
    </row>
    <row r="5731" spans="1:11" ht="25.5" hidden="1" x14ac:dyDescent="0.25">
      <c r="A5731" s="207"/>
      <c r="B5731" s="205"/>
      <c r="C5731" s="35" t="s">
        <v>6359</v>
      </c>
      <c r="D5731" s="35" t="s">
        <v>92</v>
      </c>
      <c r="E5731" s="36">
        <v>1</v>
      </c>
      <c r="F5731" s="30">
        <v>0</v>
      </c>
      <c r="G5731" s="53">
        <f t="shared" si="108"/>
        <v>0</v>
      </c>
      <c r="H5731" s="38">
        <f>SUM(G5731:G5731)</f>
        <v>0</v>
      </c>
      <c r="I5731" s="39"/>
      <c r="J5731" s="148">
        <v>0</v>
      </c>
      <c r="K5731" s="222">
        <v>0</v>
      </c>
    </row>
    <row r="5732" spans="1:11" ht="15.75" hidden="1" thickBot="1" x14ac:dyDescent="0.3">
      <c r="A5732" s="208"/>
      <c r="B5732" s="206"/>
      <c r="C5732" s="54"/>
      <c r="D5732" s="150"/>
      <c r="E5732" s="65"/>
      <c r="F5732" s="75" t="s">
        <v>514</v>
      </c>
      <c r="G5732" s="75" t="str">
        <f t="shared" si="108"/>
        <v/>
      </c>
      <c r="H5732" s="76"/>
      <c r="I5732" s="73"/>
      <c r="J5732" s="148">
        <v>0</v>
      </c>
      <c r="K5732" s="222">
        <v>0</v>
      </c>
    </row>
    <row r="5733" spans="1:11" ht="15.75" hidden="1" thickBot="1" x14ac:dyDescent="0.3">
      <c r="A5733" s="202" t="s">
        <v>5424</v>
      </c>
      <c r="B5733" s="204" t="str">
        <f>INDEX(Orçamentária!A:B,MATCH(Composições!A5733,Orçamentária!A:A,0),2)</f>
        <v>Eletroduto de aço galvanizado de 2”</v>
      </c>
      <c r="C5733" s="40"/>
      <c r="D5733" s="25" t="str">
        <f>TRIM(INDEX(Orçamentária!C:C,MATCH(Composições!A5733,Orçamentária!A:A,0),1))</f>
        <v>m</v>
      </c>
      <c r="E5733" s="26"/>
      <c r="F5733" s="48" t="s">
        <v>514</v>
      </c>
      <c r="G5733" s="27" t="str">
        <f t="shared" si="108"/>
        <v/>
      </c>
      <c r="H5733" s="28"/>
      <c r="I5733" s="29"/>
      <c r="J5733" s="148">
        <v>0</v>
      </c>
      <c r="K5733" s="222">
        <v>0</v>
      </c>
    </row>
    <row r="5734" spans="1:11" hidden="1" x14ac:dyDescent="0.25">
      <c r="A5734" s="207"/>
      <c r="B5734" s="205"/>
      <c r="C5734" s="31"/>
      <c r="D5734" s="31"/>
      <c r="E5734" s="32"/>
      <c r="F5734" s="53" t="s">
        <v>514</v>
      </c>
      <c r="G5734" s="53" t="str">
        <f t="shared" si="108"/>
        <v/>
      </c>
      <c r="H5734" s="72"/>
      <c r="I5734" s="73"/>
      <c r="J5734" s="148">
        <v>0</v>
      </c>
      <c r="K5734" s="222">
        <v>0</v>
      </c>
    </row>
    <row r="5735" spans="1:11" ht="25.5" hidden="1" x14ac:dyDescent="0.25">
      <c r="A5735" s="207"/>
      <c r="B5735" s="205"/>
      <c r="C5735" s="35" t="s">
        <v>6360</v>
      </c>
      <c r="D5735" s="35" t="s">
        <v>92</v>
      </c>
      <c r="E5735" s="36">
        <v>1</v>
      </c>
      <c r="F5735" s="30">
        <v>0</v>
      </c>
      <c r="G5735" s="53">
        <f t="shared" si="108"/>
        <v>0</v>
      </c>
      <c r="H5735" s="38">
        <f>SUM(G5735:G5735)</f>
        <v>0</v>
      </c>
      <c r="I5735" s="39"/>
      <c r="J5735" s="148">
        <v>0</v>
      </c>
      <c r="K5735" s="222">
        <v>0</v>
      </c>
    </row>
    <row r="5736" spans="1:11" ht="15.75" hidden="1" thickBot="1" x14ac:dyDescent="0.3">
      <c r="A5736" s="208"/>
      <c r="B5736" s="206"/>
      <c r="C5736" s="54"/>
      <c r="D5736" s="150"/>
      <c r="E5736" s="65"/>
      <c r="F5736" s="75" t="s">
        <v>514</v>
      </c>
      <c r="G5736" s="75" t="str">
        <f t="shared" si="108"/>
        <v/>
      </c>
      <c r="H5736" s="76"/>
      <c r="I5736" s="73"/>
      <c r="J5736" s="148">
        <v>0</v>
      </c>
      <c r="K5736" s="222">
        <v>0</v>
      </c>
    </row>
    <row r="5737" spans="1:11" ht="15.75" hidden="1" thickBot="1" x14ac:dyDescent="0.3">
      <c r="A5737" s="202" t="s">
        <v>5425</v>
      </c>
      <c r="B5737" s="204" t="str">
        <f>INDEX(Orçamentária!A:B,MATCH(Composições!A5737,Orçamentária!A:A,0),2)</f>
        <v>Eletroduto de aço galvanizado de 2 1/2”</v>
      </c>
      <c r="C5737" s="40"/>
      <c r="D5737" s="25" t="str">
        <f>TRIM(INDEX(Orçamentária!C:C,MATCH(Composições!A5737,Orçamentária!A:A,0),1))</f>
        <v>m</v>
      </c>
      <c r="E5737" s="26"/>
      <c r="F5737" s="48" t="s">
        <v>514</v>
      </c>
      <c r="G5737" s="27" t="str">
        <f t="shared" si="108"/>
        <v/>
      </c>
      <c r="H5737" s="28"/>
      <c r="I5737" s="29"/>
      <c r="J5737" s="148">
        <v>0</v>
      </c>
      <c r="K5737" s="222">
        <v>0</v>
      </c>
    </row>
    <row r="5738" spans="1:11" hidden="1" x14ac:dyDescent="0.25">
      <c r="A5738" s="207"/>
      <c r="B5738" s="205"/>
      <c r="C5738" s="31"/>
      <c r="D5738" s="31"/>
      <c r="E5738" s="32"/>
      <c r="F5738" s="53" t="s">
        <v>514</v>
      </c>
      <c r="G5738" s="53" t="str">
        <f t="shared" si="108"/>
        <v/>
      </c>
      <c r="H5738" s="72"/>
      <c r="I5738" s="73"/>
      <c r="J5738" s="148">
        <v>0</v>
      </c>
      <c r="K5738" s="222">
        <v>0</v>
      </c>
    </row>
    <row r="5739" spans="1:11" ht="25.5" hidden="1" x14ac:dyDescent="0.25">
      <c r="A5739" s="207"/>
      <c r="B5739" s="205"/>
      <c r="C5739" s="35" t="s">
        <v>6361</v>
      </c>
      <c r="D5739" s="35" t="s">
        <v>92</v>
      </c>
      <c r="E5739" s="36">
        <v>1</v>
      </c>
      <c r="F5739" s="30">
        <v>0</v>
      </c>
      <c r="G5739" s="53">
        <f t="shared" si="108"/>
        <v>0</v>
      </c>
      <c r="H5739" s="38">
        <f>SUM(G5739:G5739)</f>
        <v>0</v>
      </c>
      <c r="I5739" s="39"/>
      <c r="J5739" s="148">
        <v>0</v>
      </c>
      <c r="K5739" s="222">
        <v>0</v>
      </c>
    </row>
    <row r="5740" spans="1:11" ht="15.75" hidden="1" thickBot="1" x14ac:dyDescent="0.3">
      <c r="A5740" s="208"/>
      <c r="B5740" s="206"/>
      <c r="C5740" s="54"/>
      <c r="D5740" s="150"/>
      <c r="E5740" s="65"/>
      <c r="F5740" s="75" t="s">
        <v>514</v>
      </c>
      <c r="G5740" s="75" t="str">
        <f t="shared" si="108"/>
        <v/>
      </c>
      <c r="H5740" s="76"/>
      <c r="I5740" s="73"/>
      <c r="J5740" s="148">
        <v>0</v>
      </c>
      <c r="K5740" s="222">
        <v>0</v>
      </c>
    </row>
    <row r="5741" spans="1:11" ht="15.75" hidden="1" thickBot="1" x14ac:dyDescent="0.3">
      <c r="A5741" s="202" t="s">
        <v>5426</v>
      </c>
      <c r="B5741" s="204" t="str">
        <f>INDEX(Orçamentária!A:B,MATCH(Composições!A5741,Orçamentária!A:A,0),2)</f>
        <v xml:space="preserve">Eletroduto de aço galvanizado de 3” </v>
      </c>
      <c r="C5741" s="40"/>
      <c r="D5741" s="25" t="str">
        <f>TRIM(INDEX(Orçamentária!C:C,MATCH(Composições!A5741,Orçamentária!A:A,0),1))</f>
        <v>m</v>
      </c>
      <c r="E5741" s="26"/>
      <c r="F5741" s="48" t="s">
        <v>514</v>
      </c>
      <c r="G5741" s="27" t="str">
        <f t="shared" si="108"/>
        <v/>
      </c>
      <c r="H5741" s="28"/>
      <c r="I5741" s="29"/>
      <c r="J5741" s="148">
        <v>0</v>
      </c>
      <c r="K5741" s="222">
        <v>0</v>
      </c>
    </row>
    <row r="5742" spans="1:11" hidden="1" x14ac:dyDescent="0.25">
      <c r="A5742" s="207"/>
      <c r="B5742" s="205"/>
      <c r="C5742" s="31"/>
      <c r="D5742" s="31"/>
      <c r="E5742" s="32"/>
      <c r="F5742" s="53" t="s">
        <v>514</v>
      </c>
      <c r="G5742" s="53" t="str">
        <f t="shared" ref="G5742:G5805" si="109">IF(ISNUMBER(F5742),E5742*F5742,"")</f>
        <v/>
      </c>
      <c r="H5742" s="72"/>
      <c r="I5742" s="73"/>
      <c r="J5742" s="148">
        <v>0</v>
      </c>
      <c r="K5742" s="222">
        <v>0</v>
      </c>
    </row>
    <row r="5743" spans="1:11" ht="25.5" hidden="1" x14ac:dyDescent="0.25">
      <c r="A5743" s="207"/>
      <c r="B5743" s="205"/>
      <c r="C5743" s="35" t="s">
        <v>6362</v>
      </c>
      <c r="D5743" s="35" t="s">
        <v>92</v>
      </c>
      <c r="E5743" s="36">
        <v>1</v>
      </c>
      <c r="F5743" s="30">
        <v>0</v>
      </c>
      <c r="G5743" s="53">
        <f t="shared" si="109"/>
        <v>0</v>
      </c>
      <c r="H5743" s="38">
        <f>SUM(G5743:G5743)</f>
        <v>0</v>
      </c>
      <c r="I5743" s="39"/>
      <c r="J5743" s="148">
        <v>0</v>
      </c>
      <c r="K5743" s="222">
        <v>0</v>
      </c>
    </row>
    <row r="5744" spans="1:11" ht="15.75" hidden="1" thickBot="1" x14ac:dyDescent="0.3">
      <c r="A5744" s="208"/>
      <c r="B5744" s="206"/>
      <c r="C5744" s="54"/>
      <c r="D5744" s="150"/>
      <c r="E5744" s="65"/>
      <c r="F5744" s="75" t="s">
        <v>514</v>
      </c>
      <c r="G5744" s="75" t="str">
        <f t="shared" si="109"/>
        <v/>
      </c>
      <c r="H5744" s="76"/>
      <c r="I5744" s="73"/>
      <c r="J5744" s="148">
        <v>0</v>
      </c>
      <c r="K5744" s="222">
        <v>0</v>
      </c>
    </row>
    <row r="5745" spans="1:11" ht="15.75" hidden="1" thickBot="1" x14ac:dyDescent="0.3">
      <c r="A5745" s="202" t="s">
        <v>5427</v>
      </c>
      <c r="B5745" s="204" t="str">
        <f>INDEX(Orçamentária!A:B,MATCH(Composições!A5745,Orçamentária!A:A,0),2)</f>
        <v>Eletroduto de aço galvanizado de 4”</v>
      </c>
      <c r="C5745" s="40"/>
      <c r="D5745" s="25" t="str">
        <f>TRIM(INDEX(Orçamentária!C:C,MATCH(Composições!A5745,Orçamentária!A:A,0),1))</f>
        <v>m</v>
      </c>
      <c r="E5745" s="26"/>
      <c r="F5745" s="48" t="s">
        <v>514</v>
      </c>
      <c r="G5745" s="27" t="str">
        <f t="shared" si="109"/>
        <v/>
      </c>
      <c r="H5745" s="28"/>
      <c r="I5745" s="29"/>
      <c r="J5745" s="148">
        <v>0</v>
      </c>
      <c r="K5745" s="222">
        <v>0</v>
      </c>
    </row>
    <row r="5746" spans="1:11" hidden="1" x14ac:dyDescent="0.25">
      <c r="A5746" s="207"/>
      <c r="B5746" s="205"/>
      <c r="C5746" s="31"/>
      <c r="D5746" s="31"/>
      <c r="E5746" s="32"/>
      <c r="F5746" s="53" t="s">
        <v>514</v>
      </c>
      <c r="G5746" s="53" t="str">
        <f t="shared" si="109"/>
        <v/>
      </c>
      <c r="H5746" s="72"/>
      <c r="I5746" s="73"/>
      <c r="J5746" s="148">
        <v>0</v>
      </c>
      <c r="K5746" s="222">
        <v>0</v>
      </c>
    </row>
    <row r="5747" spans="1:11" ht="25.5" hidden="1" x14ac:dyDescent="0.25">
      <c r="A5747" s="207"/>
      <c r="B5747" s="205"/>
      <c r="C5747" s="35" t="s">
        <v>6363</v>
      </c>
      <c r="D5747" s="35" t="s">
        <v>143</v>
      </c>
      <c r="E5747" s="36">
        <v>1</v>
      </c>
      <c r="F5747" s="30">
        <v>0</v>
      </c>
      <c r="G5747" s="53">
        <f t="shared" si="109"/>
        <v>0</v>
      </c>
      <c r="H5747" s="38">
        <f>SUM(G5747:G5747)</f>
        <v>0</v>
      </c>
      <c r="I5747" s="39"/>
      <c r="J5747" s="148">
        <v>0</v>
      </c>
      <c r="K5747" s="222">
        <v>0</v>
      </c>
    </row>
    <row r="5748" spans="1:11" ht="15.75" hidden="1" thickBot="1" x14ac:dyDescent="0.3">
      <c r="A5748" s="208"/>
      <c r="B5748" s="206"/>
      <c r="C5748" s="54"/>
      <c r="D5748" s="150"/>
      <c r="E5748" s="65"/>
      <c r="F5748" s="75" t="s">
        <v>514</v>
      </c>
      <c r="G5748" s="75" t="str">
        <f t="shared" si="109"/>
        <v/>
      </c>
      <c r="H5748" s="76"/>
      <c r="I5748" s="73"/>
      <c r="J5748" s="148">
        <v>0</v>
      </c>
      <c r="K5748" s="222">
        <v>0</v>
      </c>
    </row>
    <row r="5749" spans="1:11" ht="15.75" hidden="1" thickBot="1" x14ac:dyDescent="0.3">
      <c r="A5749" s="202" t="s">
        <v>5437</v>
      </c>
      <c r="B5749" s="204" t="str">
        <f>INDEX(Orçamentária!A:B,MATCH(Composições!A5749,Orçamentária!A:A,0),2)</f>
        <v>Luva para eletroduto 1/2”</v>
      </c>
      <c r="C5749" s="40"/>
      <c r="D5749" s="25" t="str">
        <f>TRIM(INDEX(Orçamentária!C:C,MATCH(Composições!A5749,Orçamentária!A:A,0),1))</f>
        <v>un</v>
      </c>
      <c r="E5749" s="26"/>
      <c r="F5749" s="48" t="s">
        <v>514</v>
      </c>
      <c r="G5749" s="27" t="str">
        <f t="shared" si="109"/>
        <v/>
      </c>
      <c r="H5749" s="28"/>
      <c r="I5749" s="29"/>
      <c r="J5749" s="148">
        <v>0</v>
      </c>
      <c r="K5749" s="222">
        <v>0</v>
      </c>
    </row>
    <row r="5750" spans="1:11" hidden="1" x14ac:dyDescent="0.25">
      <c r="A5750" s="207"/>
      <c r="B5750" s="205"/>
      <c r="C5750" s="31"/>
      <c r="D5750" s="31"/>
      <c r="E5750" s="32"/>
      <c r="F5750" s="53" t="s">
        <v>514</v>
      </c>
      <c r="G5750" s="53" t="str">
        <f t="shared" si="109"/>
        <v/>
      </c>
      <c r="H5750" s="72"/>
      <c r="I5750" s="73"/>
      <c r="J5750" s="148">
        <v>0</v>
      </c>
      <c r="K5750" s="222">
        <v>0</v>
      </c>
    </row>
    <row r="5751" spans="1:11" ht="25.5" hidden="1" x14ac:dyDescent="0.25">
      <c r="A5751" s="207"/>
      <c r="B5751" s="205"/>
      <c r="C5751" s="35" t="s">
        <v>3317</v>
      </c>
      <c r="D5751" s="35" t="s">
        <v>20</v>
      </c>
      <c r="E5751" s="36">
        <v>1</v>
      </c>
      <c r="F5751" s="30">
        <v>2.242</v>
      </c>
      <c r="G5751" s="53">
        <f t="shared" si="109"/>
        <v>2.242</v>
      </c>
      <c r="H5751" s="38">
        <f>SUM(G5751:G5751)</f>
        <v>2.242</v>
      </c>
      <c r="I5751" s="39"/>
      <c r="J5751" s="148">
        <v>0</v>
      </c>
      <c r="K5751" s="222">
        <v>0</v>
      </c>
    </row>
    <row r="5752" spans="1:11" ht="15.75" hidden="1" thickBot="1" x14ac:dyDescent="0.3">
      <c r="A5752" s="208"/>
      <c r="B5752" s="206"/>
      <c r="C5752" s="54"/>
      <c r="D5752" s="150"/>
      <c r="E5752" s="65"/>
      <c r="F5752" s="75" t="s">
        <v>514</v>
      </c>
      <c r="G5752" s="75" t="str">
        <f t="shared" si="109"/>
        <v/>
      </c>
      <c r="H5752" s="76"/>
      <c r="I5752" s="73"/>
      <c r="J5752" s="148">
        <v>0</v>
      </c>
      <c r="K5752" s="222">
        <v>0</v>
      </c>
    </row>
    <row r="5753" spans="1:11" ht="15.75" hidden="1" thickBot="1" x14ac:dyDescent="0.3">
      <c r="A5753" s="202" t="s">
        <v>5439</v>
      </c>
      <c r="B5753" s="204" t="str">
        <f>INDEX(Orçamentária!A:B,MATCH(Composições!A5753,Orçamentária!A:A,0),2)</f>
        <v>Curva para eletroduto 1/2”</v>
      </c>
      <c r="C5753" s="40"/>
      <c r="D5753" s="25" t="str">
        <f>TRIM(INDEX(Orçamentária!C:C,MATCH(Composições!A5753,Orçamentária!A:A,0),1))</f>
        <v>un</v>
      </c>
      <c r="E5753" s="26"/>
      <c r="F5753" s="48" t="s">
        <v>514</v>
      </c>
      <c r="G5753" s="27" t="str">
        <f t="shared" si="109"/>
        <v/>
      </c>
      <c r="H5753" s="28"/>
      <c r="I5753" s="29"/>
      <c r="J5753" s="148">
        <v>0</v>
      </c>
      <c r="K5753" s="222">
        <v>0</v>
      </c>
    </row>
    <row r="5754" spans="1:11" hidden="1" x14ac:dyDescent="0.25">
      <c r="A5754" s="207"/>
      <c r="B5754" s="205"/>
      <c r="C5754" s="31"/>
      <c r="D5754" s="31"/>
      <c r="E5754" s="32"/>
      <c r="F5754" s="53" t="s">
        <v>514</v>
      </c>
      <c r="G5754" s="53" t="str">
        <f t="shared" si="109"/>
        <v/>
      </c>
      <c r="H5754" s="72"/>
      <c r="I5754" s="73"/>
      <c r="J5754" s="148">
        <v>0</v>
      </c>
      <c r="K5754" s="222">
        <v>0</v>
      </c>
    </row>
    <row r="5755" spans="1:11" ht="25.5" hidden="1" x14ac:dyDescent="0.25">
      <c r="A5755" s="207"/>
      <c r="B5755" s="205"/>
      <c r="C5755" s="35" t="s">
        <v>3281</v>
      </c>
      <c r="D5755" s="35" t="s">
        <v>20</v>
      </c>
      <c r="E5755" s="36">
        <v>1</v>
      </c>
      <c r="F5755" s="30">
        <v>5.5954999999999995</v>
      </c>
      <c r="G5755" s="53">
        <f t="shared" si="109"/>
        <v>5.5954999999999995</v>
      </c>
      <c r="H5755" s="38">
        <f>SUM(G5755:G5755)</f>
        <v>5.5954999999999995</v>
      </c>
      <c r="I5755" s="39"/>
      <c r="J5755" s="148">
        <v>0</v>
      </c>
      <c r="K5755" s="222">
        <v>0</v>
      </c>
    </row>
    <row r="5756" spans="1:11" ht="15.75" hidden="1" thickBot="1" x14ac:dyDescent="0.3">
      <c r="A5756" s="208"/>
      <c r="B5756" s="206"/>
      <c r="C5756" s="54"/>
      <c r="D5756" s="150"/>
      <c r="E5756" s="65"/>
      <c r="F5756" s="75" t="s">
        <v>514</v>
      </c>
      <c r="G5756" s="75" t="str">
        <f t="shared" si="109"/>
        <v/>
      </c>
      <c r="H5756" s="76"/>
      <c r="I5756" s="73"/>
      <c r="J5756" s="148">
        <v>0</v>
      </c>
      <c r="K5756" s="222">
        <v>0</v>
      </c>
    </row>
    <row r="5757" spans="1:11" ht="15.75" hidden="1" thickBot="1" x14ac:dyDescent="0.3">
      <c r="A5757" s="202" t="s">
        <v>5440</v>
      </c>
      <c r="B5757" s="204" t="str">
        <f>INDEX(Orçamentária!A:B,MATCH(Composições!A5757,Orçamentária!A:A,0),2)</f>
        <v>Conector reto para eletroduto 3/4”</v>
      </c>
      <c r="C5757" s="40"/>
      <c r="D5757" s="25" t="str">
        <f>TRIM(INDEX(Orçamentária!C:C,MATCH(Composições!A5757,Orçamentária!A:A,0),1))</f>
        <v>un</v>
      </c>
      <c r="E5757" s="26"/>
      <c r="F5757" s="48" t="s">
        <v>514</v>
      </c>
      <c r="G5757" s="27" t="str">
        <f t="shared" si="109"/>
        <v/>
      </c>
      <c r="H5757" s="28"/>
      <c r="I5757" s="29"/>
      <c r="J5757" s="148">
        <v>0</v>
      </c>
      <c r="K5757" s="222">
        <v>0</v>
      </c>
    </row>
    <row r="5758" spans="1:11" hidden="1" x14ac:dyDescent="0.25">
      <c r="A5758" s="207"/>
      <c r="B5758" s="205"/>
      <c r="C5758" s="31"/>
      <c r="D5758" s="31"/>
      <c r="E5758" s="32"/>
      <c r="F5758" s="53" t="s">
        <v>514</v>
      </c>
      <c r="G5758" s="53" t="str">
        <f t="shared" si="109"/>
        <v/>
      </c>
      <c r="H5758" s="72"/>
      <c r="I5758" s="73"/>
      <c r="J5758" s="148">
        <v>0</v>
      </c>
      <c r="K5758" s="222">
        <v>0</v>
      </c>
    </row>
    <row r="5759" spans="1:11" ht="38.25" hidden="1" x14ac:dyDescent="0.25">
      <c r="A5759" s="207"/>
      <c r="B5759" s="205"/>
      <c r="C5759" s="35" t="s">
        <v>3271</v>
      </c>
      <c r="D5759" s="35" t="s">
        <v>20</v>
      </c>
      <c r="E5759" s="36">
        <v>1</v>
      </c>
      <c r="F5759" s="30">
        <v>2.1469999999999998</v>
      </c>
      <c r="G5759" s="53">
        <f t="shared" si="109"/>
        <v>2.1469999999999998</v>
      </c>
      <c r="H5759" s="38">
        <f>SUM(G5759:G5759)</f>
        <v>2.1469999999999998</v>
      </c>
      <c r="I5759" s="39"/>
      <c r="J5759" s="148">
        <v>0</v>
      </c>
      <c r="K5759" s="222">
        <v>0</v>
      </c>
    </row>
    <row r="5760" spans="1:11" ht="15.75" hidden="1" thickBot="1" x14ac:dyDescent="0.3">
      <c r="A5760" s="208"/>
      <c r="B5760" s="206"/>
      <c r="C5760" s="54"/>
      <c r="D5760" s="150"/>
      <c r="E5760" s="65"/>
      <c r="F5760" s="75" t="s">
        <v>514</v>
      </c>
      <c r="G5760" s="75" t="str">
        <f t="shared" si="109"/>
        <v/>
      </c>
      <c r="H5760" s="76"/>
      <c r="I5760" s="73"/>
      <c r="J5760" s="148">
        <v>0</v>
      </c>
      <c r="K5760" s="222">
        <v>0</v>
      </c>
    </row>
    <row r="5761" spans="1:11" ht="15.75" hidden="1" thickBot="1" x14ac:dyDescent="0.3">
      <c r="A5761" s="202" t="s">
        <v>5441</v>
      </c>
      <c r="B5761" s="204" t="str">
        <f>INDEX(Orçamentária!A:B,MATCH(Composições!A5761,Orçamentária!A:A,0),2)</f>
        <v>Conector curvo para eletroduto 3/4”</v>
      </c>
      <c r="C5761" s="40"/>
      <c r="D5761" s="25" t="str">
        <f>TRIM(INDEX(Orçamentária!C:C,MATCH(Composições!A5761,Orçamentária!A:A,0),1))</f>
        <v>un</v>
      </c>
      <c r="E5761" s="26"/>
      <c r="F5761" s="48" t="s">
        <v>514</v>
      </c>
      <c r="G5761" s="27" t="str">
        <f t="shared" si="109"/>
        <v/>
      </c>
      <c r="H5761" s="28"/>
      <c r="I5761" s="29"/>
      <c r="J5761" s="148">
        <v>0</v>
      </c>
      <c r="K5761" s="222">
        <v>0</v>
      </c>
    </row>
    <row r="5762" spans="1:11" hidden="1" x14ac:dyDescent="0.25">
      <c r="A5762" s="207"/>
      <c r="B5762" s="205"/>
      <c r="C5762" s="31"/>
      <c r="D5762" s="31"/>
      <c r="E5762" s="32"/>
      <c r="F5762" s="53" t="s">
        <v>514</v>
      </c>
      <c r="G5762" s="53" t="str">
        <f t="shared" si="109"/>
        <v/>
      </c>
      <c r="H5762" s="72"/>
      <c r="I5762" s="73"/>
      <c r="J5762" s="148">
        <v>0</v>
      </c>
      <c r="K5762" s="222">
        <v>0</v>
      </c>
    </row>
    <row r="5763" spans="1:11" ht="38.25" hidden="1" x14ac:dyDescent="0.25">
      <c r="A5763" s="207"/>
      <c r="B5763" s="205"/>
      <c r="C5763" s="35" t="s">
        <v>3264</v>
      </c>
      <c r="D5763" s="35" t="s">
        <v>20</v>
      </c>
      <c r="E5763" s="36">
        <v>1</v>
      </c>
      <c r="F5763" s="30">
        <v>10.1175</v>
      </c>
      <c r="G5763" s="53">
        <f t="shared" si="109"/>
        <v>10.1175</v>
      </c>
      <c r="H5763" s="38">
        <f>SUM(G5763:G5763)</f>
        <v>10.1175</v>
      </c>
      <c r="I5763" s="39"/>
      <c r="J5763" s="148">
        <v>0</v>
      </c>
      <c r="K5763" s="222">
        <v>0</v>
      </c>
    </row>
    <row r="5764" spans="1:11" ht="15.75" hidden="1" thickBot="1" x14ac:dyDescent="0.3">
      <c r="A5764" s="208"/>
      <c r="B5764" s="206"/>
      <c r="C5764" s="54"/>
      <c r="D5764" s="150"/>
      <c r="E5764" s="65"/>
      <c r="F5764" s="75" t="s">
        <v>514</v>
      </c>
      <c r="G5764" s="75" t="str">
        <f t="shared" si="109"/>
        <v/>
      </c>
      <c r="H5764" s="76"/>
      <c r="I5764" s="73"/>
      <c r="J5764" s="148">
        <v>0</v>
      </c>
      <c r="K5764" s="222">
        <v>0</v>
      </c>
    </row>
    <row r="5765" spans="1:11" ht="15.75" hidden="1" thickBot="1" x14ac:dyDescent="0.3">
      <c r="A5765" s="202" t="s">
        <v>5442</v>
      </c>
      <c r="B5765" s="204" t="str">
        <f>INDEX(Orçamentária!A:B,MATCH(Composições!A5765,Orçamentária!A:A,0),2)</f>
        <v>Luva para eletroduto 3/4”</v>
      </c>
      <c r="C5765" s="40"/>
      <c r="D5765" s="25" t="str">
        <f>TRIM(INDEX(Orçamentária!C:C,MATCH(Composições!A5765,Orçamentária!A:A,0),1))</f>
        <v>un</v>
      </c>
      <c r="E5765" s="26"/>
      <c r="F5765" s="48" t="s">
        <v>514</v>
      </c>
      <c r="G5765" s="27" t="str">
        <f t="shared" si="109"/>
        <v/>
      </c>
      <c r="H5765" s="28"/>
      <c r="I5765" s="29"/>
      <c r="J5765" s="148">
        <v>0</v>
      </c>
      <c r="K5765" s="222">
        <v>0</v>
      </c>
    </row>
    <row r="5766" spans="1:11" hidden="1" x14ac:dyDescent="0.25">
      <c r="A5766" s="207"/>
      <c r="B5766" s="205"/>
      <c r="C5766" s="31"/>
      <c r="D5766" s="31"/>
      <c r="E5766" s="32"/>
      <c r="F5766" s="53" t="s">
        <v>514</v>
      </c>
      <c r="G5766" s="53" t="str">
        <f t="shared" si="109"/>
        <v/>
      </c>
      <c r="H5766" s="72"/>
      <c r="I5766" s="73"/>
      <c r="J5766" s="148">
        <v>0</v>
      </c>
      <c r="K5766" s="222">
        <v>0</v>
      </c>
    </row>
    <row r="5767" spans="1:11" ht="25.5" hidden="1" x14ac:dyDescent="0.25">
      <c r="A5767" s="207"/>
      <c r="B5767" s="205"/>
      <c r="C5767" s="35" t="s">
        <v>3318</v>
      </c>
      <c r="D5767" s="35" t="s">
        <v>20</v>
      </c>
      <c r="E5767" s="36">
        <v>1</v>
      </c>
      <c r="F5767" s="30">
        <v>2.3844999999999996</v>
      </c>
      <c r="G5767" s="53">
        <f t="shared" si="109"/>
        <v>2.3844999999999996</v>
      </c>
      <c r="H5767" s="38">
        <f>SUM(G5767:G5767)</f>
        <v>2.3844999999999996</v>
      </c>
      <c r="I5767" s="39"/>
      <c r="J5767" s="148">
        <v>0</v>
      </c>
      <c r="K5767" s="222">
        <v>0</v>
      </c>
    </row>
    <row r="5768" spans="1:11" ht="15.75" hidden="1" thickBot="1" x14ac:dyDescent="0.3">
      <c r="A5768" s="208"/>
      <c r="B5768" s="206"/>
      <c r="C5768" s="54"/>
      <c r="D5768" s="150"/>
      <c r="E5768" s="65"/>
      <c r="F5768" s="75" t="s">
        <v>514</v>
      </c>
      <c r="G5768" s="75" t="str">
        <f t="shared" si="109"/>
        <v/>
      </c>
      <c r="H5768" s="76"/>
      <c r="I5768" s="73"/>
      <c r="J5768" s="148">
        <v>0</v>
      </c>
      <c r="K5768" s="222">
        <v>0</v>
      </c>
    </row>
    <row r="5769" spans="1:11" ht="15.75" hidden="1" thickBot="1" x14ac:dyDescent="0.3">
      <c r="A5769" s="202" t="s">
        <v>5444</v>
      </c>
      <c r="B5769" s="204" t="str">
        <f>INDEX(Orçamentária!A:B,MATCH(Composições!A5769,Orçamentária!A:A,0),2)</f>
        <v>Curva para eletroduto 3/4”</v>
      </c>
      <c r="C5769" s="40"/>
      <c r="D5769" s="25" t="str">
        <f>TRIM(INDEX(Orçamentária!C:C,MATCH(Composições!A5769,Orçamentária!A:A,0),1))</f>
        <v>un</v>
      </c>
      <c r="E5769" s="26"/>
      <c r="F5769" s="48" t="s">
        <v>514</v>
      </c>
      <c r="G5769" s="27" t="str">
        <f t="shared" si="109"/>
        <v/>
      </c>
      <c r="H5769" s="28"/>
      <c r="I5769" s="29"/>
      <c r="J5769" s="148">
        <v>0</v>
      </c>
      <c r="K5769" s="222">
        <v>0</v>
      </c>
    </row>
    <row r="5770" spans="1:11" hidden="1" x14ac:dyDescent="0.25">
      <c r="A5770" s="207"/>
      <c r="B5770" s="205"/>
      <c r="C5770" s="31"/>
      <c r="D5770" s="31"/>
      <c r="E5770" s="32"/>
      <c r="F5770" s="53" t="s">
        <v>514</v>
      </c>
      <c r="G5770" s="53" t="str">
        <f t="shared" si="109"/>
        <v/>
      </c>
      <c r="H5770" s="72"/>
      <c r="I5770" s="73"/>
      <c r="J5770" s="148">
        <v>0</v>
      </c>
      <c r="K5770" s="222">
        <v>0</v>
      </c>
    </row>
    <row r="5771" spans="1:11" ht="25.5" hidden="1" x14ac:dyDescent="0.25">
      <c r="A5771" s="207"/>
      <c r="B5771" s="205"/>
      <c r="C5771" s="35" t="s">
        <v>3282</v>
      </c>
      <c r="D5771" s="35" t="s">
        <v>20</v>
      </c>
      <c r="E5771" s="36">
        <v>1</v>
      </c>
      <c r="F5771" s="30">
        <v>6.327</v>
      </c>
      <c r="G5771" s="53">
        <f t="shared" si="109"/>
        <v>6.327</v>
      </c>
      <c r="H5771" s="38">
        <f>SUM(G5771:G5771)</f>
        <v>6.327</v>
      </c>
      <c r="I5771" s="39"/>
      <c r="J5771" s="148">
        <v>0</v>
      </c>
      <c r="K5771" s="222">
        <v>0</v>
      </c>
    </row>
    <row r="5772" spans="1:11" ht="15.75" hidden="1" thickBot="1" x14ac:dyDescent="0.3">
      <c r="A5772" s="208"/>
      <c r="B5772" s="206"/>
      <c r="C5772" s="54"/>
      <c r="D5772" s="150"/>
      <c r="E5772" s="65"/>
      <c r="F5772" s="75" t="s">
        <v>514</v>
      </c>
      <c r="G5772" s="75" t="str">
        <f t="shared" si="109"/>
        <v/>
      </c>
      <c r="H5772" s="76"/>
      <c r="I5772" s="73"/>
      <c r="J5772" s="148">
        <v>0</v>
      </c>
      <c r="K5772" s="222">
        <v>0</v>
      </c>
    </row>
    <row r="5773" spans="1:11" ht="15.75" hidden="1" thickBot="1" x14ac:dyDescent="0.3">
      <c r="A5773" s="202" t="s">
        <v>5445</v>
      </c>
      <c r="B5773" s="204" t="str">
        <f>INDEX(Orçamentária!A:B,MATCH(Composições!A5773,Orçamentária!A:A,0),2)</f>
        <v>Conector reto para eletroduto 1”</v>
      </c>
      <c r="C5773" s="40"/>
      <c r="D5773" s="25" t="str">
        <f>TRIM(INDEX(Orçamentária!C:C,MATCH(Composições!A5773,Orçamentária!A:A,0),1))</f>
        <v>un</v>
      </c>
      <c r="E5773" s="26"/>
      <c r="F5773" s="48" t="s">
        <v>514</v>
      </c>
      <c r="G5773" s="27" t="str">
        <f t="shared" si="109"/>
        <v/>
      </c>
      <c r="H5773" s="28"/>
      <c r="I5773" s="29"/>
      <c r="J5773" s="148">
        <v>0</v>
      </c>
      <c r="K5773" s="222">
        <v>0</v>
      </c>
    </row>
    <row r="5774" spans="1:11" hidden="1" x14ac:dyDescent="0.25">
      <c r="A5774" s="207"/>
      <c r="B5774" s="205"/>
      <c r="C5774" s="31"/>
      <c r="D5774" s="31"/>
      <c r="E5774" s="32"/>
      <c r="F5774" s="53" t="s">
        <v>514</v>
      </c>
      <c r="G5774" s="53" t="str">
        <f t="shared" si="109"/>
        <v/>
      </c>
      <c r="H5774" s="72"/>
      <c r="I5774" s="73"/>
      <c r="J5774" s="148">
        <v>0</v>
      </c>
      <c r="K5774" s="222">
        <v>0</v>
      </c>
    </row>
    <row r="5775" spans="1:11" ht="38.25" hidden="1" x14ac:dyDescent="0.25">
      <c r="A5775" s="207"/>
      <c r="B5775" s="205"/>
      <c r="C5775" s="35" t="s">
        <v>3269</v>
      </c>
      <c r="D5775" s="35" t="s">
        <v>20</v>
      </c>
      <c r="E5775" s="36">
        <v>1</v>
      </c>
      <c r="F5775" s="30">
        <v>3.8285</v>
      </c>
      <c r="G5775" s="53">
        <f t="shared" si="109"/>
        <v>3.8285</v>
      </c>
      <c r="H5775" s="38">
        <f>SUM(G5775:G5775)</f>
        <v>3.8285</v>
      </c>
      <c r="I5775" s="39"/>
      <c r="J5775" s="148">
        <v>0</v>
      </c>
      <c r="K5775" s="222">
        <v>0</v>
      </c>
    </row>
    <row r="5776" spans="1:11" ht="15.75" hidden="1" thickBot="1" x14ac:dyDescent="0.3">
      <c r="A5776" s="208"/>
      <c r="B5776" s="206"/>
      <c r="C5776" s="54"/>
      <c r="D5776" s="150"/>
      <c r="E5776" s="65"/>
      <c r="F5776" s="75" t="s">
        <v>514</v>
      </c>
      <c r="G5776" s="75" t="str">
        <f t="shared" si="109"/>
        <v/>
      </c>
      <c r="H5776" s="76"/>
      <c r="I5776" s="73"/>
      <c r="J5776" s="148">
        <v>0</v>
      </c>
      <c r="K5776" s="222">
        <v>0</v>
      </c>
    </row>
    <row r="5777" spans="1:11" ht="15.75" hidden="1" thickBot="1" x14ac:dyDescent="0.3">
      <c r="A5777" s="202" t="s">
        <v>5446</v>
      </c>
      <c r="B5777" s="204" t="str">
        <f>INDEX(Orçamentária!A:B,MATCH(Composições!A5777,Orçamentária!A:A,0),2)</f>
        <v>Conector curvo para eletroduto 1”</v>
      </c>
      <c r="C5777" s="40"/>
      <c r="D5777" s="25" t="str">
        <f>TRIM(INDEX(Orçamentária!C:C,MATCH(Composições!A5777,Orçamentária!A:A,0),1))</f>
        <v>un</v>
      </c>
      <c r="E5777" s="26"/>
      <c r="F5777" s="48" t="s">
        <v>514</v>
      </c>
      <c r="G5777" s="27" t="str">
        <f t="shared" si="109"/>
        <v/>
      </c>
      <c r="H5777" s="28"/>
      <c r="I5777" s="29"/>
      <c r="J5777" s="148">
        <v>0</v>
      </c>
      <c r="K5777" s="222">
        <v>0</v>
      </c>
    </row>
    <row r="5778" spans="1:11" hidden="1" x14ac:dyDescent="0.25">
      <c r="A5778" s="207"/>
      <c r="B5778" s="205"/>
      <c r="C5778" s="31"/>
      <c r="D5778" s="31"/>
      <c r="E5778" s="32"/>
      <c r="F5778" s="53" t="s">
        <v>514</v>
      </c>
      <c r="G5778" s="53" t="str">
        <f t="shared" si="109"/>
        <v/>
      </c>
      <c r="H5778" s="72"/>
      <c r="I5778" s="73"/>
      <c r="J5778" s="148">
        <v>0</v>
      </c>
      <c r="K5778" s="222">
        <v>0</v>
      </c>
    </row>
    <row r="5779" spans="1:11" ht="38.25" hidden="1" x14ac:dyDescent="0.25">
      <c r="A5779" s="207"/>
      <c r="B5779" s="205"/>
      <c r="C5779" s="35" t="s">
        <v>3261</v>
      </c>
      <c r="D5779" s="35" t="s">
        <v>20</v>
      </c>
      <c r="E5779" s="36">
        <v>1</v>
      </c>
      <c r="F5779" s="30">
        <v>12.16</v>
      </c>
      <c r="G5779" s="53">
        <f t="shared" si="109"/>
        <v>12.16</v>
      </c>
      <c r="H5779" s="38">
        <f>SUM(G5779:G5779)</f>
        <v>12.16</v>
      </c>
      <c r="I5779" s="39"/>
      <c r="J5779" s="148">
        <v>0</v>
      </c>
      <c r="K5779" s="222">
        <v>0</v>
      </c>
    </row>
    <row r="5780" spans="1:11" ht="15.75" hidden="1" thickBot="1" x14ac:dyDescent="0.3">
      <c r="A5780" s="208"/>
      <c r="B5780" s="206"/>
      <c r="C5780" s="54"/>
      <c r="D5780" s="150"/>
      <c r="E5780" s="65"/>
      <c r="F5780" s="75" t="s">
        <v>514</v>
      </c>
      <c r="G5780" s="75" t="str">
        <f t="shared" si="109"/>
        <v/>
      </c>
      <c r="H5780" s="76"/>
      <c r="I5780" s="73"/>
      <c r="J5780" s="148">
        <v>0</v>
      </c>
      <c r="K5780" s="222">
        <v>0</v>
      </c>
    </row>
    <row r="5781" spans="1:11" ht="15.75" hidden="1" thickBot="1" x14ac:dyDescent="0.3">
      <c r="A5781" s="202" t="s">
        <v>5447</v>
      </c>
      <c r="B5781" s="204" t="str">
        <f>INDEX(Orçamentária!A:B,MATCH(Composições!A5781,Orçamentária!A:A,0),2)</f>
        <v>Luva para eletroduto 1”</v>
      </c>
      <c r="C5781" s="40"/>
      <c r="D5781" s="25" t="str">
        <f>TRIM(INDEX(Orçamentária!C:C,MATCH(Composições!A5781,Orçamentária!A:A,0),1))</f>
        <v>un</v>
      </c>
      <c r="E5781" s="26"/>
      <c r="F5781" s="48" t="s">
        <v>514</v>
      </c>
      <c r="G5781" s="27" t="str">
        <f t="shared" si="109"/>
        <v/>
      </c>
      <c r="H5781" s="28"/>
      <c r="I5781" s="29"/>
      <c r="J5781" s="148">
        <v>0</v>
      </c>
      <c r="K5781" s="222">
        <v>0</v>
      </c>
    </row>
    <row r="5782" spans="1:11" hidden="1" x14ac:dyDescent="0.25">
      <c r="A5782" s="207"/>
      <c r="B5782" s="205"/>
      <c r="C5782" s="31"/>
      <c r="D5782" s="31"/>
      <c r="E5782" s="32"/>
      <c r="F5782" s="53" t="s">
        <v>514</v>
      </c>
      <c r="G5782" s="53" t="str">
        <f t="shared" si="109"/>
        <v/>
      </c>
      <c r="H5782" s="72"/>
      <c r="I5782" s="73"/>
      <c r="J5782" s="148">
        <v>0</v>
      </c>
      <c r="K5782" s="222">
        <v>0</v>
      </c>
    </row>
    <row r="5783" spans="1:11" ht="25.5" hidden="1" x14ac:dyDescent="0.25">
      <c r="A5783" s="207"/>
      <c r="B5783" s="205"/>
      <c r="C5783" s="35" t="s">
        <v>3319</v>
      </c>
      <c r="D5783" s="35" t="s">
        <v>20</v>
      </c>
      <c r="E5783" s="36">
        <v>1</v>
      </c>
      <c r="F5783" s="30">
        <v>2.774</v>
      </c>
      <c r="G5783" s="53">
        <f t="shared" si="109"/>
        <v>2.774</v>
      </c>
      <c r="H5783" s="38">
        <f>SUM(G5783:G5783)</f>
        <v>2.774</v>
      </c>
      <c r="I5783" s="39"/>
      <c r="J5783" s="148">
        <v>0</v>
      </c>
      <c r="K5783" s="222">
        <v>0</v>
      </c>
    </row>
    <row r="5784" spans="1:11" ht="15.75" hidden="1" thickBot="1" x14ac:dyDescent="0.3">
      <c r="A5784" s="208"/>
      <c r="B5784" s="206"/>
      <c r="C5784" s="54"/>
      <c r="D5784" s="150"/>
      <c r="E5784" s="65"/>
      <c r="F5784" s="75" t="s">
        <v>514</v>
      </c>
      <c r="G5784" s="75" t="str">
        <f t="shared" si="109"/>
        <v/>
      </c>
      <c r="H5784" s="76"/>
      <c r="I5784" s="73"/>
      <c r="J5784" s="148">
        <v>0</v>
      </c>
      <c r="K5784" s="222">
        <v>0</v>
      </c>
    </row>
    <row r="5785" spans="1:11" ht="15.75" hidden="1" thickBot="1" x14ac:dyDescent="0.3">
      <c r="A5785" s="202" t="s">
        <v>5449</v>
      </c>
      <c r="B5785" s="204" t="str">
        <f>INDEX(Orçamentária!A:B,MATCH(Composições!A5785,Orçamentária!A:A,0),2)</f>
        <v>Curva para eletroduto 1”</v>
      </c>
      <c r="C5785" s="40"/>
      <c r="D5785" s="25" t="str">
        <f>TRIM(INDEX(Orçamentária!C:C,MATCH(Composições!A5785,Orçamentária!A:A,0),1))</f>
        <v>un</v>
      </c>
      <c r="E5785" s="26"/>
      <c r="F5785" s="48" t="s">
        <v>514</v>
      </c>
      <c r="G5785" s="27" t="str">
        <f t="shared" si="109"/>
        <v/>
      </c>
      <c r="H5785" s="28"/>
      <c r="I5785" s="29"/>
      <c r="J5785" s="148">
        <v>0</v>
      </c>
      <c r="K5785" s="222">
        <v>0</v>
      </c>
    </row>
    <row r="5786" spans="1:11" hidden="1" x14ac:dyDescent="0.25">
      <c r="A5786" s="207"/>
      <c r="B5786" s="205"/>
      <c r="C5786" s="31"/>
      <c r="D5786" s="31"/>
      <c r="E5786" s="32"/>
      <c r="F5786" s="53" t="s">
        <v>514</v>
      </c>
      <c r="G5786" s="53" t="str">
        <f t="shared" si="109"/>
        <v/>
      </c>
      <c r="H5786" s="72"/>
      <c r="I5786" s="73"/>
      <c r="J5786" s="148">
        <v>0</v>
      </c>
      <c r="K5786" s="222">
        <v>0</v>
      </c>
    </row>
    <row r="5787" spans="1:11" ht="25.5" hidden="1" x14ac:dyDescent="0.25">
      <c r="A5787" s="207"/>
      <c r="B5787" s="205"/>
      <c r="C5787" s="35" t="s">
        <v>3283</v>
      </c>
      <c r="D5787" s="35" t="s">
        <v>20</v>
      </c>
      <c r="E5787" s="36">
        <v>1</v>
      </c>
      <c r="F5787" s="30">
        <v>8.5975000000000001</v>
      </c>
      <c r="G5787" s="53">
        <f t="shared" si="109"/>
        <v>8.5975000000000001</v>
      </c>
      <c r="H5787" s="38">
        <f>SUM(G5787:G5787)</f>
        <v>8.5975000000000001</v>
      </c>
      <c r="I5787" s="39"/>
      <c r="J5787" s="148">
        <v>0</v>
      </c>
      <c r="K5787" s="222">
        <v>0</v>
      </c>
    </row>
    <row r="5788" spans="1:11" ht="15.75" hidden="1" thickBot="1" x14ac:dyDescent="0.3">
      <c r="A5788" s="208"/>
      <c r="B5788" s="206"/>
      <c r="C5788" s="54"/>
      <c r="D5788" s="150"/>
      <c r="E5788" s="65"/>
      <c r="F5788" s="75" t="s">
        <v>514</v>
      </c>
      <c r="G5788" s="75" t="str">
        <f t="shared" si="109"/>
        <v/>
      </c>
      <c r="H5788" s="76"/>
      <c r="I5788" s="73"/>
      <c r="J5788" s="148">
        <v>0</v>
      </c>
      <c r="K5788" s="222">
        <v>0</v>
      </c>
    </row>
    <row r="5789" spans="1:11" ht="15.75" hidden="1" thickBot="1" x14ac:dyDescent="0.3">
      <c r="A5789" s="202" t="s">
        <v>5450</v>
      </c>
      <c r="B5789" s="204" t="str">
        <f>INDEX(Orçamentária!A:B,MATCH(Composições!A5789,Orçamentária!A:A,0),2)</f>
        <v>Conector reto para eletroduto 1 1/4”</v>
      </c>
      <c r="C5789" s="40"/>
      <c r="D5789" s="25" t="str">
        <f>TRIM(INDEX(Orçamentária!C:C,MATCH(Composições!A5789,Orçamentária!A:A,0),1))</f>
        <v>un</v>
      </c>
      <c r="E5789" s="26"/>
      <c r="F5789" s="48" t="s">
        <v>514</v>
      </c>
      <c r="G5789" s="27" t="str">
        <f t="shared" si="109"/>
        <v/>
      </c>
      <c r="H5789" s="28"/>
      <c r="I5789" s="29"/>
      <c r="J5789" s="148">
        <v>0</v>
      </c>
      <c r="K5789" s="222">
        <v>0</v>
      </c>
    </row>
    <row r="5790" spans="1:11" hidden="1" x14ac:dyDescent="0.25">
      <c r="A5790" s="207"/>
      <c r="B5790" s="205"/>
      <c r="C5790" s="31"/>
      <c r="D5790" s="31"/>
      <c r="E5790" s="32"/>
      <c r="F5790" s="53" t="s">
        <v>514</v>
      </c>
      <c r="G5790" s="53" t="str">
        <f t="shared" si="109"/>
        <v/>
      </c>
      <c r="H5790" s="72"/>
      <c r="I5790" s="73"/>
      <c r="J5790" s="148">
        <v>0</v>
      </c>
      <c r="K5790" s="222">
        <v>0</v>
      </c>
    </row>
    <row r="5791" spans="1:11" ht="38.25" hidden="1" x14ac:dyDescent="0.25">
      <c r="A5791" s="207"/>
      <c r="B5791" s="205"/>
      <c r="C5791" s="35" t="s">
        <v>3268</v>
      </c>
      <c r="D5791" s="35" t="s">
        <v>20</v>
      </c>
      <c r="E5791" s="36">
        <v>1</v>
      </c>
      <c r="F5791" s="30">
        <v>5.3769999999999998</v>
      </c>
      <c r="G5791" s="53">
        <f t="shared" si="109"/>
        <v>5.3769999999999998</v>
      </c>
      <c r="H5791" s="38">
        <f>SUM(G5791:G5791)</f>
        <v>5.3769999999999998</v>
      </c>
      <c r="I5791" s="39"/>
      <c r="J5791" s="148">
        <v>0</v>
      </c>
      <c r="K5791" s="222">
        <v>0</v>
      </c>
    </row>
    <row r="5792" spans="1:11" ht="15.75" hidden="1" thickBot="1" x14ac:dyDescent="0.3">
      <c r="A5792" s="208"/>
      <c r="B5792" s="206"/>
      <c r="C5792" s="54"/>
      <c r="D5792" s="150"/>
      <c r="E5792" s="65"/>
      <c r="F5792" s="75" t="s">
        <v>514</v>
      </c>
      <c r="G5792" s="75" t="str">
        <f t="shared" si="109"/>
        <v/>
      </c>
      <c r="H5792" s="76"/>
      <c r="I5792" s="73"/>
      <c r="J5792" s="148">
        <v>0</v>
      </c>
      <c r="K5792" s="222">
        <v>0</v>
      </c>
    </row>
    <row r="5793" spans="1:11" ht="15.75" hidden="1" thickBot="1" x14ac:dyDescent="0.3">
      <c r="A5793" s="202" t="s">
        <v>5451</v>
      </c>
      <c r="B5793" s="204" t="str">
        <f>INDEX(Orçamentária!A:B,MATCH(Composições!A5793,Orçamentária!A:A,0),2)</f>
        <v>Conector curvo para eletroduto 1 1/4”</v>
      </c>
      <c r="C5793" s="40"/>
      <c r="D5793" s="25" t="str">
        <f>TRIM(INDEX(Orçamentária!C:C,MATCH(Composições!A5793,Orçamentária!A:A,0),1))</f>
        <v>un</v>
      </c>
      <c r="E5793" s="26"/>
      <c r="F5793" s="48" t="s">
        <v>514</v>
      </c>
      <c r="G5793" s="27" t="str">
        <f t="shared" si="109"/>
        <v/>
      </c>
      <c r="H5793" s="28"/>
      <c r="I5793" s="29"/>
      <c r="J5793" s="148">
        <v>0</v>
      </c>
      <c r="K5793" s="222">
        <v>0</v>
      </c>
    </row>
    <row r="5794" spans="1:11" hidden="1" x14ac:dyDescent="0.25">
      <c r="A5794" s="207"/>
      <c r="B5794" s="205"/>
      <c r="C5794" s="31"/>
      <c r="D5794" s="31"/>
      <c r="E5794" s="32"/>
      <c r="F5794" s="53" t="s">
        <v>514</v>
      </c>
      <c r="G5794" s="53" t="str">
        <f t="shared" si="109"/>
        <v/>
      </c>
      <c r="H5794" s="72"/>
      <c r="I5794" s="73"/>
      <c r="J5794" s="148">
        <v>0</v>
      </c>
      <c r="K5794" s="222">
        <v>0</v>
      </c>
    </row>
    <row r="5795" spans="1:11" ht="38.25" hidden="1" x14ac:dyDescent="0.25">
      <c r="A5795" s="207"/>
      <c r="B5795" s="205"/>
      <c r="C5795" s="35" t="s">
        <v>3260</v>
      </c>
      <c r="D5795" s="35" t="s">
        <v>20</v>
      </c>
      <c r="E5795" s="36">
        <v>1</v>
      </c>
      <c r="F5795" s="30">
        <v>15.142999999999999</v>
      </c>
      <c r="G5795" s="53">
        <f t="shared" si="109"/>
        <v>15.142999999999999</v>
      </c>
      <c r="H5795" s="38">
        <f>SUM(G5795:G5795)</f>
        <v>15.142999999999999</v>
      </c>
      <c r="I5795" s="39"/>
      <c r="J5795" s="148">
        <v>0</v>
      </c>
      <c r="K5795" s="222">
        <v>0</v>
      </c>
    </row>
    <row r="5796" spans="1:11" ht="15.75" hidden="1" thickBot="1" x14ac:dyDescent="0.3">
      <c r="A5796" s="208"/>
      <c r="B5796" s="206"/>
      <c r="C5796" s="54"/>
      <c r="D5796" s="150"/>
      <c r="E5796" s="65"/>
      <c r="F5796" s="75" t="s">
        <v>514</v>
      </c>
      <c r="G5796" s="75" t="str">
        <f t="shared" si="109"/>
        <v/>
      </c>
      <c r="H5796" s="76"/>
      <c r="I5796" s="73"/>
      <c r="J5796" s="148">
        <v>0</v>
      </c>
      <c r="K5796" s="222">
        <v>0</v>
      </c>
    </row>
    <row r="5797" spans="1:11" ht="15.75" hidden="1" thickBot="1" x14ac:dyDescent="0.3">
      <c r="A5797" s="202" t="s">
        <v>5452</v>
      </c>
      <c r="B5797" s="204" t="str">
        <f>INDEX(Orçamentária!A:B,MATCH(Composições!A5797,Orçamentária!A:A,0),2)</f>
        <v>Luva para eletroduto 1 1/4”</v>
      </c>
      <c r="C5797" s="40"/>
      <c r="D5797" s="25" t="str">
        <f>TRIM(INDEX(Orçamentária!C:C,MATCH(Composições!A5797,Orçamentária!A:A,0),1))</f>
        <v>un</v>
      </c>
      <c r="E5797" s="26"/>
      <c r="F5797" s="48" t="s">
        <v>514</v>
      </c>
      <c r="G5797" s="27" t="str">
        <f t="shared" si="109"/>
        <v/>
      </c>
      <c r="H5797" s="28"/>
      <c r="I5797" s="29"/>
      <c r="J5797" s="148">
        <v>0</v>
      </c>
      <c r="K5797" s="222">
        <v>0</v>
      </c>
    </row>
    <row r="5798" spans="1:11" hidden="1" x14ac:dyDescent="0.25">
      <c r="A5798" s="207"/>
      <c r="B5798" s="205"/>
      <c r="C5798" s="31"/>
      <c r="D5798" s="31"/>
      <c r="E5798" s="32"/>
      <c r="F5798" s="53" t="s">
        <v>514</v>
      </c>
      <c r="G5798" s="53" t="str">
        <f t="shared" si="109"/>
        <v/>
      </c>
      <c r="H5798" s="72"/>
      <c r="I5798" s="73"/>
      <c r="J5798" s="148">
        <v>0</v>
      </c>
      <c r="K5798" s="222">
        <v>0</v>
      </c>
    </row>
    <row r="5799" spans="1:11" ht="25.5" hidden="1" x14ac:dyDescent="0.25">
      <c r="A5799" s="207"/>
      <c r="B5799" s="205"/>
      <c r="C5799" s="35" t="s">
        <v>3320</v>
      </c>
      <c r="D5799" s="35" t="s">
        <v>20</v>
      </c>
      <c r="E5799" s="36">
        <v>1</v>
      </c>
      <c r="F5799" s="30">
        <v>4.9114999999999993</v>
      </c>
      <c r="G5799" s="53">
        <f t="shared" si="109"/>
        <v>4.9114999999999993</v>
      </c>
      <c r="H5799" s="38">
        <f>SUM(G5799:G5799)</f>
        <v>4.9114999999999993</v>
      </c>
      <c r="I5799" s="39"/>
      <c r="J5799" s="148">
        <v>0</v>
      </c>
      <c r="K5799" s="222">
        <v>0</v>
      </c>
    </row>
    <row r="5800" spans="1:11" ht="15.75" hidden="1" thickBot="1" x14ac:dyDescent="0.3">
      <c r="A5800" s="208"/>
      <c r="B5800" s="206"/>
      <c r="C5800" s="54"/>
      <c r="D5800" s="150"/>
      <c r="E5800" s="65"/>
      <c r="F5800" s="75" t="s">
        <v>514</v>
      </c>
      <c r="G5800" s="75" t="str">
        <f t="shared" si="109"/>
        <v/>
      </c>
      <c r="H5800" s="76"/>
      <c r="I5800" s="73"/>
      <c r="J5800" s="148">
        <v>0</v>
      </c>
      <c r="K5800" s="222">
        <v>0</v>
      </c>
    </row>
    <row r="5801" spans="1:11" ht="15.75" hidden="1" thickBot="1" x14ac:dyDescent="0.3">
      <c r="A5801" s="202" t="s">
        <v>5454</v>
      </c>
      <c r="B5801" s="204" t="str">
        <f>INDEX(Orçamentária!A:B,MATCH(Composições!A5801,Orçamentária!A:A,0),2)</f>
        <v>Curva para eletroduto 1 1/4”</v>
      </c>
      <c r="C5801" s="40"/>
      <c r="D5801" s="25" t="str">
        <f>TRIM(INDEX(Orçamentária!C:C,MATCH(Composições!A5801,Orçamentária!A:A,0),1))</f>
        <v>un</v>
      </c>
      <c r="E5801" s="26"/>
      <c r="F5801" s="48" t="s">
        <v>514</v>
      </c>
      <c r="G5801" s="27" t="str">
        <f t="shared" si="109"/>
        <v/>
      </c>
      <c r="H5801" s="28"/>
      <c r="I5801" s="29"/>
      <c r="J5801" s="148">
        <v>0</v>
      </c>
      <c r="K5801" s="222">
        <v>0</v>
      </c>
    </row>
    <row r="5802" spans="1:11" hidden="1" x14ac:dyDescent="0.25">
      <c r="A5802" s="207"/>
      <c r="B5802" s="205"/>
      <c r="C5802" s="31"/>
      <c r="D5802" s="31"/>
      <c r="E5802" s="32"/>
      <c r="F5802" s="53" t="s">
        <v>514</v>
      </c>
      <c r="G5802" s="53" t="str">
        <f t="shared" si="109"/>
        <v/>
      </c>
      <c r="H5802" s="72"/>
      <c r="I5802" s="73"/>
      <c r="J5802" s="148">
        <v>0</v>
      </c>
      <c r="K5802" s="222">
        <v>0</v>
      </c>
    </row>
    <row r="5803" spans="1:11" ht="25.5" hidden="1" x14ac:dyDescent="0.25">
      <c r="A5803" s="207"/>
      <c r="B5803" s="205"/>
      <c r="C5803" s="35" t="s">
        <v>3284</v>
      </c>
      <c r="D5803" s="35" t="s">
        <v>20</v>
      </c>
      <c r="E5803" s="36">
        <v>1</v>
      </c>
      <c r="F5803" s="30">
        <v>19.579499999999999</v>
      </c>
      <c r="G5803" s="53">
        <f t="shared" si="109"/>
        <v>19.579499999999999</v>
      </c>
      <c r="H5803" s="38">
        <f>SUM(G5803:G5803)</f>
        <v>19.579499999999999</v>
      </c>
      <c r="I5803" s="39"/>
      <c r="J5803" s="148">
        <v>0</v>
      </c>
      <c r="K5803" s="222">
        <v>0</v>
      </c>
    </row>
    <row r="5804" spans="1:11" ht="15.75" hidden="1" thickBot="1" x14ac:dyDescent="0.3">
      <c r="A5804" s="208"/>
      <c r="B5804" s="206"/>
      <c r="C5804" s="54"/>
      <c r="D5804" s="150"/>
      <c r="E5804" s="65"/>
      <c r="F5804" s="75" t="s">
        <v>514</v>
      </c>
      <c r="G5804" s="75" t="str">
        <f t="shared" si="109"/>
        <v/>
      </c>
      <c r="H5804" s="76"/>
      <c r="I5804" s="73"/>
      <c r="J5804" s="148">
        <v>0</v>
      </c>
      <c r="K5804" s="222">
        <v>0</v>
      </c>
    </row>
    <row r="5805" spans="1:11" ht="15.75" hidden="1" thickBot="1" x14ac:dyDescent="0.3">
      <c r="A5805" s="202" t="s">
        <v>5455</v>
      </c>
      <c r="B5805" s="204" t="str">
        <f>INDEX(Orçamentária!A:B,MATCH(Composições!A5805,Orçamentária!A:A,0),2)</f>
        <v>Conector reto para eletroduto 1 1/2”</v>
      </c>
      <c r="C5805" s="40"/>
      <c r="D5805" s="25" t="str">
        <f>TRIM(INDEX(Orçamentária!C:C,MATCH(Composições!A5805,Orçamentária!A:A,0),1))</f>
        <v>un</v>
      </c>
      <c r="E5805" s="26"/>
      <c r="F5805" s="48" t="s">
        <v>514</v>
      </c>
      <c r="G5805" s="27" t="str">
        <f t="shared" si="109"/>
        <v/>
      </c>
      <c r="H5805" s="28"/>
      <c r="I5805" s="29"/>
      <c r="J5805" s="148">
        <v>0</v>
      </c>
      <c r="K5805" s="222">
        <v>0</v>
      </c>
    </row>
    <row r="5806" spans="1:11" hidden="1" x14ac:dyDescent="0.25">
      <c r="A5806" s="207"/>
      <c r="B5806" s="205"/>
      <c r="C5806" s="31"/>
      <c r="D5806" s="31"/>
      <c r="E5806" s="32"/>
      <c r="F5806" s="53" t="s">
        <v>514</v>
      </c>
      <c r="G5806" s="53" t="str">
        <f t="shared" ref="G5806:G5869" si="110">IF(ISNUMBER(F5806),E5806*F5806,"")</f>
        <v/>
      </c>
      <c r="H5806" s="72"/>
      <c r="I5806" s="73"/>
      <c r="J5806" s="148">
        <v>0</v>
      </c>
      <c r="K5806" s="222">
        <v>0</v>
      </c>
    </row>
    <row r="5807" spans="1:11" ht="38.25" hidden="1" x14ac:dyDescent="0.25">
      <c r="A5807" s="207"/>
      <c r="B5807" s="205"/>
      <c r="C5807" s="35" t="s">
        <v>3267</v>
      </c>
      <c r="D5807" s="35" t="s">
        <v>20</v>
      </c>
      <c r="E5807" s="36">
        <v>1</v>
      </c>
      <c r="F5807" s="30">
        <v>8.3885000000000005</v>
      </c>
      <c r="G5807" s="53">
        <f t="shared" si="110"/>
        <v>8.3885000000000005</v>
      </c>
      <c r="H5807" s="38">
        <f>SUM(G5807:G5807)</f>
        <v>8.3885000000000005</v>
      </c>
      <c r="I5807" s="39"/>
      <c r="J5807" s="148">
        <v>0</v>
      </c>
      <c r="K5807" s="222">
        <v>0</v>
      </c>
    </row>
    <row r="5808" spans="1:11" ht="15.75" hidden="1" thickBot="1" x14ac:dyDescent="0.3">
      <c r="A5808" s="208"/>
      <c r="B5808" s="206"/>
      <c r="C5808" s="54"/>
      <c r="D5808" s="150"/>
      <c r="E5808" s="65"/>
      <c r="F5808" s="75" t="s">
        <v>514</v>
      </c>
      <c r="G5808" s="75" t="str">
        <f t="shared" si="110"/>
        <v/>
      </c>
      <c r="H5808" s="76"/>
      <c r="I5808" s="73"/>
      <c r="J5808" s="148">
        <v>0</v>
      </c>
      <c r="K5808" s="222">
        <v>0</v>
      </c>
    </row>
    <row r="5809" spans="1:11" ht="15.75" hidden="1" thickBot="1" x14ac:dyDescent="0.3">
      <c r="A5809" s="202" t="s">
        <v>5456</v>
      </c>
      <c r="B5809" s="204" t="str">
        <f>INDEX(Orçamentária!A:B,MATCH(Composições!A5809,Orçamentária!A:A,0),2)</f>
        <v>Conector curvo para eletroduto 1 1/2”</v>
      </c>
      <c r="C5809" s="40"/>
      <c r="D5809" s="25" t="str">
        <f>TRIM(INDEX(Orçamentária!C:C,MATCH(Composições!A5809,Orçamentária!A:A,0),1))</f>
        <v>un</v>
      </c>
      <c r="E5809" s="26"/>
      <c r="F5809" s="48" t="s">
        <v>514</v>
      </c>
      <c r="G5809" s="27" t="str">
        <f t="shared" si="110"/>
        <v/>
      </c>
      <c r="H5809" s="28"/>
      <c r="I5809" s="29"/>
      <c r="J5809" s="148">
        <v>0</v>
      </c>
      <c r="K5809" s="222">
        <v>0</v>
      </c>
    </row>
    <row r="5810" spans="1:11" hidden="1" x14ac:dyDescent="0.25">
      <c r="A5810" s="207"/>
      <c r="B5810" s="205"/>
      <c r="C5810" s="31"/>
      <c r="D5810" s="31"/>
      <c r="E5810" s="32"/>
      <c r="F5810" s="53" t="s">
        <v>514</v>
      </c>
      <c r="G5810" s="53" t="str">
        <f t="shared" si="110"/>
        <v/>
      </c>
      <c r="H5810" s="72"/>
      <c r="I5810" s="73"/>
      <c r="J5810" s="148">
        <v>0</v>
      </c>
      <c r="K5810" s="222">
        <v>0</v>
      </c>
    </row>
    <row r="5811" spans="1:11" ht="38.25" hidden="1" x14ac:dyDescent="0.25">
      <c r="A5811" s="207"/>
      <c r="B5811" s="205"/>
      <c r="C5811" s="35" t="s">
        <v>3259</v>
      </c>
      <c r="D5811" s="35" t="s">
        <v>20</v>
      </c>
      <c r="E5811" s="36">
        <v>1</v>
      </c>
      <c r="F5811" s="30">
        <v>23.436499999999999</v>
      </c>
      <c r="G5811" s="53">
        <f t="shared" si="110"/>
        <v>23.436499999999999</v>
      </c>
      <c r="H5811" s="38">
        <f>SUM(G5811:G5811)</f>
        <v>23.436499999999999</v>
      </c>
      <c r="I5811" s="39"/>
      <c r="J5811" s="148">
        <v>0</v>
      </c>
      <c r="K5811" s="222">
        <v>0</v>
      </c>
    </row>
    <row r="5812" spans="1:11" ht="15.75" hidden="1" thickBot="1" x14ac:dyDescent="0.3">
      <c r="A5812" s="208"/>
      <c r="B5812" s="206"/>
      <c r="C5812" s="54"/>
      <c r="D5812" s="150"/>
      <c r="E5812" s="65"/>
      <c r="F5812" s="75" t="s">
        <v>514</v>
      </c>
      <c r="G5812" s="75" t="str">
        <f t="shared" si="110"/>
        <v/>
      </c>
      <c r="H5812" s="76"/>
      <c r="I5812" s="73"/>
      <c r="J5812" s="148">
        <v>0</v>
      </c>
      <c r="K5812" s="222">
        <v>0</v>
      </c>
    </row>
    <row r="5813" spans="1:11" ht="15.75" hidden="1" thickBot="1" x14ac:dyDescent="0.3">
      <c r="A5813" s="202" t="s">
        <v>5457</v>
      </c>
      <c r="B5813" s="204" t="str">
        <f>INDEX(Orçamentária!A:B,MATCH(Composições!A5813,Orçamentária!A:A,0),2)</f>
        <v>Luva para eletroduto 1 1/2”</v>
      </c>
      <c r="C5813" s="40"/>
      <c r="D5813" s="25" t="str">
        <f>TRIM(INDEX(Orçamentária!C:C,MATCH(Composições!A5813,Orçamentária!A:A,0),1))</f>
        <v>un</v>
      </c>
      <c r="E5813" s="26"/>
      <c r="F5813" s="48" t="s">
        <v>514</v>
      </c>
      <c r="G5813" s="27" t="str">
        <f t="shared" si="110"/>
        <v/>
      </c>
      <c r="H5813" s="28"/>
      <c r="I5813" s="29"/>
      <c r="J5813" s="148">
        <v>0</v>
      </c>
      <c r="K5813" s="222">
        <v>0</v>
      </c>
    </row>
    <row r="5814" spans="1:11" hidden="1" x14ac:dyDescent="0.25">
      <c r="A5814" s="207"/>
      <c r="B5814" s="205"/>
      <c r="C5814" s="31"/>
      <c r="D5814" s="31"/>
      <c r="E5814" s="32"/>
      <c r="F5814" s="53" t="s">
        <v>514</v>
      </c>
      <c r="G5814" s="53" t="str">
        <f t="shared" si="110"/>
        <v/>
      </c>
      <c r="H5814" s="72"/>
      <c r="I5814" s="73"/>
      <c r="J5814" s="148">
        <v>0</v>
      </c>
      <c r="K5814" s="222">
        <v>0</v>
      </c>
    </row>
    <row r="5815" spans="1:11" ht="25.5" hidden="1" x14ac:dyDescent="0.25">
      <c r="A5815" s="207"/>
      <c r="B5815" s="205"/>
      <c r="C5815" s="35" t="s">
        <v>3321</v>
      </c>
      <c r="D5815" s="35" t="s">
        <v>20</v>
      </c>
      <c r="E5815" s="36">
        <v>1</v>
      </c>
      <c r="F5815" s="30">
        <v>7.1154999999999999</v>
      </c>
      <c r="G5815" s="53">
        <f t="shared" si="110"/>
        <v>7.1154999999999999</v>
      </c>
      <c r="H5815" s="38">
        <f>SUM(G5815:G5815)</f>
        <v>7.1154999999999999</v>
      </c>
      <c r="I5815" s="39"/>
      <c r="J5815" s="148">
        <v>0</v>
      </c>
      <c r="K5815" s="222">
        <v>0</v>
      </c>
    </row>
    <row r="5816" spans="1:11" ht="15.75" hidden="1" thickBot="1" x14ac:dyDescent="0.3">
      <c r="A5816" s="208"/>
      <c r="B5816" s="206"/>
      <c r="C5816" s="54"/>
      <c r="D5816" s="150"/>
      <c r="E5816" s="65"/>
      <c r="F5816" s="75" t="s">
        <v>514</v>
      </c>
      <c r="G5816" s="75" t="str">
        <f t="shared" si="110"/>
        <v/>
      </c>
      <c r="H5816" s="76"/>
      <c r="I5816" s="73"/>
      <c r="J5816" s="148">
        <v>0</v>
      </c>
      <c r="K5816" s="222">
        <v>0</v>
      </c>
    </row>
    <row r="5817" spans="1:11" ht="15.75" hidden="1" thickBot="1" x14ac:dyDescent="0.3">
      <c r="A5817" s="202" t="s">
        <v>5459</v>
      </c>
      <c r="B5817" s="204" t="str">
        <f>INDEX(Orçamentária!A:B,MATCH(Composições!A5689,Orçamentária!A:A,0),2)</f>
        <v>Terminal de compressão 240 mm²</v>
      </c>
      <c r="C5817" s="40"/>
      <c r="D5817" s="25" t="str">
        <f>TRIM(INDEX(Orçamentária!C:C,MATCH(Composições!A5817,Orçamentária!A:A,0),1))</f>
        <v>un</v>
      </c>
      <c r="E5817" s="26"/>
      <c r="F5817" s="48" t="s">
        <v>514</v>
      </c>
      <c r="G5817" s="27" t="str">
        <f t="shared" si="110"/>
        <v/>
      </c>
      <c r="H5817" s="28"/>
      <c r="I5817" s="29"/>
      <c r="J5817" s="148">
        <v>0</v>
      </c>
      <c r="K5817" s="222">
        <v>0</v>
      </c>
    </row>
    <row r="5818" spans="1:11" hidden="1" x14ac:dyDescent="0.25">
      <c r="A5818" s="207"/>
      <c r="B5818" s="205"/>
      <c r="C5818" s="31"/>
      <c r="D5818" s="31"/>
      <c r="E5818" s="32"/>
      <c r="F5818" s="53" t="s">
        <v>514</v>
      </c>
      <c r="G5818" s="53" t="str">
        <f t="shared" si="110"/>
        <v/>
      </c>
      <c r="H5818" s="72"/>
      <c r="I5818" s="73"/>
      <c r="J5818" s="148">
        <v>0</v>
      </c>
      <c r="K5818" s="222">
        <v>0</v>
      </c>
    </row>
    <row r="5819" spans="1:11" ht="25.5" hidden="1" x14ac:dyDescent="0.25">
      <c r="A5819" s="207"/>
      <c r="B5819" s="205"/>
      <c r="C5819" s="35" t="s">
        <v>3285</v>
      </c>
      <c r="D5819" s="35" t="s">
        <v>20</v>
      </c>
      <c r="E5819" s="36">
        <v>1</v>
      </c>
      <c r="F5819" s="30">
        <v>23.882999999999999</v>
      </c>
      <c r="G5819" s="53">
        <f t="shared" si="110"/>
        <v>23.882999999999999</v>
      </c>
      <c r="H5819" s="38">
        <f>SUM(G5819:G5819)</f>
        <v>23.882999999999999</v>
      </c>
      <c r="I5819" s="39"/>
      <c r="J5819" s="148">
        <v>0</v>
      </c>
      <c r="K5819" s="222">
        <v>0</v>
      </c>
    </row>
    <row r="5820" spans="1:11" ht="15.75" hidden="1" thickBot="1" x14ac:dyDescent="0.3">
      <c r="A5820" s="208"/>
      <c r="B5820" s="206"/>
      <c r="C5820" s="54"/>
      <c r="D5820" s="150"/>
      <c r="E5820" s="65"/>
      <c r="F5820" s="75" t="s">
        <v>514</v>
      </c>
      <c r="G5820" s="75" t="str">
        <f t="shared" si="110"/>
        <v/>
      </c>
      <c r="H5820" s="76"/>
      <c r="I5820" s="73"/>
      <c r="J5820" s="148">
        <v>0</v>
      </c>
      <c r="K5820" s="222">
        <v>0</v>
      </c>
    </row>
    <row r="5821" spans="1:11" ht="15.75" hidden="1" thickBot="1" x14ac:dyDescent="0.3">
      <c r="A5821" s="202" t="s">
        <v>5460</v>
      </c>
      <c r="B5821" s="204" t="str">
        <f>INDEX(Orçamentária!A:B,MATCH(Composições!A5821,Orçamentária!A:A,0),2)</f>
        <v>Conector reto para eletroduto 2”</v>
      </c>
      <c r="C5821" s="40"/>
      <c r="D5821" s="25" t="str">
        <f>TRIM(INDEX(Orçamentária!C:C,MATCH(Composições!A5821,Orçamentária!A:A,0),1))</f>
        <v>un</v>
      </c>
      <c r="E5821" s="26"/>
      <c r="F5821" s="48" t="s">
        <v>514</v>
      </c>
      <c r="G5821" s="27" t="str">
        <f t="shared" si="110"/>
        <v/>
      </c>
      <c r="H5821" s="28"/>
      <c r="I5821" s="29"/>
      <c r="J5821" s="148">
        <v>0</v>
      </c>
      <c r="K5821" s="222">
        <v>0</v>
      </c>
    </row>
    <row r="5822" spans="1:11" hidden="1" x14ac:dyDescent="0.25">
      <c r="A5822" s="207"/>
      <c r="B5822" s="205"/>
      <c r="C5822" s="31"/>
      <c r="D5822" s="31"/>
      <c r="E5822" s="32"/>
      <c r="F5822" s="53" t="s">
        <v>514</v>
      </c>
      <c r="G5822" s="53" t="str">
        <f t="shared" si="110"/>
        <v/>
      </c>
      <c r="H5822" s="72"/>
      <c r="I5822" s="73"/>
      <c r="J5822" s="148">
        <v>0</v>
      </c>
      <c r="K5822" s="222">
        <v>0</v>
      </c>
    </row>
    <row r="5823" spans="1:11" ht="38.25" hidden="1" x14ac:dyDescent="0.25">
      <c r="A5823" s="207"/>
      <c r="B5823" s="205"/>
      <c r="C5823" s="35" t="s">
        <v>3270</v>
      </c>
      <c r="D5823" s="35" t="s">
        <v>20</v>
      </c>
      <c r="E5823" s="36">
        <v>1</v>
      </c>
      <c r="F5823" s="30">
        <v>9.3004999999999995</v>
      </c>
      <c r="G5823" s="53">
        <f t="shared" si="110"/>
        <v>9.3004999999999995</v>
      </c>
      <c r="H5823" s="38">
        <f>SUM(G5823:G5823)</f>
        <v>9.3004999999999995</v>
      </c>
      <c r="I5823" s="39"/>
      <c r="J5823" s="148">
        <v>0</v>
      </c>
      <c r="K5823" s="222">
        <v>0</v>
      </c>
    </row>
    <row r="5824" spans="1:11" ht="15.75" hidden="1" thickBot="1" x14ac:dyDescent="0.3">
      <c r="A5824" s="208"/>
      <c r="B5824" s="206"/>
      <c r="C5824" s="54"/>
      <c r="D5824" s="150"/>
      <c r="E5824" s="65"/>
      <c r="F5824" s="75" t="s">
        <v>514</v>
      </c>
      <c r="G5824" s="75" t="str">
        <f t="shared" si="110"/>
        <v/>
      </c>
      <c r="H5824" s="76"/>
      <c r="I5824" s="73"/>
      <c r="J5824" s="148">
        <v>0</v>
      </c>
      <c r="K5824" s="222">
        <v>0</v>
      </c>
    </row>
    <row r="5825" spans="1:11" ht="15.75" hidden="1" thickBot="1" x14ac:dyDescent="0.3">
      <c r="A5825" s="202" t="s">
        <v>5461</v>
      </c>
      <c r="B5825" s="204" t="str">
        <f>INDEX(Orçamentária!A:B,MATCH(Composições!A5825,Orçamentária!A:A,0),2)</f>
        <v>Conector curvo para eletroduto 2”</v>
      </c>
      <c r="C5825" s="40"/>
      <c r="D5825" s="25" t="str">
        <f>TRIM(INDEX(Orçamentária!C:C,MATCH(Composições!A5825,Orçamentária!A:A,0),1))</f>
        <v>un</v>
      </c>
      <c r="E5825" s="26"/>
      <c r="F5825" s="48" t="s">
        <v>514</v>
      </c>
      <c r="G5825" s="27" t="str">
        <f t="shared" si="110"/>
        <v/>
      </c>
      <c r="H5825" s="28"/>
      <c r="I5825" s="29"/>
      <c r="J5825" s="148">
        <v>0</v>
      </c>
      <c r="K5825" s="222">
        <v>0</v>
      </c>
    </row>
    <row r="5826" spans="1:11" hidden="1" x14ac:dyDescent="0.25">
      <c r="A5826" s="207"/>
      <c r="B5826" s="205"/>
      <c r="C5826" s="31"/>
      <c r="D5826" s="31"/>
      <c r="E5826" s="32"/>
      <c r="F5826" s="53" t="s">
        <v>514</v>
      </c>
      <c r="G5826" s="53" t="str">
        <f t="shared" si="110"/>
        <v/>
      </c>
      <c r="H5826" s="72"/>
      <c r="I5826" s="73"/>
      <c r="J5826" s="148">
        <v>0</v>
      </c>
      <c r="K5826" s="222">
        <v>0</v>
      </c>
    </row>
    <row r="5827" spans="1:11" ht="38.25" hidden="1" x14ac:dyDescent="0.25">
      <c r="A5827" s="207"/>
      <c r="B5827" s="205"/>
      <c r="C5827" s="35" t="s">
        <v>3263</v>
      </c>
      <c r="D5827" s="35" t="s">
        <v>20</v>
      </c>
      <c r="E5827" s="36">
        <v>1</v>
      </c>
      <c r="F5827" s="30">
        <v>47.490499999999997</v>
      </c>
      <c r="G5827" s="53">
        <f t="shared" si="110"/>
        <v>47.490499999999997</v>
      </c>
      <c r="H5827" s="38">
        <f>SUM(G5827:G5827)</f>
        <v>47.490499999999997</v>
      </c>
      <c r="I5827" s="39"/>
      <c r="J5827" s="148">
        <v>0</v>
      </c>
      <c r="K5827" s="222">
        <v>0</v>
      </c>
    </row>
    <row r="5828" spans="1:11" ht="15.75" hidden="1" thickBot="1" x14ac:dyDescent="0.3">
      <c r="A5828" s="208"/>
      <c r="B5828" s="206"/>
      <c r="C5828" s="54"/>
      <c r="D5828" s="150"/>
      <c r="E5828" s="65"/>
      <c r="F5828" s="75" t="s">
        <v>514</v>
      </c>
      <c r="G5828" s="75" t="str">
        <f t="shared" si="110"/>
        <v/>
      </c>
      <c r="H5828" s="76"/>
      <c r="I5828" s="73"/>
      <c r="J5828" s="148">
        <v>0</v>
      </c>
      <c r="K5828" s="222">
        <v>0</v>
      </c>
    </row>
    <row r="5829" spans="1:11" ht="15.75" hidden="1" thickBot="1" x14ac:dyDescent="0.3">
      <c r="A5829" s="202" t="s">
        <v>5462</v>
      </c>
      <c r="B5829" s="204" t="str">
        <f>INDEX(Orçamentária!A:B,MATCH(Composições!A5829,Orçamentária!A:A,0),2)</f>
        <v>Luva para eletroduto 2”</v>
      </c>
      <c r="C5829" s="40"/>
      <c r="D5829" s="25" t="str">
        <f>TRIM(INDEX(Orçamentária!C:C,MATCH(Composições!A5829,Orçamentária!A:A,0),1))</f>
        <v>un</v>
      </c>
      <c r="E5829" s="26"/>
      <c r="F5829" s="48" t="s">
        <v>514</v>
      </c>
      <c r="G5829" s="27" t="str">
        <f t="shared" si="110"/>
        <v/>
      </c>
      <c r="H5829" s="28"/>
      <c r="I5829" s="29"/>
      <c r="J5829" s="148">
        <v>0</v>
      </c>
      <c r="K5829" s="222">
        <v>0</v>
      </c>
    </row>
    <row r="5830" spans="1:11" hidden="1" x14ac:dyDescent="0.25">
      <c r="A5830" s="207"/>
      <c r="B5830" s="205"/>
      <c r="C5830" s="31"/>
      <c r="D5830" s="31"/>
      <c r="E5830" s="32"/>
      <c r="F5830" s="53" t="s">
        <v>514</v>
      </c>
      <c r="G5830" s="53" t="str">
        <f t="shared" si="110"/>
        <v/>
      </c>
      <c r="H5830" s="72"/>
      <c r="I5830" s="73"/>
      <c r="J5830" s="148">
        <v>0</v>
      </c>
      <c r="K5830" s="222">
        <v>0</v>
      </c>
    </row>
    <row r="5831" spans="1:11" ht="25.5" hidden="1" x14ac:dyDescent="0.25">
      <c r="A5831" s="207"/>
      <c r="B5831" s="205"/>
      <c r="C5831" s="35" t="s">
        <v>3322</v>
      </c>
      <c r="D5831" s="35" t="s">
        <v>20</v>
      </c>
      <c r="E5831" s="36">
        <v>1</v>
      </c>
      <c r="F5831" s="30">
        <v>9.9179999999999993</v>
      </c>
      <c r="G5831" s="53">
        <f t="shared" si="110"/>
        <v>9.9179999999999993</v>
      </c>
      <c r="H5831" s="38">
        <f>SUM(G5831:G5831)</f>
        <v>9.9179999999999993</v>
      </c>
      <c r="I5831" s="39"/>
      <c r="J5831" s="148">
        <v>0</v>
      </c>
      <c r="K5831" s="222">
        <v>0</v>
      </c>
    </row>
    <row r="5832" spans="1:11" ht="15.75" hidden="1" thickBot="1" x14ac:dyDescent="0.3">
      <c r="A5832" s="208"/>
      <c r="B5832" s="206"/>
      <c r="C5832" s="54"/>
      <c r="D5832" s="150"/>
      <c r="E5832" s="65"/>
      <c r="F5832" s="75" t="s">
        <v>514</v>
      </c>
      <c r="G5832" s="75" t="str">
        <f t="shared" si="110"/>
        <v/>
      </c>
      <c r="H5832" s="76"/>
      <c r="I5832" s="73"/>
      <c r="J5832" s="148">
        <v>0</v>
      </c>
      <c r="K5832" s="222">
        <v>0</v>
      </c>
    </row>
    <row r="5833" spans="1:11" ht="15.75" hidden="1" thickBot="1" x14ac:dyDescent="0.3">
      <c r="A5833" s="202" t="s">
        <v>5464</v>
      </c>
      <c r="B5833" s="204" t="str">
        <f>INDEX(Orçamentária!A:B,MATCH(Composições!A5833,Orçamentária!A:A,0),2)</f>
        <v>Curva para eletroduto 2”</v>
      </c>
      <c r="C5833" s="40"/>
      <c r="D5833" s="25" t="str">
        <f>TRIM(INDEX(Orçamentária!C:C,MATCH(Composições!A5833,Orçamentária!A:A,0),1))</f>
        <v>un</v>
      </c>
      <c r="E5833" s="26"/>
      <c r="F5833" s="48" t="s">
        <v>514</v>
      </c>
      <c r="G5833" s="27" t="str">
        <f t="shared" si="110"/>
        <v/>
      </c>
      <c r="H5833" s="28"/>
      <c r="I5833" s="29"/>
      <c r="J5833" s="148">
        <v>0</v>
      </c>
      <c r="K5833" s="222">
        <v>0</v>
      </c>
    </row>
    <row r="5834" spans="1:11" hidden="1" x14ac:dyDescent="0.25">
      <c r="A5834" s="207"/>
      <c r="B5834" s="205"/>
      <c r="C5834" s="31"/>
      <c r="D5834" s="31"/>
      <c r="E5834" s="32"/>
      <c r="F5834" s="53" t="s">
        <v>514</v>
      </c>
      <c r="G5834" s="53" t="str">
        <f t="shared" si="110"/>
        <v/>
      </c>
      <c r="H5834" s="72"/>
      <c r="I5834" s="73"/>
      <c r="J5834" s="148">
        <v>0</v>
      </c>
      <c r="K5834" s="222">
        <v>0</v>
      </c>
    </row>
    <row r="5835" spans="1:11" ht="25.5" hidden="1" x14ac:dyDescent="0.25">
      <c r="A5835" s="207"/>
      <c r="B5835" s="205"/>
      <c r="C5835" s="35" t="s">
        <v>3286</v>
      </c>
      <c r="D5835" s="35" t="s">
        <v>20</v>
      </c>
      <c r="E5835" s="36">
        <v>1</v>
      </c>
      <c r="F5835" s="30">
        <v>35.055</v>
      </c>
      <c r="G5835" s="53">
        <f t="shared" si="110"/>
        <v>35.055</v>
      </c>
      <c r="H5835" s="38">
        <f>SUM(G5835:G5835)</f>
        <v>35.055</v>
      </c>
      <c r="I5835" s="39"/>
      <c r="J5835" s="148">
        <v>0</v>
      </c>
      <c r="K5835" s="222">
        <v>0</v>
      </c>
    </row>
    <row r="5836" spans="1:11" ht="15.75" hidden="1" thickBot="1" x14ac:dyDescent="0.3">
      <c r="A5836" s="208"/>
      <c r="B5836" s="206"/>
      <c r="C5836" s="54"/>
      <c r="D5836" s="150"/>
      <c r="E5836" s="65"/>
      <c r="F5836" s="75" t="s">
        <v>514</v>
      </c>
      <c r="G5836" s="75" t="str">
        <f t="shared" si="110"/>
        <v/>
      </c>
      <c r="H5836" s="76"/>
      <c r="I5836" s="73"/>
      <c r="J5836" s="148">
        <v>0</v>
      </c>
      <c r="K5836" s="222">
        <v>0</v>
      </c>
    </row>
    <row r="5837" spans="1:11" ht="15.75" hidden="1" thickBot="1" x14ac:dyDescent="0.3">
      <c r="A5837" s="202" t="s">
        <v>5466</v>
      </c>
      <c r="B5837" s="204" t="str">
        <f>INDEX(Orçamentária!A:B,MATCH(Composições!A5837,Orçamentária!A:A,0),2)</f>
        <v>Conector curvo para eletroduto 2 1/2”</v>
      </c>
      <c r="C5837" s="40"/>
      <c r="D5837" s="25" t="str">
        <f>TRIM(INDEX(Orçamentária!C:C,MATCH(Composições!A5837,Orçamentária!A:A,0),1))</f>
        <v>un</v>
      </c>
      <c r="E5837" s="26"/>
      <c r="F5837" s="48" t="s">
        <v>514</v>
      </c>
      <c r="G5837" s="27" t="str">
        <f t="shared" si="110"/>
        <v/>
      </c>
      <c r="H5837" s="28"/>
      <c r="I5837" s="29"/>
      <c r="J5837" s="148">
        <v>0</v>
      </c>
      <c r="K5837" s="222">
        <v>0</v>
      </c>
    </row>
    <row r="5838" spans="1:11" hidden="1" x14ac:dyDescent="0.25">
      <c r="A5838" s="207"/>
      <c r="B5838" s="205"/>
      <c r="C5838" s="31"/>
      <c r="D5838" s="31"/>
      <c r="E5838" s="32"/>
      <c r="F5838" s="53" t="s">
        <v>514</v>
      </c>
      <c r="G5838" s="53" t="str">
        <f t="shared" si="110"/>
        <v/>
      </c>
      <c r="H5838" s="72"/>
      <c r="I5838" s="73"/>
      <c r="J5838" s="148">
        <v>0</v>
      </c>
      <c r="K5838" s="222">
        <v>0</v>
      </c>
    </row>
    <row r="5839" spans="1:11" ht="38.25" hidden="1" x14ac:dyDescent="0.25">
      <c r="A5839" s="207"/>
      <c r="B5839" s="205"/>
      <c r="C5839" s="35" t="s">
        <v>3262</v>
      </c>
      <c r="D5839" s="35" t="s">
        <v>20</v>
      </c>
      <c r="E5839" s="36">
        <v>1</v>
      </c>
      <c r="F5839" s="30">
        <v>111.568</v>
      </c>
      <c r="G5839" s="53">
        <f t="shared" si="110"/>
        <v>111.568</v>
      </c>
      <c r="H5839" s="38">
        <f>SUM(G5839:G5839)</f>
        <v>111.568</v>
      </c>
      <c r="I5839" s="39"/>
      <c r="J5839" s="148">
        <v>0</v>
      </c>
      <c r="K5839" s="222">
        <v>0</v>
      </c>
    </row>
    <row r="5840" spans="1:11" ht="15.75" hidden="1" thickBot="1" x14ac:dyDescent="0.3">
      <c r="A5840" s="208"/>
      <c r="B5840" s="206"/>
      <c r="C5840" s="54"/>
      <c r="D5840" s="150"/>
      <c r="E5840" s="65"/>
      <c r="F5840" s="75" t="s">
        <v>514</v>
      </c>
      <c r="G5840" s="75" t="str">
        <f t="shared" si="110"/>
        <v/>
      </c>
      <c r="H5840" s="76"/>
      <c r="I5840" s="73"/>
      <c r="J5840" s="148">
        <v>0</v>
      </c>
      <c r="K5840" s="222">
        <v>0</v>
      </c>
    </row>
    <row r="5841" spans="1:11" ht="15.75" hidden="1" thickBot="1" x14ac:dyDescent="0.3">
      <c r="A5841" s="202" t="s">
        <v>5467</v>
      </c>
      <c r="B5841" s="204" t="str">
        <f>INDEX(Orçamentária!A:B,MATCH(Composições!A5841,Orçamentária!A:A,0),2)</f>
        <v>Luva para eletroduto 2 1/2”</v>
      </c>
      <c r="C5841" s="40"/>
      <c r="D5841" s="25" t="str">
        <f>TRIM(INDEX(Orçamentária!C:C,MATCH(Composições!A5841,Orçamentária!A:A,0),1))</f>
        <v>un</v>
      </c>
      <c r="E5841" s="26"/>
      <c r="F5841" s="48" t="s">
        <v>514</v>
      </c>
      <c r="G5841" s="27" t="str">
        <f t="shared" si="110"/>
        <v/>
      </c>
      <c r="H5841" s="28"/>
      <c r="I5841" s="29"/>
      <c r="J5841" s="148">
        <v>0</v>
      </c>
      <c r="K5841" s="222">
        <v>0</v>
      </c>
    </row>
    <row r="5842" spans="1:11" hidden="1" x14ac:dyDescent="0.25">
      <c r="A5842" s="207"/>
      <c r="B5842" s="205"/>
      <c r="C5842" s="31"/>
      <c r="D5842" s="31"/>
      <c r="E5842" s="32"/>
      <c r="F5842" s="53" t="s">
        <v>514</v>
      </c>
      <c r="G5842" s="53" t="str">
        <f t="shared" si="110"/>
        <v/>
      </c>
      <c r="H5842" s="72"/>
      <c r="I5842" s="73"/>
      <c r="J5842" s="148">
        <v>0</v>
      </c>
      <c r="K5842" s="222">
        <v>0</v>
      </c>
    </row>
    <row r="5843" spans="1:11" ht="25.5" hidden="1" x14ac:dyDescent="0.25">
      <c r="A5843" s="207"/>
      <c r="B5843" s="205"/>
      <c r="C5843" s="35" t="s">
        <v>3323</v>
      </c>
      <c r="D5843" s="35" t="s">
        <v>20</v>
      </c>
      <c r="E5843" s="36">
        <v>1</v>
      </c>
      <c r="F5843" s="30">
        <v>14.487499999999999</v>
      </c>
      <c r="G5843" s="53">
        <f t="shared" si="110"/>
        <v>14.487499999999999</v>
      </c>
      <c r="H5843" s="38">
        <f>SUM(G5843:G5843)</f>
        <v>14.487499999999999</v>
      </c>
      <c r="I5843" s="39"/>
      <c r="J5843" s="148">
        <v>0</v>
      </c>
      <c r="K5843" s="222">
        <v>0</v>
      </c>
    </row>
    <row r="5844" spans="1:11" ht="15.75" hidden="1" thickBot="1" x14ac:dyDescent="0.3">
      <c r="A5844" s="208"/>
      <c r="B5844" s="206"/>
      <c r="C5844" s="54"/>
      <c r="D5844" s="150"/>
      <c r="E5844" s="65"/>
      <c r="F5844" s="75" t="s">
        <v>514</v>
      </c>
      <c r="G5844" s="75" t="str">
        <f t="shared" si="110"/>
        <v/>
      </c>
      <c r="H5844" s="76"/>
      <c r="I5844" s="73"/>
      <c r="J5844" s="148">
        <v>0</v>
      </c>
      <c r="K5844" s="222">
        <v>0</v>
      </c>
    </row>
    <row r="5845" spans="1:11" ht="15.75" hidden="1" thickBot="1" x14ac:dyDescent="0.3">
      <c r="A5845" s="202" t="s">
        <v>5469</v>
      </c>
      <c r="B5845" s="204" t="str">
        <f>INDEX(Orçamentária!A:B,MATCH(Composições!A5845,Orçamentária!A:A,0),2)</f>
        <v>Curva para eletroduto 2 1/2”</v>
      </c>
      <c r="C5845" s="40"/>
      <c r="D5845" s="25" t="str">
        <f>TRIM(INDEX(Orçamentária!C:C,MATCH(Composições!A5845,Orçamentária!A:A,0),1))</f>
        <v>un</v>
      </c>
      <c r="E5845" s="26"/>
      <c r="F5845" s="48" t="s">
        <v>514</v>
      </c>
      <c r="G5845" s="27" t="str">
        <f t="shared" si="110"/>
        <v/>
      </c>
      <c r="H5845" s="28"/>
      <c r="I5845" s="29"/>
      <c r="J5845" s="148">
        <v>0</v>
      </c>
      <c r="K5845" s="222">
        <v>0</v>
      </c>
    </row>
    <row r="5846" spans="1:11" hidden="1" x14ac:dyDescent="0.25">
      <c r="A5846" s="207"/>
      <c r="B5846" s="205"/>
      <c r="C5846" s="31"/>
      <c r="D5846" s="31"/>
      <c r="E5846" s="32"/>
      <c r="F5846" s="53" t="s">
        <v>514</v>
      </c>
      <c r="G5846" s="53" t="str">
        <f t="shared" si="110"/>
        <v/>
      </c>
      <c r="H5846" s="72"/>
      <c r="I5846" s="73"/>
      <c r="J5846" s="148">
        <v>0</v>
      </c>
      <c r="K5846" s="222">
        <v>0</v>
      </c>
    </row>
    <row r="5847" spans="1:11" ht="25.5" hidden="1" x14ac:dyDescent="0.25">
      <c r="A5847" s="207"/>
      <c r="B5847" s="205"/>
      <c r="C5847" s="35" t="s">
        <v>3287</v>
      </c>
      <c r="D5847" s="35" t="s">
        <v>20</v>
      </c>
      <c r="E5847" s="36">
        <v>1</v>
      </c>
      <c r="F5847" s="30">
        <v>88.768000000000001</v>
      </c>
      <c r="G5847" s="53">
        <f t="shared" si="110"/>
        <v>88.768000000000001</v>
      </c>
      <c r="H5847" s="38">
        <f>SUM(G5847:G5847)</f>
        <v>88.768000000000001</v>
      </c>
      <c r="I5847" s="39"/>
      <c r="J5847" s="148">
        <v>0</v>
      </c>
      <c r="K5847" s="222">
        <v>0</v>
      </c>
    </row>
    <row r="5848" spans="1:11" ht="15.75" hidden="1" thickBot="1" x14ac:dyDescent="0.3">
      <c r="A5848" s="208"/>
      <c r="B5848" s="206"/>
      <c r="C5848" s="54"/>
      <c r="D5848" s="150"/>
      <c r="E5848" s="65"/>
      <c r="F5848" s="75" t="s">
        <v>514</v>
      </c>
      <c r="G5848" s="75" t="str">
        <f t="shared" si="110"/>
        <v/>
      </c>
      <c r="H5848" s="76"/>
      <c r="I5848" s="73"/>
      <c r="J5848" s="148">
        <v>0</v>
      </c>
      <c r="K5848" s="222">
        <v>0</v>
      </c>
    </row>
    <row r="5849" spans="1:11" ht="15.75" hidden="1" thickBot="1" x14ac:dyDescent="0.3">
      <c r="A5849" s="202" t="s">
        <v>5470</v>
      </c>
      <c r="B5849" s="204" t="str">
        <f>INDEX(Orçamentária!A:B,MATCH(Composições!A5849,Orçamentária!A:A,0),2)</f>
        <v>Conector reto para eletroduto 3”</v>
      </c>
      <c r="C5849" s="40"/>
      <c r="D5849" s="25" t="str">
        <f>TRIM(INDEX(Orçamentária!C:C,MATCH(Composições!A5849,Orçamentária!A:A,0),1))</f>
        <v>un</v>
      </c>
      <c r="E5849" s="26"/>
      <c r="F5849" s="48" t="s">
        <v>514</v>
      </c>
      <c r="G5849" s="27" t="str">
        <f t="shared" si="110"/>
        <v/>
      </c>
      <c r="H5849" s="28"/>
      <c r="I5849" s="29"/>
      <c r="J5849" s="148">
        <v>0</v>
      </c>
      <c r="K5849" s="222">
        <v>0</v>
      </c>
    </row>
    <row r="5850" spans="1:11" hidden="1" x14ac:dyDescent="0.25">
      <c r="A5850" s="207"/>
      <c r="B5850" s="205"/>
      <c r="C5850" s="31"/>
      <c r="D5850" s="31"/>
      <c r="E5850" s="32"/>
      <c r="F5850" s="53" t="s">
        <v>514</v>
      </c>
      <c r="G5850" s="53" t="str">
        <f t="shared" si="110"/>
        <v/>
      </c>
      <c r="H5850" s="72"/>
      <c r="I5850" s="73"/>
      <c r="J5850" s="148">
        <v>0</v>
      </c>
      <c r="K5850" s="222">
        <v>0</v>
      </c>
    </row>
    <row r="5851" spans="1:11" ht="38.25" hidden="1" x14ac:dyDescent="0.25">
      <c r="A5851" s="207"/>
      <c r="B5851" s="205"/>
      <c r="C5851" s="35" t="s">
        <v>3272</v>
      </c>
      <c r="D5851" s="35" t="s">
        <v>20</v>
      </c>
      <c r="E5851" s="36">
        <v>1</v>
      </c>
      <c r="F5851" s="30">
        <v>30.666</v>
      </c>
      <c r="G5851" s="53">
        <f t="shared" si="110"/>
        <v>30.666</v>
      </c>
      <c r="H5851" s="38">
        <f>SUM(G5851:G5851)</f>
        <v>30.666</v>
      </c>
      <c r="I5851" s="39"/>
      <c r="J5851" s="148">
        <v>0</v>
      </c>
      <c r="K5851" s="222">
        <v>0</v>
      </c>
    </row>
    <row r="5852" spans="1:11" ht="15.75" hidden="1" thickBot="1" x14ac:dyDescent="0.3">
      <c r="A5852" s="208"/>
      <c r="B5852" s="206"/>
      <c r="C5852" s="54"/>
      <c r="D5852" s="150"/>
      <c r="E5852" s="65"/>
      <c r="F5852" s="75" t="s">
        <v>514</v>
      </c>
      <c r="G5852" s="75" t="str">
        <f t="shared" si="110"/>
        <v/>
      </c>
      <c r="H5852" s="76"/>
      <c r="I5852" s="73"/>
      <c r="J5852" s="148">
        <v>0</v>
      </c>
      <c r="K5852" s="222">
        <v>0</v>
      </c>
    </row>
    <row r="5853" spans="1:11" ht="15.75" hidden="1" thickBot="1" x14ac:dyDescent="0.3">
      <c r="A5853" s="202" t="s">
        <v>5471</v>
      </c>
      <c r="B5853" s="204" t="str">
        <f>INDEX(Orçamentária!A:B,MATCH(Composições!A5853,Orçamentária!A:A,0),2)</f>
        <v>Conector curvo para eletroduto 3”</v>
      </c>
      <c r="C5853" s="40"/>
      <c r="D5853" s="25" t="str">
        <f>TRIM(INDEX(Orçamentária!C:C,MATCH(Composições!A5853,Orçamentária!A:A,0),1))</f>
        <v>un</v>
      </c>
      <c r="E5853" s="26"/>
      <c r="F5853" s="48" t="s">
        <v>514</v>
      </c>
      <c r="G5853" s="27" t="str">
        <f t="shared" si="110"/>
        <v/>
      </c>
      <c r="H5853" s="28"/>
      <c r="I5853" s="29"/>
      <c r="J5853" s="148">
        <v>0</v>
      </c>
      <c r="K5853" s="222">
        <v>0</v>
      </c>
    </row>
    <row r="5854" spans="1:11" hidden="1" x14ac:dyDescent="0.25">
      <c r="A5854" s="207"/>
      <c r="B5854" s="205"/>
      <c r="C5854" s="31"/>
      <c r="D5854" s="31"/>
      <c r="E5854" s="32"/>
      <c r="F5854" s="53" t="s">
        <v>514</v>
      </c>
      <c r="G5854" s="53" t="str">
        <f t="shared" si="110"/>
        <v/>
      </c>
      <c r="H5854" s="72"/>
      <c r="I5854" s="73"/>
      <c r="J5854" s="148">
        <v>0</v>
      </c>
      <c r="K5854" s="222">
        <v>0</v>
      </c>
    </row>
    <row r="5855" spans="1:11" ht="38.25" hidden="1" x14ac:dyDescent="0.25">
      <c r="A5855" s="207"/>
      <c r="B5855" s="205"/>
      <c r="C5855" s="35" t="s">
        <v>3265</v>
      </c>
      <c r="D5855" s="35" t="s">
        <v>20</v>
      </c>
      <c r="E5855" s="36">
        <v>1</v>
      </c>
      <c r="F5855" s="30">
        <v>134.52950000000001</v>
      </c>
      <c r="G5855" s="53">
        <f t="shared" si="110"/>
        <v>134.52950000000001</v>
      </c>
      <c r="H5855" s="38">
        <f>SUM(G5855:G5855)</f>
        <v>134.52950000000001</v>
      </c>
      <c r="I5855" s="39"/>
      <c r="J5855" s="148">
        <v>0</v>
      </c>
      <c r="K5855" s="222">
        <v>0</v>
      </c>
    </row>
    <row r="5856" spans="1:11" ht="15.75" hidden="1" thickBot="1" x14ac:dyDescent="0.3">
      <c r="A5856" s="208"/>
      <c r="B5856" s="206"/>
      <c r="C5856" s="54"/>
      <c r="D5856" s="150"/>
      <c r="E5856" s="65"/>
      <c r="F5856" s="75" t="s">
        <v>514</v>
      </c>
      <c r="G5856" s="75" t="str">
        <f t="shared" si="110"/>
        <v/>
      </c>
      <c r="H5856" s="76"/>
      <c r="I5856" s="73"/>
      <c r="J5856" s="148">
        <v>0</v>
      </c>
      <c r="K5856" s="222">
        <v>0</v>
      </c>
    </row>
    <row r="5857" spans="1:11" ht="15.75" hidden="1" thickBot="1" x14ac:dyDescent="0.3">
      <c r="A5857" s="202" t="s">
        <v>5472</v>
      </c>
      <c r="B5857" s="204" t="str">
        <f>INDEX(Orçamentária!A:B,MATCH(Composições!A5857,Orçamentária!A:A,0),2)</f>
        <v>Luva para eletroduto 3”</v>
      </c>
      <c r="C5857" s="40"/>
      <c r="D5857" s="25" t="str">
        <f>TRIM(INDEX(Orçamentária!C:C,MATCH(Composições!A5857,Orçamentária!A:A,0),1))</f>
        <v>un</v>
      </c>
      <c r="E5857" s="26"/>
      <c r="F5857" s="48" t="s">
        <v>514</v>
      </c>
      <c r="G5857" s="27" t="str">
        <f t="shared" si="110"/>
        <v/>
      </c>
      <c r="H5857" s="28"/>
      <c r="I5857" s="29"/>
      <c r="J5857" s="148">
        <v>0</v>
      </c>
      <c r="K5857" s="222">
        <v>0</v>
      </c>
    </row>
    <row r="5858" spans="1:11" hidden="1" x14ac:dyDescent="0.25">
      <c r="A5858" s="207"/>
      <c r="B5858" s="205"/>
      <c r="C5858" s="31"/>
      <c r="D5858" s="31"/>
      <c r="E5858" s="32"/>
      <c r="F5858" s="53" t="s">
        <v>514</v>
      </c>
      <c r="G5858" s="53" t="str">
        <f t="shared" si="110"/>
        <v/>
      </c>
      <c r="H5858" s="72"/>
      <c r="I5858" s="73"/>
      <c r="J5858" s="148">
        <v>0</v>
      </c>
      <c r="K5858" s="222">
        <v>0</v>
      </c>
    </row>
    <row r="5859" spans="1:11" ht="25.5" hidden="1" x14ac:dyDescent="0.25">
      <c r="A5859" s="207"/>
      <c r="B5859" s="205"/>
      <c r="C5859" s="35" t="s">
        <v>3324</v>
      </c>
      <c r="D5859" s="35" t="s">
        <v>20</v>
      </c>
      <c r="E5859" s="36">
        <v>1</v>
      </c>
      <c r="F5859" s="30">
        <v>22.049499999999998</v>
      </c>
      <c r="G5859" s="53">
        <f t="shared" si="110"/>
        <v>22.049499999999998</v>
      </c>
      <c r="H5859" s="38">
        <f>SUM(G5859:G5859)</f>
        <v>22.049499999999998</v>
      </c>
      <c r="I5859" s="39"/>
      <c r="J5859" s="148">
        <v>0</v>
      </c>
      <c r="K5859" s="222">
        <v>0</v>
      </c>
    </row>
    <row r="5860" spans="1:11" ht="15.75" hidden="1" thickBot="1" x14ac:dyDescent="0.3">
      <c r="A5860" s="208"/>
      <c r="B5860" s="206"/>
      <c r="C5860" s="54"/>
      <c r="D5860" s="150"/>
      <c r="E5860" s="65"/>
      <c r="F5860" s="75" t="s">
        <v>514</v>
      </c>
      <c r="G5860" s="75" t="str">
        <f t="shared" si="110"/>
        <v/>
      </c>
      <c r="H5860" s="76"/>
      <c r="I5860" s="73"/>
      <c r="J5860" s="148">
        <v>0</v>
      </c>
      <c r="K5860" s="222">
        <v>0</v>
      </c>
    </row>
    <row r="5861" spans="1:11" ht="15.75" hidden="1" thickBot="1" x14ac:dyDescent="0.3">
      <c r="A5861" s="202" t="s">
        <v>5474</v>
      </c>
      <c r="B5861" s="204" t="str">
        <f>INDEX(Orçamentária!A:B,MATCH(Composições!A5861,Orçamentária!A:A,0),2)</f>
        <v>Curva para eletroduto 3”</v>
      </c>
      <c r="C5861" s="40"/>
      <c r="D5861" s="25" t="str">
        <f>TRIM(INDEX(Orçamentária!C:C,MATCH(Composições!A5861,Orçamentária!A:A,0),1))</f>
        <v>un</v>
      </c>
      <c r="E5861" s="26"/>
      <c r="F5861" s="48" t="s">
        <v>514</v>
      </c>
      <c r="G5861" s="27" t="str">
        <f t="shared" si="110"/>
        <v/>
      </c>
      <c r="H5861" s="28"/>
      <c r="I5861" s="29"/>
      <c r="J5861" s="148">
        <v>0</v>
      </c>
      <c r="K5861" s="222">
        <v>0</v>
      </c>
    </row>
    <row r="5862" spans="1:11" hidden="1" x14ac:dyDescent="0.25">
      <c r="A5862" s="207"/>
      <c r="B5862" s="205"/>
      <c r="C5862" s="31"/>
      <c r="D5862" s="31"/>
      <c r="E5862" s="32"/>
      <c r="F5862" s="53" t="s">
        <v>514</v>
      </c>
      <c r="G5862" s="53" t="str">
        <f t="shared" si="110"/>
        <v/>
      </c>
      <c r="H5862" s="72"/>
      <c r="I5862" s="73"/>
      <c r="J5862" s="148">
        <v>0</v>
      </c>
      <c r="K5862" s="222">
        <v>0</v>
      </c>
    </row>
    <row r="5863" spans="1:11" ht="25.5" hidden="1" x14ac:dyDescent="0.25">
      <c r="A5863" s="207"/>
      <c r="B5863" s="205"/>
      <c r="C5863" s="35" t="s">
        <v>3288</v>
      </c>
      <c r="D5863" s="35" t="s">
        <v>20</v>
      </c>
      <c r="E5863" s="36">
        <v>1</v>
      </c>
      <c r="F5863" s="30">
        <v>116.53649999999999</v>
      </c>
      <c r="G5863" s="53">
        <f t="shared" si="110"/>
        <v>116.53649999999999</v>
      </c>
      <c r="H5863" s="38">
        <f>SUM(G5863:G5863)</f>
        <v>116.53649999999999</v>
      </c>
      <c r="I5863" s="39"/>
      <c r="J5863" s="148">
        <v>0</v>
      </c>
      <c r="K5863" s="222">
        <v>0</v>
      </c>
    </row>
    <row r="5864" spans="1:11" ht="15.75" hidden="1" thickBot="1" x14ac:dyDescent="0.3">
      <c r="A5864" s="208"/>
      <c r="B5864" s="206"/>
      <c r="C5864" s="54"/>
      <c r="D5864" s="150"/>
      <c r="E5864" s="65"/>
      <c r="F5864" s="75" t="s">
        <v>514</v>
      </c>
      <c r="G5864" s="75" t="str">
        <f t="shared" si="110"/>
        <v/>
      </c>
      <c r="H5864" s="76"/>
      <c r="I5864" s="73"/>
      <c r="J5864" s="148">
        <v>0</v>
      </c>
      <c r="K5864" s="222">
        <v>0</v>
      </c>
    </row>
    <row r="5865" spans="1:11" ht="15.75" hidden="1" thickBot="1" x14ac:dyDescent="0.3">
      <c r="A5865" s="202" t="s">
        <v>5475</v>
      </c>
      <c r="B5865" s="204" t="str">
        <f>INDEX(Orçamentária!A:B,MATCH(Composições!A5865,Orçamentária!A:A,0),2)</f>
        <v>Conector reto para eletroduto 4”</v>
      </c>
      <c r="C5865" s="40"/>
      <c r="D5865" s="25" t="str">
        <f>TRIM(INDEX(Orçamentária!C:C,MATCH(Composições!A5865,Orçamentária!A:A,0),1))</f>
        <v>un</v>
      </c>
      <c r="E5865" s="26"/>
      <c r="F5865" s="48" t="s">
        <v>514</v>
      </c>
      <c r="G5865" s="27" t="str">
        <f t="shared" si="110"/>
        <v/>
      </c>
      <c r="H5865" s="28"/>
      <c r="I5865" s="29"/>
      <c r="J5865" s="148">
        <v>0</v>
      </c>
      <c r="K5865" s="222">
        <v>0</v>
      </c>
    </row>
    <row r="5866" spans="1:11" hidden="1" x14ac:dyDescent="0.25">
      <c r="A5866" s="207"/>
      <c r="B5866" s="205"/>
      <c r="C5866" s="31"/>
      <c r="D5866" s="31"/>
      <c r="E5866" s="32"/>
      <c r="F5866" s="53" t="s">
        <v>514</v>
      </c>
      <c r="G5866" s="53" t="str">
        <f t="shared" si="110"/>
        <v/>
      </c>
      <c r="H5866" s="72"/>
      <c r="I5866" s="73"/>
      <c r="J5866" s="148">
        <v>0</v>
      </c>
      <c r="K5866" s="222">
        <v>0</v>
      </c>
    </row>
    <row r="5867" spans="1:11" ht="38.25" hidden="1" x14ac:dyDescent="0.25">
      <c r="A5867" s="207"/>
      <c r="B5867" s="205"/>
      <c r="C5867" s="35" t="s">
        <v>3273</v>
      </c>
      <c r="D5867" s="35" t="s">
        <v>20</v>
      </c>
      <c r="E5867" s="36">
        <v>1</v>
      </c>
      <c r="F5867" s="30">
        <v>48.060499999999998</v>
      </c>
      <c r="G5867" s="53">
        <f t="shared" si="110"/>
        <v>48.060499999999998</v>
      </c>
      <c r="H5867" s="38">
        <f>SUM(G5867:G5867)</f>
        <v>48.060499999999998</v>
      </c>
      <c r="I5867" s="39"/>
      <c r="J5867" s="148">
        <v>0</v>
      </c>
      <c r="K5867" s="222">
        <v>0</v>
      </c>
    </row>
    <row r="5868" spans="1:11" ht="15.75" hidden="1" thickBot="1" x14ac:dyDescent="0.3">
      <c r="A5868" s="208"/>
      <c r="B5868" s="206"/>
      <c r="C5868" s="54"/>
      <c r="D5868" s="150"/>
      <c r="E5868" s="65"/>
      <c r="F5868" s="75" t="s">
        <v>514</v>
      </c>
      <c r="G5868" s="75" t="str">
        <f t="shared" si="110"/>
        <v/>
      </c>
      <c r="H5868" s="76"/>
      <c r="I5868" s="73"/>
      <c r="J5868" s="148">
        <v>0</v>
      </c>
      <c r="K5868" s="222">
        <v>0</v>
      </c>
    </row>
    <row r="5869" spans="1:11" ht="15.75" hidden="1" thickBot="1" x14ac:dyDescent="0.3">
      <c r="A5869" s="202" t="s">
        <v>5476</v>
      </c>
      <c r="B5869" s="204" t="str">
        <f>INDEX(Orçamentária!A:B,MATCH(Composições!A5869,Orçamentária!A:A,0),2)</f>
        <v>Conector curvo para eletroduto 4”</v>
      </c>
      <c r="C5869" s="40"/>
      <c r="D5869" s="25" t="str">
        <f>TRIM(INDEX(Orçamentária!C:C,MATCH(Composições!A5869,Orçamentária!A:A,0),1))</f>
        <v>un</v>
      </c>
      <c r="E5869" s="26"/>
      <c r="F5869" s="48" t="s">
        <v>514</v>
      </c>
      <c r="G5869" s="27" t="str">
        <f t="shared" si="110"/>
        <v/>
      </c>
      <c r="H5869" s="28"/>
      <c r="I5869" s="29"/>
      <c r="J5869" s="148">
        <v>0</v>
      </c>
      <c r="K5869" s="222">
        <v>0</v>
      </c>
    </row>
    <row r="5870" spans="1:11" hidden="1" x14ac:dyDescent="0.25">
      <c r="A5870" s="207"/>
      <c r="B5870" s="205"/>
      <c r="C5870" s="31"/>
      <c r="D5870" s="31"/>
      <c r="E5870" s="32"/>
      <c r="F5870" s="53" t="s">
        <v>514</v>
      </c>
      <c r="G5870" s="53" t="str">
        <f t="shared" ref="G5870:G5933" si="111">IF(ISNUMBER(F5870),E5870*F5870,"")</f>
        <v/>
      </c>
      <c r="H5870" s="72"/>
      <c r="I5870" s="73"/>
      <c r="J5870" s="148">
        <v>0</v>
      </c>
      <c r="K5870" s="222">
        <v>0</v>
      </c>
    </row>
    <row r="5871" spans="1:11" ht="38.25" hidden="1" x14ac:dyDescent="0.25">
      <c r="A5871" s="207"/>
      <c r="B5871" s="205"/>
      <c r="C5871" s="35" t="s">
        <v>3266</v>
      </c>
      <c r="D5871" s="35" t="s">
        <v>20</v>
      </c>
      <c r="E5871" s="36">
        <v>1</v>
      </c>
      <c r="F5871" s="30">
        <v>247.60799999999998</v>
      </c>
      <c r="G5871" s="53">
        <f t="shared" si="111"/>
        <v>247.60799999999998</v>
      </c>
      <c r="H5871" s="38">
        <f>SUM(G5871:G5871)</f>
        <v>247.60799999999998</v>
      </c>
      <c r="I5871" s="39"/>
      <c r="J5871" s="148">
        <v>0</v>
      </c>
      <c r="K5871" s="222">
        <v>0</v>
      </c>
    </row>
    <row r="5872" spans="1:11" ht="15.75" hidden="1" thickBot="1" x14ac:dyDescent="0.3">
      <c r="A5872" s="208"/>
      <c r="B5872" s="206"/>
      <c r="C5872" s="54"/>
      <c r="D5872" s="150"/>
      <c r="E5872" s="65"/>
      <c r="F5872" s="75" t="s">
        <v>514</v>
      </c>
      <c r="G5872" s="75" t="str">
        <f t="shared" si="111"/>
        <v/>
      </c>
      <c r="H5872" s="76"/>
      <c r="I5872" s="73"/>
      <c r="J5872" s="148">
        <v>0</v>
      </c>
      <c r="K5872" s="222">
        <v>0</v>
      </c>
    </row>
    <row r="5873" spans="1:11" ht="15.75" hidden="1" thickBot="1" x14ac:dyDescent="0.3">
      <c r="A5873" s="202" t="s">
        <v>5477</v>
      </c>
      <c r="B5873" s="204" t="str">
        <f>INDEX(Orçamentária!A:B,MATCH(Composições!A5873,Orçamentária!A:A,0),2)</f>
        <v>Luva para eletroduto 4”</v>
      </c>
      <c r="C5873" s="40"/>
      <c r="D5873" s="25" t="str">
        <f>TRIM(INDEX(Orçamentária!C:C,MATCH(Composições!A5873,Orçamentária!A:A,0),1))</f>
        <v>un</v>
      </c>
      <c r="E5873" s="26"/>
      <c r="F5873" s="48" t="s">
        <v>514</v>
      </c>
      <c r="G5873" s="27" t="str">
        <f t="shared" si="111"/>
        <v/>
      </c>
      <c r="H5873" s="28"/>
      <c r="I5873" s="29"/>
      <c r="J5873" s="148">
        <v>0</v>
      </c>
      <c r="K5873" s="222">
        <v>0</v>
      </c>
    </row>
    <row r="5874" spans="1:11" hidden="1" x14ac:dyDescent="0.25">
      <c r="A5874" s="207"/>
      <c r="B5874" s="205"/>
      <c r="C5874" s="31"/>
      <c r="D5874" s="31"/>
      <c r="E5874" s="32"/>
      <c r="F5874" s="53" t="s">
        <v>514</v>
      </c>
      <c r="G5874" s="53" t="str">
        <f t="shared" si="111"/>
        <v/>
      </c>
      <c r="H5874" s="72"/>
      <c r="I5874" s="73"/>
      <c r="J5874" s="148">
        <v>0</v>
      </c>
      <c r="K5874" s="222">
        <v>0</v>
      </c>
    </row>
    <row r="5875" spans="1:11" ht="25.5" hidden="1" x14ac:dyDescent="0.25">
      <c r="A5875" s="207"/>
      <c r="B5875" s="205"/>
      <c r="C5875" s="35" t="s">
        <v>3316</v>
      </c>
      <c r="D5875" s="35" t="s">
        <v>20</v>
      </c>
      <c r="E5875" s="36">
        <v>1</v>
      </c>
      <c r="F5875" s="30">
        <v>34.798500000000004</v>
      </c>
      <c r="G5875" s="53">
        <f t="shared" si="111"/>
        <v>34.798500000000004</v>
      </c>
      <c r="H5875" s="38">
        <f>SUM(G5875:G5875)</f>
        <v>34.798500000000004</v>
      </c>
      <c r="I5875" s="39"/>
      <c r="J5875" s="148">
        <v>0</v>
      </c>
      <c r="K5875" s="222">
        <v>0</v>
      </c>
    </row>
    <row r="5876" spans="1:11" ht="15.75" hidden="1" thickBot="1" x14ac:dyDescent="0.3">
      <c r="A5876" s="208"/>
      <c r="B5876" s="206"/>
      <c r="C5876" s="54"/>
      <c r="D5876" s="150"/>
      <c r="E5876" s="65"/>
      <c r="F5876" s="75" t="s">
        <v>514</v>
      </c>
      <c r="G5876" s="75" t="str">
        <f t="shared" si="111"/>
        <v/>
      </c>
      <c r="H5876" s="76"/>
      <c r="I5876" s="73"/>
      <c r="J5876" s="148">
        <v>0</v>
      </c>
      <c r="K5876" s="222">
        <v>0</v>
      </c>
    </row>
    <row r="5877" spans="1:11" ht="15.75" hidden="1" thickBot="1" x14ac:dyDescent="0.3">
      <c r="A5877" s="202" t="s">
        <v>5479</v>
      </c>
      <c r="B5877" s="204" t="str">
        <f>INDEX(Orçamentária!A:B,MATCH(Composições!A5877,Orçamentária!A:A,0),2)</f>
        <v>Curva para eletroduto 4”</v>
      </c>
      <c r="C5877" s="40"/>
      <c r="D5877" s="25" t="str">
        <f>TRIM(INDEX(Orçamentária!C:C,MATCH(Composições!A5877,Orçamentária!A:A,0),1))</f>
        <v>un</v>
      </c>
      <c r="E5877" s="26"/>
      <c r="F5877" s="48" t="s">
        <v>514</v>
      </c>
      <c r="G5877" s="27" t="str">
        <f t="shared" si="111"/>
        <v/>
      </c>
      <c r="H5877" s="28"/>
      <c r="I5877" s="29"/>
      <c r="J5877" s="148">
        <v>0</v>
      </c>
      <c r="K5877" s="222">
        <v>0</v>
      </c>
    </row>
    <row r="5878" spans="1:11" hidden="1" x14ac:dyDescent="0.25">
      <c r="A5878" s="207"/>
      <c r="B5878" s="205"/>
      <c r="C5878" s="31"/>
      <c r="D5878" s="31"/>
      <c r="E5878" s="32"/>
      <c r="F5878" s="53" t="s">
        <v>514</v>
      </c>
      <c r="G5878" s="53" t="str">
        <f t="shared" si="111"/>
        <v/>
      </c>
      <c r="H5878" s="72"/>
      <c r="I5878" s="73"/>
      <c r="J5878" s="148">
        <v>0</v>
      </c>
      <c r="K5878" s="222">
        <v>0</v>
      </c>
    </row>
    <row r="5879" spans="1:11" ht="25.5" hidden="1" x14ac:dyDescent="0.25">
      <c r="A5879" s="207"/>
      <c r="B5879" s="205"/>
      <c r="C5879" s="35" t="s">
        <v>3280</v>
      </c>
      <c r="D5879" s="35" t="s">
        <v>20</v>
      </c>
      <c r="E5879" s="36">
        <v>1</v>
      </c>
      <c r="F5879" s="30">
        <v>197.64750000000001</v>
      </c>
      <c r="G5879" s="53">
        <f t="shared" si="111"/>
        <v>197.64750000000001</v>
      </c>
      <c r="H5879" s="38">
        <f>SUM(G5879:G5879)</f>
        <v>197.64750000000001</v>
      </c>
      <c r="I5879" s="39"/>
      <c r="J5879" s="148">
        <v>0</v>
      </c>
      <c r="K5879" s="222">
        <v>0</v>
      </c>
    </row>
    <row r="5880" spans="1:11" ht="15.75" hidden="1" thickBot="1" x14ac:dyDescent="0.3">
      <c r="A5880" s="208"/>
      <c r="B5880" s="206"/>
      <c r="C5880" s="54"/>
      <c r="D5880" s="150"/>
      <c r="E5880" s="65"/>
      <c r="F5880" s="75" t="s">
        <v>514</v>
      </c>
      <c r="G5880" s="75" t="str">
        <f t="shared" si="111"/>
        <v/>
      </c>
      <c r="H5880" s="76"/>
      <c r="I5880" s="73"/>
      <c r="J5880" s="148">
        <v>0</v>
      </c>
      <c r="K5880" s="222">
        <v>0</v>
      </c>
    </row>
    <row r="5881" spans="1:11" ht="15.75" hidden="1" thickBot="1" x14ac:dyDescent="0.3">
      <c r="A5881" s="202" t="s">
        <v>5480</v>
      </c>
      <c r="B5881" s="204" t="str">
        <f>INDEX(Orçamentária!A:B,MATCH(Composições!A5881,Orçamentária!A:A,0),2)</f>
        <v>Eletroduto de PVC Corrugado Reforçado 3/4” (DE 25mm)</v>
      </c>
      <c r="C5881" s="40"/>
      <c r="D5881" s="25" t="str">
        <f>TRIM(INDEX(Orçamentária!C:C,MATCH(Composições!A5881,Orçamentária!A:A,0),1))</f>
        <v>m</v>
      </c>
      <c r="E5881" s="26"/>
      <c r="F5881" s="48" t="s">
        <v>514</v>
      </c>
      <c r="G5881" s="27" t="str">
        <f t="shared" si="111"/>
        <v/>
      </c>
      <c r="H5881" s="28"/>
      <c r="I5881" s="29"/>
      <c r="J5881" s="148">
        <v>0</v>
      </c>
      <c r="K5881" s="222">
        <v>0</v>
      </c>
    </row>
    <row r="5882" spans="1:11" hidden="1" x14ac:dyDescent="0.25">
      <c r="A5882" s="207"/>
      <c r="B5882" s="205"/>
      <c r="C5882" s="31"/>
      <c r="D5882" s="31"/>
      <c r="E5882" s="32"/>
      <c r="F5882" s="53" t="s">
        <v>514</v>
      </c>
      <c r="G5882" s="53" t="str">
        <f t="shared" si="111"/>
        <v/>
      </c>
      <c r="H5882" s="72"/>
      <c r="I5882" s="73"/>
      <c r="J5882" s="148">
        <v>0</v>
      </c>
      <c r="K5882" s="222">
        <v>0</v>
      </c>
    </row>
    <row r="5883" spans="1:11" ht="25.5" hidden="1" x14ac:dyDescent="0.25">
      <c r="A5883" s="207"/>
      <c r="B5883" s="205"/>
      <c r="C5883" s="35" t="s">
        <v>3299</v>
      </c>
      <c r="D5883" s="35" t="s">
        <v>92</v>
      </c>
      <c r="E5883" s="36">
        <v>1</v>
      </c>
      <c r="F5883" s="30">
        <v>4.1324999999999994</v>
      </c>
      <c r="G5883" s="53">
        <f t="shared" si="111"/>
        <v>4.1324999999999994</v>
      </c>
      <c r="H5883" s="38">
        <f>SUM(G5883:G5883)</f>
        <v>4.1324999999999994</v>
      </c>
      <c r="I5883" s="39"/>
      <c r="J5883" s="148">
        <v>0</v>
      </c>
      <c r="K5883" s="222">
        <v>0</v>
      </c>
    </row>
    <row r="5884" spans="1:11" ht="15.75" hidden="1" thickBot="1" x14ac:dyDescent="0.3">
      <c r="A5884" s="208"/>
      <c r="B5884" s="206"/>
      <c r="C5884" s="54"/>
      <c r="D5884" s="150"/>
      <c r="E5884" s="65"/>
      <c r="F5884" s="75" t="s">
        <v>514</v>
      </c>
      <c r="G5884" s="75" t="str">
        <f t="shared" si="111"/>
        <v/>
      </c>
      <c r="H5884" s="76"/>
      <c r="I5884" s="73"/>
      <c r="J5884" s="148">
        <v>0</v>
      </c>
      <c r="K5884" s="222">
        <v>0</v>
      </c>
    </row>
    <row r="5885" spans="1:11" ht="15.75" hidden="1" thickBot="1" x14ac:dyDescent="0.3">
      <c r="A5885" s="202" t="s">
        <v>5481</v>
      </c>
      <c r="B5885" s="204" t="str">
        <f>INDEX(Orçamentária!A:B,MATCH(Composições!A5885,Orçamentária!A:A,0),2)</f>
        <v>Eletroduto de PVC Corrugado Reforçado 1” (DE 32mm)</v>
      </c>
      <c r="C5885" s="40"/>
      <c r="D5885" s="25" t="str">
        <f>TRIM(INDEX(Orçamentária!C:C,MATCH(Composições!A5885,Orçamentária!A:A,0),1))</f>
        <v>m</v>
      </c>
      <c r="E5885" s="26"/>
      <c r="F5885" s="48" t="s">
        <v>514</v>
      </c>
      <c r="G5885" s="27" t="str">
        <f t="shared" si="111"/>
        <v/>
      </c>
      <c r="H5885" s="28"/>
      <c r="I5885" s="29"/>
      <c r="J5885" s="148">
        <v>0</v>
      </c>
      <c r="K5885" s="222">
        <v>0</v>
      </c>
    </row>
    <row r="5886" spans="1:11" hidden="1" x14ac:dyDescent="0.25">
      <c r="A5886" s="207"/>
      <c r="B5886" s="205"/>
      <c r="C5886" s="31"/>
      <c r="D5886" s="31"/>
      <c r="E5886" s="32"/>
      <c r="F5886" s="53" t="s">
        <v>514</v>
      </c>
      <c r="G5886" s="53" t="str">
        <f t="shared" si="111"/>
        <v/>
      </c>
      <c r="H5886" s="72"/>
      <c r="I5886" s="73"/>
      <c r="J5886" s="148">
        <v>0</v>
      </c>
      <c r="K5886" s="222">
        <v>0</v>
      </c>
    </row>
    <row r="5887" spans="1:11" ht="25.5" hidden="1" x14ac:dyDescent="0.25">
      <c r="A5887" s="207"/>
      <c r="B5887" s="205"/>
      <c r="C5887" s="35" t="s">
        <v>3300</v>
      </c>
      <c r="D5887" s="35" t="s">
        <v>92</v>
      </c>
      <c r="E5887" s="36">
        <v>1</v>
      </c>
      <c r="F5887" s="30">
        <v>7.9514999999999985</v>
      </c>
      <c r="G5887" s="53">
        <f t="shared" si="111"/>
        <v>7.9514999999999985</v>
      </c>
      <c r="H5887" s="38">
        <f>SUM(G5887:G5887)</f>
        <v>7.9514999999999985</v>
      </c>
      <c r="I5887" s="39"/>
      <c r="J5887" s="148">
        <v>0</v>
      </c>
      <c r="K5887" s="222">
        <v>0</v>
      </c>
    </row>
    <row r="5888" spans="1:11" ht="15.75" hidden="1" thickBot="1" x14ac:dyDescent="0.3">
      <c r="A5888" s="208"/>
      <c r="B5888" s="206"/>
      <c r="C5888" s="54"/>
      <c r="D5888" s="150"/>
      <c r="E5888" s="65"/>
      <c r="F5888" s="75" t="s">
        <v>514</v>
      </c>
      <c r="G5888" s="75" t="str">
        <f t="shared" si="111"/>
        <v/>
      </c>
      <c r="H5888" s="76"/>
      <c r="I5888" s="73"/>
      <c r="J5888" s="148">
        <v>0</v>
      </c>
      <c r="K5888" s="222">
        <v>0</v>
      </c>
    </row>
    <row r="5889" spans="1:11" ht="15.75" hidden="1" thickBot="1" x14ac:dyDescent="0.3">
      <c r="A5889" s="202" t="s">
        <v>5482</v>
      </c>
      <c r="B5889" s="204" t="str">
        <f>INDEX(Orçamentária!A:B,MATCH(Composições!A5889,Orçamentária!A:A,0),2)</f>
        <v>Eletroduto flexível metálico com capa de PVC 3/4”</v>
      </c>
      <c r="C5889" s="40"/>
      <c r="D5889" s="25" t="str">
        <f>TRIM(INDEX(Orçamentária!C:C,MATCH(Composições!A5889,Orçamentária!A:A,0),1))</f>
        <v>m</v>
      </c>
      <c r="E5889" s="26"/>
      <c r="F5889" s="48" t="s">
        <v>514</v>
      </c>
      <c r="G5889" s="27" t="str">
        <f t="shared" si="111"/>
        <v/>
      </c>
      <c r="H5889" s="28"/>
      <c r="I5889" s="29"/>
      <c r="J5889" s="148">
        <v>0</v>
      </c>
      <c r="K5889" s="222">
        <v>0</v>
      </c>
    </row>
    <row r="5890" spans="1:11" hidden="1" x14ac:dyDescent="0.25">
      <c r="A5890" s="207"/>
      <c r="B5890" s="205"/>
      <c r="C5890" s="31"/>
      <c r="D5890" s="31"/>
      <c r="E5890" s="32"/>
      <c r="F5890" s="53" t="s">
        <v>514</v>
      </c>
      <c r="G5890" s="53" t="str">
        <f t="shared" si="111"/>
        <v/>
      </c>
      <c r="H5890" s="72"/>
      <c r="I5890" s="73"/>
      <c r="J5890" s="148">
        <v>0</v>
      </c>
      <c r="K5890" s="222">
        <v>0</v>
      </c>
    </row>
    <row r="5891" spans="1:11" ht="38.25" hidden="1" x14ac:dyDescent="0.25">
      <c r="A5891" s="207"/>
      <c r="B5891" s="205"/>
      <c r="C5891" s="35" t="s">
        <v>3295</v>
      </c>
      <c r="D5891" s="35" t="s">
        <v>92</v>
      </c>
      <c r="E5891" s="36">
        <v>1</v>
      </c>
      <c r="F5891" s="30">
        <v>14.363999999999999</v>
      </c>
      <c r="G5891" s="53">
        <f t="shared" si="111"/>
        <v>14.363999999999999</v>
      </c>
      <c r="H5891" s="38">
        <f>SUM(G5891:G5891)</f>
        <v>14.363999999999999</v>
      </c>
      <c r="I5891" s="39"/>
      <c r="J5891" s="148">
        <v>0</v>
      </c>
      <c r="K5891" s="222">
        <v>0</v>
      </c>
    </row>
    <row r="5892" spans="1:11" ht="15.75" hidden="1" thickBot="1" x14ac:dyDescent="0.3">
      <c r="A5892" s="208"/>
      <c r="B5892" s="206"/>
      <c r="C5892" s="54"/>
      <c r="D5892" s="150"/>
      <c r="E5892" s="65"/>
      <c r="F5892" s="75" t="s">
        <v>514</v>
      </c>
      <c r="G5892" s="75" t="str">
        <f t="shared" si="111"/>
        <v/>
      </c>
      <c r="H5892" s="76"/>
      <c r="I5892" s="73"/>
      <c r="J5892" s="148">
        <v>0</v>
      </c>
      <c r="K5892" s="222">
        <v>0</v>
      </c>
    </row>
    <row r="5893" spans="1:11" ht="15.75" hidden="1" thickBot="1" x14ac:dyDescent="0.3">
      <c r="A5893" s="202" t="s">
        <v>5484</v>
      </c>
      <c r="B5893" s="204" t="str">
        <f>INDEX(Orçamentária!A:B,MATCH(Composições!A5893,Orçamentária!A:A,0),2)</f>
        <v>Eletroduto flexível metálico com capa de PVC 1”</v>
      </c>
      <c r="C5893" s="40"/>
      <c r="D5893" s="25" t="str">
        <f>TRIM(INDEX(Orçamentária!C:C,MATCH(Composições!A5893,Orçamentária!A:A,0),1))</f>
        <v>m</v>
      </c>
      <c r="E5893" s="26"/>
      <c r="F5893" s="48" t="s">
        <v>514</v>
      </c>
      <c r="G5893" s="27" t="str">
        <f t="shared" si="111"/>
        <v/>
      </c>
      <c r="H5893" s="28"/>
      <c r="I5893" s="29"/>
      <c r="J5893" s="148">
        <v>0</v>
      </c>
      <c r="K5893" s="222">
        <v>0</v>
      </c>
    </row>
    <row r="5894" spans="1:11" hidden="1" x14ac:dyDescent="0.25">
      <c r="A5894" s="207"/>
      <c r="B5894" s="205"/>
      <c r="C5894" s="31"/>
      <c r="D5894" s="31"/>
      <c r="E5894" s="32"/>
      <c r="F5894" s="53" t="s">
        <v>514</v>
      </c>
      <c r="G5894" s="53" t="str">
        <f t="shared" si="111"/>
        <v/>
      </c>
      <c r="H5894" s="72"/>
      <c r="I5894" s="73"/>
      <c r="J5894" s="148">
        <v>0</v>
      </c>
      <c r="K5894" s="222">
        <v>0</v>
      </c>
    </row>
    <row r="5895" spans="1:11" ht="38.25" hidden="1" x14ac:dyDescent="0.25">
      <c r="A5895" s="207"/>
      <c r="B5895" s="205"/>
      <c r="C5895" s="35" t="s">
        <v>3296</v>
      </c>
      <c r="D5895" s="35" t="s">
        <v>92</v>
      </c>
      <c r="E5895" s="36">
        <v>1</v>
      </c>
      <c r="F5895" s="30">
        <v>18.838499999999996</v>
      </c>
      <c r="G5895" s="53">
        <f t="shared" si="111"/>
        <v>18.838499999999996</v>
      </c>
      <c r="H5895" s="38">
        <f>SUM(G5895:G5895)</f>
        <v>18.838499999999996</v>
      </c>
      <c r="I5895" s="39"/>
      <c r="J5895" s="148">
        <v>0</v>
      </c>
      <c r="K5895" s="222">
        <v>0</v>
      </c>
    </row>
    <row r="5896" spans="1:11" ht="15.75" hidden="1" thickBot="1" x14ac:dyDescent="0.3">
      <c r="A5896" s="208"/>
      <c r="B5896" s="206"/>
      <c r="C5896" s="54"/>
      <c r="D5896" s="150"/>
      <c r="E5896" s="65"/>
      <c r="F5896" s="75" t="s">
        <v>514</v>
      </c>
      <c r="G5896" s="75" t="str">
        <f t="shared" si="111"/>
        <v/>
      </c>
      <c r="H5896" s="76"/>
      <c r="I5896" s="73"/>
      <c r="J5896" s="148">
        <v>0</v>
      </c>
      <c r="K5896" s="222">
        <v>0</v>
      </c>
    </row>
    <row r="5897" spans="1:11" ht="15.75" hidden="1" thickBot="1" x14ac:dyDescent="0.3">
      <c r="A5897" s="202" t="s">
        <v>5486</v>
      </c>
      <c r="B5897" s="204" t="str">
        <f>INDEX(Orçamentária!A:B,MATCH(Composições!A5897,Orçamentária!A:A,0),2)</f>
        <v>Eletroduto flexível metálico com capa de PVC 1 1/4”</v>
      </c>
      <c r="C5897" s="40"/>
      <c r="D5897" s="25" t="str">
        <f>TRIM(INDEX(Orçamentária!C:C,MATCH(Composições!A5897,Orçamentária!A:A,0),1))</f>
        <v>m</v>
      </c>
      <c r="E5897" s="26"/>
      <c r="F5897" s="48" t="s">
        <v>514</v>
      </c>
      <c r="G5897" s="27" t="str">
        <f t="shared" si="111"/>
        <v/>
      </c>
      <c r="H5897" s="28"/>
      <c r="I5897" s="29"/>
      <c r="J5897" s="148">
        <v>0</v>
      </c>
      <c r="K5897" s="222">
        <v>0</v>
      </c>
    </row>
    <row r="5898" spans="1:11" hidden="1" x14ac:dyDescent="0.25">
      <c r="A5898" s="207"/>
      <c r="B5898" s="205"/>
      <c r="C5898" s="31"/>
      <c r="D5898" s="31"/>
      <c r="E5898" s="32"/>
      <c r="F5898" s="53" t="s">
        <v>514</v>
      </c>
      <c r="G5898" s="53" t="str">
        <f t="shared" si="111"/>
        <v/>
      </c>
      <c r="H5898" s="72"/>
      <c r="I5898" s="73"/>
      <c r="J5898" s="148">
        <v>0</v>
      </c>
      <c r="K5898" s="222">
        <v>0</v>
      </c>
    </row>
    <row r="5899" spans="1:11" ht="38.25" hidden="1" x14ac:dyDescent="0.25">
      <c r="A5899" s="207"/>
      <c r="B5899" s="205"/>
      <c r="C5899" s="35" t="s">
        <v>3297</v>
      </c>
      <c r="D5899" s="35" t="s">
        <v>92</v>
      </c>
      <c r="E5899" s="36">
        <v>1</v>
      </c>
      <c r="F5899" s="30">
        <v>28.433499999999999</v>
      </c>
      <c r="G5899" s="53">
        <f t="shared" si="111"/>
        <v>28.433499999999999</v>
      </c>
      <c r="H5899" s="38">
        <f>SUM(G5899:G5899)</f>
        <v>28.433499999999999</v>
      </c>
      <c r="I5899" s="39"/>
      <c r="J5899" s="148">
        <v>0</v>
      </c>
      <c r="K5899" s="222">
        <v>0</v>
      </c>
    </row>
    <row r="5900" spans="1:11" ht="15.75" hidden="1" thickBot="1" x14ac:dyDescent="0.3">
      <c r="A5900" s="208"/>
      <c r="B5900" s="206"/>
      <c r="C5900" s="54"/>
      <c r="D5900" s="150"/>
      <c r="E5900" s="65"/>
      <c r="F5900" s="75" t="s">
        <v>514</v>
      </c>
      <c r="G5900" s="75" t="str">
        <f t="shared" si="111"/>
        <v/>
      </c>
      <c r="H5900" s="76"/>
      <c r="I5900" s="73"/>
      <c r="J5900" s="148">
        <v>0</v>
      </c>
      <c r="K5900" s="222">
        <v>0</v>
      </c>
    </row>
    <row r="5901" spans="1:11" ht="15.75" hidden="1" thickBot="1" x14ac:dyDescent="0.3">
      <c r="A5901" s="202" t="s">
        <v>5488</v>
      </c>
      <c r="B5901" s="204" t="str">
        <f>INDEX(Orçamentária!A:B,MATCH(Composições!A5901,Orçamentária!A:A,0),2)</f>
        <v>Eletroduto flexível metálico com capa de PVC 1 1/2”</v>
      </c>
      <c r="C5901" s="40"/>
      <c r="D5901" s="25" t="str">
        <f>TRIM(INDEX(Orçamentária!C:C,MATCH(Composições!A5901,Orçamentária!A:A,0),1))</f>
        <v>m</v>
      </c>
      <c r="E5901" s="26"/>
      <c r="F5901" s="48" t="s">
        <v>514</v>
      </c>
      <c r="G5901" s="27" t="str">
        <f t="shared" si="111"/>
        <v/>
      </c>
      <c r="H5901" s="28"/>
      <c r="I5901" s="29"/>
      <c r="J5901" s="148">
        <v>0</v>
      </c>
      <c r="K5901" s="222">
        <v>0</v>
      </c>
    </row>
    <row r="5902" spans="1:11" hidden="1" x14ac:dyDescent="0.25">
      <c r="A5902" s="207"/>
      <c r="B5902" s="205"/>
      <c r="C5902" s="31"/>
      <c r="D5902" s="31"/>
      <c r="E5902" s="32"/>
      <c r="F5902" s="53" t="s">
        <v>514</v>
      </c>
      <c r="G5902" s="53" t="str">
        <f t="shared" si="111"/>
        <v/>
      </c>
      <c r="H5902" s="72"/>
      <c r="I5902" s="73"/>
      <c r="J5902" s="148">
        <v>0</v>
      </c>
      <c r="K5902" s="222">
        <v>0</v>
      </c>
    </row>
    <row r="5903" spans="1:11" ht="38.25" hidden="1" x14ac:dyDescent="0.25">
      <c r="A5903" s="207"/>
      <c r="B5903" s="205"/>
      <c r="C5903" s="35" t="s">
        <v>1201</v>
      </c>
      <c r="D5903" s="35" t="s">
        <v>92</v>
      </c>
      <c r="E5903" s="36">
        <v>1</v>
      </c>
      <c r="F5903" s="30">
        <v>36.584499999999998</v>
      </c>
      <c r="G5903" s="53">
        <f t="shared" si="111"/>
        <v>36.584499999999998</v>
      </c>
      <c r="H5903" s="38">
        <f>SUM(G5903:G5903)</f>
        <v>36.584499999999998</v>
      </c>
      <c r="I5903" s="39"/>
      <c r="J5903" s="148">
        <v>0</v>
      </c>
      <c r="K5903" s="222">
        <v>0</v>
      </c>
    </row>
    <row r="5904" spans="1:11" ht="15.75" hidden="1" thickBot="1" x14ac:dyDescent="0.3">
      <c r="A5904" s="208"/>
      <c r="B5904" s="206"/>
      <c r="C5904" s="54"/>
      <c r="D5904" s="150"/>
      <c r="E5904" s="65"/>
      <c r="F5904" s="75" t="s">
        <v>514</v>
      </c>
      <c r="G5904" s="75" t="str">
        <f t="shared" si="111"/>
        <v/>
      </c>
      <c r="H5904" s="76"/>
      <c r="I5904" s="73"/>
      <c r="J5904" s="148">
        <v>0</v>
      </c>
      <c r="K5904" s="222">
        <v>0</v>
      </c>
    </row>
    <row r="5905" spans="1:11" ht="15.75" hidden="1" thickBot="1" x14ac:dyDescent="0.3">
      <c r="A5905" s="202" t="s">
        <v>5490</v>
      </c>
      <c r="B5905" s="204" t="str">
        <f>INDEX(Orçamentária!A:B,MATCH(Composições!A5905,Orçamentária!A:A,0),2)</f>
        <v>Eletroduto flexível metálico com capa de PVC 2”</v>
      </c>
      <c r="C5905" s="40"/>
      <c r="D5905" s="25" t="str">
        <f>TRIM(INDEX(Orçamentária!C:C,MATCH(Composições!A5905,Orçamentária!A:A,0),1))</f>
        <v>m</v>
      </c>
      <c r="E5905" s="26"/>
      <c r="F5905" s="48" t="s">
        <v>514</v>
      </c>
      <c r="G5905" s="27" t="str">
        <f t="shared" si="111"/>
        <v/>
      </c>
      <c r="H5905" s="28"/>
      <c r="I5905" s="29"/>
      <c r="J5905" s="148">
        <v>0</v>
      </c>
      <c r="K5905" s="222">
        <v>0</v>
      </c>
    </row>
    <row r="5906" spans="1:11" hidden="1" x14ac:dyDescent="0.25">
      <c r="A5906" s="207"/>
      <c r="B5906" s="205"/>
      <c r="C5906" s="31"/>
      <c r="D5906" s="31"/>
      <c r="E5906" s="32"/>
      <c r="F5906" s="53" t="s">
        <v>514</v>
      </c>
      <c r="G5906" s="53" t="str">
        <f t="shared" si="111"/>
        <v/>
      </c>
      <c r="H5906" s="72"/>
      <c r="I5906" s="73"/>
      <c r="J5906" s="148">
        <v>0</v>
      </c>
      <c r="K5906" s="222">
        <v>0</v>
      </c>
    </row>
    <row r="5907" spans="1:11" ht="38.25" hidden="1" x14ac:dyDescent="0.25">
      <c r="A5907" s="207"/>
      <c r="B5907" s="205"/>
      <c r="C5907" s="35" t="s">
        <v>3298</v>
      </c>
      <c r="D5907" s="35" t="s">
        <v>92</v>
      </c>
      <c r="E5907" s="36">
        <v>1</v>
      </c>
      <c r="F5907" s="30">
        <v>48.734999999999992</v>
      </c>
      <c r="G5907" s="53">
        <f t="shared" si="111"/>
        <v>48.734999999999992</v>
      </c>
      <c r="H5907" s="38">
        <f>SUM(G5907:G5907)</f>
        <v>48.734999999999992</v>
      </c>
      <c r="I5907" s="39"/>
      <c r="J5907" s="148">
        <v>0</v>
      </c>
      <c r="K5907" s="222">
        <v>0</v>
      </c>
    </row>
    <row r="5908" spans="1:11" ht="15.75" hidden="1" thickBot="1" x14ac:dyDescent="0.3">
      <c r="A5908" s="208"/>
      <c r="B5908" s="206"/>
      <c r="C5908" s="54"/>
      <c r="D5908" s="150"/>
      <c r="E5908" s="65"/>
      <c r="F5908" s="75" t="s">
        <v>514</v>
      </c>
      <c r="G5908" s="75" t="str">
        <f t="shared" si="111"/>
        <v/>
      </c>
      <c r="H5908" s="76"/>
      <c r="I5908" s="73"/>
      <c r="J5908" s="148">
        <v>0</v>
      </c>
      <c r="K5908" s="222">
        <v>0</v>
      </c>
    </row>
    <row r="5909" spans="1:11" ht="15.75" hidden="1" thickBot="1" x14ac:dyDescent="0.3">
      <c r="A5909" s="202" t="s">
        <v>5492</v>
      </c>
      <c r="B5909" s="204" t="str">
        <f>INDEX(Orçamentária!A:B,MATCH(Composições!A5909,Orçamentária!A:A,0),2)</f>
        <v>Eletroduto de PEAD de 1 1/4”</v>
      </c>
      <c r="C5909" s="40"/>
      <c r="D5909" s="25" t="str">
        <f>TRIM(INDEX(Orçamentária!C:C,MATCH(Composições!A5909,Orçamentária!A:A,0),1))</f>
        <v>m</v>
      </c>
      <c r="E5909" s="26"/>
      <c r="F5909" s="48" t="s">
        <v>514</v>
      </c>
      <c r="G5909" s="27" t="str">
        <f t="shared" si="111"/>
        <v/>
      </c>
      <c r="H5909" s="28"/>
      <c r="I5909" s="29"/>
      <c r="J5909" s="148">
        <v>0</v>
      </c>
      <c r="K5909" s="222">
        <v>0</v>
      </c>
    </row>
    <row r="5910" spans="1:11" hidden="1" x14ac:dyDescent="0.25">
      <c r="A5910" s="207"/>
      <c r="B5910" s="205"/>
      <c r="C5910" s="31"/>
      <c r="D5910" s="31"/>
      <c r="E5910" s="32"/>
      <c r="F5910" s="53" t="s">
        <v>514</v>
      </c>
      <c r="G5910" s="53" t="str">
        <f t="shared" si="111"/>
        <v/>
      </c>
      <c r="H5910" s="72"/>
      <c r="I5910" s="73"/>
      <c r="J5910" s="148">
        <v>0</v>
      </c>
      <c r="K5910" s="222">
        <v>0</v>
      </c>
    </row>
    <row r="5911" spans="1:11" ht="38.25" hidden="1" x14ac:dyDescent="0.25">
      <c r="A5911" s="207"/>
      <c r="B5911" s="205"/>
      <c r="C5911" s="35" t="s">
        <v>6775</v>
      </c>
      <c r="D5911" s="35" t="s">
        <v>92</v>
      </c>
      <c r="E5911" s="36">
        <v>1</v>
      </c>
      <c r="F5911" s="30">
        <v>4.0564999999999998</v>
      </c>
      <c r="G5911" s="53">
        <f t="shared" si="111"/>
        <v>4.0564999999999998</v>
      </c>
      <c r="H5911" s="38">
        <f>SUM(G5911:G5911)</f>
        <v>4.0564999999999998</v>
      </c>
      <c r="I5911" s="39"/>
      <c r="J5911" s="148">
        <v>0</v>
      </c>
      <c r="K5911" s="222">
        <v>0</v>
      </c>
    </row>
    <row r="5912" spans="1:11" ht="15.75" hidden="1" thickBot="1" x14ac:dyDescent="0.3">
      <c r="A5912" s="208"/>
      <c r="B5912" s="206"/>
      <c r="C5912" s="54"/>
      <c r="D5912" s="150"/>
      <c r="E5912" s="65"/>
      <c r="F5912" s="75" t="s">
        <v>514</v>
      </c>
      <c r="G5912" s="75" t="str">
        <f t="shared" si="111"/>
        <v/>
      </c>
      <c r="H5912" s="76"/>
      <c r="I5912" s="73"/>
      <c r="J5912" s="148">
        <v>0</v>
      </c>
      <c r="K5912" s="222">
        <v>0</v>
      </c>
    </row>
    <row r="5913" spans="1:11" ht="15.75" hidden="1" thickBot="1" x14ac:dyDescent="0.3">
      <c r="A5913" s="202" t="s">
        <v>5493</v>
      </c>
      <c r="B5913" s="204" t="str">
        <f>INDEX(Orçamentária!A:B,MATCH(Composições!A5913,Orçamentária!A:A,0),2)</f>
        <v>Terminal para eletroduto de PEAD de 1 1/4”</v>
      </c>
      <c r="C5913" s="40"/>
      <c r="D5913" s="25" t="str">
        <f>TRIM(INDEX(Orçamentária!C:C,MATCH(Composições!A5913,Orçamentária!A:A,0),1))</f>
        <v>un</v>
      </c>
      <c r="E5913" s="26"/>
      <c r="F5913" s="48" t="s">
        <v>514</v>
      </c>
      <c r="G5913" s="27" t="str">
        <f t="shared" si="111"/>
        <v/>
      </c>
      <c r="H5913" s="28"/>
      <c r="I5913" s="29"/>
      <c r="J5913" s="148">
        <v>0</v>
      </c>
      <c r="K5913" s="222">
        <v>0</v>
      </c>
    </row>
    <row r="5914" spans="1:11" hidden="1" x14ac:dyDescent="0.25">
      <c r="A5914" s="207"/>
      <c r="B5914" s="205"/>
      <c r="C5914" s="31"/>
      <c r="D5914" s="31"/>
      <c r="E5914" s="32"/>
      <c r="F5914" s="53" t="s">
        <v>514</v>
      </c>
      <c r="G5914" s="53" t="str">
        <f t="shared" si="111"/>
        <v/>
      </c>
      <c r="H5914" s="72"/>
      <c r="I5914" s="73"/>
      <c r="J5914" s="148">
        <v>0</v>
      </c>
      <c r="K5914" s="222">
        <v>0</v>
      </c>
    </row>
    <row r="5915" spans="1:11" ht="25.5" hidden="1" x14ac:dyDescent="0.25">
      <c r="A5915" s="207"/>
      <c r="B5915" s="205"/>
      <c r="C5915" s="35" t="s">
        <v>3344</v>
      </c>
      <c r="D5915" s="35" t="s">
        <v>20</v>
      </c>
      <c r="E5915" s="36">
        <v>1</v>
      </c>
      <c r="F5915" s="30">
        <v>6.7449999999999992</v>
      </c>
      <c r="G5915" s="53">
        <f t="shared" si="111"/>
        <v>6.7449999999999992</v>
      </c>
      <c r="H5915" s="38">
        <f>SUM(G5915:G5915)</f>
        <v>6.7449999999999992</v>
      </c>
      <c r="I5915" s="39"/>
      <c r="J5915" s="148">
        <v>0</v>
      </c>
      <c r="K5915" s="222">
        <v>0</v>
      </c>
    </row>
    <row r="5916" spans="1:11" ht="15.75" hidden="1" thickBot="1" x14ac:dyDescent="0.3">
      <c r="A5916" s="208"/>
      <c r="B5916" s="206"/>
      <c r="C5916" s="54"/>
      <c r="D5916" s="150"/>
      <c r="E5916" s="65"/>
      <c r="F5916" s="75" t="s">
        <v>514</v>
      </c>
      <c r="G5916" s="75" t="str">
        <f t="shared" si="111"/>
        <v/>
      </c>
      <c r="H5916" s="76"/>
      <c r="I5916" s="73"/>
      <c r="J5916" s="148">
        <v>0</v>
      </c>
      <c r="K5916" s="222">
        <v>0</v>
      </c>
    </row>
    <row r="5917" spans="1:11" ht="15.75" hidden="1" thickBot="1" x14ac:dyDescent="0.3">
      <c r="A5917" s="202" t="s">
        <v>5494</v>
      </c>
      <c r="B5917" s="204" t="str">
        <f>INDEX(Orçamentária!A:B,MATCH(Composições!A5917,Orçamentária!A:A,0),2)</f>
        <v>Eletroduto de PEAD de 2”</v>
      </c>
      <c r="C5917" s="40"/>
      <c r="D5917" s="25" t="str">
        <f>TRIM(INDEX(Orçamentária!C:C,MATCH(Composições!A5917,Orçamentária!A:A,0),1))</f>
        <v>m</v>
      </c>
      <c r="E5917" s="26"/>
      <c r="F5917" s="48" t="s">
        <v>514</v>
      </c>
      <c r="G5917" s="27" t="str">
        <f t="shared" si="111"/>
        <v/>
      </c>
      <c r="H5917" s="28"/>
      <c r="I5917" s="29"/>
      <c r="J5917" s="148">
        <v>0</v>
      </c>
      <c r="K5917" s="222">
        <v>0</v>
      </c>
    </row>
    <row r="5918" spans="1:11" hidden="1" x14ac:dyDescent="0.25">
      <c r="A5918" s="207"/>
      <c r="B5918" s="205"/>
      <c r="C5918" s="31"/>
      <c r="D5918" s="31"/>
      <c r="E5918" s="32"/>
      <c r="F5918" s="53" t="s">
        <v>514</v>
      </c>
      <c r="G5918" s="53" t="str">
        <f t="shared" si="111"/>
        <v/>
      </c>
      <c r="H5918" s="72"/>
      <c r="I5918" s="73"/>
      <c r="J5918" s="148">
        <v>0</v>
      </c>
      <c r="K5918" s="222">
        <v>0</v>
      </c>
    </row>
    <row r="5919" spans="1:11" ht="38.25" hidden="1" x14ac:dyDescent="0.25">
      <c r="A5919" s="207"/>
      <c r="B5919" s="205"/>
      <c r="C5919" s="35" t="s">
        <v>6618</v>
      </c>
      <c r="D5919" s="35" t="s">
        <v>92</v>
      </c>
      <c r="E5919" s="36">
        <v>1</v>
      </c>
      <c r="F5919" s="30">
        <v>6.6879999999999997</v>
      </c>
      <c r="G5919" s="53">
        <f t="shared" si="111"/>
        <v>6.6879999999999997</v>
      </c>
      <c r="H5919" s="38">
        <f>SUM(G5919:G5919)</f>
        <v>6.6879999999999997</v>
      </c>
      <c r="I5919" s="39"/>
      <c r="J5919" s="148">
        <v>0</v>
      </c>
      <c r="K5919" s="222">
        <v>0</v>
      </c>
    </row>
    <row r="5920" spans="1:11" ht="15.75" hidden="1" thickBot="1" x14ac:dyDescent="0.3">
      <c r="A5920" s="208"/>
      <c r="B5920" s="206"/>
      <c r="C5920" s="54"/>
      <c r="D5920" s="150"/>
      <c r="E5920" s="65"/>
      <c r="F5920" s="75" t="s">
        <v>514</v>
      </c>
      <c r="G5920" s="75" t="str">
        <f t="shared" si="111"/>
        <v/>
      </c>
      <c r="H5920" s="76"/>
      <c r="I5920" s="73"/>
      <c r="J5920" s="148">
        <v>0</v>
      </c>
      <c r="K5920" s="222">
        <v>0</v>
      </c>
    </row>
    <row r="5921" spans="1:11" ht="15.75" hidden="1" thickBot="1" x14ac:dyDescent="0.3">
      <c r="A5921" s="202" t="s">
        <v>5495</v>
      </c>
      <c r="B5921" s="204" t="str">
        <f>INDEX(Orçamentária!A:B,MATCH(Composições!A5921,Orçamentária!A:A,0),2)</f>
        <v>Terminal para eletroduto de PEAD de 2”</v>
      </c>
      <c r="C5921" s="40"/>
      <c r="D5921" s="25" t="str">
        <f>TRIM(INDEX(Orçamentária!C:C,MATCH(Composições!A5921,Orçamentária!A:A,0),1))</f>
        <v>un</v>
      </c>
      <c r="E5921" s="26"/>
      <c r="F5921" s="48" t="s">
        <v>514</v>
      </c>
      <c r="G5921" s="27" t="str">
        <f t="shared" si="111"/>
        <v/>
      </c>
      <c r="H5921" s="28"/>
      <c r="I5921" s="29"/>
      <c r="J5921" s="148">
        <v>0</v>
      </c>
      <c r="K5921" s="222">
        <v>0</v>
      </c>
    </row>
    <row r="5922" spans="1:11" hidden="1" x14ac:dyDescent="0.25">
      <c r="A5922" s="207"/>
      <c r="B5922" s="205"/>
      <c r="C5922" s="31"/>
      <c r="D5922" s="31"/>
      <c r="E5922" s="32"/>
      <c r="F5922" s="53" t="s">
        <v>514</v>
      </c>
      <c r="G5922" s="53" t="str">
        <f t="shared" si="111"/>
        <v/>
      </c>
      <c r="H5922" s="72"/>
      <c r="I5922" s="73"/>
      <c r="J5922" s="148">
        <v>0</v>
      </c>
      <c r="K5922" s="222">
        <v>0</v>
      </c>
    </row>
    <row r="5923" spans="1:11" ht="25.5" hidden="1" x14ac:dyDescent="0.25">
      <c r="A5923" s="207"/>
      <c r="B5923" s="205"/>
      <c r="C5923" s="35" t="s">
        <v>3345</v>
      </c>
      <c r="D5923" s="35" t="s">
        <v>20</v>
      </c>
      <c r="E5923" s="36">
        <v>1</v>
      </c>
      <c r="F5923" s="30">
        <v>7.7044999999999995</v>
      </c>
      <c r="G5923" s="53">
        <f t="shared" si="111"/>
        <v>7.7044999999999995</v>
      </c>
      <c r="H5923" s="38">
        <f>SUM(G5923:G5923)</f>
        <v>7.7044999999999995</v>
      </c>
      <c r="I5923" s="39"/>
      <c r="J5923" s="148">
        <v>0</v>
      </c>
      <c r="K5923" s="222">
        <v>0</v>
      </c>
    </row>
    <row r="5924" spans="1:11" ht="15.75" hidden="1" thickBot="1" x14ac:dyDescent="0.3">
      <c r="A5924" s="208"/>
      <c r="B5924" s="206"/>
      <c r="C5924" s="54"/>
      <c r="D5924" s="150"/>
      <c r="E5924" s="65"/>
      <c r="F5924" s="75" t="s">
        <v>514</v>
      </c>
      <c r="G5924" s="75" t="str">
        <f t="shared" si="111"/>
        <v/>
      </c>
      <c r="H5924" s="76"/>
      <c r="I5924" s="73"/>
      <c r="J5924" s="148">
        <v>0</v>
      </c>
      <c r="K5924" s="222">
        <v>0</v>
      </c>
    </row>
    <row r="5925" spans="1:11" ht="15.75" hidden="1" thickBot="1" x14ac:dyDescent="0.3">
      <c r="A5925" s="202" t="s">
        <v>5496</v>
      </c>
      <c r="B5925" s="204" t="str">
        <f>INDEX(Orçamentária!A:B,MATCH(Composições!A5925,Orçamentária!A:A,0),2)</f>
        <v>Eletroduto de PEAD de 3”</v>
      </c>
      <c r="C5925" s="40"/>
      <c r="D5925" s="25" t="str">
        <f>TRIM(INDEX(Orçamentária!C:C,MATCH(Composições!A5925,Orçamentária!A:A,0),1))</f>
        <v>m</v>
      </c>
      <c r="E5925" s="26"/>
      <c r="F5925" s="48" t="s">
        <v>514</v>
      </c>
      <c r="G5925" s="27" t="str">
        <f t="shared" si="111"/>
        <v/>
      </c>
      <c r="H5925" s="28"/>
      <c r="I5925" s="29"/>
      <c r="J5925" s="148">
        <v>0</v>
      </c>
      <c r="K5925" s="222">
        <v>0</v>
      </c>
    </row>
    <row r="5926" spans="1:11" hidden="1" x14ac:dyDescent="0.25">
      <c r="A5926" s="207"/>
      <c r="B5926" s="205"/>
      <c r="C5926" s="31"/>
      <c r="D5926" s="31"/>
      <c r="E5926" s="32"/>
      <c r="F5926" s="53" t="s">
        <v>514</v>
      </c>
      <c r="G5926" s="53" t="str">
        <f t="shared" si="111"/>
        <v/>
      </c>
      <c r="H5926" s="72"/>
      <c r="I5926" s="73"/>
      <c r="J5926" s="148">
        <v>0</v>
      </c>
      <c r="K5926" s="222">
        <v>0</v>
      </c>
    </row>
    <row r="5927" spans="1:11" ht="38.25" hidden="1" x14ac:dyDescent="0.25">
      <c r="A5927" s="207"/>
      <c r="B5927" s="205"/>
      <c r="C5927" s="35" t="s">
        <v>6614</v>
      </c>
      <c r="D5927" s="35" t="s">
        <v>92</v>
      </c>
      <c r="E5927" s="36">
        <v>1</v>
      </c>
      <c r="F5927" s="30">
        <v>9.3669999999999991</v>
      </c>
      <c r="G5927" s="53">
        <f t="shared" si="111"/>
        <v>9.3669999999999991</v>
      </c>
      <c r="H5927" s="38">
        <f>SUM(G5927:G5927)</f>
        <v>9.3669999999999991</v>
      </c>
      <c r="I5927" s="39"/>
      <c r="J5927" s="148">
        <v>0</v>
      </c>
      <c r="K5927" s="222">
        <v>0</v>
      </c>
    </row>
    <row r="5928" spans="1:11" ht="15.75" hidden="1" thickBot="1" x14ac:dyDescent="0.3">
      <c r="A5928" s="208"/>
      <c r="B5928" s="206"/>
      <c r="C5928" s="54"/>
      <c r="D5928" s="150"/>
      <c r="E5928" s="65"/>
      <c r="F5928" s="75" t="s">
        <v>514</v>
      </c>
      <c r="G5928" s="75" t="str">
        <f t="shared" si="111"/>
        <v/>
      </c>
      <c r="H5928" s="76"/>
      <c r="I5928" s="73"/>
      <c r="J5928" s="148">
        <v>0</v>
      </c>
      <c r="K5928" s="222">
        <v>0</v>
      </c>
    </row>
    <row r="5929" spans="1:11" ht="15.75" hidden="1" thickBot="1" x14ac:dyDescent="0.3">
      <c r="A5929" s="202" t="s">
        <v>5497</v>
      </c>
      <c r="B5929" s="204" t="str">
        <f>INDEX(Orçamentária!A:B,MATCH(Composições!A5929,Orçamentária!A:A,0),2)</f>
        <v>Terminal para eletroduto de PEAD de 3”</v>
      </c>
      <c r="C5929" s="40"/>
      <c r="D5929" s="25" t="str">
        <f>TRIM(INDEX(Orçamentária!C:C,MATCH(Composições!A5929,Orçamentária!A:A,0),1))</f>
        <v>un</v>
      </c>
      <c r="E5929" s="26"/>
      <c r="F5929" s="48" t="s">
        <v>514</v>
      </c>
      <c r="G5929" s="27" t="str">
        <f t="shared" si="111"/>
        <v/>
      </c>
      <c r="H5929" s="28"/>
      <c r="I5929" s="29"/>
      <c r="J5929" s="148">
        <v>0</v>
      </c>
      <c r="K5929" s="222">
        <v>0</v>
      </c>
    </row>
    <row r="5930" spans="1:11" hidden="1" x14ac:dyDescent="0.25">
      <c r="A5930" s="207"/>
      <c r="B5930" s="205"/>
      <c r="C5930" s="31"/>
      <c r="D5930" s="31"/>
      <c r="E5930" s="32"/>
      <c r="F5930" s="53" t="s">
        <v>514</v>
      </c>
      <c r="G5930" s="53" t="str">
        <f t="shared" si="111"/>
        <v/>
      </c>
      <c r="H5930" s="72"/>
      <c r="I5930" s="73"/>
      <c r="J5930" s="148">
        <v>0</v>
      </c>
      <c r="K5930" s="222">
        <v>0</v>
      </c>
    </row>
    <row r="5931" spans="1:11" ht="25.5" hidden="1" x14ac:dyDescent="0.25">
      <c r="A5931" s="207"/>
      <c r="B5931" s="205"/>
      <c r="C5931" s="35" t="s">
        <v>3346</v>
      </c>
      <c r="D5931" s="35" t="s">
        <v>20</v>
      </c>
      <c r="E5931" s="36">
        <v>1</v>
      </c>
      <c r="F5931" s="30">
        <v>11.371499999999999</v>
      </c>
      <c r="G5931" s="53">
        <f t="shared" si="111"/>
        <v>11.371499999999999</v>
      </c>
      <c r="H5931" s="38">
        <f>SUM(G5931:G5931)</f>
        <v>11.371499999999999</v>
      </c>
      <c r="I5931" s="39"/>
      <c r="J5931" s="148">
        <v>0</v>
      </c>
      <c r="K5931" s="222">
        <v>0</v>
      </c>
    </row>
    <row r="5932" spans="1:11" ht="15.75" hidden="1" thickBot="1" x14ac:dyDescent="0.3">
      <c r="A5932" s="208"/>
      <c r="B5932" s="206"/>
      <c r="C5932" s="54"/>
      <c r="D5932" s="150"/>
      <c r="E5932" s="65"/>
      <c r="F5932" s="75" t="s">
        <v>514</v>
      </c>
      <c r="G5932" s="75" t="str">
        <f t="shared" si="111"/>
        <v/>
      </c>
      <c r="H5932" s="76"/>
      <c r="I5932" s="73"/>
      <c r="J5932" s="148">
        <v>0</v>
      </c>
      <c r="K5932" s="222">
        <v>0</v>
      </c>
    </row>
    <row r="5933" spans="1:11" ht="15.75" hidden="1" thickBot="1" x14ac:dyDescent="0.3">
      <c r="A5933" s="202" t="s">
        <v>5498</v>
      </c>
      <c r="B5933" s="204" t="str">
        <f>INDEX(Orçamentária!A:B,MATCH(Composições!A5933,Orçamentária!A:A,0),2)</f>
        <v>Eletroduto de PVC de 3/4”</v>
      </c>
      <c r="C5933" s="40"/>
      <c r="D5933" s="25" t="str">
        <f>TRIM(INDEX(Orçamentária!C:C,MATCH(Composições!A5933,Orçamentária!A:A,0),1))</f>
        <v>m</v>
      </c>
      <c r="E5933" s="26"/>
      <c r="F5933" s="48" t="s">
        <v>514</v>
      </c>
      <c r="G5933" s="27" t="str">
        <f t="shared" si="111"/>
        <v/>
      </c>
      <c r="H5933" s="28"/>
      <c r="I5933" s="29"/>
      <c r="J5933" s="148">
        <v>0</v>
      </c>
      <c r="K5933" s="222">
        <v>0</v>
      </c>
    </row>
    <row r="5934" spans="1:11" hidden="1" x14ac:dyDescent="0.25">
      <c r="A5934" s="207"/>
      <c r="B5934" s="205"/>
      <c r="C5934" s="31"/>
      <c r="D5934" s="31"/>
      <c r="E5934" s="32"/>
      <c r="F5934" s="53" t="s">
        <v>514</v>
      </c>
      <c r="G5934" s="53" t="str">
        <f t="shared" ref="G5934:G5997" si="112">IF(ISNUMBER(F5934),E5934*F5934,"")</f>
        <v/>
      </c>
      <c r="H5934" s="72"/>
      <c r="I5934" s="73"/>
      <c r="J5934" s="148">
        <v>0</v>
      </c>
      <c r="K5934" s="222">
        <v>0</v>
      </c>
    </row>
    <row r="5935" spans="1:11" hidden="1" x14ac:dyDescent="0.25">
      <c r="A5935" s="207"/>
      <c r="B5935" s="205"/>
      <c r="C5935" s="35" t="s">
        <v>3294</v>
      </c>
      <c r="D5935" s="35" t="s">
        <v>92</v>
      </c>
      <c r="E5935" s="36">
        <v>1</v>
      </c>
      <c r="F5935" s="30">
        <v>5.1584999999999992</v>
      </c>
      <c r="G5935" s="53">
        <f t="shared" si="112"/>
        <v>5.1584999999999992</v>
      </c>
      <c r="H5935" s="38">
        <f>SUM(G5935:G5935)</f>
        <v>5.1584999999999992</v>
      </c>
      <c r="I5935" s="39"/>
      <c r="J5935" s="148">
        <v>0</v>
      </c>
      <c r="K5935" s="222">
        <v>0</v>
      </c>
    </row>
    <row r="5936" spans="1:11" ht="15.75" hidden="1" thickBot="1" x14ac:dyDescent="0.3">
      <c r="A5936" s="208"/>
      <c r="B5936" s="206"/>
      <c r="C5936" s="54"/>
      <c r="D5936" s="150"/>
      <c r="E5936" s="65"/>
      <c r="F5936" s="75" t="s">
        <v>514</v>
      </c>
      <c r="G5936" s="75" t="str">
        <f t="shared" si="112"/>
        <v/>
      </c>
      <c r="H5936" s="76"/>
      <c r="I5936" s="73"/>
      <c r="J5936" s="148">
        <v>0</v>
      </c>
      <c r="K5936" s="222">
        <v>0</v>
      </c>
    </row>
    <row r="5937" spans="1:11" ht="15.75" hidden="1" thickBot="1" x14ac:dyDescent="0.3">
      <c r="A5937" s="202" t="s">
        <v>5499</v>
      </c>
      <c r="B5937" s="204" t="str">
        <f>INDEX(Orçamentária!A:B,MATCH(Composições!A5937,Orçamentária!A:A,0),2)</f>
        <v>Luva para eletroduto de PVC de 3/4”</v>
      </c>
      <c r="C5937" s="40"/>
      <c r="D5937" s="25" t="str">
        <f>TRIM(INDEX(Orçamentária!C:C,MATCH(Composições!A5937,Orçamentária!A:A,0),1))</f>
        <v>un</v>
      </c>
      <c r="E5937" s="26"/>
      <c r="F5937" s="48" t="s">
        <v>514</v>
      </c>
      <c r="G5937" s="27" t="str">
        <f t="shared" si="112"/>
        <v/>
      </c>
      <c r="H5937" s="28"/>
      <c r="I5937" s="29"/>
      <c r="J5937" s="148">
        <v>0</v>
      </c>
      <c r="K5937" s="222">
        <v>0</v>
      </c>
    </row>
    <row r="5938" spans="1:11" hidden="1" x14ac:dyDescent="0.25">
      <c r="A5938" s="207"/>
      <c r="B5938" s="205"/>
      <c r="C5938" s="31"/>
      <c r="D5938" s="31"/>
      <c r="E5938" s="32"/>
      <c r="F5938" s="53" t="s">
        <v>514</v>
      </c>
      <c r="G5938" s="53" t="str">
        <f t="shared" si="112"/>
        <v/>
      </c>
      <c r="H5938" s="72"/>
      <c r="I5938" s="73"/>
      <c r="J5938" s="148">
        <v>0</v>
      </c>
      <c r="K5938" s="222">
        <v>0</v>
      </c>
    </row>
    <row r="5939" spans="1:11" hidden="1" x14ac:dyDescent="0.25">
      <c r="A5939" s="207"/>
      <c r="B5939" s="205"/>
      <c r="C5939" s="35" t="s">
        <v>3314</v>
      </c>
      <c r="D5939" s="35" t="s">
        <v>20</v>
      </c>
      <c r="E5939" s="36">
        <v>1</v>
      </c>
      <c r="F5939" s="30">
        <v>1.4724999999999999</v>
      </c>
      <c r="G5939" s="53">
        <f t="shared" si="112"/>
        <v>1.4724999999999999</v>
      </c>
      <c r="H5939" s="38">
        <f>SUM(G5939:G5939)</f>
        <v>1.4724999999999999</v>
      </c>
      <c r="I5939" s="39"/>
      <c r="J5939" s="148">
        <v>0</v>
      </c>
      <c r="K5939" s="222">
        <v>0</v>
      </c>
    </row>
    <row r="5940" spans="1:11" ht="15.75" hidden="1" thickBot="1" x14ac:dyDescent="0.3">
      <c r="A5940" s="208"/>
      <c r="B5940" s="206"/>
      <c r="C5940" s="54"/>
      <c r="D5940" s="150"/>
      <c r="E5940" s="65"/>
      <c r="F5940" s="75" t="s">
        <v>514</v>
      </c>
      <c r="G5940" s="75" t="str">
        <f t="shared" si="112"/>
        <v/>
      </c>
      <c r="H5940" s="76"/>
      <c r="I5940" s="73"/>
      <c r="J5940" s="148">
        <v>0</v>
      </c>
      <c r="K5940" s="222">
        <v>0</v>
      </c>
    </row>
    <row r="5941" spans="1:11" ht="15.75" hidden="1" thickBot="1" x14ac:dyDescent="0.3">
      <c r="A5941" s="202" t="s">
        <v>5500</v>
      </c>
      <c r="B5941" s="204" t="str">
        <f>INDEX(Orçamentária!A:B,MATCH(Composições!A5941,Orçamentária!A:A,0),2)</f>
        <v>Curva para eletroduto de PVC de 3/4”</v>
      </c>
      <c r="C5941" s="40"/>
      <c r="D5941" s="25" t="str">
        <f>TRIM(INDEX(Orçamentária!C:C,MATCH(Composições!A5941,Orçamentária!A:A,0),1))</f>
        <v>un</v>
      </c>
      <c r="E5941" s="26"/>
      <c r="F5941" s="48" t="s">
        <v>514</v>
      </c>
      <c r="G5941" s="27" t="str">
        <f t="shared" si="112"/>
        <v/>
      </c>
      <c r="H5941" s="28"/>
      <c r="I5941" s="29"/>
      <c r="J5941" s="148">
        <v>0</v>
      </c>
      <c r="K5941" s="222">
        <v>0</v>
      </c>
    </row>
    <row r="5942" spans="1:11" hidden="1" x14ac:dyDescent="0.25">
      <c r="A5942" s="207"/>
      <c r="B5942" s="205"/>
      <c r="C5942" s="31"/>
      <c r="D5942" s="31"/>
      <c r="E5942" s="32"/>
      <c r="F5942" s="53" t="s">
        <v>514</v>
      </c>
      <c r="G5942" s="53" t="str">
        <f t="shared" si="112"/>
        <v/>
      </c>
      <c r="H5942" s="72"/>
      <c r="I5942" s="73"/>
      <c r="J5942" s="148">
        <v>0</v>
      </c>
      <c r="K5942" s="222">
        <v>0</v>
      </c>
    </row>
    <row r="5943" spans="1:11" ht="25.5" hidden="1" x14ac:dyDescent="0.25">
      <c r="A5943" s="207"/>
      <c r="B5943" s="205"/>
      <c r="C5943" s="35" t="s">
        <v>3275</v>
      </c>
      <c r="D5943" s="35" t="s">
        <v>20</v>
      </c>
      <c r="E5943" s="36">
        <v>1</v>
      </c>
      <c r="F5943" s="30">
        <v>3.1825000000000001</v>
      </c>
      <c r="G5943" s="53">
        <f t="shared" si="112"/>
        <v>3.1825000000000001</v>
      </c>
      <c r="H5943" s="38">
        <f>SUM(G5943:G5943)</f>
        <v>3.1825000000000001</v>
      </c>
      <c r="I5943" s="39"/>
      <c r="J5943" s="148">
        <v>0</v>
      </c>
      <c r="K5943" s="222">
        <v>0</v>
      </c>
    </row>
    <row r="5944" spans="1:11" ht="15.75" hidden="1" thickBot="1" x14ac:dyDescent="0.3">
      <c r="A5944" s="208"/>
      <c r="B5944" s="206"/>
      <c r="C5944" s="54"/>
      <c r="D5944" s="150"/>
      <c r="E5944" s="65"/>
      <c r="F5944" s="75" t="s">
        <v>514</v>
      </c>
      <c r="G5944" s="75" t="str">
        <f t="shared" si="112"/>
        <v/>
      </c>
      <c r="H5944" s="76"/>
      <c r="I5944" s="73"/>
      <c r="J5944" s="148">
        <v>0</v>
      </c>
      <c r="K5944" s="222">
        <v>0</v>
      </c>
    </row>
    <row r="5945" spans="1:11" ht="15.75" hidden="1" thickBot="1" x14ac:dyDescent="0.3">
      <c r="A5945" s="202" t="s">
        <v>5501</v>
      </c>
      <c r="B5945" s="204" t="str">
        <f>INDEX(Orçamentária!A:B,MATCH(Composições!A5945,Orçamentária!A:A,0),2)</f>
        <v>Eletroduto de PVC de 1”</v>
      </c>
      <c r="C5945" s="40"/>
      <c r="D5945" s="25" t="str">
        <f>TRIM(INDEX(Orçamentária!C:C,MATCH(Composições!A5945,Orçamentária!A:A,0),1))</f>
        <v>m</v>
      </c>
      <c r="E5945" s="26"/>
      <c r="F5945" s="48" t="s">
        <v>514</v>
      </c>
      <c r="G5945" s="27" t="str">
        <f t="shared" si="112"/>
        <v/>
      </c>
      <c r="H5945" s="28"/>
      <c r="I5945" s="29"/>
      <c r="J5945" s="148">
        <v>0</v>
      </c>
      <c r="K5945" s="222">
        <v>0</v>
      </c>
    </row>
    <row r="5946" spans="1:11" hidden="1" x14ac:dyDescent="0.25">
      <c r="A5946" s="207"/>
      <c r="B5946" s="205"/>
      <c r="C5946" s="31"/>
      <c r="D5946" s="31"/>
      <c r="E5946" s="32"/>
      <c r="F5946" s="53" t="s">
        <v>514</v>
      </c>
      <c r="G5946" s="53" t="str">
        <f t="shared" si="112"/>
        <v/>
      </c>
      <c r="H5946" s="72"/>
      <c r="I5946" s="73"/>
      <c r="J5946" s="148">
        <v>0</v>
      </c>
      <c r="K5946" s="222">
        <v>0</v>
      </c>
    </row>
    <row r="5947" spans="1:11" hidden="1" x14ac:dyDescent="0.25">
      <c r="A5947" s="207"/>
      <c r="B5947" s="205"/>
      <c r="C5947" s="35" t="s">
        <v>3289</v>
      </c>
      <c r="D5947" s="35" t="s">
        <v>92</v>
      </c>
      <c r="E5947" s="36">
        <v>1</v>
      </c>
      <c r="F5947" s="30">
        <v>8.0559999999999992</v>
      </c>
      <c r="G5947" s="53">
        <f t="shared" si="112"/>
        <v>8.0559999999999992</v>
      </c>
      <c r="H5947" s="38">
        <f>SUM(G5947:G5947)</f>
        <v>8.0559999999999992</v>
      </c>
      <c r="I5947" s="39"/>
      <c r="J5947" s="148">
        <v>0</v>
      </c>
      <c r="K5947" s="222">
        <v>0</v>
      </c>
    </row>
    <row r="5948" spans="1:11" ht="15.75" hidden="1" thickBot="1" x14ac:dyDescent="0.3">
      <c r="A5948" s="208"/>
      <c r="B5948" s="206"/>
      <c r="C5948" s="54"/>
      <c r="D5948" s="150"/>
      <c r="E5948" s="65"/>
      <c r="F5948" s="75" t="s">
        <v>514</v>
      </c>
      <c r="G5948" s="75" t="str">
        <f t="shared" si="112"/>
        <v/>
      </c>
      <c r="H5948" s="76"/>
      <c r="I5948" s="73"/>
      <c r="J5948" s="148">
        <v>0</v>
      </c>
      <c r="K5948" s="222">
        <v>0</v>
      </c>
    </row>
    <row r="5949" spans="1:11" ht="15.75" hidden="1" thickBot="1" x14ac:dyDescent="0.3">
      <c r="A5949" s="202" t="s">
        <v>5502</v>
      </c>
      <c r="B5949" s="204" t="str">
        <f>INDEX(Orçamentária!A:B,MATCH(Composições!A5949,Orçamentária!A:A,0),2)</f>
        <v>Luva para eletroduto de PVC de 1”</v>
      </c>
      <c r="C5949" s="40"/>
      <c r="D5949" s="25" t="str">
        <f>TRIM(INDEX(Orçamentária!C:C,MATCH(Composições!A5949,Orçamentária!A:A,0),1))</f>
        <v>un</v>
      </c>
      <c r="E5949" s="26"/>
      <c r="F5949" s="48" t="s">
        <v>514</v>
      </c>
      <c r="G5949" s="27" t="str">
        <f t="shared" si="112"/>
        <v/>
      </c>
      <c r="H5949" s="28"/>
      <c r="I5949" s="29"/>
      <c r="J5949" s="148">
        <v>0</v>
      </c>
      <c r="K5949" s="222">
        <v>0</v>
      </c>
    </row>
    <row r="5950" spans="1:11" hidden="1" x14ac:dyDescent="0.25">
      <c r="A5950" s="207"/>
      <c r="B5950" s="205"/>
      <c r="C5950" s="31"/>
      <c r="D5950" s="31"/>
      <c r="E5950" s="32"/>
      <c r="F5950" s="53" t="s">
        <v>514</v>
      </c>
      <c r="G5950" s="53" t="str">
        <f t="shared" si="112"/>
        <v/>
      </c>
      <c r="H5950" s="72"/>
      <c r="I5950" s="73"/>
      <c r="J5950" s="148">
        <v>0</v>
      </c>
      <c r="K5950" s="222">
        <v>0</v>
      </c>
    </row>
    <row r="5951" spans="1:11" hidden="1" x14ac:dyDescent="0.25">
      <c r="A5951" s="207"/>
      <c r="B5951" s="205"/>
      <c r="C5951" s="35" t="s">
        <v>3312</v>
      </c>
      <c r="D5951" s="35" t="s">
        <v>20</v>
      </c>
      <c r="E5951" s="36">
        <v>1</v>
      </c>
      <c r="F5951" s="30">
        <v>2.052</v>
      </c>
      <c r="G5951" s="53">
        <f t="shared" si="112"/>
        <v>2.052</v>
      </c>
      <c r="H5951" s="38">
        <f>SUM(G5951:G5951)</f>
        <v>2.052</v>
      </c>
      <c r="I5951" s="39"/>
      <c r="J5951" s="148">
        <v>0</v>
      </c>
      <c r="K5951" s="222">
        <v>0</v>
      </c>
    </row>
    <row r="5952" spans="1:11" ht="15.75" hidden="1" thickBot="1" x14ac:dyDescent="0.3">
      <c r="A5952" s="208"/>
      <c r="B5952" s="206"/>
      <c r="C5952" s="54"/>
      <c r="D5952" s="150"/>
      <c r="E5952" s="65"/>
      <c r="F5952" s="75" t="s">
        <v>514</v>
      </c>
      <c r="G5952" s="75" t="str">
        <f t="shared" si="112"/>
        <v/>
      </c>
      <c r="H5952" s="76"/>
      <c r="I5952" s="73"/>
      <c r="J5952" s="148">
        <v>0</v>
      </c>
      <c r="K5952" s="222">
        <v>0</v>
      </c>
    </row>
    <row r="5953" spans="1:11" ht="15.75" hidden="1" thickBot="1" x14ac:dyDescent="0.3">
      <c r="A5953" s="202" t="s">
        <v>5503</v>
      </c>
      <c r="B5953" s="204" t="str">
        <f>INDEX(Orçamentária!A:B,MATCH(Composições!A5953,Orçamentária!A:A,0),2)</f>
        <v>Curva para eletroduto de PVC de 1”</v>
      </c>
      <c r="C5953" s="40"/>
      <c r="D5953" s="25" t="str">
        <f>TRIM(INDEX(Orçamentária!C:C,MATCH(Composições!A5953,Orçamentária!A:A,0),1))</f>
        <v>un</v>
      </c>
      <c r="E5953" s="26"/>
      <c r="F5953" s="48" t="s">
        <v>514</v>
      </c>
      <c r="G5953" s="27" t="str">
        <f t="shared" si="112"/>
        <v/>
      </c>
      <c r="H5953" s="28"/>
      <c r="I5953" s="29"/>
      <c r="J5953" s="148">
        <v>0</v>
      </c>
      <c r="K5953" s="222">
        <v>0</v>
      </c>
    </row>
    <row r="5954" spans="1:11" hidden="1" x14ac:dyDescent="0.25">
      <c r="A5954" s="207"/>
      <c r="B5954" s="205"/>
      <c r="C5954" s="31"/>
      <c r="D5954" s="31"/>
      <c r="E5954" s="32"/>
      <c r="F5954" s="53" t="s">
        <v>514</v>
      </c>
      <c r="G5954" s="53" t="str">
        <f t="shared" si="112"/>
        <v/>
      </c>
      <c r="H5954" s="72"/>
      <c r="I5954" s="73"/>
      <c r="J5954" s="148">
        <v>0</v>
      </c>
      <c r="K5954" s="222">
        <v>0</v>
      </c>
    </row>
    <row r="5955" spans="1:11" ht="25.5" hidden="1" x14ac:dyDescent="0.25">
      <c r="A5955" s="207"/>
      <c r="B5955" s="205"/>
      <c r="C5955" s="35" t="s">
        <v>3274</v>
      </c>
      <c r="D5955" s="35" t="s">
        <v>20</v>
      </c>
      <c r="E5955" s="36">
        <v>1</v>
      </c>
      <c r="F5955" s="30">
        <v>4.3984999999999994</v>
      </c>
      <c r="G5955" s="53">
        <f t="shared" si="112"/>
        <v>4.3984999999999994</v>
      </c>
      <c r="H5955" s="38">
        <f>SUM(G5955:G5955)</f>
        <v>4.3984999999999994</v>
      </c>
      <c r="I5955" s="39"/>
      <c r="J5955" s="148">
        <v>0</v>
      </c>
      <c r="K5955" s="222">
        <v>0</v>
      </c>
    </row>
    <row r="5956" spans="1:11" ht="15.75" hidden="1" thickBot="1" x14ac:dyDescent="0.3">
      <c r="A5956" s="208"/>
      <c r="B5956" s="206"/>
      <c r="C5956" s="54"/>
      <c r="D5956" s="150"/>
      <c r="E5956" s="65"/>
      <c r="F5956" s="75" t="s">
        <v>514</v>
      </c>
      <c r="G5956" s="75" t="str">
        <f t="shared" si="112"/>
        <v/>
      </c>
      <c r="H5956" s="76"/>
      <c r="I5956" s="73"/>
      <c r="J5956" s="148">
        <v>0</v>
      </c>
      <c r="K5956" s="222">
        <v>0</v>
      </c>
    </row>
    <row r="5957" spans="1:11" ht="15.75" hidden="1" thickBot="1" x14ac:dyDescent="0.3">
      <c r="A5957" s="202" t="s">
        <v>5504</v>
      </c>
      <c r="B5957" s="204" t="str">
        <f>INDEX(Orçamentária!A:B,MATCH(Composições!A5957,Orçamentária!A:A,0),2)</f>
        <v>Eletroduto de PVC de 1 1/4”</v>
      </c>
      <c r="C5957" s="40"/>
      <c r="D5957" s="25" t="str">
        <f>TRIM(INDEX(Orçamentária!C:C,MATCH(Composições!A5957,Orçamentária!A:A,0),1))</f>
        <v>m</v>
      </c>
      <c r="E5957" s="26"/>
      <c r="F5957" s="48" t="s">
        <v>514</v>
      </c>
      <c r="G5957" s="27" t="str">
        <f t="shared" si="112"/>
        <v/>
      </c>
      <c r="H5957" s="28"/>
      <c r="I5957" s="29"/>
      <c r="J5957" s="148">
        <v>0</v>
      </c>
      <c r="K5957" s="222">
        <v>0</v>
      </c>
    </row>
    <row r="5958" spans="1:11" hidden="1" x14ac:dyDescent="0.25">
      <c r="A5958" s="207"/>
      <c r="B5958" s="205"/>
      <c r="C5958" s="31"/>
      <c r="D5958" s="31"/>
      <c r="E5958" s="32"/>
      <c r="F5958" s="53" t="s">
        <v>514</v>
      </c>
      <c r="G5958" s="53" t="str">
        <f t="shared" si="112"/>
        <v/>
      </c>
      <c r="H5958" s="72"/>
      <c r="I5958" s="73"/>
      <c r="J5958" s="148">
        <v>0</v>
      </c>
      <c r="K5958" s="222">
        <v>0</v>
      </c>
    </row>
    <row r="5959" spans="1:11" hidden="1" x14ac:dyDescent="0.25">
      <c r="A5959" s="207"/>
      <c r="B5959" s="205"/>
      <c r="C5959" s="35" t="s">
        <v>3291</v>
      </c>
      <c r="D5959" s="35" t="s">
        <v>92</v>
      </c>
      <c r="E5959" s="36">
        <v>1</v>
      </c>
      <c r="F5959" s="30">
        <v>10.725499999999998</v>
      </c>
      <c r="G5959" s="53">
        <f t="shared" si="112"/>
        <v>10.725499999999998</v>
      </c>
      <c r="H5959" s="38">
        <f>SUM(G5959:G5959)</f>
        <v>10.725499999999998</v>
      </c>
      <c r="I5959" s="39"/>
      <c r="J5959" s="148">
        <v>0</v>
      </c>
      <c r="K5959" s="222">
        <v>0</v>
      </c>
    </row>
    <row r="5960" spans="1:11" ht="15.75" hidden="1" thickBot="1" x14ac:dyDescent="0.3">
      <c r="A5960" s="208"/>
      <c r="B5960" s="206"/>
      <c r="C5960" s="54"/>
      <c r="D5960" s="150"/>
      <c r="E5960" s="65"/>
      <c r="F5960" s="75" t="s">
        <v>514</v>
      </c>
      <c r="G5960" s="75" t="str">
        <f t="shared" si="112"/>
        <v/>
      </c>
      <c r="H5960" s="76"/>
      <c r="I5960" s="73"/>
      <c r="J5960" s="148">
        <v>0</v>
      </c>
      <c r="K5960" s="222">
        <v>0</v>
      </c>
    </row>
    <row r="5961" spans="1:11" ht="15.75" hidden="1" thickBot="1" x14ac:dyDescent="0.3">
      <c r="A5961" s="202" t="s">
        <v>5505</v>
      </c>
      <c r="B5961" s="204" t="str">
        <f>INDEX(Orçamentária!A:B,MATCH(Composições!A5961,Orçamentária!A:A,0),2)</f>
        <v>Luva para eletroduto de PVC de 1 1/4”</v>
      </c>
      <c r="C5961" s="40"/>
      <c r="D5961" s="25" t="str">
        <f>TRIM(INDEX(Orçamentária!C:C,MATCH(Composições!A5961,Orçamentária!A:A,0),1))</f>
        <v>un</v>
      </c>
      <c r="E5961" s="26"/>
      <c r="F5961" s="48" t="s">
        <v>514</v>
      </c>
      <c r="G5961" s="27" t="str">
        <f t="shared" si="112"/>
        <v/>
      </c>
      <c r="H5961" s="28"/>
      <c r="I5961" s="29"/>
      <c r="J5961" s="148">
        <v>0</v>
      </c>
      <c r="K5961" s="222">
        <v>0</v>
      </c>
    </row>
    <row r="5962" spans="1:11" hidden="1" x14ac:dyDescent="0.25">
      <c r="A5962" s="207"/>
      <c r="B5962" s="205"/>
      <c r="C5962" s="31"/>
      <c r="D5962" s="31"/>
      <c r="E5962" s="32"/>
      <c r="F5962" s="53" t="s">
        <v>514</v>
      </c>
      <c r="G5962" s="53" t="str">
        <f t="shared" si="112"/>
        <v/>
      </c>
      <c r="H5962" s="72"/>
      <c r="I5962" s="73"/>
      <c r="J5962" s="148">
        <v>0</v>
      </c>
      <c r="K5962" s="222">
        <v>0</v>
      </c>
    </row>
    <row r="5963" spans="1:11" hidden="1" x14ac:dyDescent="0.25">
      <c r="A5963" s="207"/>
      <c r="B5963" s="205"/>
      <c r="C5963" s="35" t="s">
        <v>3311</v>
      </c>
      <c r="D5963" s="35" t="s">
        <v>20</v>
      </c>
      <c r="E5963" s="36">
        <v>1</v>
      </c>
      <c r="F5963" s="30">
        <v>3.1919999999999997</v>
      </c>
      <c r="G5963" s="53">
        <f t="shared" si="112"/>
        <v>3.1919999999999997</v>
      </c>
      <c r="H5963" s="38">
        <f>SUM(G5963:G5963)</f>
        <v>3.1919999999999997</v>
      </c>
      <c r="I5963" s="39"/>
      <c r="J5963" s="148">
        <v>0</v>
      </c>
      <c r="K5963" s="222">
        <v>0</v>
      </c>
    </row>
    <row r="5964" spans="1:11" ht="15.75" hidden="1" thickBot="1" x14ac:dyDescent="0.3">
      <c r="A5964" s="208"/>
      <c r="B5964" s="206"/>
      <c r="C5964" s="54"/>
      <c r="D5964" s="150"/>
      <c r="E5964" s="65"/>
      <c r="F5964" s="75" t="s">
        <v>514</v>
      </c>
      <c r="G5964" s="75" t="str">
        <f t="shared" si="112"/>
        <v/>
      </c>
      <c r="H5964" s="76"/>
      <c r="I5964" s="73"/>
      <c r="J5964" s="148">
        <v>0</v>
      </c>
      <c r="K5964" s="222">
        <v>0</v>
      </c>
    </row>
    <row r="5965" spans="1:11" ht="15.75" hidden="1" thickBot="1" x14ac:dyDescent="0.3">
      <c r="A5965" s="202" t="s">
        <v>5506</v>
      </c>
      <c r="B5965" s="204" t="str">
        <f>INDEX(Orçamentária!A:B,MATCH(Composições!A5965,Orçamentária!A:A,0),2)</f>
        <v>Curva para eletroduto de PVC de 1 1/4”</v>
      </c>
      <c r="C5965" s="40"/>
      <c r="D5965" s="25" t="str">
        <f>TRIM(INDEX(Orçamentária!C:C,MATCH(Composições!A5965,Orçamentária!A:A,0),1))</f>
        <v>un</v>
      </c>
      <c r="E5965" s="26"/>
      <c r="F5965" s="48" t="s">
        <v>514</v>
      </c>
      <c r="G5965" s="27" t="str">
        <f t="shared" si="112"/>
        <v/>
      </c>
      <c r="H5965" s="28"/>
      <c r="I5965" s="29"/>
      <c r="J5965" s="148">
        <v>0</v>
      </c>
      <c r="K5965" s="222">
        <v>0</v>
      </c>
    </row>
    <row r="5966" spans="1:11" hidden="1" x14ac:dyDescent="0.25">
      <c r="A5966" s="207"/>
      <c r="B5966" s="205"/>
      <c r="C5966" s="31"/>
      <c r="D5966" s="31"/>
      <c r="E5966" s="32"/>
      <c r="F5966" s="53" t="s">
        <v>514</v>
      </c>
      <c r="G5966" s="53" t="str">
        <f t="shared" si="112"/>
        <v/>
      </c>
      <c r="H5966" s="72"/>
      <c r="I5966" s="73"/>
      <c r="J5966" s="148">
        <v>0</v>
      </c>
      <c r="K5966" s="222">
        <v>0</v>
      </c>
    </row>
    <row r="5967" spans="1:11" ht="25.5" hidden="1" x14ac:dyDescent="0.25">
      <c r="A5967" s="207"/>
      <c r="B5967" s="205"/>
      <c r="C5967" s="35" t="s">
        <v>3277</v>
      </c>
      <c r="D5967" s="35" t="s">
        <v>20</v>
      </c>
      <c r="E5967" s="36">
        <v>1</v>
      </c>
      <c r="F5967" s="30">
        <v>5.8045</v>
      </c>
      <c r="G5967" s="53">
        <f t="shared" si="112"/>
        <v>5.8045</v>
      </c>
      <c r="H5967" s="38">
        <f>SUM(G5967:G5967)</f>
        <v>5.8045</v>
      </c>
      <c r="I5967" s="39"/>
      <c r="J5967" s="148">
        <v>0</v>
      </c>
      <c r="K5967" s="222">
        <v>0</v>
      </c>
    </row>
    <row r="5968" spans="1:11" ht="15.75" hidden="1" thickBot="1" x14ac:dyDescent="0.3">
      <c r="A5968" s="208"/>
      <c r="B5968" s="206"/>
      <c r="C5968" s="54"/>
      <c r="D5968" s="150"/>
      <c r="E5968" s="65"/>
      <c r="F5968" s="75" t="s">
        <v>514</v>
      </c>
      <c r="G5968" s="75" t="str">
        <f t="shared" si="112"/>
        <v/>
      </c>
      <c r="H5968" s="76"/>
      <c r="I5968" s="73"/>
      <c r="J5968" s="148">
        <v>0</v>
      </c>
      <c r="K5968" s="222">
        <v>0</v>
      </c>
    </row>
    <row r="5969" spans="1:11" ht="15.75" hidden="1" thickBot="1" x14ac:dyDescent="0.3">
      <c r="A5969" s="202" t="s">
        <v>5507</v>
      </c>
      <c r="B5969" s="204" t="str">
        <f>INDEX(Orçamentária!A:B,MATCH(Composições!A5969,Orçamentária!A:A,0),2)</f>
        <v>Eletroduto de PVC de 1 1/2”</v>
      </c>
      <c r="C5969" s="40"/>
      <c r="D5969" s="25" t="str">
        <f>TRIM(INDEX(Orçamentária!C:C,MATCH(Composições!A5969,Orçamentária!A:A,0),1))</f>
        <v>m</v>
      </c>
      <c r="E5969" s="26"/>
      <c r="F5969" s="48" t="s">
        <v>514</v>
      </c>
      <c r="G5969" s="27" t="str">
        <f t="shared" si="112"/>
        <v/>
      </c>
      <c r="H5969" s="28"/>
      <c r="I5969" s="29"/>
      <c r="J5969" s="148">
        <v>0</v>
      </c>
      <c r="K5969" s="222">
        <v>0</v>
      </c>
    </row>
    <row r="5970" spans="1:11" hidden="1" x14ac:dyDescent="0.25">
      <c r="A5970" s="207"/>
      <c r="B5970" s="205"/>
      <c r="C5970" s="31"/>
      <c r="D5970" s="31"/>
      <c r="E5970" s="32"/>
      <c r="F5970" s="53" t="s">
        <v>514</v>
      </c>
      <c r="G5970" s="53" t="str">
        <f t="shared" si="112"/>
        <v/>
      </c>
      <c r="H5970" s="72"/>
      <c r="I5970" s="73"/>
      <c r="J5970" s="148">
        <v>0</v>
      </c>
      <c r="K5970" s="222">
        <v>0</v>
      </c>
    </row>
    <row r="5971" spans="1:11" hidden="1" x14ac:dyDescent="0.25">
      <c r="A5971" s="207"/>
      <c r="B5971" s="205"/>
      <c r="C5971" s="35" t="s">
        <v>3290</v>
      </c>
      <c r="D5971" s="35" t="s">
        <v>92</v>
      </c>
      <c r="E5971" s="36">
        <v>1</v>
      </c>
      <c r="F5971" s="30">
        <v>11.7895</v>
      </c>
      <c r="G5971" s="53">
        <f t="shared" si="112"/>
        <v>11.7895</v>
      </c>
      <c r="H5971" s="38">
        <f>SUM(G5971:G5971)</f>
        <v>11.7895</v>
      </c>
      <c r="I5971" s="39"/>
      <c r="J5971" s="148">
        <v>0</v>
      </c>
      <c r="K5971" s="222">
        <v>0</v>
      </c>
    </row>
    <row r="5972" spans="1:11" ht="15.75" hidden="1" thickBot="1" x14ac:dyDescent="0.3">
      <c r="A5972" s="208"/>
      <c r="B5972" s="206"/>
      <c r="C5972" s="54"/>
      <c r="D5972" s="150"/>
      <c r="E5972" s="65"/>
      <c r="F5972" s="75" t="s">
        <v>514</v>
      </c>
      <c r="G5972" s="75" t="str">
        <f t="shared" si="112"/>
        <v/>
      </c>
      <c r="H5972" s="76"/>
      <c r="I5972" s="73"/>
      <c r="J5972" s="148">
        <v>0</v>
      </c>
      <c r="K5972" s="222">
        <v>0</v>
      </c>
    </row>
    <row r="5973" spans="1:11" ht="15.75" hidden="1" thickBot="1" x14ac:dyDescent="0.3">
      <c r="A5973" s="202" t="s">
        <v>5508</v>
      </c>
      <c r="B5973" s="204" t="str">
        <f>INDEX(Orçamentária!A:B,MATCH(Composições!A5973,Orçamentária!A:A,0),2)</f>
        <v>Luva para eletroduto de PVC de 1 1/2”</v>
      </c>
      <c r="C5973" s="40"/>
      <c r="D5973" s="25" t="str">
        <f>TRIM(INDEX(Orçamentária!C:C,MATCH(Composições!A5973,Orçamentária!A:A,0),1))</f>
        <v>un</v>
      </c>
      <c r="E5973" s="26"/>
      <c r="F5973" s="48" t="s">
        <v>514</v>
      </c>
      <c r="G5973" s="27" t="str">
        <f t="shared" si="112"/>
        <v/>
      </c>
      <c r="H5973" s="28"/>
      <c r="I5973" s="29"/>
      <c r="J5973" s="148">
        <v>0</v>
      </c>
      <c r="K5973" s="222">
        <v>0</v>
      </c>
    </row>
    <row r="5974" spans="1:11" hidden="1" x14ac:dyDescent="0.25">
      <c r="A5974" s="207"/>
      <c r="B5974" s="205"/>
      <c r="C5974" s="31"/>
      <c r="D5974" s="31"/>
      <c r="E5974" s="32"/>
      <c r="F5974" s="53" t="s">
        <v>514</v>
      </c>
      <c r="G5974" s="53" t="str">
        <f t="shared" si="112"/>
        <v/>
      </c>
      <c r="H5974" s="72"/>
      <c r="I5974" s="73"/>
      <c r="J5974" s="148">
        <v>0</v>
      </c>
      <c r="K5974" s="222">
        <v>0</v>
      </c>
    </row>
    <row r="5975" spans="1:11" hidden="1" x14ac:dyDescent="0.25">
      <c r="A5975" s="207"/>
      <c r="B5975" s="205"/>
      <c r="C5975" s="35" t="s">
        <v>3310</v>
      </c>
      <c r="D5975" s="35" t="s">
        <v>20</v>
      </c>
      <c r="E5975" s="36">
        <v>1</v>
      </c>
      <c r="F5975" s="30">
        <v>4.3890000000000002</v>
      </c>
      <c r="G5975" s="53">
        <f t="shared" si="112"/>
        <v>4.3890000000000002</v>
      </c>
      <c r="H5975" s="38">
        <f>SUM(G5975:G5975)</f>
        <v>4.3890000000000002</v>
      </c>
      <c r="I5975" s="39"/>
      <c r="J5975" s="148">
        <v>0</v>
      </c>
      <c r="K5975" s="222">
        <v>0</v>
      </c>
    </row>
    <row r="5976" spans="1:11" ht="15.75" hidden="1" thickBot="1" x14ac:dyDescent="0.3">
      <c r="A5976" s="208"/>
      <c r="B5976" s="206"/>
      <c r="C5976" s="54"/>
      <c r="D5976" s="150"/>
      <c r="E5976" s="65"/>
      <c r="F5976" s="75" t="s">
        <v>514</v>
      </c>
      <c r="G5976" s="75" t="str">
        <f t="shared" si="112"/>
        <v/>
      </c>
      <c r="H5976" s="76"/>
      <c r="I5976" s="73"/>
      <c r="J5976" s="148">
        <v>0</v>
      </c>
      <c r="K5976" s="222">
        <v>0</v>
      </c>
    </row>
    <row r="5977" spans="1:11" ht="15.75" hidden="1" thickBot="1" x14ac:dyDescent="0.3">
      <c r="A5977" s="202" t="s">
        <v>5509</v>
      </c>
      <c r="B5977" s="204" t="str">
        <f>INDEX(Orçamentária!A:B,MATCH(Composições!A5977,Orçamentária!A:A,0),2)</f>
        <v>Curva para eletroduto de PVC de 1 1/2”</v>
      </c>
      <c r="C5977" s="40"/>
      <c r="D5977" s="25" t="str">
        <f>TRIM(INDEX(Orçamentária!C:C,MATCH(Composições!A5977,Orçamentária!A:A,0),1))</f>
        <v>un</v>
      </c>
      <c r="E5977" s="26"/>
      <c r="F5977" s="48" t="s">
        <v>514</v>
      </c>
      <c r="G5977" s="27" t="str">
        <f t="shared" si="112"/>
        <v/>
      </c>
      <c r="H5977" s="28"/>
      <c r="I5977" s="29"/>
      <c r="J5977" s="148">
        <v>0</v>
      </c>
      <c r="K5977" s="222">
        <v>0</v>
      </c>
    </row>
    <row r="5978" spans="1:11" hidden="1" x14ac:dyDescent="0.25">
      <c r="A5978" s="207"/>
      <c r="B5978" s="205"/>
      <c r="C5978" s="31"/>
      <c r="D5978" s="31"/>
      <c r="E5978" s="32"/>
      <c r="F5978" s="53" t="s">
        <v>514</v>
      </c>
      <c r="G5978" s="53" t="str">
        <f t="shared" si="112"/>
        <v/>
      </c>
      <c r="H5978" s="72"/>
      <c r="I5978" s="73"/>
      <c r="J5978" s="148">
        <v>0</v>
      </c>
      <c r="K5978" s="222">
        <v>0</v>
      </c>
    </row>
    <row r="5979" spans="1:11" ht="25.5" hidden="1" x14ac:dyDescent="0.25">
      <c r="A5979" s="207"/>
      <c r="B5979" s="205"/>
      <c r="C5979" s="35" t="s">
        <v>3276</v>
      </c>
      <c r="D5979" s="35" t="s">
        <v>20</v>
      </c>
      <c r="E5979" s="36">
        <v>1</v>
      </c>
      <c r="F5979" s="30">
        <v>7.03</v>
      </c>
      <c r="G5979" s="53">
        <f t="shared" si="112"/>
        <v>7.03</v>
      </c>
      <c r="H5979" s="38">
        <f>SUM(G5979:G5979)</f>
        <v>7.03</v>
      </c>
      <c r="I5979" s="39"/>
      <c r="J5979" s="148">
        <v>0</v>
      </c>
      <c r="K5979" s="222">
        <v>0</v>
      </c>
    </row>
    <row r="5980" spans="1:11" ht="15.75" hidden="1" thickBot="1" x14ac:dyDescent="0.3">
      <c r="A5980" s="208"/>
      <c r="B5980" s="206"/>
      <c r="C5980" s="54"/>
      <c r="D5980" s="150"/>
      <c r="E5980" s="65"/>
      <c r="F5980" s="75" t="s">
        <v>514</v>
      </c>
      <c r="G5980" s="75" t="str">
        <f t="shared" si="112"/>
        <v/>
      </c>
      <c r="H5980" s="76"/>
      <c r="I5980" s="73"/>
      <c r="J5980" s="148">
        <v>0</v>
      </c>
      <c r="K5980" s="222">
        <v>0</v>
      </c>
    </row>
    <row r="5981" spans="1:11" ht="15.75" hidden="1" thickBot="1" x14ac:dyDescent="0.3">
      <c r="A5981" s="202" t="s">
        <v>5510</v>
      </c>
      <c r="B5981" s="204" t="str">
        <f>INDEX(Orçamentária!A:B,MATCH(Composições!A5981,Orçamentária!A:A,0),2)</f>
        <v>Eletroduto de PVC de 2”</v>
      </c>
      <c r="C5981" s="40"/>
      <c r="D5981" s="25" t="str">
        <f>TRIM(INDEX(Orçamentária!C:C,MATCH(Composições!A5981,Orçamentária!A:A,0),1))</f>
        <v>m</v>
      </c>
      <c r="E5981" s="26"/>
      <c r="F5981" s="48" t="s">
        <v>514</v>
      </c>
      <c r="G5981" s="27" t="str">
        <f t="shared" si="112"/>
        <v/>
      </c>
      <c r="H5981" s="28"/>
      <c r="I5981" s="29"/>
      <c r="J5981" s="148">
        <v>0</v>
      </c>
      <c r="K5981" s="222">
        <v>0</v>
      </c>
    </row>
    <row r="5982" spans="1:11" hidden="1" x14ac:dyDescent="0.25">
      <c r="A5982" s="207"/>
      <c r="B5982" s="205"/>
      <c r="C5982" s="31"/>
      <c r="D5982" s="31"/>
      <c r="E5982" s="32"/>
      <c r="F5982" s="53" t="s">
        <v>514</v>
      </c>
      <c r="G5982" s="53" t="str">
        <f t="shared" si="112"/>
        <v/>
      </c>
      <c r="H5982" s="72"/>
      <c r="I5982" s="73"/>
      <c r="J5982" s="148">
        <v>0</v>
      </c>
      <c r="K5982" s="222">
        <v>0</v>
      </c>
    </row>
    <row r="5983" spans="1:11" hidden="1" x14ac:dyDescent="0.25">
      <c r="A5983" s="207"/>
      <c r="B5983" s="205"/>
      <c r="C5983" s="35" t="s">
        <v>3292</v>
      </c>
      <c r="D5983" s="35" t="s">
        <v>92</v>
      </c>
      <c r="E5983" s="36">
        <v>1</v>
      </c>
      <c r="F5983" s="30">
        <v>19.275499999999997</v>
      </c>
      <c r="G5983" s="53">
        <f t="shared" si="112"/>
        <v>19.275499999999997</v>
      </c>
      <c r="H5983" s="38">
        <f>SUM(G5983:G5983)</f>
        <v>19.275499999999997</v>
      </c>
      <c r="I5983" s="39"/>
      <c r="J5983" s="148">
        <v>0</v>
      </c>
      <c r="K5983" s="222">
        <v>0</v>
      </c>
    </row>
    <row r="5984" spans="1:11" ht="15.75" hidden="1" thickBot="1" x14ac:dyDescent="0.3">
      <c r="A5984" s="208"/>
      <c r="B5984" s="206"/>
      <c r="C5984" s="54"/>
      <c r="D5984" s="150"/>
      <c r="E5984" s="65"/>
      <c r="F5984" s="75" t="s">
        <v>514</v>
      </c>
      <c r="G5984" s="75" t="str">
        <f t="shared" si="112"/>
        <v/>
      </c>
      <c r="H5984" s="76"/>
      <c r="I5984" s="73"/>
      <c r="J5984" s="148">
        <v>0</v>
      </c>
      <c r="K5984" s="222">
        <v>0</v>
      </c>
    </row>
    <row r="5985" spans="1:11" ht="15.75" hidden="1" thickBot="1" x14ac:dyDescent="0.3">
      <c r="A5985" s="202" t="s">
        <v>5511</v>
      </c>
      <c r="B5985" s="204" t="str">
        <f>INDEX(Orçamentária!A:B,MATCH(Composições!A5985,Orçamentária!A:A,0),2)</f>
        <v>Luva para eletroduto de PVC de 2”</v>
      </c>
      <c r="C5985" s="40"/>
      <c r="D5985" s="25" t="str">
        <f>TRIM(INDEX(Orçamentária!C:C,MATCH(Composições!A5985,Orçamentária!A:A,0),1))</f>
        <v>un</v>
      </c>
      <c r="E5985" s="26"/>
      <c r="F5985" s="48" t="s">
        <v>514</v>
      </c>
      <c r="G5985" s="27" t="str">
        <f t="shared" si="112"/>
        <v/>
      </c>
      <c r="H5985" s="28"/>
      <c r="I5985" s="29"/>
      <c r="J5985" s="148">
        <v>0</v>
      </c>
      <c r="K5985" s="222">
        <v>0</v>
      </c>
    </row>
    <row r="5986" spans="1:11" hidden="1" x14ac:dyDescent="0.25">
      <c r="A5986" s="207"/>
      <c r="B5986" s="205"/>
      <c r="C5986" s="31"/>
      <c r="D5986" s="31"/>
      <c r="E5986" s="32"/>
      <c r="F5986" s="53" t="s">
        <v>514</v>
      </c>
      <c r="G5986" s="53" t="str">
        <f t="shared" si="112"/>
        <v/>
      </c>
      <c r="H5986" s="72"/>
      <c r="I5986" s="73"/>
      <c r="J5986" s="148">
        <v>0</v>
      </c>
      <c r="K5986" s="222">
        <v>0</v>
      </c>
    </row>
    <row r="5987" spans="1:11" hidden="1" x14ac:dyDescent="0.25">
      <c r="A5987" s="207"/>
      <c r="B5987" s="205"/>
      <c r="C5987" s="35" t="s">
        <v>3313</v>
      </c>
      <c r="D5987" s="35" t="s">
        <v>20</v>
      </c>
      <c r="E5987" s="36">
        <v>1</v>
      </c>
      <c r="F5987" s="30">
        <v>6.3555000000000001</v>
      </c>
      <c r="G5987" s="53">
        <f t="shared" si="112"/>
        <v>6.3555000000000001</v>
      </c>
      <c r="H5987" s="38">
        <f>SUM(G5987:G5987)</f>
        <v>6.3555000000000001</v>
      </c>
      <c r="I5987" s="39"/>
      <c r="J5987" s="148">
        <v>0</v>
      </c>
      <c r="K5987" s="222">
        <v>0</v>
      </c>
    </row>
    <row r="5988" spans="1:11" ht="15.75" hidden="1" thickBot="1" x14ac:dyDescent="0.3">
      <c r="A5988" s="208"/>
      <c r="B5988" s="206"/>
      <c r="C5988" s="54"/>
      <c r="D5988" s="150"/>
      <c r="E5988" s="65"/>
      <c r="F5988" s="75" t="s">
        <v>514</v>
      </c>
      <c r="G5988" s="75" t="str">
        <f t="shared" si="112"/>
        <v/>
      </c>
      <c r="H5988" s="76"/>
      <c r="I5988" s="73"/>
      <c r="J5988" s="148">
        <v>0</v>
      </c>
      <c r="K5988" s="222">
        <v>0</v>
      </c>
    </row>
    <row r="5989" spans="1:11" ht="15.75" hidden="1" thickBot="1" x14ac:dyDescent="0.3">
      <c r="A5989" s="202" t="s">
        <v>5512</v>
      </c>
      <c r="B5989" s="204" t="str">
        <f>INDEX(Orçamentária!A:B,MATCH(Composições!A5989,Orçamentária!A:A,0),2)</f>
        <v>Curva para eletroduto de PVC de 2”</v>
      </c>
      <c r="C5989" s="40"/>
      <c r="D5989" s="25" t="str">
        <f>TRIM(INDEX(Orçamentária!C:C,MATCH(Composições!A5989,Orçamentária!A:A,0),1))</f>
        <v>un</v>
      </c>
      <c r="E5989" s="26"/>
      <c r="F5989" s="48" t="s">
        <v>514</v>
      </c>
      <c r="G5989" s="27" t="str">
        <f t="shared" si="112"/>
        <v/>
      </c>
      <c r="H5989" s="28"/>
      <c r="I5989" s="29"/>
      <c r="J5989" s="148">
        <v>0</v>
      </c>
      <c r="K5989" s="222">
        <v>0</v>
      </c>
    </row>
    <row r="5990" spans="1:11" hidden="1" x14ac:dyDescent="0.25">
      <c r="A5990" s="207"/>
      <c r="B5990" s="205"/>
      <c r="C5990" s="31"/>
      <c r="D5990" s="31"/>
      <c r="E5990" s="32"/>
      <c r="F5990" s="53" t="s">
        <v>514</v>
      </c>
      <c r="G5990" s="53" t="str">
        <f t="shared" si="112"/>
        <v/>
      </c>
      <c r="H5990" s="72"/>
      <c r="I5990" s="73"/>
      <c r="J5990" s="148">
        <v>0</v>
      </c>
      <c r="K5990" s="222">
        <v>0</v>
      </c>
    </row>
    <row r="5991" spans="1:11" ht="25.5" hidden="1" x14ac:dyDescent="0.25">
      <c r="A5991" s="207"/>
      <c r="B5991" s="205"/>
      <c r="C5991" s="35" t="s">
        <v>3278</v>
      </c>
      <c r="D5991" s="35" t="s">
        <v>20</v>
      </c>
      <c r="E5991" s="36">
        <v>1</v>
      </c>
      <c r="F5991" s="30">
        <v>11.4285</v>
      </c>
      <c r="G5991" s="53">
        <f t="shared" si="112"/>
        <v>11.4285</v>
      </c>
      <c r="H5991" s="38">
        <f>SUM(G5991:G5991)</f>
        <v>11.4285</v>
      </c>
      <c r="I5991" s="39"/>
      <c r="J5991" s="148">
        <v>0</v>
      </c>
      <c r="K5991" s="222">
        <v>0</v>
      </c>
    </row>
    <row r="5992" spans="1:11" ht="15.75" hidden="1" thickBot="1" x14ac:dyDescent="0.3">
      <c r="A5992" s="208"/>
      <c r="B5992" s="206"/>
      <c r="C5992" s="54"/>
      <c r="D5992" s="150"/>
      <c r="E5992" s="65"/>
      <c r="F5992" s="75" t="s">
        <v>514</v>
      </c>
      <c r="G5992" s="75" t="str">
        <f t="shared" si="112"/>
        <v/>
      </c>
      <c r="H5992" s="76"/>
      <c r="I5992" s="73"/>
      <c r="J5992" s="148">
        <v>0</v>
      </c>
      <c r="K5992" s="222">
        <v>0</v>
      </c>
    </row>
    <row r="5993" spans="1:11" ht="15.75" hidden="1" thickBot="1" x14ac:dyDescent="0.3">
      <c r="A5993" s="202" t="s">
        <v>5513</v>
      </c>
      <c r="B5993" s="204" t="str">
        <f>INDEX(Orçamentária!A:B,MATCH(Composições!A5993,Orçamentária!A:A,0),2)</f>
        <v>Eletroduto de PVC de 3”</v>
      </c>
      <c r="C5993" s="40"/>
      <c r="D5993" s="25" t="str">
        <f>TRIM(INDEX(Orçamentária!C:C,MATCH(Composições!A5993,Orçamentária!A:A,0),1))</f>
        <v>m</v>
      </c>
      <c r="E5993" s="26"/>
      <c r="F5993" s="48" t="s">
        <v>514</v>
      </c>
      <c r="G5993" s="27" t="str">
        <f t="shared" si="112"/>
        <v/>
      </c>
      <c r="H5993" s="28"/>
      <c r="I5993" s="29"/>
      <c r="J5993" s="148">
        <v>0</v>
      </c>
      <c r="K5993" s="222">
        <v>0</v>
      </c>
    </row>
    <row r="5994" spans="1:11" hidden="1" x14ac:dyDescent="0.25">
      <c r="A5994" s="207"/>
      <c r="B5994" s="205"/>
      <c r="C5994" s="31"/>
      <c r="D5994" s="31"/>
      <c r="E5994" s="32"/>
      <c r="F5994" s="53" t="s">
        <v>514</v>
      </c>
      <c r="G5994" s="53" t="str">
        <f t="shared" si="112"/>
        <v/>
      </c>
      <c r="H5994" s="72"/>
      <c r="I5994" s="73"/>
      <c r="J5994" s="148">
        <v>0</v>
      </c>
      <c r="K5994" s="222">
        <v>0</v>
      </c>
    </row>
    <row r="5995" spans="1:11" hidden="1" x14ac:dyDescent="0.25">
      <c r="A5995" s="207"/>
      <c r="B5995" s="205"/>
      <c r="C5995" s="35" t="s">
        <v>3293</v>
      </c>
      <c r="D5995" s="35" t="s">
        <v>92</v>
      </c>
      <c r="E5995" s="36">
        <v>1</v>
      </c>
      <c r="F5995" s="30">
        <v>35.263999999999996</v>
      </c>
      <c r="G5995" s="53">
        <f t="shared" si="112"/>
        <v>35.263999999999996</v>
      </c>
      <c r="H5995" s="38">
        <f>SUM(G5995:G5995)</f>
        <v>35.263999999999996</v>
      </c>
      <c r="I5995" s="39"/>
      <c r="J5995" s="148">
        <v>0</v>
      </c>
      <c r="K5995" s="222">
        <v>0</v>
      </c>
    </row>
    <row r="5996" spans="1:11" ht="15.75" hidden="1" thickBot="1" x14ac:dyDescent="0.3">
      <c r="A5996" s="208"/>
      <c r="B5996" s="206"/>
      <c r="C5996" s="54"/>
      <c r="D5996" s="150"/>
      <c r="E5996" s="65"/>
      <c r="F5996" s="75" t="s">
        <v>514</v>
      </c>
      <c r="G5996" s="75" t="str">
        <f t="shared" si="112"/>
        <v/>
      </c>
      <c r="H5996" s="76"/>
      <c r="I5996" s="73"/>
      <c r="J5996" s="148">
        <v>0</v>
      </c>
      <c r="K5996" s="222">
        <v>0</v>
      </c>
    </row>
    <row r="5997" spans="1:11" ht="15.75" hidden="1" thickBot="1" x14ac:dyDescent="0.3">
      <c r="A5997" s="202" t="s">
        <v>5514</v>
      </c>
      <c r="B5997" s="204" t="str">
        <f>INDEX(Orçamentária!A:B,MATCH(Composições!A5997,Orçamentária!A:A,0),2)</f>
        <v>Luva para eletroduto de PVC de 3”</v>
      </c>
      <c r="C5997" s="40"/>
      <c r="D5997" s="25" t="str">
        <f>TRIM(INDEX(Orçamentária!C:C,MATCH(Composições!A5997,Orçamentária!A:A,0),1))</f>
        <v>un</v>
      </c>
      <c r="E5997" s="26"/>
      <c r="F5997" s="48" t="s">
        <v>514</v>
      </c>
      <c r="G5997" s="27" t="str">
        <f t="shared" si="112"/>
        <v/>
      </c>
      <c r="H5997" s="28"/>
      <c r="I5997" s="29"/>
      <c r="J5997" s="148">
        <v>0</v>
      </c>
      <c r="K5997" s="222">
        <v>0</v>
      </c>
    </row>
    <row r="5998" spans="1:11" hidden="1" x14ac:dyDescent="0.25">
      <c r="A5998" s="207"/>
      <c r="B5998" s="205"/>
      <c r="C5998" s="31"/>
      <c r="D5998" s="31"/>
      <c r="E5998" s="32"/>
      <c r="F5998" s="53" t="s">
        <v>514</v>
      </c>
      <c r="G5998" s="53" t="str">
        <f t="shared" ref="G5998:G6061" si="113">IF(ISNUMBER(F5998),E5998*F5998,"")</f>
        <v/>
      </c>
      <c r="H5998" s="72"/>
      <c r="I5998" s="73"/>
      <c r="J5998" s="148">
        <v>0</v>
      </c>
      <c r="K5998" s="222">
        <v>0</v>
      </c>
    </row>
    <row r="5999" spans="1:11" hidden="1" x14ac:dyDescent="0.25">
      <c r="A5999" s="207"/>
      <c r="B5999" s="205"/>
      <c r="C5999" s="35" t="s">
        <v>3315</v>
      </c>
      <c r="D5999" s="35" t="s">
        <v>20</v>
      </c>
      <c r="E5999" s="36">
        <v>1</v>
      </c>
      <c r="F5999" s="30">
        <v>18.971499999999999</v>
      </c>
      <c r="G5999" s="53">
        <f t="shared" si="113"/>
        <v>18.971499999999999</v>
      </c>
      <c r="H5999" s="38">
        <f>SUM(G5999:G5999)</f>
        <v>18.971499999999999</v>
      </c>
      <c r="I5999" s="39"/>
      <c r="J5999" s="148">
        <v>0</v>
      </c>
      <c r="K5999" s="222">
        <v>0</v>
      </c>
    </row>
    <row r="6000" spans="1:11" ht="15.75" hidden="1" thickBot="1" x14ac:dyDescent="0.3">
      <c r="A6000" s="208"/>
      <c r="B6000" s="206"/>
      <c r="C6000" s="54"/>
      <c r="D6000" s="150"/>
      <c r="E6000" s="65"/>
      <c r="F6000" s="75" t="s">
        <v>514</v>
      </c>
      <c r="G6000" s="75" t="str">
        <f t="shared" si="113"/>
        <v/>
      </c>
      <c r="H6000" s="76"/>
      <c r="I6000" s="73"/>
      <c r="J6000" s="148">
        <v>0</v>
      </c>
      <c r="K6000" s="222">
        <v>0</v>
      </c>
    </row>
    <row r="6001" spans="1:11" ht="15.75" hidden="1" thickBot="1" x14ac:dyDescent="0.3">
      <c r="A6001" s="202" t="s">
        <v>5515</v>
      </c>
      <c r="B6001" s="204" t="str">
        <f>INDEX(Orçamentária!A:B,MATCH(Composições!A6001,Orçamentária!A:A,0),2)</f>
        <v>Curva para eletroduto de PVC de 3”</v>
      </c>
      <c r="C6001" s="40"/>
      <c r="D6001" s="25" t="str">
        <f>TRIM(INDEX(Orçamentária!C:C,MATCH(Composições!A6001,Orçamentária!A:A,0),1))</f>
        <v>un</v>
      </c>
      <c r="E6001" s="26"/>
      <c r="F6001" s="48" t="s">
        <v>514</v>
      </c>
      <c r="G6001" s="27" t="str">
        <f t="shared" si="113"/>
        <v/>
      </c>
      <c r="H6001" s="28"/>
      <c r="I6001" s="29"/>
      <c r="J6001" s="148">
        <v>0</v>
      </c>
      <c r="K6001" s="222">
        <v>0</v>
      </c>
    </row>
    <row r="6002" spans="1:11" hidden="1" x14ac:dyDescent="0.25">
      <c r="A6002" s="207"/>
      <c r="B6002" s="205"/>
      <c r="C6002" s="31"/>
      <c r="D6002" s="31"/>
      <c r="E6002" s="32"/>
      <c r="F6002" s="53" t="s">
        <v>514</v>
      </c>
      <c r="G6002" s="53" t="str">
        <f t="shared" si="113"/>
        <v/>
      </c>
      <c r="H6002" s="72"/>
      <c r="I6002" s="73"/>
      <c r="J6002" s="148">
        <v>0</v>
      </c>
      <c r="K6002" s="222">
        <v>0</v>
      </c>
    </row>
    <row r="6003" spans="1:11" ht="25.5" hidden="1" x14ac:dyDescent="0.25">
      <c r="A6003" s="207"/>
      <c r="B6003" s="205"/>
      <c r="C6003" s="35" t="s">
        <v>3279</v>
      </c>
      <c r="D6003" s="35" t="s">
        <v>20</v>
      </c>
      <c r="E6003" s="36">
        <v>1</v>
      </c>
      <c r="F6003" s="30">
        <v>29.1935</v>
      </c>
      <c r="G6003" s="53">
        <f t="shared" si="113"/>
        <v>29.1935</v>
      </c>
      <c r="H6003" s="38">
        <f>SUM(G6003:G6003)</f>
        <v>29.1935</v>
      </c>
      <c r="I6003" s="39"/>
      <c r="J6003" s="148">
        <v>0</v>
      </c>
      <c r="K6003" s="222">
        <v>0</v>
      </c>
    </row>
    <row r="6004" spans="1:11" ht="15.75" hidden="1" thickBot="1" x14ac:dyDescent="0.3">
      <c r="A6004" s="208"/>
      <c r="B6004" s="206"/>
      <c r="C6004" s="54"/>
      <c r="D6004" s="150"/>
      <c r="E6004" s="65"/>
      <c r="F6004" s="75" t="s">
        <v>514</v>
      </c>
      <c r="G6004" s="75" t="str">
        <f t="shared" si="113"/>
        <v/>
      </c>
      <c r="H6004" s="76"/>
      <c r="I6004" s="73"/>
      <c r="J6004" s="148">
        <v>0</v>
      </c>
      <c r="K6004" s="222">
        <v>0</v>
      </c>
    </row>
    <row r="6005" spans="1:11" ht="15.75" hidden="1" thickBot="1" x14ac:dyDescent="0.3">
      <c r="A6005" s="202" t="s">
        <v>5528</v>
      </c>
      <c r="B6005" s="204" t="str">
        <f>INDEX(Orçamentária!A:B,MATCH(Composições!A6005,Orçamentária!A:A,0),2)</f>
        <v>Base fusível NH 00 / NH 000</v>
      </c>
      <c r="C6005" s="40"/>
      <c r="D6005" s="25" t="str">
        <f>TRIM(INDEX(Orçamentária!C:C,MATCH(Composições!A6005,Orçamentária!A:A,0),1))</f>
        <v>un</v>
      </c>
      <c r="E6005" s="26"/>
      <c r="F6005" s="48" t="s">
        <v>514</v>
      </c>
      <c r="G6005" s="27" t="str">
        <f t="shared" si="113"/>
        <v/>
      </c>
      <c r="H6005" s="28"/>
      <c r="I6005" s="29"/>
      <c r="J6005" s="148">
        <v>0</v>
      </c>
      <c r="K6005" s="222">
        <v>0</v>
      </c>
    </row>
    <row r="6006" spans="1:11" hidden="1" x14ac:dyDescent="0.25">
      <c r="A6006" s="207"/>
      <c r="B6006" s="205"/>
      <c r="C6006" s="31"/>
      <c r="D6006" s="31"/>
      <c r="E6006" s="32"/>
      <c r="F6006" s="53" t="s">
        <v>514</v>
      </c>
      <c r="G6006" s="53" t="str">
        <f t="shared" si="113"/>
        <v/>
      </c>
      <c r="H6006" s="72"/>
      <c r="I6006" s="73"/>
      <c r="J6006" s="148">
        <v>0</v>
      </c>
      <c r="K6006" s="222">
        <v>0</v>
      </c>
    </row>
    <row r="6007" spans="1:11" ht="25.5" hidden="1" x14ac:dyDescent="0.25">
      <c r="A6007" s="207"/>
      <c r="B6007" s="205"/>
      <c r="C6007" s="35" t="s">
        <v>6364</v>
      </c>
      <c r="D6007" s="35" t="s">
        <v>20</v>
      </c>
      <c r="E6007" s="36">
        <v>1</v>
      </c>
      <c r="F6007" s="30">
        <v>0</v>
      </c>
      <c r="G6007" s="53">
        <f t="shared" si="113"/>
        <v>0</v>
      </c>
      <c r="H6007" s="38">
        <f>SUM(G6007:G6007)</f>
        <v>0</v>
      </c>
      <c r="I6007" s="39"/>
      <c r="J6007" s="148">
        <v>0</v>
      </c>
      <c r="K6007" s="222">
        <v>0</v>
      </c>
    </row>
    <row r="6008" spans="1:11" ht="15.75" hidden="1" thickBot="1" x14ac:dyDescent="0.3">
      <c r="A6008" s="208"/>
      <c r="B6008" s="206"/>
      <c r="C6008" s="54"/>
      <c r="D6008" s="150"/>
      <c r="E6008" s="65"/>
      <c r="F6008" s="75" t="s">
        <v>514</v>
      </c>
      <c r="G6008" s="75" t="str">
        <f t="shared" si="113"/>
        <v/>
      </c>
      <c r="H6008" s="76"/>
      <c r="I6008" s="73"/>
      <c r="J6008" s="148">
        <v>0</v>
      </c>
      <c r="K6008" s="222">
        <v>0</v>
      </c>
    </row>
    <row r="6009" spans="1:11" ht="15.75" hidden="1" customHeight="1" thickBot="1" x14ac:dyDescent="0.3">
      <c r="A6009" s="202" t="s">
        <v>5529</v>
      </c>
      <c r="B6009" s="204" t="str">
        <f>INDEX(Orçamentária!A:B,MATCH(Composições!A6009,Orçamentária!A:A,0),2)</f>
        <v>Base fusível NH 1</v>
      </c>
      <c r="C6009" s="40"/>
      <c r="D6009" s="25" t="str">
        <f>TRIM(INDEX(Orçamentária!C:C,MATCH(Composições!A6009,Orçamentária!A:A,0),1))</f>
        <v>un</v>
      </c>
      <c r="E6009" s="26"/>
      <c r="F6009" s="48" t="s">
        <v>514</v>
      </c>
      <c r="G6009" s="27" t="str">
        <f t="shared" si="113"/>
        <v/>
      </c>
      <c r="H6009" s="28"/>
      <c r="I6009" s="29"/>
      <c r="J6009" s="148">
        <v>0</v>
      </c>
      <c r="K6009" s="222">
        <v>0</v>
      </c>
    </row>
    <row r="6010" spans="1:11" hidden="1" x14ac:dyDescent="0.25">
      <c r="A6010" s="207"/>
      <c r="B6010" s="205"/>
      <c r="C6010" s="31"/>
      <c r="D6010" s="31"/>
      <c r="E6010" s="32"/>
      <c r="F6010" s="53" t="s">
        <v>514</v>
      </c>
      <c r="G6010" s="53" t="str">
        <f t="shared" si="113"/>
        <v/>
      </c>
      <c r="H6010" s="72"/>
      <c r="I6010" s="73"/>
      <c r="J6010" s="148">
        <v>0</v>
      </c>
      <c r="K6010" s="222">
        <v>0</v>
      </c>
    </row>
    <row r="6011" spans="1:11" ht="25.5" hidden="1" x14ac:dyDescent="0.25">
      <c r="A6011" s="207"/>
      <c r="B6011" s="205"/>
      <c r="C6011" s="35" t="s">
        <v>6365</v>
      </c>
      <c r="D6011" s="35" t="s">
        <v>20</v>
      </c>
      <c r="E6011" s="36">
        <v>1</v>
      </c>
      <c r="F6011" s="30">
        <v>0</v>
      </c>
      <c r="G6011" s="53">
        <f t="shared" si="113"/>
        <v>0</v>
      </c>
      <c r="H6011" s="38">
        <f>SUM(G6011:G6011)</f>
        <v>0</v>
      </c>
      <c r="I6011" s="39"/>
      <c r="J6011" s="148">
        <v>0</v>
      </c>
      <c r="K6011" s="222">
        <v>0</v>
      </c>
    </row>
    <row r="6012" spans="1:11" ht="15.75" hidden="1" thickBot="1" x14ac:dyDescent="0.3">
      <c r="A6012" s="208"/>
      <c r="B6012" s="206"/>
      <c r="C6012" s="54"/>
      <c r="D6012" s="150"/>
      <c r="E6012" s="65"/>
      <c r="F6012" s="75" t="s">
        <v>514</v>
      </c>
      <c r="G6012" s="75" t="str">
        <f t="shared" si="113"/>
        <v/>
      </c>
      <c r="H6012" s="76"/>
      <c r="I6012" s="73"/>
      <c r="J6012" s="148">
        <v>0</v>
      </c>
      <c r="K6012" s="222">
        <v>0</v>
      </c>
    </row>
    <row r="6013" spans="1:11" ht="15.75" hidden="1" customHeight="1" thickBot="1" x14ac:dyDescent="0.3">
      <c r="A6013" s="202" t="s">
        <v>5530</v>
      </c>
      <c r="B6013" s="204" t="str">
        <f>INDEX(Orçamentária!A:B,MATCH(Composições!A6013,Orçamentária!A:A,0),2)</f>
        <v>Base fusível NH 2</v>
      </c>
      <c r="C6013" s="40"/>
      <c r="D6013" s="25" t="str">
        <f>TRIM(INDEX(Orçamentária!C:C,MATCH(Composições!A6013,Orçamentária!A:A,0),1))</f>
        <v>un</v>
      </c>
      <c r="E6013" s="26"/>
      <c r="F6013" s="48" t="s">
        <v>514</v>
      </c>
      <c r="G6013" s="27" t="str">
        <f t="shared" si="113"/>
        <v/>
      </c>
      <c r="H6013" s="28"/>
      <c r="I6013" s="29"/>
      <c r="J6013" s="148">
        <v>0</v>
      </c>
      <c r="K6013" s="222">
        <v>0</v>
      </c>
    </row>
    <row r="6014" spans="1:11" hidden="1" x14ac:dyDescent="0.25">
      <c r="A6014" s="207"/>
      <c r="B6014" s="205"/>
      <c r="C6014" s="31"/>
      <c r="D6014" s="31"/>
      <c r="E6014" s="32"/>
      <c r="F6014" s="53" t="s">
        <v>514</v>
      </c>
      <c r="G6014" s="53" t="str">
        <f t="shared" si="113"/>
        <v/>
      </c>
      <c r="H6014" s="72"/>
      <c r="I6014" s="73"/>
      <c r="J6014" s="148">
        <v>0</v>
      </c>
      <c r="K6014" s="222">
        <v>0</v>
      </c>
    </row>
    <row r="6015" spans="1:11" ht="25.5" hidden="1" x14ac:dyDescent="0.25">
      <c r="A6015" s="207"/>
      <c r="B6015" s="205"/>
      <c r="C6015" s="35" t="s">
        <v>6366</v>
      </c>
      <c r="D6015" s="35" t="s">
        <v>20</v>
      </c>
      <c r="E6015" s="36">
        <v>1</v>
      </c>
      <c r="F6015" s="30">
        <v>0</v>
      </c>
      <c r="G6015" s="53">
        <f t="shared" si="113"/>
        <v>0</v>
      </c>
      <c r="H6015" s="38">
        <f>SUM(G6015:G6015)</f>
        <v>0</v>
      </c>
      <c r="I6015" s="39"/>
      <c r="J6015" s="148">
        <v>0</v>
      </c>
      <c r="K6015" s="222">
        <v>0</v>
      </c>
    </row>
    <row r="6016" spans="1:11" ht="15.75" hidden="1" thickBot="1" x14ac:dyDescent="0.3">
      <c r="A6016" s="208"/>
      <c r="B6016" s="206"/>
      <c r="C6016" s="54"/>
      <c r="D6016" s="150"/>
      <c r="E6016" s="65"/>
      <c r="F6016" s="75" t="s">
        <v>514</v>
      </c>
      <c r="G6016" s="75" t="str">
        <f t="shared" si="113"/>
        <v/>
      </c>
      <c r="H6016" s="76"/>
      <c r="I6016" s="73"/>
      <c r="J6016" s="148">
        <v>0</v>
      </c>
      <c r="K6016" s="222">
        <v>0</v>
      </c>
    </row>
    <row r="6017" spans="1:11" ht="15.75" hidden="1" thickBot="1" x14ac:dyDescent="0.3">
      <c r="A6017" s="202" t="s">
        <v>5531</v>
      </c>
      <c r="B6017" s="204" t="str">
        <f>INDEX(Orçamentária!A:B,MATCH(Composições!A6017,Orçamentária!A:A,0),2)</f>
        <v>Base fusível NH 3</v>
      </c>
      <c r="C6017" s="40"/>
      <c r="D6017" s="25" t="str">
        <f>TRIM(INDEX(Orçamentária!C:C,MATCH(Composições!A6017,Orçamentária!A:A,0),1))</f>
        <v>un</v>
      </c>
      <c r="E6017" s="26"/>
      <c r="F6017" s="48" t="s">
        <v>514</v>
      </c>
      <c r="G6017" s="27" t="str">
        <f t="shared" si="113"/>
        <v/>
      </c>
      <c r="H6017" s="28"/>
      <c r="I6017" s="29"/>
      <c r="J6017" s="148">
        <v>0</v>
      </c>
      <c r="K6017" s="222">
        <v>0</v>
      </c>
    </row>
    <row r="6018" spans="1:11" hidden="1" x14ac:dyDescent="0.25">
      <c r="A6018" s="207"/>
      <c r="B6018" s="205"/>
      <c r="C6018" s="31"/>
      <c r="D6018" s="31"/>
      <c r="E6018" s="32"/>
      <c r="F6018" s="53" t="s">
        <v>514</v>
      </c>
      <c r="G6018" s="53" t="str">
        <f t="shared" si="113"/>
        <v/>
      </c>
      <c r="H6018" s="72"/>
      <c r="I6018" s="73"/>
      <c r="J6018" s="148">
        <v>0</v>
      </c>
      <c r="K6018" s="222">
        <v>0</v>
      </c>
    </row>
    <row r="6019" spans="1:11" ht="25.5" hidden="1" x14ac:dyDescent="0.25">
      <c r="A6019" s="207"/>
      <c r="B6019" s="205"/>
      <c r="C6019" s="35" t="s">
        <v>6367</v>
      </c>
      <c r="D6019" s="35" t="s">
        <v>20</v>
      </c>
      <c r="E6019" s="36">
        <v>1</v>
      </c>
      <c r="F6019" s="30">
        <v>0</v>
      </c>
      <c r="G6019" s="53">
        <f t="shared" si="113"/>
        <v>0</v>
      </c>
      <c r="H6019" s="38">
        <f>SUM(G6019:G6019)</f>
        <v>0</v>
      </c>
      <c r="I6019" s="39"/>
      <c r="J6019" s="148">
        <v>0</v>
      </c>
      <c r="K6019" s="222">
        <v>0</v>
      </c>
    </row>
    <row r="6020" spans="1:11" ht="15.75" hidden="1" thickBot="1" x14ac:dyDescent="0.3">
      <c r="A6020" s="208"/>
      <c r="B6020" s="206"/>
      <c r="C6020" s="54"/>
      <c r="D6020" s="150"/>
      <c r="E6020" s="65"/>
      <c r="F6020" s="75" t="s">
        <v>514</v>
      </c>
      <c r="G6020" s="75" t="str">
        <f t="shared" si="113"/>
        <v/>
      </c>
      <c r="H6020" s="76"/>
      <c r="I6020" s="73"/>
      <c r="J6020" s="148">
        <v>0</v>
      </c>
      <c r="K6020" s="222">
        <v>0</v>
      </c>
    </row>
    <row r="6021" spans="1:11" ht="15.75" hidden="1" thickBot="1" x14ac:dyDescent="0.3">
      <c r="A6021" s="202" t="s">
        <v>5532</v>
      </c>
      <c r="B6021" s="204" t="str">
        <f>INDEX(Orçamentária!A:B,MATCH(Composições!A6021,Orçamentária!A:A,0),2)</f>
        <v>Fusível NH 000</v>
      </c>
      <c r="C6021" s="40"/>
      <c r="D6021" s="25" t="str">
        <f>TRIM(INDEX(Orçamentária!C:C,MATCH(Composições!A6021,Orçamentária!A:A,0),1))</f>
        <v>un</v>
      </c>
      <c r="E6021" s="26"/>
      <c r="F6021" s="48" t="s">
        <v>514</v>
      </c>
      <c r="G6021" s="27" t="str">
        <f t="shared" si="113"/>
        <v/>
      </c>
      <c r="H6021" s="28"/>
      <c r="I6021" s="29"/>
      <c r="J6021" s="148">
        <v>0</v>
      </c>
      <c r="K6021" s="222">
        <v>0</v>
      </c>
    </row>
    <row r="6022" spans="1:11" hidden="1" x14ac:dyDescent="0.25">
      <c r="A6022" s="207"/>
      <c r="B6022" s="205"/>
      <c r="C6022" s="31"/>
      <c r="D6022" s="31"/>
      <c r="E6022" s="32"/>
      <c r="F6022" s="53" t="s">
        <v>514</v>
      </c>
      <c r="G6022" s="53" t="str">
        <f t="shared" si="113"/>
        <v/>
      </c>
      <c r="H6022" s="72"/>
      <c r="I6022" s="73"/>
      <c r="J6022" s="148">
        <v>0</v>
      </c>
      <c r="K6022" s="222">
        <v>0</v>
      </c>
    </row>
    <row r="6023" spans="1:11" hidden="1" x14ac:dyDescent="0.25">
      <c r="A6023" s="207"/>
      <c r="B6023" s="205"/>
      <c r="C6023" s="35" t="s">
        <v>6368</v>
      </c>
      <c r="D6023" s="35" t="s">
        <v>20</v>
      </c>
      <c r="E6023" s="36">
        <v>1</v>
      </c>
      <c r="F6023" s="30">
        <v>0</v>
      </c>
      <c r="G6023" s="53">
        <f t="shared" si="113"/>
        <v>0</v>
      </c>
      <c r="H6023" s="38">
        <f>SUM(G6023:G6023)</f>
        <v>0</v>
      </c>
      <c r="I6023" s="39"/>
      <c r="J6023" s="148">
        <v>0</v>
      </c>
      <c r="K6023" s="222">
        <v>0</v>
      </c>
    </row>
    <row r="6024" spans="1:11" ht="15.75" hidden="1" thickBot="1" x14ac:dyDescent="0.3">
      <c r="A6024" s="208"/>
      <c r="B6024" s="206"/>
      <c r="C6024" s="54"/>
      <c r="D6024" s="150"/>
      <c r="E6024" s="65"/>
      <c r="F6024" s="75" t="s">
        <v>514</v>
      </c>
      <c r="G6024" s="75" t="str">
        <f t="shared" si="113"/>
        <v/>
      </c>
      <c r="H6024" s="76"/>
      <c r="I6024" s="73"/>
      <c r="J6024" s="148">
        <v>0</v>
      </c>
      <c r="K6024" s="222">
        <v>0</v>
      </c>
    </row>
    <row r="6025" spans="1:11" ht="15.75" hidden="1" thickBot="1" x14ac:dyDescent="0.3">
      <c r="A6025" s="202" t="s">
        <v>5534</v>
      </c>
      <c r="B6025" s="204" t="str">
        <f>INDEX(Orçamentária!A:B,MATCH(Composições!A6025,Orçamentária!A:A,0),2)</f>
        <v>Fusível NH 1</v>
      </c>
      <c r="C6025" s="40"/>
      <c r="D6025" s="25" t="str">
        <f>TRIM(INDEX(Orçamentária!C:C,MATCH(Composições!A6025,Orçamentária!A:A,0),1))</f>
        <v>un</v>
      </c>
      <c r="E6025" s="26"/>
      <c r="F6025" s="48" t="s">
        <v>514</v>
      </c>
      <c r="G6025" s="27" t="str">
        <f t="shared" si="113"/>
        <v/>
      </c>
      <c r="H6025" s="28"/>
      <c r="I6025" s="29"/>
      <c r="J6025" s="148">
        <v>0</v>
      </c>
      <c r="K6025" s="222">
        <v>0</v>
      </c>
    </row>
    <row r="6026" spans="1:11" hidden="1" x14ac:dyDescent="0.25">
      <c r="A6026" s="207"/>
      <c r="B6026" s="205"/>
      <c r="C6026" s="31"/>
      <c r="D6026" s="31"/>
      <c r="E6026" s="32"/>
      <c r="F6026" s="53" t="s">
        <v>514</v>
      </c>
      <c r="G6026" s="53" t="str">
        <f t="shared" si="113"/>
        <v/>
      </c>
      <c r="H6026" s="72"/>
      <c r="I6026" s="73"/>
      <c r="J6026" s="148">
        <v>0</v>
      </c>
      <c r="K6026" s="222">
        <v>0</v>
      </c>
    </row>
    <row r="6027" spans="1:11" hidden="1" x14ac:dyDescent="0.25">
      <c r="A6027" s="207"/>
      <c r="B6027" s="205"/>
      <c r="C6027" s="35" t="s">
        <v>6369</v>
      </c>
      <c r="D6027" s="35" t="s">
        <v>20</v>
      </c>
      <c r="E6027" s="36">
        <v>1</v>
      </c>
      <c r="F6027" s="30">
        <v>0</v>
      </c>
      <c r="G6027" s="53">
        <f t="shared" si="113"/>
        <v>0</v>
      </c>
      <c r="H6027" s="38">
        <f>SUM(G6027:G6027)</f>
        <v>0</v>
      </c>
      <c r="I6027" s="39"/>
      <c r="J6027" s="148">
        <v>0</v>
      </c>
      <c r="K6027" s="222">
        <v>0</v>
      </c>
    </row>
    <row r="6028" spans="1:11" ht="15.75" hidden="1" thickBot="1" x14ac:dyDescent="0.3">
      <c r="A6028" s="208"/>
      <c r="B6028" s="206"/>
      <c r="C6028" s="54"/>
      <c r="D6028" s="150"/>
      <c r="E6028" s="65"/>
      <c r="F6028" s="75" t="s">
        <v>514</v>
      </c>
      <c r="G6028" s="75" t="str">
        <f t="shared" si="113"/>
        <v/>
      </c>
      <c r="H6028" s="76"/>
      <c r="I6028" s="73"/>
      <c r="J6028" s="148">
        <v>0</v>
      </c>
      <c r="K6028" s="222">
        <v>0</v>
      </c>
    </row>
    <row r="6029" spans="1:11" ht="15.75" hidden="1" thickBot="1" x14ac:dyDescent="0.3">
      <c r="A6029" s="202" t="s">
        <v>5536</v>
      </c>
      <c r="B6029" s="204" t="str">
        <f>INDEX(Orçamentária!A:B,MATCH(Composições!A6029,Orçamentária!A:A,0),2)</f>
        <v>Fusível NH 2</v>
      </c>
      <c r="C6029" s="40"/>
      <c r="D6029" s="25" t="str">
        <f>TRIM(INDEX(Orçamentária!C:C,MATCH(Composições!A6029,Orçamentária!A:A,0),1))</f>
        <v>un</v>
      </c>
      <c r="E6029" s="26"/>
      <c r="F6029" s="48" t="s">
        <v>514</v>
      </c>
      <c r="G6029" s="27" t="str">
        <f t="shared" si="113"/>
        <v/>
      </c>
      <c r="H6029" s="28"/>
      <c r="I6029" s="29"/>
      <c r="J6029" s="148">
        <v>0</v>
      </c>
      <c r="K6029" s="222">
        <v>0</v>
      </c>
    </row>
    <row r="6030" spans="1:11" hidden="1" x14ac:dyDescent="0.25">
      <c r="A6030" s="207"/>
      <c r="B6030" s="205"/>
      <c r="C6030" s="31"/>
      <c r="D6030" s="31"/>
      <c r="E6030" s="32"/>
      <c r="F6030" s="53" t="s">
        <v>514</v>
      </c>
      <c r="G6030" s="53" t="str">
        <f t="shared" si="113"/>
        <v/>
      </c>
      <c r="H6030" s="72"/>
      <c r="I6030" s="73"/>
      <c r="J6030" s="148">
        <v>0</v>
      </c>
      <c r="K6030" s="222">
        <v>0</v>
      </c>
    </row>
    <row r="6031" spans="1:11" hidden="1" x14ac:dyDescent="0.25">
      <c r="A6031" s="207"/>
      <c r="B6031" s="205"/>
      <c r="C6031" s="35" t="s">
        <v>6370</v>
      </c>
      <c r="D6031" s="35" t="s">
        <v>20</v>
      </c>
      <c r="E6031" s="36">
        <v>1</v>
      </c>
      <c r="F6031" s="30">
        <v>0</v>
      </c>
      <c r="G6031" s="53">
        <f t="shared" si="113"/>
        <v>0</v>
      </c>
      <c r="H6031" s="38">
        <f>SUM(G6031:G6031)</f>
        <v>0</v>
      </c>
      <c r="I6031" s="39"/>
      <c r="J6031" s="148">
        <v>0</v>
      </c>
      <c r="K6031" s="222">
        <v>0</v>
      </c>
    </row>
    <row r="6032" spans="1:11" ht="15.75" hidden="1" thickBot="1" x14ac:dyDescent="0.3">
      <c r="A6032" s="208"/>
      <c r="B6032" s="206"/>
      <c r="C6032" s="54"/>
      <c r="D6032" s="150"/>
      <c r="E6032" s="65"/>
      <c r="F6032" s="75" t="s">
        <v>514</v>
      </c>
      <c r="G6032" s="75" t="str">
        <f t="shared" si="113"/>
        <v/>
      </c>
      <c r="H6032" s="76"/>
      <c r="I6032" s="73"/>
      <c r="J6032" s="148">
        <v>0</v>
      </c>
      <c r="K6032" s="222">
        <v>0</v>
      </c>
    </row>
    <row r="6033" spans="1:11" ht="15.75" hidden="1" thickBot="1" x14ac:dyDescent="0.3">
      <c r="A6033" s="202" t="s">
        <v>5538</v>
      </c>
      <c r="B6033" s="204" t="str">
        <f>INDEX(Orçamentária!A:B,MATCH(Composições!A6033,Orçamentária!A:A,0),2)</f>
        <v>Fusível NH 3</v>
      </c>
      <c r="C6033" s="40"/>
      <c r="D6033" s="25" t="str">
        <f>TRIM(INDEX(Orçamentária!C:C,MATCH(Composições!A6033,Orçamentária!A:A,0),1))</f>
        <v>un</v>
      </c>
      <c r="E6033" s="26"/>
      <c r="F6033" s="48" t="s">
        <v>514</v>
      </c>
      <c r="G6033" s="27" t="str">
        <f t="shared" si="113"/>
        <v/>
      </c>
      <c r="H6033" s="28"/>
      <c r="I6033" s="29"/>
      <c r="J6033" s="148">
        <v>0</v>
      </c>
      <c r="K6033" s="222">
        <v>0</v>
      </c>
    </row>
    <row r="6034" spans="1:11" hidden="1" x14ac:dyDescent="0.25">
      <c r="A6034" s="207"/>
      <c r="B6034" s="205"/>
      <c r="C6034" s="31"/>
      <c r="D6034" s="31"/>
      <c r="E6034" s="32"/>
      <c r="F6034" s="53" t="s">
        <v>514</v>
      </c>
      <c r="G6034" s="53" t="str">
        <f t="shared" si="113"/>
        <v/>
      </c>
      <c r="H6034" s="72"/>
      <c r="I6034" s="73"/>
      <c r="J6034" s="148">
        <v>0</v>
      </c>
      <c r="K6034" s="222">
        <v>0</v>
      </c>
    </row>
    <row r="6035" spans="1:11" hidden="1" x14ac:dyDescent="0.25">
      <c r="A6035" s="207"/>
      <c r="B6035" s="205"/>
      <c r="C6035" s="35" t="s">
        <v>6371</v>
      </c>
      <c r="D6035" s="35" t="s">
        <v>20</v>
      </c>
      <c r="E6035" s="36">
        <v>1</v>
      </c>
      <c r="F6035" s="30">
        <v>0</v>
      </c>
      <c r="G6035" s="53">
        <f t="shared" si="113"/>
        <v>0</v>
      </c>
      <c r="H6035" s="38">
        <f>SUM(G6035:G6035)</f>
        <v>0</v>
      </c>
      <c r="I6035" s="39"/>
      <c r="J6035" s="148">
        <v>0</v>
      </c>
      <c r="K6035" s="222">
        <v>0</v>
      </c>
    </row>
    <row r="6036" spans="1:11" ht="15.75" hidden="1" thickBot="1" x14ac:dyDescent="0.3">
      <c r="A6036" s="208"/>
      <c r="B6036" s="206"/>
      <c r="C6036" s="54"/>
      <c r="D6036" s="150"/>
      <c r="E6036" s="65"/>
      <c r="F6036" s="75" t="s">
        <v>514</v>
      </c>
      <c r="G6036" s="75" t="str">
        <f t="shared" si="113"/>
        <v/>
      </c>
      <c r="H6036" s="76"/>
      <c r="I6036" s="73"/>
      <c r="J6036" s="148">
        <v>0</v>
      </c>
      <c r="K6036" s="222">
        <v>0</v>
      </c>
    </row>
    <row r="6037" spans="1:11" ht="15.75" hidden="1" thickBot="1" x14ac:dyDescent="0.3">
      <c r="A6037" s="202" t="s">
        <v>5541</v>
      </c>
      <c r="B6037" s="204" t="str">
        <f>INDEX(Orçamentária!A:B,MATCH(Composições!A6037,Orçamentária!A:A,0),2)</f>
        <v>Fusível Diazed</v>
      </c>
      <c r="C6037" s="40"/>
      <c r="D6037" s="25" t="str">
        <f>TRIM(INDEX(Orçamentária!C:C,MATCH(Composições!A6037,Orçamentária!A:A,0),1))</f>
        <v>un</v>
      </c>
      <c r="E6037" s="26"/>
      <c r="F6037" s="48" t="s">
        <v>514</v>
      </c>
      <c r="G6037" s="27" t="str">
        <f t="shared" si="113"/>
        <v/>
      </c>
      <c r="H6037" s="28"/>
      <c r="I6037" s="29"/>
      <c r="J6037" s="148">
        <v>0</v>
      </c>
      <c r="K6037" s="222">
        <v>0</v>
      </c>
    </row>
    <row r="6038" spans="1:11" hidden="1" x14ac:dyDescent="0.25">
      <c r="A6038" s="207"/>
      <c r="B6038" s="205"/>
      <c r="C6038" s="31"/>
      <c r="D6038" s="31"/>
      <c r="E6038" s="32"/>
      <c r="F6038" s="53" t="s">
        <v>514</v>
      </c>
      <c r="G6038" s="53" t="str">
        <f t="shared" si="113"/>
        <v/>
      </c>
      <c r="H6038" s="72"/>
      <c r="I6038" s="73"/>
      <c r="J6038" s="148">
        <v>0</v>
      </c>
      <c r="K6038" s="222">
        <v>0</v>
      </c>
    </row>
    <row r="6039" spans="1:11" ht="38.25" hidden="1" x14ac:dyDescent="0.25">
      <c r="A6039" s="207"/>
      <c r="B6039" s="205"/>
      <c r="C6039" s="35" t="s">
        <v>3304</v>
      </c>
      <c r="D6039" s="35" t="s">
        <v>20</v>
      </c>
      <c r="E6039" s="36">
        <v>1</v>
      </c>
      <c r="F6039" s="30">
        <v>5.0919999999999996</v>
      </c>
      <c r="G6039" s="53">
        <f t="shared" si="113"/>
        <v>5.0919999999999996</v>
      </c>
      <c r="H6039" s="38">
        <f>SUM(G6039:G6039)</f>
        <v>5.0919999999999996</v>
      </c>
      <c r="I6039" s="39"/>
      <c r="J6039" s="148">
        <v>0</v>
      </c>
      <c r="K6039" s="222">
        <v>0</v>
      </c>
    </row>
    <row r="6040" spans="1:11" ht="15.75" hidden="1" thickBot="1" x14ac:dyDescent="0.3">
      <c r="A6040" s="208"/>
      <c r="B6040" s="206"/>
      <c r="C6040" s="54"/>
      <c r="D6040" s="150"/>
      <c r="E6040" s="65"/>
      <c r="F6040" s="75" t="s">
        <v>514</v>
      </c>
      <c r="G6040" s="75" t="str">
        <f t="shared" si="113"/>
        <v/>
      </c>
      <c r="H6040" s="76"/>
      <c r="I6040" s="73"/>
      <c r="J6040" s="148">
        <v>0</v>
      </c>
      <c r="K6040" s="222">
        <v>0</v>
      </c>
    </row>
    <row r="6041" spans="1:11" ht="15.75" hidden="1" thickBot="1" x14ac:dyDescent="0.3">
      <c r="A6041" s="202" t="s">
        <v>5557</v>
      </c>
      <c r="B6041" s="204" t="str">
        <f>INDEX(Orçamentária!A:B,MATCH(Composições!A6041,Orçamentária!A:A,0),2)</f>
        <v>Poste reto 3m</v>
      </c>
      <c r="C6041" s="40"/>
      <c r="D6041" s="25" t="str">
        <f>TRIM(INDEX(Orçamentária!C:C,MATCH(Composições!A6041,Orçamentária!A:A,0),1))</f>
        <v>un</v>
      </c>
      <c r="E6041" s="26"/>
      <c r="F6041" s="48" t="s">
        <v>514</v>
      </c>
      <c r="G6041" s="27" t="str">
        <f t="shared" si="113"/>
        <v/>
      </c>
      <c r="H6041" s="28"/>
      <c r="I6041" s="29"/>
      <c r="J6041" s="148">
        <v>0</v>
      </c>
      <c r="K6041" s="222">
        <v>0</v>
      </c>
    </row>
    <row r="6042" spans="1:11" hidden="1" x14ac:dyDescent="0.25">
      <c r="A6042" s="207"/>
      <c r="B6042" s="205"/>
      <c r="C6042" s="31"/>
      <c r="D6042" s="31"/>
      <c r="E6042" s="32"/>
      <c r="F6042" s="53" t="s">
        <v>514</v>
      </c>
      <c r="G6042" s="53" t="str">
        <f t="shared" si="113"/>
        <v/>
      </c>
      <c r="H6042" s="72"/>
      <c r="I6042" s="73"/>
      <c r="J6042" s="148">
        <v>0</v>
      </c>
      <c r="K6042" s="222">
        <v>0</v>
      </c>
    </row>
    <row r="6043" spans="1:11" ht="25.5" hidden="1" x14ac:dyDescent="0.25">
      <c r="A6043" s="207"/>
      <c r="B6043" s="205"/>
      <c r="C6043" s="35" t="s">
        <v>7766</v>
      </c>
      <c r="D6043" s="35" t="s">
        <v>20</v>
      </c>
      <c r="E6043" s="36">
        <v>1</v>
      </c>
      <c r="F6043" s="30">
        <v>515.83100000000002</v>
      </c>
      <c r="G6043" s="53">
        <f t="shared" si="113"/>
        <v>515.83100000000002</v>
      </c>
      <c r="H6043" s="38">
        <f>SUM(G6043:G6043)</f>
        <v>515.83100000000002</v>
      </c>
      <c r="I6043" s="39"/>
      <c r="J6043" s="148">
        <v>0</v>
      </c>
      <c r="K6043" s="222">
        <v>0</v>
      </c>
    </row>
    <row r="6044" spans="1:11" ht="15.75" hidden="1" thickBot="1" x14ac:dyDescent="0.3">
      <c r="A6044" s="208"/>
      <c r="B6044" s="206"/>
      <c r="C6044" s="54"/>
      <c r="D6044" s="150"/>
      <c r="E6044" s="65"/>
      <c r="F6044" s="75" t="s">
        <v>514</v>
      </c>
      <c r="G6044" s="75" t="str">
        <f t="shared" si="113"/>
        <v/>
      </c>
      <c r="H6044" s="76"/>
      <c r="I6044" s="73"/>
      <c r="J6044" s="148">
        <v>0</v>
      </c>
      <c r="K6044" s="222">
        <v>0</v>
      </c>
    </row>
    <row r="6045" spans="1:11" ht="15.75" hidden="1" thickBot="1" x14ac:dyDescent="0.3">
      <c r="A6045" s="202" t="s">
        <v>5559</v>
      </c>
      <c r="B6045" s="204" t="str">
        <f>INDEX(Orçamentária!A:B,MATCH(Composições!A6045,Orçamentária!A:A,0),2)</f>
        <v>Poste curvo simples 8m</v>
      </c>
      <c r="C6045" s="40"/>
      <c r="D6045" s="25" t="str">
        <f>TRIM(INDEX(Orçamentária!C:C,MATCH(Composições!A6045,Orçamentária!A:A,0),1))</f>
        <v>un</v>
      </c>
      <c r="E6045" s="26"/>
      <c r="F6045" s="48" t="s">
        <v>514</v>
      </c>
      <c r="G6045" s="27" t="str">
        <f t="shared" si="113"/>
        <v/>
      </c>
      <c r="H6045" s="28"/>
      <c r="I6045" s="29"/>
      <c r="J6045" s="148">
        <v>0</v>
      </c>
      <c r="K6045" s="222">
        <v>0</v>
      </c>
    </row>
    <row r="6046" spans="1:11" hidden="1" x14ac:dyDescent="0.25">
      <c r="A6046" s="207"/>
      <c r="B6046" s="205"/>
      <c r="C6046" s="31"/>
      <c r="D6046" s="31"/>
      <c r="E6046" s="32"/>
      <c r="F6046" s="53" t="s">
        <v>514</v>
      </c>
      <c r="G6046" s="53" t="str">
        <f t="shared" si="113"/>
        <v/>
      </c>
      <c r="H6046" s="72"/>
      <c r="I6046" s="73"/>
      <c r="J6046" s="148">
        <v>0</v>
      </c>
      <c r="K6046" s="222">
        <v>0</v>
      </c>
    </row>
    <row r="6047" spans="1:11" ht="25.5" hidden="1" x14ac:dyDescent="0.25">
      <c r="A6047" s="207"/>
      <c r="B6047" s="205"/>
      <c r="C6047" s="35" t="s">
        <v>6621</v>
      </c>
      <c r="D6047" s="35" t="s">
        <v>20</v>
      </c>
      <c r="E6047" s="36">
        <v>1</v>
      </c>
      <c r="F6047" s="30">
        <v>2002.1345000000001</v>
      </c>
      <c r="G6047" s="53">
        <f t="shared" si="113"/>
        <v>2002.1345000000001</v>
      </c>
      <c r="H6047" s="38">
        <f>SUM(G6047:G6047)</f>
        <v>2002.1345000000001</v>
      </c>
      <c r="I6047" s="39"/>
      <c r="J6047" s="148">
        <v>0</v>
      </c>
      <c r="K6047" s="222">
        <v>0</v>
      </c>
    </row>
    <row r="6048" spans="1:11" ht="15.75" hidden="1" thickBot="1" x14ac:dyDescent="0.3">
      <c r="A6048" s="208"/>
      <c r="B6048" s="206"/>
      <c r="C6048" s="54"/>
      <c r="D6048" s="150"/>
      <c r="E6048" s="65"/>
      <c r="F6048" s="75" t="s">
        <v>514</v>
      </c>
      <c r="G6048" s="75" t="str">
        <f t="shared" si="113"/>
        <v/>
      </c>
      <c r="H6048" s="76"/>
      <c r="I6048" s="73"/>
      <c r="J6048" s="148">
        <v>0</v>
      </c>
      <c r="K6048" s="222">
        <v>0</v>
      </c>
    </row>
    <row r="6049" spans="1:11" ht="15.75" hidden="1" thickBot="1" x14ac:dyDescent="0.3">
      <c r="A6049" s="202" t="s">
        <v>5561</v>
      </c>
      <c r="B6049" s="204" t="str">
        <f>INDEX(Orçamentária!A:B,MATCH(Composições!A6049,Orçamentária!A:A,0),2)</f>
        <v>Poste curvo duplo 8m</v>
      </c>
      <c r="C6049" s="40"/>
      <c r="D6049" s="25" t="str">
        <f>TRIM(INDEX(Orçamentária!C:C,MATCH(Composições!A6049,Orçamentária!A:A,0),1))</f>
        <v>un</v>
      </c>
      <c r="E6049" s="26"/>
      <c r="F6049" s="48" t="s">
        <v>514</v>
      </c>
      <c r="G6049" s="27" t="str">
        <f t="shared" si="113"/>
        <v/>
      </c>
      <c r="H6049" s="28"/>
      <c r="I6049" s="29"/>
      <c r="J6049" s="148">
        <v>0</v>
      </c>
      <c r="K6049" s="222">
        <v>0</v>
      </c>
    </row>
    <row r="6050" spans="1:11" hidden="1" x14ac:dyDescent="0.25">
      <c r="A6050" s="207"/>
      <c r="B6050" s="205"/>
      <c r="C6050" s="31"/>
      <c r="D6050" s="31"/>
      <c r="E6050" s="32"/>
      <c r="F6050" s="53" t="s">
        <v>514</v>
      </c>
      <c r="G6050" s="53" t="str">
        <f t="shared" si="113"/>
        <v/>
      </c>
      <c r="H6050" s="72"/>
      <c r="I6050" s="73"/>
      <c r="J6050" s="148">
        <v>0</v>
      </c>
      <c r="K6050" s="222">
        <v>0</v>
      </c>
    </row>
    <row r="6051" spans="1:11" ht="25.5" hidden="1" x14ac:dyDescent="0.25">
      <c r="A6051" s="207"/>
      <c r="B6051" s="205"/>
      <c r="C6051" s="35" t="s">
        <v>6622</v>
      </c>
      <c r="D6051" s="35" t="s">
        <v>20</v>
      </c>
      <c r="E6051" s="36">
        <v>1</v>
      </c>
      <c r="F6051" s="30">
        <v>2357.5295000000001</v>
      </c>
      <c r="G6051" s="53">
        <f t="shared" si="113"/>
        <v>2357.5295000000001</v>
      </c>
      <c r="H6051" s="38">
        <f>SUM(G6051:G6051)</f>
        <v>2357.5295000000001</v>
      </c>
      <c r="I6051" s="39"/>
      <c r="J6051" s="148">
        <v>0</v>
      </c>
      <c r="K6051" s="222">
        <v>0</v>
      </c>
    </row>
    <row r="6052" spans="1:11" ht="15.75" hidden="1" thickBot="1" x14ac:dyDescent="0.3">
      <c r="A6052" s="208"/>
      <c r="B6052" s="206"/>
      <c r="C6052" s="54"/>
      <c r="D6052" s="150"/>
      <c r="E6052" s="65"/>
      <c r="F6052" s="75" t="s">
        <v>514</v>
      </c>
      <c r="G6052" s="75" t="str">
        <f t="shared" si="113"/>
        <v/>
      </c>
      <c r="H6052" s="76"/>
      <c r="I6052" s="73"/>
      <c r="J6052" s="148">
        <v>0</v>
      </c>
      <c r="K6052" s="222">
        <v>0</v>
      </c>
    </row>
    <row r="6053" spans="1:11" ht="15.75" hidden="1" thickBot="1" x14ac:dyDescent="0.3">
      <c r="A6053" s="202" t="s">
        <v>5562</v>
      </c>
      <c r="B6053" s="204" t="str">
        <f>INDEX(Orçamentária!A:B,MATCH(Composições!A6053,Orçamentária!A:A,0),2)</f>
        <v>Braço para iluminação</v>
      </c>
      <c r="C6053" s="40"/>
      <c r="D6053" s="25" t="str">
        <f>TRIM(INDEX(Orçamentária!C:C,MATCH(Composições!A6053,Orçamentária!A:A,0),1))</f>
        <v>un</v>
      </c>
      <c r="E6053" s="26"/>
      <c r="F6053" s="48" t="s">
        <v>514</v>
      </c>
      <c r="G6053" s="27" t="str">
        <f t="shared" si="113"/>
        <v/>
      </c>
      <c r="H6053" s="28"/>
      <c r="I6053" s="29"/>
      <c r="J6053" s="148">
        <v>0</v>
      </c>
      <c r="K6053" s="222">
        <v>0</v>
      </c>
    </row>
    <row r="6054" spans="1:11" hidden="1" x14ac:dyDescent="0.25">
      <c r="A6054" s="207"/>
      <c r="B6054" s="205"/>
      <c r="C6054" s="31"/>
      <c r="D6054" s="31"/>
      <c r="E6054" s="32"/>
      <c r="F6054" s="53" t="s">
        <v>514</v>
      </c>
      <c r="G6054" s="53" t="str">
        <f t="shared" si="113"/>
        <v/>
      </c>
      <c r="H6054" s="72"/>
      <c r="I6054" s="73"/>
      <c r="J6054" s="148">
        <v>0</v>
      </c>
      <c r="K6054" s="222">
        <v>0</v>
      </c>
    </row>
    <row r="6055" spans="1:11" hidden="1" x14ac:dyDescent="0.25">
      <c r="A6055" s="207"/>
      <c r="B6055" s="205"/>
      <c r="C6055" s="35" t="s">
        <v>3232</v>
      </c>
      <c r="D6055" s="35" t="s">
        <v>20</v>
      </c>
      <c r="E6055" s="36">
        <v>1</v>
      </c>
      <c r="F6055" s="30">
        <v>23.75</v>
      </c>
      <c r="G6055" s="53">
        <f t="shared" si="113"/>
        <v>23.75</v>
      </c>
      <c r="H6055" s="38">
        <f>SUM(G6055:G6055)</f>
        <v>23.75</v>
      </c>
      <c r="I6055" s="39"/>
      <c r="J6055" s="148">
        <v>0</v>
      </c>
      <c r="K6055" s="222">
        <v>0</v>
      </c>
    </row>
    <row r="6056" spans="1:11" ht="15.75" hidden="1" thickBot="1" x14ac:dyDescent="0.3">
      <c r="A6056" s="208"/>
      <c r="B6056" s="206"/>
      <c r="C6056" s="54"/>
      <c r="D6056" s="150"/>
      <c r="E6056" s="65"/>
      <c r="F6056" s="75" t="s">
        <v>514</v>
      </c>
      <c r="G6056" s="75" t="str">
        <f t="shared" si="113"/>
        <v/>
      </c>
      <c r="H6056" s="76"/>
      <c r="I6056" s="73"/>
      <c r="J6056" s="148">
        <v>0</v>
      </c>
      <c r="K6056" s="222">
        <v>0</v>
      </c>
    </row>
    <row r="6057" spans="1:11" ht="15.75" hidden="1" thickBot="1" x14ac:dyDescent="0.3">
      <c r="A6057" s="202" t="s">
        <v>5689</v>
      </c>
      <c r="B6057" s="204" t="str">
        <f>INDEX(Orçamentária!A:B,MATCH(Composições!A6057,Orçamentária!A:A,0),2)</f>
        <v>Chumbador 1/4”</v>
      </c>
      <c r="C6057" s="40"/>
      <c r="D6057" s="25" t="str">
        <f>TRIM(INDEX(Orçamentária!C:C,MATCH(Composições!A6057,Orçamentária!A:A,0),1))</f>
        <v>un</v>
      </c>
      <c r="E6057" s="26"/>
      <c r="F6057" s="48" t="s">
        <v>514</v>
      </c>
      <c r="G6057" s="27" t="str">
        <f t="shared" si="113"/>
        <v/>
      </c>
      <c r="H6057" s="28"/>
      <c r="I6057" s="29"/>
      <c r="J6057" s="148">
        <v>0</v>
      </c>
      <c r="K6057" s="222">
        <v>0</v>
      </c>
    </row>
    <row r="6058" spans="1:11" hidden="1" x14ac:dyDescent="0.25">
      <c r="A6058" s="207"/>
      <c r="B6058" s="205"/>
      <c r="C6058" s="31"/>
      <c r="D6058" s="31"/>
      <c r="E6058" s="32"/>
      <c r="F6058" s="53" t="s">
        <v>514</v>
      </c>
      <c r="G6058" s="53" t="str">
        <f t="shared" si="113"/>
        <v/>
      </c>
      <c r="H6058" s="72"/>
      <c r="I6058" s="73"/>
      <c r="J6058" s="148">
        <v>0</v>
      </c>
      <c r="K6058" s="222">
        <v>0</v>
      </c>
    </row>
    <row r="6059" spans="1:11" hidden="1" x14ac:dyDescent="0.25">
      <c r="A6059" s="207"/>
      <c r="B6059" s="205"/>
      <c r="C6059" s="35" t="s">
        <v>7627</v>
      </c>
      <c r="D6059" s="35" t="s">
        <v>20</v>
      </c>
      <c r="E6059" s="36">
        <v>1</v>
      </c>
      <c r="F6059" s="30">
        <v>1.159</v>
      </c>
      <c r="G6059" s="53">
        <f t="shared" si="113"/>
        <v>1.159</v>
      </c>
      <c r="H6059" s="38">
        <f>SUM(G6059:G6059)</f>
        <v>1.159</v>
      </c>
      <c r="I6059" s="39"/>
      <c r="J6059" s="148">
        <v>0</v>
      </c>
      <c r="K6059" s="222">
        <v>0</v>
      </c>
    </row>
    <row r="6060" spans="1:11" ht="15.75" hidden="1" thickBot="1" x14ac:dyDescent="0.3">
      <c r="A6060" s="208"/>
      <c r="B6060" s="206"/>
      <c r="C6060" s="54"/>
      <c r="D6060" s="150"/>
      <c r="E6060" s="65"/>
      <c r="F6060" s="75" t="s">
        <v>514</v>
      </c>
      <c r="G6060" s="75" t="str">
        <f t="shared" si="113"/>
        <v/>
      </c>
      <c r="H6060" s="76"/>
      <c r="I6060" s="73"/>
      <c r="J6060" s="148">
        <v>0</v>
      </c>
      <c r="K6060" s="222">
        <v>0</v>
      </c>
    </row>
    <row r="6061" spans="1:11" ht="15.75" hidden="1" thickBot="1" x14ac:dyDescent="0.3">
      <c r="A6061" s="202" t="s">
        <v>5696</v>
      </c>
      <c r="B6061" s="204" t="str">
        <f>INDEX(Orçamentária!A:B,MATCH(Composições!A6061,Orçamentária!A:A,0),2)</f>
        <v xml:space="preserve">Caixa 4x4 de embutir para alvenaria </v>
      </c>
      <c r="C6061" s="40"/>
      <c r="D6061" s="25" t="str">
        <f>TRIM(INDEX(Orçamentária!C:C,MATCH(Composições!A6061,Orçamentária!A:A,0),1))</f>
        <v>un</v>
      </c>
      <c r="E6061" s="26"/>
      <c r="F6061" s="48" t="s">
        <v>514</v>
      </c>
      <c r="G6061" s="27" t="str">
        <f t="shared" si="113"/>
        <v/>
      </c>
      <c r="H6061" s="28"/>
      <c r="I6061" s="29"/>
      <c r="J6061" s="148">
        <v>0</v>
      </c>
      <c r="K6061" s="222">
        <v>0</v>
      </c>
    </row>
    <row r="6062" spans="1:11" hidden="1" x14ac:dyDescent="0.25">
      <c r="A6062" s="207"/>
      <c r="B6062" s="205"/>
      <c r="C6062" s="31"/>
      <c r="D6062" s="31"/>
      <c r="E6062" s="32"/>
      <c r="F6062" s="53" t="s">
        <v>514</v>
      </c>
      <c r="G6062" s="53" t="str">
        <f t="shared" ref="G6062:G6125" si="114">IF(ISNUMBER(F6062),E6062*F6062,"")</f>
        <v/>
      </c>
      <c r="H6062" s="72"/>
      <c r="I6062" s="73"/>
      <c r="J6062" s="148">
        <v>0</v>
      </c>
      <c r="K6062" s="222">
        <v>0</v>
      </c>
    </row>
    <row r="6063" spans="1:11" ht="25.5" hidden="1" x14ac:dyDescent="0.25">
      <c r="A6063" s="207"/>
      <c r="B6063" s="205"/>
      <c r="C6063" s="35" t="s">
        <v>3240</v>
      </c>
      <c r="D6063" s="35" t="s">
        <v>20</v>
      </c>
      <c r="E6063" s="36">
        <v>1</v>
      </c>
      <c r="F6063" s="30">
        <v>5.8234999999999992</v>
      </c>
      <c r="G6063" s="53">
        <f t="shared" si="114"/>
        <v>5.8234999999999992</v>
      </c>
      <c r="H6063" s="38">
        <f>SUM(G6063:G6063)</f>
        <v>5.8234999999999992</v>
      </c>
      <c r="I6063" s="39"/>
      <c r="J6063" s="148">
        <v>0</v>
      </c>
      <c r="K6063" s="222">
        <v>0</v>
      </c>
    </row>
    <row r="6064" spans="1:11" ht="15.75" hidden="1" thickBot="1" x14ac:dyDescent="0.3">
      <c r="A6064" s="208"/>
      <c r="B6064" s="206"/>
      <c r="C6064" s="54"/>
      <c r="D6064" s="150"/>
      <c r="E6064" s="65"/>
      <c r="F6064" s="75" t="s">
        <v>514</v>
      </c>
      <c r="G6064" s="75" t="str">
        <f t="shared" si="114"/>
        <v/>
      </c>
      <c r="H6064" s="76"/>
      <c r="I6064" s="73"/>
      <c r="J6064" s="148">
        <v>0</v>
      </c>
      <c r="K6064" s="222">
        <v>0</v>
      </c>
    </row>
    <row r="6065" spans="1:11" ht="15.75" hidden="1" thickBot="1" x14ac:dyDescent="0.3">
      <c r="A6065" s="202" t="s">
        <v>5695</v>
      </c>
      <c r="B6065" s="204" t="str">
        <f>INDEX(Orçamentária!A:B,MATCH(Composições!A6065,Orçamentária!A:A,0),2)</f>
        <v xml:space="preserve">Caixa 4x2 de embutir para alvenaria </v>
      </c>
      <c r="C6065" s="40"/>
      <c r="D6065" s="25" t="str">
        <f>TRIM(INDEX(Orçamentária!C:C,MATCH(Composições!A6065,Orçamentária!A:A,0),1))</f>
        <v>un</v>
      </c>
      <c r="E6065" s="26"/>
      <c r="F6065" s="48" t="s">
        <v>514</v>
      </c>
      <c r="G6065" s="27" t="str">
        <f t="shared" si="114"/>
        <v/>
      </c>
      <c r="H6065" s="28"/>
      <c r="I6065" s="29"/>
      <c r="J6065" s="148">
        <v>0</v>
      </c>
      <c r="K6065" s="222">
        <v>0</v>
      </c>
    </row>
    <row r="6066" spans="1:11" hidden="1" x14ac:dyDescent="0.25">
      <c r="A6066" s="207"/>
      <c r="B6066" s="205"/>
      <c r="C6066" s="31"/>
      <c r="D6066" s="31"/>
      <c r="E6066" s="32"/>
      <c r="F6066" s="53" t="s">
        <v>514</v>
      </c>
      <c r="G6066" s="53" t="str">
        <f t="shared" si="114"/>
        <v/>
      </c>
      <c r="H6066" s="72"/>
      <c r="I6066" s="73"/>
      <c r="J6066" s="148">
        <v>0</v>
      </c>
      <c r="K6066" s="222">
        <v>0</v>
      </c>
    </row>
    <row r="6067" spans="1:11" ht="25.5" hidden="1" x14ac:dyDescent="0.25">
      <c r="A6067" s="207"/>
      <c r="B6067" s="205"/>
      <c r="C6067" s="35" t="s">
        <v>3239</v>
      </c>
      <c r="D6067" s="35" t="s">
        <v>20</v>
      </c>
      <c r="E6067" s="36">
        <v>1</v>
      </c>
      <c r="F6067" s="30">
        <v>2.9354999999999998</v>
      </c>
      <c r="G6067" s="53">
        <f t="shared" si="114"/>
        <v>2.9354999999999998</v>
      </c>
      <c r="H6067" s="38">
        <f>SUM(G6067:G6067)</f>
        <v>2.9354999999999998</v>
      </c>
      <c r="I6067" s="39"/>
      <c r="J6067" s="148">
        <v>0</v>
      </c>
      <c r="K6067" s="222">
        <v>0</v>
      </c>
    </row>
    <row r="6068" spans="1:11" ht="15.75" hidden="1" thickBot="1" x14ac:dyDescent="0.3">
      <c r="A6068" s="208"/>
      <c r="B6068" s="206"/>
      <c r="C6068" s="54"/>
      <c r="D6068" s="150"/>
      <c r="E6068" s="65"/>
      <c r="F6068" s="75" t="s">
        <v>514</v>
      </c>
      <c r="G6068" s="75" t="str">
        <f t="shared" si="114"/>
        <v/>
      </c>
      <c r="H6068" s="76"/>
      <c r="I6068" s="73"/>
      <c r="J6068" s="148">
        <v>0</v>
      </c>
      <c r="K6068" s="222">
        <v>0</v>
      </c>
    </row>
    <row r="6069" spans="1:11" ht="15.75" hidden="1" thickBot="1" x14ac:dyDescent="0.3">
      <c r="A6069" s="202" t="s">
        <v>5696</v>
      </c>
      <c r="B6069" s="204" t="str">
        <f>INDEX(Orçamentária!A:B,MATCH(Composições!A6069,Orçamentária!A:A,0),2)</f>
        <v xml:space="preserve">Caixa 4x4 de embutir para alvenaria </v>
      </c>
      <c r="C6069" s="40"/>
      <c r="D6069" s="25" t="str">
        <f>TRIM(INDEX(Orçamentária!C:C,MATCH(Composições!A6069,Orçamentária!A:A,0),1))</f>
        <v>un</v>
      </c>
      <c r="E6069" s="26"/>
      <c r="F6069" s="48" t="s">
        <v>514</v>
      </c>
      <c r="G6069" s="27" t="str">
        <f t="shared" si="114"/>
        <v/>
      </c>
      <c r="H6069" s="28"/>
      <c r="I6069" s="29"/>
      <c r="J6069" s="148">
        <v>0</v>
      </c>
      <c r="K6069" s="222">
        <v>0</v>
      </c>
    </row>
    <row r="6070" spans="1:11" hidden="1" x14ac:dyDescent="0.25">
      <c r="A6070" s="207"/>
      <c r="B6070" s="205"/>
      <c r="C6070" s="31"/>
      <c r="D6070" s="31"/>
      <c r="E6070" s="32"/>
      <c r="F6070" s="53" t="s">
        <v>514</v>
      </c>
      <c r="G6070" s="53" t="str">
        <f t="shared" si="114"/>
        <v/>
      </c>
      <c r="H6070" s="72"/>
      <c r="I6070" s="73"/>
      <c r="J6070" s="148">
        <v>0</v>
      </c>
      <c r="K6070" s="222">
        <v>0</v>
      </c>
    </row>
    <row r="6071" spans="1:11" ht="25.5" hidden="1" x14ac:dyDescent="0.25">
      <c r="A6071" s="207"/>
      <c r="B6071" s="205"/>
      <c r="C6071" s="35" t="s">
        <v>3240</v>
      </c>
      <c r="D6071" s="35" t="s">
        <v>20</v>
      </c>
      <c r="E6071" s="36">
        <v>1</v>
      </c>
      <c r="F6071" s="30">
        <v>5.8234999999999992</v>
      </c>
      <c r="G6071" s="53">
        <f t="shared" si="114"/>
        <v>5.8234999999999992</v>
      </c>
      <c r="H6071" s="38">
        <f>SUM(G6071:G6071)</f>
        <v>5.8234999999999992</v>
      </c>
      <c r="I6071" s="39"/>
      <c r="J6071" s="148">
        <v>0</v>
      </c>
      <c r="K6071" s="222">
        <v>0</v>
      </c>
    </row>
    <row r="6072" spans="1:11" ht="15.75" hidden="1" thickBot="1" x14ac:dyDescent="0.3">
      <c r="A6072" s="208"/>
      <c r="B6072" s="206"/>
      <c r="C6072" s="54"/>
      <c r="D6072" s="150"/>
      <c r="E6072" s="65"/>
      <c r="F6072" s="75" t="s">
        <v>514</v>
      </c>
      <c r="G6072" s="75" t="str">
        <f t="shared" si="114"/>
        <v/>
      </c>
      <c r="H6072" s="76"/>
      <c r="I6072" s="73"/>
      <c r="J6072" s="148">
        <v>0</v>
      </c>
      <c r="K6072" s="222">
        <v>0</v>
      </c>
    </row>
    <row r="6073" spans="1:11" ht="15.75" hidden="1" thickBot="1" x14ac:dyDescent="0.3">
      <c r="A6073" s="202" t="s">
        <v>5704</v>
      </c>
      <c r="B6073" s="204" t="str">
        <f>INDEX(Orçamentária!A:B,MATCH(Composições!A6073,Orçamentária!A:A,0),2)</f>
        <v>Caixa de passagem em aço 400x400x150mm</v>
      </c>
      <c r="C6073" s="40"/>
      <c r="D6073" s="25" t="str">
        <f>TRIM(INDEX(Orçamentária!C:C,MATCH(Composições!A6073,Orçamentária!A:A,0),1))</f>
        <v>un</v>
      </c>
      <c r="E6073" s="26"/>
      <c r="F6073" s="48" t="s">
        <v>514</v>
      </c>
      <c r="G6073" s="27" t="str">
        <f t="shared" si="114"/>
        <v/>
      </c>
      <c r="H6073" s="28"/>
      <c r="I6073" s="29"/>
      <c r="J6073" s="148">
        <v>0</v>
      </c>
      <c r="K6073" s="222">
        <v>0</v>
      </c>
    </row>
    <row r="6074" spans="1:11" hidden="1" x14ac:dyDescent="0.25">
      <c r="A6074" s="207"/>
      <c r="B6074" s="205"/>
      <c r="C6074" s="31"/>
      <c r="D6074" s="31"/>
      <c r="E6074" s="32"/>
      <c r="F6074" s="53" t="s">
        <v>514</v>
      </c>
      <c r="G6074" s="53" t="str">
        <f t="shared" si="114"/>
        <v/>
      </c>
      <c r="H6074" s="72"/>
      <c r="I6074" s="73"/>
      <c r="J6074" s="148">
        <v>0</v>
      </c>
      <c r="K6074" s="222">
        <v>0</v>
      </c>
    </row>
    <row r="6075" spans="1:11" ht="25.5" hidden="1" x14ac:dyDescent="0.25">
      <c r="A6075" s="207"/>
      <c r="B6075" s="205"/>
      <c r="C6075" s="35" t="s">
        <v>6372</v>
      </c>
      <c r="D6075" s="35" t="s">
        <v>20</v>
      </c>
      <c r="E6075" s="36">
        <v>1</v>
      </c>
      <c r="F6075" s="30">
        <v>0</v>
      </c>
      <c r="G6075" s="53">
        <f t="shared" si="114"/>
        <v>0</v>
      </c>
      <c r="H6075" s="38">
        <f>SUM(G6075:G6075)</f>
        <v>0</v>
      </c>
      <c r="I6075" s="39"/>
      <c r="J6075" s="148">
        <v>0</v>
      </c>
      <c r="K6075" s="222">
        <v>0</v>
      </c>
    </row>
    <row r="6076" spans="1:11" ht="15.75" hidden="1" thickBot="1" x14ac:dyDescent="0.3">
      <c r="A6076" s="208"/>
      <c r="B6076" s="206"/>
      <c r="C6076" s="54"/>
      <c r="D6076" s="150"/>
      <c r="E6076" s="65"/>
      <c r="F6076" s="75" t="s">
        <v>514</v>
      </c>
      <c r="G6076" s="75" t="str">
        <f t="shared" si="114"/>
        <v/>
      </c>
      <c r="H6076" s="76"/>
      <c r="I6076" s="73"/>
      <c r="J6076" s="148">
        <v>0</v>
      </c>
      <c r="K6076" s="222">
        <v>0</v>
      </c>
    </row>
    <row r="6077" spans="1:11" ht="15.75" hidden="1" thickBot="1" x14ac:dyDescent="0.3">
      <c r="A6077" s="202" t="s">
        <v>5707</v>
      </c>
      <c r="B6077" s="204" t="str">
        <f>INDEX(Orçamentária!A:B,MATCH(Composições!A6077,Orçamentária!A:A,0),2)</f>
        <v>Abraçadeira tipo D para eletroduto</v>
      </c>
      <c r="C6077" s="40"/>
      <c r="D6077" s="25" t="str">
        <f>TRIM(INDEX(Orçamentária!C:C,MATCH(Composições!A6077,Orçamentária!A:A,0),1))</f>
        <v>un</v>
      </c>
      <c r="E6077" s="26"/>
      <c r="F6077" s="48" t="s">
        <v>514</v>
      </c>
      <c r="G6077" s="27" t="str">
        <f t="shared" si="114"/>
        <v/>
      </c>
      <c r="H6077" s="28"/>
      <c r="I6077" s="29"/>
      <c r="J6077" s="148">
        <v>0</v>
      </c>
      <c r="K6077" s="222">
        <v>0</v>
      </c>
    </row>
    <row r="6078" spans="1:11" hidden="1" x14ac:dyDescent="0.25">
      <c r="A6078" s="207"/>
      <c r="B6078" s="205"/>
      <c r="C6078" s="31"/>
      <c r="D6078" s="31"/>
      <c r="E6078" s="32"/>
      <c r="F6078" s="53" t="s">
        <v>514</v>
      </c>
      <c r="G6078" s="53" t="str">
        <f t="shared" si="114"/>
        <v/>
      </c>
      <c r="H6078" s="72"/>
      <c r="I6078" s="73"/>
      <c r="J6078" s="148">
        <v>0</v>
      </c>
      <c r="K6078" s="222">
        <v>0</v>
      </c>
    </row>
    <row r="6079" spans="1:11" ht="25.5" hidden="1" x14ac:dyDescent="0.25">
      <c r="A6079" s="207"/>
      <c r="B6079" s="205"/>
      <c r="C6079" s="35" t="s">
        <v>7599</v>
      </c>
      <c r="D6079" s="35" t="s">
        <v>20</v>
      </c>
      <c r="E6079" s="36">
        <v>1</v>
      </c>
      <c r="F6079" s="30">
        <v>5.4719999999999995</v>
      </c>
      <c r="G6079" s="53">
        <f t="shared" si="114"/>
        <v>5.4719999999999995</v>
      </c>
      <c r="H6079" s="38">
        <f>SUM(G6079:G6079)</f>
        <v>5.4719999999999995</v>
      </c>
      <c r="I6079" s="39"/>
      <c r="J6079" s="148">
        <v>0</v>
      </c>
      <c r="K6079" s="222">
        <v>0</v>
      </c>
    </row>
    <row r="6080" spans="1:11" ht="15.75" hidden="1" thickBot="1" x14ac:dyDescent="0.3">
      <c r="A6080" s="208"/>
      <c r="B6080" s="206"/>
      <c r="C6080" s="54"/>
      <c r="D6080" s="150"/>
      <c r="E6080" s="65"/>
      <c r="F6080" s="75" t="s">
        <v>514</v>
      </c>
      <c r="G6080" s="75" t="str">
        <f t="shared" si="114"/>
        <v/>
      </c>
      <c r="H6080" s="76"/>
      <c r="I6080" s="73"/>
      <c r="J6080" s="148">
        <v>0</v>
      </c>
      <c r="K6080" s="222">
        <v>0</v>
      </c>
    </row>
    <row r="6081" spans="1:11" ht="15.75" hidden="1" thickBot="1" x14ac:dyDescent="0.3">
      <c r="A6081" s="202" t="s">
        <v>5708</v>
      </c>
      <c r="B6081" s="204" t="str">
        <f>INDEX(Orçamentária!A:B,MATCH(Composições!A6081,Orçamentária!A:A,0),2)</f>
        <v>Abraçadeira tipo copo para eletroduto</v>
      </c>
      <c r="C6081" s="40"/>
      <c r="D6081" s="25" t="str">
        <f>TRIM(INDEX(Orçamentária!C:C,MATCH(Composições!A6081,Orçamentária!A:A,0),1))</f>
        <v>un</v>
      </c>
      <c r="E6081" s="26"/>
      <c r="F6081" s="48" t="s">
        <v>514</v>
      </c>
      <c r="G6081" s="27" t="str">
        <f t="shared" si="114"/>
        <v/>
      </c>
      <c r="H6081" s="28"/>
      <c r="I6081" s="29"/>
      <c r="J6081" s="148">
        <v>0</v>
      </c>
      <c r="K6081" s="222">
        <v>0</v>
      </c>
    </row>
    <row r="6082" spans="1:11" hidden="1" x14ac:dyDescent="0.25">
      <c r="A6082" s="207"/>
      <c r="B6082" s="205"/>
      <c r="C6082" s="31"/>
      <c r="D6082" s="31"/>
      <c r="E6082" s="32"/>
      <c r="F6082" s="53" t="s">
        <v>514</v>
      </c>
      <c r="G6082" s="53" t="str">
        <f t="shared" si="114"/>
        <v/>
      </c>
      <c r="H6082" s="72"/>
      <c r="I6082" s="73"/>
      <c r="J6082" s="148">
        <v>0</v>
      </c>
      <c r="K6082" s="222">
        <v>0</v>
      </c>
    </row>
    <row r="6083" spans="1:11" hidden="1" x14ac:dyDescent="0.25">
      <c r="A6083" s="207"/>
      <c r="B6083" s="205"/>
      <c r="C6083" s="35" t="s">
        <v>6373</v>
      </c>
      <c r="D6083" s="35" t="s">
        <v>20</v>
      </c>
      <c r="E6083" s="36">
        <v>1</v>
      </c>
      <c r="F6083" s="30">
        <v>0</v>
      </c>
      <c r="G6083" s="53">
        <f t="shared" si="114"/>
        <v>0</v>
      </c>
      <c r="H6083" s="38">
        <f>SUM(G6083:G6083)</f>
        <v>0</v>
      </c>
      <c r="I6083" s="39"/>
      <c r="J6083" s="148">
        <v>0</v>
      </c>
      <c r="K6083" s="222">
        <v>0</v>
      </c>
    </row>
    <row r="6084" spans="1:11" ht="15.75" hidden="1" thickBot="1" x14ac:dyDescent="0.3">
      <c r="A6084" s="208"/>
      <c r="B6084" s="206"/>
      <c r="C6084" s="54"/>
      <c r="D6084" s="150"/>
      <c r="E6084" s="65"/>
      <c r="F6084" s="75" t="s">
        <v>514</v>
      </c>
      <c r="G6084" s="75" t="str">
        <f t="shared" si="114"/>
        <v/>
      </c>
      <c r="H6084" s="76"/>
      <c r="I6084" s="73"/>
      <c r="J6084" s="148">
        <v>0</v>
      </c>
      <c r="K6084" s="222">
        <v>0</v>
      </c>
    </row>
    <row r="6085" spans="1:11" ht="15.75" hidden="1" thickBot="1" x14ac:dyDescent="0.3">
      <c r="A6085" s="202" t="s">
        <v>5712</v>
      </c>
      <c r="B6085" s="204" t="str">
        <f>INDEX(Orçamentária!A:B,MATCH(Composições!A6085,Orçamentária!A:A,0),2)</f>
        <v xml:space="preserve">Tampa cega metálica para caixas de piso 4x4 </v>
      </c>
      <c r="C6085" s="40"/>
      <c r="D6085" s="25" t="str">
        <f>TRIM(INDEX(Orçamentária!C:C,MATCH(Composições!A6085,Orçamentária!A:A,0),1))</f>
        <v>un</v>
      </c>
      <c r="E6085" s="26"/>
      <c r="F6085" s="48" t="s">
        <v>514</v>
      </c>
      <c r="G6085" s="27" t="str">
        <f t="shared" si="114"/>
        <v/>
      </c>
      <c r="H6085" s="28"/>
      <c r="I6085" s="29"/>
      <c r="J6085" s="148">
        <v>0</v>
      </c>
      <c r="K6085" s="222">
        <v>0</v>
      </c>
    </row>
    <row r="6086" spans="1:11" hidden="1" x14ac:dyDescent="0.25">
      <c r="A6086" s="207"/>
      <c r="B6086" s="205"/>
      <c r="C6086" s="31"/>
      <c r="D6086" s="31"/>
      <c r="E6086" s="32"/>
      <c r="F6086" s="53" t="s">
        <v>514</v>
      </c>
      <c r="G6086" s="53" t="str">
        <f t="shared" si="114"/>
        <v/>
      </c>
      <c r="H6086" s="72"/>
      <c r="I6086" s="73"/>
      <c r="J6086" s="148">
        <v>0</v>
      </c>
      <c r="K6086" s="222">
        <v>0</v>
      </c>
    </row>
    <row r="6087" spans="1:11" ht="25.5" hidden="1" x14ac:dyDescent="0.25">
      <c r="A6087" s="207"/>
      <c r="B6087" s="205"/>
      <c r="C6087" s="35" t="s">
        <v>3329</v>
      </c>
      <c r="D6087" s="35" t="s">
        <v>20</v>
      </c>
      <c r="E6087" s="36">
        <v>1</v>
      </c>
      <c r="F6087" s="30">
        <v>32.366500000000002</v>
      </c>
      <c r="G6087" s="53">
        <f t="shared" si="114"/>
        <v>32.366500000000002</v>
      </c>
      <c r="H6087" s="38">
        <f>SUM(G6087:G6087)</f>
        <v>32.366500000000002</v>
      </c>
      <c r="I6087" s="39"/>
      <c r="J6087" s="148">
        <v>0</v>
      </c>
      <c r="K6087" s="222">
        <v>0</v>
      </c>
    </row>
    <row r="6088" spans="1:11" ht="15.75" hidden="1" thickBot="1" x14ac:dyDescent="0.3">
      <c r="A6088" s="208"/>
      <c r="B6088" s="206"/>
      <c r="C6088" s="54"/>
      <c r="D6088" s="150"/>
      <c r="E6088" s="65"/>
      <c r="F6088" s="75" t="s">
        <v>514</v>
      </c>
      <c r="G6088" s="75" t="str">
        <f t="shared" si="114"/>
        <v/>
      </c>
      <c r="H6088" s="76"/>
      <c r="I6088" s="73"/>
      <c r="J6088" s="148">
        <v>0</v>
      </c>
      <c r="K6088" s="222">
        <v>0</v>
      </c>
    </row>
    <row r="6089" spans="1:11" ht="15.75" hidden="1" thickBot="1" x14ac:dyDescent="0.3">
      <c r="A6089" s="202" t="s">
        <v>5825</v>
      </c>
      <c r="B6089" s="204" t="str">
        <f>INDEX(Orçamentária!A:B,MATCH(Composições!A6089,Orçamentária!A:A,0),2)</f>
        <v>Quadro termoplástico para 12 disjuntores</v>
      </c>
      <c r="C6089" s="40"/>
      <c r="D6089" s="25" t="str">
        <f>TRIM(INDEX(Orçamentária!C:C,MATCH(Composições!A6089,Orçamentária!A:A,0),1))</f>
        <v>un</v>
      </c>
      <c r="E6089" s="26"/>
      <c r="F6089" s="48" t="s">
        <v>514</v>
      </c>
      <c r="G6089" s="27" t="str">
        <f t="shared" si="114"/>
        <v/>
      </c>
      <c r="H6089" s="28"/>
      <c r="I6089" s="29"/>
      <c r="J6089" s="148">
        <v>0</v>
      </c>
      <c r="K6089" s="222">
        <v>0</v>
      </c>
    </row>
    <row r="6090" spans="1:11" hidden="1" x14ac:dyDescent="0.25">
      <c r="A6090" s="207"/>
      <c r="B6090" s="205"/>
      <c r="C6090" s="31"/>
      <c r="D6090" s="31"/>
      <c r="E6090" s="32"/>
      <c r="F6090" s="53" t="s">
        <v>514</v>
      </c>
      <c r="G6090" s="53" t="str">
        <f t="shared" si="114"/>
        <v/>
      </c>
      <c r="H6090" s="72"/>
      <c r="I6090" s="73"/>
      <c r="J6090" s="148">
        <v>0</v>
      </c>
      <c r="K6090" s="222">
        <v>0</v>
      </c>
    </row>
    <row r="6091" spans="1:11" ht="38.25" hidden="1" x14ac:dyDescent="0.25">
      <c r="A6091" s="207"/>
      <c r="B6091" s="205"/>
      <c r="C6091" s="35" t="s">
        <v>3336</v>
      </c>
      <c r="D6091" s="35" t="s">
        <v>20</v>
      </c>
      <c r="E6091" s="36">
        <v>1</v>
      </c>
      <c r="F6091" s="30">
        <v>159.10599999999999</v>
      </c>
      <c r="G6091" s="53">
        <f t="shared" si="114"/>
        <v>159.10599999999999</v>
      </c>
      <c r="H6091" s="38">
        <f>SUM(G6091:G6091)</f>
        <v>159.10599999999999</v>
      </c>
      <c r="I6091" s="39"/>
      <c r="J6091" s="148">
        <v>0</v>
      </c>
      <c r="K6091" s="222">
        <v>0</v>
      </c>
    </row>
    <row r="6092" spans="1:11" ht="15.75" hidden="1" thickBot="1" x14ac:dyDescent="0.3">
      <c r="A6092" s="208"/>
      <c r="B6092" s="206"/>
      <c r="C6092" s="54"/>
      <c r="D6092" s="150"/>
      <c r="E6092" s="65"/>
      <c r="F6092" s="75" t="s">
        <v>514</v>
      </c>
      <c r="G6092" s="75" t="str">
        <f t="shared" si="114"/>
        <v/>
      </c>
      <c r="H6092" s="76"/>
      <c r="I6092" s="73"/>
      <c r="J6092" s="148">
        <v>0</v>
      </c>
      <c r="K6092" s="222">
        <v>0</v>
      </c>
    </row>
    <row r="6093" spans="1:11" ht="15.75" hidden="1" thickBot="1" x14ac:dyDescent="0.3">
      <c r="A6093" s="202" t="s">
        <v>5826</v>
      </c>
      <c r="B6093" s="204" t="str">
        <f>INDEX(Orçamentária!A:B,MATCH(Composições!A6093,Orçamentária!A:A,0),2)</f>
        <v>Quadro termoplástico para 24 disjuntores</v>
      </c>
      <c r="C6093" s="40"/>
      <c r="D6093" s="25" t="str">
        <f>TRIM(INDEX(Orçamentária!C:C,MATCH(Composições!A6093,Orçamentária!A:A,0),1))</f>
        <v>un</v>
      </c>
      <c r="E6093" s="26"/>
      <c r="F6093" s="48" t="s">
        <v>514</v>
      </c>
      <c r="G6093" s="27" t="str">
        <f t="shared" si="114"/>
        <v/>
      </c>
      <c r="H6093" s="28"/>
      <c r="I6093" s="29"/>
      <c r="J6093" s="148">
        <v>0</v>
      </c>
      <c r="K6093" s="222">
        <v>0</v>
      </c>
    </row>
    <row r="6094" spans="1:11" hidden="1" x14ac:dyDescent="0.25">
      <c r="A6094" s="207"/>
      <c r="B6094" s="205"/>
      <c r="C6094" s="31"/>
      <c r="D6094" s="31"/>
      <c r="E6094" s="32"/>
      <c r="F6094" s="53" t="s">
        <v>514</v>
      </c>
      <c r="G6094" s="53" t="str">
        <f t="shared" si="114"/>
        <v/>
      </c>
      <c r="H6094" s="72"/>
      <c r="I6094" s="73"/>
      <c r="J6094" s="148">
        <v>0</v>
      </c>
      <c r="K6094" s="222">
        <v>0</v>
      </c>
    </row>
    <row r="6095" spans="1:11" ht="38.25" hidden="1" x14ac:dyDescent="0.25">
      <c r="A6095" s="207"/>
      <c r="B6095" s="205"/>
      <c r="C6095" s="35" t="s">
        <v>3337</v>
      </c>
      <c r="D6095" s="35" t="s">
        <v>20</v>
      </c>
      <c r="E6095" s="36">
        <v>1</v>
      </c>
      <c r="F6095" s="30">
        <v>294.78500000000003</v>
      </c>
      <c r="G6095" s="53">
        <f t="shared" si="114"/>
        <v>294.78500000000003</v>
      </c>
      <c r="H6095" s="38">
        <f>SUM(G6095:G6095)</f>
        <v>294.78500000000003</v>
      </c>
      <c r="I6095" s="39"/>
      <c r="J6095" s="148">
        <v>0</v>
      </c>
      <c r="K6095" s="222">
        <v>0</v>
      </c>
    </row>
    <row r="6096" spans="1:11" ht="15.75" hidden="1" thickBot="1" x14ac:dyDescent="0.3">
      <c r="A6096" s="208"/>
      <c r="B6096" s="206"/>
      <c r="C6096" s="54"/>
      <c r="D6096" s="150"/>
      <c r="E6096" s="65"/>
      <c r="F6096" s="75" t="s">
        <v>514</v>
      </c>
      <c r="G6096" s="75" t="str">
        <f t="shared" si="114"/>
        <v/>
      </c>
      <c r="H6096" s="76"/>
      <c r="I6096" s="73"/>
      <c r="J6096" s="148">
        <v>0</v>
      </c>
      <c r="K6096" s="222">
        <v>0</v>
      </c>
    </row>
    <row r="6097" spans="1:11" ht="15.75" hidden="1" thickBot="1" x14ac:dyDescent="0.3">
      <c r="A6097" s="202" t="s">
        <v>5827</v>
      </c>
      <c r="B6097" s="204" t="str">
        <f>INDEX(Orçamentária!A:B,MATCH(Composições!A6097,Orçamentária!A:A,0),2)</f>
        <v>Quadro termoplástico para 36 disjuntores</v>
      </c>
      <c r="C6097" s="40"/>
      <c r="D6097" s="25" t="str">
        <f>TRIM(INDEX(Orçamentária!C:C,MATCH(Composições!A6097,Orçamentária!A:A,0),1))</f>
        <v>un</v>
      </c>
      <c r="E6097" s="26"/>
      <c r="F6097" s="48" t="s">
        <v>514</v>
      </c>
      <c r="G6097" s="27" t="str">
        <f t="shared" si="114"/>
        <v/>
      </c>
      <c r="H6097" s="28"/>
      <c r="I6097" s="29"/>
      <c r="J6097" s="148">
        <v>0</v>
      </c>
      <c r="K6097" s="222">
        <v>0</v>
      </c>
    </row>
    <row r="6098" spans="1:11" hidden="1" x14ac:dyDescent="0.25">
      <c r="A6098" s="207"/>
      <c r="B6098" s="205"/>
      <c r="C6098" s="31"/>
      <c r="D6098" s="31"/>
      <c r="E6098" s="32"/>
      <c r="F6098" s="53" t="s">
        <v>514</v>
      </c>
      <c r="G6098" s="53" t="str">
        <f t="shared" si="114"/>
        <v/>
      </c>
      <c r="H6098" s="72"/>
      <c r="I6098" s="73"/>
      <c r="J6098" s="148">
        <v>0</v>
      </c>
      <c r="K6098" s="222">
        <v>0</v>
      </c>
    </row>
    <row r="6099" spans="1:11" ht="38.25" hidden="1" x14ac:dyDescent="0.25">
      <c r="A6099" s="207"/>
      <c r="B6099" s="205"/>
      <c r="C6099" s="35" t="s">
        <v>3338</v>
      </c>
      <c r="D6099" s="35" t="s">
        <v>20</v>
      </c>
      <c r="E6099" s="36">
        <v>1</v>
      </c>
      <c r="F6099" s="30">
        <v>638.8655</v>
      </c>
      <c r="G6099" s="53">
        <f t="shared" si="114"/>
        <v>638.8655</v>
      </c>
      <c r="H6099" s="38">
        <f>SUM(G6099:G6099)</f>
        <v>638.8655</v>
      </c>
      <c r="I6099" s="39"/>
      <c r="J6099" s="148">
        <v>0</v>
      </c>
      <c r="K6099" s="222">
        <v>0</v>
      </c>
    </row>
    <row r="6100" spans="1:11" ht="15.75" hidden="1" thickBot="1" x14ac:dyDescent="0.3">
      <c r="A6100" s="208"/>
      <c r="B6100" s="206"/>
      <c r="C6100" s="54"/>
      <c r="D6100" s="150"/>
      <c r="E6100" s="65"/>
      <c r="F6100" s="75" t="s">
        <v>514</v>
      </c>
      <c r="G6100" s="75" t="str">
        <f t="shared" si="114"/>
        <v/>
      </c>
      <c r="H6100" s="76"/>
      <c r="I6100" s="73"/>
      <c r="J6100" s="148">
        <v>0</v>
      </c>
      <c r="K6100" s="222">
        <v>0</v>
      </c>
    </row>
    <row r="6101" spans="1:11" ht="15.75" hidden="1" thickBot="1" x14ac:dyDescent="0.3">
      <c r="A6101" s="202" t="s">
        <v>5863</v>
      </c>
      <c r="B6101" s="204" t="str">
        <f>INDEX(Orçamentária!A:B,MATCH(Composições!A6101,Orçamentária!A:A,0),2)</f>
        <v>Sensor de presença externo</v>
      </c>
      <c r="C6101" s="40"/>
      <c r="D6101" s="25" t="str">
        <f>TRIM(INDEX(Orçamentária!C:C,MATCH(Composições!A6101,Orçamentária!A:A,0),1))</f>
        <v>un</v>
      </c>
      <c r="E6101" s="26"/>
      <c r="F6101" s="48" t="s">
        <v>514</v>
      </c>
      <c r="G6101" s="27" t="str">
        <f t="shared" si="114"/>
        <v/>
      </c>
      <c r="H6101" s="28"/>
      <c r="I6101" s="29"/>
      <c r="J6101" s="148">
        <v>0</v>
      </c>
      <c r="K6101" s="222">
        <v>0</v>
      </c>
    </row>
    <row r="6102" spans="1:11" hidden="1" x14ac:dyDescent="0.25">
      <c r="A6102" s="207"/>
      <c r="B6102" s="205"/>
      <c r="C6102" s="31"/>
      <c r="D6102" s="31"/>
      <c r="E6102" s="32"/>
      <c r="F6102" s="53" t="s">
        <v>514</v>
      </c>
      <c r="G6102" s="53" t="str">
        <f t="shared" si="114"/>
        <v/>
      </c>
      <c r="H6102" s="72"/>
      <c r="I6102" s="73"/>
      <c r="J6102" s="148">
        <v>0</v>
      </c>
      <c r="K6102" s="222">
        <v>0</v>
      </c>
    </row>
    <row r="6103" spans="1:11" ht="38.25" hidden="1" x14ac:dyDescent="0.25">
      <c r="A6103" s="207"/>
      <c r="B6103" s="205"/>
      <c r="C6103" s="35" t="s">
        <v>3340</v>
      </c>
      <c r="D6103" s="35" t="s">
        <v>20</v>
      </c>
      <c r="E6103" s="36">
        <v>1</v>
      </c>
      <c r="F6103" s="30">
        <v>42.294000000000004</v>
      </c>
      <c r="G6103" s="53">
        <f t="shared" si="114"/>
        <v>42.294000000000004</v>
      </c>
      <c r="H6103" s="38">
        <f>SUM(G6103:G6103)</f>
        <v>42.294000000000004</v>
      </c>
      <c r="I6103" s="39"/>
      <c r="J6103" s="148">
        <v>0</v>
      </c>
      <c r="K6103" s="222">
        <v>0</v>
      </c>
    </row>
    <row r="6104" spans="1:11" ht="15.75" hidden="1" thickBot="1" x14ac:dyDescent="0.3">
      <c r="A6104" s="208"/>
      <c r="B6104" s="206"/>
      <c r="C6104" s="54"/>
      <c r="D6104" s="150"/>
      <c r="E6104" s="65"/>
      <c r="F6104" s="75" t="s">
        <v>514</v>
      </c>
      <c r="G6104" s="75" t="str">
        <f t="shared" si="114"/>
        <v/>
      </c>
      <c r="H6104" s="76"/>
      <c r="I6104" s="73"/>
      <c r="J6104" s="148">
        <v>0</v>
      </c>
      <c r="K6104" s="222">
        <v>0</v>
      </c>
    </row>
    <row r="6105" spans="1:11" ht="15.75" hidden="1" thickBot="1" x14ac:dyDescent="0.3">
      <c r="A6105" s="202" t="s">
        <v>5898</v>
      </c>
      <c r="B6105" s="204" t="str">
        <f>INDEX(Orçamentária!A:B,MATCH(Composições!A6105,Orçamentária!A:A,0),2)</f>
        <v>Caixa de inspeção de aterramento 300 mm</v>
      </c>
      <c r="C6105" s="40"/>
      <c r="D6105" s="25" t="str">
        <f>TRIM(INDEX(Orçamentária!C:C,MATCH(Composições!A6105,Orçamentária!A:A,0),1))</f>
        <v>un</v>
      </c>
      <c r="E6105" s="26"/>
      <c r="F6105" s="48" t="s">
        <v>514</v>
      </c>
      <c r="G6105" s="27" t="str">
        <f t="shared" si="114"/>
        <v/>
      </c>
      <c r="H6105" s="28"/>
      <c r="I6105" s="29"/>
      <c r="J6105" s="148">
        <v>0</v>
      </c>
      <c r="K6105" s="222">
        <v>0</v>
      </c>
    </row>
    <row r="6106" spans="1:11" hidden="1" x14ac:dyDescent="0.25">
      <c r="A6106" s="207"/>
      <c r="B6106" s="205"/>
      <c r="C6106" s="31"/>
      <c r="D6106" s="31"/>
      <c r="E6106" s="32"/>
      <c r="F6106" s="53" t="s">
        <v>514</v>
      </c>
      <c r="G6106" s="53" t="str">
        <f t="shared" si="114"/>
        <v/>
      </c>
      <c r="H6106" s="72"/>
      <c r="I6106" s="73"/>
      <c r="J6106" s="148">
        <v>0</v>
      </c>
      <c r="K6106" s="222">
        <v>0</v>
      </c>
    </row>
    <row r="6107" spans="1:11" ht="25.5" hidden="1" x14ac:dyDescent="0.25">
      <c r="A6107" s="207"/>
      <c r="B6107" s="205"/>
      <c r="C6107" s="35" t="s">
        <v>6623</v>
      </c>
      <c r="D6107" s="35" t="s">
        <v>20</v>
      </c>
      <c r="E6107" s="36">
        <v>1</v>
      </c>
      <c r="F6107" s="30">
        <v>54.406500000000001</v>
      </c>
      <c r="G6107" s="53">
        <f t="shared" si="114"/>
        <v>54.406500000000001</v>
      </c>
      <c r="H6107" s="38">
        <f>SUM(G6107:G6107)</f>
        <v>54.406500000000001</v>
      </c>
      <c r="I6107" s="39"/>
      <c r="J6107" s="148">
        <v>0</v>
      </c>
      <c r="K6107" s="222">
        <v>0</v>
      </c>
    </row>
    <row r="6108" spans="1:11" ht="15.75" hidden="1" thickBot="1" x14ac:dyDescent="0.3">
      <c r="A6108" s="208"/>
      <c r="B6108" s="206"/>
      <c r="C6108" s="54"/>
      <c r="D6108" s="150"/>
      <c r="E6108" s="65"/>
      <c r="F6108" s="75" t="s">
        <v>514</v>
      </c>
      <c r="G6108" s="75" t="str">
        <f t="shared" si="114"/>
        <v/>
      </c>
      <c r="H6108" s="76"/>
      <c r="I6108" s="73"/>
      <c r="J6108" s="148">
        <v>0</v>
      </c>
      <c r="K6108" s="222">
        <v>0</v>
      </c>
    </row>
    <row r="6109" spans="1:11" ht="15.75" hidden="1" thickBot="1" x14ac:dyDescent="0.3">
      <c r="A6109" s="202" t="s">
        <v>5903</v>
      </c>
      <c r="B6109" s="204" t="str">
        <f>INDEX(Orçamentária!A:B,MATCH(Composições!A6109,Orçamentária!A:A,0),2)</f>
        <v>Captor tipo Franklin</v>
      </c>
      <c r="C6109" s="40"/>
      <c r="D6109" s="25" t="str">
        <f>TRIM(INDEX(Orçamentária!C:C,MATCH(Composições!A6109,Orçamentária!A:A,0),1))</f>
        <v>un</v>
      </c>
      <c r="E6109" s="26"/>
      <c r="F6109" s="48" t="s">
        <v>514</v>
      </c>
      <c r="G6109" s="27" t="str">
        <f t="shared" si="114"/>
        <v/>
      </c>
      <c r="H6109" s="28"/>
      <c r="I6109" s="29"/>
      <c r="J6109" s="148">
        <v>0</v>
      </c>
      <c r="K6109" s="222">
        <v>0</v>
      </c>
    </row>
    <row r="6110" spans="1:11" hidden="1" x14ac:dyDescent="0.25">
      <c r="A6110" s="207"/>
      <c r="B6110" s="205"/>
      <c r="C6110" s="31"/>
      <c r="D6110" s="31"/>
      <c r="E6110" s="32"/>
      <c r="F6110" s="53" t="s">
        <v>514</v>
      </c>
      <c r="G6110" s="53" t="str">
        <f t="shared" si="114"/>
        <v/>
      </c>
      <c r="H6110" s="72"/>
      <c r="I6110" s="73"/>
      <c r="J6110" s="148">
        <v>0</v>
      </c>
      <c r="K6110" s="222">
        <v>0</v>
      </c>
    </row>
    <row r="6111" spans="1:11" ht="38.25" hidden="1" x14ac:dyDescent="0.25">
      <c r="A6111" s="207"/>
      <c r="B6111" s="205"/>
      <c r="C6111" s="35" t="s">
        <v>3326</v>
      </c>
      <c r="D6111" s="35" t="s">
        <v>20</v>
      </c>
      <c r="E6111" s="36">
        <v>1</v>
      </c>
      <c r="F6111" s="30">
        <v>97.66</v>
      </c>
      <c r="G6111" s="53">
        <f t="shared" si="114"/>
        <v>97.66</v>
      </c>
      <c r="H6111" s="38">
        <f>SUM(G6111:G6111)</f>
        <v>97.66</v>
      </c>
      <c r="I6111" s="39"/>
      <c r="J6111" s="148">
        <v>0</v>
      </c>
      <c r="K6111" s="222">
        <v>0</v>
      </c>
    </row>
    <row r="6112" spans="1:11" ht="15.75" hidden="1" thickBot="1" x14ac:dyDescent="0.3">
      <c r="A6112" s="208"/>
      <c r="B6112" s="206"/>
      <c r="C6112" s="54"/>
      <c r="D6112" s="150"/>
      <c r="E6112" s="65"/>
      <c r="F6112" s="75" t="s">
        <v>514</v>
      </c>
      <c r="G6112" s="75" t="str">
        <f t="shared" si="114"/>
        <v/>
      </c>
      <c r="H6112" s="76"/>
      <c r="I6112" s="73"/>
      <c r="J6112" s="148">
        <v>0</v>
      </c>
      <c r="K6112" s="222">
        <v>0</v>
      </c>
    </row>
    <row r="6113" spans="1:11" ht="15.75" hidden="1" thickBot="1" x14ac:dyDescent="0.3">
      <c r="A6113" s="202" t="s">
        <v>5907</v>
      </c>
      <c r="B6113" s="204" t="str">
        <f>INDEX(Orçamentária!A:B,MATCH(Composições!A6113,Orçamentária!A:A,0),2)</f>
        <v>Mastro 3m</v>
      </c>
      <c r="C6113" s="40"/>
      <c r="D6113" s="25" t="str">
        <f>TRIM(INDEX(Orçamentária!C:C,MATCH(Composições!A6113,Orçamentária!A:A,0),1))</f>
        <v>un</v>
      </c>
      <c r="E6113" s="26"/>
      <c r="F6113" s="48" t="s">
        <v>514</v>
      </c>
      <c r="G6113" s="27" t="str">
        <f t="shared" si="114"/>
        <v/>
      </c>
      <c r="H6113" s="28"/>
      <c r="I6113" s="29"/>
      <c r="J6113" s="148">
        <v>0</v>
      </c>
      <c r="K6113" s="222">
        <v>0</v>
      </c>
    </row>
    <row r="6114" spans="1:11" hidden="1" x14ac:dyDescent="0.25">
      <c r="A6114" s="207"/>
      <c r="B6114" s="205"/>
      <c r="C6114" s="31"/>
      <c r="D6114" s="31"/>
      <c r="E6114" s="32"/>
      <c r="F6114" s="53" t="s">
        <v>514</v>
      </c>
      <c r="G6114" s="53" t="str">
        <f t="shared" si="114"/>
        <v/>
      </c>
      <c r="H6114" s="72"/>
      <c r="I6114" s="73"/>
      <c r="J6114" s="148">
        <v>0</v>
      </c>
      <c r="K6114" s="222">
        <v>0</v>
      </c>
    </row>
    <row r="6115" spans="1:11" hidden="1" x14ac:dyDescent="0.25">
      <c r="A6115" s="207"/>
      <c r="B6115" s="205"/>
      <c r="C6115" s="35" t="s">
        <v>6673</v>
      </c>
      <c r="D6115" s="35" t="s">
        <v>92</v>
      </c>
      <c r="E6115" s="36">
        <v>3</v>
      </c>
      <c r="F6115" s="30">
        <v>46.569000000000003</v>
      </c>
      <c r="G6115" s="53">
        <f t="shared" si="114"/>
        <v>139.70699999999999</v>
      </c>
      <c r="H6115" s="38">
        <f>SUM(G6115:G6115)</f>
        <v>139.70699999999999</v>
      </c>
      <c r="I6115" s="39"/>
      <c r="J6115" s="148">
        <v>0</v>
      </c>
      <c r="K6115" s="222">
        <v>0</v>
      </c>
    </row>
    <row r="6116" spans="1:11" ht="15.75" hidden="1" thickBot="1" x14ac:dyDescent="0.3">
      <c r="A6116" s="208"/>
      <c r="B6116" s="206"/>
      <c r="C6116" s="54"/>
      <c r="D6116" s="150"/>
      <c r="E6116" s="65"/>
      <c r="F6116" s="75" t="s">
        <v>514</v>
      </c>
      <c r="G6116" s="75" t="str">
        <f t="shared" si="114"/>
        <v/>
      </c>
      <c r="H6116" s="76"/>
      <c r="I6116" s="73"/>
      <c r="J6116" s="148">
        <v>0</v>
      </c>
      <c r="K6116" s="222">
        <v>0</v>
      </c>
    </row>
    <row r="6117" spans="1:11" ht="15.75" hidden="1" thickBot="1" x14ac:dyDescent="0.3">
      <c r="A6117" s="202" t="s">
        <v>5923</v>
      </c>
      <c r="B6117" s="204" t="str">
        <f>INDEX(Orçamentária!A:B,MATCH(Composições!A6117,Orçamentária!A:A,0),2)</f>
        <v>Adesivo estrutural</v>
      </c>
      <c r="C6117" s="40"/>
      <c r="D6117" s="25" t="str">
        <f>TRIM(INDEX(Orçamentária!C:C,MATCH(Composições!A6117,Orçamentária!A:A,0),1))</f>
        <v>pct</v>
      </c>
      <c r="E6117" s="26"/>
      <c r="F6117" s="48" t="s">
        <v>514</v>
      </c>
      <c r="G6117" s="27" t="str">
        <f t="shared" si="114"/>
        <v/>
      </c>
      <c r="H6117" s="28"/>
      <c r="I6117" s="29"/>
      <c r="J6117" s="148">
        <v>0</v>
      </c>
      <c r="K6117" s="222">
        <v>0</v>
      </c>
    </row>
    <row r="6118" spans="1:11" hidden="1" x14ac:dyDescent="0.25">
      <c r="A6118" s="207"/>
      <c r="B6118" s="205"/>
      <c r="C6118" s="31"/>
      <c r="D6118" s="31"/>
      <c r="E6118" s="32"/>
      <c r="F6118" s="53" t="s">
        <v>514</v>
      </c>
      <c r="G6118" s="53" t="str">
        <f t="shared" si="114"/>
        <v/>
      </c>
      <c r="H6118" s="72"/>
      <c r="I6118" s="73"/>
      <c r="J6118" s="148">
        <v>0</v>
      </c>
      <c r="K6118" s="222">
        <v>0</v>
      </c>
    </row>
    <row r="6119" spans="1:11" ht="25.5" hidden="1" x14ac:dyDescent="0.25">
      <c r="A6119" s="207"/>
      <c r="B6119" s="205"/>
      <c r="C6119" s="35" t="s">
        <v>768</v>
      </c>
      <c r="D6119" s="35" t="s">
        <v>42</v>
      </c>
      <c r="E6119" s="36">
        <v>1</v>
      </c>
      <c r="F6119" s="30">
        <v>48.83</v>
      </c>
      <c r="G6119" s="53">
        <f t="shared" si="114"/>
        <v>48.83</v>
      </c>
      <c r="H6119" s="38">
        <f>SUM(G6119:G6119)</f>
        <v>48.83</v>
      </c>
      <c r="I6119" s="39"/>
      <c r="J6119" s="148">
        <v>0</v>
      </c>
      <c r="K6119" s="222">
        <v>0</v>
      </c>
    </row>
    <row r="6120" spans="1:11" ht="15.75" hidden="1" thickBot="1" x14ac:dyDescent="0.3">
      <c r="A6120" s="208"/>
      <c r="B6120" s="206"/>
      <c r="C6120" s="54"/>
      <c r="D6120" s="150"/>
      <c r="E6120" s="65"/>
      <c r="F6120" s="75" t="s">
        <v>514</v>
      </c>
      <c r="G6120" s="75" t="str">
        <f t="shared" si="114"/>
        <v/>
      </c>
      <c r="H6120" s="76"/>
      <c r="I6120" s="73"/>
      <c r="J6120" s="148">
        <v>0</v>
      </c>
      <c r="K6120" s="222">
        <v>0</v>
      </c>
    </row>
    <row r="6121" spans="1:11" ht="15.75" hidden="1" thickBot="1" x14ac:dyDescent="0.3">
      <c r="A6121" s="202" t="s">
        <v>5941</v>
      </c>
      <c r="B6121" s="204" t="str">
        <f>INDEX(Orçamentária!A:B,MATCH(Composições!A6121,Orçamentária!A:A,0),2)</f>
        <v>Tampão DN 600 Articulado D-400</v>
      </c>
      <c r="C6121" s="40"/>
      <c r="D6121" s="25" t="str">
        <f>TRIM(INDEX(Orçamentária!C:C,MATCH(Composições!A6121,Orçamentária!A:A,0),1))</f>
        <v>un</v>
      </c>
      <c r="E6121" s="26"/>
      <c r="F6121" s="48" t="s">
        <v>514</v>
      </c>
      <c r="G6121" s="27" t="str">
        <f t="shared" si="114"/>
        <v/>
      </c>
      <c r="H6121" s="28"/>
      <c r="I6121" s="29"/>
      <c r="J6121" s="148">
        <v>0</v>
      </c>
      <c r="K6121" s="222">
        <v>0</v>
      </c>
    </row>
    <row r="6122" spans="1:11" hidden="1" x14ac:dyDescent="0.25">
      <c r="A6122" s="207"/>
      <c r="B6122" s="205"/>
      <c r="C6122" s="31"/>
      <c r="D6122" s="31"/>
      <c r="E6122" s="32"/>
      <c r="F6122" s="53" t="s">
        <v>514</v>
      </c>
      <c r="G6122" s="53" t="str">
        <f t="shared" si="114"/>
        <v/>
      </c>
      <c r="H6122" s="72"/>
      <c r="I6122" s="73"/>
      <c r="J6122" s="148">
        <v>0</v>
      </c>
      <c r="K6122" s="222">
        <v>0</v>
      </c>
    </row>
    <row r="6123" spans="1:11" ht="38.25" hidden="1" x14ac:dyDescent="0.25">
      <c r="A6123" s="207"/>
      <c r="B6123" s="205"/>
      <c r="C6123" s="35" t="s">
        <v>7762</v>
      </c>
      <c r="D6123" s="35" t="s">
        <v>20</v>
      </c>
      <c r="E6123" s="36">
        <v>1</v>
      </c>
      <c r="F6123" s="30">
        <v>826.4905</v>
      </c>
      <c r="G6123" s="53">
        <f t="shared" si="114"/>
        <v>826.4905</v>
      </c>
      <c r="H6123" s="38">
        <f>SUM(G6123:G6123)</f>
        <v>826.4905</v>
      </c>
      <c r="I6123" s="39"/>
      <c r="J6123" s="148">
        <v>0</v>
      </c>
      <c r="K6123" s="222">
        <v>0</v>
      </c>
    </row>
    <row r="6124" spans="1:11" ht="15.75" hidden="1" thickBot="1" x14ac:dyDescent="0.3">
      <c r="A6124" s="208"/>
      <c r="B6124" s="206"/>
      <c r="C6124" s="54"/>
      <c r="D6124" s="150"/>
      <c r="E6124" s="65"/>
      <c r="F6124" s="75" t="s">
        <v>514</v>
      </c>
      <c r="G6124" s="75" t="str">
        <f t="shared" si="114"/>
        <v/>
      </c>
      <c r="H6124" s="76"/>
      <c r="I6124" s="73"/>
      <c r="J6124" s="148">
        <v>0</v>
      </c>
      <c r="K6124" s="222">
        <v>0</v>
      </c>
    </row>
    <row r="6125" spans="1:11" ht="15.75" hidden="1" thickBot="1" x14ac:dyDescent="0.3">
      <c r="A6125" s="202" t="s">
        <v>5942</v>
      </c>
      <c r="B6125" s="204" t="str">
        <f>INDEX(Orçamentária!A:B,MATCH(Composições!A6125,Orçamentária!A:A,0),2)</f>
        <v>Tampão T-33 Articulado B-125</v>
      </c>
      <c r="C6125" s="40"/>
      <c r="D6125" s="25" t="str">
        <f>TRIM(INDEX(Orçamentária!C:C,MATCH(Composições!A6125,Orçamentária!A:A,0),1))</f>
        <v>un</v>
      </c>
      <c r="E6125" s="26"/>
      <c r="F6125" s="48" t="s">
        <v>514</v>
      </c>
      <c r="G6125" s="27" t="str">
        <f t="shared" si="114"/>
        <v/>
      </c>
      <c r="H6125" s="28"/>
      <c r="I6125" s="29"/>
      <c r="J6125" s="148">
        <v>0</v>
      </c>
      <c r="K6125" s="222">
        <v>0</v>
      </c>
    </row>
    <row r="6126" spans="1:11" hidden="1" x14ac:dyDescent="0.25">
      <c r="A6126" s="207"/>
      <c r="B6126" s="205"/>
      <c r="C6126" s="31"/>
      <c r="D6126" s="31"/>
      <c r="E6126" s="32"/>
      <c r="F6126" s="53" t="s">
        <v>514</v>
      </c>
      <c r="G6126" s="53" t="str">
        <f t="shared" ref="G6126:G6189" si="115">IF(ISNUMBER(F6126),E6126*F6126,"")</f>
        <v/>
      </c>
      <c r="H6126" s="72"/>
      <c r="I6126" s="73"/>
      <c r="J6126" s="148">
        <v>0</v>
      </c>
      <c r="K6126" s="222">
        <v>0</v>
      </c>
    </row>
    <row r="6127" spans="1:11" ht="38.25" hidden="1" x14ac:dyDescent="0.25">
      <c r="A6127" s="207"/>
      <c r="B6127" s="205"/>
      <c r="C6127" s="35" t="s">
        <v>7761</v>
      </c>
      <c r="D6127" s="35" t="s">
        <v>20</v>
      </c>
      <c r="E6127" s="36">
        <v>1</v>
      </c>
      <c r="F6127" s="30">
        <v>674.4905</v>
      </c>
      <c r="G6127" s="53">
        <f t="shared" si="115"/>
        <v>674.4905</v>
      </c>
      <c r="H6127" s="38">
        <f>SUM(G6127:G6127)</f>
        <v>674.4905</v>
      </c>
      <c r="I6127" s="39"/>
      <c r="J6127" s="148">
        <v>0</v>
      </c>
      <c r="K6127" s="222">
        <v>0</v>
      </c>
    </row>
    <row r="6128" spans="1:11" ht="15.75" hidden="1" thickBot="1" x14ac:dyDescent="0.3">
      <c r="A6128" s="208"/>
      <c r="B6128" s="206"/>
      <c r="C6128" s="54"/>
      <c r="D6128" s="150"/>
      <c r="E6128" s="65"/>
      <c r="F6128" s="75" t="s">
        <v>514</v>
      </c>
      <c r="G6128" s="75" t="str">
        <f t="shared" si="115"/>
        <v/>
      </c>
      <c r="H6128" s="76"/>
      <c r="I6128" s="73"/>
      <c r="J6128" s="148">
        <v>0</v>
      </c>
      <c r="K6128" s="222">
        <v>0</v>
      </c>
    </row>
    <row r="6129" spans="1:11" ht="15.75" hidden="1" thickBot="1" x14ac:dyDescent="0.3">
      <c r="A6129" s="202" t="s">
        <v>5943</v>
      </c>
      <c r="B6129" s="204" t="str">
        <f>INDEX(Orçamentária!A:B,MATCH(Composições!A6129,Orçamentária!A:A,0),2)</f>
        <v>Tampão T-33 Simples Pesado</v>
      </c>
      <c r="C6129" s="40"/>
      <c r="D6129" s="25" t="str">
        <f>TRIM(INDEX(Orçamentária!C:C,MATCH(Composições!A6129,Orçamentária!A:A,0),1))</f>
        <v>un</v>
      </c>
      <c r="E6129" s="26"/>
      <c r="F6129" s="48" t="s">
        <v>514</v>
      </c>
      <c r="G6129" s="27" t="str">
        <f t="shared" si="115"/>
        <v/>
      </c>
      <c r="H6129" s="28"/>
      <c r="I6129" s="29"/>
      <c r="J6129" s="148">
        <v>0</v>
      </c>
      <c r="K6129" s="222">
        <v>0</v>
      </c>
    </row>
    <row r="6130" spans="1:11" hidden="1" x14ac:dyDescent="0.25">
      <c r="A6130" s="207"/>
      <c r="B6130" s="205"/>
      <c r="C6130" s="31"/>
      <c r="D6130" s="31"/>
      <c r="E6130" s="32"/>
      <c r="F6130" s="53" t="s">
        <v>514</v>
      </c>
      <c r="G6130" s="53" t="str">
        <f t="shared" si="115"/>
        <v/>
      </c>
      <c r="H6130" s="72"/>
      <c r="I6130" s="73"/>
      <c r="J6130" s="148">
        <v>0</v>
      </c>
      <c r="K6130" s="222">
        <v>0</v>
      </c>
    </row>
    <row r="6131" spans="1:11" ht="25.5" hidden="1" x14ac:dyDescent="0.25">
      <c r="A6131" s="207"/>
      <c r="B6131" s="205"/>
      <c r="C6131" s="35" t="s">
        <v>7763</v>
      </c>
      <c r="D6131" s="35" t="s">
        <v>20</v>
      </c>
      <c r="E6131" s="36">
        <v>1</v>
      </c>
      <c r="F6131" s="30">
        <v>344.84050000000002</v>
      </c>
      <c r="G6131" s="53">
        <f t="shared" si="115"/>
        <v>344.84050000000002</v>
      </c>
      <c r="H6131" s="38">
        <f>SUM(G6131:G6131)</f>
        <v>344.84050000000002</v>
      </c>
      <c r="I6131" s="39"/>
      <c r="J6131" s="148">
        <v>0</v>
      </c>
      <c r="K6131" s="222">
        <v>0</v>
      </c>
    </row>
    <row r="6132" spans="1:11" ht="15.75" hidden="1" thickBot="1" x14ac:dyDescent="0.3">
      <c r="A6132" s="208"/>
      <c r="B6132" s="206"/>
      <c r="C6132" s="54"/>
      <c r="D6132" s="150"/>
      <c r="E6132" s="65"/>
      <c r="F6132" s="75" t="s">
        <v>514</v>
      </c>
      <c r="G6132" s="75" t="str">
        <f t="shared" si="115"/>
        <v/>
      </c>
      <c r="H6132" s="76"/>
      <c r="I6132" s="73"/>
      <c r="J6132" s="148">
        <v>0</v>
      </c>
      <c r="K6132" s="222">
        <v>0</v>
      </c>
    </row>
    <row r="6133" spans="1:11" ht="15.75" hidden="1" thickBot="1" x14ac:dyDescent="0.3">
      <c r="A6133" s="202" t="s">
        <v>5976</v>
      </c>
      <c r="B6133" s="204" t="str">
        <f>INDEX(Orçamentária!A:B,MATCH(Composições!A6133,Orçamentária!A:A,0),2)</f>
        <v>Placa de sinalização em PVC 2mm</v>
      </c>
      <c r="C6133" s="40"/>
      <c r="D6133" s="25" t="str">
        <f>TRIM(INDEX(Orçamentária!C:C,MATCH(Composições!A6133,Orçamentária!A:A,0),1))</f>
        <v>m2</v>
      </c>
      <c r="E6133" s="26"/>
      <c r="F6133" s="48" t="s">
        <v>514</v>
      </c>
      <c r="G6133" s="27" t="str">
        <f t="shared" si="115"/>
        <v/>
      </c>
      <c r="H6133" s="28"/>
      <c r="I6133" s="29"/>
      <c r="J6133" s="148">
        <v>0</v>
      </c>
      <c r="K6133" s="222">
        <v>0</v>
      </c>
    </row>
    <row r="6134" spans="1:11" hidden="1" x14ac:dyDescent="0.25">
      <c r="A6134" s="207"/>
      <c r="B6134" s="205"/>
      <c r="C6134" s="31"/>
      <c r="D6134" s="31"/>
      <c r="E6134" s="32"/>
      <c r="F6134" s="53" t="s">
        <v>514</v>
      </c>
      <c r="G6134" s="53" t="str">
        <f t="shared" si="115"/>
        <v/>
      </c>
      <c r="H6134" s="72"/>
      <c r="I6134" s="73"/>
      <c r="J6134" s="148">
        <v>0</v>
      </c>
      <c r="K6134" s="222">
        <v>0</v>
      </c>
    </row>
    <row r="6135" spans="1:11" ht="51" hidden="1" x14ac:dyDescent="0.25">
      <c r="A6135" s="207"/>
      <c r="B6135" s="205"/>
      <c r="C6135" s="35" t="s">
        <v>7669</v>
      </c>
      <c r="D6135" s="35" t="s">
        <v>20</v>
      </c>
      <c r="E6135" s="36">
        <f>1/0.13/0.26</f>
        <v>29.585798816568044</v>
      </c>
      <c r="F6135" s="30">
        <v>19</v>
      </c>
      <c r="G6135" s="53">
        <f t="shared" si="115"/>
        <v>562.13017751479288</v>
      </c>
      <c r="H6135" s="38">
        <f>SUM(G6135:G6135)</f>
        <v>562.13017751479288</v>
      </c>
      <c r="I6135" s="39"/>
      <c r="J6135" s="148">
        <v>0</v>
      </c>
      <c r="K6135" s="222">
        <v>0</v>
      </c>
    </row>
    <row r="6136" spans="1:11" ht="15.75" hidden="1" thickBot="1" x14ac:dyDescent="0.3">
      <c r="A6136" s="208"/>
      <c r="B6136" s="206"/>
      <c r="C6136" s="54"/>
      <c r="D6136" s="150"/>
      <c r="E6136" s="65"/>
      <c r="F6136" s="75" t="s">
        <v>514</v>
      </c>
      <c r="G6136" s="75" t="str">
        <f t="shared" si="115"/>
        <v/>
      </c>
      <c r="H6136" s="76"/>
      <c r="I6136" s="73"/>
      <c r="J6136" s="148">
        <v>0</v>
      </c>
      <c r="K6136" s="222">
        <v>0</v>
      </c>
    </row>
    <row r="6137" spans="1:11" ht="15.75" hidden="1" thickBot="1" x14ac:dyDescent="0.3">
      <c r="A6137" s="202" t="s">
        <v>5992</v>
      </c>
      <c r="B6137" s="204" t="str">
        <f>INDEX(Orçamentária!A:B,MATCH(Composições!A6137,Orçamentária!A:A,0),2)</f>
        <v>Solda exotérmica</v>
      </c>
      <c r="C6137" s="40"/>
      <c r="D6137" s="25" t="str">
        <f>TRIM(INDEX(Orçamentária!C:C,MATCH(Composições!A6137,Orçamentária!A:A,0),1))</f>
        <v>un</v>
      </c>
      <c r="E6137" s="26"/>
      <c r="F6137" s="48" t="s">
        <v>514</v>
      </c>
      <c r="G6137" s="27" t="str">
        <f t="shared" si="115"/>
        <v/>
      </c>
      <c r="H6137" s="28"/>
      <c r="I6137" s="29"/>
      <c r="J6137" s="148">
        <v>0</v>
      </c>
      <c r="K6137" s="222">
        <v>0</v>
      </c>
    </row>
    <row r="6138" spans="1:11" hidden="1" x14ac:dyDescent="0.25">
      <c r="A6138" s="207"/>
      <c r="B6138" s="205"/>
      <c r="C6138" s="31"/>
      <c r="D6138" s="31"/>
      <c r="E6138" s="32"/>
      <c r="F6138" s="53" t="s">
        <v>514</v>
      </c>
      <c r="G6138" s="53" t="str">
        <f t="shared" si="115"/>
        <v/>
      </c>
      <c r="H6138" s="72"/>
      <c r="I6138" s="73"/>
      <c r="J6138" s="148">
        <v>0</v>
      </c>
      <c r="K6138" s="222">
        <v>0</v>
      </c>
    </row>
    <row r="6139" spans="1:11" hidden="1" x14ac:dyDescent="0.25">
      <c r="A6139" s="207"/>
      <c r="B6139" s="205"/>
      <c r="C6139" s="35" t="s">
        <v>1151</v>
      </c>
      <c r="D6139" s="35" t="s">
        <v>12</v>
      </c>
      <c r="E6139" s="36">
        <v>0.08</v>
      </c>
      <c r="F6139" s="30">
        <v>25.146499999999996</v>
      </c>
      <c r="G6139" s="53">
        <f t="shared" si="115"/>
        <v>2.0117199999999995</v>
      </c>
      <c r="H6139" s="38">
        <f>SUM(G6139:G6143)</f>
        <v>3.4853599999999996</v>
      </c>
      <c r="I6139" s="39"/>
      <c r="J6139" s="148">
        <v>0</v>
      </c>
      <c r="K6139" s="222">
        <v>0</v>
      </c>
    </row>
    <row r="6140" spans="1:11" hidden="1" x14ac:dyDescent="0.25">
      <c r="A6140" s="207"/>
      <c r="B6140" s="205"/>
      <c r="C6140" s="35" t="s">
        <v>696</v>
      </c>
      <c r="D6140" s="35" t="s">
        <v>12</v>
      </c>
      <c r="E6140" s="36">
        <v>0.08</v>
      </c>
      <c r="F6140" s="30">
        <v>18.420500000000001</v>
      </c>
      <c r="G6140" s="53">
        <f t="shared" si="115"/>
        <v>1.4736400000000001</v>
      </c>
      <c r="H6140" s="43"/>
      <c r="I6140" s="39"/>
      <c r="J6140" s="148">
        <v>0</v>
      </c>
      <c r="K6140" s="222">
        <v>0</v>
      </c>
    </row>
    <row r="6141" spans="1:11" hidden="1" x14ac:dyDescent="0.25">
      <c r="A6141" s="207"/>
      <c r="B6141" s="205"/>
      <c r="C6141" s="35" t="s">
        <v>6374</v>
      </c>
      <c r="D6141" s="35" t="s">
        <v>20</v>
      </c>
      <c r="E6141" s="36">
        <v>1</v>
      </c>
      <c r="F6141" s="30">
        <v>0</v>
      </c>
      <c r="G6141" s="53">
        <f t="shared" si="115"/>
        <v>0</v>
      </c>
      <c r="H6141" s="43"/>
      <c r="I6141" s="39"/>
      <c r="J6141" s="148">
        <v>0</v>
      </c>
      <c r="K6141" s="222">
        <v>0</v>
      </c>
    </row>
    <row r="6142" spans="1:11" hidden="1" x14ac:dyDescent="0.25">
      <c r="A6142" s="207"/>
      <c r="B6142" s="205"/>
      <c r="C6142" s="35" t="s">
        <v>6375</v>
      </c>
      <c r="D6142" s="35" t="s">
        <v>20</v>
      </c>
      <c r="E6142" s="36">
        <v>1</v>
      </c>
      <c r="F6142" s="30">
        <v>0</v>
      </c>
      <c r="G6142" s="53">
        <f t="shared" si="115"/>
        <v>0</v>
      </c>
      <c r="H6142" s="43"/>
      <c r="I6142" s="39"/>
      <c r="J6142" s="148">
        <v>0</v>
      </c>
      <c r="K6142" s="222">
        <v>0</v>
      </c>
    </row>
    <row r="6143" spans="1:11" hidden="1" x14ac:dyDescent="0.25">
      <c r="A6143" s="207"/>
      <c r="B6143" s="205"/>
      <c r="C6143" s="35" t="s">
        <v>6376</v>
      </c>
      <c r="D6143" s="35" t="s">
        <v>20</v>
      </c>
      <c r="E6143" s="36">
        <v>0.04</v>
      </c>
      <c r="F6143" s="30">
        <v>0</v>
      </c>
      <c r="G6143" s="53">
        <f t="shared" si="115"/>
        <v>0</v>
      </c>
      <c r="H6143" s="43"/>
      <c r="I6143" s="39"/>
      <c r="J6143" s="148">
        <v>0</v>
      </c>
      <c r="K6143" s="222">
        <v>0</v>
      </c>
    </row>
    <row r="6144" spans="1:11" ht="15.75" hidden="1" thickBot="1" x14ac:dyDescent="0.3">
      <c r="A6144" s="208"/>
      <c r="B6144" s="206"/>
      <c r="C6144" s="35"/>
      <c r="D6144" s="35"/>
      <c r="E6144" s="36"/>
      <c r="F6144" s="30" t="s">
        <v>514</v>
      </c>
      <c r="G6144" s="53"/>
      <c r="H6144" s="43"/>
      <c r="I6144" s="39"/>
      <c r="J6144" s="148">
        <v>0</v>
      </c>
      <c r="K6144" s="222">
        <v>0</v>
      </c>
    </row>
    <row r="6145" spans="1:11" ht="15.75" hidden="1" thickBot="1" x14ac:dyDescent="0.3">
      <c r="A6145" s="202" t="s">
        <v>6002</v>
      </c>
      <c r="B6145" s="204" t="str">
        <f>INDEX(Orçamentária!A:B,MATCH(Composições!A6145,Orçamentária!A:A,0),2)</f>
        <v>Cone de sinalização</v>
      </c>
      <c r="C6145" s="40"/>
      <c r="D6145" s="25" t="str">
        <f>TRIM(INDEX(Orçamentária!C:C,MATCH(Composições!A6145,Orçamentária!A:A,0),1))</f>
        <v>un</v>
      </c>
      <c r="E6145" s="26"/>
      <c r="F6145" s="48" t="s">
        <v>514</v>
      </c>
      <c r="G6145" s="27" t="str">
        <f t="shared" ref="G6145:G6184" si="116">IF(ISNUMBER(F6145),E6145*F6145,"")</f>
        <v/>
      </c>
      <c r="H6145" s="28"/>
      <c r="I6145" s="29"/>
      <c r="J6145" s="148">
        <v>0</v>
      </c>
      <c r="K6145" s="222">
        <v>0</v>
      </c>
    </row>
    <row r="6146" spans="1:11" hidden="1" x14ac:dyDescent="0.25">
      <c r="A6146" s="207"/>
      <c r="B6146" s="205"/>
      <c r="C6146" s="31"/>
      <c r="D6146" s="31"/>
      <c r="E6146" s="32"/>
      <c r="F6146" s="53" t="s">
        <v>514</v>
      </c>
      <c r="G6146" s="53" t="str">
        <f t="shared" si="116"/>
        <v/>
      </c>
      <c r="H6146" s="72"/>
      <c r="I6146" s="73"/>
      <c r="J6146" s="148">
        <v>0</v>
      </c>
      <c r="K6146" s="222">
        <v>0</v>
      </c>
    </row>
    <row r="6147" spans="1:11" ht="25.5" hidden="1" x14ac:dyDescent="0.25">
      <c r="A6147" s="207"/>
      <c r="B6147" s="205"/>
      <c r="C6147" s="35" t="s">
        <v>3258</v>
      </c>
      <c r="D6147" s="35" t="s">
        <v>20</v>
      </c>
      <c r="E6147" s="36">
        <v>1</v>
      </c>
      <c r="F6147" s="30">
        <v>39.273000000000003</v>
      </c>
      <c r="G6147" s="53">
        <f t="shared" si="116"/>
        <v>39.273000000000003</v>
      </c>
      <c r="H6147" s="38">
        <f>SUM(G6147:G6147)</f>
        <v>39.273000000000003</v>
      </c>
      <c r="I6147" s="39"/>
      <c r="J6147" s="148">
        <v>0</v>
      </c>
      <c r="K6147" s="222">
        <v>0</v>
      </c>
    </row>
    <row r="6148" spans="1:11" ht="15.75" hidden="1" thickBot="1" x14ac:dyDescent="0.3">
      <c r="A6148" s="208"/>
      <c r="B6148" s="206"/>
      <c r="C6148" s="54"/>
      <c r="D6148" s="150"/>
      <c r="E6148" s="65"/>
      <c r="F6148" s="75" t="s">
        <v>514</v>
      </c>
      <c r="G6148" s="75" t="str">
        <f t="shared" si="116"/>
        <v/>
      </c>
      <c r="H6148" s="76"/>
      <c r="I6148" s="73"/>
      <c r="J6148" s="148">
        <v>0</v>
      </c>
      <c r="K6148" s="222">
        <v>0</v>
      </c>
    </row>
    <row r="6149" spans="1:11" ht="15.75" hidden="1" thickBot="1" x14ac:dyDescent="0.3">
      <c r="A6149" s="202" t="s">
        <v>6112</v>
      </c>
      <c r="B6149" s="204" t="str">
        <f>INDEX(Orçamentária!A:B,MATCH(Composições!A6149,Orçamentária!A:A,0),2)</f>
        <v>Alicate crimpador com catraca para terminal RJ45</v>
      </c>
      <c r="C6149" s="40"/>
      <c r="D6149" s="25" t="str">
        <f>TRIM(INDEX(Orçamentária!C:C,MATCH(Composições!A6149,Orçamentária!A:A,0),1))</f>
        <v>un</v>
      </c>
      <c r="E6149" s="26"/>
      <c r="F6149" s="48" t="s">
        <v>514</v>
      </c>
      <c r="G6149" s="27" t="str">
        <f t="shared" si="116"/>
        <v/>
      </c>
      <c r="H6149" s="28"/>
      <c r="I6149" s="29"/>
      <c r="J6149" s="148">
        <v>0</v>
      </c>
      <c r="K6149" s="222">
        <v>0</v>
      </c>
    </row>
    <row r="6150" spans="1:11" hidden="1" x14ac:dyDescent="0.25">
      <c r="A6150" s="207"/>
      <c r="B6150" s="205"/>
      <c r="C6150" s="31"/>
      <c r="D6150" s="31"/>
      <c r="E6150" s="32"/>
      <c r="F6150" s="53" t="s">
        <v>514</v>
      </c>
      <c r="G6150" s="53" t="str">
        <f t="shared" si="116"/>
        <v/>
      </c>
      <c r="H6150" s="72"/>
      <c r="I6150" s="73"/>
      <c r="J6150" s="148">
        <v>0</v>
      </c>
      <c r="K6150" s="222">
        <v>0</v>
      </c>
    </row>
    <row r="6151" spans="1:11" hidden="1" x14ac:dyDescent="0.25">
      <c r="A6151" s="207"/>
      <c r="B6151" s="205"/>
      <c r="C6151" s="35" t="s">
        <v>3230</v>
      </c>
      <c r="D6151" s="35" t="s">
        <v>20</v>
      </c>
      <c r="E6151" s="36">
        <v>1</v>
      </c>
      <c r="F6151" s="30">
        <v>130.50149999999999</v>
      </c>
      <c r="G6151" s="53">
        <f t="shared" si="116"/>
        <v>130.50149999999999</v>
      </c>
      <c r="H6151" s="38">
        <f>SUM(G6151:G6151)</f>
        <v>130.50149999999999</v>
      </c>
      <c r="I6151" s="39"/>
      <c r="J6151" s="148">
        <v>0</v>
      </c>
      <c r="K6151" s="222">
        <v>0</v>
      </c>
    </row>
    <row r="6152" spans="1:11" ht="15.75" hidden="1" thickBot="1" x14ac:dyDescent="0.3">
      <c r="A6152" s="208"/>
      <c r="B6152" s="206"/>
      <c r="C6152" s="54"/>
      <c r="D6152" s="150"/>
      <c r="E6152" s="65"/>
      <c r="F6152" s="75" t="s">
        <v>514</v>
      </c>
      <c r="G6152" s="75" t="str">
        <f t="shared" si="116"/>
        <v/>
      </c>
      <c r="H6152" s="76"/>
      <c r="I6152" s="73"/>
      <c r="J6152" s="148">
        <v>0</v>
      </c>
      <c r="K6152" s="222">
        <v>0</v>
      </c>
    </row>
    <row r="6153" spans="1:11" ht="15.75" hidden="1" thickBot="1" x14ac:dyDescent="0.3">
      <c r="A6153" s="202" t="s">
        <v>6201</v>
      </c>
      <c r="B6153" s="204" t="str">
        <f>INDEX(Orçamentária!A:B,MATCH(Composições!A6153,Orçamentária!A:A,0),2)</f>
        <v>Protetor solar</v>
      </c>
      <c r="C6153" s="40"/>
      <c r="D6153" s="25" t="str">
        <f>TRIM(INDEX(Orçamentária!C:C,MATCH(Composições!A6153,Orçamentária!A:A,0),1))</f>
        <v>L</v>
      </c>
      <c r="E6153" s="26"/>
      <c r="F6153" s="48" t="s">
        <v>514</v>
      </c>
      <c r="G6153" s="27" t="str">
        <f t="shared" si="116"/>
        <v/>
      </c>
      <c r="H6153" s="28"/>
      <c r="I6153" s="29"/>
      <c r="J6153" s="148">
        <v>0</v>
      </c>
      <c r="K6153" s="222">
        <v>0</v>
      </c>
    </row>
    <row r="6154" spans="1:11" hidden="1" x14ac:dyDescent="0.25">
      <c r="A6154" s="207"/>
      <c r="B6154" s="205"/>
      <c r="C6154" s="31"/>
      <c r="D6154" s="31"/>
      <c r="E6154" s="32"/>
      <c r="F6154" s="53" t="s">
        <v>514</v>
      </c>
      <c r="G6154" s="53" t="str">
        <f t="shared" si="116"/>
        <v/>
      </c>
      <c r="H6154" s="72"/>
      <c r="I6154" s="73"/>
      <c r="J6154" s="148">
        <v>0</v>
      </c>
      <c r="K6154" s="222">
        <v>0</v>
      </c>
    </row>
    <row r="6155" spans="1:11" hidden="1" x14ac:dyDescent="0.25">
      <c r="A6155" s="207"/>
      <c r="B6155" s="205"/>
      <c r="C6155" s="35" t="s">
        <v>3333</v>
      </c>
      <c r="D6155" s="35" t="s">
        <v>20</v>
      </c>
      <c r="E6155" s="36">
        <v>0.5</v>
      </c>
      <c r="F6155" s="30">
        <v>241.60399999999998</v>
      </c>
      <c r="G6155" s="53">
        <f t="shared" si="116"/>
        <v>120.80199999999999</v>
      </c>
      <c r="H6155" s="38">
        <f>SUM(G6155:G6155)</f>
        <v>120.80199999999999</v>
      </c>
      <c r="I6155" s="39"/>
      <c r="J6155" s="148">
        <v>0</v>
      </c>
      <c r="K6155" s="222">
        <v>0</v>
      </c>
    </row>
    <row r="6156" spans="1:11" ht="15.75" hidden="1" thickBot="1" x14ac:dyDescent="0.3">
      <c r="A6156" s="208"/>
      <c r="B6156" s="206"/>
      <c r="C6156" s="54"/>
      <c r="D6156" s="150"/>
      <c r="E6156" s="65"/>
      <c r="F6156" s="75" t="s">
        <v>514</v>
      </c>
      <c r="G6156" s="75" t="str">
        <f t="shared" si="116"/>
        <v/>
      </c>
      <c r="H6156" s="76"/>
      <c r="I6156" s="73"/>
      <c r="J6156" s="148">
        <v>0</v>
      </c>
      <c r="K6156" s="222">
        <v>0</v>
      </c>
    </row>
    <row r="6157" spans="1:11" ht="15.75" hidden="1" thickBot="1" x14ac:dyDescent="0.3">
      <c r="A6157" s="202" t="s">
        <v>6203</v>
      </c>
      <c r="B6157" s="204" t="str">
        <f>INDEX(Orçamentária!A:B,MATCH(Composições!A6157,Orçamentária!A:A,0),2)</f>
        <v>Carpete em placa para o Bloco 2 (Interlegis) - fornecimento e instalação</v>
      </c>
      <c r="C6157" s="40"/>
      <c r="D6157" s="25" t="str">
        <f>TRIM(INDEX(Orçamentária!C:C,MATCH(Composições!A6157,Orçamentária!A:A,0),1))</f>
        <v>m2</v>
      </c>
      <c r="E6157" s="26"/>
      <c r="F6157" s="41" t="s">
        <v>514</v>
      </c>
      <c r="G6157" s="27" t="str">
        <f t="shared" si="116"/>
        <v/>
      </c>
      <c r="H6157" s="28"/>
      <c r="I6157" s="29"/>
      <c r="J6157" s="148">
        <v>0</v>
      </c>
      <c r="K6157" s="222">
        <v>0</v>
      </c>
    </row>
    <row r="6158" spans="1:11" hidden="1" x14ac:dyDescent="0.25">
      <c r="A6158" s="203"/>
      <c r="B6158" s="205"/>
      <c r="C6158" s="31"/>
      <c r="D6158" s="31"/>
      <c r="E6158" s="32"/>
      <c r="F6158" s="42" t="s">
        <v>514</v>
      </c>
      <c r="G6158" s="30" t="str">
        <f t="shared" si="116"/>
        <v/>
      </c>
      <c r="H6158" s="34"/>
      <c r="I6158" s="30"/>
      <c r="J6158" s="148">
        <v>0</v>
      </c>
      <c r="K6158" s="222">
        <v>0</v>
      </c>
    </row>
    <row r="6159" spans="1:11" hidden="1" x14ac:dyDescent="0.25">
      <c r="A6159" s="203"/>
      <c r="B6159" s="205"/>
      <c r="C6159" s="35" t="s">
        <v>703</v>
      </c>
      <c r="D6159" s="35" t="s">
        <v>695</v>
      </c>
      <c r="E6159" s="36">
        <f>0.1*1.3</f>
        <v>0.13</v>
      </c>
      <c r="F6159" s="30">
        <v>24.889999999999997</v>
      </c>
      <c r="G6159" s="33">
        <f t="shared" si="116"/>
        <v>3.2356999999999996</v>
      </c>
      <c r="H6159" s="38">
        <f>SUM(G6159:G6166)</f>
        <v>15.232965</v>
      </c>
      <c r="I6159" s="39"/>
      <c r="J6159" s="148">
        <v>0</v>
      </c>
      <c r="K6159" s="222">
        <v>0</v>
      </c>
    </row>
    <row r="6160" spans="1:11" hidden="1" x14ac:dyDescent="0.25">
      <c r="A6160" s="203"/>
      <c r="B6160" s="205"/>
      <c r="C6160" s="35" t="s">
        <v>696</v>
      </c>
      <c r="D6160" s="35" t="s">
        <v>695</v>
      </c>
      <c r="E6160" s="36">
        <f>0.1*1.3</f>
        <v>0.13</v>
      </c>
      <c r="F6160" s="30">
        <v>18.420500000000001</v>
      </c>
      <c r="G6160" s="33">
        <f t="shared" si="116"/>
        <v>2.3946650000000003</v>
      </c>
      <c r="H6160" s="34"/>
      <c r="I6160" s="30"/>
      <c r="J6160" s="148">
        <v>0</v>
      </c>
      <c r="K6160" s="222">
        <v>0</v>
      </c>
    </row>
    <row r="6161" spans="1:11" hidden="1" x14ac:dyDescent="0.25">
      <c r="A6161" s="203"/>
      <c r="B6161" s="205"/>
      <c r="C6161" s="35" t="s">
        <v>6415</v>
      </c>
      <c r="D6161" s="35" t="s">
        <v>891</v>
      </c>
      <c r="E6161" s="36">
        <v>0.1</v>
      </c>
      <c r="F6161" s="33" t="s">
        <v>514</v>
      </c>
      <c r="G6161" s="30" t="str">
        <f t="shared" si="116"/>
        <v/>
      </c>
      <c r="H6161" s="34"/>
      <c r="I6161" s="30"/>
      <c r="J6161" s="148">
        <v>0</v>
      </c>
      <c r="K6161" s="222">
        <v>0</v>
      </c>
    </row>
    <row r="6162" spans="1:11" ht="25.5" hidden="1" x14ac:dyDescent="0.25">
      <c r="A6162" s="203"/>
      <c r="B6162" s="205"/>
      <c r="C6162" s="35" t="s">
        <v>6416</v>
      </c>
      <c r="D6162" s="35" t="s">
        <v>94</v>
      </c>
      <c r="E6162" s="36">
        <v>1.1000000000000001</v>
      </c>
      <c r="F6162" s="30" t="s">
        <v>514</v>
      </c>
      <c r="G6162" s="33" t="str">
        <f t="shared" si="116"/>
        <v/>
      </c>
      <c r="H6162" s="34"/>
      <c r="I6162" s="39"/>
      <c r="J6162" s="148">
        <v>0</v>
      </c>
      <c r="K6162" s="222">
        <v>0</v>
      </c>
    </row>
    <row r="6163" spans="1:11" hidden="1" x14ac:dyDescent="0.25">
      <c r="A6163" s="203"/>
      <c r="B6163" s="205"/>
      <c r="C6163" s="35" t="s">
        <v>703</v>
      </c>
      <c r="D6163" s="35" t="s">
        <v>695</v>
      </c>
      <c r="E6163" s="36">
        <v>0.2</v>
      </c>
      <c r="F6163" s="30">
        <v>24.889999999999997</v>
      </c>
      <c r="G6163" s="33">
        <f t="shared" si="116"/>
        <v>4.9779999999999998</v>
      </c>
      <c r="H6163" s="34"/>
      <c r="I6163" s="30"/>
      <c r="J6163" s="148">
        <v>0</v>
      </c>
      <c r="K6163" s="222">
        <v>0</v>
      </c>
    </row>
    <row r="6164" spans="1:11" hidden="1" x14ac:dyDescent="0.25">
      <c r="A6164" s="203"/>
      <c r="B6164" s="205"/>
      <c r="C6164" s="35" t="s">
        <v>696</v>
      </c>
      <c r="D6164" s="35" t="s">
        <v>695</v>
      </c>
      <c r="E6164" s="36">
        <v>0.2</v>
      </c>
      <c r="F6164" s="33">
        <v>18.420500000000001</v>
      </c>
      <c r="G6164" s="30">
        <f t="shared" si="116"/>
        <v>3.6841000000000004</v>
      </c>
      <c r="H6164" s="34"/>
      <c r="I6164" s="30"/>
      <c r="J6164" s="148">
        <v>0</v>
      </c>
      <c r="K6164" s="222">
        <v>0</v>
      </c>
    </row>
    <row r="6165" spans="1:11" hidden="1" x14ac:dyDescent="0.25">
      <c r="A6165" s="203"/>
      <c r="B6165" s="205"/>
      <c r="C6165" s="35" t="s">
        <v>740</v>
      </c>
      <c r="D6165" s="35" t="s">
        <v>891</v>
      </c>
      <c r="E6165" s="36">
        <v>1.5</v>
      </c>
      <c r="F6165" s="30">
        <v>0.627</v>
      </c>
      <c r="G6165" s="33">
        <f t="shared" si="116"/>
        <v>0.9405</v>
      </c>
      <c r="H6165" s="34"/>
      <c r="I6165" s="39"/>
      <c r="J6165" s="148">
        <v>0</v>
      </c>
      <c r="K6165" s="222">
        <v>0</v>
      </c>
    </row>
    <row r="6166" spans="1:11" hidden="1" x14ac:dyDescent="0.25">
      <c r="A6166" s="203"/>
      <c r="B6166" s="205"/>
      <c r="C6166" s="35" t="s">
        <v>1401</v>
      </c>
      <c r="D6166" s="35" t="s">
        <v>891</v>
      </c>
      <c r="E6166" s="36">
        <f>ROUND(E6165*0.1,2)</f>
        <v>0.15</v>
      </c>
      <c r="F6166" s="30" t="s">
        <v>514</v>
      </c>
      <c r="G6166" s="33" t="str">
        <f t="shared" si="116"/>
        <v/>
      </c>
      <c r="H6166" s="34"/>
      <c r="I6166" s="30"/>
      <c r="J6166" s="148">
        <v>0</v>
      </c>
      <c r="K6166" s="222">
        <v>0</v>
      </c>
    </row>
    <row r="6167" spans="1:11" ht="15.75" hidden="1" thickBot="1" x14ac:dyDescent="0.3">
      <c r="A6167" s="209"/>
      <c r="B6167" s="206"/>
      <c r="C6167" s="35"/>
      <c r="D6167" s="35"/>
      <c r="E6167" s="36"/>
      <c r="F6167" s="30" t="s">
        <v>514</v>
      </c>
      <c r="G6167" s="30" t="str">
        <f t="shared" si="116"/>
        <v/>
      </c>
      <c r="H6167" s="34"/>
      <c r="I6167" s="30"/>
      <c r="J6167" s="148">
        <v>0</v>
      </c>
      <c r="K6167" s="222">
        <v>0</v>
      </c>
    </row>
    <row r="6168" spans="1:11" ht="15.75" hidden="1" thickBot="1" x14ac:dyDescent="0.3">
      <c r="A6168" s="202" t="s">
        <v>6204</v>
      </c>
      <c r="B6168" s="204" t="str">
        <f>INDEX(Orçamentária!A:B,MATCH(Composições!A6168,Orçamentária!A:A,0),2)</f>
        <v>Carpete em rolo para o Bloco 2 (Interlegis) - fornecimento e instalação</v>
      </c>
      <c r="C6168" s="40"/>
      <c r="D6168" s="25" t="str">
        <f>TRIM(INDEX(Orçamentária!C:C,MATCH(Composições!A6168,Orçamentária!A:A,0),1))</f>
        <v>m2</v>
      </c>
      <c r="E6168" s="26"/>
      <c r="F6168" s="41" t="s">
        <v>514</v>
      </c>
      <c r="G6168" s="27" t="str">
        <f t="shared" si="116"/>
        <v/>
      </c>
      <c r="H6168" s="28"/>
      <c r="I6168" s="29"/>
      <c r="J6168" s="148">
        <v>0</v>
      </c>
      <c r="K6168" s="222">
        <v>0</v>
      </c>
    </row>
    <row r="6169" spans="1:11" hidden="1" x14ac:dyDescent="0.25">
      <c r="A6169" s="203"/>
      <c r="B6169" s="205"/>
      <c r="C6169" s="31"/>
      <c r="D6169" s="31"/>
      <c r="E6169" s="32"/>
      <c r="F6169" s="42" t="s">
        <v>514</v>
      </c>
      <c r="G6169" s="30" t="str">
        <f t="shared" si="116"/>
        <v/>
      </c>
      <c r="H6169" s="34"/>
      <c r="I6169" s="30"/>
      <c r="J6169" s="148">
        <v>0</v>
      </c>
      <c r="K6169" s="222">
        <v>0</v>
      </c>
    </row>
    <row r="6170" spans="1:11" hidden="1" x14ac:dyDescent="0.25">
      <c r="A6170" s="203"/>
      <c r="B6170" s="205"/>
      <c r="C6170" s="35" t="s">
        <v>703</v>
      </c>
      <c r="D6170" s="35" t="s">
        <v>695</v>
      </c>
      <c r="E6170" s="36">
        <v>0.1</v>
      </c>
      <c r="F6170" s="30">
        <v>24.889999999999997</v>
      </c>
      <c r="G6170" s="33">
        <f t="shared" si="116"/>
        <v>2.4889999999999999</v>
      </c>
      <c r="H6170" s="38">
        <f>SUM(G6170:G6177)</f>
        <v>13.93365</v>
      </c>
      <c r="I6170" s="39"/>
      <c r="J6170" s="148">
        <v>0</v>
      </c>
      <c r="K6170" s="222">
        <v>0</v>
      </c>
    </row>
    <row r="6171" spans="1:11" hidden="1" x14ac:dyDescent="0.25">
      <c r="A6171" s="203"/>
      <c r="B6171" s="205"/>
      <c r="C6171" s="35" t="s">
        <v>696</v>
      </c>
      <c r="D6171" s="35" t="s">
        <v>695</v>
      </c>
      <c r="E6171" s="36">
        <v>0.1</v>
      </c>
      <c r="F6171" s="30">
        <v>18.420500000000001</v>
      </c>
      <c r="G6171" s="33">
        <f t="shared" si="116"/>
        <v>1.8420500000000002</v>
      </c>
      <c r="H6171" s="34"/>
      <c r="I6171" s="30"/>
      <c r="J6171" s="148">
        <v>0</v>
      </c>
      <c r="K6171" s="222">
        <v>0</v>
      </c>
    </row>
    <row r="6172" spans="1:11" hidden="1" x14ac:dyDescent="0.25">
      <c r="A6172" s="203"/>
      <c r="B6172" s="205"/>
      <c r="C6172" s="35" t="s">
        <v>6415</v>
      </c>
      <c r="D6172" s="35" t="s">
        <v>891</v>
      </c>
      <c r="E6172" s="36">
        <v>0.1</v>
      </c>
      <c r="F6172" s="33" t="s">
        <v>514</v>
      </c>
      <c r="G6172" s="30" t="str">
        <f t="shared" si="116"/>
        <v/>
      </c>
      <c r="H6172" s="34"/>
      <c r="I6172" s="30"/>
      <c r="J6172" s="148">
        <v>0</v>
      </c>
      <c r="K6172" s="222">
        <v>0</v>
      </c>
    </row>
    <row r="6173" spans="1:11" ht="25.5" hidden="1" x14ac:dyDescent="0.25">
      <c r="A6173" s="203"/>
      <c r="B6173" s="205"/>
      <c r="C6173" s="35" t="s">
        <v>6417</v>
      </c>
      <c r="D6173" s="35" t="s">
        <v>94</v>
      </c>
      <c r="E6173" s="36">
        <v>1.1000000000000001</v>
      </c>
      <c r="F6173" s="30" t="s">
        <v>514</v>
      </c>
      <c r="G6173" s="33" t="str">
        <f t="shared" si="116"/>
        <v/>
      </c>
      <c r="H6173" s="34"/>
      <c r="I6173" s="39"/>
      <c r="J6173" s="148">
        <v>0</v>
      </c>
      <c r="K6173" s="222">
        <v>0</v>
      </c>
    </row>
    <row r="6174" spans="1:11" hidden="1" x14ac:dyDescent="0.25">
      <c r="A6174" s="203"/>
      <c r="B6174" s="205"/>
      <c r="C6174" s="35" t="s">
        <v>703</v>
      </c>
      <c r="D6174" s="35" t="s">
        <v>695</v>
      </c>
      <c r="E6174" s="36">
        <v>0.2</v>
      </c>
      <c r="F6174" s="30">
        <v>24.889999999999997</v>
      </c>
      <c r="G6174" s="33">
        <f t="shared" si="116"/>
        <v>4.9779999999999998</v>
      </c>
      <c r="H6174" s="34"/>
      <c r="I6174" s="30"/>
      <c r="J6174" s="148">
        <v>0</v>
      </c>
      <c r="K6174" s="222">
        <v>0</v>
      </c>
    </row>
    <row r="6175" spans="1:11" hidden="1" x14ac:dyDescent="0.25">
      <c r="A6175" s="203"/>
      <c r="B6175" s="205"/>
      <c r="C6175" s="35" t="s">
        <v>696</v>
      </c>
      <c r="D6175" s="35" t="s">
        <v>695</v>
      </c>
      <c r="E6175" s="36">
        <v>0.2</v>
      </c>
      <c r="F6175" s="33">
        <v>18.420500000000001</v>
      </c>
      <c r="G6175" s="30">
        <f t="shared" si="116"/>
        <v>3.6841000000000004</v>
      </c>
      <c r="H6175" s="34"/>
      <c r="I6175" s="30"/>
      <c r="J6175" s="148">
        <v>0</v>
      </c>
      <c r="K6175" s="222">
        <v>0</v>
      </c>
    </row>
    <row r="6176" spans="1:11" hidden="1" x14ac:dyDescent="0.25">
      <c r="A6176" s="203"/>
      <c r="B6176" s="205"/>
      <c r="C6176" s="35" t="s">
        <v>740</v>
      </c>
      <c r="D6176" s="35" t="s">
        <v>891</v>
      </c>
      <c r="E6176" s="36">
        <v>1.5</v>
      </c>
      <c r="F6176" s="30">
        <v>0.627</v>
      </c>
      <c r="G6176" s="33">
        <f t="shared" si="116"/>
        <v>0.9405</v>
      </c>
      <c r="H6176" s="34"/>
      <c r="I6176" s="39"/>
      <c r="J6176" s="148">
        <v>0</v>
      </c>
      <c r="K6176" s="222">
        <v>0</v>
      </c>
    </row>
    <row r="6177" spans="1:11" hidden="1" x14ac:dyDescent="0.25">
      <c r="A6177" s="203"/>
      <c r="B6177" s="205"/>
      <c r="C6177" s="35" t="s">
        <v>1401</v>
      </c>
      <c r="D6177" s="35" t="s">
        <v>891</v>
      </c>
      <c r="E6177" s="36">
        <f>ROUND(E6176*0.1,2)</f>
        <v>0.15</v>
      </c>
      <c r="F6177" s="30" t="s">
        <v>514</v>
      </c>
      <c r="G6177" s="33" t="str">
        <f t="shared" si="116"/>
        <v/>
      </c>
      <c r="H6177" s="34"/>
      <c r="I6177" s="30"/>
      <c r="J6177" s="148">
        <v>0</v>
      </c>
      <c r="K6177" s="222">
        <v>0</v>
      </c>
    </row>
    <row r="6178" spans="1:11" ht="15.75" hidden="1" thickBot="1" x14ac:dyDescent="0.3">
      <c r="A6178" s="209"/>
      <c r="B6178" s="206"/>
      <c r="C6178" s="35"/>
      <c r="D6178" s="35"/>
      <c r="E6178" s="36"/>
      <c r="F6178" s="30" t="s">
        <v>514</v>
      </c>
      <c r="G6178" s="30" t="str">
        <f t="shared" si="116"/>
        <v/>
      </c>
      <c r="H6178" s="34"/>
      <c r="I6178" s="30"/>
      <c r="J6178" s="148">
        <v>0</v>
      </c>
      <c r="K6178" s="222">
        <v>0</v>
      </c>
    </row>
    <row r="6179" spans="1:11" ht="15.75" hidden="1" thickBot="1" x14ac:dyDescent="0.3">
      <c r="A6179" s="202" t="s">
        <v>6205</v>
      </c>
      <c r="B6179" s="204" t="str">
        <f>INDEX(Orçamentária!A:B,MATCH(Composições!A6179,Orçamentária!A:A,0),2)</f>
        <v>Corte em chapas metálicas</v>
      </c>
      <c r="C6179" s="40"/>
      <c r="D6179" s="25" t="str">
        <f>TRIM(INDEX(Orçamentária!C:C,MATCH(Composições!A6179,Orçamentária!A:A,0),1))</f>
        <v>m</v>
      </c>
      <c r="E6179" s="26"/>
      <c r="F6179" s="48" t="s">
        <v>514</v>
      </c>
      <c r="G6179" s="27" t="str">
        <f t="shared" si="116"/>
        <v/>
      </c>
      <c r="H6179" s="28"/>
      <c r="I6179" s="29"/>
      <c r="J6179" s="148">
        <v>0</v>
      </c>
      <c r="K6179" s="222">
        <v>0</v>
      </c>
    </row>
    <row r="6180" spans="1:11" hidden="1" x14ac:dyDescent="0.25">
      <c r="A6180" s="207"/>
      <c r="B6180" s="205"/>
      <c r="C6180" s="31"/>
      <c r="D6180" s="31"/>
      <c r="E6180" s="32"/>
      <c r="F6180" s="53" t="s">
        <v>514</v>
      </c>
      <c r="G6180" s="53" t="str">
        <f t="shared" si="116"/>
        <v/>
      </c>
      <c r="H6180" s="72"/>
      <c r="I6180" s="73"/>
      <c r="J6180" s="148">
        <v>0</v>
      </c>
      <c r="K6180" s="222">
        <v>0</v>
      </c>
    </row>
    <row r="6181" spans="1:11" ht="25.5" hidden="1" x14ac:dyDescent="0.25">
      <c r="A6181" s="207"/>
      <c r="B6181" s="205"/>
      <c r="C6181" s="35" t="s">
        <v>132</v>
      </c>
      <c r="D6181" s="35" t="s">
        <v>108</v>
      </c>
      <c r="E6181" s="36">
        <v>0.23</v>
      </c>
      <c r="F6181" s="30">
        <v>12.748999999999999</v>
      </c>
      <c r="G6181" s="53">
        <f t="shared" si="116"/>
        <v>2.9322699999999999</v>
      </c>
      <c r="H6181" s="38">
        <f>SUM(G6181:G6184)</f>
        <v>11.3427834</v>
      </c>
      <c r="I6181" s="39"/>
      <c r="J6181" s="148">
        <v>0</v>
      </c>
      <c r="K6181" s="222">
        <v>0</v>
      </c>
    </row>
    <row r="6182" spans="1:11" ht="38.25" hidden="1" x14ac:dyDescent="0.25">
      <c r="A6182" s="207"/>
      <c r="B6182" s="205"/>
      <c r="C6182" s="35" t="s">
        <v>7757</v>
      </c>
      <c r="D6182" s="35" t="s">
        <v>42</v>
      </c>
      <c r="E6182" s="36">
        <v>3.2000000000000001E-2</v>
      </c>
      <c r="F6182" s="30">
        <v>58.1875</v>
      </c>
      <c r="G6182" s="53">
        <f t="shared" si="116"/>
        <v>1.8620000000000001</v>
      </c>
      <c r="H6182" s="43"/>
      <c r="I6182" s="39"/>
      <c r="J6182" s="148">
        <v>0</v>
      </c>
      <c r="K6182" s="222">
        <v>0</v>
      </c>
    </row>
    <row r="6183" spans="1:11" hidden="1" x14ac:dyDescent="0.25">
      <c r="A6183" s="207"/>
      <c r="B6183" s="205"/>
      <c r="C6183" s="35" t="s">
        <v>609</v>
      </c>
      <c r="D6183" s="35" t="s">
        <v>695</v>
      </c>
      <c r="E6183" s="36">
        <v>9.2700000000000005E-2</v>
      </c>
      <c r="F6183" s="30">
        <v>19.588999999999999</v>
      </c>
      <c r="G6183" s="53">
        <f t="shared" si="116"/>
        <v>1.8159003</v>
      </c>
      <c r="H6183" s="43"/>
      <c r="I6183" s="39"/>
      <c r="J6183" s="148">
        <v>0</v>
      </c>
      <c r="K6183" s="222">
        <v>0</v>
      </c>
    </row>
    <row r="6184" spans="1:11" hidden="1" x14ac:dyDescent="0.25">
      <c r="A6184" s="207"/>
      <c r="B6184" s="205"/>
      <c r="C6184" s="35" t="s">
        <v>3219</v>
      </c>
      <c r="D6184" s="35" t="s">
        <v>695</v>
      </c>
      <c r="E6184" s="36">
        <v>0.18540000000000001</v>
      </c>
      <c r="F6184" s="30">
        <v>25.526499999999999</v>
      </c>
      <c r="G6184" s="53">
        <f t="shared" si="116"/>
        <v>4.7326131</v>
      </c>
      <c r="H6184" s="43"/>
      <c r="I6184" s="39"/>
      <c r="J6184" s="148">
        <v>0</v>
      </c>
      <c r="K6184" s="222">
        <v>0</v>
      </c>
    </row>
    <row r="6185" spans="1:11" ht="15.75" hidden="1" thickBot="1" x14ac:dyDescent="0.3">
      <c r="A6185" s="208"/>
      <c r="B6185" s="206"/>
      <c r="C6185" s="35"/>
      <c r="D6185" s="35"/>
      <c r="E6185" s="36"/>
      <c r="F6185" s="30" t="s">
        <v>514</v>
      </c>
      <c r="G6185" s="53"/>
      <c r="H6185" s="43"/>
      <c r="I6185" s="39"/>
      <c r="J6185" s="148">
        <v>0</v>
      </c>
      <c r="K6185" s="222">
        <v>0</v>
      </c>
    </row>
    <row r="6186" spans="1:11" ht="15.75" hidden="1" thickBot="1" x14ac:dyDescent="0.3">
      <c r="A6186" s="202" t="s">
        <v>6206</v>
      </c>
      <c r="B6186" s="204" t="str">
        <f>INDEX(Orçamentária!A:B,MATCH(Composições!A6186,Orçamentária!A:A,0),2)</f>
        <v>Remoção de revestimento em chapa de alumínio ACM para aproveitamento</v>
      </c>
      <c r="C6186" s="40"/>
      <c r="D6186" s="25" t="str">
        <f>TRIM(INDEX(Orçamentária!C:C,MATCH(Composições!A6186,Orçamentária!A:A,0),1))</f>
        <v>m2</v>
      </c>
      <c r="E6186" s="26"/>
      <c r="F6186" s="48" t="s">
        <v>514</v>
      </c>
      <c r="G6186" s="27" t="str">
        <f>IF(ISNUMBER(F6186),E6186*F6186,"")</f>
        <v/>
      </c>
      <c r="H6186" s="28"/>
      <c r="I6186" s="29"/>
      <c r="J6186" s="148">
        <v>0</v>
      </c>
      <c r="K6186" s="222">
        <v>0</v>
      </c>
    </row>
    <row r="6187" spans="1:11" hidden="1" x14ac:dyDescent="0.25">
      <c r="A6187" s="207"/>
      <c r="B6187" s="205"/>
      <c r="C6187" s="31"/>
      <c r="D6187" s="31"/>
      <c r="E6187" s="32"/>
      <c r="F6187" s="53" t="s">
        <v>514</v>
      </c>
      <c r="G6187" s="53" t="str">
        <f>IF(ISNUMBER(F6187),E6187*F6187,"")</f>
        <v/>
      </c>
      <c r="H6187" s="72"/>
      <c r="I6187" s="73"/>
      <c r="J6187" s="148">
        <v>0</v>
      </c>
      <c r="K6187" s="222">
        <v>0</v>
      </c>
    </row>
    <row r="6188" spans="1:11" hidden="1" x14ac:dyDescent="0.25">
      <c r="A6188" s="207"/>
      <c r="B6188" s="205"/>
      <c r="C6188" s="35" t="s">
        <v>703</v>
      </c>
      <c r="D6188" s="35" t="s">
        <v>695</v>
      </c>
      <c r="E6188" s="36">
        <v>0.5</v>
      </c>
      <c r="F6188" s="30">
        <v>24.889999999999997</v>
      </c>
      <c r="G6188" s="33">
        <f>IF(ISNUMBER(F6188),E6188*F6188,"")</f>
        <v>12.444999999999999</v>
      </c>
      <c r="H6188" s="38">
        <f>SUM(G6188:G6189)</f>
        <v>30.865499999999997</v>
      </c>
      <c r="I6188" s="39"/>
      <c r="J6188" s="148">
        <v>0</v>
      </c>
      <c r="K6188" s="222">
        <v>0</v>
      </c>
    </row>
    <row r="6189" spans="1:11" hidden="1" x14ac:dyDescent="0.25">
      <c r="A6189" s="207"/>
      <c r="B6189" s="205"/>
      <c r="C6189" s="35" t="s">
        <v>696</v>
      </c>
      <c r="D6189" s="35" t="s">
        <v>695</v>
      </c>
      <c r="E6189" s="36">
        <v>1</v>
      </c>
      <c r="F6189" s="33">
        <v>18.420500000000001</v>
      </c>
      <c r="G6189" s="30">
        <f>IF(ISNUMBER(F6189),E6189*F6189,"")</f>
        <v>18.420500000000001</v>
      </c>
      <c r="H6189" s="43"/>
      <c r="I6189" s="39"/>
      <c r="J6189" s="148">
        <v>0</v>
      </c>
      <c r="K6189" s="222">
        <v>0</v>
      </c>
    </row>
    <row r="6190" spans="1:11" ht="15.75" hidden="1" thickBot="1" x14ac:dyDescent="0.3">
      <c r="A6190" s="208"/>
      <c r="B6190" s="206"/>
      <c r="C6190" s="35"/>
      <c r="D6190" s="35"/>
      <c r="E6190" s="36"/>
      <c r="F6190" s="30" t="s">
        <v>514</v>
      </c>
      <c r="G6190" s="53"/>
      <c r="H6190" s="43"/>
      <c r="I6190" s="39"/>
      <c r="J6190" s="148">
        <v>0</v>
      </c>
      <c r="K6190" s="222">
        <v>0</v>
      </c>
    </row>
    <row r="6191" spans="1:11" ht="15.75" hidden="1" thickBot="1" x14ac:dyDescent="0.3">
      <c r="A6191" s="202" t="s">
        <v>6207</v>
      </c>
      <c r="B6191" s="204" t="str">
        <f>INDEX(Orçamentária!A:B,MATCH(Composições!A6191,Orçamentária!A:A,0),2)</f>
        <v>Instalação de revestimento em chapa de alumínio ACM reaproveitado</v>
      </c>
      <c r="C6191" s="40"/>
      <c r="D6191" s="25" t="str">
        <f>TRIM(INDEX(Orçamentária!C:C,MATCH(Composições!A6191,Orçamentária!A:A,0),1))</f>
        <v>m2</v>
      </c>
      <c r="E6191" s="26"/>
      <c r="F6191" s="48" t="s">
        <v>514</v>
      </c>
      <c r="G6191" s="27" t="str">
        <f>IF(ISNUMBER(F6191),E6191*F6191,"")</f>
        <v/>
      </c>
      <c r="H6191" s="28"/>
      <c r="I6191" s="29"/>
      <c r="J6191" s="148">
        <v>0</v>
      </c>
      <c r="K6191" s="222">
        <v>0</v>
      </c>
    </row>
    <row r="6192" spans="1:11" hidden="1" x14ac:dyDescent="0.25">
      <c r="A6192" s="207"/>
      <c r="B6192" s="205"/>
      <c r="C6192" s="31"/>
      <c r="D6192" s="31"/>
      <c r="E6192" s="32"/>
      <c r="F6192" s="53" t="s">
        <v>514</v>
      </c>
      <c r="G6192" s="53" t="str">
        <f>IF(ISNUMBER(F6192),E6192*F6192,"")</f>
        <v/>
      </c>
      <c r="H6192" s="72"/>
      <c r="I6192" s="73"/>
      <c r="J6192" s="148">
        <v>0</v>
      </c>
      <c r="K6192" s="222">
        <v>0</v>
      </c>
    </row>
    <row r="6193" spans="1:11" hidden="1" x14ac:dyDescent="0.25">
      <c r="A6193" s="207"/>
      <c r="B6193" s="205"/>
      <c r="C6193" s="35" t="s">
        <v>703</v>
      </c>
      <c r="D6193" s="35" t="s">
        <v>695</v>
      </c>
      <c r="E6193" s="36">
        <v>1.5</v>
      </c>
      <c r="F6193" s="30">
        <v>24.889999999999997</v>
      </c>
      <c r="G6193" s="33">
        <f>IF(ISNUMBER(F6193),E6193*F6193,"")</f>
        <v>37.334999999999994</v>
      </c>
      <c r="H6193" s="38">
        <f>SUM(G6193:G6194)</f>
        <v>55.755499999999998</v>
      </c>
      <c r="I6193" s="39"/>
      <c r="J6193" s="148">
        <v>0</v>
      </c>
      <c r="K6193" s="222">
        <v>0</v>
      </c>
    </row>
    <row r="6194" spans="1:11" hidden="1" x14ac:dyDescent="0.25">
      <c r="A6194" s="207"/>
      <c r="B6194" s="205"/>
      <c r="C6194" s="35" t="s">
        <v>696</v>
      </c>
      <c r="D6194" s="35" t="s">
        <v>695</v>
      </c>
      <c r="E6194" s="36">
        <v>1</v>
      </c>
      <c r="F6194" s="33">
        <v>18.420500000000001</v>
      </c>
      <c r="G6194" s="30">
        <f>IF(ISNUMBER(F6194),E6194*F6194,"")</f>
        <v>18.420500000000001</v>
      </c>
      <c r="H6194" s="43"/>
      <c r="I6194" s="39"/>
      <c r="J6194" s="148">
        <v>0</v>
      </c>
      <c r="K6194" s="222">
        <v>0</v>
      </c>
    </row>
    <row r="6195" spans="1:11" ht="15.75" hidden="1" thickBot="1" x14ac:dyDescent="0.3">
      <c r="A6195" s="208"/>
      <c r="B6195" s="206"/>
      <c r="C6195" s="35"/>
      <c r="D6195" s="35"/>
      <c r="E6195" s="36"/>
      <c r="F6195" s="30" t="s">
        <v>514</v>
      </c>
      <c r="G6195" s="53"/>
      <c r="H6195" s="43"/>
      <c r="I6195" s="39"/>
      <c r="J6195" s="148">
        <v>0</v>
      </c>
      <c r="K6195" s="222">
        <v>0</v>
      </c>
    </row>
    <row r="6196" spans="1:11" ht="15.75" hidden="1" thickBot="1" x14ac:dyDescent="0.3">
      <c r="A6196" s="202" t="s">
        <v>6208</v>
      </c>
      <c r="B6196" s="204" t="str">
        <f>INDEX(Orçamentária!A:B,MATCH(Composições!A6196,Orçamentária!A:A,0),2)</f>
        <v>Graute industrializado, fck ≥ 100MPa</v>
      </c>
      <c r="C6196" s="40"/>
      <c r="D6196" s="25" t="str">
        <f>TRIM(INDEX(Orçamentária!C:C,MATCH(Composições!A6196,Orçamentária!A:A,0),1))</f>
        <v>m3</v>
      </c>
      <c r="E6196" s="26"/>
      <c r="F6196" s="48" t="s">
        <v>514</v>
      </c>
      <c r="G6196" s="27" t="str">
        <f>IF(ISNUMBER(F6196),E6196*F6196,"")</f>
        <v/>
      </c>
      <c r="H6196" s="28"/>
      <c r="I6196" s="29"/>
      <c r="J6196" s="148">
        <v>0</v>
      </c>
      <c r="K6196" s="222">
        <v>0</v>
      </c>
    </row>
    <row r="6197" spans="1:11" hidden="1" x14ac:dyDescent="0.25">
      <c r="A6197" s="207"/>
      <c r="B6197" s="205"/>
      <c r="C6197" s="31"/>
      <c r="D6197" s="31"/>
      <c r="E6197" s="32"/>
      <c r="F6197" s="53" t="s">
        <v>514</v>
      </c>
      <c r="G6197" s="53" t="str">
        <f>IF(ISNUMBER(F6197),E6197*F6197,"")</f>
        <v/>
      </c>
      <c r="H6197" s="72"/>
      <c r="I6197" s="73"/>
      <c r="J6197" s="148">
        <v>0</v>
      </c>
      <c r="K6197" s="222">
        <v>0</v>
      </c>
    </row>
    <row r="6198" spans="1:11" hidden="1" x14ac:dyDescent="0.25">
      <c r="A6198" s="207"/>
      <c r="B6198" s="205"/>
      <c r="C6198" s="35" t="s">
        <v>703</v>
      </c>
      <c r="D6198" s="35" t="s">
        <v>695</v>
      </c>
      <c r="E6198" s="36">
        <v>0.74148000000000003</v>
      </c>
      <c r="F6198" s="30">
        <v>24.889999999999997</v>
      </c>
      <c r="G6198" s="53">
        <f>IF(ISNUMBER(F6198),E6198*F6198,"")</f>
        <v>18.455437199999999</v>
      </c>
      <c r="H6198" s="38">
        <f>SUM(G6198:G6200)</f>
        <v>109.51165280000001</v>
      </c>
      <c r="I6198" s="39"/>
      <c r="J6198" s="148">
        <v>0</v>
      </c>
      <c r="K6198" s="222">
        <v>0</v>
      </c>
    </row>
    <row r="6199" spans="1:11" hidden="1" x14ac:dyDescent="0.25">
      <c r="A6199" s="207"/>
      <c r="B6199" s="205"/>
      <c r="C6199" s="35" t="s">
        <v>696</v>
      </c>
      <c r="D6199" s="35" t="s">
        <v>695</v>
      </c>
      <c r="E6199" s="36">
        <v>4.9432</v>
      </c>
      <c r="F6199" s="30">
        <v>18.420500000000001</v>
      </c>
      <c r="G6199" s="53">
        <f>IF(ISNUMBER(F6199),E6199*F6199,"")</f>
        <v>91.056215600000002</v>
      </c>
      <c r="H6199" s="43"/>
      <c r="I6199" s="39"/>
      <c r="J6199" s="148">
        <v>0</v>
      </c>
      <c r="K6199" s="222">
        <v>0</v>
      </c>
    </row>
    <row r="6200" spans="1:11" hidden="1" x14ac:dyDescent="0.25">
      <c r="A6200" s="207"/>
      <c r="B6200" s="205"/>
      <c r="C6200" s="35" t="s">
        <v>6418</v>
      </c>
      <c r="D6200" s="35" t="s">
        <v>42</v>
      </c>
      <c r="E6200" s="36">
        <f>1.203*2000</f>
        <v>2406</v>
      </c>
      <c r="F6200" s="30" t="s">
        <v>514</v>
      </c>
      <c r="G6200" s="53" t="str">
        <f>IF(ISNUMBER(F6200),E6200*F6200,"")</f>
        <v/>
      </c>
      <c r="H6200" s="43"/>
      <c r="I6200" s="39"/>
      <c r="J6200" s="148">
        <v>0</v>
      </c>
      <c r="K6200" s="222">
        <v>0</v>
      </c>
    </row>
    <row r="6201" spans="1:11" hidden="1" x14ac:dyDescent="0.25">
      <c r="A6201" s="207"/>
      <c r="B6201" s="205"/>
      <c r="C6201" s="35"/>
      <c r="D6201" s="35"/>
      <c r="E6201" s="36"/>
      <c r="F6201" s="30" t="s">
        <v>514</v>
      </c>
      <c r="G6201" s="53"/>
      <c r="H6201" s="43"/>
      <c r="I6201" s="39"/>
      <c r="J6201" s="148">
        <v>0</v>
      </c>
      <c r="K6201" s="222">
        <v>0</v>
      </c>
    </row>
    <row r="6202" spans="1:11" hidden="1" x14ac:dyDescent="0.25">
      <c r="A6202" s="207"/>
      <c r="B6202" s="205"/>
      <c r="C6202" s="2" t="s">
        <v>6419</v>
      </c>
      <c r="D6202" s="35"/>
      <c r="E6202" s="36"/>
      <c r="F6202" s="30" t="s">
        <v>514</v>
      </c>
      <c r="G6202" s="53"/>
      <c r="H6202" s="43"/>
      <c r="I6202" s="39"/>
      <c r="J6202" s="148">
        <v>0</v>
      </c>
      <c r="K6202" s="222">
        <v>0</v>
      </c>
    </row>
    <row r="6203" spans="1:11" ht="15.75" hidden="1" thickBot="1" x14ac:dyDescent="0.3">
      <c r="A6203" s="208"/>
      <c r="B6203" s="206"/>
      <c r="C6203" s="35"/>
      <c r="D6203" s="35"/>
      <c r="E6203" s="36"/>
      <c r="F6203" s="30" t="s">
        <v>514</v>
      </c>
      <c r="G6203" s="53"/>
      <c r="H6203" s="43"/>
      <c r="I6203" s="39"/>
      <c r="J6203" s="148">
        <v>0</v>
      </c>
      <c r="K6203" s="222">
        <v>0</v>
      </c>
    </row>
    <row r="6204" spans="1:11" ht="15.75" hidden="1" thickBot="1" x14ac:dyDescent="0.3">
      <c r="A6204" s="202" t="s">
        <v>6209</v>
      </c>
      <c r="B6204" s="204" t="str">
        <f>INDEX(Orçamentária!A:B,MATCH(Composições!A6204,Orçamentária!A:A,0),2)</f>
        <v>Armação de aço CA-25 bitola de 16mm</v>
      </c>
      <c r="C6204" s="40"/>
      <c r="D6204" s="25" t="str">
        <f>TRIM(INDEX(Orçamentária!C:C,MATCH(Composições!A6204,Orçamentária!A:A,0),1))</f>
        <v>kg</v>
      </c>
      <c r="E6204" s="26"/>
      <c r="F6204" s="48" t="s">
        <v>514</v>
      </c>
      <c r="G6204" s="27" t="str">
        <f t="shared" ref="G6204:G6210" si="117">IF(ISNUMBER(F6204),E6204*F6204,"")</f>
        <v/>
      </c>
      <c r="H6204" s="28"/>
      <c r="I6204" s="29"/>
      <c r="J6204" s="148">
        <v>0</v>
      </c>
      <c r="K6204" s="222">
        <v>0</v>
      </c>
    </row>
    <row r="6205" spans="1:11" hidden="1" x14ac:dyDescent="0.25">
      <c r="A6205" s="207"/>
      <c r="B6205" s="205"/>
      <c r="C6205" s="31"/>
      <c r="D6205" s="31"/>
      <c r="E6205" s="32"/>
      <c r="F6205" s="53" t="s">
        <v>514</v>
      </c>
      <c r="G6205" s="53" t="str">
        <f t="shared" si="117"/>
        <v/>
      </c>
      <c r="H6205" s="72"/>
      <c r="I6205" s="73"/>
      <c r="J6205" s="148">
        <v>0</v>
      </c>
      <c r="K6205" s="222">
        <v>0</v>
      </c>
    </row>
    <row r="6206" spans="1:11" ht="38.25" hidden="1" x14ac:dyDescent="0.25">
      <c r="A6206" s="207"/>
      <c r="B6206" s="205"/>
      <c r="C6206" s="35" t="s">
        <v>892</v>
      </c>
      <c r="D6206" s="35" t="s">
        <v>278</v>
      </c>
      <c r="E6206" s="36">
        <v>0.21199999999999999</v>
      </c>
      <c r="F6206" s="30">
        <v>0.20899999999999999</v>
      </c>
      <c r="G6206" s="53">
        <f t="shared" si="117"/>
        <v>4.4308E-2</v>
      </c>
      <c r="H6206" s="38">
        <f>SUM(G6206:G6210)</f>
        <v>13.54665325</v>
      </c>
      <c r="I6206" s="39"/>
      <c r="J6206" s="148">
        <v>0</v>
      </c>
      <c r="K6206" s="222">
        <v>0</v>
      </c>
    </row>
    <row r="6207" spans="1:11" ht="25.5" hidden="1" x14ac:dyDescent="0.25">
      <c r="A6207" s="207"/>
      <c r="B6207" s="205"/>
      <c r="C6207" s="35" t="s">
        <v>3489</v>
      </c>
      <c r="D6207" s="35" t="s">
        <v>891</v>
      </c>
      <c r="E6207" s="36">
        <v>2.5000000000000001E-2</v>
      </c>
      <c r="F6207" s="30">
        <v>22.363</v>
      </c>
      <c r="G6207" s="53">
        <f t="shared" si="117"/>
        <v>0.55907499999999999</v>
      </c>
      <c r="H6207" s="43"/>
      <c r="I6207" s="39"/>
      <c r="J6207" s="148">
        <v>0</v>
      </c>
      <c r="K6207" s="222">
        <v>0</v>
      </c>
    </row>
    <row r="6208" spans="1:11" hidden="1" x14ac:dyDescent="0.25">
      <c r="A6208" s="207"/>
      <c r="B6208" s="205"/>
      <c r="C6208" s="35" t="s">
        <v>893</v>
      </c>
      <c r="D6208" s="35" t="s">
        <v>695</v>
      </c>
      <c r="E6208" s="36">
        <v>4.3E-3</v>
      </c>
      <c r="F6208" s="30">
        <v>18.3825</v>
      </c>
      <c r="G6208" s="53">
        <f t="shared" si="117"/>
        <v>7.9044749999999997E-2</v>
      </c>
      <c r="H6208" s="43"/>
      <c r="I6208" s="39"/>
      <c r="J6208" s="148">
        <v>0</v>
      </c>
      <c r="K6208" s="222">
        <v>0</v>
      </c>
    </row>
    <row r="6209" spans="1:11" hidden="1" x14ac:dyDescent="0.25">
      <c r="A6209" s="207"/>
      <c r="B6209" s="205"/>
      <c r="C6209" s="35" t="s">
        <v>894</v>
      </c>
      <c r="D6209" s="35" t="s">
        <v>695</v>
      </c>
      <c r="E6209" s="36">
        <v>2.6100000000000002E-2</v>
      </c>
      <c r="F6209" s="30">
        <v>24.747499999999999</v>
      </c>
      <c r="G6209" s="53">
        <f t="shared" si="117"/>
        <v>0.64590975000000006</v>
      </c>
      <c r="H6209" s="43"/>
      <c r="I6209" s="39"/>
      <c r="J6209" s="148">
        <v>0</v>
      </c>
      <c r="K6209" s="222">
        <v>0</v>
      </c>
    </row>
    <row r="6210" spans="1:11" hidden="1" x14ac:dyDescent="0.25">
      <c r="A6210" s="207"/>
      <c r="B6210" s="205"/>
      <c r="C6210" s="35" t="s">
        <v>3196</v>
      </c>
      <c r="D6210" s="35" t="s">
        <v>891</v>
      </c>
      <c r="E6210" s="36">
        <v>1</v>
      </c>
      <c r="F6210" s="30">
        <v>12.21831575</v>
      </c>
      <c r="G6210" s="53">
        <f t="shared" si="117"/>
        <v>12.21831575</v>
      </c>
      <c r="H6210" s="43"/>
      <c r="I6210" s="39"/>
      <c r="J6210" s="148">
        <v>0</v>
      </c>
      <c r="K6210" s="222">
        <v>0</v>
      </c>
    </row>
    <row r="6211" spans="1:11" ht="15.75" hidden="1" thickBot="1" x14ac:dyDescent="0.3">
      <c r="A6211" s="208"/>
      <c r="B6211" s="206"/>
      <c r="C6211" s="35"/>
      <c r="D6211" s="35"/>
      <c r="E6211" s="36"/>
      <c r="F6211" s="30" t="s">
        <v>514</v>
      </c>
      <c r="G6211" s="53"/>
      <c r="H6211" s="43"/>
      <c r="I6211" s="39"/>
      <c r="J6211" s="148">
        <v>0</v>
      </c>
      <c r="K6211" s="222">
        <v>0</v>
      </c>
    </row>
    <row r="6212" spans="1:11" ht="15.75" hidden="1" thickBot="1" x14ac:dyDescent="0.3">
      <c r="A6212" s="202" t="s">
        <v>6210</v>
      </c>
      <c r="B6212" s="204" t="str">
        <f>INDEX(Orçamentária!A:B,MATCH(Composições!A6212,Orçamentária!A:A,0),2)</f>
        <v>Concreto virado em betoneira, fck = 20MPa</v>
      </c>
      <c r="C6212" s="40"/>
      <c r="D6212" s="25" t="str">
        <f>TRIM(INDEX(Orçamentária!C:C,MATCH(Composições!A6212,Orçamentária!A:A,0),1))</f>
        <v>m3</v>
      </c>
      <c r="E6212" s="26"/>
      <c r="F6212" s="48" t="s">
        <v>514</v>
      </c>
      <c r="G6212" s="27" t="str">
        <f t="shared" ref="G6212:G6219" si="118">IF(ISNUMBER(F6212),E6212*F6212,"")</f>
        <v/>
      </c>
      <c r="H6212" s="28"/>
      <c r="I6212" s="29"/>
      <c r="J6212" s="148">
        <v>0</v>
      </c>
      <c r="K6212" s="222">
        <v>0</v>
      </c>
    </row>
    <row r="6213" spans="1:11" hidden="1" x14ac:dyDescent="0.25">
      <c r="A6213" s="207"/>
      <c r="B6213" s="205"/>
      <c r="C6213" s="31"/>
      <c r="D6213" s="31"/>
      <c r="E6213" s="32"/>
      <c r="F6213" s="53" t="s">
        <v>514</v>
      </c>
      <c r="G6213" s="53" t="str">
        <f t="shared" si="118"/>
        <v/>
      </c>
      <c r="H6213" s="72"/>
      <c r="I6213" s="73"/>
      <c r="J6213" s="148">
        <v>0</v>
      </c>
      <c r="K6213" s="222">
        <v>0</v>
      </c>
    </row>
    <row r="6214" spans="1:11" ht="25.5" hidden="1" x14ac:dyDescent="0.25">
      <c r="A6214" s="207"/>
      <c r="B6214" s="205"/>
      <c r="C6214" s="35" t="s">
        <v>3197</v>
      </c>
      <c r="D6214" s="35" t="s">
        <v>119</v>
      </c>
      <c r="E6214" s="36">
        <v>1.103</v>
      </c>
      <c r="F6214" s="30">
        <v>580.88031832376998</v>
      </c>
      <c r="G6214" s="53">
        <f t="shared" si="118"/>
        <v>640.71099111111823</v>
      </c>
      <c r="H6214" s="38">
        <f>SUM(G6214:G6219)</f>
        <v>915.01033361111831</v>
      </c>
      <c r="I6214" s="39"/>
      <c r="J6214" s="148">
        <v>0</v>
      </c>
      <c r="K6214" s="222">
        <v>0</v>
      </c>
    </row>
    <row r="6215" spans="1:11" hidden="1" x14ac:dyDescent="0.25">
      <c r="A6215" s="207"/>
      <c r="B6215" s="205"/>
      <c r="C6215" s="35" t="s">
        <v>983</v>
      </c>
      <c r="D6215" s="35" t="s">
        <v>695</v>
      </c>
      <c r="E6215" s="36">
        <v>1.19</v>
      </c>
      <c r="F6215" s="30">
        <v>24.633499999999998</v>
      </c>
      <c r="G6215" s="53">
        <f t="shared" si="118"/>
        <v>29.313864999999996</v>
      </c>
      <c r="H6215" s="43"/>
      <c r="I6215" s="39"/>
      <c r="J6215" s="148">
        <v>0</v>
      </c>
      <c r="K6215" s="222">
        <v>0</v>
      </c>
    </row>
    <row r="6216" spans="1:11" hidden="1" x14ac:dyDescent="0.25">
      <c r="A6216" s="207"/>
      <c r="B6216" s="205"/>
      <c r="C6216" s="35" t="s">
        <v>703</v>
      </c>
      <c r="D6216" s="35" t="s">
        <v>695</v>
      </c>
      <c r="E6216" s="36">
        <v>3.5710000000000002</v>
      </c>
      <c r="F6216" s="30">
        <v>24.889999999999997</v>
      </c>
      <c r="G6216" s="53">
        <f t="shared" si="118"/>
        <v>88.882189999999994</v>
      </c>
      <c r="H6216" s="43"/>
      <c r="I6216" s="39"/>
      <c r="J6216" s="148">
        <v>0</v>
      </c>
      <c r="K6216" s="222">
        <v>0</v>
      </c>
    </row>
    <row r="6217" spans="1:11" hidden="1" x14ac:dyDescent="0.25">
      <c r="A6217" s="207"/>
      <c r="B6217" s="205"/>
      <c r="C6217" s="35" t="s">
        <v>696</v>
      </c>
      <c r="D6217" s="35" t="s">
        <v>695</v>
      </c>
      <c r="E6217" s="36">
        <v>8.407</v>
      </c>
      <c r="F6217" s="30">
        <v>18.420500000000001</v>
      </c>
      <c r="G6217" s="53">
        <f t="shared" si="118"/>
        <v>154.8611435</v>
      </c>
      <c r="H6217" s="43"/>
      <c r="I6217" s="39"/>
      <c r="J6217" s="148">
        <v>0</v>
      </c>
      <c r="K6217" s="222">
        <v>0</v>
      </c>
    </row>
    <row r="6218" spans="1:11" ht="25.5" hidden="1" x14ac:dyDescent="0.25">
      <c r="A6218" s="207"/>
      <c r="B6218" s="205"/>
      <c r="C6218" s="35" t="s">
        <v>1144</v>
      </c>
      <c r="D6218" s="35" t="s">
        <v>932</v>
      </c>
      <c r="E6218" s="36">
        <v>0.94199999999999995</v>
      </c>
      <c r="F6218" s="30">
        <v>1.1779999999999999</v>
      </c>
      <c r="G6218" s="53">
        <f t="shared" si="118"/>
        <v>1.1096759999999999</v>
      </c>
      <c r="H6218" s="43"/>
      <c r="I6218" s="39"/>
      <c r="J6218" s="148">
        <v>0</v>
      </c>
      <c r="K6218" s="222">
        <v>0</v>
      </c>
    </row>
    <row r="6219" spans="1:11" ht="25.5" hidden="1" x14ac:dyDescent="0.25">
      <c r="A6219" s="207"/>
      <c r="B6219" s="205"/>
      <c r="C6219" s="35" t="s">
        <v>1145</v>
      </c>
      <c r="D6219" s="35" t="s">
        <v>934</v>
      </c>
      <c r="E6219" s="36">
        <v>0.249</v>
      </c>
      <c r="F6219" s="30">
        <v>0.53200000000000003</v>
      </c>
      <c r="G6219" s="53">
        <f t="shared" si="118"/>
        <v>0.132468</v>
      </c>
      <c r="H6219" s="43"/>
      <c r="I6219" s="39"/>
      <c r="J6219" s="148">
        <v>0</v>
      </c>
      <c r="K6219" s="222">
        <v>0</v>
      </c>
    </row>
    <row r="6220" spans="1:11" ht="15.75" hidden="1" thickBot="1" x14ac:dyDescent="0.3">
      <c r="A6220" s="208"/>
      <c r="B6220" s="206"/>
      <c r="C6220" s="35"/>
      <c r="D6220" s="35"/>
      <c r="E6220" s="36"/>
      <c r="F6220" s="30" t="s">
        <v>514</v>
      </c>
      <c r="G6220" s="53"/>
      <c r="H6220" s="43"/>
      <c r="I6220" s="39"/>
      <c r="J6220" s="148">
        <v>0</v>
      </c>
      <c r="K6220" s="222">
        <v>0</v>
      </c>
    </row>
    <row r="6221" spans="1:11" ht="15.75" hidden="1" thickBot="1" x14ac:dyDescent="0.3">
      <c r="A6221" s="202" t="s">
        <v>6211</v>
      </c>
      <c r="B6221" s="204" t="str">
        <f>INDEX(Orçamentária!A:B,MATCH(Composições!A6221,Orçamentária!A:A,0),2)</f>
        <v>Furo em concreto de até 40mm de diâmetro</v>
      </c>
      <c r="C6221" s="40"/>
      <c r="D6221" s="25" t="str">
        <f>TRIM(INDEX(Orçamentária!C:C,MATCH(Composições!A6221,Orçamentária!A:A,0),1))</f>
        <v>un</v>
      </c>
      <c r="E6221" s="26"/>
      <c r="F6221" s="48" t="s">
        <v>514</v>
      </c>
      <c r="G6221" s="27" t="str">
        <f t="shared" ref="G6221:G6226" si="119">IF(ISNUMBER(F6221),E6221*F6221,"")</f>
        <v/>
      </c>
      <c r="H6221" s="28"/>
      <c r="I6221" s="29"/>
      <c r="J6221" s="148">
        <v>0</v>
      </c>
      <c r="K6221" s="222">
        <v>0</v>
      </c>
    </row>
    <row r="6222" spans="1:11" hidden="1" x14ac:dyDescent="0.25">
      <c r="A6222" s="207"/>
      <c r="B6222" s="205"/>
      <c r="C6222" s="31"/>
      <c r="D6222" s="31"/>
      <c r="E6222" s="32"/>
      <c r="F6222" s="53" t="s">
        <v>514</v>
      </c>
      <c r="G6222" s="53" t="str">
        <f t="shared" si="119"/>
        <v/>
      </c>
      <c r="H6222" s="72"/>
      <c r="I6222" s="73"/>
      <c r="J6222" s="148">
        <v>0</v>
      </c>
      <c r="K6222" s="222">
        <v>0</v>
      </c>
    </row>
    <row r="6223" spans="1:11" ht="25.5" hidden="1" x14ac:dyDescent="0.25">
      <c r="A6223" s="207"/>
      <c r="B6223" s="205"/>
      <c r="C6223" s="35" t="s">
        <v>1099</v>
      </c>
      <c r="D6223" s="35" t="s">
        <v>932</v>
      </c>
      <c r="E6223" s="36">
        <v>0.36699999999999999</v>
      </c>
      <c r="F6223" s="30">
        <v>22.001999999999999</v>
      </c>
      <c r="G6223" s="53">
        <f t="shared" si="119"/>
        <v>8.0747339999999994</v>
      </c>
      <c r="H6223" s="38">
        <f>SUM(G6223:G6226)</f>
        <v>56.790268499999996</v>
      </c>
      <c r="I6223" s="39"/>
      <c r="J6223" s="148">
        <v>0</v>
      </c>
      <c r="K6223" s="222">
        <v>0</v>
      </c>
    </row>
    <row r="6224" spans="1:11" ht="25.5" hidden="1" x14ac:dyDescent="0.25">
      <c r="A6224" s="207"/>
      <c r="B6224" s="205"/>
      <c r="C6224" s="35" t="s">
        <v>1100</v>
      </c>
      <c r="D6224" s="35" t="s">
        <v>934</v>
      </c>
      <c r="E6224" s="36">
        <v>0.80500000000000005</v>
      </c>
      <c r="F6224" s="30">
        <v>20.795500000000001</v>
      </c>
      <c r="G6224" s="53">
        <f t="shared" si="119"/>
        <v>16.740377500000001</v>
      </c>
      <c r="H6224" s="43"/>
      <c r="I6224" s="39"/>
      <c r="J6224" s="148">
        <v>0</v>
      </c>
      <c r="K6224" s="222">
        <v>0</v>
      </c>
    </row>
    <row r="6225" spans="1:11" ht="25.5" hidden="1" x14ac:dyDescent="0.25">
      <c r="A6225" s="207"/>
      <c r="B6225" s="205"/>
      <c r="C6225" s="35" t="s">
        <v>943</v>
      </c>
      <c r="D6225" s="35" t="s">
        <v>695</v>
      </c>
      <c r="E6225" s="36">
        <v>0.183</v>
      </c>
      <c r="F6225" s="30">
        <v>19.094999999999999</v>
      </c>
      <c r="G6225" s="53">
        <f t="shared" si="119"/>
        <v>3.4943849999999999</v>
      </c>
      <c r="H6225" s="43"/>
      <c r="I6225" s="39"/>
      <c r="J6225" s="148">
        <v>0</v>
      </c>
      <c r="K6225" s="222">
        <v>0</v>
      </c>
    </row>
    <row r="6226" spans="1:11" ht="25.5" hidden="1" x14ac:dyDescent="0.25">
      <c r="A6226" s="207"/>
      <c r="B6226" s="205"/>
      <c r="C6226" s="35" t="s">
        <v>944</v>
      </c>
      <c r="D6226" s="35" t="s">
        <v>695</v>
      </c>
      <c r="E6226" s="36">
        <v>1.1719999999999999</v>
      </c>
      <c r="F6226" s="30">
        <v>24.300999999999998</v>
      </c>
      <c r="G6226" s="53">
        <f t="shared" si="119"/>
        <v>28.480771999999995</v>
      </c>
      <c r="H6226" s="43"/>
      <c r="I6226" s="39"/>
      <c r="J6226" s="148">
        <v>0</v>
      </c>
      <c r="K6226" s="222">
        <v>0</v>
      </c>
    </row>
    <row r="6227" spans="1:11" ht="15.75" hidden="1" thickBot="1" x14ac:dyDescent="0.3">
      <c r="A6227" s="208"/>
      <c r="B6227" s="206"/>
      <c r="C6227" s="35"/>
      <c r="D6227" s="35"/>
      <c r="E6227" s="36"/>
      <c r="F6227" s="30" t="s">
        <v>514</v>
      </c>
      <c r="G6227" s="53"/>
      <c r="H6227" s="43"/>
      <c r="I6227" s="39"/>
      <c r="J6227" s="148">
        <v>0</v>
      </c>
      <c r="K6227" s="222">
        <v>0</v>
      </c>
    </row>
    <row r="6228" spans="1:11" ht="15.75" hidden="1" thickBot="1" x14ac:dyDescent="0.3">
      <c r="A6228" s="202" t="s">
        <v>6212</v>
      </c>
      <c r="B6228" s="210" t="str">
        <f>INDEX(Orçamentária!A:B,MATCH(Composições!A6228,Orçamentária!A:A,0),2)</f>
        <v>Adesivo Estrutural Epóxi Bicomponente – fornecimento e aplicação</v>
      </c>
      <c r="C6228" s="40"/>
      <c r="D6228" s="25" t="str">
        <f>TRIM(INDEX(Orçamentária!C:C,MATCH(Composições!A6228,Orçamentária!A:A,0),1))</f>
        <v>m2</v>
      </c>
      <c r="E6228" s="26"/>
      <c r="F6228" s="48" t="s">
        <v>514</v>
      </c>
      <c r="G6228" s="27" t="str">
        <f>IF(ISNUMBER(F6228),E6228*F6228,"")</f>
        <v/>
      </c>
      <c r="H6228" s="28"/>
      <c r="I6228" s="29"/>
      <c r="J6228" s="148">
        <v>0</v>
      </c>
      <c r="K6228" s="222">
        <v>0</v>
      </c>
    </row>
    <row r="6229" spans="1:11" hidden="1" x14ac:dyDescent="0.25">
      <c r="A6229" s="207"/>
      <c r="B6229" s="211"/>
      <c r="C6229" s="31"/>
      <c r="D6229" s="31"/>
      <c r="E6229" s="32"/>
      <c r="F6229" s="53" t="s">
        <v>514</v>
      </c>
      <c r="G6229" s="53" t="str">
        <f>IF(ISNUMBER(F6229),E6229*F6229,"")</f>
        <v/>
      </c>
      <c r="H6229" s="72"/>
      <c r="I6229" s="73"/>
      <c r="J6229" s="148">
        <v>0</v>
      </c>
      <c r="K6229" s="222">
        <v>0</v>
      </c>
    </row>
    <row r="6230" spans="1:11" hidden="1" x14ac:dyDescent="0.25">
      <c r="A6230" s="207"/>
      <c r="B6230" s="211"/>
      <c r="C6230" s="35" t="s">
        <v>703</v>
      </c>
      <c r="D6230" s="35" t="s">
        <v>695</v>
      </c>
      <c r="E6230" s="36">
        <v>0.2</v>
      </c>
      <c r="F6230" s="30">
        <v>24.889999999999997</v>
      </c>
      <c r="G6230" s="53">
        <f>IF(ISNUMBER(F6230),E6230*F6230,"")</f>
        <v>4.9779999999999998</v>
      </c>
      <c r="H6230" s="38">
        <f>SUM(G6230:G6232)</f>
        <v>65.766599999999997</v>
      </c>
      <c r="I6230" s="39"/>
      <c r="J6230" s="148">
        <v>0</v>
      </c>
      <c r="K6230" s="222">
        <v>0</v>
      </c>
    </row>
    <row r="6231" spans="1:11" hidden="1" x14ac:dyDescent="0.25">
      <c r="A6231" s="207"/>
      <c r="B6231" s="211"/>
      <c r="C6231" s="35" t="s">
        <v>696</v>
      </c>
      <c r="D6231" s="35" t="s">
        <v>695</v>
      </c>
      <c r="E6231" s="36">
        <v>0.2</v>
      </c>
      <c r="F6231" s="30">
        <v>18.420500000000001</v>
      </c>
      <c r="G6231" s="53">
        <f>IF(ISNUMBER(F6231),E6231*F6231,"")</f>
        <v>3.6841000000000004</v>
      </c>
      <c r="H6231" s="43"/>
      <c r="I6231" s="39"/>
      <c r="J6231" s="148">
        <v>0</v>
      </c>
      <c r="K6231" s="222">
        <v>0</v>
      </c>
    </row>
    <row r="6232" spans="1:11" ht="25.5" hidden="1" x14ac:dyDescent="0.25">
      <c r="A6232" s="207"/>
      <c r="B6232" s="211"/>
      <c r="C6232" s="35" t="s">
        <v>3228</v>
      </c>
      <c r="D6232" s="35" t="s">
        <v>42</v>
      </c>
      <c r="E6232" s="36">
        <v>1</v>
      </c>
      <c r="F6232" s="30">
        <v>57.104499999999994</v>
      </c>
      <c r="G6232" s="53">
        <f>IF(ISNUMBER(F6232),E6232*F6232,"")</f>
        <v>57.104499999999994</v>
      </c>
      <c r="H6232" s="43"/>
      <c r="I6232" s="39"/>
      <c r="J6232" s="148">
        <v>0</v>
      </c>
      <c r="K6232" s="222">
        <v>0</v>
      </c>
    </row>
    <row r="6233" spans="1:11" ht="15.75" hidden="1" thickBot="1" x14ac:dyDescent="0.3">
      <c r="A6233" s="208"/>
      <c r="B6233" s="212"/>
      <c r="C6233" s="35"/>
      <c r="D6233" s="35"/>
      <c r="E6233" s="36"/>
      <c r="F6233" s="30" t="s">
        <v>514</v>
      </c>
      <c r="G6233" s="53"/>
      <c r="H6233" s="43"/>
      <c r="I6233" s="39"/>
      <c r="J6233" s="148">
        <v>0</v>
      </c>
      <c r="K6233" s="222">
        <v>0</v>
      </c>
    </row>
    <row r="6234" spans="1:11" ht="15.75" hidden="1" thickBot="1" x14ac:dyDescent="0.3">
      <c r="A6234" s="202" t="s">
        <v>6213</v>
      </c>
      <c r="B6234" s="204" t="str">
        <f>INDEX(Orçamentária!A:B,MATCH(Composições!A6234,Orçamentária!A:A,0),2)</f>
        <v>Estaca escavada manualmente de diâmetro 30cm</v>
      </c>
      <c r="C6234" s="40"/>
      <c r="D6234" s="25" t="str">
        <f>TRIM(INDEX(Orçamentária!C:C,MATCH(Composições!A6234,Orçamentária!A:A,0),1))</f>
        <v>m</v>
      </c>
      <c r="E6234" s="26"/>
      <c r="F6234" s="48" t="s">
        <v>514</v>
      </c>
      <c r="G6234" s="27" t="str">
        <f t="shared" ref="G6234:G6239" si="120">IF(ISNUMBER(F6234),E6234*F6234,"")</f>
        <v/>
      </c>
      <c r="H6234" s="28"/>
      <c r="I6234" s="29"/>
      <c r="J6234" s="148">
        <v>0</v>
      </c>
      <c r="K6234" s="222">
        <v>0</v>
      </c>
    </row>
    <row r="6235" spans="1:11" hidden="1" x14ac:dyDescent="0.25">
      <c r="A6235" s="207"/>
      <c r="B6235" s="205"/>
      <c r="C6235" s="31"/>
      <c r="D6235" s="31"/>
      <c r="E6235" s="32"/>
      <c r="F6235" s="53" t="s">
        <v>514</v>
      </c>
      <c r="G6235" s="53" t="str">
        <f t="shared" si="120"/>
        <v/>
      </c>
      <c r="H6235" s="72"/>
      <c r="I6235" s="73"/>
      <c r="J6235" s="148">
        <v>0</v>
      </c>
      <c r="K6235" s="222">
        <v>0</v>
      </c>
    </row>
    <row r="6236" spans="1:11" hidden="1" x14ac:dyDescent="0.25">
      <c r="A6236" s="207"/>
      <c r="B6236" s="205"/>
      <c r="C6236" s="35" t="s">
        <v>703</v>
      </c>
      <c r="D6236" s="35" t="s">
        <v>695</v>
      </c>
      <c r="E6236" s="36">
        <v>1.103</v>
      </c>
      <c r="F6236" s="30">
        <v>24.889999999999997</v>
      </c>
      <c r="G6236" s="53">
        <f t="shared" si="120"/>
        <v>27.453669999999995</v>
      </c>
      <c r="H6236" s="38">
        <f>SUM(G6236:G6239)</f>
        <v>122.94483158284422</v>
      </c>
      <c r="I6236" s="39"/>
      <c r="J6236" s="148">
        <v>0</v>
      </c>
      <c r="K6236" s="222">
        <v>0</v>
      </c>
    </row>
    <row r="6237" spans="1:11" hidden="1" x14ac:dyDescent="0.25">
      <c r="A6237" s="207"/>
      <c r="B6237" s="205"/>
      <c r="C6237" s="35" t="s">
        <v>696</v>
      </c>
      <c r="D6237" s="35" t="s">
        <v>695</v>
      </c>
      <c r="E6237" s="36">
        <v>1.33</v>
      </c>
      <c r="F6237" s="30">
        <v>18.420500000000001</v>
      </c>
      <c r="G6237" s="53">
        <f t="shared" si="120"/>
        <v>24.499265000000001</v>
      </c>
      <c r="H6237" s="43"/>
      <c r="I6237" s="39"/>
      <c r="J6237" s="148">
        <v>0</v>
      </c>
      <c r="K6237" s="222">
        <v>0</v>
      </c>
    </row>
    <row r="6238" spans="1:11" hidden="1" x14ac:dyDescent="0.25">
      <c r="A6238" s="207"/>
      <c r="B6238" s="205"/>
      <c r="C6238" s="35" t="s">
        <v>8007</v>
      </c>
      <c r="D6238" s="35" t="s">
        <v>891</v>
      </c>
      <c r="E6238" s="36">
        <v>2.1230000000000002</v>
      </c>
      <c r="F6238" s="30">
        <v>9.908709</v>
      </c>
      <c r="G6238" s="53">
        <f t="shared" si="120"/>
        <v>21.036189207000003</v>
      </c>
      <c r="H6238" s="43"/>
      <c r="I6238" s="39"/>
      <c r="J6238" s="148">
        <v>0</v>
      </c>
      <c r="K6238" s="222">
        <v>0</v>
      </c>
    </row>
    <row r="6239" spans="1:11" ht="38.25" hidden="1" x14ac:dyDescent="0.25">
      <c r="A6239" s="207"/>
      <c r="B6239" s="205"/>
      <c r="C6239" s="35" t="s">
        <v>6590</v>
      </c>
      <c r="D6239" s="35" t="s">
        <v>119</v>
      </c>
      <c r="E6239" s="36">
        <v>8.5999999999999993E-2</v>
      </c>
      <c r="F6239" s="30">
        <v>580.88031832376998</v>
      </c>
      <c r="G6239" s="53">
        <f t="shared" si="120"/>
        <v>49.955707375844213</v>
      </c>
      <c r="H6239" s="43"/>
      <c r="I6239" s="39"/>
      <c r="J6239" s="148">
        <v>0</v>
      </c>
      <c r="K6239" s="222">
        <v>0</v>
      </c>
    </row>
    <row r="6240" spans="1:11" ht="15.75" hidden="1" thickBot="1" x14ac:dyDescent="0.3">
      <c r="A6240" s="208"/>
      <c r="B6240" s="206"/>
      <c r="C6240" s="35"/>
      <c r="D6240" s="35"/>
      <c r="E6240" s="36"/>
      <c r="F6240" s="30" t="s">
        <v>514</v>
      </c>
      <c r="G6240" s="53"/>
      <c r="H6240" s="43"/>
      <c r="I6240" s="39"/>
      <c r="J6240" s="148">
        <v>0</v>
      </c>
      <c r="K6240" s="222">
        <v>0</v>
      </c>
    </row>
    <row r="6241" spans="1:11" ht="15.75" hidden="1" thickBot="1" x14ac:dyDescent="0.3">
      <c r="A6241" s="202" t="s">
        <v>6214</v>
      </c>
      <c r="B6241" s="204" t="str">
        <f>INDEX(Orçamentária!A:B,MATCH(Composições!A6241,Orçamentária!A:A,0),2)</f>
        <v>Arrasamento mecânico de estacas de concreto armado com diâmetros de até 40cm</v>
      </c>
      <c r="C6241" s="40"/>
      <c r="D6241" s="25" t="str">
        <f>TRIM(INDEX(Orçamentária!C:C,MATCH(Composições!A6241,Orçamentária!A:A,0),1))</f>
        <v>un</v>
      </c>
      <c r="E6241" s="26"/>
      <c r="F6241" s="48" t="s">
        <v>514</v>
      </c>
      <c r="G6241" s="27" t="str">
        <f>IF(ISNUMBER(F6241),E6241*F6241,"")</f>
        <v/>
      </c>
      <c r="H6241" s="28"/>
      <c r="I6241" s="29"/>
      <c r="J6241" s="148">
        <v>0</v>
      </c>
      <c r="K6241" s="222">
        <v>0</v>
      </c>
    </row>
    <row r="6242" spans="1:11" hidden="1" x14ac:dyDescent="0.25">
      <c r="A6242" s="207"/>
      <c r="B6242" s="205"/>
      <c r="C6242" s="31"/>
      <c r="D6242" s="31"/>
      <c r="E6242" s="32"/>
      <c r="F6242" s="53" t="s">
        <v>514</v>
      </c>
      <c r="G6242" s="53" t="str">
        <f>IF(ISNUMBER(F6242),E6242*F6242,"")</f>
        <v/>
      </c>
      <c r="H6242" s="72"/>
      <c r="I6242" s="73"/>
      <c r="J6242" s="148">
        <v>0</v>
      </c>
      <c r="K6242" s="222">
        <v>0</v>
      </c>
    </row>
    <row r="6243" spans="1:11" hidden="1" x14ac:dyDescent="0.25">
      <c r="A6243" s="207"/>
      <c r="B6243" s="205"/>
      <c r="C6243" s="35" t="s">
        <v>696</v>
      </c>
      <c r="D6243" s="35" t="s">
        <v>695</v>
      </c>
      <c r="E6243" s="36">
        <v>0.36299999999999999</v>
      </c>
      <c r="F6243" s="30">
        <v>18.420500000000001</v>
      </c>
      <c r="G6243" s="53">
        <f>IF(ISNUMBER(F6243),E6243*F6243,"")</f>
        <v>6.6866415000000003</v>
      </c>
      <c r="H6243" s="38">
        <f>SUM(G6243:G6245)</f>
        <v>14.24464865</v>
      </c>
      <c r="I6243" s="39"/>
      <c r="J6243" s="148">
        <v>0</v>
      </c>
      <c r="K6243" s="222">
        <v>0</v>
      </c>
    </row>
    <row r="6244" spans="1:11" ht="25.5" hidden="1" x14ac:dyDescent="0.25">
      <c r="A6244" s="207"/>
      <c r="B6244" s="205"/>
      <c r="C6244" s="35" t="s">
        <v>3739</v>
      </c>
      <c r="D6244" s="35" t="s">
        <v>934</v>
      </c>
      <c r="E6244" s="36">
        <v>0.20030000000000001</v>
      </c>
      <c r="F6244" s="30">
        <v>20.177999999999997</v>
      </c>
      <c r="G6244" s="53">
        <f>IF(ISNUMBER(F6244),E6244*F6244,"")</f>
        <v>4.0416533999999995</v>
      </c>
      <c r="H6244" s="43"/>
      <c r="I6244" s="39"/>
      <c r="J6244" s="148">
        <v>0</v>
      </c>
      <c r="K6244" s="222">
        <v>0</v>
      </c>
    </row>
    <row r="6245" spans="1:11" ht="25.5" hidden="1" x14ac:dyDescent="0.25">
      <c r="A6245" s="207"/>
      <c r="B6245" s="205"/>
      <c r="C6245" s="35" t="s">
        <v>3738</v>
      </c>
      <c r="D6245" s="35" t="s">
        <v>932</v>
      </c>
      <c r="E6245" s="36">
        <v>0.16270000000000001</v>
      </c>
      <c r="F6245" s="30">
        <v>21.612500000000001</v>
      </c>
      <c r="G6245" s="53">
        <f>IF(ISNUMBER(F6245),E6245*F6245,"")</f>
        <v>3.5163537500000004</v>
      </c>
      <c r="H6245" s="43"/>
      <c r="I6245" s="39"/>
      <c r="J6245" s="148">
        <v>0</v>
      </c>
      <c r="K6245" s="222">
        <v>0</v>
      </c>
    </row>
    <row r="6246" spans="1:11" ht="15.75" hidden="1" thickBot="1" x14ac:dyDescent="0.3">
      <c r="A6246" s="208"/>
      <c r="B6246" s="206"/>
      <c r="C6246" s="35"/>
      <c r="D6246" s="35"/>
      <c r="E6246" s="36"/>
      <c r="F6246" s="30" t="s">
        <v>514</v>
      </c>
      <c r="G6246" s="53"/>
      <c r="H6246" s="43"/>
      <c r="I6246" s="39"/>
      <c r="J6246" s="148">
        <v>0</v>
      </c>
      <c r="K6246" s="222">
        <v>0</v>
      </c>
    </row>
    <row r="6247" spans="1:11" ht="15.75" hidden="1" thickBot="1" x14ac:dyDescent="0.3">
      <c r="A6247" s="202" t="s">
        <v>6215</v>
      </c>
      <c r="B6247" s="204" t="str">
        <f>INDEX(Orçamentária!A:B,MATCH(Composições!A6247,Orçamentária!A:A,0),2)</f>
        <v>Quadro 400x300x200 mm – fornecimento e instalação</v>
      </c>
      <c r="C6247" s="40"/>
      <c r="D6247" s="25" t="str">
        <f>TRIM(INDEX(Orçamentária!C:C,MATCH(Composições!A6247,Orçamentária!A:A,0),1))</f>
        <v>un</v>
      </c>
      <c r="E6247" s="26"/>
      <c r="F6247" s="48" t="s">
        <v>514</v>
      </c>
      <c r="G6247" s="27" t="str">
        <f>IF(ISNUMBER(F6247),E6247*F6247,"")</f>
        <v/>
      </c>
      <c r="H6247" s="28"/>
      <c r="I6247" s="29"/>
      <c r="J6247" s="148">
        <v>0</v>
      </c>
      <c r="K6247" s="222">
        <v>0</v>
      </c>
    </row>
    <row r="6248" spans="1:11" hidden="1" x14ac:dyDescent="0.25">
      <c r="A6248" s="207"/>
      <c r="B6248" s="205"/>
      <c r="C6248" s="31"/>
      <c r="D6248" s="31"/>
      <c r="E6248" s="32"/>
      <c r="F6248" s="53" t="s">
        <v>514</v>
      </c>
      <c r="G6248" s="53" t="str">
        <f>IF(ISNUMBER(F6248),E6248*F6248,"")</f>
        <v/>
      </c>
      <c r="H6248" s="72"/>
      <c r="I6248" s="73"/>
      <c r="J6248" s="148">
        <v>0</v>
      </c>
      <c r="K6248" s="222">
        <v>0</v>
      </c>
    </row>
    <row r="6249" spans="1:11" ht="38.25" hidden="1" x14ac:dyDescent="0.25">
      <c r="A6249" s="207"/>
      <c r="B6249" s="205"/>
      <c r="C6249" s="35" t="s">
        <v>3335</v>
      </c>
      <c r="D6249" s="35" t="s">
        <v>278</v>
      </c>
      <c r="E6249" s="36">
        <v>1</v>
      </c>
      <c r="F6249" s="30" t="s">
        <v>514</v>
      </c>
      <c r="G6249" s="53" t="str">
        <f>IF(ISNUMBER(F6249),E6249*F6249,"")</f>
        <v/>
      </c>
      <c r="H6249" s="38">
        <f>SUM(G6249:G6251)</f>
        <v>67.870631500000002</v>
      </c>
      <c r="I6249" s="39"/>
      <c r="J6249" s="148">
        <v>0</v>
      </c>
      <c r="K6249" s="222">
        <v>0</v>
      </c>
    </row>
    <row r="6250" spans="1:11" hidden="1" x14ac:dyDescent="0.25">
      <c r="A6250" s="207"/>
      <c r="B6250" s="205"/>
      <c r="C6250" s="35" t="s">
        <v>1150</v>
      </c>
      <c r="D6250" s="35" t="s">
        <v>695</v>
      </c>
      <c r="E6250" s="36">
        <v>1.5233000000000001</v>
      </c>
      <c r="F6250" s="30">
        <v>19.4085</v>
      </c>
      <c r="G6250" s="53">
        <f>IF(ISNUMBER(F6250),E6250*F6250,"")</f>
        <v>29.564968050000001</v>
      </c>
      <c r="H6250" s="43"/>
      <c r="I6250" s="39"/>
      <c r="J6250" s="148">
        <v>0</v>
      </c>
      <c r="K6250" s="222">
        <v>0</v>
      </c>
    </row>
    <row r="6251" spans="1:11" hidden="1" x14ac:dyDescent="0.25">
      <c r="A6251" s="207"/>
      <c r="B6251" s="205"/>
      <c r="C6251" s="35" t="s">
        <v>1151</v>
      </c>
      <c r="D6251" s="35" t="s">
        <v>695</v>
      </c>
      <c r="E6251" s="36">
        <v>1.5233000000000001</v>
      </c>
      <c r="F6251" s="30">
        <v>25.146499999999996</v>
      </c>
      <c r="G6251" s="53">
        <f>IF(ISNUMBER(F6251),E6251*F6251,"")</f>
        <v>38.305663449999997</v>
      </c>
      <c r="H6251" s="43"/>
      <c r="I6251" s="39"/>
      <c r="J6251" s="148">
        <v>0</v>
      </c>
      <c r="K6251" s="222">
        <v>0</v>
      </c>
    </row>
    <row r="6252" spans="1:11" ht="15.75" hidden="1" thickBot="1" x14ac:dyDescent="0.3">
      <c r="A6252" s="208"/>
      <c r="B6252" s="206"/>
      <c r="C6252" s="35"/>
      <c r="D6252" s="35"/>
      <c r="E6252" s="36"/>
      <c r="F6252" s="30" t="s">
        <v>514</v>
      </c>
      <c r="G6252" s="53"/>
      <c r="H6252" s="43"/>
      <c r="I6252" s="39"/>
      <c r="J6252" s="148">
        <v>0</v>
      </c>
      <c r="K6252" s="222">
        <v>0</v>
      </c>
    </row>
    <row r="6253" spans="1:11" ht="15.75" hidden="1" thickBot="1" x14ac:dyDescent="0.3">
      <c r="A6253" s="202" t="s">
        <v>6216</v>
      </c>
      <c r="B6253" s="204" t="str">
        <f>INDEX(Orçamentária!A:B,MATCH(Composições!A6253,Orçamentária!A:A,0),2)</f>
        <v>Concreto Usinado, fck = 25MPa</v>
      </c>
      <c r="C6253" s="40"/>
      <c r="D6253" s="25" t="str">
        <f>TRIM(INDEX(Orçamentária!C:C,MATCH(Composições!A6253,Orçamentária!A:A,0),1))</f>
        <v>m3</v>
      </c>
      <c r="E6253" s="26"/>
      <c r="F6253" s="48" t="s">
        <v>514</v>
      </c>
      <c r="G6253" s="27" t="str">
        <f t="shared" ref="G6253:G6260" si="121">IF(ISNUMBER(F6253),E6253*F6253,"")</f>
        <v/>
      </c>
      <c r="H6253" s="28"/>
      <c r="I6253" s="29"/>
      <c r="J6253" s="148">
        <v>0</v>
      </c>
      <c r="K6253" s="222">
        <v>0</v>
      </c>
    </row>
    <row r="6254" spans="1:11" hidden="1" x14ac:dyDescent="0.25">
      <c r="A6254" s="207"/>
      <c r="B6254" s="205"/>
      <c r="C6254" s="31"/>
      <c r="D6254" s="31"/>
      <c r="E6254" s="32"/>
      <c r="F6254" s="53" t="s">
        <v>514</v>
      </c>
      <c r="G6254" s="53" t="str">
        <f t="shared" si="121"/>
        <v/>
      </c>
      <c r="H6254" s="72"/>
      <c r="I6254" s="73"/>
      <c r="J6254" s="148">
        <v>0</v>
      </c>
      <c r="K6254" s="222">
        <v>0</v>
      </c>
    </row>
    <row r="6255" spans="1:11" ht="38.25" hidden="1" x14ac:dyDescent="0.25">
      <c r="A6255" s="207"/>
      <c r="B6255" s="205"/>
      <c r="C6255" s="35" t="s">
        <v>3249</v>
      </c>
      <c r="D6255" s="35" t="s">
        <v>119</v>
      </c>
      <c r="E6255" s="36">
        <v>1.103</v>
      </c>
      <c r="F6255" s="30">
        <v>474.5915</v>
      </c>
      <c r="G6255" s="53">
        <f t="shared" si="121"/>
        <v>523.47442449999994</v>
      </c>
      <c r="H6255" s="38">
        <f>SUM(G6255:G6260)</f>
        <v>560.7221669999999</v>
      </c>
      <c r="I6255" s="39"/>
      <c r="J6255" s="148">
        <v>0</v>
      </c>
      <c r="K6255" s="222">
        <v>0</v>
      </c>
    </row>
    <row r="6256" spans="1:11" hidden="1" x14ac:dyDescent="0.25">
      <c r="A6256" s="207"/>
      <c r="B6256" s="205"/>
      <c r="C6256" s="35" t="s">
        <v>983</v>
      </c>
      <c r="D6256" s="35" t="s">
        <v>695</v>
      </c>
      <c r="E6256" s="36">
        <v>0.125</v>
      </c>
      <c r="F6256" s="30">
        <v>24.633499999999998</v>
      </c>
      <c r="G6256" s="53">
        <f t="shared" si="121"/>
        <v>3.0791874999999997</v>
      </c>
      <c r="H6256" s="43"/>
      <c r="I6256" s="39"/>
      <c r="J6256" s="148">
        <v>0</v>
      </c>
      <c r="K6256" s="222">
        <v>0</v>
      </c>
    </row>
    <row r="6257" spans="1:11" hidden="1" x14ac:dyDescent="0.25">
      <c r="A6257" s="207"/>
      <c r="B6257" s="205"/>
      <c r="C6257" s="35" t="s">
        <v>703</v>
      </c>
      <c r="D6257" s="35" t="s">
        <v>695</v>
      </c>
      <c r="E6257" s="36">
        <v>0.753</v>
      </c>
      <c r="F6257" s="30">
        <v>24.889999999999997</v>
      </c>
      <c r="G6257" s="53">
        <f t="shared" si="121"/>
        <v>18.742169999999998</v>
      </c>
      <c r="H6257" s="43"/>
      <c r="I6257" s="39"/>
      <c r="J6257" s="148">
        <v>0</v>
      </c>
      <c r="K6257" s="222">
        <v>0</v>
      </c>
    </row>
    <row r="6258" spans="1:11" hidden="1" x14ac:dyDescent="0.25">
      <c r="A6258" s="207"/>
      <c r="B6258" s="205"/>
      <c r="C6258" s="35" t="s">
        <v>696</v>
      </c>
      <c r="D6258" s="35" t="s">
        <v>695</v>
      </c>
      <c r="E6258" s="36">
        <v>0.82599999999999996</v>
      </c>
      <c r="F6258" s="30">
        <v>18.420500000000001</v>
      </c>
      <c r="G6258" s="53">
        <f t="shared" si="121"/>
        <v>15.215332999999999</v>
      </c>
      <c r="H6258" s="43"/>
      <c r="I6258" s="39"/>
      <c r="J6258" s="148">
        <v>0</v>
      </c>
      <c r="K6258" s="222">
        <v>0</v>
      </c>
    </row>
    <row r="6259" spans="1:11" ht="25.5" hidden="1" x14ac:dyDescent="0.25">
      <c r="A6259" s="207"/>
      <c r="B6259" s="205"/>
      <c r="C6259" s="35" t="s">
        <v>1144</v>
      </c>
      <c r="D6259" s="35" t="s">
        <v>932</v>
      </c>
      <c r="E6259" s="36">
        <v>0.12</v>
      </c>
      <c r="F6259" s="30">
        <v>1.1779999999999999</v>
      </c>
      <c r="G6259" s="53">
        <f t="shared" si="121"/>
        <v>0.14135999999999999</v>
      </c>
      <c r="H6259" s="43"/>
      <c r="I6259" s="39"/>
      <c r="J6259" s="148">
        <v>0</v>
      </c>
      <c r="K6259" s="222">
        <v>0</v>
      </c>
    </row>
    <row r="6260" spans="1:11" ht="25.5" hidden="1" x14ac:dyDescent="0.25">
      <c r="A6260" s="207"/>
      <c r="B6260" s="205"/>
      <c r="C6260" s="35" t="s">
        <v>1145</v>
      </c>
      <c r="D6260" s="35" t="s">
        <v>934</v>
      </c>
      <c r="E6260" s="36">
        <v>0.13100000000000001</v>
      </c>
      <c r="F6260" s="30">
        <v>0.53200000000000003</v>
      </c>
      <c r="G6260" s="53">
        <f t="shared" si="121"/>
        <v>6.9692000000000004E-2</v>
      </c>
      <c r="H6260" s="43"/>
      <c r="I6260" s="39"/>
      <c r="J6260" s="148">
        <v>0</v>
      </c>
      <c r="K6260" s="222">
        <v>0</v>
      </c>
    </row>
    <row r="6261" spans="1:11" ht="15.75" hidden="1" thickBot="1" x14ac:dyDescent="0.3">
      <c r="A6261" s="208"/>
      <c r="B6261" s="206"/>
      <c r="C6261" s="35"/>
      <c r="D6261" s="35"/>
      <c r="E6261" s="36"/>
      <c r="F6261" s="30" t="s">
        <v>514</v>
      </c>
      <c r="G6261" s="53"/>
      <c r="H6261" s="43"/>
      <c r="I6261" s="39"/>
      <c r="J6261" s="148">
        <v>0</v>
      </c>
      <c r="K6261" s="222">
        <v>0</v>
      </c>
    </row>
    <row r="6262" spans="1:11" ht="15.75" hidden="1" thickBot="1" x14ac:dyDescent="0.3">
      <c r="A6262" s="202" t="s">
        <v>6217</v>
      </c>
      <c r="B6262" s="204" t="str">
        <f>INDEX(Orçamentária!A:B,MATCH(Composições!A6262,Orçamentária!A:A,0),2)</f>
        <v>Estaca escavada mecanicamente - 40cm de diâmetro</v>
      </c>
      <c r="C6262" s="40"/>
      <c r="D6262" s="25" t="str">
        <f>TRIM(INDEX(Orçamentária!C:C,MATCH(Composições!A6262,Orçamentária!A:A,0),1))</f>
        <v>m</v>
      </c>
      <c r="E6262" s="26"/>
      <c r="F6262" s="48" t="s">
        <v>514</v>
      </c>
      <c r="G6262" s="27" t="str">
        <f t="shared" ref="G6262:G6271" si="122">IF(ISNUMBER(F6262),E6262*F6262,"")</f>
        <v/>
      </c>
      <c r="H6262" s="28"/>
      <c r="I6262" s="29"/>
      <c r="J6262" s="148">
        <v>0</v>
      </c>
      <c r="K6262" s="222">
        <v>0</v>
      </c>
    </row>
    <row r="6263" spans="1:11" hidden="1" x14ac:dyDescent="0.25">
      <c r="A6263" s="207"/>
      <c r="B6263" s="205"/>
      <c r="C6263" s="31"/>
      <c r="D6263" s="31"/>
      <c r="E6263" s="32"/>
      <c r="F6263" s="53" t="s">
        <v>514</v>
      </c>
      <c r="G6263" s="53" t="str">
        <f t="shared" si="122"/>
        <v/>
      </c>
      <c r="H6263" s="72"/>
      <c r="I6263" s="73"/>
      <c r="J6263" s="148">
        <v>0</v>
      </c>
      <c r="K6263" s="222">
        <v>0</v>
      </c>
    </row>
    <row r="6264" spans="1:11" ht="38.25" hidden="1" x14ac:dyDescent="0.25">
      <c r="A6264" s="207"/>
      <c r="B6264" s="205"/>
      <c r="C6264" s="35" t="s">
        <v>3250</v>
      </c>
      <c r="D6264" s="35" t="s">
        <v>119</v>
      </c>
      <c r="E6264" s="36">
        <v>0.1426</v>
      </c>
      <c r="F6264" s="30">
        <v>454.93599999999998</v>
      </c>
      <c r="G6264" s="53">
        <f t="shared" si="122"/>
        <v>64.873873599999996</v>
      </c>
      <c r="H6264" s="38">
        <f>SUM(G6264:G6271)</f>
        <v>109.22584792684498</v>
      </c>
      <c r="I6264" s="39"/>
      <c r="J6264" s="148">
        <v>0</v>
      </c>
      <c r="K6264" s="222">
        <v>0</v>
      </c>
    </row>
    <row r="6265" spans="1:11" hidden="1" x14ac:dyDescent="0.25">
      <c r="A6265" s="207"/>
      <c r="B6265" s="205"/>
      <c r="C6265" s="35" t="s">
        <v>696</v>
      </c>
      <c r="D6265" s="35" t="s">
        <v>695</v>
      </c>
      <c r="E6265" s="36">
        <v>0.27950000000000003</v>
      </c>
      <c r="F6265" s="30">
        <v>18.420500000000001</v>
      </c>
      <c r="G6265" s="53">
        <f t="shared" si="122"/>
        <v>5.1485297500000007</v>
      </c>
      <c r="H6265" s="43"/>
      <c r="I6265" s="39"/>
      <c r="J6265" s="148">
        <v>0</v>
      </c>
      <c r="K6265" s="222">
        <v>0</v>
      </c>
    </row>
    <row r="6266" spans="1:11" ht="51" hidden="1" x14ac:dyDescent="0.25">
      <c r="A6266" s="207"/>
      <c r="B6266" s="205"/>
      <c r="C6266" s="35" t="s">
        <v>3182</v>
      </c>
      <c r="D6266" s="35" t="s">
        <v>932</v>
      </c>
      <c r="E6266" s="36">
        <v>3.4200000000000001E-2</v>
      </c>
      <c r="F6266" s="30">
        <v>390.52599999999995</v>
      </c>
      <c r="G6266" s="53">
        <f t="shared" si="122"/>
        <v>13.355989199999998</v>
      </c>
      <c r="H6266" s="43"/>
      <c r="I6266" s="39"/>
      <c r="J6266" s="148">
        <v>0</v>
      </c>
      <c r="K6266" s="222">
        <v>0</v>
      </c>
    </row>
    <row r="6267" spans="1:11" ht="51" hidden="1" x14ac:dyDescent="0.25">
      <c r="A6267" s="207"/>
      <c r="B6267" s="205"/>
      <c r="C6267" s="35" t="s">
        <v>3188</v>
      </c>
      <c r="D6267" s="35" t="s">
        <v>934</v>
      </c>
      <c r="E6267" s="36">
        <v>6.1199999999999997E-2</v>
      </c>
      <c r="F6267" s="30">
        <v>147.87699999999998</v>
      </c>
      <c r="G6267" s="53">
        <f t="shared" si="122"/>
        <v>9.0500723999999977</v>
      </c>
      <c r="H6267" s="43"/>
      <c r="I6267" s="39"/>
      <c r="J6267" s="148">
        <v>0</v>
      </c>
      <c r="K6267" s="222">
        <v>0</v>
      </c>
    </row>
    <row r="6268" spans="1:11" ht="25.5" hidden="1" x14ac:dyDescent="0.25">
      <c r="A6268" s="207"/>
      <c r="B6268" s="205"/>
      <c r="C6268" s="35" t="s">
        <v>772</v>
      </c>
      <c r="D6268" s="35" t="s">
        <v>695</v>
      </c>
      <c r="E6268" s="36">
        <v>6.4000000000000003E-3</v>
      </c>
      <c r="F6268" s="30">
        <v>109.136</v>
      </c>
      <c r="G6268" s="53">
        <f t="shared" si="122"/>
        <v>0.69847040000000005</v>
      </c>
      <c r="H6268" s="43"/>
      <c r="I6268" s="39"/>
      <c r="J6268" s="148">
        <v>0</v>
      </c>
      <c r="K6268" s="222">
        <v>0</v>
      </c>
    </row>
    <row r="6269" spans="1:11" ht="25.5" hidden="1" x14ac:dyDescent="0.25">
      <c r="A6269" s="207"/>
      <c r="B6269" s="205"/>
      <c r="C6269" s="35" t="s">
        <v>6681</v>
      </c>
      <c r="D6269" s="35" t="s">
        <v>891</v>
      </c>
      <c r="E6269" s="36">
        <v>1.3913</v>
      </c>
      <c r="F6269" s="30">
        <v>10.5852705</v>
      </c>
      <c r="G6269" s="53">
        <f t="shared" si="122"/>
        <v>14.727286846649999</v>
      </c>
      <c r="H6269" s="43"/>
      <c r="I6269" s="39"/>
      <c r="J6269" s="148">
        <v>0</v>
      </c>
      <c r="K6269" s="222">
        <v>0</v>
      </c>
    </row>
    <row r="6270" spans="1:11" ht="38.25" hidden="1" x14ac:dyDescent="0.25">
      <c r="A6270" s="207"/>
      <c r="B6270" s="205"/>
      <c r="C6270" s="35" t="s">
        <v>3503</v>
      </c>
      <c r="D6270" s="35" t="s">
        <v>1425</v>
      </c>
      <c r="E6270" s="36">
        <v>5.2400000000000002E-2</v>
      </c>
      <c r="F6270" s="30">
        <v>2.86564935</v>
      </c>
      <c r="G6270" s="53">
        <f t="shared" si="122"/>
        <v>0.15016002594</v>
      </c>
      <c r="H6270" s="43"/>
      <c r="I6270" s="39"/>
      <c r="J6270" s="148">
        <v>0</v>
      </c>
      <c r="K6270" s="222">
        <v>0</v>
      </c>
    </row>
    <row r="6271" spans="1:11" ht="51" hidden="1" x14ac:dyDescent="0.25">
      <c r="A6271" s="207"/>
      <c r="B6271" s="205"/>
      <c r="C6271" s="35" t="s">
        <v>3507</v>
      </c>
      <c r="D6271" s="35" t="s">
        <v>119</v>
      </c>
      <c r="E6271" s="36">
        <v>0.15709999999999999</v>
      </c>
      <c r="F6271" s="30">
        <v>7.7750840499999994</v>
      </c>
      <c r="G6271" s="53">
        <f t="shared" si="122"/>
        <v>1.2214657042549999</v>
      </c>
      <c r="H6271" s="43"/>
      <c r="I6271" s="39"/>
      <c r="J6271" s="148">
        <v>0</v>
      </c>
      <c r="K6271" s="222">
        <v>0</v>
      </c>
    </row>
    <row r="6272" spans="1:11" ht="15.75" hidden="1" thickBot="1" x14ac:dyDescent="0.3">
      <c r="A6272" s="208"/>
      <c r="B6272" s="206"/>
      <c r="C6272" s="35"/>
      <c r="D6272" s="35"/>
      <c r="E6272" s="36"/>
      <c r="F6272" s="30" t="s">
        <v>514</v>
      </c>
      <c r="G6272" s="53"/>
      <c r="H6272" s="43"/>
      <c r="I6272" s="39"/>
      <c r="J6272" s="148">
        <v>0</v>
      </c>
      <c r="K6272" s="222">
        <v>0</v>
      </c>
    </row>
    <row r="6273" spans="1:11" ht="15.75" hidden="1" thickBot="1" x14ac:dyDescent="0.3">
      <c r="A6273" s="202" t="s">
        <v>6219</v>
      </c>
      <c r="B6273" s="204" t="str">
        <f>INDEX(Orçamentária!A:B,MATCH(Composições!A6273,Orçamentária!A:A,0),2)</f>
        <v>Armação de aço CA-60 bitolas de 5,0mm a 8,00mm</v>
      </c>
      <c r="C6273" s="40"/>
      <c r="D6273" s="25" t="str">
        <f>TRIM(INDEX(Orçamentária!C:C,MATCH(Composições!A6273,Orçamentária!A:A,0),1))</f>
        <v>kg</v>
      </c>
      <c r="E6273" s="26"/>
      <c r="F6273" s="48" t="s">
        <v>514</v>
      </c>
      <c r="G6273" s="27" t="str">
        <f t="shared" ref="G6273:G6279" si="123">IF(ISNUMBER(F6273),E6273*F6273,"")</f>
        <v/>
      </c>
      <c r="H6273" s="28"/>
      <c r="I6273" s="29"/>
      <c r="J6273" s="148">
        <v>0</v>
      </c>
      <c r="K6273" s="222">
        <v>0</v>
      </c>
    </row>
    <row r="6274" spans="1:11" hidden="1" x14ac:dyDescent="0.25">
      <c r="A6274" s="207"/>
      <c r="B6274" s="205"/>
      <c r="C6274" s="31"/>
      <c r="D6274" s="31"/>
      <c r="E6274" s="32"/>
      <c r="F6274" s="53" t="s">
        <v>514</v>
      </c>
      <c r="G6274" s="53" t="str">
        <f t="shared" si="123"/>
        <v/>
      </c>
      <c r="H6274" s="72"/>
      <c r="I6274" s="73"/>
      <c r="J6274" s="148">
        <v>0</v>
      </c>
      <c r="K6274" s="222">
        <v>0</v>
      </c>
    </row>
    <row r="6275" spans="1:11" ht="38.25" hidden="1" x14ac:dyDescent="0.25">
      <c r="A6275" s="207"/>
      <c r="B6275" s="205"/>
      <c r="C6275" s="35" t="s">
        <v>892</v>
      </c>
      <c r="D6275" s="35" t="s">
        <v>278</v>
      </c>
      <c r="E6275" s="36">
        <v>1.19</v>
      </c>
      <c r="F6275" s="30">
        <v>0.20899999999999999</v>
      </c>
      <c r="G6275" s="53">
        <f t="shared" si="123"/>
        <v>0.24870999999999999</v>
      </c>
      <c r="H6275" s="38">
        <f>SUM(G6275:G6279)</f>
        <v>15.684595000000002</v>
      </c>
      <c r="I6275" s="39"/>
      <c r="J6275" s="148">
        <v>0</v>
      </c>
      <c r="K6275" s="222">
        <v>0</v>
      </c>
    </row>
    <row r="6276" spans="1:11" ht="25.5" hidden="1" x14ac:dyDescent="0.25">
      <c r="A6276" s="207"/>
      <c r="B6276" s="205"/>
      <c r="C6276" s="35" t="s">
        <v>3489</v>
      </c>
      <c r="D6276" s="35" t="s">
        <v>891</v>
      </c>
      <c r="E6276" s="36">
        <v>2.5000000000000001E-2</v>
      </c>
      <c r="F6276" s="30">
        <v>22.363</v>
      </c>
      <c r="G6276" s="53">
        <f t="shared" si="123"/>
        <v>0.55907499999999999</v>
      </c>
      <c r="H6276" s="43"/>
      <c r="I6276" s="39"/>
      <c r="J6276" s="148">
        <v>0</v>
      </c>
      <c r="K6276" s="222">
        <v>0</v>
      </c>
    </row>
    <row r="6277" spans="1:11" hidden="1" x14ac:dyDescent="0.25">
      <c r="A6277" s="207"/>
      <c r="B6277" s="205"/>
      <c r="C6277" s="35" t="s">
        <v>893</v>
      </c>
      <c r="D6277" s="35" t="s">
        <v>695</v>
      </c>
      <c r="E6277" s="36">
        <v>1.7500000000000002E-2</v>
      </c>
      <c r="F6277" s="30">
        <v>18.3825</v>
      </c>
      <c r="G6277" s="53">
        <f t="shared" si="123"/>
        <v>0.32169375000000006</v>
      </c>
      <c r="H6277" s="43"/>
      <c r="I6277" s="39"/>
      <c r="J6277" s="148">
        <v>0</v>
      </c>
      <c r="K6277" s="222">
        <v>0</v>
      </c>
    </row>
    <row r="6278" spans="1:11" hidden="1" x14ac:dyDescent="0.25">
      <c r="A6278" s="207"/>
      <c r="B6278" s="205"/>
      <c r="C6278" s="35" t="s">
        <v>894</v>
      </c>
      <c r="D6278" s="35" t="s">
        <v>695</v>
      </c>
      <c r="E6278" s="36">
        <v>0.1069</v>
      </c>
      <c r="F6278" s="30">
        <v>24.747499999999999</v>
      </c>
      <c r="G6278" s="53">
        <f t="shared" si="123"/>
        <v>2.6455077499999997</v>
      </c>
      <c r="H6278" s="43"/>
      <c r="I6278" s="39"/>
      <c r="J6278" s="148">
        <v>0</v>
      </c>
      <c r="K6278" s="222">
        <v>0</v>
      </c>
    </row>
    <row r="6279" spans="1:11" hidden="1" x14ac:dyDescent="0.25">
      <c r="A6279" s="207"/>
      <c r="B6279" s="205"/>
      <c r="C6279" s="35" t="s">
        <v>8005</v>
      </c>
      <c r="D6279" s="35" t="s">
        <v>891</v>
      </c>
      <c r="E6279" s="36">
        <v>1</v>
      </c>
      <c r="F6279" s="30">
        <v>11.909608500000003</v>
      </c>
      <c r="G6279" s="53">
        <f t="shared" si="123"/>
        <v>11.909608500000003</v>
      </c>
      <c r="H6279" s="43"/>
      <c r="I6279" s="39"/>
      <c r="J6279" s="148">
        <v>0</v>
      </c>
      <c r="K6279" s="222">
        <v>0</v>
      </c>
    </row>
    <row r="6280" spans="1:11" ht="15.75" hidden="1" thickBot="1" x14ac:dyDescent="0.3">
      <c r="A6280" s="208"/>
      <c r="B6280" s="206"/>
      <c r="C6280" s="35"/>
      <c r="D6280" s="35"/>
      <c r="E6280" s="36"/>
      <c r="F6280" s="30" t="s">
        <v>514</v>
      </c>
      <c r="G6280" s="53"/>
      <c r="H6280" s="43"/>
      <c r="I6280" s="39"/>
      <c r="J6280" s="148">
        <v>0</v>
      </c>
      <c r="K6280" s="222">
        <v>0</v>
      </c>
    </row>
    <row r="6281" spans="1:11" ht="15.75" hidden="1" thickBot="1" x14ac:dyDescent="0.3">
      <c r="A6281" s="202" t="s">
        <v>6220</v>
      </c>
      <c r="B6281" s="204" t="str">
        <f>INDEX(Orçamentária!A:B,MATCH(Composições!A6281,Orçamentária!A:A,0),2)</f>
        <v>Pavimentação em concreto simples</v>
      </c>
      <c r="C6281" s="40"/>
      <c r="D6281" s="25" t="str">
        <f>TRIM(INDEX(Orçamentária!C:C,MATCH(Composições!A6281,Orçamentária!A:A,0),1))</f>
        <v>m2</v>
      </c>
      <c r="E6281" s="26"/>
      <c r="F6281" s="48" t="s">
        <v>514</v>
      </c>
      <c r="G6281" s="27" t="str">
        <f t="shared" ref="G6281:G6287" si="124">IF(ISNUMBER(F6281),E6281*F6281,"")</f>
        <v/>
      </c>
      <c r="H6281" s="28"/>
      <c r="I6281" s="29"/>
      <c r="J6281" s="148">
        <v>0</v>
      </c>
      <c r="K6281" s="222">
        <v>0</v>
      </c>
    </row>
    <row r="6282" spans="1:11" hidden="1" x14ac:dyDescent="0.25">
      <c r="A6282" s="207"/>
      <c r="B6282" s="205"/>
      <c r="C6282" s="31"/>
      <c r="D6282" s="31"/>
      <c r="E6282" s="32"/>
      <c r="F6282" s="53" t="s">
        <v>514</v>
      </c>
      <c r="G6282" s="53" t="str">
        <f t="shared" si="124"/>
        <v/>
      </c>
      <c r="H6282" s="72"/>
      <c r="I6282" s="73"/>
      <c r="J6282" s="148">
        <v>0</v>
      </c>
      <c r="K6282" s="222">
        <v>0</v>
      </c>
    </row>
    <row r="6283" spans="1:11" ht="38.25" hidden="1" x14ac:dyDescent="0.25">
      <c r="A6283" s="207"/>
      <c r="B6283" s="205"/>
      <c r="C6283" s="35" t="s">
        <v>3248</v>
      </c>
      <c r="D6283" s="35" t="s">
        <v>119</v>
      </c>
      <c r="E6283" s="36">
        <v>8.14E-2</v>
      </c>
      <c r="F6283" s="30">
        <v>426.07499999999999</v>
      </c>
      <c r="G6283" s="53">
        <f t="shared" si="124"/>
        <v>34.682504999999999</v>
      </c>
      <c r="H6283" s="38">
        <f>SUM(G6283:G6287)</f>
        <v>76.309741799999998</v>
      </c>
      <c r="I6283" s="39"/>
      <c r="J6283" s="148">
        <v>0</v>
      </c>
      <c r="K6283" s="222">
        <v>0</v>
      </c>
    </row>
    <row r="6284" spans="1:11" ht="25.5" hidden="1" x14ac:dyDescent="0.25">
      <c r="A6284" s="207"/>
      <c r="B6284" s="205"/>
      <c r="C6284" s="35" t="s">
        <v>3301</v>
      </c>
      <c r="D6284" s="35" t="s">
        <v>891</v>
      </c>
      <c r="E6284" s="36">
        <v>4</v>
      </c>
      <c r="F6284" s="30">
        <v>9.4809999999999999</v>
      </c>
      <c r="G6284" s="53">
        <f t="shared" si="124"/>
        <v>37.923999999999999</v>
      </c>
      <c r="H6284" s="43"/>
      <c r="I6284" s="39"/>
      <c r="J6284" s="148">
        <v>0</v>
      </c>
      <c r="K6284" s="222">
        <v>0</v>
      </c>
    </row>
    <row r="6285" spans="1:11" hidden="1" x14ac:dyDescent="0.25">
      <c r="A6285" s="207"/>
      <c r="B6285" s="205"/>
      <c r="C6285" s="35" t="s">
        <v>703</v>
      </c>
      <c r="D6285" s="35" t="s">
        <v>695</v>
      </c>
      <c r="E6285" s="36">
        <v>0.1119</v>
      </c>
      <c r="F6285" s="30">
        <v>24.889999999999997</v>
      </c>
      <c r="G6285" s="53">
        <f t="shared" si="124"/>
        <v>2.7851909999999998</v>
      </c>
      <c r="H6285" s="43"/>
      <c r="I6285" s="39"/>
      <c r="J6285" s="148">
        <v>0</v>
      </c>
      <c r="K6285" s="222">
        <v>0</v>
      </c>
    </row>
    <row r="6286" spans="1:11" hidden="1" x14ac:dyDescent="0.25">
      <c r="A6286" s="207"/>
      <c r="B6286" s="205"/>
      <c r="C6286" s="35" t="s">
        <v>696</v>
      </c>
      <c r="D6286" s="35" t="s">
        <v>695</v>
      </c>
      <c r="E6286" s="36">
        <v>4.6600000000000003E-2</v>
      </c>
      <c r="F6286" s="30">
        <v>18.420500000000001</v>
      </c>
      <c r="G6286" s="53">
        <f t="shared" si="124"/>
        <v>0.85839530000000008</v>
      </c>
      <c r="H6286" s="43"/>
      <c r="I6286" s="39"/>
      <c r="J6286" s="148">
        <v>0</v>
      </c>
      <c r="K6286" s="222">
        <v>0</v>
      </c>
    </row>
    <row r="6287" spans="1:11" ht="25.5" hidden="1" x14ac:dyDescent="0.25">
      <c r="A6287" s="207"/>
      <c r="B6287" s="205"/>
      <c r="C6287" s="35" t="s">
        <v>3183</v>
      </c>
      <c r="D6287" s="35" t="s">
        <v>932</v>
      </c>
      <c r="E6287" s="36">
        <v>7.0000000000000001E-3</v>
      </c>
      <c r="F6287" s="30">
        <v>8.5214999999999996</v>
      </c>
      <c r="G6287" s="53">
        <f t="shared" si="124"/>
        <v>5.9650499999999995E-2</v>
      </c>
      <c r="H6287" s="43"/>
      <c r="I6287" s="39"/>
      <c r="J6287" s="148">
        <v>0</v>
      </c>
      <c r="K6287" s="222">
        <v>0</v>
      </c>
    </row>
    <row r="6288" spans="1:11" ht="15.75" hidden="1" thickBot="1" x14ac:dyDescent="0.3">
      <c r="A6288" s="208"/>
      <c r="B6288" s="206"/>
      <c r="C6288" s="35"/>
      <c r="D6288" s="35"/>
      <c r="E6288" s="36"/>
      <c r="F6288" s="30" t="s">
        <v>514</v>
      </c>
      <c r="G6288" s="53"/>
      <c r="H6288" s="43"/>
      <c r="I6288" s="39"/>
      <c r="J6288" s="148">
        <v>0</v>
      </c>
      <c r="K6288" s="222">
        <v>0</v>
      </c>
    </row>
    <row r="6289" spans="1:11" ht="15.75" hidden="1" thickBot="1" x14ac:dyDescent="0.3">
      <c r="A6289" s="202" t="s">
        <v>6221</v>
      </c>
      <c r="B6289" s="204" t="str">
        <f>INDEX(Orçamentária!A:B,MATCH(Composições!A6289,Orçamentária!A:A,0),2)</f>
        <v>Tubo PVC esgoto ou águas pluviais predial DN 150mm</v>
      </c>
      <c r="C6289" s="40"/>
      <c r="D6289" s="25" t="str">
        <f>TRIM(INDEX(Orçamentária!C:C,MATCH(Composições!A6289,Orçamentária!A:A,0),1))</f>
        <v>m</v>
      </c>
      <c r="E6289" s="26"/>
      <c r="F6289" s="48" t="s">
        <v>514</v>
      </c>
      <c r="G6289" s="27" t="str">
        <f t="shared" ref="G6289:G6296" si="125">IF(ISNUMBER(F6289),E6289*F6289,"")</f>
        <v/>
      </c>
      <c r="H6289" s="28"/>
      <c r="I6289" s="29"/>
      <c r="J6289" s="148">
        <v>0</v>
      </c>
      <c r="K6289" s="222">
        <v>0</v>
      </c>
    </row>
    <row r="6290" spans="1:11" hidden="1" x14ac:dyDescent="0.25">
      <c r="A6290" s="207"/>
      <c r="B6290" s="205"/>
      <c r="C6290" s="31"/>
      <c r="D6290" s="31"/>
      <c r="E6290" s="32"/>
      <c r="F6290" s="53" t="s">
        <v>514</v>
      </c>
      <c r="G6290" s="53" t="str">
        <f t="shared" si="125"/>
        <v/>
      </c>
      <c r="H6290" s="72"/>
      <c r="I6290" s="73"/>
      <c r="J6290" s="148">
        <v>0</v>
      </c>
      <c r="K6290" s="222">
        <v>0</v>
      </c>
    </row>
    <row r="6291" spans="1:11" hidden="1" x14ac:dyDescent="0.25">
      <c r="A6291" s="207"/>
      <c r="B6291" s="205"/>
      <c r="C6291" s="35" t="s">
        <v>6599</v>
      </c>
      <c r="D6291" s="35" t="s">
        <v>278</v>
      </c>
      <c r="E6291" s="36">
        <v>6.1999999999999998E-3</v>
      </c>
      <c r="F6291" s="30">
        <v>69.074499999999986</v>
      </c>
      <c r="G6291" s="53">
        <f t="shared" si="125"/>
        <v>0.42826189999999992</v>
      </c>
      <c r="H6291" s="38">
        <f>SUM(G6291:G6296)</f>
        <v>101.73732209999999</v>
      </c>
      <c r="I6291" s="39"/>
      <c r="J6291" s="148">
        <v>0</v>
      </c>
      <c r="K6291" s="222">
        <v>0</v>
      </c>
    </row>
    <row r="6292" spans="1:11" ht="25.5" hidden="1" x14ac:dyDescent="0.25">
      <c r="A6292" s="207"/>
      <c r="B6292" s="205"/>
      <c r="C6292" s="35" t="s">
        <v>3734</v>
      </c>
      <c r="D6292" s="35" t="s">
        <v>473</v>
      </c>
      <c r="E6292" s="36">
        <v>1.04</v>
      </c>
      <c r="F6292" s="30">
        <v>89.0625</v>
      </c>
      <c r="G6292" s="53">
        <f t="shared" si="125"/>
        <v>92.625</v>
      </c>
      <c r="H6292" s="43"/>
      <c r="I6292" s="39"/>
      <c r="J6292" s="148">
        <v>0</v>
      </c>
      <c r="K6292" s="222">
        <v>0</v>
      </c>
    </row>
    <row r="6293" spans="1:11" ht="25.5" hidden="1" x14ac:dyDescent="0.25">
      <c r="A6293" s="207"/>
      <c r="B6293" s="205"/>
      <c r="C6293" s="35" t="s">
        <v>6600</v>
      </c>
      <c r="D6293" s="35" t="s">
        <v>278</v>
      </c>
      <c r="E6293" s="36">
        <v>1.0200000000000001E-2</v>
      </c>
      <c r="F6293" s="30">
        <v>78.260999999999996</v>
      </c>
      <c r="G6293" s="53">
        <f t="shared" si="125"/>
        <v>0.79826220000000003</v>
      </c>
      <c r="H6293" s="43"/>
      <c r="I6293" s="39"/>
      <c r="J6293" s="148">
        <v>0</v>
      </c>
      <c r="K6293" s="222">
        <v>0</v>
      </c>
    </row>
    <row r="6294" spans="1:11" hidden="1" x14ac:dyDescent="0.25">
      <c r="A6294" s="207"/>
      <c r="B6294" s="205"/>
      <c r="C6294" s="35" t="s">
        <v>1184</v>
      </c>
      <c r="D6294" s="35" t="s">
        <v>278</v>
      </c>
      <c r="E6294" s="36">
        <v>3.6999999999999998E-2</v>
      </c>
      <c r="F6294" s="30">
        <v>2.0139999999999998</v>
      </c>
      <c r="G6294" s="53">
        <f t="shared" si="125"/>
        <v>7.4517999999999987E-2</v>
      </c>
      <c r="H6294" s="43"/>
      <c r="I6294" s="39"/>
      <c r="J6294" s="148">
        <v>0</v>
      </c>
      <c r="K6294" s="222">
        <v>0</v>
      </c>
    </row>
    <row r="6295" spans="1:11" ht="25.5" hidden="1" x14ac:dyDescent="0.25">
      <c r="A6295" s="207"/>
      <c r="B6295" s="205"/>
      <c r="C6295" s="35" t="s">
        <v>943</v>
      </c>
      <c r="D6295" s="35" t="s">
        <v>695</v>
      </c>
      <c r="E6295" s="36">
        <v>0.18</v>
      </c>
      <c r="F6295" s="30">
        <v>19.094999999999999</v>
      </c>
      <c r="G6295" s="53">
        <f t="shared" si="125"/>
        <v>3.4370999999999996</v>
      </c>
      <c r="H6295" s="43"/>
      <c r="I6295" s="39"/>
      <c r="J6295" s="148">
        <v>0</v>
      </c>
      <c r="K6295" s="222">
        <v>0</v>
      </c>
    </row>
    <row r="6296" spans="1:11" ht="25.5" hidden="1" x14ac:dyDescent="0.25">
      <c r="A6296" s="207"/>
      <c r="B6296" s="205"/>
      <c r="C6296" s="35" t="s">
        <v>944</v>
      </c>
      <c r="D6296" s="35" t="s">
        <v>695</v>
      </c>
      <c r="E6296" s="36">
        <v>0.18</v>
      </c>
      <c r="F6296" s="30">
        <v>24.300999999999998</v>
      </c>
      <c r="G6296" s="53">
        <f t="shared" si="125"/>
        <v>4.37418</v>
      </c>
      <c r="H6296" s="43"/>
      <c r="I6296" s="39"/>
      <c r="J6296" s="148">
        <v>0</v>
      </c>
      <c r="K6296" s="222">
        <v>0</v>
      </c>
    </row>
    <row r="6297" spans="1:11" ht="15.75" hidden="1" thickBot="1" x14ac:dyDescent="0.3">
      <c r="A6297" s="208"/>
      <c r="B6297" s="206"/>
      <c r="C6297" s="35"/>
      <c r="D6297" s="35"/>
      <c r="E6297" s="36"/>
      <c r="F6297" s="30" t="s">
        <v>514</v>
      </c>
      <c r="G6297" s="53"/>
      <c r="H6297" s="43"/>
      <c r="I6297" s="39"/>
      <c r="J6297" s="148">
        <v>0</v>
      </c>
      <c r="K6297" s="222">
        <v>0</v>
      </c>
    </row>
    <row r="6298" spans="1:11" ht="15.75" hidden="1" thickBot="1" x14ac:dyDescent="0.3">
      <c r="A6298" s="202" t="s">
        <v>6222</v>
      </c>
      <c r="B6298" s="204" t="str">
        <f>INDEX(Orçamentária!A:B,MATCH(Composições!A6298,Orçamentária!A:A,0),2)</f>
        <v>Alvenaria Estrutural</v>
      </c>
      <c r="C6298" s="40"/>
      <c r="D6298" s="25" t="str">
        <f>TRIM(INDEX(Orçamentária!C:C,MATCH(Composições!A6298,Orçamentária!A:A,0),1))</f>
        <v>m2</v>
      </c>
      <c r="E6298" s="26"/>
      <c r="F6298" s="48" t="s">
        <v>514</v>
      </c>
      <c r="G6298" s="27" t="str">
        <f t="shared" ref="G6298:G6307" si="126">IF(ISNUMBER(F6298),E6298*F6298,"")</f>
        <v/>
      </c>
      <c r="H6298" s="28"/>
      <c r="I6298" s="29"/>
      <c r="J6298" s="148">
        <v>0</v>
      </c>
      <c r="K6298" s="222">
        <v>0</v>
      </c>
    </row>
    <row r="6299" spans="1:11" hidden="1" x14ac:dyDescent="0.25">
      <c r="A6299" s="207"/>
      <c r="B6299" s="205"/>
      <c r="C6299" s="31"/>
      <c r="D6299" s="31"/>
      <c r="E6299" s="32"/>
      <c r="F6299" s="53" t="s">
        <v>514</v>
      </c>
      <c r="G6299" s="53" t="str">
        <f t="shared" si="126"/>
        <v/>
      </c>
      <c r="H6299" s="72"/>
      <c r="I6299" s="73"/>
      <c r="J6299" s="148">
        <v>0</v>
      </c>
      <c r="K6299" s="222">
        <v>0</v>
      </c>
    </row>
    <row r="6300" spans="1:11" ht="25.5" hidden="1" x14ac:dyDescent="0.25">
      <c r="A6300" s="207"/>
      <c r="B6300" s="205"/>
      <c r="C6300" s="35" t="s">
        <v>3492</v>
      </c>
      <c r="D6300" s="35" t="s">
        <v>278</v>
      </c>
      <c r="E6300" s="36">
        <v>10.220000000000001</v>
      </c>
      <c r="F6300" s="30">
        <v>3.8189999999999995</v>
      </c>
      <c r="G6300" s="53">
        <f t="shared" si="126"/>
        <v>39.030179999999994</v>
      </c>
      <c r="H6300" s="38">
        <f>SUM(G6300:G6307)</f>
        <v>81.520101109551192</v>
      </c>
      <c r="I6300" s="39"/>
      <c r="J6300" s="148">
        <v>0</v>
      </c>
      <c r="K6300" s="222">
        <v>0</v>
      </c>
    </row>
    <row r="6301" spans="1:11" ht="25.5" hidden="1" x14ac:dyDescent="0.25">
      <c r="A6301" s="207"/>
      <c r="B6301" s="205"/>
      <c r="C6301" s="35" t="s">
        <v>6624</v>
      </c>
      <c r="D6301" s="35" t="s">
        <v>473</v>
      </c>
      <c r="E6301" s="36">
        <v>0.87</v>
      </c>
      <c r="F6301" s="30">
        <v>4.6739999999999995</v>
      </c>
      <c r="G6301" s="53">
        <f t="shared" si="126"/>
        <v>4.0663799999999997</v>
      </c>
      <c r="H6301" s="43"/>
      <c r="I6301" s="39"/>
      <c r="J6301" s="148">
        <v>0</v>
      </c>
      <c r="K6301" s="222">
        <v>0</v>
      </c>
    </row>
    <row r="6302" spans="1:11" ht="25.5" hidden="1" x14ac:dyDescent="0.25">
      <c r="A6302" s="207"/>
      <c r="B6302" s="205"/>
      <c r="C6302" s="35" t="s">
        <v>3496</v>
      </c>
      <c r="D6302" s="35" t="s">
        <v>278</v>
      </c>
      <c r="E6302" s="36">
        <v>1.46</v>
      </c>
      <c r="F6302" s="30">
        <v>2.1849999999999996</v>
      </c>
      <c r="G6302" s="53">
        <f t="shared" si="126"/>
        <v>3.1900999999999993</v>
      </c>
      <c r="H6302" s="43"/>
      <c r="I6302" s="39"/>
      <c r="J6302" s="148">
        <v>0</v>
      </c>
      <c r="K6302" s="222">
        <v>0</v>
      </c>
    </row>
    <row r="6303" spans="1:11" ht="25.5" hidden="1" x14ac:dyDescent="0.25">
      <c r="A6303" s="207"/>
      <c r="B6303" s="205"/>
      <c r="C6303" s="35" t="s">
        <v>3491</v>
      </c>
      <c r="D6303" s="35" t="s">
        <v>278</v>
      </c>
      <c r="E6303" s="36">
        <v>1.46</v>
      </c>
      <c r="F6303" s="30">
        <v>3.496</v>
      </c>
      <c r="G6303" s="53">
        <f t="shared" si="126"/>
        <v>5.1041600000000003</v>
      </c>
      <c r="H6303" s="43"/>
      <c r="I6303" s="39"/>
      <c r="J6303" s="148">
        <v>0</v>
      </c>
      <c r="K6303" s="222">
        <v>0</v>
      </c>
    </row>
    <row r="6304" spans="1:11" ht="25.5" hidden="1" x14ac:dyDescent="0.25">
      <c r="A6304" s="207"/>
      <c r="B6304" s="205"/>
      <c r="C6304" s="35" t="s">
        <v>3494</v>
      </c>
      <c r="D6304" s="35" t="s">
        <v>278</v>
      </c>
      <c r="E6304" s="36">
        <v>0.97</v>
      </c>
      <c r="F6304" s="30">
        <v>4.3034999999999997</v>
      </c>
      <c r="G6304" s="53">
        <f t="shared" si="126"/>
        <v>4.1743949999999996</v>
      </c>
      <c r="H6304" s="43"/>
      <c r="I6304" s="39"/>
      <c r="J6304" s="148">
        <v>0</v>
      </c>
      <c r="K6304" s="222">
        <v>0</v>
      </c>
    </row>
    <row r="6305" spans="1:11" hidden="1" x14ac:dyDescent="0.25">
      <c r="A6305" s="207"/>
      <c r="B6305" s="205"/>
      <c r="C6305" s="35" t="s">
        <v>703</v>
      </c>
      <c r="D6305" s="35" t="s">
        <v>695</v>
      </c>
      <c r="E6305" s="36">
        <v>0.49</v>
      </c>
      <c r="F6305" s="30">
        <v>24.889999999999997</v>
      </c>
      <c r="G6305" s="53">
        <f t="shared" si="126"/>
        <v>12.196099999999998</v>
      </c>
      <c r="H6305" s="43"/>
      <c r="I6305" s="39"/>
      <c r="J6305" s="148">
        <v>0</v>
      </c>
      <c r="K6305" s="222">
        <v>0</v>
      </c>
    </row>
    <row r="6306" spans="1:11" hidden="1" x14ac:dyDescent="0.25">
      <c r="A6306" s="207"/>
      <c r="B6306" s="205"/>
      <c r="C6306" s="35" t="s">
        <v>696</v>
      </c>
      <c r="D6306" s="35" t="s">
        <v>695</v>
      </c>
      <c r="E6306" s="36">
        <v>0.37</v>
      </c>
      <c r="F6306" s="30">
        <v>18.420500000000001</v>
      </c>
      <c r="G6306" s="53">
        <f t="shared" si="126"/>
        <v>6.8155850000000004</v>
      </c>
      <c r="H6306" s="43"/>
      <c r="I6306" s="39"/>
      <c r="J6306" s="148">
        <v>0</v>
      </c>
      <c r="K6306" s="222">
        <v>0</v>
      </c>
    </row>
    <row r="6307" spans="1:11" ht="51" hidden="1" x14ac:dyDescent="0.25">
      <c r="A6307" s="207"/>
      <c r="B6307" s="205"/>
      <c r="C6307" s="35" t="s">
        <v>3213</v>
      </c>
      <c r="D6307" s="35" t="s">
        <v>119</v>
      </c>
      <c r="E6307" s="36">
        <v>1.04E-2</v>
      </c>
      <c r="F6307" s="30">
        <v>667.615491303</v>
      </c>
      <c r="G6307" s="53">
        <f t="shared" si="126"/>
        <v>6.9432011095511994</v>
      </c>
      <c r="H6307" s="43"/>
      <c r="I6307" s="39"/>
      <c r="J6307" s="148">
        <v>0</v>
      </c>
      <c r="K6307" s="222">
        <v>0</v>
      </c>
    </row>
    <row r="6308" spans="1:11" ht="15.75" hidden="1" thickBot="1" x14ac:dyDescent="0.3">
      <c r="A6308" s="208"/>
      <c r="B6308" s="206"/>
      <c r="C6308" s="35"/>
      <c r="D6308" s="35"/>
      <c r="E6308" s="36"/>
      <c r="F6308" s="30" t="s">
        <v>514</v>
      </c>
      <c r="G6308" s="53"/>
      <c r="H6308" s="43"/>
      <c r="I6308" s="39"/>
      <c r="J6308" s="148">
        <v>0</v>
      </c>
      <c r="K6308" s="222">
        <v>0</v>
      </c>
    </row>
    <row r="6309" spans="1:11" ht="15.75" hidden="1" thickBot="1" x14ac:dyDescent="0.3">
      <c r="A6309" s="202" t="s">
        <v>6223</v>
      </c>
      <c r="B6309" s="204" t="str">
        <f>INDEX(Orçamentária!A:B,MATCH(Composições!A6309,Orçamentária!A:A,0),2)</f>
        <v>Boca de lobo simples em blocos de concreto, h=1,0 m</v>
      </c>
      <c r="C6309" s="40"/>
      <c r="D6309" s="25" t="str">
        <f>TRIM(INDEX(Orçamentária!C:C,MATCH(Composições!A6309,Orçamentária!A:A,0),1))</f>
        <v>un</v>
      </c>
      <c r="E6309" s="26"/>
      <c r="F6309" s="48" t="s">
        <v>514</v>
      </c>
      <c r="G6309" s="27" t="str">
        <f t="shared" ref="G6309:G6331" si="127">IF(ISNUMBER(F6309),E6309*F6309,"")</f>
        <v/>
      </c>
      <c r="H6309" s="28"/>
      <c r="I6309" s="29"/>
      <c r="J6309" s="148">
        <v>0</v>
      </c>
      <c r="K6309" s="222">
        <v>0</v>
      </c>
    </row>
    <row r="6310" spans="1:11" hidden="1" x14ac:dyDescent="0.25">
      <c r="A6310" s="207"/>
      <c r="B6310" s="205"/>
      <c r="C6310" s="31"/>
      <c r="D6310" s="31"/>
      <c r="E6310" s="32"/>
      <c r="F6310" s="53" t="s">
        <v>514</v>
      </c>
      <c r="G6310" s="53" t="str">
        <f t="shared" si="127"/>
        <v/>
      </c>
      <c r="H6310" s="72"/>
      <c r="I6310" s="73"/>
      <c r="J6310" s="148">
        <v>0</v>
      </c>
      <c r="K6310" s="222">
        <v>0</v>
      </c>
    </row>
    <row r="6311" spans="1:11" hidden="1" x14ac:dyDescent="0.25">
      <c r="A6311" s="207"/>
      <c r="B6311" s="205"/>
      <c r="C6311" s="35" t="s">
        <v>3495</v>
      </c>
      <c r="D6311" s="35" t="s">
        <v>278</v>
      </c>
      <c r="E6311" s="36">
        <v>21</v>
      </c>
      <c r="F6311" s="30">
        <v>2.964</v>
      </c>
      <c r="G6311" s="53">
        <f t="shared" si="127"/>
        <v>62.244</v>
      </c>
      <c r="H6311" s="38">
        <f>SUM(G6311:G6331)</f>
        <v>1427.0313988772616</v>
      </c>
      <c r="I6311" s="39"/>
      <c r="J6311" s="148">
        <v>0</v>
      </c>
      <c r="K6311" s="222">
        <v>0</v>
      </c>
    </row>
    <row r="6312" spans="1:11" ht="25.5" hidden="1" x14ac:dyDescent="0.25">
      <c r="A6312" s="207"/>
      <c r="B6312" s="205"/>
      <c r="C6312" s="35" t="s">
        <v>1142</v>
      </c>
      <c r="D6312" s="35" t="s">
        <v>101</v>
      </c>
      <c r="E6312" s="36">
        <v>8.2000000000000007E-3</v>
      </c>
      <c r="F6312" s="30">
        <v>7.4005000000000001</v>
      </c>
      <c r="G6312" s="53">
        <f t="shared" si="127"/>
        <v>6.0684100000000005E-2</v>
      </c>
      <c r="H6312" s="43"/>
      <c r="I6312" s="39"/>
      <c r="J6312" s="148">
        <v>0</v>
      </c>
      <c r="K6312" s="222">
        <v>0</v>
      </c>
    </row>
    <row r="6313" spans="1:11" ht="25.5" hidden="1" x14ac:dyDescent="0.25">
      <c r="A6313" s="207"/>
      <c r="B6313" s="205"/>
      <c r="C6313" s="35" t="s">
        <v>3684</v>
      </c>
      <c r="D6313" s="35" t="s">
        <v>473</v>
      </c>
      <c r="E6313" s="36">
        <v>0.17760000000000001</v>
      </c>
      <c r="F6313" s="30">
        <v>8.302999999999999</v>
      </c>
      <c r="G6313" s="53">
        <f t="shared" si="127"/>
        <v>1.4746127999999998</v>
      </c>
      <c r="H6313" s="43"/>
      <c r="I6313" s="39"/>
      <c r="J6313" s="148">
        <v>0</v>
      </c>
      <c r="K6313" s="222">
        <v>0</v>
      </c>
    </row>
    <row r="6314" spans="1:11" ht="25.5" hidden="1" x14ac:dyDescent="0.25">
      <c r="A6314" s="207"/>
      <c r="B6314" s="205"/>
      <c r="C6314" s="35" t="s">
        <v>3686</v>
      </c>
      <c r="D6314" s="35" t="s">
        <v>473</v>
      </c>
      <c r="E6314" s="36">
        <v>0.2112</v>
      </c>
      <c r="F6314" s="30">
        <v>2.907</v>
      </c>
      <c r="G6314" s="53">
        <f t="shared" si="127"/>
        <v>0.61395840000000002</v>
      </c>
      <c r="H6314" s="43"/>
      <c r="I6314" s="39"/>
      <c r="J6314" s="148">
        <v>0</v>
      </c>
      <c r="K6314" s="222">
        <v>0</v>
      </c>
    </row>
    <row r="6315" spans="1:11" hidden="1" x14ac:dyDescent="0.25">
      <c r="A6315" s="207"/>
      <c r="B6315" s="205"/>
      <c r="C6315" s="35" t="s">
        <v>3331</v>
      </c>
      <c r="D6315" s="35" t="s">
        <v>891</v>
      </c>
      <c r="E6315" s="36">
        <v>0.187</v>
      </c>
      <c r="F6315" s="30">
        <v>23.065999999999999</v>
      </c>
      <c r="G6315" s="53">
        <f t="shared" si="127"/>
        <v>4.3133419999999996</v>
      </c>
      <c r="H6315" s="43"/>
      <c r="I6315" s="39"/>
      <c r="J6315" s="148">
        <v>0</v>
      </c>
      <c r="K6315" s="222">
        <v>0</v>
      </c>
    </row>
    <row r="6316" spans="1:11" ht="63.75" hidden="1" x14ac:dyDescent="0.25">
      <c r="A6316" s="207"/>
      <c r="B6316" s="205"/>
      <c r="C6316" s="35" t="s">
        <v>3179</v>
      </c>
      <c r="D6316" s="35" t="s">
        <v>932</v>
      </c>
      <c r="E6316" s="36">
        <v>3.1300000000000001E-2</v>
      </c>
      <c r="F6316" s="30">
        <v>138.96600000000001</v>
      </c>
      <c r="G6316" s="53">
        <f t="shared" si="127"/>
        <v>4.3496358000000006</v>
      </c>
      <c r="H6316" s="43"/>
      <c r="I6316" s="39"/>
      <c r="J6316" s="148">
        <v>0</v>
      </c>
      <c r="K6316" s="222">
        <v>0</v>
      </c>
    </row>
    <row r="6317" spans="1:11" ht="63.75" hidden="1" x14ac:dyDescent="0.25">
      <c r="A6317" s="207"/>
      <c r="B6317" s="205"/>
      <c r="C6317" s="35" t="s">
        <v>3185</v>
      </c>
      <c r="D6317" s="35" t="s">
        <v>934</v>
      </c>
      <c r="E6317" s="36">
        <v>6.3700000000000007E-2</v>
      </c>
      <c r="F6317" s="30">
        <v>50.8155</v>
      </c>
      <c r="G6317" s="53">
        <f t="shared" si="127"/>
        <v>3.2369473500000003</v>
      </c>
      <c r="H6317" s="43"/>
      <c r="I6317" s="39"/>
      <c r="J6317" s="148">
        <v>0</v>
      </c>
      <c r="K6317" s="222">
        <v>0</v>
      </c>
    </row>
    <row r="6318" spans="1:11" ht="25.5" hidden="1" x14ac:dyDescent="0.25">
      <c r="A6318" s="207"/>
      <c r="B6318" s="205"/>
      <c r="C6318" s="35" t="s">
        <v>6595</v>
      </c>
      <c r="D6318" s="35" t="s">
        <v>473</v>
      </c>
      <c r="E6318" s="36">
        <v>0.66239999999999999</v>
      </c>
      <c r="F6318" s="30">
        <v>21.213499999999996</v>
      </c>
      <c r="G6318" s="53">
        <f t="shared" si="127"/>
        <v>14.051822399999997</v>
      </c>
      <c r="H6318" s="43"/>
      <c r="I6318" s="39"/>
      <c r="J6318" s="148">
        <v>0</v>
      </c>
      <c r="K6318" s="222">
        <v>0</v>
      </c>
    </row>
    <row r="6319" spans="1:11" ht="25.5" hidden="1" x14ac:dyDescent="0.25">
      <c r="A6319" s="207"/>
      <c r="B6319" s="205"/>
      <c r="C6319" s="35" t="s">
        <v>3493</v>
      </c>
      <c r="D6319" s="35" t="s">
        <v>278</v>
      </c>
      <c r="E6319" s="36">
        <v>47.175699999999999</v>
      </c>
      <c r="F6319" s="30">
        <v>4.7785000000000002</v>
      </c>
      <c r="G6319" s="53">
        <f t="shared" si="127"/>
        <v>225.42908245000001</v>
      </c>
      <c r="H6319" s="43"/>
      <c r="I6319" s="39"/>
      <c r="J6319" s="148">
        <v>0</v>
      </c>
      <c r="K6319" s="222">
        <v>0</v>
      </c>
    </row>
    <row r="6320" spans="1:11" ht="25.5" hidden="1" x14ac:dyDescent="0.25">
      <c r="A6320" s="207"/>
      <c r="B6320" s="205"/>
      <c r="C6320" s="35" t="s">
        <v>6625</v>
      </c>
      <c r="D6320" s="35" t="s">
        <v>278</v>
      </c>
      <c r="E6320" s="36">
        <v>1</v>
      </c>
      <c r="F6320" s="30">
        <v>44.345999999999997</v>
      </c>
      <c r="G6320" s="53">
        <f t="shared" si="127"/>
        <v>44.345999999999997</v>
      </c>
      <c r="H6320" s="43"/>
      <c r="I6320" s="39"/>
      <c r="J6320" s="148">
        <v>0</v>
      </c>
      <c r="K6320" s="222">
        <v>0</v>
      </c>
    </row>
    <row r="6321" spans="1:11" ht="38.25" hidden="1" x14ac:dyDescent="0.25">
      <c r="A6321" s="207"/>
      <c r="B6321" s="205"/>
      <c r="C6321" s="35" t="s">
        <v>992</v>
      </c>
      <c r="D6321" s="35" t="s">
        <v>119</v>
      </c>
      <c r="E6321" s="36">
        <v>4.3E-3</v>
      </c>
      <c r="F6321" s="30">
        <v>557.594803974</v>
      </c>
      <c r="G6321" s="53">
        <f t="shared" si="127"/>
        <v>2.3976576570882</v>
      </c>
      <c r="H6321" s="43"/>
      <c r="I6321" s="39"/>
      <c r="J6321" s="148">
        <v>0</v>
      </c>
      <c r="K6321" s="222">
        <v>0</v>
      </c>
    </row>
    <row r="6322" spans="1:11" hidden="1" x14ac:dyDescent="0.25">
      <c r="A6322" s="207"/>
      <c r="B6322" s="205"/>
      <c r="C6322" s="35" t="s">
        <v>703</v>
      </c>
      <c r="D6322" s="35" t="s">
        <v>695</v>
      </c>
      <c r="E6322" s="36">
        <v>9.5631000000000004</v>
      </c>
      <c r="F6322" s="30">
        <v>24.889999999999997</v>
      </c>
      <c r="G6322" s="53">
        <f t="shared" si="127"/>
        <v>238.02555899999999</v>
      </c>
      <c r="H6322" s="43"/>
      <c r="I6322" s="39"/>
      <c r="J6322" s="148">
        <v>0</v>
      </c>
      <c r="K6322" s="222">
        <v>0</v>
      </c>
    </row>
    <row r="6323" spans="1:11" hidden="1" x14ac:dyDescent="0.25">
      <c r="A6323" s="207"/>
      <c r="B6323" s="205"/>
      <c r="C6323" s="35" t="s">
        <v>696</v>
      </c>
      <c r="D6323" s="35" t="s">
        <v>695</v>
      </c>
      <c r="E6323" s="36">
        <v>7.5138999999999996</v>
      </c>
      <c r="F6323" s="30">
        <v>18.420500000000001</v>
      </c>
      <c r="G6323" s="53">
        <f t="shared" si="127"/>
        <v>138.40979494999999</v>
      </c>
      <c r="H6323" s="43"/>
      <c r="I6323" s="39"/>
      <c r="J6323" s="148">
        <v>0</v>
      </c>
      <c r="K6323" s="222">
        <v>0</v>
      </c>
    </row>
    <row r="6324" spans="1:11" ht="25.5" hidden="1" x14ac:dyDescent="0.25">
      <c r="A6324" s="207"/>
      <c r="B6324" s="205"/>
      <c r="C6324" s="35" t="s">
        <v>3212</v>
      </c>
      <c r="D6324" s="35" t="s">
        <v>119</v>
      </c>
      <c r="E6324" s="36">
        <v>0.47460000000000002</v>
      </c>
      <c r="F6324" s="30">
        <v>631.98173465899993</v>
      </c>
      <c r="G6324" s="53">
        <f t="shared" si="127"/>
        <v>299.93853126916139</v>
      </c>
      <c r="H6324" s="43"/>
      <c r="I6324" s="39"/>
      <c r="J6324" s="148">
        <v>0</v>
      </c>
      <c r="K6324" s="222">
        <v>0</v>
      </c>
    </row>
    <row r="6325" spans="1:11" ht="25.5" hidden="1" x14ac:dyDescent="0.25">
      <c r="A6325" s="207"/>
      <c r="B6325" s="205"/>
      <c r="C6325" s="35" t="s">
        <v>6682</v>
      </c>
      <c r="D6325" s="35" t="s">
        <v>119</v>
      </c>
      <c r="E6325" s="36">
        <v>2.9899999999999999E-2</v>
      </c>
      <c r="F6325" s="30">
        <v>1095.060412041822</v>
      </c>
      <c r="G6325" s="53">
        <f t="shared" si="127"/>
        <v>32.742306320050481</v>
      </c>
      <c r="H6325" s="43"/>
      <c r="I6325" s="39"/>
      <c r="J6325" s="148">
        <v>0</v>
      </c>
      <c r="K6325" s="222">
        <v>0</v>
      </c>
    </row>
    <row r="6326" spans="1:11" ht="25.5" hidden="1" x14ac:dyDescent="0.25">
      <c r="A6326" s="207"/>
      <c r="B6326" s="205"/>
      <c r="C6326" s="35" t="s">
        <v>6683</v>
      </c>
      <c r="D6326" s="35" t="s">
        <v>119</v>
      </c>
      <c r="E6326" s="36">
        <v>6.1499999999999999E-2</v>
      </c>
      <c r="F6326" s="30">
        <v>1062.2582068918223</v>
      </c>
      <c r="G6326" s="53">
        <f t="shared" si="127"/>
        <v>65.328879723847066</v>
      </c>
      <c r="H6326" s="43"/>
      <c r="I6326" s="39"/>
      <c r="J6326" s="148">
        <v>0</v>
      </c>
      <c r="K6326" s="222">
        <v>0</v>
      </c>
    </row>
    <row r="6327" spans="1:11" ht="25.5" hidden="1" x14ac:dyDescent="0.25">
      <c r="A6327" s="207"/>
      <c r="B6327" s="205"/>
      <c r="C6327" s="35" t="s">
        <v>3191</v>
      </c>
      <c r="D6327" s="35" t="s">
        <v>891</v>
      </c>
      <c r="E6327" s="36">
        <v>0.98719999999999997</v>
      </c>
      <c r="F6327" s="30">
        <v>12.541631149999999</v>
      </c>
      <c r="G6327" s="53">
        <f t="shared" si="127"/>
        <v>12.381098271279999</v>
      </c>
      <c r="H6327" s="43"/>
      <c r="I6327" s="39"/>
      <c r="J6327" s="148">
        <v>0</v>
      </c>
      <c r="K6327" s="222">
        <v>0</v>
      </c>
    </row>
    <row r="6328" spans="1:11" ht="25.5" hidden="1" x14ac:dyDescent="0.25">
      <c r="A6328" s="207"/>
      <c r="B6328" s="205"/>
      <c r="C6328" s="35" t="s">
        <v>3192</v>
      </c>
      <c r="D6328" s="35" t="s">
        <v>891</v>
      </c>
      <c r="E6328" s="36">
        <v>2.468</v>
      </c>
      <c r="F6328" s="30">
        <v>12.030621399999999</v>
      </c>
      <c r="G6328" s="53">
        <f t="shared" si="127"/>
        <v>29.691573615199999</v>
      </c>
      <c r="H6328" s="43"/>
      <c r="I6328" s="39"/>
      <c r="J6328" s="148">
        <v>0</v>
      </c>
      <c r="K6328" s="222">
        <v>0</v>
      </c>
    </row>
    <row r="6329" spans="1:11" ht="25.5" hidden="1" x14ac:dyDescent="0.25">
      <c r="A6329" s="207"/>
      <c r="B6329" s="205"/>
      <c r="C6329" s="35" t="s">
        <v>1063</v>
      </c>
      <c r="D6329" s="35" t="s">
        <v>119</v>
      </c>
      <c r="E6329" s="36">
        <v>0.1628</v>
      </c>
      <c r="F6329" s="30">
        <v>580.88031832376998</v>
      </c>
      <c r="G6329" s="53">
        <f t="shared" si="127"/>
        <v>94.567315823109752</v>
      </c>
      <c r="H6329" s="43"/>
      <c r="I6329" s="39"/>
      <c r="J6329" s="148">
        <v>0</v>
      </c>
      <c r="K6329" s="222">
        <v>0</v>
      </c>
    </row>
    <row r="6330" spans="1:11" ht="25.5" hidden="1" x14ac:dyDescent="0.25">
      <c r="A6330" s="207"/>
      <c r="B6330" s="205"/>
      <c r="C6330" s="35" t="s">
        <v>3201</v>
      </c>
      <c r="D6330" s="35" t="s">
        <v>119</v>
      </c>
      <c r="E6330" s="36">
        <v>6.1600000000000002E-2</v>
      </c>
      <c r="F6330" s="30">
        <v>2438.7459780766985</v>
      </c>
      <c r="G6330" s="53">
        <f t="shared" si="127"/>
        <v>150.22675224952462</v>
      </c>
      <c r="H6330" s="43"/>
      <c r="I6330" s="39"/>
      <c r="J6330" s="148">
        <v>0</v>
      </c>
      <c r="K6330" s="222">
        <v>0</v>
      </c>
    </row>
    <row r="6331" spans="1:11" ht="25.5" hidden="1" x14ac:dyDescent="0.25">
      <c r="A6331" s="207"/>
      <c r="B6331" s="205"/>
      <c r="C6331" s="35" t="s">
        <v>3671</v>
      </c>
      <c r="D6331" s="35" t="s">
        <v>982</v>
      </c>
      <c r="E6331" s="36">
        <v>1.17</v>
      </c>
      <c r="F6331" s="30">
        <v>2.7366194000000004</v>
      </c>
      <c r="G6331" s="53">
        <f t="shared" si="127"/>
        <v>3.2018446980000004</v>
      </c>
      <c r="H6331" s="43"/>
      <c r="I6331" s="39"/>
      <c r="J6331" s="148">
        <v>0</v>
      </c>
      <c r="K6331" s="222">
        <v>0</v>
      </c>
    </row>
    <row r="6332" spans="1:11" ht="15.75" hidden="1" thickBot="1" x14ac:dyDescent="0.3">
      <c r="A6332" s="208"/>
      <c r="B6332" s="206"/>
      <c r="C6332" s="35"/>
      <c r="D6332" s="35"/>
      <c r="E6332" s="36"/>
      <c r="F6332" s="30" t="s">
        <v>514</v>
      </c>
      <c r="G6332" s="53"/>
      <c r="H6332" s="43"/>
      <c r="I6332" s="39"/>
      <c r="J6332" s="148">
        <v>0</v>
      </c>
      <c r="K6332" s="222">
        <v>0</v>
      </c>
    </row>
    <row r="6333" spans="1:11" ht="15.75" hidden="1" thickBot="1" x14ac:dyDescent="0.3">
      <c r="A6333" s="202" t="s">
        <v>6224</v>
      </c>
      <c r="B6333" s="204" t="str">
        <f>INDEX(Orçamentária!A:B,MATCH(Composições!A6333,Orçamentária!A:A,0),2)</f>
        <v>Canaleta de concreto armado 30 cm x 30 cm com tampa</v>
      </c>
      <c r="C6333" s="40"/>
      <c r="D6333" s="25" t="str">
        <f>TRIM(INDEX(Orçamentária!C:C,MATCH(Composições!A6333,Orçamentária!A:A,0),1))</f>
        <v>m</v>
      </c>
      <c r="E6333" s="26"/>
      <c r="F6333" s="48" t="s">
        <v>514</v>
      </c>
      <c r="G6333" s="27" t="str">
        <f t="shared" ref="G6333:G6341" si="128">IF(ISNUMBER(F6333),E6333*F6333,"")</f>
        <v/>
      </c>
      <c r="H6333" s="28"/>
      <c r="I6333" s="29"/>
      <c r="J6333" s="148">
        <v>0</v>
      </c>
      <c r="K6333" s="222">
        <v>0</v>
      </c>
    </row>
    <row r="6334" spans="1:11" hidden="1" x14ac:dyDescent="0.25">
      <c r="A6334" s="207"/>
      <c r="B6334" s="205"/>
      <c r="C6334" s="31"/>
      <c r="D6334" s="31"/>
      <c r="E6334" s="32"/>
      <c r="F6334" s="53" t="s">
        <v>514</v>
      </c>
      <c r="G6334" s="53" t="str">
        <f t="shared" si="128"/>
        <v/>
      </c>
      <c r="H6334" s="72"/>
      <c r="I6334" s="73"/>
      <c r="J6334" s="148">
        <v>0</v>
      </c>
      <c r="K6334" s="222">
        <v>0</v>
      </c>
    </row>
    <row r="6335" spans="1:11" hidden="1" x14ac:dyDescent="0.25">
      <c r="A6335" s="207"/>
      <c r="B6335" s="205"/>
      <c r="C6335" s="35" t="s">
        <v>6407</v>
      </c>
      <c r="D6335" s="35" t="s">
        <v>94</v>
      </c>
      <c r="E6335" s="36">
        <v>3.12</v>
      </c>
      <c r="F6335" s="30">
        <v>0</v>
      </c>
      <c r="G6335" s="53">
        <f t="shared" si="128"/>
        <v>0</v>
      </c>
      <c r="H6335" s="38">
        <f>SUM(G6335:G6341)</f>
        <v>15.432749999999999</v>
      </c>
      <c r="I6335" s="39"/>
      <c r="J6335" s="148">
        <v>0</v>
      </c>
      <c r="K6335" s="222">
        <v>0</v>
      </c>
    </row>
    <row r="6336" spans="1:11" hidden="1" x14ac:dyDescent="0.25">
      <c r="A6336" s="207"/>
      <c r="B6336" s="205"/>
      <c r="C6336" s="35" t="s">
        <v>6408</v>
      </c>
      <c r="D6336" s="35" t="s">
        <v>119</v>
      </c>
      <c r="E6336" s="36">
        <v>0.17299999999999999</v>
      </c>
      <c r="F6336" s="30">
        <v>0</v>
      </c>
      <c r="G6336" s="53">
        <f t="shared" si="128"/>
        <v>0</v>
      </c>
      <c r="H6336" s="43"/>
      <c r="I6336" s="39"/>
      <c r="J6336" s="148">
        <v>0</v>
      </c>
      <c r="K6336" s="222">
        <v>0</v>
      </c>
    </row>
    <row r="6337" spans="1:11" hidden="1" x14ac:dyDescent="0.25">
      <c r="A6337" s="207"/>
      <c r="B6337" s="205"/>
      <c r="C6337" s="35" t="s">
        <v>6409</v>
      </c>
      <c r="D6337" s="35" t="s">
        <v>94</v>
      </c>
      <c r="E6337" s="36">
        <v>2.56</v>
      </c>
      <c r="F6337" s="30">
        <v>0</v>
      </c>
      <c r="G6337" s="53">
        <f t="shared" si="128"/>
        <v>0</v>
      </c>
      <c r="H6337" s="43"/>
      <c r="I6337" s="39"/>
      <c r="J6337" s="148">
        <v>0</v>
      </c>
      <c r="K6337" s="222">
        <v>0</v>
      </c>
    </row>
    <row r="6338" spans="1:11" hidden="1" x14ac:dyDescent="0.25">
      <c r="A6338" s="207"/>
      <c r="B6338" s="205"/>
      <c r="C6338" s="35" t="s">
        <v>6410</v>
      </c>
      <c r="D6338" s="35" t="s">
        <v>119</v>
      </c>
      <c r="E6338" s="36">
        <v>3.3000000000000002E-2</v>
      </c>
      <c r="F6338" s="30">
        <v>0</v>
      </c>
      <c r="G6338" s="53">
        <f t="shared" si="128"/>
        <v>0</v>
      </c>
      <c r="H6338" s="43"/>
      <c r="I6338" s="39"/>
      <c r="J6338" s="148">
        <v>0</v>
      </c>
      <c r="K6338" s="222">
        <v>0</v>
      </c>
    </row>
    <row r="6339" spans="1:11" hidden="1" x14ac:dyDescent="0.25">
      <c r="A6339" s="207"/>
      <c r="B6339" s="205"/>
      <c r="C6339" s="35" t="s">
        <v>703</v>
      </c>
      <c r="D6339" s="35" t="s">
        <v>695</v>
      </c>
      <c r="E6339" s="36">
        <v>0.25</v>
      </c>
      <c r="F6339" s="30">
        <v>24.889999999999997</v>
      </c>
      <c r="G6339" s="53">
        <f t="shared" si="128"/>
        <v>6.2224999999999993</v>
      </c>
      <c r="H6339" s="43"/>
      <c r="I6339" s="39"/>
      <c r="J6339" s="148">
        <v>0</v>
      </c>
      <c r="K6339" s="222">
        <v>0</v>
      </c>
    </row>
    <row r="6340" spans="1:11" hidden="1" x14ac:dyDescent="0.25">
      <c r="A6340" s="207"/>
      <c r="B6340" s="205"/>
      <c r="C6340" s="35" t="s">
        <v>696</v>
      </c>
      <c r="D6340" s="35" t="s">
        <v>695</v>
      </c>
      <c r="E6340" s="36">
        <v>0.5</v>
      </c>
      <c r="F6340" s="30">
        <v>18.420500000000001</v>
      </c>
      <c r="G6340" s="53">
        <f t="shared" si="128"/>
        <v>9.2102500000000003</v>
      </c>
      <c r="H6340" s="43"/>
      <c r="I6340" s="39"/>
      <c r="J6340" s="148">
        <v>0</v>
      </c>
      <c r="K6340" s="222">
        <v>0</v>
      </c>
    </row>
    <row r="6341" spans="1:11" hidden="1" x14ac:dyDescent="0.25">
      <c r="A6341" s="207"/>
      <c r="B6341" s="205"/>
      <c r="C6341" s="35" t="s">
        <v>6411</v>
      </c>
      <c r="D6341" s="35" t="s">
        <v>20</v>
      </c>
      <c r="E6341" s="36">
        <v>1.7</v>
      </c>
      <c r="F6341" s="30">
        <v>0</v>
      </c>
      <c r="G6341" s="53">
        <f t="shared" si="128"/>
        <v>0</v>
      </c>
      <c r="H6341" s="43"/>
      <c r="I6341" s="39"/>
      <c r="J6341" s="148">
        <v>0</v>
      </c>
      <c r="K6341" s="222">
        <v>0</v>
      </c>
    </row>
    <row r="6342" spans="1:11" ht="15.75" hidden="1" thickBot="1" x14ac:dyDescent="0.3">
      <c r="A6342" s="208"/>
      <c r="B6342" s="206"/>
      <c r="C6342" s="35"/>
      <c r="D6342" s="35"/>
      <c r="E6342" s="36"/>
      <c r="F6342" s="30" t="s">
        <v>514</v>
      </c>
      <c r="G6342" s="53"/>
      <c r="H6342" s="43"/>
      <c r="I6342" s="39"/>
      <c r="J6342" s="148">
        <v>0</v>
      </c>
      <c r="K6342" s="222">
        <v>0</v>
      </c>
    </row>
    <row r="6343" spans="1:11" ht="15.75" hidden="1" thickBot="1" x14ac:dyDescent="0.3">
      <c r="A6343" s="202" t="s">
        <v>6225</v>
      </c>
      <c r="B6343" s="204" t="str">
        <f>INDEX(Orçamentária!A:B,MATCH(Composições!A6343,Orçamentária!A:A,0),2)</f>
        <v>Remoção de árvore, inclusive raiz</v>
      </c>
      <c r="C6343" s="40"/>
      <c r="D6343" s="25" t="str">
        <f>TRIM(INDEX(Orçamentária!C:C,MATCH(Composições!A6343,Orçamentária!A:A,0),1))</f>
        <v>un</v>
      </c>
      <c r="E6343" s="26"/>
      <c r="F6343" s="48" t="s">
        <v>514</v>
      </c>
      <c r="G6343" s="27" t="str">
        <f t="shared" ref="G6343:G6350" si="129">IF(ISNUMBER(F6343),E6343*F6343,"")</f>
        <v/>
      </c>
      <c r="H6343" s="28"/>
      <c r="I6343" s="29"/>
      <c r="J6343" s="148">
        <v>0</v>
      </c>
      <c r="K6343" s="222">
        <v>0</v>
      </c>
    </row>
    <row r="6344" spans="1:11" hidden="1" x14ac:dyDescent="0.25">
      <c r="A6344" s="207"/>
      <c r="B6344" s="205"/>
      <c r="C6344" s="31"/>
      <c r="D6344" s="31"/>
      <c r="E6344" s="32"/>
      <c r="F6344" s="53" t="s">
        <v>514</v>
      </c>
      <c r="G6344" s="53" t="str">
        <f t="shared" si="129"/>
        <v/>
      </c>
      <c r="H6344" s="72"/>
      <c r="I6344" s="73"/>
      <c r="J6344" s="148">
        <v>0</v>
      </c>
      <c r="K6344" s="222">
        <v>0</v>
      </c>
    </row>
    <row r="6345" spans="1:11" hidden="1" x14ac:dyDescent="0.25">
      <c r="A6345" s="207"/>
      <c r="B6345" s="205"/>
      <c r="C6345" s="35" t="s">
        <v>696</v>
      </c>
      <c r="D6345" s="35" t="s">
        <v>695</v>
      </c>
      <c r="E6345" s="36">
        <v>1.5444</v>
      </c>
      <c r="F6345" s="30">
        <v>18.420500000000001</v>
      </c>
      <c r="G6345" s="53">
        <f t="shared" si="129"/>
        <v>28.448620200000001</v>
      </c>
      <c r="H6345" s="38">
        <f>SUM(G6345:G6350)</f>
        <v>130.5228123</v>
      </c>
      <c r="I6345" s="39"/>
      <c r="J6345" s="148">
        <v>0</v>
      </c>
      <c r="K6345" s="222">
        <v>0</v>
      </c>
    </row>
    <row r="6346" spans="1:11" hidden="1" x14ac:dyDescent="0.25">
      <c r="A6346" s="207"/>
      <c r="B6346" s="205"/>
      <c r="C6346" s="35" t="s">
        <v>1076</v>
      </c>
      <c r="D6346" s="35" t="s">
        <v>695</v>
      </c>
      <c r="E6346" s="36">
        <v>1.5444</v>
      </c>
      <c r="F6346" s="30">
        <v>19.522500000000001</v>
      </c>
      <c r="G6346" s="53">
        <f t="shared" si="129"/>
        <v>30.150549000000002</v>
      </c>
      <c r="H6346" s="43"/>
      <c r="I6346" s="39"/>
      <c r="J6346" s="148">
        <v>0</v>
      </c>
      <c r="K6346" s="222">
        <v>0</v>
      </c>
    </row>
    <row r="6347" spans="1:11" ht="63.75" hidden="1" x14ac:dyDescent="0.25">
      <c r="A6347" s="207"/>
      <c r="B6347" s="205"/>
      <c r="C6347" s="35" t="s">
        <v>3179</v>
      </c>
      <c r="D6347" s="35" t="s">
        <v>932</v>
      </c>
      <c r="E6347" s="36">
        <v>0.1333</v>
      </c>
      <c r="F6347" s="30">
        <v>138.96600000000001</v>
      </c>
      <c r="G6347" s="53">
        <f t="shared" si="129"/>
        <v>18.524167800000001</v>
      </c>
      <c r="H6347" s="43"/>
      <c r="I6347" s="39"/>
      <c r="J6347" s="148">
        <v>0</v>
      </c>
      <c r="K6347" s="222">
        <v>0</v>
      </c>
    </row>
    <row r="6348" spans="1:11" ht="63.75" hidden="1" x14ac:dyDescent="0.25">
      <c r="A6348" s="207"/>
      <c r="B6348" s="205"/>
      <c r="C6348" s="35" t="s">
        <v>3185</v>
      </c>
      <c r="D6348" s="35" t="s">
        <v>934</v>
      </c>
      <c r="E6348" s="36">
        <v>0.54459999999999997</v>
      </c>
      <c r="F6348" s="30">
        <v>50.8155</v>
      </c>
      <c r="G6348" s="53">
        <f t="shared" si="129"/>
        <v>27.674121299999999</v>
      </c>
      <c r="H6348" s="43"/>
      <c r="I6348" s="39"/>
      <c r="J6348" s="148">
        <v>0</v>
      </c>
      <c r="K6348" s="222">
        <v>0</v>
      </c>
    </row>
    <row r="6349" spans="1:11" hidden="1" x14ac:dyDescent="0.25">
      <c r="A6349" s="207"/>
      <c r="B6349" s="205"/>
      <c r="C6349" s="35" t="s">
        <v>696</v>
      </c>
      <c r="D6349" s="35" t="s">
        <v>695</v>
      </c>
      <c r="E6349" s="36">
        <v>0.67800000000000005</v>
      </c>
      <c r="F6349" s="30">
        <v>18.420500000000001</v>
      </c>
      <c r="G6349" s="53">
        <f t="shared" si="129"/>
        <v>12.489099000000001</v>
      </c>
      <c r="H6349" s="43"/>
      <c r="I6349" s="39"/>
      <c r="J6349" s="148">
        <v>0</v>
      </c>
      <c r="K6349" s="222">
        <v>0</v>
      </c>
    </row>
    <row r="6350" spans="1:11" hidden="1" x14ac:dyDescent="0.25">
      <c r="A6350" s="207"/>
      <c r="B6350" s="205"/>
      <c r="C6350" s="35" t="s">
        <v>1076</v>
      </c>
      <c r="D6350" s="35" t="s">
        <v>695</v>
      </c>
      <c r="E6350" s="36">
        <v>0.67800000000000005</v>
      </c>
      <c r="F6350" s="30">
        <v>19.522500000000001</v>
      </c>
      <c r="G6350" s="53">
        <f t="shared" si="129"/>
        <v>13.236255000000002</v>
      </c>
      <c r="H6350" s="43"/>
      <c r="I6350" s="39"/>
      <c r="J6350" s="148">
        <v>0</v>
      </c>
      <c r="K6350" s="222">
        <v>0</v>
      </c>
    </row>
    <row r="6351" spans="1:11" ht="15.75" hidden="1" thickBot="1" x14ac:dyDescent="0.3">
      <c r="A6351" s="208"/>
      <c r="B6351" s="206"/>
      <c r="C6351" s="35"/>
      <c r="D6351" s="35"/>
      <c r="E6351" s="36"/>
      <c r="F6351" s="30" t="s">
        <v>514</v>
      </c>
      <c r="G6351" s="53"/>
      <c r="H6351" s="43"/>
      <c r="I6351" s="39"/>
      <c r="J6351" s="148">
        <v>0</v>
      </c>
      <c r="K6351" s="222">
        <v>0</v>
      </c>
    </row>
    <row r="6352" spans="1:11" ht="15.75" hidden="1" thickBot="1" x14ac:dyDescent="0.3">
      <c r="A6352" s="202" t="s">
        <v>6226</v>
      </c>
      <c r="B6352" s="204" t="str">
        <f>INDEX(Orçamentária!A:B,MATCH(Composições!A6352,Orçamentária!A:A,0),2)</f>
        <v>Demolição de telhas</v>
      </c>
      <c r="C6352" s="40"/>
      <c r="D6352" s="25" t="str">
        <f>TRIM(INDEX(Orçamentária!C:C,MATCH(Composições!A6352,Orçamentária!A:A,0),1))</f>
        <v>m2</v>
      </c>
      <c r="E6352" s="26"/>
      <c r="F6352" s="48" t="s">
        <v>514</v>
      </c>
      <c r="G6352" s="27" t="str">
        <f>IF(ISNUMBER(F6352),E6352*F6352,"")</f>
        <v/>
      </c>
      <c r="H6352" s="28"/>
      <c r="I6352" s="29"/>
      <c r="J6352" s="148">
        <v>0</v>
      </c>
      <c r="K6352" s="222">
        <v>0</v>
      </c>
    </row>
    <row r="6353" spans="1:11" hidden="1" x14ac:dyDescent="0.25">
      <c r="A6353" s="207"/>
      <c r="B6353" s="205"/>
      <c r="C6353" s="31"/>
      <c r="D6353" s="31"/>
      <c r="E6353" s="32"/>
      <c r="F6353" s="53" t="s">
        <v>514</v>
      </c>
      <c r="G6353" s="53" t="str">
        <f>IF(ISNUMBER(F6353),E6353*F6353,"")</f>
        <v/>
      </c>
      <c r="H6353" s="72"/>
      <c r="I6353" s="73"/>
      <c r="J6353" s="148">
        <v>0</v>
      </c>
      <c r="K6353" s="222">
        <v>0</v>
      </c>
    </row>
    <row r="6354" spans="1:11" hidden="1" x14ac:dyDescent="0.25">
      <c r="A6354" s="207"/>
      <c r="B6354" s="205"/>
      <c r="C6354" s="35" t="s">
        <v>696</v>
      </c>
      <c r="D6354" s="35" t="s">
        <v>695</v>
      </c>
      <c r="E6354" s="36">
        <v>9.7100000000000006E-2</v>
      </c>
      <c r="F6354" s="30">
        <v>18.420500000000001</v>
      </c>
      <c r="G6354" s="53">
        <f>IF(ISNUMBER(F6354),E6354*F6354,"")</f>
        <v>1.7886305500000002</v>
      </c>
      <c r="H6354" s="38">
        <f>SUM(G6354:G6355)</f>
        <v>2.99473155</v>
      </c>
      <c r="I6354" s="39"/>
      <c r="J6354" s="148">
        <v>0</v>
      </c>
      <c r="K6354" s="222">
        <v>0</v>
      </c>
    </row>
    <row r="6355" spans="1:11" hidden="1" x14ac:dyDescent="0.25">
      <c r="A6355" s="207"/>
      <c r="B6355" s="205"/>
      <c r="C6355" s="35" t="s">
        <v>1293</v>
      </c>
      <c r="D6355" s="35" t="s">
        <v>695</v>
      </c>
      <c r="E6355" s="36">
        <v>4.9399999999999999E-2</v>
      </c>
      <c r="F6355" s="30">
        <v>24.414999999999999</v>
      </c>
      <c r="G6355" s="53">
        <f>IF(ISNUMBER(F6355),E6355*F6355,"")</f>
        <v>1.2061009999999999</v>
      </c>
      <c r="H6355" s="43"/>
      <c r="I6355" s="39"/>
      <c r="J6355" s="148">
        <v>0</v>
      </c>
      <c r="K6355" s="222">
        <v>0</v>
      </c>
    </row>
    <row r="6356" spans="1:11" ht="15.75" hidden="1" thickBot="1" x14ac:dyDescent="0.3">
      <c r="A6356" s="208"/>
      <c r="B6356" s="206"/>
      <c r="C6356" s="35"/>
      <c r="D6356" s="35"/>
      <c r="E6356" s="36"/>
      <c r="F6356" s="30" t="s">
        <v>514</v>
      </c>
      <c r="G6356" s="53"/>
      <c r="H6356" s="43"/>
      <c r="I6356" s="39"/>
      <c r="J6356" s="148">
        <v>0</v>
      </c>
      <c r="K6356" s="222">
        <v>0</v>
      </c>
    </row>
    <row r="6357" spans="1:11" ht="15.75" hidden="1" thickBot="1" x14ac:dyDescent="0.3">
      <c r="A6357" s="202" t="s">
        <v>6227</v>
      </c>
      <c r="B6357" s="204" t="str">
        <f>INDEX(Orçamentária!A:B,MATCH(Composições!A6357,Orçamentária!A:A,0),2)</f>
        <v>Locação de obra</v>
      </c>
      <c r="C6357" s="40"/>
      <c r="D6357" s="25" t="str">
        <f>TRIM(INDEX(Orçamentária!C:C,MATCH(Composições!A6357,Orçamentária!A:A,0),1))</f>
        <v>m</v>
      </c>
      <c r="E6357" s="26"/>
      <c r="F6357" s="48" t="s">
        <v>514</v>
      </c>
      <c r="G6357" s="27" t="str">
        <f t="shared" ref="G6357:G6369" si="130">IF(ISNUMBER(F6357),E6357*F6357,"")</f>
        <v/>
      </c>
      <c r="H6357" s="28"/>
      <c r="I6357" s="29"/>
      <c r="J6357" s="148">
        <v>0</v>
      </c>
      <c r="K6357" s="222">
        <v>0</v>
      </c>
    </row>
    <row r="6358" spans="1:11" hidden="1" x14ac:dyDescent="0.25">
      <c r="A6358" s="207"/>
      <c r="B6358" s="205"/>
      <c r="C6358" s="31"/>
      <c r="D6358" s="31"/>
      <c r="E6358" s="32"/>
      <c r="F6358" s="53" t="s">
        <v>514</v>
      </c>
      <c r="G6358" s="53" t="str">
        <f t="shared" si="130"/>
        <v/>
      </c>
      <c r="H6358" s="72"/>
      <c r="I6358" s="73"/>
      <c r="J6358" s="148">
        <v>0</v>
      </c>
      <c r="K6358" s="222">
        <v>0</v>
      </c>
    </row>
    <row r="6359" spans="1:11" ht="25.5" hidden="1" x14ac:dyDescent="0.25">
      <c r="A6359" s="207"/>
      <c r="B6359" s="205"/>
      <c r="C6359" s="35" t="s">
        <v>6626</v>
      </c>
      <c r="D6359" s="35" t="s">
        <v>473</v>
      </c>
      <c r="E6359" s="36">
        <v>0.74450000000000005</v>
      </c>
      <c r="F6359" s="30">
        <v>8.17</v>
      </c>
      <c r="G6359" s="53">
        <f t="shared" si="130"/>
        <v>6.0825650000000007</v>
      </c>
      <c r="H6359" s="38">
        <f>SUM(G6359:G6369)</f>
        <v>57.564541191545302</v>
      </c>
      <c r="I6359" s="39"/>
      <c r="J6359" s="148">
        <v>0</v>
      </c>
      <c r="K6359" s="222">
        <v>0</v>
      </c>
    </row>
    <row r="6360" spans="1:11" ht="25.5" hidden="1" x14ac:dyDescent="0.25">
      <c r="A6360" s="207"/>
      <c r="B6360" s="205"/>
      <c r="C6360" s="35" t="s">
        <v>6627</v>
      </c>
      <c r="D6360" s="35" t="s">
        <v>473</v>
      </c>
      <c r="E6360" s="36">
        <v>0.41249999999999998</v>
      </c>
      <c r="F6360" s="30">
        <v>29.345499999999998</v>
      </c>
      <c r="G6360" s="53">
        <f t="shared" si="130"/>
        <v>12.105018749999999</v>
      </c>
      <c r="H6360" s="43"/>
      <c r="I6360" s="39"/>
      <c r="J6360" s="148">
        <v>0</v>
      </c>
      <c r="K6360" s="222">
        <v>0</v>
      </c>
    </row>
    <row r="6361" spans="1:11" hidden="1" x14ac:dyDescent="0.25">
      <c r="A6361" s="207"/>
      <c r="B6361" s="205"/>
      <c r="C6361" s="35" t="s">
        <v>1356</v>
      </c>
      <c r="D6361" s="35" t="s">
        <v>891</v>
      </c>
      <c r="E6361" s="36">
        <v>0.111</v>
      </c>
      <c r="F6361" s="30">
        <v>22.628999999999998</v>
      </c>
      <c r="G6361" s="53">
        <f t="shared" si="130"/>
        <v>2.5118189999999996</v>
      </c>
      <c r="H6361" s="43"/>
      <c r="I6361" s="39"/>
      <c r="J6361" s="148">
        <v>0</v>
      </c>
      <c r="K6361" s="222">
        <v>0</v>
      </c>
    </row>
    <row r="6362" spans="1:11" hidden="1" x14ac:dyDescent="0.25">
      <c r="A6362" s="207"/>
      <c r="B6362" s="205"/>
      <c r="C6362" s="35" t="s">
        <v>6773</v>
      </c>
      <c r="D6362" s="35" t="s">
        <v>101</v>
      </c>
      <c r="E6362" s="36">
        <v>2.5600000000000001E-2</v>
      </c>
      <c r="F6362" s="30">
        <v>25.241499999999998</v>
      </c>
      <c r="G6362" s="53">
        <f t="shared" si="130"/>
        <v>0.64618240000000005</v>
      </c>
      <c r="H6362" s="43"/>
      <c r="I6362" s="39"/>
      <c r="J6362" s="148">
        <v>0</v>
      </c>
      <c r="K6362" s="222">
        <v>0</v>
      </c>
    </row>
    <row r="6363" spans="1:11" ht="25.5" hidden="1" x14ac:dyDescent="0.25">
      <c r="A6363" s="207"/>
      <c r="B6363" s="205"/>
      <c r="C6363" s="35" t="s">
        <v>3687</v>
      </c>
      <c r="D6363" s="35" t="s">
        <v>473</v>
      </c>
      <c r="E6363" s="36">
        <v>0.55000000000000004</v>
      </c>
      <c r="F6363" s="30">
        <v>9.386000000000001</v>
      </c>
      <c r="G6363" s="53">
        <f t="shared" si="130"/>
        <v>5.162300000000001</v>
      </c>
      <c r="H6363" s="43"/>
      <c r="I6363" s="39"/>
      <c r="J6363" s="148">
        <v>0</v>
      </c>
      <c r="K6363" s="222">
        <v>0</v>
      </c>
    </row>
    <row r="6364" spans="1:11" hidden="1" x14ac:dyDescent="0.25">
      <c r="A6364" s="207"/>
      <c r="B6364" s="205"/>
      <c r="C6364" s="35" t="s">
        <v>778</v>
      </c>
      <c r="D6364" s="35" t="s">
        <v>695</v>
      </c>
      <c r="E6364" s="36">
        <v>0.35630000000000001</v>
      </c>
      <c r="F6364" s="30">
        <v>19.494</v>
      </c>
      <c r="G6364" s="53">
        <f t="shared" si="130"/>
        <v>6.9457122</v>
      </c>
      <c r="H6364" s="43"/>
      <c r="I6364" s="39"/>
      <c r="J6364" s="148">
        <v>0</v>
      </c>
      <c r="K6364" s="222">
        <v>0</v>
      </c>
    </row>
    <row r="6365" spans="1:11" hidden="1" x14ac:dyDescent="0.25">
      <c r="A6365" s="207"/>
      <c r="B6365" s="205"/>
      <c r="C6365" s="35" t="s">
        <v>983</v>
      </c>
      <c r="D6365" s="35" t="s">
        <v>695</v>
      </c>
      <c r="E6365" s="36">
        <v>0.71250000000000002</v>
      </c>
      <c r="F6365" s="30">
        <v>24.633499999999998</v>
      </c>
      <c r="G6365" s="53">
        <f t="shared" si="130"/>
        <v>17.551368749999998</v>
      </c>
      <c r="H6365" s="43"/>
      <c r="I6365" s="39"/>
      <c r="J6365" s="148">
        <v>0</v>
      </c>
      <c r="K6365" s="222">
        <v>0</v>
      </c>
    </row>
    <row r="6366" spans="1:11" ht="25.5" hidden="1" x14ac:dyDescent="0.25">
      <c r="A6366" s="207"/>
      <c r="B6366" s="205"/>
      <c r="C6366" s="35" t="s">
        <v>1146</v>
      </c>
      <c r="D6366" s="35" t="s">
        <v>932</v>
      </c>
      <c r="E6366" s="36">
        <v>3.8999999999999998E-3</v>
      </c>
      <c r="F6366" s="30">
        <v>20.234999999999999</v>
      </c>
      <c r="G6366" s="53">
        <f t="shared" si="130"/>
        <v>7.8916500000000001E-2</v>
      </c>
      <c r="H6366" s="43"/>
      <c r="I6366" s="39"/>
      <c r="J6366" s="148">
        <v>0</v>
      </c>
      <c r="K6366" s="222">
        <v>0</v>
      </c>
    </row>
    <row r="6367" spans="1:11" ht="25.5" hidden="1" x14ac:dyDescent="0.25">
      <c r="A6367" s="207"/>
      <c r="B6367" s="205"/>
      <c r="C6367" s="35" t="s">
        <v>1147</v>
      </c>
      <c r="D6367" s="35" t="s">
        <v>934</v>
      </c>
      <c r="E6367" s="36">
        <v>1.6799999999999999E-2</v>
      </c>
      <c r="F6367" s="30">
        <v>19.456</v>
      </c>
      <c r="G6367" s="53">
        <f t="shared" si="130"/>
        <v>0.32686079999999995</v>
      </c>
      <c r="H6367" s="43"/>
      <c r="I6367" s="39"/>
      <c r="J6367" s="148">
        <v>0</v>
      </c>
      <c r="K6367" s="222">
        <v>0</v>
      </c>
    </row>
    <row r="6368" spans="1:11" ht="38.25" hidden="1" x14ac:dyDescent="0.25">
      <c r="A6368" s="207"/>
      <c r="B6368" s="205"/>
      <c r="C6368" s="35" t="s">
        <v>6592</v>
      </c>
      <c r="D6368" s="35" t="s">
        <v>119</v>
      </c>
      <c r="E6368" s="36">
        <v>4.5999999999999999E-3</v>
      </c>
      <c r="F6368" s="30">
        <v>589.26401446636999</v>
      </c>
      <c r="G6368" s="53">
        <f t="shared" si="130"/>
        <v>2.710614466545302</v>
      </c>
      <c r="H6368" s="43"/>
      <c r="I6368" s="39"/>
      <c r="J6368" s="148">
        <v>0</v>
      </c>
      <c r="K6368" s="222">
        <v>0</v>
      </c>
    </row>
    <row r="6369" spans="1:11" hidden="1" x14ac:dyDescent="0.25">
      <c r="A6369" s="207"/>
      <c r="B6369" s="205"/>
      <c r="C6369" s="35" t="s">
        <v>3214</v>
      </c>
      <c r="D6369" s="35" t="s">
        <v>278</v>
      </c>
      <c r="E6369" s="36">
        <v>1.5</v>
      </c>
      <c r="F6369" s="30">
        <v>2.2954555499999998</v>
      </c>
      <c r="G6369" s="53">
        <f t="shared" si="130"/>
        <v>3.4431833249999997</v>
      </c>
      <c r="H6369" s="43"/>
      <c r="I6369" s="39"/>
      <c r="J6369" s="148">
        <v>0</v>
      </c>
      <c r="K6369" s="222">
        <v>0</v>
      </c>
    </row>
    <row r="6370" spans="1:11" ht="15.75" hidden="1" thickBot="1" x14ac:dyDescent="0.3">
      <c r="A6370" s="208"/>
      <c r="B6370" s="206"/>
      <c r="C6370" s="35"/>
      <c r="D6370" s="35"/>
      <c r="E6370" s="36"/>
      <c r="F6370" s="30" t="s">
        <v>514</v>
      </c>
      <c r="G6370" s="53"/>
      <c r="H6370" s="43"/>
      <c r="I6370" s="39"/>
      <c r="J6370" s="148">
        <v>0</v>
      </c>
      <c r="K6370" s="222">
        <v>0</v>
      </c>
    </row>
    <row r="6371" spans="1:11" ht="15.75" hidden="1" thickBot="1" x14ac:dyDescent="0.3">
      <c r="A6371" s="202" t="s">
        <v>6228</v>
      </c>
      <c r="B6371" s="204" t="str">
        <f>INDEX(Orçamentária!A:B,MATCH(Composições!A6371,Orçamentária!A:A,0),2)</f>
        <v>Paraciclo metálico para bicicletas</v>
      </c>
      <c r="C6371" s="40"/>
      <c r="D6371" s="25" t="str">
        <f>TRIM(INDEX(Orçamentária!C:C,MATCH(Composições!A6371,Orçamentária!A:A,0),1))</f>
        <v>un</v>
      </c>
      <c r="E6371" s="26"/>
      <c r="F6371" s="48" t="s">
        <v>514</v>
      </c>
      <c r="G6371" s="27" t="str">
        <f t="shared" ref="G6371:G6382" si="131">IF(ISNUMBER(F6371),E6371*F6371,"")</f>
        <v/>
      </c>
      <c r="H6371" s="28"/>
      <c r="I6371" s="29"/>
      <c r="J6371" s="148">
        <v>0</v>
      </c>
      <c r="K6371" s="222">
        <v>0</v>
      </c>
    </row>
    <row r="6372" spans="1:11" hidden="1" x14ac:dyDescent="0.25">
      <c r="A6372" s="207"/>
      <c r="B6372" s="205"/>
      <c r="C6372" s="31"/>
      <c r="D6372" s="31"/>
      <c r="E6372" s="32"/>
      <c r="F6372" s="53" t="s">
        <v>514</v>
      </c>
      <c r="G6372" s="53" t="str">
        <f t="shared" si="131"/>
        <v/>
      </c>
      <c r="H6372" s="72"/>
      <c r="I6372" s="73"/>
      <c r="J6372" s="148">
        <v>0</v>
      </c>
      <c r="K6372" s="222">
        <v>0</v>
      </c>
    </row>
    <row r="6373" spans="1:11" ht="25.5" hidden="1" x14ac:dyDescent="0.25">
      <c r="A6373" s="207"/>
      <c r="B6373" s="205"/>
      <c r="C6373" s="35" t="s">
        <v>6412</v>
      </c>
      <c r="D6373" s="35" t="s">
        <v>278</v>
      </c>
      <c r="E6373" s="36">
        <v>4</v>
      </c>
      <c r="F6373" s="30">
        <v>0</v>
      </c>
      <c r="G6373" s="53">
        <f t="shared" si="131"/>
        <v>0</v>
      </c>
      <c r="H6373" s="38">
        <f>SUM(G6373:G6382)</f>
        <v>431.81973350499999</v>
      </c>
      <c r="I6373" s="39"/>
      <c r="J6373" s="148">
        <v>0</v>
      </c>
      <c r="K6373" s="222">
        <v>0</v>
      </c>
    </row>
    <row r="6374" spans="1:11" hidden="1" x14ac:dyDescent="0.25">
      <c r="A6374" s="207"/>
      <c r="B6374" s="205"/>
      <c r="C6374" s="35" t="s">
        <v>703</v>
      </c>
      <c r="D6374" s="35" t="s">
        <v>695</v>
      </c>
      <c r="E6374" s="36">
        <v>0.4</v>
      </c>
      <c r="F6374" s="30">
        <v>24.889999999999997</v>
      </c>
      <c r="G6374" s="53">
        <f t="shared" si="131"/>
        <v>9.9559999999999995</v>
      </c>
      <c r="H6374" s="43"/>
      <c r="I6374" s="39"/>
      <c r="J6374" s="148">
        <v>0</v>
      </c>
      <c r="K6374" s="222">
        <v>0</v>
      </c>
    </row>
    <row r="6375" spans="1:11" hidden="1" x14ac:dyDescent="0.25">
      <c r="A6375" s="207"/>
      <c r="B6375" s="205"/>
      <c r="C6375" s="35" t="s">
        <v>608</v>
      </c>
      <c r="D6375" s="35" t="s">
        <v>695</v>
      </c>
      <c r="E6375" s="36">
        <v>1.5</v>
      </c>
      <c r="F6375" s="30">
        <v>24.747499999999999</v>
      </c>
      <c r="G6375" s="53">
        <f t="shared" si="131"/>
        <v>37.121249999999996</v>
      </c>
      <c r="H6375" s="43"/>
      <c r="I6375" s="39"/>
      <c r="J6375" s="148">
        <v>0</v>
      </c>
      <c r="K6375" s="222">
        <v>0</v>
      </c>
    </row>
    <row r="6376" spans="1:11" hidden="1" x14ac:dyDescent="0.25">
      <c r="A6376" s="207"/>
      <c r="B6376" s="205"/>
      <c r="C6376" s="35" t="s">
        <v>696</v>
      </c>
      <c r="D6376" s="35" t="s">
        <v>695</v>
      </c>
      <c r="E6376" s="36">
        <v>0.4</v>
      </c>
      <c r="F6376" s="30">
        <v>18.420500000000001</v>
      </c>
      <c r="G6376" s="53">
        <f t="shared" si="131"/>
        <v>7.3682000000000007</v>
      </c>
      <c r="H6376" s="43"/>
      <c r="I6376" s="39"/>
      <c r="J6376" s="148">
        <v>0</v>
      </c>
      <c r="K6376" s="222">
        <v>0</v>
      </c>
    </row>
    <row r="6377" spans="1:11" hidden="1" x14ac:dyDescent="0.25">
      <c r="A6377" s="207"/>
      <c r="B6377" s="205"/>
      <c r="C6377" s="35" t="s">
        <v>1169</v>
      </c>
      <c r="D6377" s="35" t="s">
        <v>42</v>
      </c>
      <c r="E6377" s="36">
        <f>0.023*74.69</f>
        <v>1.71787</v>
      </c>
      <c r="F6377" s="30">
        <v>11.371499999999999</v>
      </c>
      <c r="G6377" s="53">
        <f t="shared" si="131"/>
        <v>19.534758704999998</v>
      </c>
      <c r="H6377" s="43"/>
      <c r="I6377" s="39"/>
      <c r="J6377" s="148">
        <v>0</v>
      </c>
      <c r="K6377" s="222">
        <v>0</v>
      </c>
    </row>
    <row r="6378" spans="1:11" ht="25.5" hidden="1" x14ac:dyDescent="0.25">
      <c r="A6378" s="207"/>
      <c r="B6378" s="205"/>
      <c r="C6378" s="35" t="s">
        <v>3364</v>
      </c>
      <c r="D6378" s="35" t="s">
        <v>92</v>
      </c>
      <c r="E6378" s="36">
        <v>3.05</v>
      </c>
      <c r="F6378" s="30">
        <v>110.181</v>
      </c>
      <c r="G6378" s="53">
        <f t="shared" si="131"/>
        <v>336.05204999999995</v>
      </c>
      <c r="H6378" s="43"/>
      <c r="I6378" s="39"/>
      <c r="J6378" s="148">
        <v>0</v>
      </c>
      <c r="K6378" s="222">
        <v>0</v>
      </c>
    </row>
    <row r="6379" spans="1:11" ht="25.5" hidden="1" x14ac:dyDescent="0.25">
      <c r="A6379" s="207"/>
      <c r="B6379" s="205"/>
      <c r="C6379" s="35" t="s">
        <v>1027</v>
      </c>
      <c r="D6379" s="35" t="s">
        <v>278</v>
      </c>
      <c r="E6379" s="36">
        <v>4</v>
      </c>
      <c r="F6379" s="30">
        <v>2.2989999999999999</v>
      </c>
      <c r="G6379" s="53">
        <f t="shared" si="131"/>
        <v>9.1959999999999997</v>
      </c>
      <c r="H6379" s="43"/>
      <c r="I6379" s="39"/>
      <c r="J6379" s="148">
        <v>0</v>
      </c>
      <c r="K6379" s="222">
        <v>0</v>
      </c>
    </row>
    <row r="6380" spans="1:11" hidden="1" x14ac:dyDescent="0.25">
      <c r="A6380" s="207"/>
      <c r="B6380" s="205"/>
      <c r="C6380" s="35" t="s">
        <v>1348</v>
      </c>
      <c r="D6380" s="35" t="s">
        <v>42</v>
      </c>
      <c r="E6380" s="36">
        <v>0.02</v>
      </c>
      <c r="F6380" s="30">
        <v>165.96499999999997</v>
      </c>
      <c r="G6380" s="53">
        <f t="shared" si="131"/>
        <v>3.3192999999999997</v>
      </c>
      <c r="H6380" s="43"/>
      <c r="I6380" s="39"/>
      <c r="J6380" s="148">
        <v>0</v>
      </c>
      <c r="K6380" s="222">
        <v>0</v>
      </c>
    </row>
    <row r="6381" spans="1:11" hidden="1" x14ac:dyDescent="0.25">
      <c r="A6381" s="207"/>
      <c r="B6381" s="205"/>
      <c r="C6381" s="35" t="s">
        <v>99</v>
      </c>
      <c r="D6381" s="46" t="s">
        <v>12</v>
      </c>
      <c r="E6381" s="36">
        <f>0.5708*0.48</f>
        <v>0.27398399999999995</v>
      </c>
      <c r="F6381" s="30">
        <v>25.887499999999999</v>
      </c>
      <c r="G6381" s="53">
        <f t="shared" si="131"/>
        <v>7.0927607999999989</v>
      </c>
      <c r="H6381" s="43"/>
      <c r="I6381" s="39"/>
      <c r="J6381" s="148">
        <v>0</v>
      </c>
      <c r="K6381" s="222">
        <v>0</v>
      </c>
    </row>
    <row r="6382" spans="1:11" hidden="1" x14ac:dyDescent="0.25">
      <c r="A6382" s="207"/>
      <c r="B6382" s="205"/>
      <c r="C6382" s="35" t="s">
        <v>203</v>
      </c>
      <c r="D6382" s="49" t="s">
        <v>101</v>
      </c>
      <c r="E6382" s="36">
        <f>ROUND(0.48*3*3.6/75,4)</f>
        <v>6.9099999999999995E-2</v>
      </c>
      <c r="F6382" s="30">
        <v>31.54</v>
      </c>
      <c r="G6382" s="53">
        <f t="shared" si="131"/>
        <v>2.179414</v>
      </c>
      <c r="H6382" s="43"/>
      <c r="I6382" s="39"/>
      <c r="J6382" s="148">
        <v>0</v>
      </c>
      <c r="K6382" s="222">
        <v>0</v>
      </c>
    </row>
    <row r="6383" spans="1:11" hidden="1" x14ac:dyDescent="0.25">
      <c r="A6383" s="207"/>
      <c r="B6383" s="205"/>
      <c r="C6383" s="35"/>
      <c r="D6383" s="35"/>
      <c r="E6383" s="36"/>
      <c r="F6383" s="30" t="s">
        <v>514</v>
      </c>
      <c r="G6383" s="53"/>
      <c r="H6383" s="43"/>
      <c r="I6383" s="39"/>
      <c r="J6383" s="148">
        <v>0</v>
      </c>
      <c r="K6383" s="222">
        <v>0</v>
      </c>
    </row>
    <row r="6384" spans="1:11" ht="38.25" hidden="1" x14ac:dyDescent="0.25">
      <c r="A6384" s="207"/>
      <c r="B6384" s="205"/>
      <c r="C6384" s="51" t="s">
        <v>3371</v>
      </c>
      <c r="D6384" s="35"/>
      <c r="E6384" s="36"/>
      <c r="F6384" s="30" t="s">
        <v>514</v>
      </c>
      <c r="G6384" s="53"/>
      <c r="H6384" s="43"/>
      <c r="I6384" s="39"/>
      <c r="J6384" s="148">
        <v>0</v>
      </c>
      <c r="K6384" s="222">
        <v>0</v>
      </c>
    </row>
    <row r="6385" spans="1:11" ht="15.75" hidden="1" thickBot="1" x14ac:dyDescent="0.3">
      <c r="A6385" s="208"/>
      <c r="B6385" s="206"/>
      <c r="C6385" s="35"/>
      <c r="D6385" s="35"/>
      <c r="E6385" s="36"/>
      <c r="F6385" s="30" t="s">
        <v>514</v>
      </c>
      <c r="G6385" s="53"/>
      <c r="H6385" s="43"/>
      <c r="I6385" s="39"/>
      <c r="J6385" s="148">
        <v>0</v>
      </c>
      <c r="K6385" s="222">
        <v>0</v>
      </c>
    </row>
    <row r="6386" spans="1:11" ht="15.75" hidden="1" thickBot="1" x14ac:dyDescent="0.3">
      <c r="A6386" s="202" t="s">
        <v>6230</v>
      </c>
      <c r="B6386" s="204" t="str">
        <f>INDEX(Orçamentária!A:B,MATCH(Composições!A6386,Orçamentária!A:A,0),2)</f>
        <v>Poste reto 5 metros – fornecimento e instalação</v>
      </c>
      <c r="C6386" s="40"/>
      <c r="D6386" s="25" t="str">
        <f>TRIM(INDEX(Orçamentária!C:C,MATCH(Composições!A6386,Orçamentária!A:A,0),1))</f>
        <v>un</v>
      </c>
      <c r="E6386" s="26"/>
      <c r="F6386" s="41" t="s">
        <v>514</v>
      </c>
      <c r="G6386" s="27" t="str">
        <f t="shared" ref="G6386:G6449" si="132">IF(ISNUMBER(F6386),E6386*F6386,"")</f>
        <v/>
      </c>
      <c r="H6386" s="28"/>
      <c r="I6386" s="29"/>
      <c r="J6386" s="148">
        <v>0</v>
      </c>
      <c r="K6386" s="222">
        <v>0</v>
      </c>
    </row>
    <row r="6387" spans="1:11" hidden="1" x14ac:dyDescent="0.25">
      <c r="A6387" s="203"/>
      <c r="B6387" s="205"/>
      <c r="C6387" s="31"/>
      <c r="D6387" s="31"/>
      <c r="E6387" s="32"/>
      <c r="F6387" s="42" t="s">
        <v>514</v>
      </c>
      <c r="G6387" s="30" t="str">
        <f t="shared" si="132"/>
        <v/>
      </c>
      <c r="H6387" s="34"/>
      <c r="I6387" s="30"/>
      <c r="J6387" s="148">
        <v>0</v>
      </c>
      <c r="K6387" s="222">
        <v>0</v>
      </c>
    </row>
    <row r="6388" spans="1:11" ht="25.5" hidden="1" x14ac:dyDescent="0.25">
      <c r="A6388" s="203"/>
      <c r="B6388" s="205"/>
      <c r="C6388" s="35" t="s">
        <v>6413</v>
      </c>
      <c r="D6388" s="35" t="s">
        <v>278</v>
      </c>
      <c r="E6388" s="36">
        <v>1</v>
      </c>
      <c r="F6388" s="33" t="s">
        <v>514</v>
      </c>
      <c r="G6388" s="30" t="str">
        <f t="shared" si="132"/>
        <v/>
      </c>
      <c r="H6388" s="38">
        <f>SUM(G6388:G6391)</f>
        <v>86.454346249999986</v>
      </c>
      <c r="I6388" s="39"/>
      <c r="J6388" s="148">
        <v>0</v>
      </c>
      <c r="K6388" s="222">
        <v>0</v>
      </c>
    </row>
    <row r="6389" spans="1:11" ht="51" hidden="1" x14ac:dyDescent="0.25">
      <c r="A6389" s="203"/>
      <c r="B6389" s="205"/>
      <c r="C6389" s="35" t="s">
        <v>3180</v>
      </c>
      <c r="D6389" s="35" t="s">
        <v>932</v>
      </c>
      <c r="E6389" s="36">
        <v>0.111</v>
      </c>
      <c r="F6389" s="33">
        <v>266.81700000000001</v>
      </c>
      <c r="G6389" s="30">
        <f t="shared" si="132"/>
        <v>29.616687000000002</v>
      </c>
      <c r="H6389" s="44"/>
      <c r="I6389" s="45"/>
      <c r="J6389" s="148">
        <v>0</v>
      </c>
      <c r="K6389" s="222">
        <v>0</v>
      </c>
    </row>
    <row r="6390" spans="1:11" hidden="1" x14ac:dyDescent="0.25">
      <c r="A6390" s="203"/>
      <c r="B6390" s="205"/>
      <c r="C6390" s="35" t="s">
        <v>1150</v>
      </c>
      <c r="D6390" s="35" t="s">
        <v>695</v>
      </c>
      <c r="E6390" s="36">
        <f>1.124/2</f>
        <v>0.56200000000000006</v>
      </c>
      <c r="F6390" s="33">
        <v>19.4085</v>
      </c>
      <c r="G6390" s="30">
        <f t="shared" si="132"/>
        <v>10.907577000000002</v>
      </c>
      <c r="H6390" s="44"/>
      <c r="I6390" s="45"/>
      <c r="J6390" s="148">
        <v>0</v>
      </c>
      <c r="K6390" s="222">
        <v>0</v>
      </c>
    </row>
    <row r="6391" spans="1:11" hidden="1" x14ac:dyDescent="0.25">
      <c r="A6391" s="203"/>
      <c r="B6391" s="205"/>
      <c r="C6391" s="35" t="s">
        <v>1151</v>
      </c>
      <c r="D6391" s="35" t="s">
        <v>695</v>
      </c>
      <c r="E6391" s="36">
        <f>3.653/2</f>
        <v>1.8265</v>
      </c>
      <c r="F6391" s="30">
        <v>25.146499999999996</v>
      </c>
      <c r="G6391" s="30">
        <f t="shared" si="132"/>
        <v>45.930082249999991</v>
      </c>
      <c r="H6391" s="34"/>
      <c r="I6391" s="30"/>
      <c r="J6391" s="148">
        <v>0</v>
      </c>
      <c r="K6391" s="222">
        <v>0</v>
      </c>
    </row>
    <row r="6392" spans="1:11" ht="15.75" hidden="1" thickBot="1" x14ac:dyDescent="0.3">
      <c r="A6392" s="209"/>
      <c r="B6392" s="206"/>
      <c r="C6392" s="35"/>
      <c r="D6392" s="35"/>
      <c r="E6392" s="36"/>
      <c r="F6392" s="30" t="s">
        <v>514</v>
      </c>
      <c r="G6392" s="30" t="str">
        <f t="shared" si="132"/>
        <v/>
      </c>
      <c r="H6392" s="34"/>
      <c r="I6392" s="30"/>
      <c r="J6392" s="148">
        <v>0</v>
      </c>
      <c r="K6392" s="222">
        <v>0</v>
      </c>
    </row>
    <row r="6393" spans="1:11" ht="15.75" hidden="1" thickBot="1" x14ac:dyDescent="0.3">
      <c r="A6393" s="202" t="s">
        <v>6231</v>
      </c>
      <c r="B6393" s="204" t="str">
        <f>INDEX(Orçamentária!A:B,MATCH(Composições!A6393,Orçamentária!A:A,0),2)</f>
        <v>Suporte para luminária de poste simples – fornecimento e instalação</v>
      </c>
      <c r="C6393" s="40"/>
      <c r="D6393" s="25" t="str">
        <f>TRIM(INDEX(Orçamentária!C:C,MATCH(Composições!A6393,Orçamentária!A:A,0),1))</f>
        <v>un</v>
      </c>
      <c r="E6393" s="26"/>
      <c r="F6393" s="41" t="s">
        <v>514</v>
      </c>
      <c r="G6393" s="27" t="str">
        <f t="shared" si="132"/>
        <v/>
      </c>
      <c r="H6393" s="28"/>
      <c r="I6393" s="29"/>
      <c r="J6393" s="148">
        <v>0</v>
      </c>
      <c r="K6393" s="222">
        <v>0</v>
      </c>
    </row>
    <row r="6394" spans="1:11" hidden="1" x14ac:dyDescent="0.25">
      <c r="A6394" s="203"/>
      <c r="B6394" s="205"/>
      <c r="C6394" s="31"/>
      <c r="D6394" s="31"/>
      <c r="E6394" s="32"/>
      <c r="F6394" s="42" t="s">
        <v>514</v>
      </c>
      <c r="G6394" s="30" t="str">
        <f t="shared" si="132"/>
        <v/>
      </c>
      <c r="H6394" s="34"/>
      <c r="I6394" s="30"/>
      <c r="J6394" s="148">
        <v>0</v>
      </c>
      <c r="K6394" s="222">
        <v>0</v>
      </c>
    </row>
    <row r="6395" spans="1:11" ht="25.5" hidden="1" x14ac:dyDescent="0.25">
      <c r="A6395" s="203"/>
      <c r="B6395" s="205"/>
      <c r="C6395" s="35" t="s">
        <v>8040</v>
      </c>
      <c r="D6395" s="35" t="s">
        <v>278</v>
      </c>
      <c r="E6395" s="36">
        <v>1</v>
      </c>
      <c r="F6395" s="33">
        <v>0</v>
      </c>
      <c r="G6395" s="30">
        <f t="shared" si="132"/>
        <v>0</v>
      </c>
      <c r="H6395" s="38">
        <f>SUM(G6395:G6397)</f>
        <v>11.138749999999998</v>
      </c>
      <c r="I6395" s="39"/>
      <c r="J6395" s="148">
        <v>0</v>
      </c>
      <c r="K6395" s="222">
        <v>0</v>
      </c>
    </row>
    <row r="6396" spans="1:11" hidden="1" x14ac:dyDescent="0.25">
      <c r="A6396" s="203"/>
      <c r="B6396" s="205"/>
      <c r="C6396" s="35" t="s">
        <v>1150</v>
      </c>
      <c r="D6396" s="35" t="s">
        <v>695</v>
      </c>
      <c r="E6396" s="36">
        <v>0.25</v>
      </c>
      <c r="F6396" s="33">
        <v>19.4085</v>
      </c>
      <c r="G6396" s="30">
        <f t="shared" si="132"/>
        <v>4.852125</v>
      </c>
      <c r="H6396" s="44"/>
      <c r="I6396" s="45"/>
      <c r="J6396" s="148">
        <v>0</v>
      </c>
      <c r="K6396" s="222">
        <v>0</v>
      </c>
    </row>
    <row r="6397" spans="1:11" hidden="1" x14ac:dyDescent="0.25">
      <c r="A6397" s="203"/>
      <c r="B6397" s="205"/>
      <c r="C6397" s="35" t="s">
        <v>1151</v>
      </c>
      <c r="D6397" s="35" t="s">
        <v>695</v>
      </c>
      <c r="E6397" s="36">
        <v>0.25</v>
      </c>
      <c r="F6397" s="30">
        <v>25.146499999999996</v>
      </c>
      <c r="G6397" s="30">
        <f t="shared" si="132"/>
        <v>6.286624999999999</v>
      </c>
      <c r="H6397" s="34"/>
      <c r="I6397" s="30"/>
      <c r="J6397" s="148">
        <v>0</v>
      </c>
      <c r="K6397" s="222">
        <v>0</v>
      </c>
    </row>
    <row r="6398" spans="1:11" ht="15.75" hidden="1" thickBot="1" x14ac:dyDescent="0.3">
      <c r="A6398" s="209"/>
      <c r="B6398" s="206"/>
      <c r="C6398" s="54"/>
      <c r="D6398" s="54"/>
      <c r="E6398" s="65"/>
      <c r="F6398" s="66" t="s">
        <v>514</v>
      </c>
      <c r="G6398" s="66" t="str">
        <f t="shared" si="132"/>
        <v/>
      </c>
      <c r="H6398" s="68"/>
      <c r="I6398" s="30"/>
      <c r="J6398" s="148">
        <v>0</v>
      </c>
      <c r="K6398" s="222">
        <v>0</v>
      </c>
    </row>
    <row r="6399" spans="1:11" ht="15.75" hidden="1" thickBot="1" x14ac:dyDescent="0.3">
      <c r="A6399" s="202" t="s">
        <v>6642</v>
      </c>
      <c r="B6399" s="204" t="str">
        <f>INDEX(Orçamentária!A:B,MATCH(Composições!A6399,Orçamentária!A:A,0),2)</f>
        <v>Tubo de aço-carbono galvanizado 2 1/2”</v>
      </c>
      <c r="C6399" s="40"/>
      <c r="D6399" s="25" t="str">
        <f>TRIM(INDEX(Orçamentária!C:C,MATCH(Composições!A6399,Orçamentária!A:A,0),1))</f>
        <v>m</v>
      </c>
      <c r="E6399" s="26"/>
      <c r="F6399" s="41" t="s">
        <v>514</v>
      </c>
      <c r="G6399" s="27" t="str">
        <f t="shared" si="132"/>
        <v/>
      </c>
      <c r="H6399" s="28"/>
      <c r="I6399" s="29"/>
      <c r="J6399" s="148">
        <v>0</v>
      </c>
      <c r="K6399" s="222">
        <v>0</v>
      </c>
    </row>
    <row r="6400" spans="1:11" hidden="1" x14ac:dyDescent="0.25">
      <c r="A6400" s="203"/>
      <c r="B6400" s="205"/>
      <c r="C6400" s="31"/>
      <c r="D6400" s="31"/>
      <c r="E6400" s="32"/>
      <c r="F6400" s="42" t="s">
        <v>514</v>
      </c>
      <c r="G6400" s="30" t="str">
        <f t="shared" si="132"/>
        <v/>
      </c>
      <c r="H6400" s="34"/>
      <c r="I6400" s="30"/>
      <c r="J6400" s="148">
        <v>0</v>
      </c>
      <c r="K6400" s="222">
        <v>0</v>
      </c>
    </row>
    <row r="6401" spans="1:11" hidden="1" x14ac:dyDescent="0.25">
      <c r="A6401" s="203"/>
      <c r="B6401" s="205"/>
      <c r="C6401" s="35" t="s">
        <v>39</v>
      </c>
      <c r="D6401" s="35" t="s">
        <v>12</v>
      </c>
      <c r="E6401" s="36">
        <v>0.13</v>
      </c>
      <c r="F6401" s="33">
        <v>24.300999999999998</v>
      </c>
      <c r="G6401" s="30">
        <f t="shared" si="132"/>
        <v>3.1591299999999998</v>
      </c>
      <c r="H6401" s="38">
        <f>SUM(G6401:G6404)</f>
        <v>194.43649049999999</v>
      </c>
      <c r="I6401" s="39"/>
      <c r="J6401" s="148">
        <v>0</v>
      </c>
      <c r="K6401" s="222">
        <v>0</v>
      </c>
    </row>
    <row r="6402" spans="1:11" ht="25.5" hidden="1" x14ac:dyDescent="0.25">
      <c r="A6402" s="203"/>
      <c r="B6402" s="205"/>
      <c r="C6402" s="35" t="s">
        <v>106</v>
      </c>
      <c r="D6402" s="35" t="s">
        <v>12</v>
      </c>
      <c r="E6402" s="36">
        <v>0.13</v>
      </c>
      <c r="F6402" s="33">
        <v>19.094999999999999</v>
      </c>
      <c r="G6402" s="30">
        <f t="shared" si="132"/>
        <v>2.4823499999999998</v>
      </c>
      <c r="H6402" s="44"/>
      <c r="I6402" s="45"/>
      <c r="J6402" s="148">
        <v>0</v>
      </c>
      <c r="K6402" s="222">
        <v>0</v>
      </c>
    </row>
    <row r="6403" spans="1:11" hidden="1" x14ac:dyDescent="0.25">
      <c r="A6403" s="203"/>
      <c r="B6403" s="205"/>
      <c r="C6403" s="35" t="s">
        <v>1071</v>
      </c>
      <c r="D6403" s="35" t="s">
        <v>12</v>
      </c>
      <c r="E6403" s="36">
        <v>0.13</v>
      </c>
      <c r="F6403" s="33">
        <v>25.526499999999999</v>
      </c>
      <c r="G6403" s="30">
        <f t="shared" si="132"/>
        <v>3.3184450000000001</v>
      </c>
      <c r="H6403" s="44"/>
      <c r="I6403" s="45"/>
      <c r="J6403" s="148">
        <v>0</v>
      </c>
      <c r="K6403" s="222">
        <v>0</v>
      </c>
    </row>
    <row r="6404" spans="1:11" ht="25.5" hidden="1" x14ac:dyDescent="0.25">
      <c r="A6404" s="203"/>
      <c r="B6404" s="205"/>
      <c r="C6404" s="35" t="s">
        <v>6676</v>
      </c>
      <c r="D6404" s="35" t="s">
        <v>92</v>
      </c>
      <c r="E6404" s="36">
        <v>1.0389999999999999</v>
      </c>
      <c r="F6404" s="30">
        <v>178.5145</v>
      </c>
      <c r="G6404" s="30">
        <f t="shared" si="132"/>
        <v>185.47656549999999</v>
      </c>
      <c r="H6404" s="34"/>
      <c r="I6404" s="30"/>
      <c r="J6404" s="148">
        <v>0</v>
      </c>
      <c r="K6404" s="222">
        <v>0</v>
      </c>
    </row>
    <row r="6405" spans="1:11" ht="15.75" hidden="1" thickBot="1" x14ac:dyDescent="0.3">
      <c r="A6405" s="209"/>
      <c r="B6405" s="206"/>
      <c r="C6405" s="35"/>
      <c r="D6405" s="35"/>
      <c r="E6405" s="36"/>
      <c r="F6405" s="30" t="s">
        <v>514</v>
      </c>
      <c r="G6405" s="30" t="str">
        <f t="shared" si="132"/>
        <v/>
      </c>
      <c r="H6405" s="34"/>
      <c r="I6405" s="30"/>
      <c r="J6405" s="148">
        <v>0</v>
      </c>
      <c r="K6405" s="222">
        <v>0</v>
      </c>
    </row>
    <row r="6406" spans="1:11" ht="15.75" hidden="1" thickBot="1" x14ac:dyDescent="0.3">
      <c r="A6406" s="202" t="s">
        <v>6643</v>
      </c>
      <c r="B6406" s="204" t="str">
        <f>INDEX(Orçamentária!A:B,MATCH(Composições!A6406,Orçamentária!A:A,0),2)</f>
        <v>Remoção de Caixa de Hidrante e acessórios para aproveitamento</v>
      </c>
      <c r="C6406" s="40"/>
      <c r="D6406" s="25" t="str">
        <f>TRIM(INDEX(Orçamentária!C:C,MATCH(Composições!A6406,Orçamentária!A:A,0),1))</f>
        <v>un</v>
      </c>
      <c r="E6406" s="26"/>
      <c r="F6406" s="41" t="s">
        <v>514</v>
      </c>
      <c r="G6406" s="27" t="str">
        <f t="shared" si="132"/>
        <v/>
      </c>
      <c r="H6406" s="28"/>
      <c r="I6406" s="29"/>
      <c r="J6406" s="148">
        <v>0</v>
      </c>
      <c r="K6406" s="222">
        <v>0</v>
      </c>
    </row>
    <row r="6407" spans="1:11" hidden="1" x14ac:dyDescent="0.25">
      <c r="A6407" s="203"/>
      <c r="B6407" s="205"/>
      <c r="C6407" s="31"/>
      <c r="D6407" s="31"/>
      <c r="E6407" s="32"/>
      <c r="F6407" s="42" t="s">
        <v>514</v>
      </c>
      <c r="G6407" s="30" t="str">
        <f t="shared" si="132"/>
        <v/>
      </c>
      <c r="H6407" s="34"/>
      <c r="I6407" s="30"/>
      <c r="J6407" s="148">
        <v>0</v>
      </c>
      <c r="K6407" s="222">
        <v>0</v>
      </c>
    </row>
    <row r="6408" spans="1:11" hidden="1" x14ac:dyDescent="0.25">
      <c r="A6408" s="203"/>
      <c r="B6408" s="205"/>
      <c r="C6408" s="35" t="s">
        <v>39</v>
      </c>
      <c r="D6408" s="46" t="s">
        <v>12</v>
      </c>
      <c r="E6408" s="36">
        <v>3</v>
      </c>
      <c r="F6408" s="30">
        <v>24.300999999999998</v>
      </c>
      <c r="G6408" s="30">
        <f t="shared" si="132"/>
        <v>72.902999999999992</v>
      </c>
      <c r="H6408" s="38">
        <f>SUM(G6408:G6408)</f>
        <v>72.902999999999992</v>
      </c>
      <c r="I6408" s="39"/>
      <c r="J6408" s="148">
        <v>0</v>
      </c>
      <c r="K6408" s="222">
        <v>0</v>
      </c>
    </row>
    <row r="6409" spans="1:11" ht="15.75" hidden="1" thickBot="1" x14ac:dyDescent="0.3">
      <c r="A6409" s="209"/>
      <c r="B6409" s="206"/>
      <c r="C6409" s="54"/>
      <c r="D6409" s="54"/>
      <c r="E6409" s="65"/>
      <c r="F6409" s="66" t="s">
        <v>514</v>
      </c>
      <c r="G6409" s="66" t="str">
        <f t="shared" si="132"/>
        <v/>
      </c>
      <c r="H6409" s="68"/>
      <c r="I6409" s="30"/>
      <c r="J6409" s="148">
        <v>0</v>
      </c>
      <c r="K6409" s="222">
        <v>0</v>
      </c>
    </row>
    <row r="6410" spans="1:11" ht="15.75" hidden="1" thickBot="1" x14ac:dyDescent="0.3">
      <c r="A6410" s="202" t="s">
        <v>6644</v>
      </c>
      <c r="B6410" s="204" t="str">
        <f>INDEX(Orçamentária!A:B,MATCH(Composições!A6410,Orçamentária!A:A,0),2)</f>
        <v>Instalação de Caixa de Hidrante e acessórios reaproveitados</v>
      </c>
      <c r="C6410" s="40"/>
      <c r="D6410" s="25" t="str">
        <f>TRIM(INDEX(Orçamentária!C:C,MATCH(Composições!A6410,Orçamentária!A:A,0),1))</f>
        <v>un</v>
      </c>
      <c r="E6410" s="26"/>
      <c r="F6410" s="41" t="s">
        <v>514</v>
      </c>
      <c r="G6410" s="27" t="str">
        <f t="shared" si="132"/>
        <v/>
      </c>
      <c r="H6410" s="28"/>
      <c r="I6410" s="29"/>
      <c r="J6410" s="148">
        <v>0</v>
      </c>
      <c r="K6410" s="222">
        <v>0</v>
      </c>
    </row>
    <row r="6411" spans="1:11" hidden="1" x14ac:dyDescent="0.25">
      <c r="A6411" s="203"/>
      <c r="B6411" s="205"/>
      <c r="C6411" s="31"/>
      <c r="D6411" s="31"/>
      <c r="E6411" s="32"/>
      <c r="F6411" s="42" t="s">
        <v>514</v>
      </c>
      <c r="G6411" s="30" t="str">
        <f t="shared" si="132"/>
        <v/>
      </c>
      <c r="H6411" s="34"/>
      <c r="I6411" s="30"/>
      <c r="J6411" s="148">
        <v>0</v>
      </c>
      <c r="K6411" s="222">
        <v>0</v>
      </c>
    </row>
    <row r="6412" spans="1:11" hidden="1" x14ac:dyDescent="0.25">
      <c r="A6412" s="203"/>
      <c r="B6412" s="205"/>
      <c r="C6412" s="35" t="s">
        <v>39</v>
      </c>
      <c r="D6412" s="46" t="s">
        <v>12</v>
      </c>
      <c r="E6412" s="36">
        <v>5.2</v>
      </c>
      <c r="F6412" s="33">
        <v>24.300999999999998</v>
      </c>
      <c r="G6412" s="30">
        <f t="shared" si="132"/>
        <v>126.3652</v>
      </c>
      <c r="H6412" s="38">
        <f>SUM(G6412:G6413)</f>
        <v>225.6592</v>
      </c>
      <c r="I6412" s="39"/>
      <c r="J6412" s="148">
        <v>0</v>
      </c>
      <c r="K6412" s="222">
        <v>0</v>
      </c>
    </row>
    <row r="6413" spans="1:11" ht="25.5" hidden="1" x14ac:dyDescent="0.25">
      <c r="A6413" s="203"/>
      <c r="B6413" s="205"/>
      <c r="C6413" s="35" t="s">
        <v>106</v>
      </c>
      <c r="D6413" s="46" t="s">
        <v>12</v>
      </c>
      <c r="E6413" s="36">
        <v>5.2</v>
      </c>
      <c r="F6413" s="30">
        <v>19.094999999999999</v>
      </c>
      <c r="G6413" s="30">
        <f t="shared" si="132"/>
        <v>99.293999999999997</v>
      </c>
      <c r="H6413" s="34"/>
      <c r="I6413" s="30"/>
      <c r="J6413" s="148">
        <v>0</v>
      </c>
      <c r="K6413" s="222">
        <v>0</v>
      </c>
    </row>
    <row r="6414" spans="1:11" ht="15.75" hidden="1" thickBot="1" x14ac:dyDescent="0.3">
      <c r="A6414" s="209"/>
      <c r="B6414" s="206"/>
      <c r="C6414" s="54"/>
      <c r="D6414" s="54"/>
      <c r="E6414" s="65"/>
      <c r="F6414" s="66" t="s">
        <v>514</v>
      </c>
      <c r="G6414" s="66" t="str">
        <f t="shared" si="132"/>
        <v/>
      </c>
      <c r="H6414" s="68"/>
      <c r="I6414" s="30"/>
      <c r="J6414" s="148">
        <v>0</v>
      </c>
      <c r="K6414" s="222">
        <v>0</v>
      </c>
    </row>
    <row r="6415" spans="1:11" ht="15.75" hidden="1" thickBot="1" x14ac:dyDescent="0.3">
      <c r="A6415" s="202" t="s">
        <v>6645</v>
      </c>
      <c r="B6415" s="204" t="str">
        <f>INDEX(Orçamentária!A:B,MATCH(Composições!A6415,Orçamentária!A:A,0),2)</f>
        <v>Remoção de Mesa de Granito e acessórios para aproveitamento</v>
      </c>
      <c r="C6415" s="40"/>
      <c r="D6415" s="25" t="str">
        <f>TRIM(INDEX(Orçamentária!C:C,MATCH(Composições!A6415,Orçamentária!A:A,0),1))</f>
        <v>un</v>
      </c>
      <c r="E6415" s="26"/>
      <c r="F6415" s="41" t="s">
        <v>514</v>
      </c>
      <c r="G6415" s="27" t="str">
        <f t="shared" si="132"/>
        <v/>
      </c>
      <c r="H6415" s="28"/>
      <c r="I6415" s="29"/>
      <c r="J6415" s="148">
        <v>0</v>
      </c>
      <c r="K6415" s="222">
        <v>0</v>
      </c>
    </row>
    <row r="6416" spans="1:11" hidden="1" x14ac:dyDescent="0.25">
      <c r="A6416" s="203"/>
      <c r="B6416" s="205"/>
      <c r="C6416" s="31"/>
      <c r="D6416" s="31"/>
      <c r="E6416" s="32"/>
      <c r="F6416" s="42" t="s">
        <v>514</v>
      </c>
      <c r="G6416" s="30" t="str">
        <f t="shared" si="132"/>
        <v/>
      </c>
      <c r="H6416" s="34"/>
      <c r="I6416" s="30"/>
      <c r="J6416" s="148">
        <v>0</v>
      </c>
      <c r="K6416" s="222">
        <v>0</v>
      </c>
    </row>
    <row r="6417" spans="1:11" hidden="1" x14ac:dyDescent="0.25">
      <c r="A6417" s="203"/>
      <c r="B6417" s="205"/>
      <c r="C6417" s="35" t="s">
        <v>696</v>
      </c>
      <c r="D6417" s="46" t="s">
        <v>695</v>
      </c>
      <c r="E6417" s="36">
        <v>0.9</v>
      </c>
      <c r="F6417" s="30">
        <v>18.420500000000001</v>
      </c>
      <c r="G6417" s="30">
        <f t="shared" si="132"/>
        <v>16.57845</v>
      </c>
      <c r="H6417" s="38">
        <f>SUM(G6417:G6417)</f>
        <v>16.57845</v>
      </c>
      <c r="I6417" s="39"/>
      <c r="J6417" s="148">
        <v>0</v>
      </c>
      <c r="K6417" s="222">
        <v>0</v>
      </c>
    </row>
    <row r="6418" spans="1:11" ht="15.75" hidden="1" thickBot="1" x14ac:dyDescent="0.3">
      <c r="A6418" s="209"/>
      <c r="B6418" s="206"/>
      <c r="C6418" s="54"/>
      <c r="D6418" s="54"/>
      <c r="E6418" s="65"/>
      <c r="F6418" s="66" t="s">
        <v>514</v>
      </c>
      <c r="G6418" s="66" t="str">
        <f t="shared" si="132"/>
        <v/>
      </c>
      <c r="H6418" s="68"/>
      <c r="I6418" s="30"/>
      <c r="J6418" s="148">
        <v>0</v>
      </c>
      <c r="K6418" s="222">
        <v>0</v>
      </c>
    </row>
    <row r="6419" spans="1:11" ht="15.75" hidden="1" thickBot="1" x14ac:dyDescent="0.3">
      <c r="A6419" s="202" t="s">
        <v>6646</v>
      </c>
      <c r="B6419" s="204" t="str">
        <f>INDEX(Orçamentária!A:B,MATCH(Composições!A6419,Orçamentária!A:A,0),2)</f>
        <v>Instalação de Mesa de Granito e acessórios reaproveitados</v>
      </c>
      <c r="C6419" s="40"/>
      <c r="D6419" s="25" t="str">
        <f>TRIM(INDEX(Orçamentária!C:C,MATCH(Composições!A6419,Orçamentária!A:A,0),1))</f>
        <v>un</v>
      </c>
      <c r="E6419" s="26"/>
      <c r="F6419" s="41" t="s">
        <v>514</v>
      </c>
      <c r="G6419" s="27" t="str">
        <f t="shared" si="132"/>
        <v/>
      </c>
      <c r="H6419" s="28"/>
      <c r="I6419" s="29"/>
      <c r="J6419" s="148">
        <v>0</v>
      </c>
      <c r="K6419" s="222">
        <v>0</v>
      </c>
    </row>
    <row r="6420" spans="1:11" hidden="1" x14ac:dyDescent="0.25">
      <c r="A6420" s="203"/>
      <c r="B6420" s="205"/>
      <c r="C6420" s="31"/>
      <c r="D6420" s="31"/>
      <c r="E6420" s="32"/>
      <c r="F6420" s="42" t="s">
        <v>514</v>
      </c>
      <c r="G6420" s="30" t="str">
        <f t="shared" si="132"/>
        <v/>
      </c>
      <c r="H6420" s="34"/>
      <c r="I6420" s="30"/>
      <c r="J6420" s="148">
        <v>0</v>
      </c>
      <c r="K6420" s="222">
        <v>0</v>
      </c>
    </row>
    <row r="6421" spans="1:11" hidden="1" x14ac:dyDescent="0.25">
      <c r="A6421" s="203"/>
      <c r="B6421" s="205"/>
      <c r="C6421" s="35" t="s">
        <v>696</v>
      </c>
      <c r="D6421" s="46" t="s">
        <v>695</v>
      </c>
      <c r="E6421" s="36">
        <f>0.9*1.5</f>
        <v>1.35</v>
      </c>
      <c r="F6421" s="30">
        <v>18.420500000000001</v>
      </c>
      <c r="G6421" s="30">
        <f t="shared" si="132"/>
        <v>24.867675000000002</v>
      </c>
      <c r="H6421" s="38">
        <f>SUM(G6421:G6421)</f>
        <v>24.867675000000002</v>
      </c>
      <c r="I6421" s="39"/>
      <c r="J6421" s="148">
        <v>0</v>
      </c>
      <c r="K6421" s="222">
        <v>0</v>
      </c>
    </row>
    <row r="6422" spans="1:11" ht="15.75" hidden="1" thickBot="1" x14ac:dyDescent="0.3">
      <c r="A6422" s="209"/>
      <c r="B6422" s="206"/>
      <c r="C6422" s="54"/>
      <c r="D6422" s="54"/>
      <c r="E6422" s="65"/>
      <c r="F6422" s="66" t="s">
        <v>514</v>
      </c>
      <c r="G6422" s="66" t="str">
        <f t="shared" si="132"/>
        <v/>
      </c>
      <c r="H6422" s="68"/>
      <c r="I6422" s="30"/>
      <c r="J6422" s="148">
        <v>0</v>
      </c>
      <c r="K6422" s="222">
        <v>0</v>
      </c>
    </row>
    <row r="6423" spans="1:11" ht="15.75" hidden="1" thickBot="1" x14ac:dyDescent="0.3">
      <c r="A6423" s="202" t="s">
        <v>6653</v>
      </c>
      <c r="B6423" s="204" t="str">
        <f>INDEX(Orçamentária!A:B,MATCH(Composições!A6423,Orçamentária!A:A,0),2)</f>
        <v>Demolição de revestimento de piso vinílico</v>
      </c>
      <c r="C6423" s="40"/>
      <c r="D6423" s="25" t="str">
        <f>TRIM(INDEX(Orçamentária!C:C,MATCH(Composições!A6423,Orçamentária!A:A,0),1))</f>
        <v>m2</v>
      </c>
      <c r="E6423" s="26"/>
      <c r="F6423" s="41" t="s">
        <v>514</v>
      </c>
      <c r="G6423" s="27" t="str">
        <f t="shared" si="132"/>
        <v/>
      </c>
      <c r="H6423" s="28"/>
      <c r="I6423" s="29"/>
      <c r="J6423" s="148">
        <v>600</v>
      </c>
      <c r="K6423" s="222" t="s">
        <v>8074</v>
      </c>
    </row>
    <row r="6424" spans="1:11" hidden="1" x14ac:dyDescent="0.25">
      <c r="A6424" s="203"/>
      <c r="B6424" s="205"/>
      <c r="C6424" s="31"/>
      <c r="D6424" s="31"/>
      <c r="E6424" s="32"/>
      <c r="F6424" s="42" t="s">
        <v>514</v>
      </c>
      <c r="G6424" s="30" t="str">
        <f t="shared" si="132"/>
        <v/>
      </c>
      <c r="H6424" s="34"/>
      <c r="I6424" s="30"/>
      <c r="J6424" s="148">
        <v>600</v>
      </c>
      <c r="K6424" s="222" t="s">
        <v>8074</v>
      </c>
    </row>
    <row r="6425" spans="1:11" hidden="1" x14ac:dyDescent="0.25">
      <c r="A6425" s="203"/>
      <c r="B6425" s="205"/>
      <c r="C6425" s="35" t="s">
        <v>703</v>
      </c>
      <c r="D6425" s="35" t="s">
        <v>695</v>
      </c>
      <c r="E6425" s="36">
        <v>0.09</v>
      </c>
      <c r="F6425" s="33">
        <v>24.889999999999997</v>
      </c>
      <c r="G6425" s="30">
        <f t="shared" si="132"/>
        <v>2.2400999999999995</v>
      </c>
      <c r="H6425" s="38">
        <f>SUM(G6425:G6426)</f>
        <v>18.818549999999998</v>
      </c>
      <c r="I6425" s="39"/>
      <c r="J6425" s="148">
        <v>600</v>
      </c>
      <c r="K6425" s="222" t="s">
        <v>8074</v>
      </c>
    </row>
    <row r="6426" spans="1:11" hidden="1" x14ac:dyDescent="0.25">
      <c r="A6426" s="203"/>
      <c r="B6426" s="205"/>
      <c r="C6426" s="35" t="s">
        <v>696</v>
      </c>
      <c r="D6426" s="35" t="s">
        <v>695</v>
      </c>
      <c r="E6426" s="36">
        <v>0.9</v>
      </c>
      <c r="F6426" s="30">
        <v>18.420500000000001</v>
      </c>
      <c r="G6426" s="30">
        <f t="shared" si="132"/>
        <v>16.57845</v>
      </c>
      <c r="H6426" s="34"/>
      <c r="I6426" s="30"/>
      <c r="J6426" s="148">
        <v>600</v>
      </c>
      <c r="K6426" s="222" t="s">
        <v>8074</v>
      </c>
    </row>
    <row r="6427" spans="1:11" ht="15.75" hidden="1" thickBot="1" x14ac:dyDescent="0.3">
      <c r="A6427" s="209"/>
      <c r="B6427" s="206"/>
      <c r="C6427" s="54"/>
      <c r="D6427" s="54"/>
      <c r="E6427" s="65"/>
      <c r="F6427" s="66" t="s">
        <v>514</v>
      </c>
      <c r="G6427" s="66" t="str">
        <f t="shared" si="132"/>
        <v/>
      </c>
      <c r="H6427" s="68"/>
      <c r="I6427" s="30"/>
      <c r="J6427" s="148">
        <v>600</v>
      </c>
      <c r="K6427" s="222" t="s">
        <v>8074</v>
      </c>
    </row>
    <row r="6428" spans="1:11" ht="15.75" hidden="1" thickBot="1" x14ac:dyDescent="0.3">
      <c r="A6428" s="202" t="s">
        <v>6654</v>
      </c>
      <c r="B6428" s="204" t="str">
        <f>INDEX(Orçamentária!A:B,MATCH(Composições!A6428,Orçamentária!A:A,0),2)</f>
        <v>Remoção de telhas de fibrocimento, metálica ou cerâmica</v>
      </c>
      <c r="C6428" s="40"/>
      <c r="D6428" s="25" t="str">
        <f>TRIM(INDEX(Orçamentária!C:C,MATCH(Composições!A6428,Orçamentária!A:A,0),1))</f>
        <v>m2</v>
      </c>
      <c r="E6428" s="26"/>
      <c r="F6428" s="41" t="s">
        <v>514</v>
      </c>
      <c r="G6428" s="27" t="str">
        <f t="shared" si="132"/>
        <v/>
      </c>
      <c r="H6428" s="28"/>
      <c r="I6428" s="29"/>
      <c r="J6428" s="148">
        <v>600</v>
      </c>
      <c r="K6428" s="222" t="s">
        <v>8074</v>
      </c>
    </row>
    <row r="6429" spans="1:11" hidden="1" x14ac:dyDescent="0.25">
      <c r="A6429" s="203"/>
      <c r="B6429" s="205"/>
      <c r="C6429" s="31"/>
      <c r="D6429" s="31"/>
      <c r="E6429" s="32"/>
      <c r="F6429" s="42" t="s">
        <v>514</v>
      </c>
      <c r="G6429" s="30" t="str">
        <f t="shared" si="132"/>
        <v/>
      </c>
      <c r="H6429" s="34"/>
      <c r="I6429" s="30"/>
      <c r="J6429" s="148">
        <v>600</v>
      </c>
      <c r="K6429" s="222" t="s">
        <v>8074</v>
      </c>
    </row>
    <row r="6430" spans="1:11" hidden="1" x14ac:dyDescent="0.25">
      <c r="A6430" s="203"/>
      <c r="B6430" s="205"/>
      <c r="C6430" s="35" t="s">
        <v>696</v>
      </c>
      <c r="D6430" s="35" t="s">
        <v>695</v>
      </c>
      <c r="E6430" s="36">
        <v>9.7100000000000006E-2</v>
      </c>
      <c r="F6430" s="33">
        <v>18.420500000000001</v>
      </c>
      <c r="G6430" s="30">
        <f t="shared" si="132"/>
        <v>1.7886305500000002</v>
      </c>
      <c r="H6430" s="38">
        <f>SUM(G6430:G6431)</f>
        <v>2.99473155</v>
      </c>
      <c r="I6430" s="39"/>
      <c r="J6430" s="148">
        <v>600</v>
      </c>
      <c r="K6430" s="222" t="s">
        <v>8074</v>
      </c>
    </row>
    <row r="6431" spans="1:11" hidden="1" x14ac:dyDescent="0.25">
      <c r="A6431" s="203"/>
      <c r="B6431" s="205"/>
      <c r="C6431" s="35" t="s">
        <v>1293</v>
      </c>
      <c r="D6431" s="35" t="s">
        <v>695</v>
      </c>
      <c r="E6431" s="36">
        <v>4.9399999999999999E-2</v>
      </c>
      <c r="F6431" s="30">
        <v>24.414999999999999</v>
      </c>
      <c r="G6431" s="30">
        <f t="shared" si="132"/>
        <v>1.2061009999999999</v>
      </c>
      <c r="H6431" s="34"/>
      <c r="I6431" s="30"/>
      <c r="J6431" s="148">
        <v>600</v>
      </c>
      <c r="K6431" s="222" t="s">
        <v>8074</v>
      </c>
    </row>
    <row r="6432" spans="1:11" ht="15.75" hidden="1" thickBot="1" x14ac:dyDescent="0.3">
      <c r="A6432" s="209"/>
      <c r="B6432" s="206"/>
      <c r="C6432" s="54"/>
      <c r="D6432" s="54"/>
      <c r="E6432" s="65"/>
      <c r="F6432" s="66" t="s">
        <v>514</v>
      </c>
      <c r="G6432" s="66" t="str">
        <f t="shared" si="132"/>
        <v/>
      </c>
      <c r="H6432" s="68"/>
      <c r="I6432" s="30"/>
      <c r="J6432" s="148">
        <v>600</v>
      </c>
      <c r="K6432" s="222" t="s">
        <v>8074</v>
      </c>
    </row>
    <row r="6433" spans="1:11" ht="15.75" hidden="1" thickBot="1" x14ac:dyDescent="0.3">
      <c r="A6433" s="202" t="s">
        <v>6695</v>
      </c>
      <c r="B6433" s="204" t="str">
        <f>INDEX(Orçamentária!A:B,MATCH(Composições!A6433,Orçamentária!A:A,0),2)</f>
        <v>Instalação de forro metálico reaproveitado</v>
      </c>
      <c r="C6433" s="40"/>
      <c r="D6433" s="25" t="str">
        <f>TRIM(INDEX(Orçamentária!C:C,MATCH(Composições!A6433,Orçamentária!A:A,0),1))</f>
        <v>m2</v>
      </c>
      <c r="E6433" s="26"/>
      <c r="F6433" s="41" t="s">
        <v>514</v>
      </c>
      <c r="G6433" s="27" t="str">
        <f t="shared" si="132"/>
        <v/>
      </c>
      <c r="H6433" s="28"/>
      <c r="I6433" s="29"/>
      <c r="J6433" s="148">
        <v>0</v>
      </c>
      <c r="K6433" s="222">
        <v>0</v>
      </c>
    </row>
    <row r="6434" spans="1:11" hidden="1" x14ac:dyDescent="0.25">
      <c r="A6434" s="207"/>
      <c r="B6434" s="205"/>
      <c r="C6434" s="31"/>
      <c r="D6434" s="31"/>
      <c r="E6434" s="32"/>
      <c r="F6434" s="42" t="s">
        <v>514</v>
      </c>
      <c r="G6434" s="30" t="str">
        <f t="shared" si="132"/>
        <v/>
      </c>
      <c r="H6434" s="34"/>
      <c r="I6434" s="30"/>
      <c r="J6434" s="148">
        <v>0</v>
      </c>
      <c r="K6434" s="222">
        <v>0</v>
      </c>
    </row>
    <row r="6435" spans="1:11" hidden="1" x14ac:dyDescent="0.25">
      <c r="A6435" s="207"/>
      <c r="B6435" s="205"/>
      <c r="C6435" s="35" t="s">
        <v>52</v>
      </c>
      <c r="D6435" s="46" t="s">
        <v>12</v>
      </c>
      <c r="E6435" s="36">
        <v>0.5</v>
      </c>
      <c r="F6435" s="33">
        <v>21.184999999999999</v>
      </c>
      <c r="G6435" s="30">
        <f t="shared" si="132"/>
        <v>10.592499999999999</v>
      </c>
      <c r="H6435" s="38">
        <f>SUM(G6435:G6436)</f>
        <v>20.059249999999999</v>
      </c>
      <c r="I6435" s="39"/>
      <c r="J6435" s="148">
        <v>0</v>
      </c>
      <c r="K6435" s="222">
        <v>0</v>
      </c>
    </row>
    <row r="6436" spans="1:11" hidden="1" x14ac:dyDescent="0.25">
      <c r="A6436" s="207"/>
      <c r="B6436" s="205"/>
      <c r="C6436" s="35" t="s">
        <v>27</v>
      </c>
      <c r="D6436" s="46" t="s">
        <v>12</v>
      </c>
      <c r="E6436" s="36">
        <v>0.5</v>
      </c>
      <c r="F6436" s="33">
        <v>18.933499999999999</v>
      </c>
      <c r="G6436" s="30">
        <f t="shared" si="132"/>
        <v>9.4667499999999993</v>
      </c>
      <c r="H6436" s="34"/>
      <c r="I6436" s="30"/>
      <c r="J6436" s="148">
        <v>0</v>
      </c>
      <c r="K6436" s="222">
        <v>0</v>
      </c>
    </row>
    <row r="6437" spans="1:11" ht="15.75" hidden="1" thickBot="1" x14ac:dyDescent="0.3">
      <c r="A6437" s="208"/>
      <c r="B6437" s="206"/>
      <c r="C6437" s="35"/>
      <c r="D6437" s="35"/>
      <c r="E6437" s="36"/>
      <c r="F6437" s="30" t="s">
        <v>514</v>
      </c>
      <c r="G6437" s="30" t="str">
        <f t="shared" si="132"/>
        <v/>
      </c>
      <c r="H6437" s="34"/>
      <c r="I6437" s="30"/>
      <c r="J6437" s="148">
        <v>0</v>
      </c>
      <c r="K6437" s="222">
        <v>0</v>
      </c>
    </row>
    <row r="6438" spans="1:11" ht="15.75" hidden="1" thickBot="1" x14ac:dyDescent="0.3">
      <c r="A6438" s="202" t="s">
        <v>6696</v>
      </c>
      <c r="B6438" s="204" t="str">
        <f>INDEX(Orçamentária!A:B,MATCH(Composições!A6438,Orçamentária!A:A,0),2)</f>
        <v>Condulete de alumínio de 1 1/2”</v>
      </c>
      <c r="C6438" s="40"/>
      <c r="D6438" s="25" t="str">
        <f>TRIM(INDEX(Orçamentária!C:C,MATCH(Composições!A6438,Orçamentária!A:A,0),1))</f>
        <v>un</v>
      </c>
      <c r="E6438" s="26"/>
      <c r="F6438" s="41" t="s">
        <v>514</v>
      </c>
      <c r="G6438" s="27" t="str">
        <f t="shared" si="132"/>
        <v/>
      </c>
      <c r="H6438" s="28"/>
      <c r="I6438" s="29"/>
      <c r="J6438" s="148">
        <v>0</v>
      </c>
      <c r="K6438" s="222">
        <v>0</v>
      </c>
    </row>
    <row r="6439" spans="1:11" hidden="1" x14ac:dyDescent="0.25">
      <c r="A6439" s="207"/>
      <c r="B6439" s="205"/>
      <c r="C6439" s="31"/>
      <c r="D6439" s="31"/>
      <c r="E6439" s="32"/>
      <c r="F6439" s="42" t="s">
        <v>514</v>
      </c>
      <c r="G6439" s="30" t="str">
        <f t="shared" si="132"/>
        <v/>
      </c>
      <c r="H6439" s="34"/>
      <c r="I6439" s="30"/>
      <c r="J6439" s="148">
        <v>0</v>
      </c>
      <c r="K6439" s="222">
        <v>0</v>
      </c>
    </row>
    <row r="6440" spans="1:11" ht="25.5" hidden="1" x14ac:dyDescent="0.25">
      <c r="A6440" s="207"/>
      <c r="B6440" s="205"/>
      <c r="C6440" s="35" t="s">
        <v>7628</v>
      </c>
      <c r="D6440" s="46" t="s">
        <v>278</v>
      </c>
      <c r="E6440" s="36">
        <v>1</v>
      </c>
      <c r="F6440" s="33">
        <v>33.857999999999997</v>
      </c>
      <c r="G6440" s="30">
        <f t="shared" si="132"/>
        <v>33.857999999999997</v>
      </c>
      <c r="H6440" s="38">
        <f>SUM(G6440:G6443)</f>
        <v>53.666440499999993</v>
      </c>
      <c r="I6440" s="39"/>
      <c r="J6440" s="148">
        <v>0</v>
      </c>
      <c r="K6440" s="222">
        <v>0</v>
      </c>
    </row>
    <row r="6441" spans="1:11" ht="38.25" hidden="1" x14ac:dyDescent="0.25">
      <c r="A6441" s="207"/>
      <c r="B6441" s="205"/>
      <c r="C6441" s="35" t="s">
        <v>3233</v>
      </c>
      <c r="D6441" s="46" t="s">
        <v>278</v>
      </c>
      <c r="E6441" s="36">
        <v>2</v>
      </c>
      <c r="F6441" s="33">
        <v>0.38949999999999996</v>
      </c>
      <c r="G6441" s="30">
        <f t="shared" si="132"/>
        <v>0.77899999999999991</v>
      </c>
      <c r="H6441" s="34"/>
      <c r="I6441" s="30"/>
      <c r="J6441" s="148">
        <v>0</v>
      </c>
      <c r="K6441" s="222">
        <v>0</v>
      </c>
    </row>
    <row r="6442" spans="1:11" hidden="1" x14ac:dyDescent="0.25">
      <c r="A6442" s="207"/>
      <c r="B6442" s="205"/>
      <c r="C6442" s="35" t="s">
        <v>1150</v>
      </c>
      <c r="D6442" s="46" t="s">
        <v>695</v>
      </c>
      <c r="E6442" s="36">
        <v>0.42709999999999998</v>
      </c>
      <c r="F6442" s="33">
        <v>19.4085</v>
      </c>
      <c r="G6442" s="30">
        <f t="shared" si="132"/>
        <v>8.2893703500000004</v>
      </c>
      <c r="H6442" s="34"/>
      <c r="I6442" s="30"/>
      <c r="J6442" s="148">
        <v>0</v>
      </c>
      <c r="K6442" s="222">
        <v>0</v>
      </c>
    </row>
    <row r="6443" spans="1:11" hidden="1" x14ac:dyDescent="0.25">
      <c r="A6443" s="207"/>
      <c r="B6443" s="205"/>
      <c r="C6443" s="35" t="s">
        <v>1151</v>
      </c>
      <c r="D6443" s="46" t="s">
        <v>695</v>
      </c>
      <c r="E6443" s="36">
        <v>0.42709999999999998</v>
      </c>
      <c r="F6443" s="33">
        <v>25.146499999999996</v>
      </c>
      <c r="G6443" s="30">
        <f t="shared" si="132"/>
        <v>10.740070149999998</v>
      </c>
      <c r="H6443" s="34"/>
      <c r="I6443" s="30"/>
      <c r="J6443" s="148">
        <v>0</v>
      </c>
      <c r="K6443" s="222">
        <v>0</v>
      </c>
    </row>
    <row r="6444" spans="1:11" ht="15.75" hidden="1" thickBot="1" x14ac:dyDescent="0.3">
      <c r="A6444" s="208"/>
      <c r="B6444" s="206"/>
      <c r="C6444" s="35"/>
      <c r="D6444" s="35"/>
      <c r="E6444" s="36"/>
      <c r="F6444" s="30" t="s">
        <v>514</v>
      </c>
      <c r="G6444" s="30" t="str">
        <f t="shared" si="132"/>
        <v/>
      </c>
      <c r="H6444" s="34"/>
      <c r="I6444" s="30"/>
      <c r="J6444" s="148">
        <v>0</v>
      </c>
      <c r="K6444" s="222">
        <v>0</v>
      </c>
    </row>
    <row r="6445" spans="1:11" ht="15.75" hidden="1" thickBot="1" x14ac:dyDescent="0.3">
      <c r="A6445" s="202" t="s">
        <v>6705</v>
      </c>
      <c r="B6445" s="204" t="str">
        <f>INDEX(Orçamentária!A:B,MATCH(Composições!A6445,Orçamentária!A:A,0),2)</f>
        <v>Remoção de pavimento em elementos intertravados de concreto</v>
      </c>
      <c r="C6445" s="40"/>
      <c r="D6445" s="25" t="str">
        <f>TRIM(INDEX(Orçamentária!C:C,MATCH(Composições!A6445,Orçamentária!A:A,0),1))</f>
        <v>m2</v>
      </c>
      <c r="E6445" s="26"/>
      <c r="F6445" s="41" t="s">
        <v>514</v>
      </c>
      <c r="G6445" s="27" t="str">
        <f t="shared" si="132"/>
        <v/>
      </c>
      <c r="H6445" s="28"/>
      <c r="I6445" s="29"/>
      <c r="J6445" s="148">
        <v>0</v>
      </c>
      <c r="K6445" s="222">
        <v>0</v>
      </c>
    </row>
    <row r="6446" spans="1:11" hidden="1" x14ac:dyDescent="0.25">
      <c r="A6446" s="203"/>
      <c r="B6446" s="205"/>
      <c r="C6446" s="31"/>
      <c r="D6446" s="31"/>
      <c r="E6446" s="32"/>
      <c r="F6446" s="42" t="s">
        <v>514</v>
      </c>
      <c r="G6446" s="30" t="str">
        <f t="shared" si="132"/>
        <v/>
      </c>
      <c r="H6446" s="34"/>
      <c r="I6446" s="30"/>
      <c r="J6446" s="148">
        <v>0</v>
      </c>
      <c r="K6446" s="222">
        <v>0</v>
      </c>
    </row>
    <row r="6447" spans="1:11" hidden="1" x14ac:dyDescent="0.25">
      <c r="A6447" s="203"/>
      <c r="B6447" s="205"/>
      <c r="C6447" s="35" t="s">
        <v>1260</v>
      </c>
      <c r="D6447" s="46" t="s">
        <v>695</v>
      </c>
      <c r="E6447" s="36">
        <v>0.45910000000000001</v>
      </c>
      <c r="F6447" s="33">
        <v>23.0185</v>
      </c>
      <c r="G6447" s="30">
        <f t="shared" si="132"/>
        <v>10.567793350000001</v>
      </c>
      <c r="H6447" s="38">
        <f>SUM(G6447:G6448)</f>
        <v>13.48191645</v>
      </c>
      <c r="I6447" s="39"/>
      <c r="J6447" s="148">
        <v>0</v>
      </c>
      <c r="K6447" s="222">
        <v>0</v>
      </c>
    </row>
    <row r="6448" spans="1:11" hidden="1" x14ac:dyDescent="0.25">
      <c r="A6448" s="203"/>
      <c r="B6448" s="205"/>
      <c r="C6448" s="35" t="s">
        <v>696</v>
      </c>
      <c r="D6448" s="35" t="s">
        <v>695</v>
      </c>
      <c r="E6448" s="36">
        <v>0.15820000000000001</v>
      </c>
      <c r="F6448" s="30">
        <v>18.420500000000001</v>
      </c>
      <c r="G6448" s="30">
        <f t="shared" si="132"/>
        <v>2.9141231000000003</v>
      </c>
      <c r="H6448" s="34"/>
      <c r="I6448" s="30"/>
      <c r="J6448" s="148">
        <v>0</v>
      </c>
      <c r="K6448" s="222">
        <v>0</v>
      </c>
    </row>
    <row r="6449" spans="1:11" ht="15.75" hidden="1" thickBot="1" x14ac:dyDescent="0.3">
      <c r="A6449" s="209"/>
      <c r="B6449" s="206"/>
      <c r="C6449" s="54"/>
      <c r="D6449" s="54"/>
      <c r="E6449" s="65"/>
      <c r="F6449" s="66" t="s">
        <v>514</v>
      </c>
      <c r="G6449" s="66" t="str">
        <f t="shared" si="132"/>
        <v/>
      </c>
      <c r="H6449" s="68"/>
      <c r="I6449" s="30"/>
      <c r="J6449" s="148">
        <v>0</v>
      </c>
      <c r="K6449" s="222">
        <v>0</v>
      </c>
    </row>
    <row r="6450" spans="1:11" ht="15.75" hidden="1" thickBot="1" x14ac:dyDescent="0.3">
      <c r="A6450" s="202" t="s">
        <v>6706</v>
      </c>
      <c r="B6450" s="204" t="str">
        <f>INDEX(Orçamentária!A:B,MATCH(Composições!A6450,Orçamentária!A:A,0),2)</f>
        <v>Instalação de pavimentação em elementos intertravados de concreto reaproveitados</v>
      </c>
      <c r="C6450" s="40"/>
      <c r="D6450" s="25" t="str">
        <f>TRIM(INDEX(Orçamentária!C:C,MATCH(Composições!A6450,Orçamentária!A:A,0),1))</f>
        <v>m2</v>
      </c>
      <c r="E6450" s="26"/>
      <c r="F6450" s="41" t="s">
        <v>514</v>
      </c>
      <c r="G6450" s="27" t="str">
        <f t="shared" ref="G6450:G6513" si="133">IF(ISNUMBER(F6450),E6450*F6450,"")</f>
        <v/>
      </c>
      <c r="H6450" s="28"/>
      <c r="I6450" s="29"/>
      <c r="J6450" s="148">
        <v>0</v>
      </c>
      <c r="K6450" s="222">
        <v>0</v>
      </c>
    </row>
    <row r="6451" spans="1:11" hidden="1" x14ac:dyDescent="0.25">
      <c r="A6451" s="203"/>
      <c r="B6451" s="205"/>
      <c r="C6451" s="31"/>
      <c r="D6451" s="31"/>
      <c r="E6451" s="32"/>
      <c r="F6451" s="42" t="s">
        <v>514</v>
      </c>
      <c r="G6451" s="30" t="str">
        <f t="shared" si="133"/>
        <v/>
      </c>
      <c r="H6451" s="34"/>
      <c r="I6451" s="30"/>
      <c r="J6451" s="148">
        <v>0</v>
      </c>
      <c r="K6451" s="222">
        <v>0</v>
      </c>
    </row>
    <row r="6452" spans="1:11" ht="25.5" hidden="1" x14ac:dyDescent="0.25">
      <c r="A6452" s="203"/>
      <c r="B6452" s="205"/>
      <c r="C6452" s="35" t="s">
        <v>744</v>
      </c>
      <c r="D6452" s="35" t="s">
        <v>119</v>
      </c>
      <c r="E6452" s="36">
        <v>5.6800000000000003E-2</v>
      </c>
      <c r="F6452" s="33">
        <v>185.66799999999998</v>
      </c>
      <c r="G6452" s="30">
        <f t="shared" si="133"/>
        <v>10.545942399999999</v>
      </c>
      <c r="H6452" s="38">
        <f>SUM(G6452:G6457)</f>
        <v>20.020319000000001</v>
      </c>
      <c r="I6452" s="39"/>
      <c r="J6452" s="148">
        <v>0</v>
      </c>
      <c r="K6452" s="222">
        <v>0</v>
      </c>
    </row>
    <row r="6453" spans="1:11" hidden="1" x14ac:dyDescent="0.25">
      <c r="A6453" s="203"/>
      <c r="B6453" s="205"/>
      <c r="C6453" s="35" t="s">
        <v>1258</v>
      </c>
      <c r="D6453" s="35" t="s">
        <v>119</v>
      </c>
      <c r="E6453" s="36">
        <v>6.4000000000000003E-3</v>
      </c>
      <c r="F6453" s="30">
        <v>142.82300000000001</v>
      </c>
      <c r="G6453" s="30">
        <f t="shared" si="133"/>
        <v>0.91406720000000008</v>
      </c>
      <c r="H6453" s="34"/>
      <c r="I6453" s="30"/>
      <c r="J6453" s="148">
        <v>0</v>
      </c>
      <c r="K6453" s="222">
        <v>0</v>
      </c>
    </row>
    <row r="6454" spans="1:11" hidden="1" x14ac:dyDescent="0.25">
      <c r="A6454" s="203"/>
      <c r="B6454" s="205"/>
      <c r="C6454" s="35" t="s">
        <v>1260</v>
      </c>
      <c r="D6454" s="35" t="s">
        <v>695</v>
      </c>
      <c r="E6454" s="36">
        <v>0.2041</v>
      </c>
      <c r="F6454" s="30">
        <v>23.0185</v>
      </c>
      <c r="G6454" s="30">
        <f t="shared" si="133"/>
        <v>4.6980758500000004</v>
      </c>
      <c r="H6454" s="34"/>
      <c r="I6454" s="30"/>
      <c r="J6454" s="148">
        <v>0</v>
      </c>
      <c r="K6454" s="222">
        <v>0</v>
      </c>
    </row>
    <row r="6455" spans="1:11" hidden="1" x14ac:dyDescent="0.25">
      <c r="A6455" s="203"/>
      <c r="B6455" s="205"/>
      <c r="C6455" s="35" t="s">
        <v>696</v>
      </c>
      <c r="D6455" s="35" t="s">
        <v>695</v>
      </c>
      <c r="E6455" s="36">
        <v>0.2041</v>
      </c>
      <c r="F6455" s="30">
        <v>18.420500000000001</v>
      </c>
      <c r="G6455" s="30">
        <f t="shared" si="133"/>
        <v>3.7596240500000002</v>
      </c>
      <c r="H6455" s="34"/>
      <c r="I6455" s="30"/>
      <c r="J6455" s="148">
        <v>0</v>
      </c>
      <c r="K6455" s="222">
        <v>0</v>
      </c>
    </row>
    <row r="6456" spans="1:11" ht="38.25" hidden="1" x14ac:dyDescent="0.25">
      <c r="A6456" s="203"/>
      <c r="B6456" s="205"/>
      <c r="C6456" s="35" t="s">
        <v>1093</v>
      </c>
      <c r="D6456" s="35" t="s">
        <v>932</v>
      </c>
      <c r="E6456" s="36">
        <v>5.4999999999999997E-3</v>
      </c>
      <c r="F6456" s="30">
        <v>8.6449999999999996</v>
      </c>
      <c r="G6456" s="30">
        <f t="shared" si="133"/>
        <v>4.7547499999999993E-2</v>
      </c>
      <c r="H6456" s="34"/>
      <c r="I6456" s="30"/>
      <c r="J6456" s="148">
        <v>0</v>
      </c>
      <c r="K6456" s="222">
        <v>0</v>
      </c>
    </row>
    <row r="6457" spans="1:11" ht="38.25" hidden="1" x14ac:dyDescent="0.25">
      <c r="A6457" s="203"/>
      <c r="B6457" s="205"/>
      <c r="C6457" s="35" t="s">
        <v>1261</v>
      </c>
      <c r="D6457" s="35" t="s">
        <v>934</v>
      </c>
      <c r="E6457" s="36">
        <v>9.6600000000000005E-2</v>
      </c>
      <c r="F6457" s="30">
        <v>0.56999999999999995</v>
      </c>
      <c r="G6457" s="30">
        <f t="shared" si="133"/>
        <v>5.5062E-2</v>
      </c>
      <c r="H6457" s="34"/>
      <c r="I6457" s="30"/>
      <c r="J6457" s="148">
        <v>0</v>
      </c>
      <c r="K6457" s="222">
        <v>0</v>
      </c>
    </row>
    <row r="6458" spans="1:11" ht="15.75" hidden="1" thickBot="1" x14ac:dyDescent="0.3">
      <c r="A6458" s="209"/>
      <c r="B6458" s="206"/>
      <c r="C6458" s="54"/>
      <c r="D6458" s="54"/>
      <c r="E6458" s="65"/>
      <c r="F6458" s="66" t="s">
        <v>514</v>
      </c>
      <c r="G6458" s="66" t="str">
        <f t="shared" si="133"/>
        <v/>
      </c>
      <c r="H6458" s="68"/>
      <c r="I6458" s="30"/>
      <c r="J6458" s="148">
        <v>0</v>
      </c>
      <c r="K6458" s="222">
        <v>0</v>
      </c>
    </row>
    <row r="6459" spans="1:11" ht="15.75" hidden="1" thickBot="1" x14ac:dyDescent="0.3">
      <c r="A6459" s="202" t="s">
        <v>6707</v>
      </c>
      <c r="B6459" s="204" t="str">
        <f>INDEX(Orçamentária!A:B,MATCH(Composições!A6459,Orçamentária!A:A,0),2)</f>
        <v>Disjuntor tripolar trilho DIN até 40A</v>
      </c>
      <c r="C6459" s="40"/>
      <c r="D6459" s="25" t="str">
        <f>TRIM(INDEX(Orçamentária!C:C,MATCH(Composições!A6459,Orçamentária!A:A,0),1))</f>
        <v>un</v>
      </c>
      <c r="E6459" s="26"/>
      <c r="F6459" s="41" t="s">
        <v>514</v>
      </c>
      <c r="G6459" s="27" t="str">
        <f t="shared" si="133"/>
        <v/>
      </c>
      <c r="H6459" s="28"/>
      <c r="I6459" s="29"/>
      <c r="J6459" s="148">
        <v>0</v>
      </c>
      <c r="K6459" s="222">
        <v>0</v>
      </c>
    </row>
    <row r="6460" spans="1:11" hidden="1" x14ac:dyDescent="0.25">
      <c r="A6460" s="203"/>
      <c r="B6460" s="205"/>
      <c r="C6460" s="31"/>
      <c r="D6460" s="31"/>
      <c r="E6460" s="32"/>
      <c r="F6460" s="42" t="s">
        <v>514</v>
      </c>
      <c r="G6460" s="30" t="str">
        <f t="shared" si="133"/>
        <v/>
      </c>
      <c r="H6460" s="34"/>
      <c r="I6460" s="30"/>
      <c r="J6460" s="148">
        <v>0</v>
      </c>
      <c r="K6460" s="222">
        <v>0</v>
      </c>
    </row>
    <row r="6461" spans="1:11" ht="25.5" hidden="1" x14ac:dyDescent="0.25">
      <c r="A6461" s="203"/>
      <c r="B6461" s="205"/>
      <c r="C6461" s="35" t="s">
        <v>6675</v>
      </c>
      <c r="D6461" s="35" t="s">
        <v>278</v>
      </c>
      <c r="E6461" s="36">
        <v>3</v>
      </c>
      <c r="F6461" s="33">
        <v>1.3204999999999998</v>
      </c>
      <c r="G6461" s="30">
        <f t="shared" si="133"/>
        <v>3.9614999999999991</v>
      </c>
      <c r="H6461" s="38">
        <f>SUM(G6461:G6464)</f>
        <v>93.638963500000003</v>
      </c>
      <c r="I6461" s="39"/>
      <c r="J6461" s="148">
        <v>0</v>
      </c>
      <c r="K6461" s="222">
        <v>0</v>
      </c>
    </row>
    <row r="6462" spans="1:11" hidden="1" x14ac:dyDescent="0.25">
      <c r="A6462" s="203"/>
      <c r="B6462" s="205"/>
      <c r="C6462" s="35" t="s">
        <v>6672</v>
      </c>
      <c r="D6462" s="35" t="s">
        <v>278</v>
      </c>
      <c r="E6462" s="36">
        <v>1</v>
      </c>
      <c r="F6462" s="33">
        <v>71.601500000000001</v>
      </c>
      <c r="G6462" s="30">
        <f t="shared" si="133"/>
        <v>71.601500000000001</v>
      </c>
      <c r="H6462" s="44"/>
      <c r="I6462" s="45"/>
      <c r="J6462" s="148">
        <v>0</v>
      </c>
      <c r="K6462" s="222">
        <v>0</v>
      </c>
    </row>
    <row r="6463" spans="1:11" hidden="1" x14ac:dyDescent="0.25">
      <c r="A6463" s="203"/>
      <c r="B6463" s="205"/>
      <c r="C6463" s="35" t="s">
        <v>1150</v>
      </c>
      <c r="D6463" s="35" t="s">
        <v>695</v>
      </c>
      <c r="E6463" s="36">
        <v>0.40570000000000001</v>
      </c>
      <c r="F6463" s="33">
        <v>19.4085</v>
      </c>
      <c r="G6463" s="30">
        <f t="shared" si="133"/>
        <v>7.87402845</v>
      </c>
      <c r="H6463" s="44"/>
      <c r="I6463" s="45"/>
      <c r="J6463" s="148">
        <v>0</v>
      </c>
      <c r="K6463" s="222">
        <v>0</v>
      </c>
    </row>
    <row r="6464" spans="1:11" hidden="1" x14ac:dyDescent="0.25">
      <c r="A6464" s="203"/>
      <c r="B6464" s="205"/>
      <c r="C6464" s="35" t="s">
        <v>1151</v>
      </c>
      <c r="D6464" s="35" t="s">
        <v>695</v>
      </c>
      <c r="E6464" s="36">
        <v>0.40570000000000001</v>
      </c>
      <c r="F6464" s="30">
        <v>25.146499999999996</v>
      </c>
      <c r="G6464" s="30">
        <f t="shared" si="133"/>
        <v>10.201935049999998</v>
      </c>
      <c r="H6464" s="34"/>
      <c r="I6464" s="30"/>
      <c r="J6464" s="148">
        <v>0</v>
      </c>
      <c r="K6464" s="222">
        <v>0</v>
      </c>
    </row>
    <row r="6465" spans="1:11" ht="15.75" hidden="1" thickBot="1" x14ac:dyDescent="0.3">
      <c r="A6465" s="209"/>
      <c r="B6465" s="206"/>
      <c r="C6465" s="35"/>
      <c r="D6465" s="35"/>
      <c r="E6465" s="36"/>
      <c r="F6465" s="30" t="s">
        <v>514</v>
      </c>
      <c r="G6465" s="30" t="str">
        <f t="shared" si="133"/>
        <v/>
      </c>
      <c r="H6465" s="34"/>
      <c r="I6465" s="30"/>
      <c r="J6465" s="148">
        <v>0</v>
      </c>
      <c r="K6465" s="222">
        <v>0</v>
      </c>
    </row>
    <row r="6466" spans="1:11" ht="15.75" hidden="1" thickBot="1" x14ac:dyDescent="0.3">
      <c r="A6466" s="202" t="s">
        <v>6718</v>
      </c>
      <c r="B6466" s="204" t="str">
        <f>INDEX(Orçamentária!A:B,MATCH(Composições!A6466,Orçamentária!A:A,0),2)</f>
        <v>Poste reto 4m para câmera de CFTV</v>
      </c>
      <c r="C6466" s="40"/>
      <c r="D6466" s="25" t="str">
        <f>TRIM(INDEX(Orçamentária!C:C,MATCH(Composições!A6466,Orçamentária!A:A,0),1))</f>
        <v>un</v>
      </c>
      <c r="E6466" s="26"/>
      <c r="F6466" s="41" t="s">
        <v>514</v>
      </c>
      <c r="G6466" s="27" t="str">
        <f t="shared" si="133"/>
        <v/>
      </c>
      <c r="H6466" s="28"/>
      <c r="I6466" s="29"/>
      <c r="J6466" s="148">
        <v>0</v>
      </c>
      <c r="K6466" s="222">
        <v>0</v>
      </c>
    </row>
    <row r="6467" spans="1:11" hidden="1" x14ac:dyDescent="0.25">
      <c r="A6467" s="203"/>
      <c r="B6467" s="205"/>
      <c r="C6467" s="31"/>
      <c r="D6467" s="31"/>
      <c r="E6467" s="32"/>
      <c r="F6467" s="42" t="s">
        <v>514</v>
      </c>
      <c r="G6467" s="30" t="str">
        <f t="shared" si="133"/>
        <v/>
      </c>
      <c r="H6467" s="34"/>
      <c r="I6467" s="30"/>
      <c r="J6467" s="148">
        <v>0</v>
      </c>
      <c r="K6467" s="222">
        <v>0</v>
      </c>
    </row>
    <row r="6468" spans="1:11" ht="25.5" hidden="1" x14ac:dyDescent="0.25">
      <c r="A6468" s="203"/>
      <c r="B6468" s="205"/>
      <c r="C6468" s="35" t="s">
        <v>6670</v>
      </c>
      <c r="D6468" s="35" t="s">
        <v>278</v>
      </c>
      <c r="E6468" s="36">
        <v>4</v>
      </c>
      <c r="F6468" s="33">
        <v>22.695499999999999</v>
      </c>
      <c r="G6468" s="30">
        <f t="shared" si="133"/>
        <v>90.781999999999996</v>
      </c>
      <c r="H6468" s="38">
        <f>SUM(G6468:G6471)</f>
        <v>197.74471349999999</v>
      </c>
      <c r="I6468" s="39"/>
      <c r="J6468" s="148">
        <v>0</v>
      </c>
      <c r="K6468" s="222">
        <v>0</v>
      </c>
    </row>
    <row r="6469" spans="1:11" hidden="1" x14ac:dyDescent="0.25">
      <c r="A6469" s="203"/>
      <c r="B6469" s="205"/>
      <c r="C6469" s="35" t="s">
        <v>6783</v>
      </c>
      <c r="D6469" s="35" t="s">
        <v>278</v>
      </c>
      <c r="E6469" s="36">
        <v>1</v>
      </c>
      <c r="F6469" s="33" t="s">
        <v>514</v>
      </c>
      <c r="G6469" s="30" t="str">
        <f t="shared" si="133"/>
        <v/>
      </c>
      <c r="H6469" s="44"/>
      <c r="I6469" s="45"/>
      <c r="J6469" s="148">
        <v>0</v>
      </c>
      <c r="K6469" s="222">
        <v>0</v>
      </c>
    </row>
    <row r="6470" spans="1:11" hidden="1" x14ac:dyDescent="0.25">
      <c r="A6470" s="203"/>
      <c r="B6470" s="205"/>
      <c r="C6470" s="35" t="s">
        <v>1150</v>
      </c>
      <c r="D6470" s="35" t="s">
        <v>695</v>
      </c>
      <c r="E6470" s="36">
        <v>1.0580000000000001</v>
      </c>
      <c r="F6470" s="33">
        <v>19.4085</v>
      </c>
      <c r="G6470" s="30">
        <f t="shared" si="133"/>
        <v>20.534193000000002</v>
      </c>
      <c r="H6470" s="44"/>
      <c r="I6470" s="45"/>
      <c r="J6470" s="148">
        <v>0</v>
      </c>
      <c r="K6470" s="222">
        <v>0</v>
      </c>
    </row>
    <row r="6471" spans="1:11" hidden="1" x14ac:dyDescent="0.25">
      <c r="A6471" s="203"/>
      <c r="B6471" s="205"/>
      <c r="C6471" s="35" t="s">
        <v>1151</v>
      </c>
      <c r="D6471" s="35" t="s">
        <v>695</v>
      </c>
      <c r="E6471" s="36">
        <v>3.4369999999999998</v>
      </c>
      <c r="F6471" s="30">
        <v>25.146499999999996</v>
      </c>
      <c r="G6471" s="30">
        <f t="shared" si="133"/>
        <v>86.428520499999976</v>
      </c>
      <c r="H6471" s="34"/>
      <c r="I6471" s="30"/>
      <c r="J6471" s="148">
        <v>0</v>
      </c>
      <c r="K6471" s="222">
        <v>0</v>
      </c>
    </row>
    <row r="6472" spans="1:11" ht="15.75" hidden="1" thickBot="1" x14ac:dyDescent="0.3">
      <c r="A6472" s="209"/>
      <c r="B6472" s="206"/>
      <c r="C6472" s="35"/>
      <c r="D6472" s="35"/>
      <c r="E6472" s="36"/>
      <c r="F6472" s="30" t="s">
        <v>514</v>
      </c>
      <c r="G6472" s="30" t="str">
        <f t="shared" si="133"/>
        <v/>
      </c>
      <c r="H6472" s="34"/>
      <c r="I6472" s="30"/>
      <c r="J6472" s="148">
        <v>0</v>
      </c>
      <c r="K6472" s="222">
        <v>0</v>
      </c>
    </row>
    <row r="6473" spans="1:11" ht="15.75" hidden="1" thickBot="1" x14ac:dyDescent="0.3">
      <c r="A6473" s="202" t="s">
        <v>6719</v>
      </c>
      <c r="B6473" s="204" t="str">
        <f>INDEX(Orçamentária!A:B,MATCH(Composições!A6473,Orçamentária!A:A,0),2)</f>
        <v>Caixa hermética para CFTV</v>
      </c>
      <c r="C6473" s="40"/>
      <c r="D6473" s="25" t="str">
        <f>TRIM(INDEX(Orçamentária!C:C,MATCH(Composições!A6473,Orçamentária!A:A,0),1))</f>
        <v>un</v>
      </c>
      <c r="E6473" s="26"/>
      <c r="F6473" s="41" t="s">
        <v>514</v>
      </c>
      <c r="G6473" s="27" t="str">
        <f t="shared" si="133"/>
        <v/>
      </c>
      <c r="H6473" s="28"/>
      <c r="I6473" s="29"/>
      <c r="J6473" s="148">
        <v>0</v>
      </c>
      <c r="K6473" s="222">
        <v>0</v>
      </c>
    </row>
    <row r="6474" spans="1:11" hidden="1" x14ac:dyDescent="0.25">
      <c r="A6474" s="203"/>
      <c r="B6474" s="205"/>
      <c r="C6474" s="31"/>
      <c r="D6474" s="31"/>
      <c r="E6474" s="32"/>
      <c r="F6474" s="42" t="s">
        <v>514</v>
      </c>
      <c r="G6474" s="30" t="str">
        <f t="shared" si="133"/>
        <v/>
      </c>
      <c r="H6474" s="34"/>
      <c r="I6474" s="30"/>
      <c r="J6474" s="148">
        <v>0</v>
      </c>
      <c r="K6474" s="222">
        <v>0</v>
      </c>
    </row>
    <row r="6475" spans="1:11" hidden="1" x14ac:dyDescent="0.25">
      <c r="A6475" s="203"/>
      <c r="B6475" s="205"/>
      <c r="C6475" s="35" t="s">
        <v>6782</v>
      </c>
      <c r="D6475" s="46" t="s">
        <v>20</v>
      </c>
      <c r="E6475" s="36">
        <v>1</v>
      </c>
      <c r="F6475" s="33" t="s">
        <v>514</v>
      </c>
      <c r="G6475" s="30" t="str">
        <f t="shared" si="133"/>
        <v/>
      </c>
      <c r="H6475" s="38">
        <f>SUM(G6475:G6478)</f>
        <v>43.386627805126395</v>
      </c>
      <c r="I6475" s="39"/>
      <c r="J6475" s="148">
        <v>0</v>
      </c>
      <c r="K6475" s="222">
        <v>0</v>
      </c>
    </row>
    <row r="6476" spans="1:11" ht="38.25" hidden="1" x14ac:dyDescent="0.25">
      <c r="A6476" s="203"/>
      <c r="B6476" s="205"/>
      <c r="C6476" s="35" t="s">
        <v>3211</v>
      </c>
      <c r="D6476" s="46" t="s">
        <v>119</v>
      </c>
      <c r="E6476" s="36">
        <v>1.9199999999999998E-2</v>
      </c>
      <c r="F6476" s="33">
        <v>789.17314089199988</v>
      </c>
      <c r="G6476" s="30">
        <f t="shared" si="133"/>
        <v>15.152124305126396</v>
      </c>
      <c r="H6476" s="44"/>
      <c r="I6476" s="45"/>
      <c r="J6476" s="148">
        <v>0</v>
      </c>
      <c r="K6476" s="222">
        <v>0</v>
      </c>
    </row>
    <row r="6477" spans="1:11" hidden="1" x14ac:dyDescent="0.25">
      <c r="A6477" s="203"/>
      <c r="B6477" s="205"/>
      <c r="C6477" s="35" t="s">
        <v>74</v>
      </c>
      <c r="D6477" s="46" t="s">
        <v>12</v>
      </c>
      <c r="E6477" s="36">
        <v>0.63370000000000004</v>
      </c>
      <c r="F6477" s="33">
        <v>19.4085</v>
      </c>
      <c r="G6477" s="30">
        <f t="shared" si="133"/>
        <v>12.299166450000001</v>
      </c>
      <c r="H6477" s="44"/>
      <c r="I6477" s="45"/>
      <c r="J6477" s="148">
        <v>0</v>
      </c>
      <c r="K6477" s="222">
        <v>0</v>
      </c>
    </row>
    <row r="6478" spans="1:11" hidden="1" x14ac:dyDescent="0.25">
      <c r="A6478" s="203"/>
      <c r="B6478" s="205"/>
      <c r="C6478" s="35" t="s">
        <v>30</v>
      </c>
      <c r="D6478" s="46" t="s">
        <v>12</v>
      </c>
      <c r="E6478" s="36">
        <v>0.63370000000000004</v>
      </c>
      <c r="F6478" s="30">
        <v>25.146499999999996</v>
      </c>
      <c r="G6478" s="30">
        <f t="shared" si="133"/>
        <v>15.935337049999999</v>
      </c>
      <c r="H6478" s="34"/>
      <c r="I6478" s="30"/>
      <c r="J6478" s="148">
        <v>0</v>
      </c>
      <c r="K6478" s="222">
        <v>0</v>
      </c>
    </row>
    <row r="6479" spans="1:11" ht="15.75" hidden="1" thickBot="1" x14ac:dyDescent="0.3">
      <c r="A6479" s="209"/>
      <c r="B6479" s="206"/>
      <c r="C6479" s="54"/>
      <c r="D6479" s="54"/>
      <c r="E6479" s="65"/>
      <c r="F6479" s="66" t="s">
        <v>514</v>
      </c>
      <c r="G6479" s="66" t="str">
        <f t="shared" si="133"/>
        <v/>
      </c>
      <c r="H6479" s="68"/>
      <c r="I6479" s="30"/>
      <c r="J6479" s="148">
        <v>0</v>
      </c>
      <c r="K6479" s="222">
        <v>0</v>
      </c>
    </row>
    <row r="6480" spans="1:11" ht="15.75" hidden="1" thickBot="1" x14ac:dyDescent="0.3">
      <c r="A6480" s="202" t="s">
        <v>6723</v>
      </c>
      <c r="B6480" s="204" t="str">
        <f>INDEX(Orçamentária!A:B,MATCH(Composições!A6480,Orçamentária!A:A,0),2)</f>
        <v>Quadro elétrico TTA - 6 disjuntores terminais</v>
      </c>
      <c r="C6480" s="40"/>
      <c r="D6480" s="25" t="str">
        <f>TRIM(INDEX(Orçamentária!C:C,MATCH(Composições!A6480,Orçamentária!A:A,0),1))</f>
        <v>un</v>
      </c>
      <c r="E6480" s="26"/>
      <c r="F6480" s="41" t="s">
        <v>514</v>
      </c>
      <c r="G6480" s="27" t="str">
        <f t="shared" si="133"/>
        <v/>
      </c>
      <c r="H6480" s="28"/>
      <c r="I6480" s="29"/>
      <c r="J6480" s="148">
        <v>0</v>
      </c>
      <c r="K6480" s="222">
        <v>0</v>
      </c>
    </row>
    <row r="6481" spans="1:11" hidden="1" x14ac:dyDescent="0.25">
      <c r="A6481" s="203"/>
      <c r="B6481" s="205"/>
      <c r="C6481" s="31"/>
      <c r="D6481" s="31"/>
      <c r="E6481" s="32"/>
      <c r="F6481" s="42" t="s">
        <v>514</v>
      </c>
      <c r="G6481" s="30" t="str">
        <f t="shared" si="133"/>
        <v/>
      </c>
      <c r="H6481" s="34"/>
      <c r="I6481" s="30"/>
      <c r="J6481" s="148">
        <v>0</v>
      </c>
      <c r="K6481" s="222">
        <v>0</v>
      </c>
    </row>
    <row r="6482" spans="1:11" ht="25.5" hidden="1" x14ac:dyDescent="0.25">
      <c r="A6482" s="203"/>
      <c r="B6482" s="205"/>
      <c r="C6482" s="35" t="s">
        <v>8035</v>
      </c>
      <c r="D6482" s="46" t="s">
        <v>20</v>
      </c>
      <c r="E6482" s="36">
        <v>1</v>
      </c>
      <c r="F6482" s="33" t="s">
        <v>514</v>
      </c>
      <c r="G6482" s="30" t="str">
        <f t="shared" si="133"/>
        <v/>
      </c>
      <c r="H6482" s="38">
        <f>SUM(G6482:G6485)</f>
        <v>43.386627805126395</v>
      </c>
      <c r="I6482" s="39"/>
      <c r="J6482" s="148">
        <v>0</v>
      </c>
      <c r="K6482" s="222">
        <v>0</v>
      </c>
    </row>
    <row r="6483" spans="1:11" ht="38.25" hidden="1" x14ac:dyDescent="0.25">
      <c r="A6483" s="203"/>
      <c r="B6483" s="205"/>
      <c r="C6483" s="35" t="s">
        <v>3211</v>
      </c>
      <c r="D6483" s="46" t="s">
        <v>119</v>
      </c>
      <c r="E6483" s="36">
        <v>1.9199999999999998E-2</v>
      </c>
      <c r="F6483" s="30">
        <v>789.17314089199988</v>
      </c>
      <c r="G6483" s="30">
        <f t="shared" si="133"/>
        <v>15.152124305126396</v>
      </c>
      <c r="H6483" s="34"/>
      <c r="I6483" s="30"/>
      <c r="J6483" s="148">
        <v>0</v>
      </c>
      <c r="K6483" s="222">
        <v>0</v>
      </c>
    </row>
    <row r="6484" spans="1:11" hidden="1" x14ac:dyDescent="0.25">
      <c r="A6484" s="203"/>
      <c r="B6484" s="205"/>
      <c r="C6484" s="35" t="s">
        <v>74</v>
      </c>
      <c r="D6484" s="46" t="s">
        <v>12</v>
      </c>
      <c r="E6484" s="36">
        <v>0.63370000000000004</v>
      </c>
      <c r="F6484" s="30">
        <v>19.4085</v>
      </c>
      <c r="G6484" s="30">
        <f t="shared" si="133"/>
        <v>12.299166450000001</v>
      </c>
      <c r="H6484" s="34"/>
      <c r="I6484" s="30"/>
      <c r="J6484" s="148">
        <v>0</v>
      </c>
      <c r="K6484" s="222">
        <v>0</v>
      </c>
    </row>
    <row r="6485" spans="1:11" hidden="1" x14ac:dyDescent="0.25">
      <c r="A6485" s="203"/>
      <c r="B6485" s="205"/>
      <c r="C6485" s="35" t="s">
        <v>30</v>
      </c>
      <c r="D6485" s="46" t="s">
        <v>12</v>
      </c>
      <c r="E6485" s="36">
        <v>0.63370000000000004</v>
      </c>
      <c r="F6485" s="30">
        <v>25.146499999999996</v>
      </c>
      <c r="G6485" s="33">
        <f t="shared" si="133"/>
        <v>15.935337049999999</v>
      </c>
      <c r="H6485" s="34"/>
      <c r="I6485" s="30"/>
      <c r="J6485" s="148">
        <v>0</v>
      </c>
      <c r="K6485" s="222">
        <v>0</v>
      </c>
    </row>
    <row r="6486" spans="1:11" ht="15.75" hidden="1" thickBot="1" x14ac:dyDescent="0.3">
      <c r="A6486" s="203"/>
      <c r="B6486" s="206"/>
      <c r="C6486" s="35"/>
      <c r="D6486" s="35"/>
      <c r="E6486" s="36"/>
      <c r="F6486" s="30" t="s">
        <v>514</v>
      </c>
      <c r="G6486" s="30" t="str">
        <f t="shared" si="133"/>
        <v/>
      </c>
      <c r="H6486" s="34"/>
      <c r="I6486" s="30"/>
      <c r="J6486" s="148">
        <v>0</v>
      </c>
      <c r="K6486" s="222">
        <v>0</v>
      </c>
    </row>
    <row r="6487" spans="1:11" ht="15.75" hidden="1" thickBot="1" x14ac:dyDescent="0.3">
      <c r="A6487" s="202" t="s">
        <v>6724</v>
      </c>
      <c r="B6487" s="204" t="str">
        <f>INDEX(Orçamentária!A:B,MATCH(Composições!A6487,Orçamentária!A:A,0),2)</f>
        <v>Quadro elétrico TTA - 11 disjuntores terminais</v>
      </c>
      <c r="C6487" s="40"/>
      <c r="D6487" s="25" t="str">
        <f>TRIM(INDEX(Orçamentária!C:C,MATCH(Composições!A6487,Orçamentária!A:A,0),1))</f>
        <v>un</v>
      </c>
      <c r="E6487" s="26"/>
      <c r="F6487" s="41" t="s">
        <v>514</v>
      </c>
      <c r="G6487" s="27" t="str">
        <f t="shared" si="133"/>
        <v/>
      </c>
      <c r="H6487" s="28"/>
      <c r="I6487" s="29"/>
      <c r="J6487" s="148">
        <v>0</v>
      </c>
      <c r="K6487" s="222">
        <v>0</v>
      </c>
    </row>
    <row r="6488" spans="1:11" hidden="1" x14ac:dyDescent="0.25">
      <c r="A6488" s="203"/>
      <c r="B6488" s="205"/>
      <c r="C6488" s="31"/>
      <c r="D6488" s="31"/>
      <c r="E6488" s="32"/>
      <c r="F6488" s="42" t="s">
        <v>514</v>
      </c>
      <c r="G6488" s="30" t="str">
        <f t="shared" si="133"/>
        <v/>
      </c>
      <c r="H6488" s="34"/>
      <c r="I6488" s="30"/>
      <c r="J6488" s="148">
        <v>0</v>
      </c>
      <c r="K6488" s="222">
        <v>0</v>
      </c>
    </row>
    <row r="6489" spans="1:11" ht="25.5" hidden="1" x14ac:dyDescent="0.25">
      <c r="A6489" s="203"/>
      <c r="B6489" s="205"/>
      <c r="C6489" s="35" t="s">
        <v>8034</v>
      </c>
      <c r="D6489" s="46" t="s">
        <v>20</v>
      </c>
      <c r="E6489" s="36">
        <v>1</v>
      </c>
      <c r="F6489" s="33" t="s">
        <v>514</v>
      </c>
      <c r="G6489" s="30" t="str">
        <f t="shared" si="133"/>
        <v/>
      </c>
      <c r="H6489" s="38">
        <f>SUM(G6489:G6492)</f>
        <v>43.386627805126395</v>
      </c>
      <c r="I6489" s="39"/>
      <c r="J6489" s="148">
        <v>0</v>
      </c>
      <c r="K6489" s="222">
        <v>0</v>
      </c>
    </row>
    <row r="6490" spans="1:11" ht="38.25" hidden="1" x14ac:dyDescent="0.25">
      <c r="A6490" s="203"/>
      <c r="B6490" s="205"/>
      <c r="C6490" s="35" t="s">
        <v>3211</v>
      </c>
      <c r="D6490" s="46" t="s">
        <v>119</v>
      </c>
      <c r="E6490" s="36">
        <v>1.9199999999999998E-2</v>
      </c>
      <c r="F6490" s="30">
        <v>789.17314089199988</v>
      </c>
      <c r="G6490" s="30">
        <f t="shared" si="133"/>
        <v>15.152124305126396</v>
      </c>
      <c r="H6490" s="34"/>
      <c r="I6490" s="30"/>
      <c r="J6490" s="148">
        <v>0</v>
      </c>
      <c r="K6490" s="222">
        <v>0</v>
      </c>
    </row>
    <row r="6491" spans="1:11" hidden="1" x14ac:dyDescent="0.25">
      <c r="A6491" s="203"/>
      <c r="B6491" s="205"/>
      <c r="C6491" s="35" t="s">
        <v>74</v>
      </c>
      <c r="D6491" s="46" t="s">
        <v>12</v>
      </c>
      <c r="E6491" s="36">
        <v>0.63370000000000004</v>
      </c>
      <c r="F6491" s="30">
        <v>19.4085</v>
      </c>
      <c r="G6491" s="30">
        <f t="shared" si="133"/>
        <v>12.299166450000001</v>
      </c>
      <c r="H6491" s="34"/>
      <c r="I6491" s="30"/>
      <c r="J6491" s="148">
        <v>0</v>
      </c>
      <c r="K6491" s="222">
        <v>0</v>
      </c>
    </row>
    <row r="6492" spans="1:11" hidden="1" x14ac:dyDescent="0.25">
      <c r="A6492" s="203"/>
      <c r="B6492" s="205"/>
      <c r="C6492" s="35" t="s">
        <v>30</v>
      </c>
      <c r="D6492" s="46" t="s">
        <v>12</v>
      </c>
      <c r="E6492" s="36">
        <v>0.63370000000000004</v>
      </c>
      <c r="F6492" s="30">
        <v>25.146499999999996</v>
      </c>
      <c r="G6492" s="33">
        <f t="shared" si="133"/>
        <v>15.935337049999999</v>
      </c>
      <c r="H6492" s="34"/>
      <c r="I6492" s="30"/>
      <c r="J6492" s="148">
        <v>0</v>
      </c>
      <c r="K6492" s="222">
        <v>0</v>
      </c>
    </row>
    <row r="6493" spans="1:11" ht="15.75" hidden="1" thickBot="1" x14ac:dyDescent="0.3">
      <c r="A6493" s="203"/>
      <c r="B6493" s="206"/>
      <c r="C6493" s="35"/>
      <c r="D6493" s="35"/>
      <c r="E6493" s="36"/>
      <c r="F6493" s="30" t="s">
        <v>514</v>
      </c>
      <c r="G6493" s="30" t="str">
        <f t="shared" si="133"/>
        <v/>
      </c>
      <c r="H6493" s="34"/>
      <c r="I6493" s="30"/>
      <c r="J6493" s="148">
        <v>0</v>
      </c>
      <c r="K6493" s="222">
        <v>0</v>
      </c>
    </row>
    <row r="6494" spans="1:11" ht="15.75" hidden="1" thickBot="1" x14ac:dyDescent="0.3">
      <c r="A6494" s="202" t="s">
        <v>6731</v>
      </c>
      <c r="B6494" s="204" t="str">
        <f>INDEX(Orçamentária!A:B,MATCH(Composições!A6494,Orçamentária!A:A,0),2)</f>
        <v>Anel de borracha para vedação na interligação de tubos de esgoto</v>
      </c>
      <c r="C6494" s="40"/>
      <c r="D6494" s="25" t="str">
        <f>TRIM(INDEX(Orçamentária!C:C,MATCH(Composições!A6494,Orçamentária!A:A,0),1))</f>
        <v>un</v>
      </c>
      <c r="E6494" s="26"/>
      <c r="F6494" s="41" t="s">
        <v>514</v>
      </c>
      <c r="G6494" s="27" t="str">
        <f t="shared" si="133"/>
        <v/>
      </c>
      <c r="H6494" s="28"/>
      <c r="I6494" s="29"/>
      <c r="J6494" s="148">
        <v>0</v>
      </c>
      <c r="K6494" s="222">
        <v>0</v>
      </c>
    </row>
    <row r="6495" spans="1:11" hidden="1" x14ac:dyDescent="0.25">
      <c r="A6495" s="203"/>
      <c r="B6495" s="205"/>
      <c r="C6495" s="31"/>
      <c r="D6495" s="31"/>
      <c r="E6495" s="32"/>
      <c r="F6495" s="42" t="s">
        <v>514</v>
      </c>
      <c r="G6495" s="30" t="str">
        <f t="shared" si="133"/>
        <v/>
      </c>
      <c r="H6495" s="34"/>
      <c r="I6495" s="30"/>
      <c r="J6495" s="148">
        <v>0</v>
      </c>
      <c r="K6495" s="222">
        <v>0</v>
      </c>
    </row>
    <row r="6496" spans="1:11" ht="25.5" hidden="1" x14ac:dyDescent="0.25">
      <c r="A6496" s="203"/>
      <c r="B6496" s="205"/>
      <c r="C6496" s="35" t="s">
        <v>6598</v>
      </c>
      <c r="D6496" s="46" t="s">
        <v>20</v>
      </c>
      <c r="E6496" s="36">
        <v>1</v>
      </c>
      <c r="F6496" s="30">
        <v>14.3925</v>
      </c>
      <c r="G6496" s="30">
        <f t="shared" si="133"/>
        <v>14.3925</v>
      </c>
      <c r="H6496" s="38">
        <f>SUM(G6496:G6496)</f>
        <v>14.3925</v>
      </c>
      <c r="I6496" s="39"/>
      <c r="J6496" s="148">
        <v>0</v>
      </c>
      <c r="K6496" s="222">
        <v>0</v>
      </c>
    </row>
    <row r="6497" spans="1:11" ht="15.75" hidden="1" thickBot="1" x14ac:dyDescent="0.3">
      <c r="A6497" s="209"/>
      <c r="B6497" s="206"/>
      <c r="C6497" s="54"/>
      <c r="D6497" s="54"/>
      <c r="E6497" s="65"/>
      <c r="F6497" s="66" t="s">
        <v>514</v>
      </c>
      <c r="G6497" s="66" t="str">
        <f t="shared" si="133"/>
        <v/>
      </c>
      <c r="H6497" s="68"/>
      <c r="I6497" s="30"/>
      <c r="J6497" s="148">
        <v>0</v>
      </c>
      <c r="K6497" s="222">
        <v>0</v>
      </c>
    </row>
    <row r="6498" spans="1:11" ht="15.75" hidden="1" thickBot="1" x14ac:dyDescent="0.3">
      <c r="A6498" s="202" t="s">
        <v>6733</v>
      </c>
      <c r="B6498" s="204" t="str">
        <f>INDEX(Orçamentária!A:B,MATCH(Composições!A6498,Orçamentária!A:A,0),2)</f>
        <v>Anel de Vedação para bacia sanitária</v>
      </c>
      <c r="C6498" s="40"/>
      <c r="D6498" s="25" t="str">
        <f>TRIM(INDEX(Orçamentária!C:C,MATCH(Composições!A6498,Orçamentária!A:A,0),1))</f>
        <v>un</v>
      </c>
      <c r="E6498" s="26"/>
      <c r="F6498" s="41" t="s">
        <v>514</v>
      </c>
      <c r="G6498" s="27" t="str">
        <f t="shared" si="133"/>
        <v/>
      </c>
      <c r="H6498" s="28"/>
      <c r="I6498" s="29"/>
      <c r="J6498" s="148">
        <v>0</v>
      </c>
      <c r="K6498" s="222">
        <v>0</v>
      </c>
    </row>
    <row r="6499" spans="1:11" hidden="1" x14ac:dyDescent="0.25">
      <c r="A6499" s="203"/>
      <c r="B6499" s="205"/>
      <c r="C6499" s="31"/>
      <c r="D6499" s="31"/>
      <c r="E6499" s="32"/>
      <c r="F6499" s="42" t="s">
        <v>514</v>
      </c>
      <c r="G6499" s="30" t="str">
        <f t="shared" si="133"/>
        <v/>
      </c>
      <c r="H6499" s="34"/>
      <c r="I6499" s="30"/>
      <c r="J6499" s="148">
        <v>0</v>
      </c>
      <c r="K6499" s="222">
        <v>0</v>
      </c>
    </row>
    <row r="6500" spans="1:11" ht="25.5" hidden="1" x14ac:dyDescent="0.25">
      <c r="A6500" s="203"/>
      <c r="B6500" s="205"/>
      <c r="C6500" s="35" t="s">
        <v>7606</v>
      </c>
      <c r="D6500" s="46" t="s">
        <v>20</v>
      </c>
      <c r="E6500" s="36">
        <v>1</v>
      </c>
      <c r="F6500" s="30">
        <v>2.9544999999999999</v>
      </c>
      <c r="G6500" s="30">
        <f t="shared" si="133"/>
        <v>2.9544999999999999</v>
      </c>
      <c r="H6500" s="38">
        <f>SUM(G6500:G6500)</f>
        <v>2.9544999999999999</v>
      </c>
      <c r="I6500" s="39"/>
      <c r="J6500" s="148">
        <v>0</v>
      </c>
      <c r="K6500" s="222">
        <v>0</v>
      </c>
    </row>
    <row r="6501" spans="1:11" ht="15.75" hidden="1" thickBot="1" x14ac:dyDescent="0.3">
      <c r="A6501" s="209"/>
      <c r="B6501" s="206"/>
      <c r="C6501" s="54"/>
      <c r="D6501" s="54"/>
      <c r="E6501" s="65"/>
      <c r="F6501" s="66" t="s">
        <v>514</v>
      </c>
      <c r="G6501" s="66" t="str">
        <f t="shared" si="133"/>
        <v/>
      </c>
      <c r="H6501" s="68"/>
      <c r="I6501" s="30"/>
      <c r="J6501" s="148">
        <v>0</v>
      </c>
      <c r="K6501" s="222">
        <v>0</v>
      </c>
    </row>
    <row r="6502" spans="1:11" ht="15.75" hidden="1" thickBot="1" x14ac:dyDescent="0.3">
      <c r="A6502" s="202" t="s">
        <v>6734</v>
      </c>
      <c r="B6502" s="204" t="str">
        <f>INDEX(Orçamentária!A:B,MATCH(Composições!A6502,Orçamentária!A:A,0),2)</f>
        <v>Rejunte cimentício flexível</v>
      </c>
      <c r="C6502" s="40"/>
      <c r="D6502" s="25" t="str">
        <f>TRIM(INDEX(Orçamentária!C:C,MATCH(Composições!A6502,Orçamentária!A:A,0),1))</f>
        <v>kg</v>
      </c>
      <c r="E6502" s="26"/>
      <c r="F6502" s="41" t="s">
        <v>514</v>
      </c>
      <c r="G6502" s="27" t="str">
        <f t="shared" si="133"/>
        <v/>
      </c>
      <c r="H6502" s="28"/>
      <c r="I6502" s="29"/>
      <c r="J6502" s="148">
        <v>0</v>
      </c>
      <c r="K6502" s="222">
        <v>0</v>
      </c>
    </row>
    <row r="6503" spans="1:11" hidden="1" x14ac:dyDescent="0.25">
      <c r="A6503" s="203"/>
      <c r="B6503" s="205"/>
      <c r="C6503" s="31"/>
      <c r="D6503" s="31"/>
      <c r="E6503" s="32"/>
      <c r="F6503" s="42" t="s">
        <v>514</v>
      </c>
      <c r="G6503" s="30" t="str">
        <f t="shared" si="133"/>
        <v/>
      </c>
      <c r="H6503" s="34"/>
      <c r="I6503" s="30"/>
      <c r="J6503" s="148">
        <v>0</v>
      </c>
      <c r="K6503" s="222">
        <v>0</v>
      </c>
    </row>
    <row r="6504" spans="1:11" hidden="1" x14ac:dyDescent="0.25">
      <c r="A6504" s="203"/>
      <c r="B6504" s="205"/>
      <c r="C6504" s="35" t="s">
        <v>7690</v>
      </c>
      <c r="D6504" s="46" t="s">
        <v>42</v>
      </c>
      <c r="E6504" s="36">
        <v>1</v>
      </c>
      <c r="F6504" s="30">
        <v>3.0590000000000002</v>
      </c>
      <c r="G6504" s="30">
        <f t="shared" si="133"/>
        <v>3.0590000000000002</v>
      </c>
      <c r="H6504" s="38">
        <f>SUM(G6504:G6504)</f>
        <v>3.0590000000000002</v>
      </c>
      <c r="I6504" s="39"/>
      <c r="J6504" s="148">
        <v>0</v>
      </c>
      <c r="K6504" s="222">
        <v>0</v>
      </c>
    </row>
    <row r="6505" spans="1:11" ht="15.75" hidden="1" thickBot="1" x14ac:dyDescent="0.3">
      <c r="A6505" s="209"/>
      <c r="B6505" s="206"/>
      <c r="C6505" s="54"/>
      <c r="D6505" s="54"/>
      <c r="E6505" s="65"/>
      <c r="F6505" s="66" t="s">
        <v>514</v>
      </c>
      <c r="G6505" s="66" t="str">
        <f t="shared" si="133"/>
        <v/>
      </c>
      <c r="H6505" s="68"/>
      <c r="I6505" s="30"/>
      <c r="J6505" s="148">
        <v>0</v>
      </c>
      <c r="K6505" s="222">
        <v>0</v>
      </c>
    </row>
    <row r="6506" spans="1:11" ht="15.75" hidden="1" thickBot="1" x14ac:dyDescent="0.3">
      <c r="A6506" s="202" t="s">
        <v>6738</v>
      </c>
      <c r="B6506" s="204" t="str">
        <f>INDEX(Orçamentária!A:B,MATCH(Composições!A6506,Orçamentária!A:A,0),2)</f>
        <v>Assento para bacia convencional</v>
      </c>
      <c r="C6506" s="40"/>
      <c r="D6506" s="25" t="str">
        <f>TRIM(INDEX(Orçamentária!C:C,MATCH(Composições!A6506,Orçamentária!A:A,0),1))</f>
        <v>un</v>
      </c>
      <c r="E6506" s="26"/>
      <c r="F6506" s="41" t="s">
        <v>514</v>
      </c>
      <c r="G6506" s="27" t="str">
        <f t="shared" si="133"/>
        <v/>
      </c>
      <c r="H6506" s="28"/>
      <c r="I6506" s="29"/>
      <c r="J6506" s="148">
        <v>0</v>
      </c>
      <c r="K6506" s="222">
        <v>0</v>
      </c>
    </row>
    <row r="6507" spans="1:11" hidden="1" x14ac:dyDescent="0.25">
      <c r="A6507" s="203"/>
      <c r="B6507" s="205"/>
      <c r="C6507" s="31"/>
      <c r="D6507" s="31"/>
      <c r="E6507" s="32"/>
      <c r="F6507" s="42" t="s">
        <v>514</v>
      </c>
      <c r="G6507" s="30" t="str">
        <f t="shared" si="133"/>
        <v/>
      </c>
      <c r="H6507" s="34"/>
      <c r="I6507" s="30"/>
      <c r="J6507" s="148">
        <v>0</v>
      </c>
      <c r="K6507" s="222">
        <v>0</v>
      </c>
    </row>
    <row r="6508" spans="1:11" hidden="1" x14ac:dyDescent="0.25">
      <c r="A6508" s="203"/>
      <c r="B6508" s="205"/>
      <c r="C6508" s="35" t="s">
        <v>7609</v>
      </c>
      <c r="D6508" s="46" t="s">
        <v>20</v>
      </c>
      <c r="E6508" s="36">
        <v>1</v>
      </c>
      <c r="F6508" s="30">
        <v>38.332499999999996</v>
      </c>
      <c r="G6508" s="30">
        <f t="shared" si="133"/>
        <v>38.332499999999996</v>
      </c>
      <c r="H6508" s="38">
        <f>SUM(G6508:G6508)</f>
        <v>38.332499999999996</v>
      </c>
      <c r="I6508" s="39"/>
      <c r="J6508" s="148">
        <v>0</v>
      </c>
      <c r="K6508" s="222">
        <v>0</v>
      </c>
    </row>
    <row r="6509" spans="1:11" ht="15.75" hidden="1" thickBot="1" x14ac:dyDescent="0.3">
      <c r="A6509" s="209"/>
      <c r="B6509" s="206"/>
      <c r="C6509" s="54"/>
      <c r="D6509" s="54"/>
      <c r="E6509" s="65"/>
      <c r="F6509" s="66" t="s">
        <v>514</v>
      </c>
      <c r="G6509" s="66" t="str">
        <f t="shared" si="133"/>
        <v/>
      </c>
      <c r="H6509" s="68"/>
      <c r="I6509" s="30"/>
      <c r="J6509" s="148">
        <v>0</v>
      </c>
      <c r="K6509" s="222">
        <v>0</v>
      </c>
    </row>
    <row r="6510" spans="1:11" ht="15.75" hidden="1" thickBot="1" x14ac:dyDescent="0.3">
      <c r="A6510" s="202" t="s">
        <v>6744</v>
      </c>
      <c r="B6510" s="204" t="str">
        <f>INDEX(Orçamentária!A:B,MATCH(Composições!A6510,Orçamentária!A:A,0),2)</f>
        <v>Barra de apoio 70 cm - Linha Acessibilidade</v>
      </c>
      <c r="C6510" s="40"/>
      <c r="D6510" s="25" t="str">
        <f>TRIM(INDEX(Orçamentária!C:C,MATCH(Composições!A6510,Orçamentária!A:A,0),1))</f>
        <v>un</v>
      </c>
      <c r="E6510" s="26"/>
      <c r="F6510" s="41" t="s">
        <v>514</v>
      </c>
      <c r="G6510" s="27" t="str">
        <f t="shared" si="133"/>
        <v/>
      </c>
      <c r="H6510" s="28"/>
      <c r="I6510" s="29"/>
      <c r="J6510" s="148">
        <v>0</v>
      </c>
      <c r="K6510" s="222">
        <v>0</v>
      </c>
    </row>
    <row r="6511" spans="1:11" hidden="1" x14ac:dyDescent="0.25">
      <c r="A6511" s="203"/>
      <c r="B6511" s="205"/>
      <c r="C6511" s="31"/>
      <c r="D6511" s="31"/>
      <c r="E6511" s="32"/>
      <c r="F6511" s="42" t="s">
        <v>514</v>
      </c>
      <c r="G6511" s="30" t="str">
        <f t="shared" si="133"/>
        <v/>
      </c>
      <c r="H6511" s="34"/>
      <c r="I6511" s="30"/>
      <c r="J6511" s="148">
        <v>0</v>
      </c>
      <c r="K6511" s="222">
        <v>0</v>
      </c>
    </row>
    <row r="6512" spans="1:11" ht="25.5" hidden="1" x14ac:dyDescent="0.25">
      <c r="A6512" s="203"/>
      <c r="B6512" s="205"/>
      <c r="C6512" s="35" t="s">
        <v>7610</v>
      </c>
      <c r="D6512" s="46" t="s">
        <v>20</v>
      </c>
      <c r="E6512" s="36">
        <v>1</v>
      </c>
      <c r="F6512" s="30">
        <v>158.49799999999999</v>
      </c>
      <c r="G6512" s="30">
        <f t="shared" si="133"/>
        <v>158.49799999999999</v>
      </c>
      <c r="H6512" s="38">
        <f>SUM(G6512:G6512)</f>
        <v>158.49799999999999</v>
      </c>
      <c r="I6512" s="39"/>
      <c r="J6512" s="148">
        <v>0</v>
      </c>
      <c r="K6512" s="222">
        <v>0</v>
      </c>
    </row>
    <row r="6513" spans="1:11" ht="15.75" hidden="1" thickBot="1" x14ac:dyDescent="0.3">
      <c r="A6513" s="209"/>
      <c r="B6513" s="206"/>
      <c r="C6513" s="54"/>
      <c r="D6513" s="54"/>
      <c r="E6513" s="65"/>
      <c r="F6513" s="66" t="s">
        <v>514</v>
      </c>
      <c r="G6513" s="66" t="str">
        <f t="shared" si="133"/>
        <v/>
      </c>
      <c r="H6513" s="68"/>
      <c r="I6513" s="30"/>
      <c r="J6513" s="148">
        <v>0</v>
      </c>
      <c r="K6513" s="222">
        <v>0</v>
      </c>
    </row>
    <row r="6514" spans="1:11" ht="15.75" hidden="1" thickBot="1" x14ac:dyDescent="0.3">
      <c r="A6514" s="202" t="s">
        <v>6745</v>
      </c>
      <c r="B6514" s="204" t="str">
        <f>INDEX(Orçamentária!A:B,MATCH(Composições!A6514,Orçamentária!A:A,0),2)</f>
        <v>Barra de apoio 80 cm - Linha Acessibilidade</v>
      </c>
      <c r="C6514" s="40"/>
      <c r="D6514" s="25" t="str">
        <f>TRIM(INDEX(Orçamentária!C:C,MATCH(Composições!A6514,Orçamentária!A:A,0),1))</f>
        <v>un</v>
      </c>
      <c r="E6514" s="26"/>
      <c r="F6514" s="41" t="s">
        <v>514</v>
      </c>
      <c r="G6514" s="27" t="str">
        <f t="shared" ref="G6514:G6577" si="134">IF(ISNUMBER(F6514),E6514*F6514,"")</f>
        <v/>
      </c>
      <c r="H6514" s="28"/>
      <c r="I6514" s="29"/>
      <c r="J6514" s="148">
        <v>0</v>
      </c>
      <c r="K6514" s="222">
        <v>0</v>
      </c>
    </row>
    <row r="6515" spans="1:11" hidden="1" x14ac:dyDescent="0.25">
      <c r="A6515" s="203"/>
      <c r="B6515" s="205"/>
      <c r="C6515" s="31"/>
      <c r="D6515" s="31"/>
      <c r="E6515" s="32"/>
      <c r="F6515" s="42" t="s">
        <v>514</v>
      </c>
      <c r="G6515" s="30" t="str">
        <f t="shared" si="134"/>
        <v/>
      </c>
      <c r="H6515" s="34"/>
      <c r="I6515" s="30"/>
      <c r="J6515" s="148">
        <v>0</v>
      </c>
      <c r="K6515" s="222">
        <v>0</v>
      </c>
    </row>
    <row r="6516" spans="1:11" ht="25.5" hidden="1" x14ac:dyDescent="0.25">
      <c r="A6516" s="203"/>
      <c r="B6516" s="205"/>
      <c r="C6516" s="35" t="s">
        <v>7611</v>
      </c>
      <c r="D6516" s="46" t="s">
        <v>20</v>
      </c>
      <c r="E6516" s="36">
        <v>1</v>
      </c>
      <c r="F6516" s="30">
        <v>169.005</v>
      </c>
      <c r="G6516" s="30">
        <f t="shared" si="134"/>
        <v>169.005</v>
      </c>
      <c r="H6516" s="38">
        <f>SUM(G6516:G6516)</f>
        <v>169.005</v>
      </c>
      <c r="I6516" s="39"/>
      <c r="J6516" s="148">
        <v>0</v>
      </c>
      <c r="K6516" s="222">
        <v>0</v>
      </c>
    </row>
    <row r="6517" spans="1:11" ht="15.75" hidden="1" thickBot="1" x14ac:dyDescent="0.3">
      <c r="A6517" s="209"/>
      <c r="B6517" s="206"/>
      <c r="C6517" s="54"/>
      <c r="D6517" s="54"/>
      <c r="E6517" s="65"/>
      <c r="F6517" s="66" t="s">
        <v>514</v>
      </c>
      <c r="G6517" s="66" t="str">
        <f t="shared" si="134"/>
        <v/>
      </c>
      <c r="H6517" s="68"/>
      <c r="I6517" s="30"/>
      <c r="J6517" s="148">
        <v>0</v>
      </c>
      <c r="K6517" s="222">
        <v>0</v>
      </c>
    </row>
    <row r="6518" spans="1:11" ht="15.75" hidden="1" thickBot="1" x14ac:dyDescent="0.3">
      <c r="A6518" s="202" t="s">
        <v>6749</v>
      </c>
      <c r="B6518" s="204" t="str">
        <f>INDEX(Orçamentária!A:B,MATCH(Composições!A6518,Orçamentária!A:A,0),2)</f>
        <v>Bolsa de ligação Branca para Vaso Sanitário</v>
      </c>
      <c r="C6518" s="40"/>
      <c r="D6518" s="25" t="str">
        <f>TRIM(INDEX(Orçamentária!C:C,MATCH(Composições!A6518,Orçamentária!A:A,0),1))</f>
        <v>un</v>
      </c>
      <c r="E6518" s="26"/>
      <c r="F6518" s="41" t="s">
        <v>514</v>
      </c>
      <c r="G6518" s="27" t="str">
        <f t="shared" si="134"/>
        <v/>
      </c>
      <c r="H6518" s="28"/>
      <c r="I6518" s="29"/>
      <c r="J6518" s="148">
        <v>0</v>
      </c>
      <c r="K6518" s="222">
        <v>0</v>
      </c>
    </row>
    <row r="6519" spans="1:11" hidden="1" x14ac:dyDescent="0.25">
      <c r="A6519" s="203"/>
      <c r="B6519" s="205"/>
      <c r="C6519" s="31"/>
      <c r="D6519" s="31"/>
      <c r="E6519" s="32"/>
      <c r="F6519" s="42" t="s">
        <v>514</v>
      </c>
      <c r="G6519" s="30" t="str">
        <f t="shared" si="134"/>
        <v/>
      </c>
      <c r="H6519" s="34"/>
      <c r="I6519" s="30"/>
      <c r="J6519" s="148">
        <v>0</v>
      </c>
      <c r="K6519" s="222">
        <v>0</v>
      </c>
    </row>
    <row r="6520" spans="1:11" ht="25.5" hidden="1" x14ac:dyDescent="0.25">
      <c r="A6520" s="203"/>
      <c r="B6520" s="205"/>
      <c r="C6520" s="35" t="s">
        <v>7614</v>
      </c>
      <c r="D6520" s="46" t="s">
        <v>20</v>
      </c>
      <c r="E6520" s="36">
        <v>1</v>
      </c>
      <c r="F6520" s="30">
        <v>4.0469999999999997</v>
      </c>
      <c r="G6520" s="30">
        <f t="shared" si="134"/>
        <v>4.0469999999999997</v>
      </c>
      <c r="H6520" s="38">
        <f>SUM(G6520:G6520)</f>
        <v>4.0469999999999997</v>
      </c>
      <c r="I6520" s="39"/>
      <c r="J6520" s="148">
        <v>0</v>
      </c>
      <c r="K6520" s="222">
        <v>0</v>
      </c>
    </row>
    <row r="6521" spans="1:11" ht="15.75" hidden="1" thickBot="1" x14ac:dyDescent="0.3">
      <c r="A6521" s="209"/>
      <c r="B6521" s="206"/>
      <c r="C6521" s="54"/>
      <c r="D6521" s="54"/>
      <c r="E6521" s="65"/>
      <c r="F6521" s="66" t="s">
        <v>514</v>
      </c>
      <c r="G6521" s="66" t="str">
        <f t="shared" si="134"/>
        <v/>
      </c>
      <c r="H6521" s="68"/>
      <c r="I6521" s="30"/>
      <c r="J6521" s="148">
        <v>0</v>
      </c>
      <c r="K6521" s="222">
        <v>0</v>
      </c>
    </row>
    <row r="6522" spans="1:11" ht="15.75" hidden="1" thickBot="1" x14ac:dyDescent="0.3">
      <c r="A6522" s="202" t="s">
        <v>6751</v>
      </c>
      <c r="B6522" s="204" t="str">
        <f>INDEX(Orçamentária!A:B,MATCH(Composições!A6522,Orçamentária!A:A,0),2)</f>
        <v>Botão de Acionamento para Mictório</v>
      </c>
      <c r="C6522" s="40"/>
      <c r="D6522" s="25" t="str">
        <f>TRIM(INDEX(Orçamentária!C:C,MATCH(Composições!A6522,Orçamentária!A:A,0),1))</f>
        <v>un</v>
      </c>
      <c r="E6522" s="26"/>
      <c r="F6522" s="41" t="s">
        <v>514</v>
      </c>
      <c r="G6522" s="27" t="str">
        <f t="shared" si="134"/>
        <v/>
      </c>
      <c r="H6522" s="28"/>
      <c r="I6522" s="29"/>
      <c r="J6522" s="148">
        <v>0</v>
      </c>
      <c r="K6522" s="222">
        <v>0</v>
      </c>
    </row>
    <row r="6523" spans="1:11" hidden="1" x14ac:dyDescent="0.25">
      <c r="A6523" s="203"/>
      <c r="B6523" s="205"/>
      <c r="C6523" s="31"/>
      <c r="D6523" s="31"/>
      <c r="E6523" s="32"/>
      <c r="F6523" s="42" t="s">
        <v>514</v>
      </c>
      <c r="G6523" s="30" t="str">
        <f t="shared" si="134"/>
        <v/>
      </c>
      <c r="H6523" s="34"/>
      <c r="I6523" s="30"/>
      <c r="J6523" s="148">
        <v>0</v>
      </c>
      <c r="K6523" s="222">
        <v>0</v>
      </c>
    </row>
    <row r="6524" spans="1:11" ht="25.5" hidden="1" x14ac:dyDescent="0.25">
      <c r="A6524" s="203"/>
      <c r="B6524" s="205"/>
      <c r="C6524" s="35" t="s">
        <v>7744</v>
      </c>
      <c r="D6524" s="46" t="s">
        <v>20</v>
      </c>
      <c r="E6524" s="36">
        <v>1</v>
      </c>
      <c r="F6524" s="30">
        <v>195.35799999999998</v>
      </c>
      <c r="G6524" s="30">
        <f t="shared" si="134"/>
        <v>195.35799999999998</v>
      </c>
      <c r="H6524" s="38">
        <f>SUM(G6524:G6524)</f>
        <v>195.35799999999998</v>
      </c>
      <c r="I6524" s="39"/>
      <c r="J6524" s="148">
        <v>0</v>
      </c>
      <c r="K6524" s="222">
        <v>0</v>
      </c>
    </row>
    <row r="6525" spans="1:11" ht="15.75" hidden="1" thickBot="1" x14ac:dyDescent="0.3">
      <c r="A6525" s="209"/>
      <c r="B6525" s="206"/>
      <c r="C6525" s="54"/>
      <c r="D6525" s="54"/>
      <c r="E6525" s="65"/>
      <c r="F6525" s="66" t="s">
        <v>514</v>
      </c>
      <c r="G6525" s="66" t="str">
        <f t="shared" si="134"/>
        <v/>
      </c>
      <c r="H6525" s="68"/>
      <c r="I6525" s="30"/>
      <c r="J6525" s="148">
        <v>0</v>
      </c>
      <c r="K6525" s="222">
        <v>0</v>
      </c>
    </row>
    <row r="6526" spans="1:11" ht="15.75" hidden="1" thickBot="1" x14ac:dyDescent="0.3">
      <c r="A6526" s="202" t="s">
        <v>6753</v>
      </c>
      <c r="B6526" s="204" t="str">
        <f>INDEX(Orçamentária!A:B,MATCH(Composições!A6526,Orçamentária!A:A,0),2)</f>
        <v>Braço de metal para Chuveiro</v>
      </c>
      <c r="C6526" s="40"/>
      <c r="D6526" s="25" t="str">
        <f>TRIM(INDEX(Orçamentária!C:C,MATCH(Composições!A6526,Orçamentária!A:A,0),1))</f>
        <v>un</v>
      </c>
      <c r="E6526" s="26"/>
      <c r="F6526" s="41" t="s">
        <v>514</v>
      </c>
      <c r="G6526" s="27" t="str">
        <f t="shared" si="134"/>
        <v/>
      </c>
      <c r="H6526" s="28"/>
      <c r="I6526" s="29"/>
      <c r="J6526" s="148">
        <v>0</v>
      </c>
      <c r="K6526" s="222">
        <v>0</v>
      </c>
    </row>
    <row r="6527" spans="1:11" hidden="1" x14ac:dyDescent="0.25">
      <c r="A6527" s="203"/>
      <c r="B6527" s="205"/>
      <c r="C6527" s="31"/>
      <c r="D6527" s="31"/>
      <c r="E6527" s="32"/>
      <c r="F6527" s="42" t="s">
        <v>514</v>
      </c>
      <c r="G6527" s="30" t="str">
        <f t="shared" si="134"/>
        <v/>
      </c>
      <c r="H6527" s="34"/>
      <c r="I6527" s="30"/>
      <c r="J6527" s="148">
        <v>0</v>
      </c>
      <c r="K6527" s="222">
        <v>0</v>
      </c>
    </row>
    <row r="6528" spans="1:11" ht="25.5" hidden="1" x14ac:dyDescent="0.25">
      <c r="A6528" s="203"/>
      <c r="B6528" s="205"/>
      <c r="C6528" s="35" t="s">
        <v>7616</v>
      </c>
      <c r="D6528" s="46" t="s">
        <v>20</v>
      </c>
      <c r="E6528" s="36">
        <v>1</v>
      </c>
      <c r="F6528" s="30">
        <v>22.505500000000001</v>
      </c>
      <c r="G6528" s="30">
        <f t="shared" si="134"/>
        <v>22.505500000000001</v>
      </c>
      <c r="H6528" s="38">
        <f>SUM(G6528:G6528)</f>
        <v>22.505500000000001</v>
      </c>
      <c r="I6528" s="39"/>
      <c r="J6528" s="148">
        <v>0</v>
      </c>
      <c r="K6528" s="222">
        <v>0</v>
      </c>
    </row>
    <row r="6529" spans="1:11" ht="15.75" hidden="1" thickBot="1" x14ac:dyDescent="0.3">
      <c r="A6529" s="209"/>
      <c r="B6529" s="206"/>
      <c r="C6529" s="54"/>
      <c r="D6529" s="54"/>
      <c r="E6529" s="65"/>
      <c r="F6529" s="66" t="s">
        <v>514</v>
      </c>
      <c r="G6529" s="66" t="str">
        <f t="shared" si="134"/>
        <v/>
      </c>
      <c r="H6529" s="68"/>
      <c r="I6529" s="30"/>
      <c r="J6529" s="148">
        <v>0</v>
      </c>
      <c r="K6529" s="222">
        <v>0</v>
      </c>
    </row>
    <row r="6530" spans="1:11" ht="15.75" hidden="1" thickBot="1" x14ac:dyDescent="0.3">
      <c r="A6530" s="202" t="s">
        <v>6756</v>
      </c>
      <c r="B6530" s="204" t="str">
        <f>INDEX(Orçamentária!A:B,MATCH(Composições!A6530,Orçamentária!A:A,0),2)</f>
        <v>Caixa de descarga alta/elevada</v>
      </c>
      <c r="C6530" s="40"/>
      <c r="D6530" s="25" t="str">
        <f>TRIM(INDEX(Orçamentária!C:C,MATCH(Composições!A6530,Orçamentária!A:A,0),1))</f>
        <v>un</v>
      </c>
      <c r="E6530" s="26"/>
      <c r="F6530" s="41" t="s">
        <v>514</v>
      </c>
      <c r="G6530" s="27" t="str">
        <f t="shared" si="134"/>
        <v/>
      </c>
      <c r="H6530" s="28"/>
      <c r="I6530" s="29"/>
      <c r="J6530" s="148">
        <v>0</v>
      </c>
      <c r="K6530" s="222">
        <v>0</v>
      </c>
    </row>
    <row r="6531" spans="1:11" hidden="1" x14ac:dyDescent="0.25">
      <c r="A6531" s="203"/>
      <c r="B6531" s="205"/>
      <c r="C6531" s="31"/>
      <c r="D6531" s="31"/>
      <c r="E6531" s="32"/>
      <c r="F6531" s="42" t="s">
        <v>514</v>
      </c>
      <c r="G6531" s="30" t="str">
        <f t="shared" si="134"/>
        <v/>
      </c>
      <c r="H6531" s="34"/>
      <c r="I6531" s="30"/>
      <c r="J6531" s="148">
        <v>0</v>
      </c>
      <c r="K6531" s="222">
        <v>0</v>
      </c>
    </row>
    <row r="6532" spans="1:11" ht="25.5" hidden="1" x14ac:dyDescent="0.25">
      <c r="A6532" s="203"/>
      <c r="B6532" s="205"/>
      <c r="C6532" s="35" t="s">
        <v>7620</v>
      </c>
      <c r="D6532" s="46" t="s">
        <v>20</v>
      </c>
      <c r="E6532" s="36">
        <v>1</v>
      </c>
      <c r="F6532" s="30">
        <v>46.530999999999992</v>
      </c>
      <c r="G6532" s="30">
        <f t="shared" si="134"/>
        <v>46.530999999999992</v>
      </c>
      <c r="H6532" s="38">
        <f>SUM(G6532:G6532)</f>
        <v>46.530999999999992</v>
      </c>
      <c r="I6532" s="39"/>
      <c r="J6532" s="148">
        <v>0</v>
      </c>
      <c r="K6532" s="222">
        <v>0</v>
      </c>
    </row>
    <row r="6533" spans="1:11" ht="15.75" hidden="1" thickBot="1" x14ac:dyDescent="0.3">
      <c r="A6533" s="209"/>
      <c r="B6533" s="206"/>
      <c r="C6533" s="54"/>
      <c r="D6533" s="54"/>
      <c r="E6533" s="65"/>
      <c r="F6533" s="66" t="s">
        <v>514</v>
      </c>
      <c r="G6533" s="66" t="str">
        <f t="shared" si="134"/>
        <v/>
      </c>
      <c r="H6533" s="68"/>
      <c r="I6533" s="30"/>
      <c r="J6533" s="148">
        <v>0</v>
      </c>
      <c r="K6533" s="222">
        <v>0</v>
      </c>
    </row>
    <row r="6534" spans="1:11" ht="15.75" hidden="1" thickBot="1" x14ac:dyDescent="0.3">
      <c r="A6534" s="202" t="s">
        <v>6757</v>
      </c>
      <c r="B6534" s="204" t="str">
        <f>INDEX(Orçamentária!A:B,MATCH(Composições!A6534,Orçamentária!A:A,0),2)</f>
        <v>Caixa de gordura grande com cesta</v>
      </c>
      <c r="C6534" s="40"/>
      <c r="D6534" s="25" t="str">
        <f>TRIM(INDEX(Orçamentária!C:C,MATCH(Composições!A6534,Orçamentária!A:A,0),1))</f>
        <v>un</v>
      </c>
      <c r="E6534" s="26"/>
      <c r="F6534" s="41" t="s">
        <v>514</v>
      </c>
      <c r="G6534" s="27" t="str">
        <f t="shared" si="134"/>
        <v/>
      </c>
      <c r="H6534" s="28"/>
      <c r="I6534" s="29"/>
      <c r="J6534" s="148">
        <v>0</v>
      </c>
      <c r="K6534" s="222">
        <v>0</v>
      </c>
    </row>
    <row r="6535" spans="1:11" hidden="1" x14ac:dyDescent="0.25">
      <c r="A6535" s="203"/>
      <c r="B6535" s="205"/>
      <c r="C6535" s="31"/>
      <c r="D6535" s="31"/>
      <c r="E6535" s="32"/>
      <c r="F6535" s="42" t="s">
        <v>514</v>
      </c>
      <c r="G6535" s="30" t="str">
        <f t="shared" si="134"/>
        <v/>
      </c>
      <c r="H6535" s="34"/>
      <c r="I6535" s="30"/>
      <c r="J6535" s="148">
        <v>0</v>
      </c>
      <c r="K6535" s="222">
        <v>0</v>
      </c>
    </row>
    <row r="6536" spans="1:11" ht="38.25" hidden="1" x14ac:dyDescent="0.25">
      <c r="A6536" s="203"/>
      <c r="B6536" s="205"/>
      <c r="C6536" s="35" t="s">
        <v>7765</v>
      </c>
      <c r="D6536" s="46" t="s">
        <v>20</v>
      </c>
      <c r="E6536" s="36">
        <v>1</v>
      </c>
      <c r="F6536" s="30">
        <v>472.38749999999999</v>
      </c>
      <c r="G6536" s="30">
        <f t="shared" si="134"/>
        <v>472.38749999999999</v>
      </c>
      <c r="H6536" s="38">
        <f>SUM(G6536:G6536)</f>
        <v>472.38749999999999</v>
      </c>
      <c r="I6536" s="39"/>
      <c r="J6536" s="148">
        <v>0</v>
      </c>
      <c r="K6536" s="222">
        <v>0</v>
      </c>
    </row>
    <row r="6537" spans="1:11" ht="15.75" hidden="1" thickBot="1" x14ac:dyDescent="0.3">
      <c r="A6537" s="209"/>
      <c r="B6537" s="206"/>
      <c r="C6537" s="54"/>
      <c r="D6537" s="54"/>
      <c r="E6537" s="65"/>
      <c r="F6537" s="66" t="s">
        <v>514</v>
      </c>
      <c r="G6537" s="66" t="str">
        <f t="shared" si="134"/>
        <v/>
      </c>
      <c r="H6537" s="68"/>
      <c r="I6537" s="30"/>
      <c r="J6537" s="148">
        <v>0</v>
      </c>
      <c r="K6537" s="222">
        <v>0</v>
      </c>
    </row>
    <row r="6538" spans="1:11" ht="15.75" hidden="1" thickBot="1" x14ac:dyDescent="0.3">
      <c r="A6538" s="202" t="s">
        <v>6759</v>
      </c>
      <c r="B6538" s="204" t="str">
        <f>INDEX(Orçamentária!A:B,MATCH(Composições!A6538,Orçamentária!A:A,0),2)</f>
        <v>Caixa de hidrante de parede com vidro - 70x50 cm</v>
      </c>
      <c r="C6538" s="40"/>
      <c r="D6538" s="25" t="str">
        <f>TRIM(INDEX(Orçamentária!C:C,MATCH(Composições!A6538,Orçamentária!A:A,0),1))</f>
        <v>un</v>
      </c>
      <c r="E6538" s="26"/>
      <c r="F6538" s="41" t="s">
        <v>514</v>
      </c>
      <c r="G6538" s="27" t="str">
        <f t="shared" si="134"/>
        <v/>
      </c>
      <c r="H6538" s="28"/>
      <c r="I6538" s="29"/>
      <c r="J6538" s="148">
        <v>0</v>
      </c>
      <c r="K6538" s="222">
        <v>0</v>
      </c>
    </row>
    <row r="6539" spans="1:11" hidden="1" x14ac:dyDescent="0.25">
      <c r="A6539" s="203"/>
      <c r="B6539" s="205"/>
      <c r="C6539" s="31"/>
      <c r="D6539" s="31"/>
      <c r="E6539" s="32"/>
      <c r="F6539" s="42" t="s">
        <v>514</v>
      </c>
      <c r="G6539" s="30" t="str">
        <f t="shared" si="134"/>
        <v/>
      </c>
      <c r="H6539" s="34"/>
      <c r="I6539" s="30"/>
      <c r="J6539" s="148">
        <v>0</v>
      </c>
      <c r="K6539" s="222">
        <v>0</v>
      </c>
    </row>
    <row r="6540" spans="1:11" ht="63.75" hidden="1" x14ac:dyDescent="0.25">
      <c r="A6540" s="203"/>
      <c r="B6540" s="205"/>
      <c r="C6540" s="35" t="s">
        <v>7621</v>
      </c>
      <c r="D6540" s="46" t="s">
        <v>20</v>
      </c>
      <c r="E6540" s="36">
        <v>1</v>
      </c>
      <c r="F6540" s="30">
        <v>367.04199999999997</v>
      </c>
      <c r="G6540" s="30">
        <f t="shared" si="134"/>
        <v>367.04199999999997</v>
      </c>
      <c r="H6540" s="38">
        <f>SUM(G6540:G6540)</f>
        <v>367.04199999999997</v>
      </c>
      <c r="I6540" s="39"/>
      <c r="J6540" s="148">
        <v>0</v>
      </c>
      <c r="K6540" s="222">
        <v>0</v>
      </c>
    </row>
    <row r="6541" spans="1:11" ht="15.75" hidden="1" thickBot="1" x14ac:dyDescent="0.3">
      <c r="A6541" s="209"/>
      <c r="B6541" s="206"/>
      <c r="C6541" s="54"/>
      <c r="D6541" s="54"/>
      <c r="E6541" s="65"/>
      <c r="F6541" s="66" t="s">
        <v>514</v>
      </c>
      <c r="G6541" s="66" t="str">
        <f t="shared" si="134"/>
        <v/>
      </c>
      <c r="H6541" s="68"/>
      <c r="I6541" s="30"/>
      <c r="J6541" s="148">
        <v>0</v>
      </c>
      <c r="K6541" s="222">
        <v>0</v>
      </c>
    </row>
    <row r="6542" spans="1:11" ht="15.75" hidden="1" thickBot="1" x14ac:dyDescent="0.3">
      <c r="A6542" s="202" t="s">
        <v>6761</v>
      </c>
      <c r="B6542" s="204" t="str">
        <f>INDEX(Orçamentária!A:B,MATCH(Composições!A6542,Orçamentária!A:A,0),2)</f>
        <v>Caixa sifonada de PVC DN 150 mm</v>
      </c>
      <c r="C6542" s="40"/>
      <c r="D6542" s="25" t="str">
        <f>TRIM(INDEX(Orçamentária!C:C,MATCH(Composições!A6542,Orçamentária!A:A,0),1))</f>
        <v>un</v>
      </c>
      <c r="E6542" s="26"/>
      <c r="F6542" s="41" t="s">
        <v>514</v>
      </c>
      <c r="G6542" s="27" t="str">
        <f t="shared" si="134"/>
        <v/>
      </c>
      <c r="H6542" s="28"/>
      <c r="I6542" s="29"/>
      <c r="J6542" s="148">
        <v>0</v>
      </c>
      <c r="K6542" s="222">
        <v>0</v>
      </c>
    </row>
    <row r="6543" spans="1:11" hidden="1" x14ac:dyDescent="0.25">
      <c r="A6543" s="203"/>
      <c r="B6543" s="205"/>
      <c r="C6543" s="31"/>
      <c r="D6543" s="31"/>
      <c r="E6543" s="32"/>
      <c r="F6543" s="42" t="s">
        <v>514</v>
      </c>
      <c r="G6543" s="30" t="str">
        <f t="shared" si="134"/>
        <v/>
      </c>
      <c r="H6543" s="34"/>
      <c r="I6543" s="30"/>
      <c r="J6543" s="148">
        <v>0</v>
      </c>
      <c r="K6543" s="222">
        <v>0</v>
      </c>
    </row>
    <row r="6544" spans="1:11" ht="25.5" hidden="1" x14ac:dyDescent="0.25">
      <c r="A6544" s="203"/>
      <c r="B6544" s="205"/>
      <c r="C6544" s="35" t="s">
        <v>7622</v>
      </c>
      <c r="D6544" s="46" t="s">
        <v>20</v>
      </c>
      <c r="E6544" s="36">
        <v>1</v>
      </c>
      <c r="F6544" s="30">
        <v>67.45</v>
      </c>
      <c r="G6544" s="30">
        <f t="shared" si="134"/>
        <v>67.45</v>
      </c>
      <c r="H6544" s="38">
        <f>SUM(G6544:G6544)</f>
        <v>67.45</v>
      </c>
      <c r="I6544" s="39"/>
      <c r="J6544" s="148">
        <v>0</v>
      </c>
      <c r="K6544" s="222">
        <v>0</v>
      </c>
    </row>
    <row r="6545" spans="1:11" ht="15.75" hidden="1" thickBot="1" x14ac:dyDescent="0.3">
      <c r="A6545" s="209"/>
      <c r="B6545" s="206"/>
      <c r="C6545" s="54"/>
      <c r="D6545" s="54"/>
      <c r="E6545" s="65"/>
      <c r="F6545" s="66" t="s">
        <v>514</v>
      </c>
      <c r="G6545" s="66" t="str">
        <f t="shared" si="134"/>
        <v/>
      </c>
      <c r="H6545" s="68"/>
      <c r="I6545" s="30"/>
      <c r="J6545" s="148">
        <v>0</v>
      </c>
      <c r="K6545" s="222">
        <v>0</v>
      </c>
    </row>
    <row r="6546" spans="1:11" ht="15.75" hidden="1" thickBot="1" x14ac:dyDescent="0.3">
      <c r="A6546" s="202" t="s">
        <v>6762</v>
      </c>
      <c r="B6546" s="204" t="str">
        <f>INDEX(Orçamentária!A:B,MATCH(Composições!A6546,Orçamentária!A:A,0),2)</f>
        <v>Caixa sifonada de PVC DN 250 mm</v>
      </c>
      <c r="C6546" s="40"/>
      <c r="D6546" s="25" t="str">
        <f>TRIM(INDEX(Orçamentária!C:C,MATCH(Composições!A6546,Orçamentária!A:A,0),1))</f>
        <v>un</v>
      </c>
      <c r="E6546" s="26"/>
      <c r="F6546" s="41" t="s">
        <v>514</v>
      </c>
      <c r="G6546" s="27" t="str">
        <f t="shared" si="134"/>
        <v/>
      </c>
      <c r="H6546" s="28"/>
      <c r="I6546" s="29"/>
      <c r="J6546" s="148">
        <v>0</v>
      </c>
      <c r="K6546" s="222">
        <v>0</v>
      </c>
    </row>
    <row r="6547" spans="1:11" hidden="1" x14ac:dyDescent="0.25">
      <c r="A6547" s="203"/>
      <c r="B6547" s="205"/>
      <c r="C6547" s="31"/>
      <c r="D6547" s="31"/>
      <c r="E6547" s="32"/>
      <c r="F6547" s="42" t="s">
        <v>514</v>
      </c>
      <c r="G6547" s="30" t="str">
        <f t="shared" si="134"/>
        <v/>
      </c>
      <c r="H6547" s="34"/>
      <c r="I6547" s="30"/>
      <c r="J6547" s="148">
        <v>0</v>
      </c>
      <c r="K6547" s="222">
        <v>0</v>
      </c>
    </row>
    <row r="6548" spans="1:11" ht="25.5" hidden="1" x14ac:dyDescent="0.25">
      <c r="A6548" s="203"/>
      <c r="B6548" s="205"/>
      <c r="C6548" s="35" t="s">
        <v>6603</v>
      </c>
      <c r="D6548" s="46" t="s">
        <v>20</v>
      </c>
      <c r="E6548" s="36">
        <v>1</v>
      </c>
      <c r="F6548" s="30">
        <v>125.78</v>
      </c>
      <c r="G6548" s="30">
        <f t="shared" si="134"/>
        <v>125.78</v>
      </c>
      <c r="H6548" s="38">
        <f>SUM(G6548:G6548)</f>
        <v>125.78</v>
      </c>
      <c r="I6548" s="39"/>
      <c r="J6548" s="148">
        <v>0</v>
      </c>
      <c r="K6548" s="222">
        <v>0</v>
      </c>
    </row>
    <row r="6549" spans="1:11" ht="15.75" hidden="1" thickBot="1" x14ac:dyDescent="0.3">
      <c r="A6549" s="209"/>
      <c r="B6549" s="206"/>
      <c r="C6549" s="54"/>
      <c r="D6549" s="54"/>
      <c r="E6549" s="65"/>
      <c r="F6549" s="66" t="s">
        <v>514</v>
      </c>
      <c r="G6549" s="66" t="str">
        <f t="shared" si="134"/>
        <v/>
      </c>
      <c r="H6549" s="68"/>
      <c r="I6549" s="30"/>
      <c r="J6549" s="148">
        <v>0</v>
      </c>
      <c r="K6549" s="222">
        <v>0</v>
      </c>
    </row>
    <row r="6550" spans="1:11" ht="15.75" hidden="1" thickBot="1" x14ac:dyDescent="0.3">
      <c r="A6550" s="202" t="s">
        <v>6827</v>
      </c>
      <c r="B6550" s="204" t="str">
        <f>INDEX(Orçamentária!A:B,MATCH(Composições!A6550,Orçamentária!A:A,0),2)</f>
        <v>Chuveiro Elétrico</v>
      </c>
      <c r="C6550" s="40"/>
      <c r="D6550" s="25" t="str">
        <f>TRIM(INDEX(Orçamentária!C:C,MATCH(Composições!A6550,Orçamentária!A:A,0),1))</f>
        <v>un</v>
      </c>
      <c r="E6550" s="26"/>
      <c r="F6550" s="41" t="s">
        <v>514</v>
      </c>
      <c r="G6550" s="27" t="str">
        <f t="shared" si="134"/>
        <v/>
      </c>
      <c r="H6550" s="28"/>
      <c r="I6550" s="29"/>
      <c r="J6550" s="148">
        <v>0</v>
      </c>
      <c r="K6550" s="222">
        <v>0</v>
      </c>
    </row>
    <row r="6551" spans="1:11" hidden="1" x14ac:dyDescent="0.25">
      <c r="A6551" s="203"/>
      <c r="B6551" s="205"/>
      <c r="C6551" s="31"/>
      <c r="D6551" s="31"/>
      <c r="E6551" s="32"/>
      <c r="F6551" s="42" t="s">
        <v>514</v>
      </c>
      <c r="G6551" s="30" t="str">
        <f t="shared" si="134"/>
        <v/>
      </c>
      <c r="H6551" s="34"/>
      <c r="I6551" s="30"/>
      <c r="J6551" s="148">
        <v>0</v>
      </c>
      <c r="K6551" s="222">
        <v>0</v>
      </c>
    </row>
    <row r="6552" spans="1:11" ht="25.5" hidden="1" x14ac:dyDescent="0.25">
      <c r="A6552" s="203"/>
      <c r="B6552" s="205"/>
      <c r="C6552" s="35" t="s">
        <v>1057</v>
      </c>
      <c r="D6552" s="46" t="s">
        <v>20</v>
      </c>
      <c r="E6552" s="36">
        <v>1</v>
      </c>
      <c r="F6552" s="30">
        <v>67.849000000000004</v>
      </c>
      <c r="G6552" s="30">
        <f t="shared" si="134"/>
        <v>67.849000000000004</v>
      </c>
      <c r="H6552" s="38">
        <f>SUM(G6552:G6552)</f>
        <v>67.849000000000004</v>
      </c>
      <c r="I6552" s="39"/>
      <c r="J6552" s="148">
        <v>0</v>
      </c>
      <c r="K6552" s="222">
        <v>0</v>
      </c>
    </row>
    <row r="6553" spans="1:11" ht="15.75" hidden="1" thickBot="1" x14ac:dyDescent="0.3">
      <c r="A6553" s="209"/>
      <c r="B6553" s="206"/>
      <c r="C6553" s="54"/>
      <c r="D6553" s="54"/>
      <c r="E6553" s="65"/>
      <c r="F6553" s="66" t="s">
        <v>514</v>
      </c>
      <c r="G6553" s="66" t="str">
        <f t="shared" si="134"/>
        <v/>
      </c>
      <c r="H6553" s="68"/>
      <c r="I6553" s="30"/>
      <c r="J6553" s="148">
        <v>0</v>
      </c>
      <c r="K6553" s="222">
        <v>0</v>
      </c>
    </row>
    <row r="6554" spans="1:11" ht="15.75" hidden="1" thickBot="1" x14ac:dyDescent="0.3">
      <c r="A6554" s="202" t="s">
        <v>6841</v>
      </c>
      <c r="B6554" s="204" t="str">
        <f>INDEX(Orçamentária!A:B,MATCH(Composições!A6554,Orçamentária!A:A,0),2)</f>
        <v>Cuba retangular em aço inox</v>
      </c>
      <c r="C6554" s="40"/>
      <c r="D6554" s="25" t="str">
        <f>TRIM(INDEX(Orçamentária!C:C,MATCH(Composições!A6554,Orçamentária!A:A,0),1))</f>
        <v>un</v>
      </c>
      <c r="E6554" s="26"/>
      <c r="F6554" s="41" t="s">
        <v>514</v>
      </c>
      <c r="G6554" s="27" t="str">
        <f t="shared" si="134"/>
        <v/>
      </c>
      <c r="H6554" s="28"/>
      <c r="I6554" s="29"/>
      <c r="J6554" s="148">
        <v>0</v>
      </c>
      <c r="K6554" s="222">
        <v>0</v>
      </c>
    </row>
    <row r="6555" spans="1:11" hidden="1" x14ac:dyDescent="0.25">
      <c r="A6555" s="203"/>
      <c r="B6555" s="205"/>
      <c r="C6555" s="31"/>
      <c r="D6555" s="31"/>
      <c r="E6555" s="32"/>
      <c r="F6555" s="42" t="s">
        <v>514</v>
      </c>
      <c r="G6555" s="30" t="str">
        <f t="shared" si="134"/>
        <v/>
      </c>
      <c r="H6555" s="34"/>
      <c r="I6555" s="30"/>
      <c r="J6555" s="148">
        <v>0</v>
      </c>
      <c r="K6555" s="222">
        <v>0</v>
      </c>
    </row>
    <row r="6556" spans="1:11" ht="25.5" hidden="1" x14ac:dyDescent="0.25">
      <c r="A6556" s="203"/>
      <c r="B6556" s="205"/>
      <c r="C6556" s="35" t="s">
        <v>7632</v>
      </c>
      <c r="D6556" s="46" t="s">
        <v>20</v>
      </c>
      <c r="E6556" s="36">
        <v>1</v>
      </c>
      <c r="F6556" s="30">
        <v>101.25099999999999</v>
      </c>
      <c r="G6556" s="30">
        <f t="shared" si="134"/>
        <v>101.25099999999999</v>
      </c>
      <c r="H6556" s="38">
        <f>SUM(G6556:G6556)</f>
        <v>101.25099999999999</v>
      </c>
      <c r="I6556" s="39"/>
      <c r="J6556" s="148">
        <v>0</v>
      </c>
      <c r="K6556" s="222">
        <v>0</v>
      </c>
    </row>
    <row r="6557" spans="1:11" ht="15.75" hidden="1" thickBot="1" x14ac:dyDescent="0.3">
      <c r="A6557" s="209"/>
      <c r="B6557" s="206"/>
      <c r="C6557" s="54"/>
      <c r="D6557" s="54"/>
      <c r="E6557" s="65"/>
      <c r="F6557" s="66" t="s">
        <v>514</v>
      </c>
      <c r="G6557" s="66" t="str">
        <f t="shared" si="134"/>
        <v/>
      </c>
      <c r="H6557" s="68"/>
      <c r="I6557" s="30"/>
      <c r="J6557" s="148">
        <v>0</v>
      </c>
      <c r="K6557" s="222">
        <v>0</v>
      </c>
    </row>
    <row r="6558" spans="1:11" ht="15.75" hidden="1" thickBot="1" x14ac:dyDescent="0.3">
      <c r="A6558" s="202" t="s">
        <v>6870</v>
      </c>
      <c r="B6558" s="204" t="str">
        <f>INDEX(Orçamentária!A:B,MATCH(Composições!A6558,Orçamentária!A:A,0),2)</f>
        <v>Manômetro DN63 (2 1/2”) até 150psi - Seco</v>
      </c>
      <c r="C6558" s="40"/>
      <c r="D6558" s="25" t="str">
        <f>TRIM(INDEX(Orçamentária!C:C,MATCH(Composições!A6558,Orçamentária!A:A,0),1))</f>
        <v>un</v>
      </c>
      <c r="E6558" s="26"/>
      <c r="F6558" s="41" t="s">
        <v>514</v>
      </c>
      <c r="G6558" s="27" t="str">
        <f t="shared" si="134"/>
        <v/>
      </c>
      <c r="H6558" s="28"/>
      <c r="I6558" s="29"/>
      <c r="J6558" s="148">
        <v>0</v>
      </c>
      <c r="K6558" s="222">
        <v>0</v>
      </c>
    </row>
    <row r="6559" spans="1:11" hidden="1" x14ac:dyDescent="0.25">
      <c r="A6559" s="203"/>
      <c r="B6559" s="205"/>
      <c r="C6559" s="31"/>
      <c r="D6559" s="31"/>
      <c r="E6559" s="32"/>
      <c r="F6559" s="42" t="s">
        <v>514</v>
      </c>
      <c r="G6559" s="30" t="str">
        <f t="shared" si="134"/>
        <v/>
      </c>
      <c r="H6559" s="34"/>
      <c r="I6559" s="30"/>
      <c r="J6559" s="148">
        <v>0</v>
      </c>
      <c r="K6559" s="222">
        <v>0</v>
      </c>
    </row>
    <row r="6560" spans="1:11" ht="25.5" hidden="1" x14ac:dyDescent="0.25">
      <c r="A6560" s="203"/>
      <c r="B6560" s="205"/>
      <c r="C6560" s="35" t="s">
        <v>7660</v>
      </c>
      <c r="D6560" s="46" t="s">
        <v>20</v>
      </c>
      <c r="E6560" s="36">
        <v>1</v>
      </c>
      <c r="F6560" s="30">
        <v>101.77349999999998</v>
      </c>
      <c r="G6560" s="30">
        <f t="shared" si="134"/>
        <v>101.77349999999998</v>
      </c>
      <c r="H6560" s="38">
        <f>SUM(G6560:G6560)</f>
        <v>101.77349999999998</v>
      </c>
      <c r="I6560" s="39"/>
      <c r="J6560" s="148">
        <v>0</v>
      </c>
      <c r="K6560" s="222">
        <v>0</v>
      </c>
    </row>
    <row r="6561" spans="1:11" ht="15.75" hidden="1" thickBot="1" x14ac:dyDescent="0.3">
      <c r="A6561" s="209"/>
      <c r="B6561" s="206"/>
      <c r="C6561" s="54"/>
      <c r="D6561" s="54"/>
      <c r="E6561" s="65"/>
      <c r="F6561" s="66" t="s">
        <v>514</v>
      </c>
      <c r="G6561" s="66" t="str">
        <f t="shared" si="134"/>
        <v/>
      </c>
      <c r="H6561" s="68"/>
      <c r="I6561" s="30"/>
      <c r="J6561" s="148">
        <v>0</v>
      </c>
      <c r="K6561" s="222">
        <v>0</v>
      </c>
    </row>
    <row r="6562" spans="1:11" ht="15.75" hidden="1" thickBot="1" x14ac:dyDescent="0.3">
      <c r="A6562" s="202" t="s">
        <v>6882</v>
      </c>
      <c r="B6562" s="204" t="str">
        <f>INDEX(Orçamentária!A:B,MATCH(Composições!A6562,Orçamentária!A:A,0),2)</f>
        <v>Tê misturador de transição 1/2” ou 3/4” – Linha Residencial</v>
      </c>
      <c r="C6562" s="40"/>
      <c r="D6562" s="25" t="str">
        <f>TRIM(INDEX(Orçamentária!C:C,MATCH(Composições!A6562,Orçamentária!A:A,0),1))</f>
        <v>un</v>
      </c>
      <c r="E6562" s="26"/>
      <c r="F6562" s="41" t="s">
        <v>514</v>
      </c>
      <c r="G6562" s="27" t="str">
        <f t="shared" si="134"/>
        <v/>
      </c>
      <c r="H6562" s="28"/>
      <c r="I6562" s="29"/>
      <c r="J6562" s="148">
        <v>0</v>
      </c>
      <c r="K6562" s="222">
        <v>0</v>
      </c>
    </row>
    <row r="6563" spans="1:11" hidden="1" x14ac:dyDescent="0.25">
      <c r="A6563" s="203"/>
      <c r="B6563" s="205"/>
      <c r="C6563" s="31"/>
      <c r="D6563" s="31"/>
      <c r="E6563" s="32"/>
      <c r="F6563" s="42" t="s">
        <v>514</v>
      </c>
      <c r="G6563" s="30" t="str">
        <f t="shared" si="134"/>
        <v/>
      </c>
      <c r="H6563" s="34"/>
      <c r="I6563" s="30"/>
      <c r="J6563" s="148">
        <v>0</v>
      </c>
      <c r="K6563" s="222">
        <v>0</v>
      </c>
    </row>
    <row r="6564" spans="1:11" ht="25.5" hidden="1" x14ac:dyDescent="0.25">
      <c r="A6564" s="203"/>
      <c r="B6564" s="205"/>
      <c r="C6564" s="35" t="s">
        <v>7664</v>
      </c>
      <c r="D6564" s="46" t="s">
        <v>20</v>
      </c>
      <c r="E6564" s="36">
        <v>1</v>
      </c>
      <c r="F6564" s="30">
        <v>170.5915</v>
      </c>
      <c r="G6564" s="30">
        <f t="shared" si="134"/>
        <v>170.5915</v>
      </c>
      <c r="H6564" s="38">
        <f>SUM(G6564:G6564)</f>
        <v>170.5915</v>
      </c>
      <c r="I6564" s="39"/>
      <c r="J6564" s="148">
        <v>0</v>
      </c>
      <c r="K6564" s="222">
        <v>0</v>
      </c>
    </row>
    <row r="6565" spans="1:11" ht="15.75" hidden="1" thickBot="1" x14ac:dyDescent="0.3">
      <c r="A6565" s="209"/>
      <c r="B6565" s="206"/>
      <c r="C6565" s="54"/>
      <c r="D6565" s="54"/>
      <c r="E6565" s="65"/>
      <c r="F6565" s="66" t="s">
        <v>514</v>
      </c>
      <c r="G6565" s="66" t="str">
        <f t="shared" si="134"/>
        <v/>
      </c>
      <c r="H6565" s="68"/>
      <c r="I6565" s="30"/>
      <c r="J6565" s="148">
        <v>0</v>
      </c>
      <c r="K6565" s="222">
        <v>0</v>
      </c>
    </row>
    <row r="6566" spans="1:11" ht="15.75" hidden="1" thickBot="1" x14ac:dyDescent="0.3">
      <c r="A6566" s="202" t="s">
        <v>6907</v>
      </c>
      <c r="B6566" s="204" t="str">
        <f>INDEX(Orçamentária!A:B,MATCH(Composições!A6566,Orçamentária!A:A,0),2)</f>
        <v>Ralo semi esférico, tipo Abacaxi - 4”</v>
      </c>
      <c r="C6566" s="40"/>
      <c r="D6566" s="25" t="str">
        <f>TRIM(INDEX(Orçamentária!C:C,MATCH(Composições!A6566,Orçamentária!A:A,0),1))</f>
        <v>un</v>
      </c>
      <c r="E6566" s="26"/>
      <c r="F6566" s="41" t="s">
        <v>514</v>
      </c>
      <c r="G6566" s="27" t="str">
        <f t="shared" si="134"/>
        <v/>
      </c>
      <c r="H6566" s="28"/>
      <c r="I6566" s="29"/>
      <c r="J6566" s="148">
        <v>0</v>
      </c>
      <c r="K6566" s="222">
        <v>0</v>
      </c>
    </row>
    <row r="6567" spans="1:11" hidden="1" x14ac:dyDescent="0.25">
      <c r="A6567" s="203"/>
      <c r="B6567" s="205"/>
      <c r="C6567" s="31"/>
      <c r="D6567" s="31"/>
      <c r="E6567" s="32"/>
      <c r="F6567" s="42" t="s">
        <v>514</v>
      </c>
      <c r="G6567" s="30" t="str">
        <f t="shared" si="134"/>
        <v/>
      </c>
      <c r="H6567" s="34"/>
      <c r="I6567" s="30"/>
      <c r="J6567" s="148">
        <v>0</v>
      </c>
      <c r="K6567" s="222">
        <v>0</v>
      </c>
    </row>
    <row r="6568" spans="1:11" hidden="1" x14ac:dyDescent="0.25">
      <c r="A6568" s="203"/>
      <c r="B6568" s="205"/>
      <c r="C6568" s="35" t="s">
        <v>7673</v>
      </c>
      <c r="D6568" s="46" t="s">
        <v>20</v>
      </c>
      <c r="E6568" s="36">
        <v>1</v>
      </c>
      <c r="F6568" s="30">
        <v>26.115499999999997</v>
      </c>
      <c r="G6568" s="30">
        <f t="shared" si="134"/>
        <v>26.115499999999997</v>
      </c>
      <c r="H6568" s="38">
        <f>SUM(G6568:G6568)</f>
        <v>26.115499999999997</v>
      </c>
      <c r="I6568" s="39"/>
      <c r="J6568" s="148">
        <v>0</v>
      </c>
      <c r="K6568" s="222">
        <v>0</v>
      </c>
    </row>
    <row r="6569" spans="1:11" ht="15.75" hidden="1" thickBot="1" x14ac:dyDescent="0.3">
      <c r="A6569" s="209"/>
      <c r="B6569" s="206"/>
      <c r="C6569" s="54"/>
      <c r="D6569" s="54"/>
      <c r="E6569" s="65"/>
      <c r="F6569" s="66" t="s">
        <v>514</v>
      </c>
      <c r="G6569" s="66" t="str">
        <f t="shared" si="134"/>
        <v/>
      </c>
      <c r="H6569" s="68"/>
      <c r="I6569" s="30"/>
      <c r="J6569" s="148">
        <v>0</v>
      </c>
      <c r="K6569" s="222">
        <v>0</v>
      </c>
    </row>
    <row r="6570" spans="1:11" ht="15.75" hidden="1" thickBot="1" x14ac:dyDescent="0.3">
      <c r="A6570" s="202" t="s">
        <v>6919</v>
      </c>
      <c r="B6570" s="204" t="str">
        <f>INDEX(Orçamentária!A:B,MATCH(Composições!A6570,Orçamentária!A:A,0),2)</f>
        <v>Válvula de esfera em bronze 1/2”</v>
      </c>
      <c r="C6570" s="40"/>
      <c r="D6570" s="25" t="str">
        <f>TRIM(INDEX(Orçamentária!C:C,MATCH(Composições!A6570,Orçamentária!A:A,0),1))</f>
        <v>un</v>
      </c>
      <c r="E6570" s="26"/>
      <c r="F6570" s="41" t="s">
        <v>514</v>
      </c>
      <c r="G6570" s="27" t="str">
        <f t="shared" si="134"/>
        <v/>
      </c>
      <c r="H6570" s="28"/>
      <c r="I6570" s="29"/>
      <c r="J6570" s="148">
        <v>0</v>
      </c>
      <c r="K6570" s="222">
        <v>0</v>
      </c>
    </row>
    <row r="6571" spans="1:11" hidden="1" x14ac:dyDescent="0.25">
      <c r="A6571" s="203"/>
      <c r="B6571" s="205"/>
      <c r="C6571" s="31"/>
      <c r="D6571" s="31"/>
      <c r="E6571" s="32"/>
      <c r="F6571" s="42" t="s">
        <v>514</v>
      </c>
      <c r="G6571" s="30" t="str">
        <f t="shared" si="134"/>
        <v/>
      </c>
      <c r="H6571" s="34"/>
      <c r="I6571" s="30"/>
      <c r="J6571" s="148">
        <v>0</v>
      </c>
      <c r="K6571" s="222">
        <v>0</v>
      </c>
    </row>
    <row r="6572" spans="1:11" hidden="1" x14ac:dyDescent="0.25">
      <c r="A6572" s="203"/>
      <c r="B6572" s="205"/>
      <c r="C6572" s="35" t="s">
        <v>1136</v>
      </c>
      <c r="D6572" s="46" t="s">
        <v>20</v>
      </c>
      <c r="E6572" s="36">
        <v>1</v>
      </c>
      <c r="F6572" s="30">
        <v>52.202500000000001</v>
      </c>
      <c r="G6572" s="30">
        <f t="shared" si="134"/>
        <v>52.202500000000001</v>
      </c>
      <c r="H6572" s="38">
        <f>SUM(G6572:G6572)</f>
        <v>52.202500000000001</v>
      </c>
      <c r="I6572" s="39"/>
      <c r="J6572" s="148">
        <v>0</v>
      </c>
      <c r="K6572" s="222">
        <v>0</v>
      </c>
    </row>
    <row r="6573" spans="1:11" ht="15.75" hidden="1" thickBot="1" x14ac:dyDescent="0.3">
      <c r="A6573" s="209"/>
      <c r="B6573" s="206"/>
      <c r="C6573" s="54"/>
      <c r="D6573" s="54"/>
      <c r="E6573" s="65"/>
      <c r="F6573" s="66" t="s">
        <v>514</v>
      </c>
      <c r="G6573" s="66" t="str">
        <f t="shared" si="134"/>
        <v/>
      </c>
      <c r="H6573" s="68"/>
      <c r="I6573" s="30"/>
      <c r="J6573" s="148">
        <v>0</v>
      </c>
      <c r="K6573" s="222">
        <v>0</v>
      </c>
    </row>
    <row r="6574" spans="1:11" ht="15.75" hidden="1" thickBot="1" x14ac:dyDescent="0.3">
      <c r="A6574" s="202" t="s">
        <v>6920</v>
      </c>
      <c r="B6574" s="204" t="str">
        <f>INDEX(Orçamentária!A:B,MATCH(Composições!A6574,Orçamentária!A:A,0),2)</f>
        <v>Válvula de esfera em bronze 3/4”</v>
      </c>
      <c r="C6574" s="40"/>
      <c r="D6574" s="25" t="str">
        <f>TRIM(INDEX(Orçamentária!C:C,MATCH(Composições!A6574,Orçamentária!A:A,0),1))</f>
        <v>un</v>
      </c>
      <c r="E6574" s="26"/>
      <c r="F6574" s="41" t="s">
        <v>514</v>
      </c>
      <c r="G6574" s="27" t="str">
        <f t="shared" si="134"/>
        <v/>
      </c>
      <c r="H6574" s="28"/>
      <c r="I6574" s="29"/>
      <c r="J6574" s="148">
        <v>0</v>
      </c>
      <c r="K6574" s="222">
        <v>0</v>
      </c>
    </row>
    <row r="6575" spans="1:11" hidden="1" x14ac:dyDescent="0.25">
      <c r="A6575" s="203"/>
      <c r="B6575" s="205"/>
      <c r="C6575" s="31"/>
      <c r="D6575" s="31"/>
      <c r="E6575" s="32"/>
      <c r="F6575" s="42" t="s">
        <v>514</v>
      </c>
      <c r="G6575" s="30" t="str">
        <f t="shared" si="134"/>
        <v/>
      </c>
      <c r="H6575" s="34"/>
      <c r="I6575" s="30"/>
      <c r="J6575" s="148">
        <v>0</v>
      </c>
      <c r="K6575" s="222">
        <v>0</v>
      </c>
    </row>
    <row r="6576" spans="1:11" hidden="1" x14ac:dyDescent="0.25">
      <c r="A6576" s="203"/>
      <c r="B6576" s="205"/>
      <c r="C6576" s="35" t="s">
        <v>7746</v>
      </c>
      <c r="D6576" s="46" t="s">
        <v>20</v>
      </c>
      <c r="E6576" s="36">
        <v>1</v>
      </c>
      <c r="F6576" s="30">
        <v>60.258499999999998</v>
      </c>
      <c r="G6576" s="30">
        <f t="shared" si="134"/>
        <v>60.258499999999998</v>
      </c>
      <c r="H6576" s="38">
        <f>SUM(G6576:G6576)</f>
        <v>60.258499999999998</v>
      </c>
      <c r="I6576" s="39"/>
      <c r="J6576" s="148">
        <v>0</v>
      </c>
      <c r="K6576" s="222">
        <v>0</v>
      </c>
    </row>
    <row r="6577" spans="1:11" ht="15.75" hidden="1" thickBot="1" x14ac:dyDescent="0.3">
      <c r="A6577" s="209"/>
      <c r="B6577" s="206"/>
      <c r="C6577" s="54"/>
      <c r="D6577" s="54"/>
      <c r="E6577" s="65"/>
      <c r="F6577" s="66" t="s">
        <v>514</v>
      </c>
      <c r="G6577" s="66" t="str">
        <f t="shared" si="134"/>
        <v/>
      </c>
      <c r="H6577" s="68"/>
      <c r="I6577" s="30"/>
      <c r="J6577" s="148">
        <v>0</v>
      </c>
      <c r="K6577" s="222">
        <v>0</v>
      </c>
    </row>
    <row r="6578" spans="1:11" ht="15.75" hidden="1" thickBot="1" x14ac:dyDescent="0.3">
      <c r="A6578" s="202" t="s">
        <v>6922</v>
      </c>
      <c r="B6578" s="204" t="str">
        <f>INDEX(Orçamentária!A:B,MATCH(Composições!A6578,Orçamentária!A:A,0),2)</f>
        <v>Válvula de esfera em bronze 1 1/2”</v>
      </c>
      <c r="C6578" s="40"/>
      <c r="D6578" s="25" t="str">
        <f>TRIM(INDEX(Orçamentária!C:C,MATCH(Composições!A6578,Orçamentária!A:A,0),1))</f>
        <v>un</v>
      </c>
      <c r="E6578" s="26"/>
      <c r="F6578" s="41" t="s">
        <v>514</v>
      </c>
      <c r="G6578" s="27" t="str">
        <f t="shared" ref="G6578:G6641" si="135">IF(ISNUMBER(F6578),E6578*F6578,"")</f>
        <v/>
      </c>
      <c r="H6578" s="28"/>
      <c r="I6578" s="29"/>
      <c r="J6578" s="148">
        <v>0</v>
      </c>
      <c r="K6578" s="222">
        <v>0</v>
      </c>
    </row>
    <row r="6579" spans="1:11" hidden="1" x14ac:dyDescent="0.25">
      <c r="A6579" s="203"/>
      <c r="B6579" s="205"/>
      <c r="C6579" s="31"/>
      <c r="D6579" s="31"/>
      <c r="E6579" s="32"/>
      <c r="F6579" s="42" t="s">
        <v>514</v>
      </c>
      <c r="G6579" s="30" t="str">
        <f t="shared" si="135"/>
        <v/>
      </c>
      <c r="H6579" s="34"/>
      <c r="I6579" s="30"/>
      <c r="J6579" s="148">
        <v>0</v>
      </c>
      <c r="K6579" s="222">
        <v>0</v>
      </c>
    </row>
    <row r="6580" spans="1:11" ht="25.5" hidden="1" x14ac:dyDescent="0.25">
      <c r="A6580" s="203"/>
      <c r="B6580" s="205"/>
      <c r="C6580" s="35" t="s">
        <v>623</v>
      </c>
      <c r="D6580" s="46" t="s">
        <v>20</v>
      </c>
      <c r="E6580" s="36">
        <v>1</v>
      </c>
      <c r="F6580" s="30">
        <v>146.10049999999998</v>
      </c>
      <c r="G6580" s="30">
        <f t="shared" si="135"/>
        <v>146.10049999999998</v>
      </c>
      <c r="H6580" s="38">
        <f>SUM(G6580:G6580)</f>
        <v>146.10049999999998</v>
      </c>
      <c r="I6580" s="39"/>
      <c r="J6580" s="148">
        <v>0</v>
      </c>
      <c r="K6580" s="222">
        <v>0</v>
      </c>
    </row>
    <row r="6581" spans="1:11" ht="15.75" hidden="1" thickBot="1" x14ac:dyDescent="0.3">
      <c r="A6581" s="209"/>
      <c r="B6581" s="206"/>
      <c r="C6581" s="54"/>
      <c r="D6581" s="54"/>
      <c r="E6581" s="65"/>
      <c r="F6581" s="66" t="s">
        <v>514</v>
      </c>
      <c r="G6581" s="66" t="str">
        <f t="shared" si="135"/>
        <v/>
      </c>
      <c r="H6581" s="68"/>
      <c r="I6581" s="30"/>
      <c r="J6581" s="148">
        <v>0</v>
      </c>
      <c r="K6581" s="222">
        <v>0</v>
      </c>
    </row>
    <row r="6582" spans="1:11" ht="15.75" hidden="1" thickBot="1" x14ac:dyDescent="0.3">
      <c r="A6582" s="202" t="s">
        <v>6924</v>
      </c>
      <c r="B6582" s="204" t="str">
        <f>INDEX(Orçamentária!A:B,MATCH(Composições!A6582,Orçamentária!A:A,0),2)</f>
        <v>Válvula de esfera em bronze 2”</v>
      </c>
      <c r="C6582" s="40"/>
      <c r="D6582" s="25" t="str">
        <f>TRIM(INDEX(Orçamentária!C:C,MATCH(Composições!A6582,Orçamentária!A:A,0),1))</f>
        <v>un</v>
      </c>
      <c r="E6582" s="26"/>
      <c r="F6582" s="41" t="s">
        <v>514</v>
      </c>
      <c r="G6582" s="27" t="str">
        <f t="shared" si="135"/>
        <v/>
      </c>
      <c r="H6582" s="28"/>
      <c r="I6582" s="29"/>
      <c r="J6582" s="148">
        <v>0</v>
      </c>
      <c r="K6582" s="222">
        <v>0</v>
      </c>
    </row>
    <row r="6583" spans="1:11" hidden="1" x14ac:dyDescent="0.25">
      <c r="A6583" s="203"/>
      <c r="B6583" s="205"/>
      <c r="C6583" s="31"/>
      <c r="D6583" s="31"/>
      <c r="E6583" s="32"/>
      <c r="F6583" s="42" t="s">
        <v>514</v>
      </c>
      <c r="G6583" s="30" t="str">
        <f t="shared" si="135"/>
        <v/>
      </c>
      <c r="H6583" s="34"/>
      <c r="I6583" s="30"/>
      <c r="J6583" s="148">
        <v>0</v>
      </c>
      <c r="K6583" s="222">
        <v>0</v>
      </c>
    </row>
    <row r="6584" spans="1:11" hidden="1" x14ac:dyDescent="0.25">
      <c r="A6584" s="203"/>
      <c r="B6584" s="205"/>
      <c r="C6584" s="35" t="s">
        <v>7745</v>
      </c>
      <c r="D6584" s="46" t="s">
        <v>20</v>
      </c>
      <c r="E6584" s="36">
        <v>1</v>
      </c>
      <c r="F6584" s="30">
        <v>225.29249999999999</v>
      </c>
      <c r="G6584" s="30">
        <f t="shared" si="135"/>
        <v>225.29249999999999</v>
      </c>
      <c r="H6584" s="38">
        <f>SUM(G6584:G6584)</f>
        <v>225.29249999999999</v>
      </c>
      <c r="I6584" s="39"/>
      <c r="J6584" s="148">
        <v>0</v>
      </c>
      <c r="K6584" s="222">
        <v>0</v>
      </c>
    </row>
    <row r="6585" spans="1:11" ht="15.75" hidden="1" thickBot="1" x14ac:dyDescent="0.3">
      <c r="A6585" s="209"/>
      <c r="B6585" s="206"/>
      <c r="C6585" s="54"/>
      <c r="D6585" s="54"/>
      <c r="E6585" s="65"/>
      <c r="F6585" s="66" t="s">
        <v>514</v>
      </c>
      <c r="G6585" s="66" t="str">
        <f t="shared" si="135"/>
        <v/>
      </c>
      <c r="H6585" s="68"/>
      <c r="I6585" s="30"/>
      <c r="J6585" s="148">
        <v>0</v>
      </c>
      <c r="K6585" s="222">
        <v>0</v>
      </c>
    </row>
    <row r="6586" spans="1:11" ht="15.75" hidden="1" thickBot="1" x14ac:dyDescent="0.3">
      <c r="A6586" s="202" t="s">
        <v>6926</v>
      </c>
      <c r="B6586" s="204" t="str">
        <f>INDEX(Orçamentária!A:B,MATCH(Composições!A6586,Orçamentária!A:A,0),2)</f>
        <v>Válvula de esfera metálica 1/2” para gás</v>
      </c>
      <c r="C6586" s="40"/>
      <c r="D6586" s="25" t="str">
        <f>TRIM(INDEX(Orçamentária!C:C,MATCH(Composições!A6586,Orçamentária!A:A,0),1))</f>
        <v>un</v>
      </c>
      <c r="E6586" s="26"/>
      <c r="F6586" s="41" t="s">
        <v>514</v>
      </c>
      <c r="G6586" s="27" t="str">
        <f t="shared" si="135"/>
        <v/>
      </c>
      <c r="H6586" s="28"/>
      <c r="I6586" s="29"/>
      <c r="J6586" s="148">
        <v>0</v>
      </c>
      <c r="K6586" s="222">
        <v>0</v>
      </c>
    </row>
    <row r="6587" spans="1:11" hidden="1" x14ac:dyDescent="0.25">
      <c r="A6587" s="203"/>
      <c r="B6587" s="205"/>
      <c r="C6587" s="31"/>
      <c r="D6587" s="31"/>
      <c r="E6587" s="32"/>
      <c r="F6587" s="42" t="s">
        <v>514</v>
      </c>
      <c r="G6587" s="30" t="str">
        <f t="shared" si="135"/>
        <v/>
      </c>
      <c r="H6587" s="34"/>
      <c r="I6587" s="30"/>
      <c r="J6587" s="148">
        <v>0</v>
      </c>
      <c r="K6587" s="222">
        <v>0</v>
      </c>
    </row>
    <row r="6588" spans="1:11" hidden="1" x14ac:dyDescent="0.25">
      <c r="A6588" s="203"/>
      <c r="B6588" s="205"/>
      <c r="C6588" s="35" t="s">
        <v>1136</v>
      </c>
      <c r="D6588" s="46" t="s">
        <v>20</v>
      </c>
      <c r="E6588" s="36">
        <v>1</v>
      </c>
      <c r="F6588" s="30">
        <v>52.202500000000001</v>
      </c>
      <c r="G6588" s="30">
        <f t="shared" si="135"/>
        <v>52.202500000000001</v>
      </c>
      <c r="H6588" s="38">
        <f>SUM(G6588:G6588)</f>
        <v>52.202500000000001</v>
      </c>
      <c r="I6588" s="39"/>
      <c r="J6588" s="148">
        <v>0</v>
      </c>
      <c r="K6588" s="222">
        <v>0</v>
      </c>
    </row>
    <row r="6589" spans="1:11" ht="15.75" hidden="1" thickBot="1" x14ac:dyDescent="0.3">
      <c r="A6589" s="209"/>
      <c r="B6589" s="206"/>
      <c r="C6589" s="54"/>
      <c r="D6589" s="54"/>
      <c r="E6589" s="65"/>
      <c r="F6589" s="66" t="s">
        <v>514</v>
      </c>
      <c r="G6589" s="66" t="str">
        <f t="shared" si="135"/>
        <v/>
      </c>
      <c r="H6589" s="68"/>
      <c r="I6589" s="30"/>
      <c r="J6589" s="148">
        <v>0</v>
      </c>
      <c r="K6589" s="222">
        <v>0</v>
      </c>
    </row>
    <row r="6590" spans="1:11" ht="15.75" hidden="1" thickBot="1" x14ac:dyDescent="0.3">
      <c r="A6590" s="202" t="s">
        <v>6928</v>
      </c>
      <c r="B6590" s="204" t="str">
        <f>INDEX(Orçamentária!A:B,MATCH(Composições!A6590,Orçamentária!A:A,0),2)</f>
        <v>Registro de Gaveta Bruto 1 1/2”</v>
      </c>
      <c r="C6590" s="40"/>
      <c r="D6590" s="25" t="str">
        <f>TRIM(INDEX(Orçamentária!C:C,MATCH(Composições!A6590,Orçamentária!A:A,0),1))</f>
        <v>un</v>
      </c>
      <c r="E6590" s="26"/>
      <c r="F6590" s="41" t="s">
        <v>514</v>
      </c>
      <c r="G6590" s="27" t="str">
        <f t="shared" si="135"/>
        <v/>
      </c>
      <c r="H6590" s="28"/>
      <c r="I6590" s="29"/>
      <c r="J6590" s="148">
        <v>0</v>
      </c>
      <c r="K6590" s="222">
        <v>0</v>
      </c>
    </row>
    <row r="6591" spans="1:11" hidden="1" x14ac:dyDescent="0.25">
      <c r="A6591" s="203"/>
      <c r="B6591" s="205"/>
      <c r="C6591" s="31"/>
      <c r="D6591" s="31"/>
      <c r="E6591" s="32"/>
      <c r="F6591" s="42" t="s">
        <v>514</v>
      </c>
      <c r="G6591" s="30" t="str">
        <f t="shared" si="135"/>
        <v/>
      </c>
      <c r="H6591" s="34"/>
      <c r="I6591" s="30"/>
      <c r="J6591" s="148">
        <v>0</v>
      </c>
      <c r="K6591" s="222">
        <v>0</v>
      </c>
    </row>
    <row r="6592" spans="1:11" ht="25.5" hidden="1" x14ac:dyDescent="0.25">
      <c r="A6592" s="203"/>
      <c r="B6592" s="205"/>
      <c r="C6592" s="35" t="s">
        <v>7678</v>
      </c>
      <c r="D6592" s="46" t="s">
        <v>20</v>
      </c>
      <c r="E6592" s="36">
        <v>1</v>
      </c>
      <c r="F6592" s="30">
        <v>99.759500000000003</v>
      </c>
      <c r="G6592" s="30">
        <f t="shared" si="135"/>
        <v>99.759500000000003</v>
      </c>
      <c r="H6592" s="38">
        <f>SUM(G6592:G6592)</f>
        <v>99.759500000000003</v>
      </c>
      <c r="I6592" s="39"/>
      <c r="J6592" s="148">
        <v>0</v>
      </c>
      <c r="K6592" s="222">
        <v>0</v>
      </c>
    </row>
    <row r="6593" spans="1:11" ht="15.75" hidden="1" thickBot="1" x14ac:dyDescent="0.3">
      <c r="A6593" s="209"/>
      <c r="B6593" s="206"/>
      <c r="C6593" s="54"/>
      <c r="D6593" s="54"/>
      <c r="E6593" s="65"/>
      <c r="F6593" s="66" t="s">
        <v>514</v>
      </c>
      <c r="G6593" s="66" t="str">
        <f t="shared" si="135"/>
        <v/>
      </c>
      <c r="H6593" s="68"/>
      <c r="I6593" s="30"/>
      <c r="J6593" s="148">
        <v>0</v>
      </c>
      <c r="K6593" s="222">
        <v>0</v>
      </c>
    </row>
    <row r="6594" spans="1:11" ht="15.75" hidden="1" thickBot="1" x14ac:dyDescent="0.3">
      <c r="A6594" s="202" t="s">
        <v>6930</v>
      </c>
      <c r="B6594" s="204" t="str">
        <f>INDEX(Orçamentária!A:B,MATCH(Composições!A6594,Orçamentária!A:A,0),2)</f>
        <v>Registro de Gaveta Bruto 1 1/4”</v>
      </c>
      <c r="C6594" s="40"/>
      <c r="D6594" s="25" t="str">
        <f>TRIM(INDEX(Orçamentária!C:C,MATCH(Composições!A6594,Orçamentária!A:A,0),1))</f>
        <v>un</v>
      </c>
      <c r="E6594" s="26"/>
      <c r="F6594" s="41" t="s">
        <v>514</v>
      </c>
      <c r="G6594" s="27" t="str">
        <f t="shared" si="135"/>
        <v/>
      </c>
      <c r="H6594" s="28"/>
      <c r="I6594" s="29"/>
      <c r="J6594" s="148">
        <v>0</v>
      </c>
      <c r="K6594" s="222">
        <v>0</v>
      </c>
    </row>
    <row r="6595" spans="1:11" hidden="1" x14ac:dyDescent="0.25">
      <c r="A6595" s="203"/>
      <c r="B6595" s="205"/>
      <c r="C6595" s="31"/>
      <c r="D6595" s="31"/>
      <c r="E6595" s="32"/>
      <c r="F6595" s="42" t="s">
        <v>514</v>
      </c>
      <c r="G6595" s="30" t="str">
        <f t="shared" si="135"/>
        <v/>
      </c>
      <c r="H6595" s="34"/>
      <c r="I6595" s="30"/>
      <c r="J6595" s="148">
        <v>0</v>
      </c>
      <c r="K6595" s="222">
        <v>0</v>
      </c>
    </row>
    <row r="6596" spans="1:11" ht="25.5" hidden="1" x14ac:dyDescent="0.25">
      <c r="A6596" s="203"/>
      <c r="B6596" s="205"/>
      <c r="C6596" s="35" t="s">
        <v>7679</v>
      </c>
      <c r="D6596" s="46" t="s">
        <v>20</v>
      </c>
      <c r="E6596" s="36">
        <v>1</v>
      </c>
      <c r="F6596" s="30">
        <v>79.021000000000001</v>
      </c>
      <c r="G6596" s="30">
        <f t="shared" si="135"/>
        <v>79.021000000000001</v>
      </c>
      <c r="H6596" s="38">
        <f>SUM(G6596:G6596)</f>
        <v>79.021000000000001</v>
      </c>
      <c r="I6596" s="39"/>
      <c r="J6596" s="148">
        <v>0</v>
      </c>
      <c r="K6596" s="222">
        <v>0</v>
      </c>
    </row>
    <row r="6597" spans="1:11" ht="15.75" hidden="1" thickBot="1" x14ac:dyDescent="0.3">
      <c r="A6597" s="209"/>
      <c r="B6597" s="206"/>
      <c r="C6597" s="54"/>
      <c r="D6597" s="54"/>
      <c r="E6597" s="65"/>
      <c r="F6597" s="66" t="s">
        <v>514</v>
      </c>
      <c r="G6597" s="66" t="str">
        <f t="shared" si="135"/>
        <v/>
      </c>
      <c r="H6597" s="68"/>
      <c r="I6597" s="30"/>
      <c r="J6597" s="148">
        <v>0</v>
      </c>
      <c r="K6597" s="222">
        <v>0</v>
      </c>
    </row>
    <row r="6598" spans="1:11" ht="15.75" hidden="1" thickBot="1" x14ac:dyDescent="0.3">
      <c r="A6598" s="202" t="s">
        <v>6932</v>
      </c>
      <c r="B6598" s="204" t="str">
        <f>INDEX(Orçamentária!A:B,MATCH(Composições!A6598,Orçamentária!A:A,0),2)</f>
        <v>Registro de Gaveta Bruto 1”</v>
      </c>
      <c r="C6598" s="40"/>
      <c r="D6598" s="25" t="str">
        <f>TRIM(INDEX(Orçamentária!C:C,MATCH(Composições!A6598,Orçamentária!A:A,0),1))</f>
        <v>un</v>
      </c>
      <c r="E6598" s="26"/>
      <c r="F6598" s="41" t="s">
        <v>514</v>
      </c>
      <c r="G6598" s="27" t="str">
        <f t="shared" si="135"/>
        <v/>
      </c>
      <c r="H6598" s="28"/>
      <c r="I6598" s="29"/>
      <c r="J6598" s="148">
        <v>0</v>
      </c>
      <c r="K6598" s="222">
        <v>0</v>
      </c>
    </row>
    <row r="6599" spans="1:11" hidden="1" x14ac:dyDescent="0.25">
      <c r="A6599" s="203"/>
      <c r="B6599" s="205"/>
      <c r="C6599" s="31"/>
      <c r="D6599" s="31"/>
      <c r="E6599" s="32"/>
      <c r="F6599" s="42" t="s">
        <v>514</v>
      </c>
      <c r="G6599" s="30" t="str">
        <f t="shared" si="135"/>
        <v/>
      </c>
      <c r="H6599" s="34"/>
      <c r="I6599" s="30"/>
      <c r="J6599" s="148">
        <v>0</v>
      </c>
      <c r="K6599" s="222">
        <v>0</v>
      </c>
    </row>
    <row r="6600" spans="1:11" ht="25.5" hidden="1" x14ac:dyDescent="0.25">
      <c r="A6600" s="203"/>
      <c r="B6600" s="205"/>
      <c r="C6600" s="35" t="s">
        <v>7677</v>
      </c>
      <c r="D6600" s="46" t="s">
        <v>20</v>
      </c>
      <c r="E6600" s="36">
        <v>1</v>
      </c>
      <c r="F6600" s="30">
        <v>57.978499999999997</v>
      </c>
      <c r="G6600" s="30">
        <f t="shared" si="135"/>
        <v>57.978499999999997</v>
      </c>
      <c r="H6600" s="38">
        <f>SUM(G6600:G6600)</f>
        <v>57.978499999999997</v>
      </c>
      <c r="I6600" s="39"/>
      <c r="J6600" s="148">
        <v>0</v>
      </c>
      <c r="K6600" s="222">
        <v>0</v>
      </c>
    </row>
    <row r="6601" spans="1:11" ht="15.75" hidden="1" thickBot="1" x14ac:dyDescent="0.3">
      <c r="A6601" s="209"/>
      <c r="B6601" s="206"/>
      <c r="C6601" s="54"/>
      <c r="D6601" s="54"/>
      <c r="E6601" s="65"/>
      <c r="F6601" s="66" t="s">
        <v>514</v>
      </c>
      <c r="G6601" s="66" t="str">
        <f t="shared" si="135"/>
        <v/>
      </c>
      <c r="H6601" s="68"/>
      <c r="I6601" s="30"/>
      <c r="J6601" s="148">
        <v>0</v>
      </c>
      <c r="K6601" s="222">
        <v>0</v>
      </c>
    </row>
    <row r="6602" spans="1:11" ht="15.75" hidden="1" thickBot="1" x14ac:dyDescent="0.3">
      <c r="A6602" s="202" t="s">
        <v>6934</v>
      </c>
      <c r="B6602" s="204" t="str">
        <f>INDEX(Orçamentária!A:B,MATCH(Composições!A6602,Orçamentária!A:A,0),2)</f>
        <v>Registro de Gaveta Bruto 1/2”</v>
      </c>
      <c r="C6602" s="40"/>
      <c r="D6602" s="25" t="str">
        <f>TRIM(INDEX(Orçamentária!C:C,MATCH(Composições!A6602,Orçamentária!A:A,0),1))</f>
        <v>un</v>
      </c>
      <c r="E6602" s="26"/>
      <c r="F6602" s="41" t="s">
        <v>514</v>
      </c>
      <c r="G6602" s="27" t="str">
        <f t="shared" si="135"/>
        <v/>
      </c>
      <c r="H6602" s="28"/>
      <c r="I6602" s="29"/>
      <c r="J6602" s="148">
        <v>0</v>
      </c>
      <c r="K6602" s="222">
        <v>0</v>
      </c>
    </row>
    <row r="6603" spans="1:11" hidden="1" x14ac:dyDescent="0.25">
      <c r="A6603" s="203"/>
      <c r="B6603" s="205"/>
      <c r="C6603" s="31"/>
      <c r="D6603" s="31"/>
      <c r="E6603" s="32"/>
      <c r="F6603" s="42" t="s">
        <v>514</v>
      </c>
      <c r="G6603" s="30" t="str">
        <f t="shared" si="135"/>
        <v/>
      </c>
      <c r="H6603" s="34"/>
      <c r="I6603" s="30"/>
      <c r="J6603" s="148">
        <v>0</v>
      </c>
      <c r="K6603" s="222">
        <v>0</v>
      </c>
    </row>
    <row r="6604" spans="1:11" ht="25.5" hidden="1" x14ac:dyDescent="0.25">
      <c r="A6604" s="203"/>
      <c r="B6604" s="205"/>
      <c r="C6604" s="35" t="s">
        <v>7680</v>
      </c>
      <c r="D6604" s="46" t="s">
        <v>20</v>
      </c>
      <c r="E6604" s="36">
        <v>1</v>
      </c>
      <c r="F6604" s="30">
        <v>34.826999999999998</v>
      </c>
      <c r="G6604" s="30">
        <f t="shared" si="135"/>
        <v>34.826999999999998</v>
      </c>
      <c r="H6604" s="38">
        <f>SUM(G6604:G6604)</f>
        <v>34.826999999999998</v>
      </c>
      <c r="I6604" s="39"/>
      <c r="J6604" s="148">
        <v>0</v>
      </c>
      <c r="K6604" s="222">
        <v>0</v>
      </c>
    </row>
    <row r="6605" spans="1:11" ht="15.75" hidden="1" thickBot="1" x14ac:dyDescent="0.3">
      <c r="A6605" s="209"/>
      <c r="B6605" s="206"/>
      <c r="C6605" s="54"/>
      <c r="D6605" s="54"/>
      <c r="E6605" s="65"/>
      <c r="F6605" s="66" t="s">
        <v>514</v>
      </c>
      <c r="G6605" s="66" t="str">
        <f t="shared" si="135"/>
        <v/>
      </c>
      <c r="H6605" s="68"/>
      <c r="I6605" s="30"/>
      <c r="J6605" s="148">
        <v>0</v>
      </c>
      <c r="K6605" s="222">
        <v>0</v>
      </c>
    </row>
    <row r="6606" spans="1:11" ht="15.75" hidden="1" thickBot="1" x14ac:dyDescent="0.3">
      <c r="A6606" s="202" t="s">
        <v>6936</v>
      </c>
      <c r="B6606" s="204" t="str">
        <f>INDEX(Orçamentária!A:B,MATCH(Composições!A6606,Orçamentária!A:A,0),2)</f>
        <v>Registro de Gaveta Bruto 2 1/2”</v>
      </c>
      <c r="C6606" s="40"/>
      <c r="D6606" s="25" t="str">
        <f>TRIM(INDEX(Orçamentária!C:C,MATCH(Composições!A6606,Orçamentária!A:A,0),1))</f>
        <v>un</v>
      </c>
      <c r="E6606" s="26"/>
      <c r="F6606" s="41" t="s">
        <v>514</v>
      </c>
      <c r="G6606" s="27" t="str">
        <f t="shared" si="135"/>
        <v/>
      </c>
      <c r="H6606" s="28"/>
      <c r="I6606" s="29"/>
      <c r="J6606" s="148">
        <v>0</v>
      </c>
      <c r="K6606" s="222">
        <v>0</v>
      </c>
    </row>
    <row r="6607" spans="1:11" hidden="1" x14ac:dyDescent="0.25">
      <c r="A6607" s="203"/>
      <c r="B6607" s="205"/>
      <c r="C6607" s="31"/>
      <c r="D6607" s="31"/>
      <c r="E6607" s="32"/>
      <c r="F6607" s="42" t="s">
        <v>514</v>
      </c>
      <c r="G6607" s="30" t="str">
        <f t="shared" si="135"/>
        <v/>
      </c>
      <c r="H6607" s="34"/>
      <c r="I6607" s="30"/>
      <c r="J6607" s="148">
        <v>0</v>
      </c>
      <c r="K6607" s="222">
        <v>0</v>
      </c>
    </row>
    <row r="6608" spans="1:11" ht="25.5" hidden="1" x14ac:dyDescent="0.25">
      <c r="A6608" s="203"/>
      <c r="B6608" s="205"/>
      <c r="C6608" s="35" t="s">
        <v>7682</v>
      </c>
      <c r="D6608" s="46" t="s">
        <v>20</v>
      </c>
      <c r="E6608" s="36">
        <v>1</v>
      </c>
      <c r="F6608" s="30">
        <v>288.1825</v>
      </c>
      <c r="G6608" s="30">
        <f t="shared" si="135"/>
        <v>288.1825</v>
      </c>
      <c r="H6608" s="38">
        <f>SUM(G6608:G6608)</f>
        <v>288.1825</v>
      </c>
      <c r="I6608" s="39"/>
      <c r="J6608" s="148">
        <v>0</v>
      </c>
      <c r="K6608" s="222">
        <v>0</v>
      </c>
    </row>
    <row r="6609" spans="1:11" ht="15.75" hidden="1" thickBot="1" x14ac:dyDescent="0.3">
      <c r="A6609" s="209"/>
      <c r="B6609" s="206"/>
      <c r="C6609" s="54"/>
      <c r="D6609" s="54"/>
      <c r="E6609" s="65"/>
      <c r="F6609" s="66" t="s">
        <v>514</v>
      </c>
      <c r="G6609" s="66" t="str">
        <f t="shared" si="135"/>
        <v/>
      </c>
      <c r="H6609" s="68"/>
      <c r="I6609" s="30"/>
      <c r="J6609" s="148">
        <v>0</v>
      </c>
      <c r="K6609" s="222">
        <v>0</v>
      </c>
    </row>
    <row r="6610" spans="1:11" ht="15.75" hidden="1" thickBot="1" x14ac:dyDescent="0.3">
      <c r="A6610" s="202" t="s">
        <v>6938</v>
      </c>
      <c r="B6610" s="204" t="str">
        <f>INDEX(Orçamentária!A:B,MATCH(Composições!A6610,Orçamentária!A:A,0),2)</f>
        <v>Registro de Gaveta Bruto 2”</v>
      </c>
      <c r="C6610" s="40"/>
      <c r="D6610" s="25" t="str">
        <f>TRIM(INDEX(Orçamentária!C:C,MATCH(Composições!A6610,Orçamentária!A:A,0),1))</f>
        <v>un</v>
      </c>
      <c r="E6610" s="26"/>
      <c r="F6610" s="41" t="s">
        <v>514</v>
      </c>
      <c r="G6610" s="27" t="str">
        <f t="shared" si="135"/>
        <v/>
      </c>
      <c r="H6610" s="28"/>
      <c r="I6610" s="29"/>
      <c r="J6610" s="148">
        <v>0</v>
      </c>
      <c r="K6610" s="222">
        <v>0</v>
      </c>
    </row>
    <row r="6611" spans="1:11" hidden="1" x14ac:dyDescent="0.25">
      <c r="A6611" s="203"/>
      <c r="B6611" s="205"/>
      <c r="C6611" s="31"/>
      <c r="D6611" s="31"/>
      <c r="E6611" s="32"/>
      <c r="F6611" s="42" t="s">
        <v>514</v>
      </c>
      <c r="G6611" s="30" t="str">
        <f t="shared" si="135"/>
        <v/>
      </c>
      <c r="H6611" s="34"/>
      <c r="I6611" s="30"/>
      <c r="J6611" s="148">
        <v>0</v>
      </c>
      <c r="K6611" s="222">
        <v>0</v>
      </c>
    </row>
    <row r="6612" spans="1:11" ht="25.5" hidden="1" x14ac:dyDescent="0.25">
      <c r="A6612" s="203"/>
      <c r="B6612" s="205"/>
      <c r="C6612" s="35" t="s">
        <v>7681</v>
      </c>
      <c r="D6612" s="46" t="s">
        <v>20</v>
      </c>
      <c r="E6612" s="36">
        <v>1</v>
      </c>
      <c r="F6612" s="30">
        <v>138.95650000000001</v>
      </c>
      <c r="G6612" s="30">
        <f t="shared" si="135"/>
        <v>138.95650000000001</v>
      </c>
      <c r="H6612" s="38">
        <f>SUM(G6612:G6612)</f>
        <v>138.95650000000001</v>
      </c>
      <c r="I6612" s="39"/>
      <c r="J6612" s="148">
        <v>0</v>
      </c>
      <c r="K6612" s="222">
        <v>0</v>
      </c>
    </row>
    <row r="6613" spans="1:11" ht="15.75" hidden="1" thickBot="1" x14ac:dyDescent="0.3">
      <c r="A6613" s="209"/>
      <c r="B6613" s="206"/>
      <c r="C6613" s="54"/>
      <c r="D6613" s="54"/>
      <c r="E6613" s="65"/>
      <c r="F6613" s="66" t="s">
        <v>514</v>
      </c>
      <c r="G6613" s="66" t="str">
        <f t="shared" si="135"/>
        <v/>
      </c>
      <c r="H6613" s="68"/>
      <c r="I6613" s="30"/>
      <c r="J6613" s="148">
        <v>0</v>
      </c>
      <c r="K6613" s="222">
        <v>0</v>
      </c>
    </row>
    <row r="6614" spans="1:11" ht="15.75" hidden="1" thickBot="1" x14ac:dyDescent="0.3">
      <c r="A6614" s="202" t="s">
        <v>6940</v>
      </c>
      <c r="B6614" s="204" t="str">
        <f>INDEX(Orçamentária!A:B,MATCH(Composições!A6614,Orçamentária!A:A,0),2)</f>
        <v>Registro de Gaveta Bruto 3”</v>
      </c>
      <c r="C6614" s="40"/>
      <c r="D6614" s="25" t="str">
        <f>TRIM(INDEX(Orçamentária!C:C,MATCH(Composições!A6614,Orçamentária!A:A,0),1))</f>
        <v>un</v>
      </c>
      <c r="E6614" s="26"/>
      <c r="F6614" s="41" t="s">
        <v>514</v>
      </c>
      <c r="G6614" s="27" t="str">
        <f t="shared" si="135"/>
        <v/>
      </c>
      <c r="H6614" s="28"/>
      <c r="I6614" s="29"/>
      <c r="J6614" s="148">
        <v>0</v>
      </c>
      <c r="K6614" s="222">
        <v>0</v>
      </c>
    </row>
    <row r="6615" spans="1:11" hidden="1" x14ac:dyDescent="0.25">
      <c r="A6615" s="203"/>
      <c r="B6615" s="205"/>
      <c r="C6615" s="31"/>
      <c r="D6615" s="31"/>
      <c r="E6615" s="32"/>
      <c r="F6615" s="42" t="s">
        <v>514</v>
      </c>
      <c r="G6615" s="30" t="str">
        <f t="shared" si="135"/>
        <v/>
      </c>
      <c r="H6615" s="34"/>
      <c r="I6615" s="30"/>
      <c r="J6615" s="148">
        <v>0</v>
      </c>
      <c r="K6615" s="222">
        <v>0</v>
      </c>
    </row>
    <row r="6616" spans="1:11" ht="25.5" hidden="1" x14ac:dyDescent="0.25">
      <c r="A6616" s="203"/>
      <c r="B6616" s="205"/>
      <c r="C6616" s="35" t="s">
        <v>7683</v>
      </c>
      <c r="D6616" s="46" t="s">
        <v>20</v>
      </c>
      <c r="E6616" s="36">
        <v>1</v>
      </c>
      <c r="F6616" s="30">
        <v>348.89699999999999</v>
      </c>
      <c r="G6616" s="30">
        <f t="shared" si="135"/>
        <v>348.89699999999999</v>
      </c>
      <c r="H6616" s="38">
        <f>SUM(G6616:G6616)</f>
        <v>348.89699999999999</v>
      </c>
      <c r="I6616" s="39"/>
      <c r="J6616" s="148">
        <v>0</v>
      </c>
      <c r="K6616" s="222">
        <v>0</v>
      </c>
    </row>
    <row r="6617" spans="1:11" ht="15.75" hidden="1" thickBot="1" x14ac:dyDescent="0.3">
      <c r="A6617" s="209"/>
      <c r="B6617" s="206"/>
      <c r="C6617" s="54"/>
      <c r="D6617" s="54"/>
      <c r="E6617" s="65"/>
      <c r="F6617" s="66" t="s">
        <v>514</v>
      </c>
      <c r="G6617" s="66" t="str">
        <f t="shared" si="135"/>
        <v/>
      </c>
      <c r="H6617" s="68"/>
      <c r="I6617" s="30"/>
      <c r="J6617" s="148">
        <v>0</v>
      </c>
      <c r="K6617" s="222">
        <v>0</v>
      </c>
    </row>
    <row r="6618" spans="1:11" ht="15.75" hidden="1" thickBot="1" x14ac:dyDescent="0.3">
      <c r="A6618" s="202" t="s">
        <v>6942</v>
      </c>
      <c r="B6618" s="204" t="str">
        <f>INDEX(Orçamentária!A:B,MATCH(Composições!A6618,Orçamentária!A:A,0),2)</f>
        <v>Registro de Gaveta Bruto 3/4”</v>
      </c>
      <c r="C6618" s="40"/>
      <c r="D6618" s="25" t="str">
        <f>TRIM(INDEX(Orçamentária!C:C,MATCH(Composições!A6618,Orçamentária!A:A,0),1))</f>
        <v>un</v>
      </c>
      <c r="E6618" s="26"/>
      <c r="F6618" s="41" t="s">
        <v>514</v>
      </c>
      <c r="G6618" s="27" t="str">
        <f t="shared" si="135"/>
        <v/>
      </c>
      <c r="H6618" s="28"/>
      <c r="I6618" s="29"/>
      <c r="J6618" s="148">
        <v>0</v>
      </c>
      <c r="K6618" s="222">
        <v>0</v>
      </c>
    </row>
    <row r="6619" spans="1:11" hidden="1" x14ac:dyDescent="0.25">
      <c r="A6619" s="203"/>
      <c r="B6619" s="205"/>
      <c r="C6619" s="31"/>
      <c r="D6619" s="31"/>
      <c r="E6619" s="32"/>
      <c r="F6619" s="42" t="s">
        <v>514</v>
      </c>
      <c r="G6619" s="30" t="str">
        <f t="shared" si="135"/>
        <v/>
      </c>
      <c r="H6619" s="34"/>
      <c r="I6619" s="30"/>
      <c r="J6619" s="148">
        <v>0</v>
      </c>
      <c r="K6619" s="222">
        <v>0</v>
      </c>
    </row>
    <row r="6620" spans="1:11" ht="25.5" hidden="1" x14ac:dyDescent="0.25">
      <c r="A6620" s="203"/>
      <c r="B6620" s="205"/>
      <c r="C6620" s="35" t="s">
        <v>7684</v>
      </c>
      <c r="D6620" s="46" t="s">
        <v>20</v>
      </c>
      <c r="E6620" s="36">
        <v>1</v>
      </c>
      <c r="F6620" s="30">
        <v>36.726999999999997</v>
      </c>
      <c r="G6620" s="30">
        <f t="shared" si="135"/>
        <v>36.726999999999997</v>
      </c>
      <c r="H6620" s="38">
        <f>SUM(G6620:G6620)</f>
        <v>36.726999999999997</v>
      </c>
      <c r="I6620" s="39"/>
      <c r="J6620" s="148">
        <v>0</v>
      </c>
      <c r="K6620" s="222">
        <v>0</v>
      </c>
    </row>
    <row r="6621" spans="1:11" ht="15.75" hidden="1" thickBot="1" x14ac:dyDescent="0.3">
      <c r="A6621" s="209"/>
      <c r="B6621" s="206"/>
      <c r="C6621" s="54"/>
      <c r="D6621" s="54"/>
      <c r="E6621" s="65"/>
      <c r="F6621" s="66" t="s">
        <v>514</v>
      </c>
      <c r="G6621" s="66" t="str">
        <f t="shared" si="135"/>
        <v/>
      </c>
      <c r="H6621" s="68"/>
      <c r="I6621" s="30"/>
      <c r="J6621" s="148">
        <v>0</v>
      </c>
      <c r="K6621" s="222">
        <v>0</v>
      </c>
    </row>
    <row r="6622" spans="1:11" ht="15.75" hidden="1" thickBot="1" x14ac:dyDescent="0.3">
      <c r="A6622" s="202" t="s">
        <v>6944</v>
      </c>
      <c r="B6622" s="204" t="str">
        <f>INDEX(Orçamentária!A:B,MATCH(Composições!A6622,Orçamentária!A:A,0),2)</f>
        <v>Registro de Gaveta Bruto 4”</v>
      </c>
      <c r="C6622" s="40"/>
      <c r="D6622" s="25" t="str">
        <f>TRIM(INDEX(Orçamentária!C:C,MATCH(Composições!A6622,Orçamentária!A:A,0),1))</f>
        <v>un</v>
      </c>
      <c r="E6622" s="26"/>
      <c r="F6622" s="41" t="s">
        <v>514</v>
      </c>
      <c r="G6622" s="27" t="str">
        <f t="shared" si="135"/>
        <v/>
      </c>
      <c r="H6622" s="28"/>
      <c r="I6622" s="29"/>
      <c r="J6622" s="148">
        <v>0</v>
      </c>
      <c r="K6622" s="222">
        <v>0</v>
      </c>
    </row>
    <row r="6623" spans="1:11" hidden="1" x14ac:dyDescent="0.25">
      <c r="A6623" s="203"/>
      <c r="B6623" s="205"/>
      <c r="C6623" s="31"/>
      <c r="D6623" s="31"/>
      <c r="E6623" s="32"/>
      <c r="F6623" s="42" t="s">
        <v>514</v>
      </c>
      <c r="G6623" s="30" t="str">
        <f t="shared" si="135"/>
        <v/>
      </c>
      <c r="H6623" s="34"/>
      <c r="I6623" s="30"/>
      <c r="J6623" s="148">
        <v>0</v>
      </c>
      <c r="K6623" s="222">
        <v>0</v>
      </c>
    </row>
    <row r="6624" spans="1:11" ht="25.5" hidden="1" x14ac:dyDescent="0.25">
      <c r="A6624" s="203"/>
      <c r="B6624" s="205"/>
      <c r="C6624" s="35" t="s">
        <v>7685</v>
      </c>
      <c r="D6624" s="46" t="s">
        <v>20</v>
      </c>
      <c r="E6624" s="36">
        <v>1</v>
      </c>
      <c r="F6624" s="30">
        <v>726.97799999999995</v>
      </c>
      <c r="G6624" s="30">
        <f t="shared" si="135"/>
        <v>726.97799999999995</v>
      </c>
      <c r="H6624" s="38">
        <f>SUM(G6624:G6624)</f>
        <v>726.97799999999995</v>
      </c>
      <c r="I6624" s="39"/>
      <c r="J6624" s="148">
        <v>0</v>
      </c>
      <c r="K6624" s="222">
        <v>0</v>
      </c>
    </row>
    <row r="6625" spans="1:11" ht="15.75" hidden="1" thickBot="1" x14ac:dyDescent="0.3">
      <c r="A6625" s="209"/>
      <c r="B6625" s="206"/>
      <c r="C6625" s="54"/>
      <c r="D6625" s="54"/>
      <c r="E6625" s="65"/>
      <c r="F6625" s="66" t="s">
        <v>514</v>
      </c>
      <c r="G6625" s="66" t="str">
        <f t="shared" si="135"/>
        <v/>
      </c>
      <c r="H6625" s="68"/>
      <c r="I6625" s="30"/>
      <c r="J6625" s="148">
        <v>0</v>
      </c>
      <c r="K6625" s="222">
        <v>0</v>
      </c>
    </row>
    <row r="6626" spans="1:11" ht="15.75" hidden="1" thickBot="1" x14ac:dyDescent="0.3">
      <c r="A6626" s="202" t="s">
        <v>6950</v>
      </c>
      <c r="B6626" s="204" t="str">
        <f>INDEX(Orçamentária!A:B,MATCH(Composições!A6626,Orçamentária!A:A,0),2)</f>
        <v>Registro de Pressão Bruto 1/2”</v>
      </c>
      <c r="C6626" s="40"/>
      <c r="D6626" s="25" t="str">
        <f>TRIM(INDEX(Orçamentária!C:C,MATCH(Composições!A6626,Orçamentária!A:A,0),1))</f>
        <v>un</v>
      </c>
      <c r="E6626" s="26"/>
      <c r="F6626" s="41" t="s">
        <v>514</v>
      </c>
      <c r="G6626" s="27" t="str">
        <f t="shared" si="135"/>
        <v/>
      </c>
      <c r="H6626" s="28"/>
      <c r="I6626" s="29"/>
      <c r="J6626" s="148">
        <v>0</v>
      </c>
      <c r="K6626" s="222">
        <v>0</v>
      </c>
    </row>
    <row r="6627" spans="1:11" hidden="1" x14ac:dyDescent="0.25">
      <c r="A6627" s="203"/>
      <c r="B6627" s="205"/>
      <c r="C6627" s="31"/>
      <c r="D6627" s="31"/>
      <c r="E6627" s="32"/>
      <c r="F6627" s="42" t="s">
        <v>514</v>
      </c>
      <c r="G6627" s="30" t="str">
        <f t="shared" si="135"/>
        <v/>
      </c>
      <c r="H6627" s="34"/>
      <c r="I6627" s="30"/>
      <c r="J6627" s="148">
        <v>0</v>
      </c>
      <c r="K6627" s="222">
        <v>0</v>
      </c>
    </row>
    <row r="6628" spans="1:11" ht="25.5" hidden="1" x14ac:dyDescent="0.25">
      <c r="A6628" s="203"/>
      <c r="B6628" s="205"/>
      <c r="C6628" s="35" t="s">
        <v>7687</v>
      </c>
      <c r="D6628" s="46" t="s">
        <v>20</v>
      </c>
      <c r="E6628" s="36">
        <v>1</v>
      </c>
      <c r="F6628" s="30">
        <v>24.681000000000001</v>
      </c>
      <c r="G6628" s="30">
        <f t="shared" si="135"/>
        <v>24.681000000000001</v>
      </c>
      <c r="H6628" s="38">
        <f>SUM(G6628:G6628)</f>
        <v>24.681000000000001</v>
      </c>
      <c r="I6628" s="39"/>
      <c r="J6628" s="148">
        <v>0</v>
      </c>
      <c r="K6628" s="222">
        <v>0</v>
      </c>
    </row>
    <row r="6629" spans="1:11" ht="15.75" hidden="1" thickBot="1" x14ac:dyDescent="0.3">
      <c r="A6629" s="209"/>
      <c r="B6629" s="206"/>
      <c r="C6629" s="54"/>
      <c r="D6629" s="54"/>
      <c r="E6629" s="65"/>
      <c r="F6629" s="66" t="s">
        <v>514</v>
      </c>
      <c r="G6629" s="66" t="str">
        <f t="shared" si="135"/>
        <v/>
      </c>
      <c r="H6629" s="68"/>
      <c r="I6629" s="30"/>
      <c r="J6629" s="148">
        <v>0</v>
      </c>
      <c r="K6629" s="222">
        <v>0</v>
      </c>
    </row>
    <row r="6630" spans="1:11" ht="15.75" hidden="1" thickBot="1" x14ac:dyDescent="0.3">
      <c r="A6630" s="202" t="s">
        <v>6952</v>
      </c>
      <c r="B6630" s="204" t="str">
        <f>INDEX(Orçamentária!A:B,MATCH(Composições!A6630,Orçamentária!A:A,0),2)</f>
        <v>Registro de Pressão Bruto 3/4”</v>
      </c>
      <c r="C6630" s="40"/>
      <c r="D6630" s="25" t="str">
        <f>TRIM(INDEX(Orçamentária!C:C,MATCH(Composições!A6630,Orçamentária!A:A,0),1))</f>
        <v>un</v>
      </c>
      <c r="E6630" s="26"/>
      <c r="F6630" s="41" t="s">
        <v>514</v>
      </c>
      <c r="G6630" s="27" t="str">
        <f t="shared" si="135"/>
        <v/>
      </c>
      <c r="H6630" s="28"/>
      <c r="I6630" s="29"/>
      <c r="J6630" s="148">
        <v>0</v>
      </c>
      <c r="K6630" s="222">
        <v>0</v>
      </c>
    </row>
    <row r="6631" spans="1:11" hidden="1" x14ac:dyDescent="0.25">
      <c r="A6631" s="203"/>
      <c r="B6631" s="205"/>
      <c r="C6631" s="31"/>
      <c r="D6631" s="31"/>
      <c r="E6631" s="32"/>
      <c r="F6631" s="42" t="s">
        <v>514</v>
      </c>
      <c r="G6631" s="30" t="str">
        <f t="shared" si="135"/>
        <v/>
      </c>
      <c r="H6631" s="34"/>
      <c r="I6631" s="30"/>
      <c r="J6631" s="148">
        <v>0</v>
      </c>
      <c r="K6631" s="222">
        <v>0</v>
      </c>
    </row>
    <row r="6632" spans="1:11" ht="25.5" hidden="1" x14ac:dyDescent="0.25">
      <c r="A6632" s="203"/>
      <c r="B6632" s="205"/>
      <c r="C6632" s="35" t="s">
        <v>7688</v>
      </c>
      <c r="D6632" s="46" t="s">
        <v>20</v>
      </c>
      <c r="E6632" s="36">
        <v>1</v>
      </c>
      <c r="F6632" s="30">
        <v>29.459499999999998</v>
      </c>
      <c r="G6632" s="30">
        <f t="shared" si="135"/>
        <v>29.459499999999998</v>
      </c>
      <c r="H6632" s="38">
        <f>SUM(G6632:G6632)</f>
        <v>29.459499999999998</v>
      </c>
      <c r="I6632" s="39"/>
      <c r="J6632" s="148">
        <v>0</v>
      </c>
      <c r="K6632" s="222">
        <v>0</v>
      </c>
    </row>
    <row r="6633" spans="1:11" ht="15.75" hidden="1" thickBot="1" x14ac:dyDescent="0.3">
      <c r="A6633" s="209"/>
      <c r="B6633" s="206"/>
      <c r="C6633" s="54"/>
      <c r="D6633" s="54"/>
      <c r="E6633" s="65"/>
      <c r="F6633" s="66" t="s">
        <v>514</v>
      </c>
      <c r="G6633" s="66" t="str">
        <f t="shared" si="135"/>
        <v/>
      </c>
      <c r="H6633" s="68"/>
      <c r="I6633" s="30"/>
      <c r="J6633" s="148">
        <v>0</v>
      </c>
      <c r="K6633" s="222">
        <v>0</v>
      </c>
    </row>
    <row r="6634" spans="1:11" ht="15.75" hidden="1" thickBot="1" x14ac:dyDescent="0.3">
      <c r="A6634" s="202" t="s">
        <v>6954</v>
      </c>
      <c r="B6634" s="204" t="str">
        <f>INDEX(Orçamentária!A:B,MATCH(Composições!A6634,Orçamentária!A:A,0),2)</f>
        <v>Registro Esfera PVC VS Roscável 1/2”</v>
      </c>
      <c r="C6634" s="40"/>
      <c r="D6634" s="25" t="str">
        <f>TRIM(INDEX(Orçamentária!C:C,MATCH(Composições!A6634,Orçamentária!A:A,0),1))</f>
        <v>un</v>
      </c>
      <c r="E6634" s="26"/>
      <c r="F6634" s="41" t="s">
        <v>514</v>
      </c>
      <c r="G6634" s="27" t="str">
        <f t="shared" si="135"/>
        <v/>
      </c>
      <c r="H6634" s="28"/>
      <c r="I6634" s="29"/>
      <c r="J6634" s="148">
        <v>0</v>
      </c>
      <c r="K6634" s="222">
        <v>0</v>
      </c>
    </row>
    <row r="6635" spans="1:11" hidden="1" x14ac:dyDescent="0.25">
      <c r="A6635" s="203"/>
      <c r="B6635" s="205"/>
      <c r="C6635" s="31"/>
      <c r="D6635" s="31"/>
      <c r="E6635" s="32"/>
      <c r="F6635" s="42" t="s">
        <v>514</v>
      </c>
      <c r="G6635" s="30" t="str">
        <f t="shared" si="135"/>
        <v/>
      </c>
      <c r="H6635" s="34"/>
      <c r="I6635" s="30"/>
      <c r="J6635" s="148">
        <v>0</v>
      </c>
      <c r="K6635" s="222">
        <v>0</v>
      </c>
    </row>
    <row r="6636" spans="1:11" ht="25.5" hidden="1" x14ac:dyDescent="0.25">
      <c r="A6636" s="203"/>
      <c r="B6636" s="205"/>
      <c r="C6636" s="35" t="s">
        <v>7675</v>
      </c>
      <c r="D6636" s="46" t="s">
        <v>20</v>
      </c>
      <c r="E6636" s="36">
        <v>1</v>
      </c>
      <c r="F6636" s="30">
        <v>31.673000000000002</v>
      </c>
      <c r="G6636" s="30">
        <f t="shared" si="135"/>
        <v>31.673000000000002</v>
      </c>
      <c r="H6636" s="38">
        <f>SUM(G6636:G6636)</f>
        <v>31.673000000000002</v>
      </c>
      <c r="I6636" s="39"/>
      <c r="J6636" s="148">
        <v>0</v>
      </c>
      <c r="K6636" s="222">
        <v>0</v>
      </c>
    </row>
    <row r="6637" spans="1:11" ht="15.75" hidden="1" thickBot="1" x14ac:dyDescent="0.3">
      <c r="A6637" s="209"/>
      <c r="B6637" s="206"/>
      <c r="C6637" s="54"/>
      <c r="D6637" s="54"/>
      <c r="E6637" s="65"/>
      <c r="F6637" s="66" t="s">
        <v>514</v>
      </c>
      <c r="G6637" s="66" t="str">
        <f t="shared" si="135"/>
        <v/>
      </c>
      <c r="H6637" s="68"/>
      <c r="I6637" s="30"/>
      <c r="J6637" s="148">
        <v>0</v>
      </c>
      <c r="K6637" s="222">
        <v>0</v>
      </c>
    </row>
    <row r="6638" spans="1:11" ht="15.75" hidden="1" thickBot="1" x14ac:dyDescent="0.3">
      <c r="A6638" s="202" t="s">
        <v>6956</v>
      </c>
      <c r="B6638" s="204" t="str">
        <f>INDEX(Orçamentária!A:B,MATCH(Composições!A6638,Orçamentária!A:A,0),2)</f>
        <v>Registro Esfera PVC VS Roscável 1 1/2”</v>
      </c>
      <c r="C6638" s="40"/>
      <c r="D6638" s="25" t="str">
        <f>TRIM(INDEX(Orçamentária!C:C,MATCH(Composições!A6638,Orçamentária!A:A,0),1))</f>
        <v>un</v>
      </c>
      <c r="E6638" s="26"/>
      <c r="F6638" s="41" t="s">
        <v>514</v>
      </c>
      <c r="G6638" s="27" t="str">
        <f t="shared" si="135"/>
        <v/>
      </c>
      <c r="H6638" s="28"/>
      <c r="I6638" s="29"/>
      <c r="J6638" s="148">
        <v>0</v>
      </c>
      <c r="K6638" s="222">
        <v>0</v>
      </c>
    </row>
    <row r="6639" spans="1:11" hidden="1" x14ac:dyDescent="0.25">
      <c r="A6639" s="203"/>
      <c r="B6639" s="205"/>
      <c r="C6639" s="31"/>
      <c r="D6639" s="31"/>
      <c r="E6639" s="32"/>
      <c r="F6639" s="42" t="s">
        <v>514</v>
      </c>
      <c r="G6639" s="30" t="str">
        <f t="shared" si="135"/>
        <v/>
      </c>
      <c r="H6639" s="34"/>
      <c r="I6639" s="30"/>
      <c r="J6639" s="148">
        <v>0</v>
      </c>
      <c r="K6639" s="222">
        <v>0</v>
      </c>
    </row>
    <row r="6640" spans="1:11" ht="25.5" hidden="1" x14ac:dyDescent="0.25">
      <c r="A6640" s="203"/>
      <c r="B6640" s="205"/>
      <c r="C6640" s="35" t="s">
        <v>7674</v>
      </c>
      <c r="D6640" s="46" t="s">
        <v>20</v>
      </c>
      <c r="E6640" s="36">
        <v>1</v>
      </c>
      <c r="F6640" s="30">
        <v>86.820499999999996</v>
      </c>
      <c r="G6640" s="30">
        <f t="shared" si="135"/>
        <v>86.820499999999996</v>
      </c>
      <c r="H6640" s="38">
        <f>SUM(G6640:G6640)</f>
        <v>86.820499999999996</v>
      </c>
      <c r="I6640" s="39"/>
      <c r="J6640" s="148">
        <v>0</v>
      </c>
      <c r="K6640" s="222">
        <v>0</v>
      </c>
    </row>
    <row r="6641" spans="1:11" ht="15.75" hidden="1" thickBot="1" x14ac:dyDescent="0.3">
      <c r="A6641" s="209"/>
      <c r="B6641" s="206"/>
      <c r="C6641" s="54"/>
      <c r="D6641" s="54"/>
      <c r="E6641" s="65"/>
      <c r="F6641" s="66" t="s">
        <v>514</v>
      </c>
      <c r="G6641" s="66" t="str">
        <f t="shared" si="135"/>
        <v/>
      </c>
      <c r="H6641" s="68"/>
      <c r="I6641" s="30"/>
      <c r="J6641" s="148">
        <v>0</v>
      </c>
      <c r="K6641" s="222">
        <v>0</v>
      </c>
    </row>
    <row r="6642" spans="1:11" ht="15.75" hidden="1" thickBot="1" x14ac:dyDescent="0.3">
      <c r="A6642" s="202" t="s">
        <v>6958</v>
      </c>
      <c r="B6642" s="204" t="str">
        <f>INDEX(Orçamentária!A:B,MATCH(Composições!A6642,Orçamentária!A:A,0),2)</f>
        <v>Registro Esfera PVC VS Soldável 60mm</v>
      </c>
      <c r="C6642" s="40"/>
      <c r="D6642" s="25" t="str">
        <f>TRIM(INDEX(Orçamentária!C:C,MATCH(Composições!A6642,Orçamentária!A:A,0),1))</f>
        <v>un</v>
      </c>
      <c r="E6642" s="26"/>
      <c r="F6642" s="41" t="s">
        <v>514</v>
      </c>
      <c r="G6642" s="27" t="str">
        <f t="shared" ref="G6642:G6705" si="136">IF(ISNUMBER(F6642),E6642*F6642,"")</f>
        <v/>
      </c>
      <c r="H6642" s="28"/>
      <c r="I6642" s="29"/>
      <c r="J6642" s="148">
        <v>0</v>
      </c>
      <c r="K6642" s="222">
        <v>0</v>
      </c>
    </row>
    <row r="6643" spans="1:11" hidden="1" x14ac:dyDescent="0.25">
      <c r="A6643" s="203"/>
      <c r="B6643" s="205"/>
      <c r="C6643" s="31"/>
      <c r="D6643" s="31"/>
      <c r="E6643" s="32"/>
      <c r="F6643" s="42" t="s">
        <v>514</v>
      </c>
      <c r="G6643" s="30" t="str">
        <f t="shared" si="136"/>
        <v/>
      </c>
      <c r="H6643" s="34"/>
      <c r="I6643" s="30"/>
      <c r="J6643" s="148">
        <v>0</v>
      </c>
      <c r="K6643" s="222">
        <v>0</v>
      </c>
    </row>
    <row r="6644" spans="1:11" ht="25.5" hidden="1" x14ac:dyDescent="0.25">
      <c r="A6644" s="203"/>
      <c r="B6644" s="205"/>
      <c r="C6644" s="35" t="s">
        <v>7676</v>
      </c>
      <c r="D6644" s="46" t="s">
        <v>20</v>
      </c>
      <c r="E6644" s="36">
        <v>1</v>
      </c>
      <c r="F6644" s="30">
        <v>154.55549999999999</v>
      </c>
      <c r="G6644" s="30">
        <f t="shared" si="136"/>
        <v>154.55549999999999</v>
      </c>
      <c r="H6644" s="38">
        <f>SUM(G6644:G6644)</f>
        <v>154.55549999999999</v>
      </c>
      <c r="I6644" s="39"/>
      <c r="J6644" s="148">
        <v>0</v>
      </c>
      <c r="K6644" s="222">
        <v>0</v>
      </c>
    </row>
    <row r="6645" spans="1:11" ht="15.75" hidden="1" thickBot="1" x14ac:dyDescent="0.3">
      <c r="A6645" s="209"/>
      <c r="B6645" s="206"/>
      <c r="C6645" s="54"/>
      <c r="D6645" s="54"/>
      <c r="E6645" s="65"/>
      <c r="F6645" s="66" t="s">
        <v>514</v>
      </c>
      <c r="G6645" s="66" t="str">
        <f t="shared" si="136"/>
        <v/>
      </c>
      <c r="H6645" s="68"/>
      <c r="I6645" s="30"/>
      <c r="J6645" s="148">
        <v>0</v>
      </c>
      <c r="K6645" s="222">
        <v>0</v>
      </c>
    </row>
    <row r="6646" spans="1:11" ht="15.75" hidden="1" thickBot="1" x14ac:dyDescent="0.3">
      <c r="A6646" s="202" t="s">
        <v>6960</v>
      </c>
      <c r="B6646" s="204" t="str">
        <f>INDEX(Orçamentária!A:B,MATCH(Composições!A6646,Orçamentária!A:A,0),2)</f>
        <v>Registro para Hidrante 2 1/2”</v>
      </c>
      <c r="C6646" s="40"/>
      <c r="D6646" s="25" t="str">
        <f>TRIM(INDEX(Orçamentária!C:C,MATCH(Composições!A6646,Orçamentária!A:A,0),1))</f>
        <v>un</v>
      </c>
      <c r="E6646" s="26"/>
      <c r="F6646" s="41" t="s">
        <v>514</v>
      </c>
      <c r="G6646" s="27" t="str">
        <f t="shared" si="136"/>
        <v/>
      </c>
      <c r="H6646" s="28"/>
      <c r="I6646" s="29"/>
      <c r="J6646" s="148">
        <v>0</v>
      </c>
      <c r="K6646" s="222">
        <v>0</v>
      </c>
    </row>
    <row r="6647" spans="1:11" hidden="1" x14ac:dyDescent="0.25">
      <c r="A6647" s="203"/>
      <c r="B6647" s="205"/>
      <c r="C6647" s="31"/>
      <c r="D6647" s="31"/>
      <c r="E6647" s="32"/>
      <c r="F6647" s="42" t="s">
        <v>514</v>
      </c>
      <c r="G6647" s="30" t="str">
        <f t="shared" si="136"/>
        <v/>
      </c>
      <c r="H6647" s="34"/>
      <c r="I6647" s="30"/>
      <c r="J6647" s="148">
        <v>0</v>
      </c>
      <c r="K6647" s="222">
        <v>0</v>
      </c>
    </row>
    <row r="6648" spans="1:11" ht="51" hidden="1" x14ac:dyDescent="0.25">
      <c r="A6648" s="203"/>
      <c r="B6648" s="205"/>
      <c r="C6648" s="35" t="s">
        <v>7686</v>
      </c>
      <c r="D6648" s="46" t="s">
        <v>20</v>
      </c>
      <c r="E6648" s="36">
        <v>1</v>
      </c>
      <c r="F6648" s="30">
        <v>180.5</v>
      </c>
      <c r="G6648" s="30">
        <f t="shared" si="136"/>
        <v>180.5</v>
      </c>
      <c r="H6648" s="38">
        <f>SUM(G6648:G6648)</f>
        <v>180.5</v>
      </c>
      <c r="I6648" s="39"/>
      <c r="J6648" s="148">
        <v>0</v>
      </c>
      <c r="K6648" s="222">
        <v>0</v>
      </c>
    </row>
    <row r="6649" spans="1:11" ht="15.75" hidden="1" thickBot="1" x14ac:dyDescent="0.3">
      <c r="A6649" s="209"/>
      <c r="B6649" s="206"/>
      <c r="C6649" s="54"/>
      <c r="D6649" s="54"/>
      <c r="E6649" s="65"/>
      <c r="F6649" s="66" t="s">
        <v>514</v>
      </c>
      <c r="G6649" s="66" t="str">
        <f t="shared" si="136"/>
        <v/>
      </c>
      <c r="H6649" s="68"/>
      <c r="I6649" s="30"/>
      <c r="J6649" s="148">
        <v>0</v>
      </c>
      <c r="K6649" s="222">
        <v>0</v>
      </c>
    </row>
    <row r="6650" spans="1:11" ht="15.75" hidden="1" thickBot="1" x14ac:dyDescent="0.3">
      <c r="A6650" s="202" t="s">
        <v>6997</v>
      </c>
      <c r="B6650" s="204" t="str">
        <f>INDEX(Orçamentária!A:B,MATCH(Composições!A6650,Orçamentária!A:A,0),2)</f>
        <v>Terminal de Ventilação PVC - 100 mm</v>
      </c>
      <c r="C6650" s="40"/>
      <c r="D6650" s="25" t="str">
        <f>TRIM(INDEX(Orçamentária!C:C,MATCH(Composições!A6650,Orçamentária!A:A,0),1))</f>
        <v>un</v>
      </c>
      <c r="E6650" s="26"/>
      <c r="F6650" s="41" t="s">
        <v>514</v>
      </c>
      <c r="G6650" s="27" t="str">
        <f t="shared" si="136"/>
        <v/>
      </c>
      <c r="H6650" s="28"/>
      <c r="I6650" s="29"/>
      <c r="J6650" s="148">
        <v>0</v>
      </c>
      <c r="K6650" s="222">
        <v>0</v>
      </c>
    </row>
    <row r="6651" spans="1:11" hidden="1" x14ac:dyDescent="0.25">
      <c r="A6651" s="203"/>
      <c r="B6651" s="205"/>
      <c r="C6651" s="31"/>
      <c r="D6651" s="31"/>
      <c r="E6651" s="32"/>
      <c r="F6651" s="42" t="s">
        <v>514</v>
      </c>
      <c r="G6651" s="30" t="str">
        <f t="shared" si="136"/>
        <v/>
      </c>
      <c r="H6651" s="34"/>
      <c r="I6651" s="30"/>
      <c r="J6651" s="148">
        <v>0</v>
      </c>
      <c r="K6651" s="222">
        <v>0</v>
      </c>
    </row>
    <row r="6652" spans="1:11" ht="25.5" hidden="1" x14ac:dyDescent="0.25">
      <c r="A6652" s="203"/>
      <c r="B6652" s="205"/>
      <c r="C6652" s="35" t="s">
        <v>7708</v>
      </c>
      <c r="D6652" s="46" t="s">
        <v>20</v>
      </c>
      <c r="E6652" s="36">
        <v>1</v>
      </c>
      <c r="F6652" s="30">
        <v>21.346499999999999</v>
      </c>
      <c r="G6652" s="30">
        <f t="shared" si="136"/>
        <v>21.346499999999999</v>
      </c>
      <c r="H6652" s="38">
        <f>SUM(G6652:G6652)</f>
        <v>21.346499999999999</v>
      </c>
      <c r="I6652" s="39"/>
      <c r="J6652" s="148">
        <v>0</v>
      </c>
      <c r="K6652" s="222">
        <v>0</v>
      </c>
    </row>
    <row r="6653" spans="1:11" ht="15.75" hidden="1" thickBot="1" x14ac:dyDescent="0.3">
      <c r="A6653" s="209"/>
      <c r="B6653" s="206"/>
      <c r="C6653" s="54"/>
      <c r="D6653" s="54"/>
      <c r="E6653" s="65"/>
      <c r="F6653" s="66" t="s">
        <v>514</v>
      </c>
      <c r="G6653" s="66" t="str">
        <f t="shared" si="136"/>
        <v/>
      </c>
      <c r="H6653" s="68"/>
      <c r="I6653" s="30"/>
      <c r="J6653" s="148">
        <v>0</v>
      </c>
      <c r="K6653" s="222">
        <v>0</v>
      </c>
    </row>
    <row r="6654" spans="1:11" ht="15.75" hidden="1" thickBot="1" x14ac:dyDescent="0.3">
      <c r="A6654" s="202" t="s">
        <v>6999</v>
      </c>
      <c r="B6654" s="204" t="str">
        <f>INDEX(Orçamentária!A:B,MATCH(Composições!A6654,Orçamentária!A:A,0),2)</f>
        <v>Terminal de Ventilação PVC - 50 mm</v>
      </c>
      <c r="C6654" s="40"/>
      <c r="D6654" s="25" t="str">
        <f>TRIM(INDEX(Orçamentária!C:C,MATCH(Composições!A6654,Orçamentária!A:A,0),1))</f>
        <v>un</v>
      </c>
      <c r="E6654" s="26"/>
      <c r="F6654" s="41" t="s">
        <v>514</v>
      </c>
      <c r="G6654" s="27" t="str">
        <f t="shared" si="136"/>
        <v/>
      </c>
      <c r="H6654" s="28"/>
      <c r="I6654" s="29"/>
      <c r="J6654" s="148">
        <v>0</v>
      </c>
      <c r="K6654" s="222">
        <v>0</v>
      </c>
    </row>
    <row r="6655" spans="1:11" hidden="1" x14ac:dyDescent="0.25">
      <c r="A6655" s="203"/>
      <c r="B6655" s="205"/>
      <c r="C6655" s="31"/>
      <c r="D6655" s="31"/>
      <c r="E6655" s="32"/>
      <c r="F6655" s="42" t="s">
        <v>514</v>
      </c>
      <c r="G6655" s="30" t="str">
        <f t="shared" si="136"/>
        <v/>
      </c>
      <c r="H6655" s="34"/>
      <c r="I6655" s="30"/>
      <c r="J6655" s="148">
        <v>0</v>
      </c>
      <c r="K6655" s="222">
        <v>0</v>
      </c>
    </row>
    <row r="6656" spans="1:11" ht="25.5" hidden="1" x14ac:dyDescent="0.25">
      <c r="A6656" s="203"/>
      <c r="B6656" s="205"/>
      <c r="C6656" s="35" t="s">
        <v>7709</v>
      </c>
      <c r="D6656" s="46" t="s">
        <v>20</v>
      </c>
      <c r="E6656" s="36">
        <v>1</v>
      </c>
      <c r="F6656" s="30">
        <v>8.3314999999999984</v>
      </c>
      <c r="G6656" s="30">
        <f t="shared" si="136"/>
        <v>8.3314999999999984</v>
      </c>
      <c r="H6656" s="38">
        <f>SUM(G6656:G6656)</f>
        <v>8.3314999999999984</v>
      </c>
      <c r="I6656" s="39"/>
      <c r="J6656" s="148">
        <v>0</v>
      </c>
      <c r="K6656" s="222">
        <v>0</v>
      </c>
    </row>
    <row r="6657" spans="1:11" ht="15.75" hidden="1" thickBot="1" x14ac:dyDescent="0.3">
      <c r="A6657" s="209"/>
      <c r="B6657" s="206"/>
      <c r="C6657" s="54"/>
      <c r="D6657" s="54"/>
      <c r="E6657" s="65"/>
      <c r="F6657" s="66" t="s">
        <v>514</v>
      </c>
      <c r="G6657" s="66" t="str">
        <f t="shared" si="136"/>
        <v/>
      </c>
      <c r="H6657" s="68"/>
      <c r="I6657" s="30"/>
      <c r="J6657" s="148">
        <v>0</v>
      </c>
      <c r="K6657" s="222">
        <v>0</v>
      </c>
    </row>
    <row r="6658" spans="1:11" ht="15.75" hidden="1" thickBot="1" x14ac:dyDescent="0.3">
      <c r="A6658" s="202" t="s">
        <v>7001</v>
      </c>
      <c r="B6658" s="204" t="str">
        <f>INDEX(Orçamentária!A:B,MATCH(Composições!A6658,Orçamentária!A:A,0),2)</f>
        <v>Terminal de Ventilação PVC - 75 mm</v>
      </c>
      <c r="C6658" s="40"/>
      <c r="D6658" s="25" t="str">
        <f>TRIM(INDEX(Orçamentária!C:C,MATCH(Composições!A6658,Orçamentária!A:A,0),1))</f>
        <v>un</v>
      </c>
      <c r="E6658" s="26"/>
      <c r="F6658" s="41" t="s">
        <v>514</v>
      </c>
      <c r="G6658" s="27" t="str">
        <f t="shared" si="136"/>
        <v/>
      </c>
      <c r="H6658" s="28"/>
      <c r="I6658" s="29"/>
      <c r="J6658" s="148">
        <v>0</v>
      </c>
      <c r="K6658" s="222">
        <v>0</v>
      </c>
    </row>
    <row r="6659" spans="1:11" hidden="1" x14ac:dyDescent="0.25">
      <c r="A6659" s="203"/>
      <c r="B6659" s="205"/>
      <c r="C6659" s="31"/>
      <c r="D6659" s="31"/>
      <c r="E6659" s="32"/>
      <c r="F6659" s="42" t="s">
        <v>514</v>
      </c>
      <c r="G6659" s="30" t="str">
        <f t="shared" si="136"/>
        <v/>
      </c>
      <c r="H6659" s="34"/>
      <c r="I6659" s="30"/>
      <c r="J6659" s="148">
        <v>0</v>
      </c>
      <c r="K6659" s="222">
        <v>0</v>
      </c>
    </row>
    <row r="6660" spans="1:11" ht="25.5" hidden="1" x14ac:dyDescent="0.25">
      <c r="A6660" s="203"/>
      <c r="B6660" s="205"/>
      <c r="C6660" s="35" t="s">
        <v>7710</v>
      </c>
      <c r="D6660" s="46" t="s">
        <v>20</v>
      </c>
      <c r="E6660" s="36">
        <v>1</v>
      </c>
      <c r="F6660" s="30">
        <v>13.850999999999999</v>
      </c>
      <c r="G6660" s="30">
        <f t="shared" si="136"/>
        <v>13.850999999999999</v>
      </c>
      <c r="H6660" s="38">
        <f>SUM(G6660:G6660)</f>
        <v>13.850999999999999</v>
      </c>
      <c r="I6660" s="39"/>
      <c r="J6660" s="148">
        <v>0</v>
      </c>
      <c r="K6660" s="222">
        <v>0</v>
      </c>
    </row>
    <row r="6661" spans="1:11" ht="15.75" hidden="1" thickBot="1" x14ac:dyDescent="0.3">
      <c r="A6661" s="209"/>
      <c r="B6661" s="206"/>
      <c r="C6661" s="54"/>
      <c r="D6661" s="54"/>
      <c r="E6661" s="65"/>
      <c r="F6661" s="66" t="s">
        <v>514</v>
      </c>
      <c r="G6661" s="66" t="str">
        <f t="shared" si="136"/>
        <v/>
      </c>
      <c r="H6661" s="68"/>
      <c r="I6661" s="30"/>
      <c r="J6661" s="148">
        <v>0</v>
      </c>
      <c r="K6661" s="222">
        <v>0</v>
      </c>
    </row>
    <row r="6662" spans="1:11" ht="15.75" hidden="1" thickBot="1" x14ac:dyDescent="0.3">
      <c r="A6662" s="202" t="s">
        <v>7005</v>
      </c>
      <c r="B6662" s="204" t="str">
        <f>INDEX(Orçamentária!A:B,MATCH(Composições!A6662,Orçamentária!A:A,0),2)</f>
        <v>Torneira de Bóia Com Balão Plástico 1 1/2”</v>
      </c>
      <c r="C6662" s="40"/>
      <c r="D6662" s="25" t="str">
        <f>TRIM(INDEX(Orçamentária!C:C,MATCH(Composições!A6662,Orçamentária!A:A,0),1))</f>
        <v>un</v>
      </c>
      <c r="E6662" s="26"/>
      <c r="F6662" s="41" t="s">
        <v>514</v>
      </c>
      <c r="G6662" s="27" t="str">
        <f t="shared" si="136"/>
        <v/>
      </c>
      <c r="H6662" s="28"/>
      <c r="I6662" s="29"/>
      <c r="J6662" s="148">
        <v>0</v>
      </c>
      <c r="K6662" s="222">
        <v>0</v>
      </c>
    </row>
    <row r="6663" spans="1:11" hidden="1" x14ac:dyDescent="0.25">
      <c r="A6663" s="203"/>
      <c r="B6663" s="205"/>
      <c r="C6663" s="31"/>
      <c r="D6663" s="31"/>
      <c r="E6663" s="32"/>
      <c r="F6663" s="42" t="s">
        <v>514</v>
      </c>
      <c r="G6663" s="30" t="str">
        <f t="shared" si="136"/>
        <v/>
      </c>
      <c r="H6663" s="34"/>
      <c r="I6663" s="30"/>
      <c r="J6663" s="148">
        <v>0</v>
      </c>
      <c r="K6663" s="222">
        <v>0</v>
      </c>
    </row>
    <row r="6664" spans="1:11" ht="38.25" hidden="1" x14ac:dyDescent="0.25">
      <c r="A6664" s="203"/>
      <c r="B6664" s="205"/>
      <c r="C6664" s="35" t="s">
        <v>7711</v>
      </c>
      <c r="D6664" s="46" t="s">
        <v>20</v>
      </c>
      <c r="E6664" s="36">
        <v>1</v>
      </c>
      <c r="F6664" s="30">
        <v>414.91249999999997</v>
      </c>
      <c r="G6664" s="30">
        <f t="shared" si="136"/>
        <v>414.91249999999997</v>
      </c>
      <c r="H6664" s="38">
        <f>SUM(G6664:G6664)</f>
        <v>414.91249999999997</v>
      </c>
      <c r="I6664" s="39"/>
      <c r="J6664" s="148">
        <v>0</v>
      </c>
      <c r="K6664" s="222">
        <v>0</v>
      </c>
    </row>
    <row r="6665" spans="1:11" ht="15.75" hidden="1" thickBot="1" x14ac:dyDescent="0.3">
      <c r="A6665" s="209"/>
      <c r="B6665" s="206"/>
      <c r="C6665" s="54"/>
      <c r="D6665" s="54"/>
      <c r="E6665" s="65"/>
      <c r="F6665" s="66" t="s">
        <v>514</v>
      </c>
      <c r="G6665" s="66" t="str">
        <f t="shared" si="136"/>
        <v/>
      </c>
      <c r="H6665" s="68"/>
      <c r="I6665" s="30"/>
      <c r="J6665" s="148">
        <v>0</v>
      </c>
      <c r="K6665" s="222">
        <v>0</v>
      </c>
    </row>
    <row r="6666" spans="1:11" ht="15.75" hidden="1" thickBot="1" x14ac:dyDescent="0.3">
      <c r="A6666" s="202" t="s">
        <v>7007</v>
      </c>
      <c r="B6666" s="204" t="str">
        <f>INDEX(Orçamentária!A:B,MATCH(Composições!A6666,Orçamentária!A:A,0),2)</f>
        <v>Torneira de Bóia Com Balão Plástico 1 1/4”</v>
      </c>
      <c r="C6666" s="40"/>
      <c r="D6666" s="25" t="str">
        <f>TRIM(INDEX(Orçamentária!C:C,MATCH(Composições!A6666,Orçamentária!A:A,0),1))</f>
        <v>un</v>
      </c>
      <c r="E6666" s="26"/>
      <c r="F6666" s="41" t="s">
        <v>514</v>
      </c>
      <c r="G6666" s="27" t="str">
        <f t="shared" si="136"/>
        <v/>
      </c>
      <c r="H6666" s="28"/>
      <c r="I6666" s="29"/>
      <c r="J6666" s="148">
        <v>0</v>
      </c>
      <c r="K6666" s="222">
        <v>0</v>
      </c>
    </row>
    <row r="6667" spans="1:11" hidden="1" x14ac:dyDescent="0.25">
      <c r="A6667" s="203"/>
      <c r="B6667" s="205"/>
      <c r="C6667" s="31"/>
      <c r="D6667" s="31"/>
      <c r="E6667" s="32"/>
      <c r="F6667" s="42" t="s">
        <v>514</v>
      </c>
      <c r="G6667" s="30" t="str">
        <f t="shared" si="136"/>
        <v/>
      </c>
      <c r="H6667" s="34"/>
      <c r="I6667" s="30"/>
      <c r="J6667" s="148">
        <v>0</v>
      </c>
      <c r="K6667" s="222">
        <v>0</v>
      </c>
    </row>
    <row r="6668" spans="1:11" ht="38.25" hidden="1" x14ac:dyDescent="0.25">
      <c r="A6668" s="203"/>
      <c r="B6668" s="205"/>
      <c r="C6668" s="35" t="s">
        <v>7712</v>
      </c>
      <c r="D6668" s="46" t="s">
        <v>20</v>
      </c>
      <c r="E6668" s="36">
        <v>1</v>
      </c>
      <c r="F6668" s="30">
        <v>340.41349999999994</v>
      </c>
      <c r="G6668" s="30">
        <f t="shared" si="136"/>
        <v>340.41349999999994</v>
      </c>
      <c r="H6668" s="38">
        <f>SUM(G6668:G6668)</f>
        <v>340.41349999999994</v>
      </c>
      <c r="I6668" s="39"/>
      <c r="J6668" s="148">
        <v>0</v>
      </c>
      <c r="K6668" s="222">
        <v>0</v>
      </c>
    </row>
    <row r="6669" spans="1:11" ht="15.75" hidden="1" thickBot="1" x14ac:dyDescent="0.3">
      <c r="A6669" s="209"/>
      <c r="B6669" s="206"/>
      <c r="C6669" s="54"/>
      <c r="D6669" s="54"/>
      <c r="E6669" s="65"/>
      <c r="F6669" s="66" t="s">
        <v>514</v>
      </c>
      <c r="G6669" s="66" t="str">
        <f t="shared" si="136"/>
        <v/>
      </c>
      <c r="H6669" s="68"/>
      <c r="I6669" s="30"/>
      <c r="J6669" s="148">
        <v>0</v>
      </c>
      <c r="K6669" s="222">
        <v>0</v>
      </c>
    </row>
    <row r="6670" spans="1:11" ht="15.75" hidden="1" thickBot="1" x14ac:dyDescent="0.3">
      <c r="A6670" s="202" t="s">
        <v>7009</v>
      </c>
      <c r="B6670" s="204" t="str">
        <f>INDEX(Orçamentária!A:B,MATCH(Composições!A6670,Orçamentária!A:A,0),2)</f>
        <v>Torneira de Bóia Com Balão Plástico 1”</v>
      </c>
      <c r="C6670" s="40"/>
      <c r="D6670" s="25" t="str">
        <f>TRIM(INDEX(Orçamentária!C:C,MATCH(Composições!A6670,Orçamentária!A:A,0),1))</f>
        <v>un</v>
      </c>
      <c r="E6670" s="26"/>
      <c r="F6670" s="41" t="s">
        <v>514</v>
      </c>
      <c r="G6670" s="27" t="str">
        <f t="shared" si="136"/>
        <v/>
      </c>
      <c r="H6670" s="28"/>
      <c r="I6670" s="29"/>
      <c r="J6670" s="148">
        <v>0</v>
      </c>
      <c r="K6670" s="222">
        <v>0</v>
      </c>
    </row>
    <row r="6671" spans="1:11" hidden="1" x14ac:dyDescent="0.25">
      <c r="A6671" s="203"/>
      <c r="B6671" s="205"/>
      <c r="C6671" s="31"/>
      <c r="D6671" s="31"/>
      <c r="E6671" s="32"/>
      <c r="F6671" s="42" t="s">
        <v>514</v>
      </c>
      <c r="G6671" s="30" t="str">
        <f t="shared" si="136"/>
        <v/>
      </c>
      <c r="H6671" s="34"/>
      <c r="I6671" s="30"/>
      <c r="J6671" s="148">
        <v>0</v>
      </c>
      <c r="K6671" s="222">
        <v>0</v>
      </c>
    </row>
    <row r="6672" spans="1:11" ht="25.5" hidden="1" x14ac:dyDescent="0.25">
      <c r="A6672" s="203"/>
      <c r="B6672" s="205"/>
      <c r="C6672" s="35" t="s">
        <v>7714</v>
      </c>
      <c r="D6672" s="46" t="s">
        <v>20</v>
      </c>
      <c r="E6672" s="36">
        <v>1</v>
      </c>
      <c r="F6672" s="30">
        <v>199.87049999999996</v>
      </c>
      <c r="G6672" s="30">
        <f t="shared" si="136"/>
        <v>199.87049999999996</v>
      </c>
      <c r="H6672" s="38">
        <f>SUM(G6672:G6672)</f>
        <v>199.87049999999996</v>
      </c>
      <c r="I6672" s="39"/>
      <c r="J6672" s="148">
        <v>0</v>
      </c>
      <c r="K6672" s="222">
        <v>0</v>
      </c>
    </row>
    <row r="6673" spans="1:11" ht="15.75" hidden="1" thickBot="1" x14ac:dyDescent="0.3">
      <c r="A6673" s="209"/>
      <c r="B6673" s="206"/>
      <c r="C6673" s="54"/>
      <c r="D6673" s="54"/>
      <c r="E6673" s="65"/>
      <c r="F6673" s="66" t="s">
        <v>514</v>
      </c>
      <c r="G6673" s="66" t="str">
        <f t="shared" si="136"/>
        <v/>
      </c>
      <c r="H6673" s="68"/>
      <c r="I6673" s="30"/>
      <c r="J6673" s="148">
        <v>0</v>
      </c>
      <c r="K6673" s="222">
        <v>0</v>
      </c>
    </row>
    <row r="6674" spans="1:11" ht="15.75" hidden="1" thickBot="1" x14ac:dyDescent="0.3">
      <c r="A6674" s="202" t="s">
        <v>7011</v>
      </c>
      <c r="B6674" s="204" t="str">
        <f>INDEX(Orçamentária!A:B,MATCH(Composições!A6674,Orçamentária!A:A,0),2)</f>
        <v>Torneira de Bóia Com Balão Plástico 2”</v>
      </c>
      <c r="C6674" s="40"/>
      <c r="D6674" s="25" t="str">
        <f>TRIM(INDEX(Orçamentária!C:C,MATCH(Composições!A6674,Orçamentária!A:A,0),1))</f>
        <v>un</v>
      </c>
      <c r="E6674" s="26"/>
      <c r="F6674" s="41" t="s">
        <v>514</v>
      </c>
      <c r="G6674" s="27" t="str">
        <f t="shared" si="136"/>
        <v/>
      </c>
      <c r="H6674" s="28"/>
      <c r="I6674" s="29"/>
      <c r="J6674" s="148">
        <v>0</v>
      </c>
      <c r="K6674" s="222">
        <v>0</v>
      </c>
    </row>
    <row r="6675" spans="1:11" hidden="1" x14ac:dyDescent="0.25">
      <c r="A6675" s="203"/>
      <c r="B6675" s="205"/>
      <c r="C6675" s="31"/>
      <c r="D6675" s="31"/>
      <c r="E6675" s="32"/>
      <c r="F6675" s="42" t="s">
        <v>514</v>
      </c>
      <c r="G6675" s="30" t="str">
        <f t="shared" si="136"/>
        <v/>
      </c>
      <c r="H6675" s="34"/>
      <c r="I6675" s="30"/>
      <c r="J6675" s="148">
        <v>0</v>
      </c>
      <c r="K6675" s="222">
        <v>0</v>
      </c>
    </row>
    <row r="6676" spans="1:11" ht="25.5" hidden="1" x14ac:dyDescent="0.25">
      <c r="A6676" s="203"/>
      <c r="B6676" s="205"/>
      <c r="C6676" s="35" t="s">
        <v>7715</v>
      </c>
      <c r="D6676" s="46" t="s">
        <v>20</v>
      </c>
      <c r="E6676" s="36">
        <v>1</v>
      </c>
      <c r="F6676" s="30">
        <v>532.35149999999999</v>
      </c>
      <c r="G6676" s="30">
        <f t="shared" si="136"/>
        <v>532.35149999999999</v>
      </c>
      <c r="H6676" s="38">
        <f>SUM(G6676:G6676)</f>
        <v>532.35149999999999</v>
      </c>
      <c r="I6676" s="39"/>
      <c r="J6676" s="148">
        <v>0</v>
      </c>
      <c r="K6676" s="222">
        <v>0</v>
      </c>
    </row>
    <row r="6677" spans="1:11" ht="15.75" hidden="1" thickBot="1" x14ac:dyDescent="0.3">
      <c r="A6677" s="209"/>
      <c r="B6677" s="206"/>
      <c r="C6677" s="54"/>
      <c r="D6677" s="54"/>
      <c r="E6677" s="65"/>
      <c r="F6677" s="66" t="s">
        <v>514</v>
      </c>
      <c r="G6677" s="66" t="str">
        <f t="shared" si="136"/>
        <v/>
      </c>
      <c r="H6677" s="68"/>
      <c r="I6677" s="30"/>
      <c r="J6677" s="148">
        <v>0</v>
      </c>
      <c r="K6677" s="222">
        <v>0</v>
      </c>
    </row>
    <row r="6678" spans="1:11" ht="15.75" hidden="1" thickBot="1" x14ac:dyDescent="0.3">
      <c r="A6678" s="202" t="s">
        <v>7013</v>
      </c>
      <c r="B6678" s="204" t="str">
        <f>INDEX(Orçamentária!A:B,MATCH(Composições!A6678,Orçamentária!A:A,0),2)</f>
        <v>Torneira de Bóia Com Balão Plástico 3/4”</v>
      </c>
      <c r="C6678" s="40"/>
      <c r="D6678" s="25" t="str">
        <f>TRIM(INDEX(Orçamentária!C:C,MATCH(Composições!A6678,Orçamentária!A:A,0),1))</f>
        <v>un</v>
      </c>
      <c r="E6678" s="26"/>
      <c r="F6678" s="41" t="s">
        <v>514</v>
      </c>
      <c r="G6678" s="27" t="str">
        <f t="shared" si="136"/>
        <v/>
      </c>
      <c r="H6678" s="28"/>
      <c r="I6678" s="29"/>
      <c r="J6678" s="148">
        <v>0</v>
      </c>
      <c r="K6678" s="222">
        <v>0</v>
      </c>
    </row>
    <row r="6679" spans="1:11" hidden="1" x14ac:dyDescent="0.25">
      <c r="A6679" s="203"/>
      <c r="B6679" s="205"/>
      <c r="C6679" s="31"/>
      <c r="D6679" s="31"/>
      <c r="E6679" s="32"/>
      <c r="F6679" s="42" t="s">
        <v>514</v>
      </c>
      <c r="G6679" s="30" t="str">
        <f t="shared" si="136"/>
        <v/>
      </c>
      <c r="H6679" s="34"/>
      <c r="I6679" s="30"/>
      <c r="J6679" s="148">
        <v>0</v>
      </c>
      <c r="K6679" s="222">
        <v>0</v>
      </c>
    </row>
    <row r="6680" spans="1:11" ht="25.5" hidden="1" x14ac:dyDescent="0.25">
      <c r="A6680" s="203"/>
      <c r="B6680" s="205"/>
      <c r="C6680" s="35" t="s">
        <v>7713</v>
      </c>
      <c r="D6680" s="46" t="s">
        <v>20</v>
      </c>
      <c r="E6680" s="36">
        <v>1</v>
      </c>
      <c r="F6680" s="30">
        <v>88.843999999999994</v>
      </c>
      <c r="G6680" s="30">
        <f t="shared" si="136"/>
        <v>88.843999999999994</v>
      </c>
      <c r="H6680" s="38">
        <f>SUM(G6680:G6680)</f>
        <v>88.843999999999994</v>
      </c>
      <c r="I6680" s="39"/>
      <c r="J6680" s="148">
        <v>0</v>
      </c>
      <c r="K6680" s="222">
        <v>0</v>
      </c>
    </row>
    <row r="6681" spans="1:11" ht="15.75" hidden="1" thickBot="1" x14ac:dyDescent="0.3">
      <c r="A6681" s="209"/>
      <c r="B6681" s="206"/>
      <c r="C6681" s="54"/>
      <c r="D6681" s="54"/>
      <c r="E6681" s="65"/>
      <c r="F6681" s="66" t="s">
        <v>514</v>
      </c>
      <c r="G6681" s="66" t="str">
        <f t="shared" si="136"/>
        <v/>
      </c>
      <c r="H6681" s="68"/>
      <c r="I6681" s="30"/>
      <c r="J6681" s="148">
        <v>0</v>
      </c>
      <c r="K6681" s="222">
        <v>0</v>
      </c>
    </row>
    <row r="6682" spans="1:11" ht="15.75" hidden="1" thickBot="1" x14ac:dyDescent="0.3">
      <c r="A6682" s="202" t="s">
        <v>7021</v>
      </c>
      <c r="B6682" s="204" t="str">
        <f>INDEX(Orçamentária!A:B,MATCH(Composições!A6682,Orçamentária!A:A,0),2)</f>
        <v>Tubo de cobre classe “E” 22mm</v>
      </c>
      <c r="C6682" s="40"/>
      <c r="D6682" s="25" t="str">
        <f>TRIM(INDEX(Orçamentária!C:C,MATCH(Composições!A6682,Orçamentária!A:A,0),1))</f>
        <v>m</v>
      </c>
      <c r="E6682" s="26"/>
      <c r="F6682" s="41" t="s">
        <v>514</v>
      </c>
      <c r="G6682" s="27" t="str">
        <f t="shared" si="136"/>
        <v/>
      </c>
      <c r="H6682" s="28"/>
      <c r="I6682" s="29"/>
      <c r="J6682" s="148">
        <v>0</v>
      </c>
      <c r="K6682" s="222">
        <v>0</v>
      </c>
    </row>
    <row r="6683" spans="1:11" hidden="1" x14ac:dyDescent="0.25">
      <c r="A6683" s="203"/>
      <c r="B6683" s="205"/>
      <c r="C6683" s="31"/>
      <c r="D6683" s="31"/>
      <c r="E6683" s="32"/>
      <c r="F6683" s="42" t="s">
        <v>514</v>
      </c>
      <c r="G6683" s="30" t="str">
        <f t="shared" si="136"/>
        <v/>
      </c>
      <c r="H6683" s="34"/>
      <c r="I6683" s="30"/>
      <c r="J6683" s="148">
        <v>0</v>
      </c>
      <c r="K6683" s="222">
        <v>0</v>
      </c>
    </row>
    <row r="6684" spans="1:11" ht="25.5" hidden="1" x14ac:dyDescent="0.25">
      <c r="A6684" s="203"/>
      <c r="B6684" s="205"/>
      <c r="C6684" s="35" t="s">
        <v>942</v>
      </c>
      <c r="D6684" s="46" t="s">
        <v>92</v>
      </c>
      <c r="E6684" s="36">
        <v>1</v>
      </c>
      <c r="F6684" s="30">
        <v>56.087999999999994</v>
      </c>
      <c r="G6684" s="30">
        <f t="shared" si="136"/>
        <v>56.087999999999994</v>
      </c>
      <c r="H6684" s="38">
        <f t="shared" ref="H6684" si="137">SUM(G6684:G6684)</f>
        <v>56.087999999999994</v>
      </c>
      <c r="I6684" s="39"/>
      <c r="J6684" s="148">
        <v>0</v>
      </c>
      <c r="K6684" s="222">
        <v>0</v>
      </c>
    </row>
    <row r="6685" spans="1:11" ht="15.75" hidden="1" thickBot="1" x14ac:dyDescent="0.3">
      <c r="A6685" s="209"/>
      <c r="B6685" s="206"/>
      <c r="C6685" s="54"/>
      <c r="D6685" s="54"/>
      <c r="E6685" s="65"/>
      <c r="F6685" s="66" t="s">
        <v>514</v>
      </c>
      <c r="G6685" s="66" t="str">
        <f t="shared" si="136"/>
        <v/>
      </c>
      <c r="H6685" s="68"/>
      <c r="I6685" s="30"/>
      <c r="J6685" s="148">
        <v>0</v>
      </c>
      <c r="K6685" s="222">
        <v>0</v>
      </c>
    </row>
    <row r="6686" spans="1:11" ht="15.75" hidden="1" thickBot="1" x14ac:dyDescent="0.3">
      <c r="A6686" s="202" t="s">
        <v>7023</v>
      </c>
      <c r="B6686" s="204" t="str">
        <f>INDEX(Orçamentária!A:B,MATCH(Composições!A6686,Orçamentária!A:A,0),2)</f>
        <v>Tubo de cobre classe “E” 28 mm</v>
      </c>
      <c r="C6686" s="40"/>
      <c r="D6686" s="25" t="str">
        <f>TRIM(INDEX(Orçamentária!C:C,MATCH(Composições!A6686,Orçamentária!A:A,0),1))</f>
        <v>m</v>
      </c>
      <c r="E6686" s="26"/>
      <c r="F6686" s="41" t="s">
        <v>514</v>
      </c>
      <c r="G6686" s="27" t="str">
        <f t="shared" si="136"/>
        <v/>
      </c>
      <c r="H6686" s="28"/>
      <c r="I6686" s="29"/>
      <c r="J6686" s="148">
        <v>0</v>
      </c>
      <c r="K6686" s="222">
        <v>0</v>
      </c>
    </row>
    <row r="6687" spans="1:11" hidden="1" x14ac:dyDescent="0.25">
      <c r="A6687" s="203"/>
      <c r="B6687" s="205"/>
      <c r="C6687" s="31"/>
      <c r="D6687" s="31"/>
      <c r="E6687" s="32"/>
      <c r="F6687" s="42" t="s">
        <v>514</v>
      </c>
      <c r="G6687" s="30" t="str">
        <f t="shared" si="136"/>
        <v/>
      </c>
      <c r="H6687" s="34"/>
      <c r="I6687" s="30"/>
      <c r="J6687" s="148">
        <v>0</v>
      </c>
      <c r="K6687" s="222">
        <v>0</v>
      </c>
    </row>
    <row r="6688" spans="1:11" ht="25.5" hidden="1" x14ac:dyDescent="0.25">
      <c r="A6688" s="203"/>
      <c r="B6688" s="205"/>
      <c r="C6688" s="35" t="s">
        <v>946</v>
      </c>
      <c r="D6688" s="46" t="s">
        <v>92</v>
      </c>
      <c r="E6688" s="36">
        <v>1</v>
      </c>
      <c r="F6688" s="30">
        <v>71.183500000000009</v>
      </c>
      <c r="G6688" s="30">
        <f t="shared" si="136"/>
        <v>71.183500000000009</v>
      </c>
      <c r="H6688" s="38">
        <f t="shared" ref="H6688" si="138">SUM(G6688:G6688)</f>
        <v>71.183500000000009</v>
      </c>
      <c r="I6688" s="39"/>
      <c r="J6688" s="148">
        <v>0</v>
      </c>
      <c r="K6688" s="222">
        <v>0</v>
      </c>
    </row>
    <row r="6689" spans="1:11" ht="15.75" hidden="1" thickBot="1" x14ac:dyDescent="0.3">
      <c r="A6689" s="209"/>
      <c r="B6689" s="206"/>
      <c r="C6689" s="54"/>
      <c r="D6689" s="54"/>
      <c r="E6689" s="65"/>
      <c r="F6689" s="66" t="s">
        <v>514</v>
      </c>
      <c r="G6689" s="66" t="str">
        <f t="shared" si="136"/>
        <v/>
      </c>
      <c r="H6689" s="68"/>
      <c r="I6689" s="30"/>
      <c r="J6689" s="148">
        <v>0</v>
      </c>
      <c r="K6689" s="222">
        <v>0</v>
      </c>
    </row>
    <row r="6690" spans="1:11" ht="15.75" hidden="1" thickBot="1" x14ac:dyDescent="0.3">
      <c r="A6690" s="202" t="s">
        <v>7025</v>
      </c>
      <c r="B6690" s="204" t="str">
        <f>INDEX(Orçamentária!A:B,MATCH(Composições!A6690,Orçamentária!A:A,0),2)</f>
        <v>Tubo de cobre classe “E” 42mm</v>
      </c>
      <c r="C6690" s="40"/>
      <c r="D6690" s="25" t="str">
        <f>TRIM(INDEX(Orçamentária!C:C,MATCH(Composições!A6690,Orçamentária!A:A,0),1))</f>
        <v>m</v>
      </c>
      <c r="E6690" s="26"/>
      <c r="F6690" s="41" t="s">
        <v>514</v>
      </c>
      <c r="G6690" s="27" t="str">
        <f t="shared" si="136"/>
        <v/>
      </c>
      <c r="H6690" s="28"/>
      <c r="I6690" s="29"/>
      <c r="J6690" s="148">
        <v>0</v>
      </c>
      <c r="K6690" s="222">
        <v>0</v>
      </c>
    </row>
    <row r="6691" spans="1:11" hidden="1" x14ac:dyDescent="0.25">
      <c r="A6691" s="203"/>
      <c r="B6691" s="205"/>
      <c r="C6691" s="31"/>
      <c r="D6691" s="31"/>
      <c r="E6691" s="32"/>
      <c r="F6691" s="42" t="s">
        <v>514</v>
      </c>
      <c r="G6691" s="30" t="str">
        <f t="shared" si="136"/>
        <v/>
      </c>
      <c r="H6691" s="34"/>
      <c r="I6691" s="30"/>
      <c r="J6691" s="148">
        <v>0</v>
      </c>
      <c r="K6691" s="222">
        <v>0</v>
      </c>
    </row>
    <row r="6692" spans="1:11" ht="25.5" hidden="1" x14ac:dyDescent="0.25">
      <c r="A6692" s="203"/>
      <c r="B6692" s="205"/>
      <c r="C6692" s="35" t="s">
        <v>948</v>
      </c>
      <c r="D6692" s="46" t="s">
        <v>92</v>
      </c>
      <c r="E6692" s="36">
        <v>1</v>
      </c>
      <c r="F6692" s="30">
        <v>139.58349999999999</v>
      </c>
      <c r="G6692" s="30">
        <f t="shared" si="136"/>
        <v>139.58349999999999</v>
      </c>
      <c r="H6692" s="38">
        <f t="shared" ref="H6692" si="139">SUM(G6692:G6692)</f>
        <v>139.58349999999999</v>
      </c>
      <c r="I6692" s="39"/>
      <c r="J6692" s="148">
        <v>0</v>
      </c>
      <c r="K6692" s="222">
        <v>0</v>
      </c>
    </row>
    <row r="6693" spans="1:11" ht="15.75" hidden="1" thickBot="1" x14ac:dyDescent="0.3">
      <c r="A6693" s="209"/>
      <c r="B6693" s="206"/>
      <c r="C6693" s="54"/>
      <c r="D6693" s="54"/>
      <c r="E6693" s="65"/>
      <c r="F6693" s="66" t="s">
        <v>514</v>
      </c>
      <c r="G6693" s="66" t="str">
        <f t="shared" si="136"/>
        <v/>
      </c>
      <c r="H6693" s="68"/>
      <c r="I6693" s="30"/>
      <c r="J6693" s="148">
        <v>0</v>
      </c>
      <c r="K6693" s="222">
        <v>0</v>
      </c>
    </row>
    <row r="6694" spans="1:11" ht="15.75" hidden="1" thickBot="1" x14ac:dyDescent="0.3">
      <c r="A6694" s="202" t="s">
        <v>7027</v>
      </c>
      <c r="B6694" s="204" t="str">
        <f>INDEX(Orçamentária!A:B,MATCH(Composições!A6694,Orçamentária!A:A,0),2)</f>
        <v>Tubo de cobre classe “E” 35mm</v>
      </c>
      <c r="C6694" s="40"/>
      <c r="D6694" s="25" t="str">
        <f>TRIM(INDEX(Orçamentária!C:C,MATCH(Composições!A6694,Orçamentária!A:A,0),1))</f>
        <v>m</v>
      </c>
      <c r="E6694" s="26"/>
      <c r="F6694" s="41" t="s">
        <v>514</v>
      </c>
      <c r="G6694" s="27" t="str">
        <f t="shared" si="136"/>
        <v/>
      </c>
      <c r="H6694" s="28"/>
      <c r="I6694" s="29"/>
      <c r="J6694" s="148">
        <v>0</v>
      </c>
      <c r="K6694" s="222">
        <v>0</v>
      </c>
    </row>
    <row r="6695" spans="1:11" hidden="1" x14ac:dyDescent="0.25">
      <c r="A6695" s="203"/>
      <c r="B6695" s="205"/>
      <c r="C6695" s="31"/>
      <c r="D6695" s="31"/>
      <c r="E6695" s="32"/>
      <c r="F6695" s="42" t="s">
        <v>514</v>
      </c>
      <c r="G6695" s="30" t="str">
        <f t="shared" si="136"/>
        <v/>
      </c>
      <c r="H6695" s="34"/>
      <c r="I6695" s="30"/>
      <c r="J6695" s="148">
        <v>0</v>
      </c>
      <c r="K6695" s="222">
        <v>0</v>
      </c>
    </row>
    <row r="6696" spans="1:11" ht="25.5" hidden="1" x14ac:dyDescent="0.25">
      <c r="A6696" s="203"/>
      <c r="B6696" s="205"/>
      <c r="C6696" s="35" t="s">
        <v>7720</v>
      </c>
      <c r="D6696" s="46" t="s">
        <v>92</v>
      </c>
      <c r="E6696" s="36">
        <v>1</v>
      </c>
      <c r="F6696" s="30">
        <v>103.3695</v>
      </c>
      <c r="G6696" s="30">
        <f t="shared" si="136"/>
        <v>103.3695</v>
      </c>
      <c r="H6696" s="38">
        <f t="shared" ref="H6696" si="140">SUM(G6696:G6696)</f>
        <v>103.3695</v>
      </c>
      <c r="I6696" s="39"/>
      <c r="J6696" s="148">
        <v>0</v>
      </c>
      <c r="K6696" s="222">
        <v>0</v>
      </c>
    </row>
    <row r="6697" spans="1:11" ht="15.75" hidden="1" thickBot="1" x14ac:dyDescent="0.3">
      <c r="A6697" s="209"/>
      <c r="B6697" s="206"/>
      <c r="C6697" s="54"/>
      <c r="D6697" s="54"/>
      <c r="E6697" s="65"/>
      <c r="F6697" s="66" t="s">
        <v>514</v>
      </c>
      <c r="G6697" s="66" t="str">
        <f t="shared" si="136"/>
        <v/>
      </c>
      <c r="H6697" s="68"/>
      <c r="I6697" s="30"/>
      <c r="J6697" s="148">
        <v>0</v>
      </c>
      <c r="K6697" s="222">
        <v>0</v>
      </c>
    </row>
    <row r="6698" spans="1:11" ht="15.75" hidden="1" thickBot="1" x14ac:dyDescent="0.3">
      <c r="A6698" s="202" t="s">
        <v>7029</v>
      </c>
      <c r="B6698" s="204" t="str">
        <f>INDEX(Orçamentária!A:B,MATCH(Composições!A6698,Orçamentária!A:A,0),2)</f>
        <v>Tubo de cobre classe “E” 54mm</v>
      </c>
      <c r="C6698" s="40"/>
      <c r="D6698" s="25" t="str">
        <f>TRIM(INDEX(Orçamentária!C:C,MATCH(Composições!A6698,Orçamentária!A:A,0),1))</f>
        <v>m</v>
      </c>
      <c r="E6698" s="26"/>
      <c r="F6698" s="41" t="s">
        <v>514</v>
      </c>
      <c r="G6698" s="27" t="str">
        <f t="shared" si="136"/>
        <v/>
      </c>
      <c r="H6698" s="28"/>
      <c r="I6698" s="29"/>
      <c r="J6698" s="148">
        <v>0</v>
      </c>
      <c r="K6698" s="222">
        <v>0</v>
      </c>
    </row>
    <row r="6699" spans="1:11" hidden="1" x14ac:dyDescent="0.25">
      <c r="A6699" s="203"/>
      <c r="B6699" s="205"/>
      <c r="C6699" s="31"/>
      <c r="D6699" s="31"/>
      <c r="E6699" s="32"/>
      <c r="F6699" s="42" t="s">
        <v>514</v>
      </c>
      <c r="G6699" s="30" t="str">
        <f t="shared" si="136"/>
        <v/>
      </c>
      <c r="H6699" s="34"/>
      <c r="I6699" s="30"/>
      <c r="J6699" s="148">
        <v>0</v>
      </c>
      <c r="K6699" s="222">
        <v>0</v>
      </c>
    </row>
    <row r="6700" spans="1:11" ht="25.5" hidden="1" x14ac:dyDescent="0.25">
      <c r="A6700" s="203"/>
      <c r="B6700" s="205"/>
      <c r="C6700" s="35" t="s">
        <v>7721</v>
      </c>
      <c r="D6700" s="46" t="s">
        <v>92</v>
      </c>
      <c r="E6700" s="36">
        <v>1</v>
      </c>
      <c r="F6700" s="30">
        <v>202.43549999999999</v>
      </c>
      <c r="G6700" s="30">
        <f t="shared" si="136"/>
        <v>202.43549999999999</v>
      </c>
      <c r="H6700" s="38">
        <f t="shared" ref="H6700" si="141">SUM(G6700:G6700)</f>
        <v>202.43549999999999</v>
      </c>
      <c r="I6700" s="39"/>
      <c r="J6700" s="148">
        <v>0</v>
      </c>
      <c r="K6700" s="222">
        <v>0</v>
      </c>
    </row>
    <row r="6701" spans="1:11" ht="15.75" hidden="1" thickBot="1" x14ac:dyDescent="0.3">
      <c r="A6701" s="209"/>
      <c r="B6701" s="206"/>
      <c r="C6701" s="54"/>
      <c r="D6701" s="54"/>
      <c r="E6701" s="65"/>
      <c r="F6701" s="66" t="s">
        <v>514</v>
      </c>
      <c r="G6701" s="66" t="str">
        <f t="shared" si="136"/>
        <v/>
      </c>
      <c r="H6701" s="68"/>
      <c r="I6701" s="30"/>
      <c r="J6701" s="148">
        <v>0</v>
      </c>
      <c r="K6701" s="222">
        <v>0</v>
      </c>
    </row>
    <row r="6702" spans="1:11" ht="15.75" hidden="1" thickBot="1" x14ac:dyDescent="0.3">
      <c r="A6702" s="202" t="s">
        <v>7031</v>
      </c>
      <c r="B6702" s="204" t="str">
        <f>INDEX(Orçamentária!A:B,MATCH(Composições!A6702,Orçamentária!A:A,0),2)</f>
        <v>Tubo de cobre classe “E” 66mm</v>
      </c>
      <c r="C6702" s="40"/>
      <c r="D6702" s="25" t="str">
        <f>TRIM(INDEX(Orçamentária!C:C,MATCH(Composições!A6702,Orçamentária!A:A,0),1))</f>
        <v>m</v>
      </c>
      <c r="E6702" s="26"/>
      <c r="F6702" s="41" t="s">
        <v>514</v>
      </c>
      <c r="G6702" s="27" t="str">
        <f t="shared" si="136"/>
        <v/>
      </c>
      <c r="H6702" s="28"/>
      <c r="I6702" s="29"/>
      <c r="J6702" s="148">
        <v>0</v>
      </c>
      <c r="K6702" s="222">
        <v>0</v>
      </c>
    </row>
    <row r="6703" spans="1:11" hidden="1" x14ac:dyDescent="0.25">
      <c r="A6703" s="203"/>
      <c r="B6703" s="205"/>
      <c r="C6703" s="31"/>
      <c r="D6703" s="31"/>
      <c r="E6703" s="32"/>
      <c r="F6703" s="42" t="s">
        <v>514</v>
      </c>
      <c r="G6703" s="30" t="str">
        <f t="shared" si="136"/>
        <v/>
      </c>
      <c r="H6703" s="34"/>
      <c r="I6703" s="30"/>
      <c r="J6703" s="148">
        <v>0</v>
      </c>
      <c r="K6703" s="222">
        <v>0</v>
      </c>
    </row>
    <row r="6704" spans="1:11" ht="25.5" hidden="1" x14ac:dyDescent="0.25">
      <c r="A6704" s="203"/>
      <c r="B6704" s="205"/>
      <c r="C6704" s="35" t="s">
        <v>7722</v>
      </c>
      <c r="D6704" s="46" t="s">
        <v>92</v>
      </c>
      <c r="E6704" s="36">
        <v>1</v>
      </c>
      <c r="F6704" s="30">
        <v>285.19</v>
      </c>
      <c r="G6704" s="30">
        <f t="shared" si="136"/>
        <v>285.19</v>
      </c>
      <c r="H6704" s="38">
        <f t="shared" ref="H6704" si="142">SUM(G6704:G6704)</f>
        <v>285.19</v>
      </c>
      <c r="I6704" s="39"/>
      <c r="J6704" s="148">
        <v>0</v>
      </c>
      <c r="K6704" s="222">
        <v>0</v>
      </c>
    </row>
    <row r="6705" spans="1:11" ht="15.75" hidden="1" thickBot="1" x14ac:dyDescent="0.3">
      <c r="A6705" s="209"/>
      <c r="B6705" s="206"/>
      <c r="C6705" s="54"/>
      <c r="D6705" s="54"/>
      <c r="E6705" s="65"/>
      <c r="F6705" s="66" t="s">
        <v>514</v>
      </c>
      <c r="G6705" s="66" t="str">
        <f t="shared" si="136"/>
        <v/>
      </c>
      <c r="H6705" s="68"/>
      <c r="I6705" s="30"/>
      <c r="J6705" s="148">
        <v>0</v>
      </c>
      <c r="K6705" s="222">
        <v>0</v>
      </c>
    </row>
    <row r="6706" spans="1:11" ht="15.75" hidden="1" thickBot="1" x14ac:dyDescent="0.3">
      <c r="A6706" s="202" t="s">
        <v>7033</v>
      </c>
      <c r="B6706" s="204" t="str">
        <f>INDEX(Orçamentária!A:B,MATCH(Composições!A6706,Orçamentária!A:A,0),2)</f>
        <v>Tubo de cobre classe “E” 79mm</v>
      </c>
      <c r="C6706" s="40"/>
      <c r="D6706" s="25" t="str">
        <f>TRIM(INDEX(Orçamentária!C:C,MATCH(Composições!A6706,Orçamentária!A:A,0),1))</f>
        <v>m</v>
      </c>
      <c r="E6706" s="26"/>
      <c r="F6706" s="41" t="s">
        <v>514</v>
      </c>
      <c r="G6706" s="27" t="str">
        <f t="shared" ref="G6706:G6769" si="143">IF(ISNUMBER(F6706),E6706*F6706,"")</f>
        <v/>
      </c>
      <c r="H6706" s="28"/>
      <c r="I6706" s="29"/>
      <c r="J6706" s="148">
        <v>0</v>
      </c>
      <c r="K6706" s="222">
        <v>0</v>
      </c>
    </row>
    <row r="6707" spans="1:11" hidden="1" x14ac:dyDescent="0.25">
      <c r="A6707" s="203"/>
      <c r="B6707" s="205"/>
      <c r="C6707" s="31"/>
      <c r="D6707" s="31"/>
      <c r="E6707" s="32"/>
      <c r="F6707" s="42" t="s">
        <v>514</v>
      </c>
      <c r="G6707" s="30" t="str">
        <f t="shared" si="143"/>
        <v/>
      </c>
      <c r="H6707" s="34"/>
      <c r="I6707" s="30"/>
      <c r="J6707" s="148">
        <v>0</v>
      </c>
      <c r="K6707" s="222">
        <v>0</v>
      </c>
    </row>
    <row r="6708" spans="1:11" ht="25.5" hidden="1" x14ac:dyDescent="0.25">
      <c r="A6708" s="203"/>
      <c r="B6708" s="205"/>
      <c r="C6708" s="35" t="s">
        <v>7723</v>
      </c>
      <c r="D6708" s="46" t="s">
        <v>92</v>
      </c>
      <c r="E6708" s="36">
        <v>1</v>
      </c>
      <c r="F6708" s="30">
        <v>416.90750000000003</v>
      </c>
      <c r="G6708" s="30">
        <f t="shared" si="143"/>
        <v>416.90750000000003</v>
      </c>
      <c r="H6708" s="38">
        <f t="shared" ref="H6708" si="144">SUM(G6708:G6708)</f>
        <v>416.90750000000003</v>
      </c>
      <c r="I6708" s="39"/>
      <c r="J6708" s="148">
        <v>0</v>
      </c>
      <c r="K6708" s="222">
        <v>0</v>
      </c>
    </row>
    <row r="6709" spans="1:11" ht="15.75" hidden="1" thickBot="1" x14ac:dyDescent="0.3">
      <c r="A6709" s="209"/>
      <c r="B6709" s="206"/>
      <c r="C6709" s="54"/>
      <c r="D6709" s="54"/>
      <c r="E6709" s="65"/>
      <c r="F6709" s="66" t="s">
        <v>514</v>
      </c>
      <c r="G6709" s="66" t="str">
        <f t="shared" si="143"/>
        <v/>
      </c>
      <c r="H6709" s="68"/>
      <c r="I6709" s="30"/>
      <c r="J6709" s="148">
        <v>0</v>
      </c>
      <c r="K6709" s="222">
        <v>0</v>
      </c>
    </row>
    <row r="6710" spans="1:11" ht="15.75" hidden="1" thickBot="1" x14ac:dyDescent="0.3">
      <c r="A6710" s="202" t="s">
        <v>7035</v>
      </c>
      <c r="B6710" s="204" t="str">
        <f>INDEX(Orçamentária!A:B,MATCH(Composições!A6710,Orçamentária!A:A,0),2)</f>
        <v>Tubo de cobre classe “E” 104mm</v>
      </c>
      <c r="C6710" s="40"/>
      <c r="D6710" s="25" t="str">
        <f>TRIM(INDEX(Orçamentária!C:C,MATCH(Composições!A6710,Orçamentária!A:A,0),1))</f>
        <v>m</v>
      </c>
      <c r="E6710" s="26"/>
      <c r="F6710" s="41" t="s">
        <v>514</v>
      </c>
      <c r="G6710" s="27" t="str">
        <f t="shared" si="143"/>
        <v/>
      </c>
      <c r="H6710" s="28"/>
      <c r="I6710" s="29"/>
      <c r="J6710" s="148">
        <v>0</v>
      </c>
      <c r="K6710" s="222">
        <v>0</v>
      </c>
    </row>
    <row r="6711" spans="1:11" hidden="1" x14ac:dyDescent="0.25">
      <c r="A6711" s="203"/>
      <c r="B6711" s="205"/>
      <c r="C6711" s="31"/>
      <c r="D6711" s="31"/>
      <c r="E6711" s="32"/>
      <c r="F6711" s="42" t="s">
        <v>514</v>
      </c>
      <c r="G6711" s="30" t="str">
        <f t="shared" si="143"/>
        <v/>
      </c>
      <c r="H6711" s="34"/>
      <c r="I6711" s="30"/>
      <c r="J6711" s="148">
        <v>0</v>
      </c>
      <c r="K6711" s="222">
        <v>0</v>
      </c>
    </row>
    <row r="6712" spans="1:11" ht="25.5" hidden="1" x14ac:dyDescent="0.25">
      <c r="A6712" s="203"/>
      <c r="B6712" s="205"/>
      <c r="C6712" s="35" t="s">
        <v>7719</v>
      </c>
      <c r="D6712" s="46" t="s">
        <v>92</v>
      </c>
      <c r="E6712" s="36">
        <v>1</v>
      </c>
      <c r="F6712" s="30">
        <v>614.745</v>
      </c>
      <c r="G6712" s="30">
        <f t="shared" si="143"/>
        <v>614.745</v>
      </c>
      <c r="H6712" s="38">
        <f t="shared" ref="H6712" si="145">SUM(G6712:G6712)</f>
        <v>614.745</v>
      </c>
      <c r="I6712" s="39"/>
      <c r="J6712" s="148">
        <v>0</v>
      </c>
      <c r="K6712" s="222">
        <v>0</v>
      </c>
    </row>
    <row r="6713" spans="1:11" ht="15.75" hidden="1" thickBot="1" x14ac:dyDescent="0.3">
      <c r="A6713" s="209"/>
      <c r="B6713" s="206"/>
      <c r="C6713" s="54"/>
      <c r="D6713" s="54"/>
      <c r="E6713" s="65"/>
      <c r="F6713" s="66" t="s">
        <v>514</v>
      </c>
      <c r="G6713" s="66" t="str">
        <f t="shared" si="143"/>
        <v/>
      </c>
      <c r="H6713" s="68"/>
      <c r="I6713" s="30"/>
      <c r="J6713" s="148">
        <v>0</v>
      </c>
      <c r="K6713" s="222">
        <v>0</v>
      </c>
    </row>
    <row r="6714" spans="1:11" ht="15.75" hidden="1" thickBot="1" x14ac:dyDescent="0.3">
      <c r="A6714" s="202" t="s">
        <v>7037</v>
      </c>
      <c r="B6714" s="204" t="str">
        <f>INDEX(Orçamentária!A:B,MATCH(Composições!A6714,Orçamentária!A:A,0),2)</f>
        <v>Tubo CPVC soldável 22 mm – Linha Residencial</v>
      </c>
      <c r="C6714" s="40"/>
      <c r="D6714" s="25" t="str">
        <f>TRIM(INDEX(Orçamentária!C:C,MATCH(Composições!A6714,Orçamentária!A:A,0),1))</f>
        <v>m</v>
      </c>
      <c r="E6714" s="26"/>
      <c r="F6714" s="41" t="s">
        <v>514</v>
      </c>
      <c r="G6714" s="27" t="str">
        <f t="shared" si="143"/>
        <v/>
      </c>
      <c r="H6714" s="28"/>
      <c r="I6714" s="29"/>
      <c r="J6714" s="148">
        <v>0</v>
      </c>
      <c r="K6714" s="222">
        <v>0</v>
      </c>
    </row>
    <row r="6715" spans="1:11" hidden="1" x14ac:dyDescent="0.25">
      <c r="A6715" s="203"/>
      <c r="B6715" s="205"/>
      <c r="C6715" s="31"/>
      <c r="D6715" s="31"/>
      <c r="E6715" s="32"/>
      <c r="F6715" s="42" t="s">
        <v>514</v>
      </c>
      <c r="G6715" s="30" t="str">
        <f t="shared" si="143"/>
        <v/>
      </c>
      <c r="H6715" s="34"/>
      <c r="I6715" s="30"/>
      <c r="J6715" s="148">
        <v>0</v>
      </c>
      <c r="K6715" s="222">
        <v>0</v>
      </c>
    </row>
    <row r="6716" spans="1:11" ht="25.5" hidden="1" x14ac:dyDescent="0.25">
      <c r="A6716" s="203"/>
      <c r="B6716" s="205"/>
      <c r="C6716" s="35" t="s">
        <v>3366</v>
      </c>
      <c r="D6716" s="46" t="s">
        <v>92</v>
      </c>
      <c r="E6716" s="36">
        <v>1</v>
      </c>
      <c r="F6716" s="30">
        <v>13.575499999999998</v>
      </c>
      <c r="G6716" s="30">
        <f t="shared" si="143"/>
        <v>13.575499999999998</v>
      </c>
      <c r="H6716" s="38">
        <f t="shared" ref="H6716" si="146">SUM(G6716:G6716)</f>
        <v>13.575499999999998</v>
      </c>
      <c r="I6716" s="39"/>
      <c r="J6716" s="148">
        <v>0</v>
      </c>
      <c r="K6716" s="222">
        <v>0</v>
      </c>
    </row>
    <row r="6717" spans="1:11" ht="15.75" hidden="1" thickBot="1" x14ac:dyDescent="0.3">
      <c r="A6717" s="209"/>
      <c r="B6717" s="206"/>
      <c r="C6717" s="54"/>
      <c r="D6717" s="54"/>
      <c r="E6717" s="65"/>
      <c r="F6717" s="66" t="s">
        <v>514</v>
      </c>
      <c r="G6717" s="66" t="str">
        <f t="shared" si="143"/>
        <v/>
      </c>
      <c r="H6717" s="68"/>
      <c r="I6717" s="30"/>
      <c r="J6717" s="148">
        <v>0</v>
      </c>
      <c r="K6717" s="222">
        <v>0</v>
      </c>
    </row>
    <row r="6718" spans="1:11" ht="15.75" hidden="1" thickBot="1" x14ac:dyDescent="0.3">
      <c r="A6718" s="202" t="s">
        <v>7039</v>
      </c>
      <c r="B6718" s="204" t="str">
        <f>INDEX(Orçamentária!A:B,MATCH(Composições!A6718,Orçamentária!A:A,0),2)</f>
        <v>Tubo CPVC soldável 28 mm  – Linha Residencial</v>
      </c>
      <c r="C6718" s="40"/>
      <c r="D6718" s="25" t="str">
        <f>TRIM(INDEX(Orçamentária!C:C,MATCH(Composições!A6718,Orçamentária!A:A,0),1))</f>
        <v>m</v>
      </c>
      <c r="E6718" s="26"/>
      <c r="F6718" s="41" t="s">
        <v>514</v>
      </c>
      <c r="G6718" s="27" t="str">
        <f t="shared" si="143"/>
        <v/>
      </c>
      <c r="H6718" s="28"/>
      <c r="I6718" s="29"/>
      <c r="J6718" s="148">
        <v>0</v>
      </c>
      <c r="K6718" s="222">
        <v>0</v>
      </c>
    </row>
    <row r="6719" spans="1:11" hidden="1" x14ac:dyDescent="0.25">
      <c r="A6719" s="203"/>
      <c r="B6719" s="205"/>
      <c r="C6719" s="31"/>
      <c r="D6719" s="31"/>
      <c r="E6719" s="32"/>
      <c r="F6719" s="42" t="s">
        <v>514</v>
      </c>
      <c r="G6719" s="30" t="str">
        <f t="shared" si="143"/>
        <v/>
      </c>
      <c r="H6719" s="34"/>
      <c r="I6719" s="30"/>
      <c r="J6719" s="148">
        <v>0</v>
      </c>
      <c r="K6719" s="222">
        <v>0</v>
      </c>
    </row>
    <row r="6720" spans="1:11" ht="25.5" hidden="1" x14ac:dyDescent="0.25">
      <c r="A6720" s="203"/>
      <c r="B6720" s="205"/>
      <c r="C6720" s="35" t="s">
        <v>3367</v>
      </c>
      <c r="D6720" s="46" t="s">
        <v>92</v>
      </c>
      <c r="E6720" s="36">
        <v>1</v>
      </c>
      <c r="F6720" s="30">
        <v>21.792999999999999</v>
      </c>
      <c r="G6720" s="30">
        <f t="shared" si="143"/>
        <v>21.792999999999999</v>
      </c>
      <c r="H6720" s="38">
        <f t="shared" ref="H6720" si="147">SUM(G6720:G6720)</f>
        <v>21.792999999999999</v>
      </c>
      <c r="I6720" s="39"/>
      <c r="J6720" s="148">
        <v>0</v>
      </c>
      <c r="K6720" s="222">
        <v>0</v>
      </c>
    </row>
    <row r="6721" spans="1:11" ht="15.75" hidden="1" thickBot="1" x14ac:dyDescent="0.3">
      <c r="A6721" s="209"/>
      <c r="B6721" s="206"/>
      <c r="C6721" s="54"/>
      <c r="D6721" s="54"/>
      <c r="E6721" s="65"/>
      <c r="F6721" s="66" t="s">
        <v>514</v>
      </c>
      <c r="G6721" s="66" t="str">
        <f t="shared" si="143"/>
        <v/>
      </c>
      <c r="H6721" s="68"/>
      <c r="I6721" s="30"/>
      <c r="J6721" s="148">
        <v>0</v>
      </c>
      <c r="K6721" s="222">
        <v>0</v>
      </c>
    </row>
    <row r="6722" spans="1:11" ht="15.75" hidden="1" thickBot="1" x14ac:dyDescent="0.3">
      <c r="A6722" s="202" t="s">
        <v>7041</v>
      </c>
      <c r="B6722" s="204" t="str">
        <f>INDEX(Orçamentária!A:B,MATCH(Composições!A6722,Orçamentária!A:A,0),2)</f>
        <v>Tubo de aço-carbono galvanizado 1 1/4” – Água Potável e Combate a Incêndio</v>
      </c>
      <c r="C6722" s="40"/>
      <c r="D6722" s="25" t="str">
        <f>TRIM(INDEX(Orçamentária!C:C,MATCH(Composições!A6722,Orçamentária!A:A,0),1))</f>
        <v>m</v>
      </c>
      <c r="E6722" s="26"/>
      <c r="F6722" s="41" t="s">
        <v>514</v>
      </c>
      <c r="G6722" s="27" t="str">
        <f t="shared" si="143"/>
        <v/>
      </c>
      <c r="H6722" s="28"/>
      <c r="I6722" s="29"/>
      <c r="J6722" s="148">
        <v>0</v>
      </c>
      <c r="K6722" s="222">
        <v>0</v>
      </c>
    </row>
    <row r="6723" spans="1:11" hidden="1" x14ac:dyDescent="0.25">
      <c r="A6723" s="203"/>
      <c r="B6723" s="205"/>
      <c r="C6723" s="31"/>
      <c r="D6723" s="31"/>
      <c r="E6723" s="32"/>
      <c r="F6723" s="42" t="s">
        <v>514</v>
      </c>
      <c r="G6723" s="30" t="str">
        <f t="shared" si="143"/>
        <v/>
      </c>
      <c r="H6723" s="34"/>
      <c r="I6723" s="30"/>
      <c r="J6723" s="148">
        <v>0</v>
      </c>
      <c r="K6723" s="222">
        <v>0</v>
      </c>
    </row>
    <row r="6724" spans="1:11" ht="25.5" hidden="1" x14ac:dyDescent="0.25">
      <c r="A6724" s="203"/>
      <c r="B6724" s="205"/>
      <c r="C6724" s="35" t="s">
        <v>7767</v>
      </c>
      <c r="D6724" s="46" t="s">
        <v>92</v>
      </c>
      <c r="E6724" s="36">
        <v>1</v>
      </c>
      <c r="F6724" s="30">
        <v>54.244999999999997</v>
      </c>
      <c r="G6724" s="30">
        <f t="shared" si="143"/>
        <v>54.244999999999997</v>
      </c>
      <c r="H6724" s="38">
        <f t="shared" ref="H6724" si="148">SUM(G6724:G6724)</f>
        <v>54.244999999999997</v>
      </c>
      <c r="I6724" s="39"/>
      <c r="J6724" s="148">
        <v>0</v>
      </c>
      <c r="K6724" s="222">
        <v>0</v>
      </c>
    </row>
    <row r="6725" spans="1:11" ht="15.75" hidden="1" thickBot="1" x14ac:dyDescent="0.3">
      <c r="A6725" s="209"/>
      <c r="B6725" s="206"/>
      <c r="C6725" s="54"/>
      <c r="D6725" s="54"/>
      <c r="E6725" s="65"/>
      <c r="F6725" s="66" t="s">
        <v>514</v>
      </c>
      <c r="G6725" s="66" t="str">
        <f t="shared" si="143"/>
        <v/>
      </c>
      <c r="H6725" s="68"/>
      <c r="I6725" s="30"/>
      <c r="J6725" s="148">
        <v>0</v>
      </c>
      <c r="K6725" s="222">
        <v>0</v>
      </c>
    </row>
    <row r="6726" spans="1:11" ht="15.75" hidden="1" thickBot="1" x14ac:dyDescent="0.3">
      <c r="A6726" s="202" t="s">
        <v>7043</v>
      </c>
      <c r="B6726" s="204" t="str">
        <f>INDEX(Orçamentária!A:B,MATCH(Composições!A6726,Orçamentária!A:A,0),2)</f>
        <v>Tubo de aço-carbono galvanizado 1/2” – Água Potável e Combate a Incêndio</v>
      </c>
      <c r="C6726" s="40"/>
      <c r="D6726" s="25" t="str">
        <f>TRIM(INDEX(Orçamentária!C:C,MATCH(Composições!A6726,Orçamentária!A:A,0),1))</f>
        <v>m</v>
      </c>
      <c r="E6726" s="26"/>
      <c r="F6726" s="41" t="s">
        <v>514</v>
      </c>
      <c r="G6726" s="27" t="str">
        <f t="shared" si="143"/>
        <v/>
      </c>
      <c r="H6726" s="28"/>
      <c r="I6726" s="29"/>
      <c r="J6726" s="148">
        <v>0</v>
      </c>
      <c r="K6726" s="222">
        <v>0</v>
      </c>
    </row>
    <row r="6727" spans="1:11" hidden="1" x14ac:dyDescent="0.25">
      <c r="A6727" s="203"/>
      <c r="B6727" s="205"/>
      <c r="C6727" s="31"/>
      <c r="D6727" s="31"/>
      <c r="E6727" s="32"/>
      <c r="F6727" s="42" t="s">
        <v>514</v>
      </c>
      <c r="G6727" s="30" t="str">
        <f t="shared" si="143"/>
        <v/>
      </c>
      <c r="H6727" s="34"/>
      <c r="I6727" s="30"/>
      <c r="J6727" s="148">
        <v>0</v>
      </c>
      <c r="K6727" s="222">
        <v>0</v>
      </c>
    </row>
    <row r="6728" spans="1:11" ht="25.5" hidden="1" x14ac:dyDescent="0.25">
      <c r="A6728" s="203"/>
      <c r="B6728" s="205"/>
      <c r="C6728" s="35" t="s">
        <v>7768</v>
      </c>
      <c r="D6728" s="46" t="s">
        <v>92</v>
      </c>
      <c r="E6728" s="36">
        <v>1</v>
      </c>
      <c r="F6728" s="30">
        <v>21.2895</v>
      </c>
      <c r="G6728" s="30">
        <f t="shared" si="143"/>
        <v>21.2895</v>
      </c>
      <c r="H6728" s="38">
        <f t="shared" ref="H6728" si="149">SUM(G6728:G6728)</f>
        <v>21.2895</v>
      </c>
      <c r="I6728" s="39"/>
      <c r="J6728" s="148">
        <v>0</v>
      </c>
      <c r="K6728" s="222">
        <v>0</v>
      </c>
    </row>
    <row r="6729" spans="1:11" ht="15.75" hidden="1" thickBot="1" x14ac:dyDescent="0.3">
      <c r="A6729" s="209"/>
      <c r="B6729" s="206"/>
      <c r="C6729" s="54"/>
      <c r="D6729" s="54"/>
      <c r="E6729" s="65"/>
      <c r="F6729" s="66" t="s">
        <v>514</v>
      </c>
      <c r="G6729" s="66" t="str">
        <f t="shared" si="143"/>
        <v/>
      </c>
      <c r="H6729" s="68"/>
      <c r="I6729" s="30"/>
      <c r="J6729" s="148">
        <v>0</v>
      </c>
      <c r="K6729" s="222">
        <v>0</v>
      </c>
    </row>
    <row r="6730" spans="1:11" ht="15.75" hidden="1" thickBot="1" x14ac:dyDescent="0.3">
      <c r="A6730" s="202" t="s">
        <v>7045</v>
      </c>
      <c r="B6730" s="204" t="str">
        <f>INDEX(Orçamentária!A:B,MATCH(Composições!A6730,Orçamentária!A:A,0),2)</f>
        <v>Tubo de aço-carbono galvanizado 3/4” – Água Potável e Combate a Incêndio</v>
      </c>
      <c r="C6730" s="40"/>
      <c r="D6730" s="25" t="str">
        <f>TRIM(INDEX(Orçamentária!C:C,MATCH(Composições!A6730,Orçamentária!A:A,0),1))</f>
        <v>m</v>
      </c>
      <c r="E6730" s="26"/>
      <c r="F6730" s="41" t="s">
        <v>514</v>
      </c>
      <c r="G6730" s="27" t="str">
        <f t="shared" si="143"/>
        <v/>
      </c>
      <c r="H6730" s="28"/>
      <c r="I6730" s="29"/>
      <c r="J6730" s="148">
        <v>0</v>
      </c>
      <c r="K6730" s="222">
        <v>0</v>
      </c>
    </row>
    <row r="6731" spans="1:11" hidden="1" x14ac:dyDescent="0.25">
      <c r="A6731" s="203"/>
      <c r="B6731" s="205"/>
      <c r="C6731" s="31"/>
      <c r="D6731" s="31"/>
      <c r="E6731" s="32"/>
      <c r="F6731" s="42" t="s">
        <v>514</v>
      </c>
      <c r="G6731" s="30" t="str">
        <f t="shared" si="143"/>
        <v/>
      </c>
      <c r="H6731" s="34"/>
      <c r="I6731" s="30"/>
      <c r="J6731" s="148">
        <v>0</v>
      </c>
      <c r="K6731" s="222">
        <v>0</v>
      </c>
    </row>
    <row r="6732" spans="1:11" ht="25.5" hidden="1" x14ac:dyDescent="0.25">
      <c r="A6732" s="203"/>
      <c r="B6732" s="205"/>
      <c r="C6732" s="35" t="s">
        <v>7769</v>
      </c>
      <c r="D6732" s="46" t="s">
        <v>92</v>
      </c>
      <c r="E6732" s="36">
        <v>1</v>
      </c>
      <c r="F6732" s="30">
        <v>27.721</v>
      </c>
      <c r="G6732" s="30">
        <f t="shared" si="143"/>
        <v>27.721</v>
      </c>
      <c r="H6732" s="38">
        <f t="shared" ref="H6732" si="150">SUM(G6732:G6732)</f>
        <v>27.721</v>
      </c>
      <c r="I6732" s="39"/>
      <c r="J6732" s="148">
        <v>0</v>
      </c>
      <c r="K6732" s="222">
        <v>0</v>
      </c>
    </row>
    <row r="6733" spans="1:11" ht="15.75" hidden="1" thickBot="1" x14ac:dyDescent="0.3">
      <c r="A6733" s="209"/>
      <c r="B6733" s="206"/>
      <c r="C6733" s="54"/>
      <c r="D6733" s="54"/>
      <c r="E6733" s="65"/>
      <c r="F6733" s="66" t="s">
        <v>514</v>
      </c>
      <c r="G6733" s="66" t="str">
        <f t="shared" si="143"/>
        <v/>
      </c>
      <c r="H6733" s="68"/>
      <c r="I6733" s="30"/>
      <c r="J6733" s="148">
        <v>0</v>
      </c>
      <c r="K6733" s="222">
        <v>0</v>
      </c>
    </row>
    <row r="6734" spans="1:11" ht="15.75" hidden="1" thickBot="1" x14ac:dyDescent="0.3">
      <c r="A6734" s="202" t="s">
        <v>7047</v>
      </c>
      <c r="B6734" s="204" t="str">
        <f>INDEX(Orçamentária!A:B,MATCH(Composições!A6734,Orçamentária!A:A,0),2)</f>
        <v>Tubo de aço-carbono galvanizado 1” – Água Potável e Combate a Incêndio</v>
      </c>
      <c r="C6734" s="40"/>
      <c r="D6734" s="25" t="str">
        <f>TRIM(INDEX(Orçamentária!C:C,MATCH(Composições!A6734,Orçamentária!A:A,0),1))</f>
        <v>m</v>
      </c>
      <c r="E6734" s="26"/>
      <c r="F6734" s="41" t="s">
        <v>514</v>
      </c>
      <c r="G6734" s="27" t="str">
        <f t="shared" si="143"/>
        <v/>
      </c>
      <c r="H6734" s="28"/>
      <c r="I6734" s="29"/>
      <c r="J6734" s="148">
        <v>0</v>
      </c>
      <c r="K6734" s="222">
        <v>0</v>
      </c>
    </row>
    <row r="6735" spans="1:11" hidden="1" x14ac:dyDescent="0.25">
      <c r="A6735" s="203"/>
      <c r="B6735" s="205"/>
      <c r="C6735" s="31"/>
      <c r="D6735" s="31"/>
      <c r="E6735" s="32"/>
      <c r="F6735" s="42" t="s">
        <v>514</v>
      </c>
      <c r="G6735" s="30" t="str">
        <f t="shared" si="143"/>
        <v/>
      </c>
      <c r="H6735" s="34"/>
      <c r="I6735" s="30"/>
      <c r="J6735" s="148">
        <v>0</v>
      </c>
      <c r="K6735" s="222">
        <v>0</v>
      </c>
    </row>
    <row r="6736" spans="1:11" ht="25.5" hidden="1" x14ac:dyDescent="0.25">
      <c r="A6736" s="203"/>
      <c r="B6736" s="205"/>
      <c r="C6736" s="35" t="s">
        <v>7770</v>
      </c>
      <c r="D6736" s="46" t="s">
        <v>92</v>
      </c>
      <c r="E6736" s="36">
        <v>1</v>
      </c>
      <c r="F6736" s="30">
        <v>37.220999999999997</v>
      </c>
      <c r="G6736" s="30">
        <f t="shared" si="143"/>
        <v>37.220999999999997</v>
      </c>
      <c r="H6736" s="38">
        <f t="shared" ref="H6736" si="151">SUM(G6736:G6736)</f>
        <v>37.220999999999997</v>
      </c>
      <c r="I6736" s="39"/>
      <c r="J6736" s="148">
        <v>0</v>
      </c>
      <c r="K6736" s="222">
        <v>0</v>
      </c>
    </row>
    <row r="6737" spans="1:11" ht="15.75" hidden="1" thickBot="1" x14ac:dyDescent="0.3">
      <c r="A6737" s="209"/>
      <c r="B6737" s="206"/>
      <c r="C6737" s="54"/>
      <c r="D6737" s="54"/>
      <c r="E6737" s="65"/>
      <c r="F6737" s="66" t="s">
        <v>514</v>
      </c>
      <c r="G6737" s="66" t="str">
        <f t="shared" si="143"/>
        <v/>
      </c>
      <c r="H6737" s="68"/>
      <c r="I6737" s="30"/>
      <c r="J6737" s="148">
        <v>0</v>
      </c>
      <c r="K6737" s="222">
        <v>0</v>
      </c>
    </row>
    <row r="6738" spans="1:11" ht="15.75" hidden="1" thickBot="1" x14ac:dyDescent="0.3">
      <c r="A6738" s="202" t="s">
        <v>7049</v>
      </c>
      <c r="B6738" s="204" t="str">
        <f>INDEX(Orçamentária!A:B,MATCH(Composições!A6738,Orçamentária!A:A,0),2)</f>
        <v>Tubo de aço-carbono galvanizado 2” – Água Potável e Combate a Incêndio</v>
      </c>
      <c r="C6738" s="40"/>
      <c r="D6738" s="25" t="str">
        <f>TRIM(INDEX(Orçamentária!C:C,MATCH(Composições!A6738,Orçamentária!A:A,0),1))</f>
        <v>m</v>
      </c>
      <c r="E6738" s="26"/>
      <c r="F6738" s="41" t="s">
        <v>514</v>
      </c>
      <c r="G6738" s="27" t="str">
        <f t="shared" si="143"/>
        <v/>
      </c>
      <c r="H6738" s="28"/>
      <c r="I6738" s="29"/>
      <c r="J6738" s="148">
        <v>0</v>
      </c>
      <c r="K6738" s="222">
        <v>0</v>
      </c>
    </row>
    <row r="6739" spans="1:11" hidden="1" x14ac:dyDescent="0.25">
      <c r="A6739" s="203"/>
      <c r="B6739" s="205"/>
      <c r="C6739" s="31"/>
      <c r="D6739" s="31"/>
      <c r="E6739" s="32"/>
      <c r="F6739" s="42" t="s">
        <v>514</v>
      </c>
      <c r="G6739" s="30" t="str">
        <f t="shared" si="143"/>
        <v/>
      </c>
      <c r="H6739" s="34"/>
      <c r="I6739" s="30"/>
      <c r="J6739" s="148">
        <v>0</v>
      </c>
      <c r="K6739" s="222">
        <v>0</v>
      </c>
    </row>
    <row r="6740" spans="1:11" ht="25.5" hidden="1" x14ac:dyDescent="0.25">
      <c r="A6740" s="203"/>
      <c r="B6740" s="205"/>
      <c r="C6740" s="35" t="s">
        <v>7771</v>
      </c>
      <c r="D6740" s="46" t="s">
        <v>92</v>
      </c>
      <c r="E6740" s="36">
        <v>1</v>
      </c>
      <c r="F6740" s="30">
        <v>78.232499999999987</v>
      </c>
      <c r="G6740" s="30">
        <f t="shared" si="143"/>
        <v>78.232499999999987</v>
      </c>
      <c r="H6740" s="38">
        <f t="shared" ref="H6740" si="152">SUM(G6740:G6740)</f>
        <v>78.232499999999987</v>
      </c>
      <c r="I6740" s="39"/>
      <c r="J6740" s="148">
        <v>0</v>
      </c>
      <c r="K6740" s="222">
        <v>0</v>
      </c>
    </row>
    <row r="6741" spans="1:11" ht="15.75" hidden="1" thickBot="1" x14ac:dyDescent="0.3">
      <c r="A6741" s="209"/>
      <c r="B6741" s="206"/>
      <c r="C6741" s="54"/>
      <c r="D6741" s="54"/>
      <c r="E6741" s="65"/>
      <c r="F6741" s="66" t="s">
        <v>514</v>
      </c>
      <c r="G6741" s="66" t="str">
        <f t="shared" si="143"/>
        <v/>
      </c>
      <c r="H6741" s="68"/>
      <c r="I6741" s="30"/>
      <c r="J6741" s="148">
        <v>0</v>
      </c>
      <c r="K6741" s="222">
        <v>0</v>
      </c>
    </row>
    <row r="6742" spans="1:11" ht="15.75" hidden="1" thickBot="1" x14ac:dyDescent="0.3">
      <c r="A6742" s="202" t="s">
        <v>7051</v>
      </c>
      <c r="B6742" s="204" t="str">
        <f>INDEX(Orçamentária!A:B,MATCH(Composições!A6742,Orçamentária!A:A,0),2)</f>
        <v>Tubo de aço-carbono galvanizado 2 1/2” – Água Potável e Combate a Incêndio</v>
      </c>
      <c r="C6742" s="40"/>
      <c r="D6742" s="25" t="str">
        <f>TRIM(INDEX(Orçamentária!C:C,MATCH(Composições!A6742,Orçamentária!A:A,0),1))</f>
        <v>m</v>
      </c>
      <c r="E6742" s="26"/>
      <c r="F6742" s="41" t="s">
        <v>514</v>
      </c>
      <c r="G6742" s="27" t="str">
        <f t="shared" si="143"/>
        <v/>
      </c>
      <c r="H6742" s="28"/>
      <c r="I6742" s="29"/>
      <c r="J6742" s="148">
        <v>0</v>
      </c>
      <c r="K6742" s="222">
        <v>0</v>
      </c>
    </row>
    <row r="6743" spans="1:11" hidden="1" x14ac:dyDescent="0.25">
      <c r="A6743" s="203"/>
      <c r="B6743" s="205"/>
      <c r="C6743" s="31"/>
      <c r="D6743" s="31"/>
      <c r="E6743" s="32"/>
      <c r="F6743" s="42" t="s">
        <v>514</v>
      </c>
      <c r="G6743" s="30" t="str">
        <f t="shared" si="143"/>
        <v/>
      </c>
      <c r="H6743" s="34"/>
      <c r="I6743" s="30"/>
      <c r="J6743" s="148">
        <v>0</v>
      </c>
      <c r="K6743" s="222">
        <v>0</v>
      </c>
    </row>
    <row r="6744" spans="1:11" ht="25.5" hidden="1" x14ac:dyDescent="0.25">
      <c r="A6744" s="203"/>
      <c r="B6744" s="205"/>
      <c r="C6744" s="35" t="s">
        <v>7772</v>
      </c>
      <c r="D6744" s="46" t="s">
        <v>92</v>
      </c>
      <c r="E6744" s="36">
        <v>1</v>
      </c>
      <c r="F6744" s="30">
        <v>109.45899999999999</v>
      </c>
      <c r="G6744" s="30">
        <f t="shared" si="143"/>
        <v>109.45899999999999</v>
      </c>
      <c r="H6744" s="38">
        <f t="shared" ref="H6744" si="153">SUM(G6744:G6744)</f>
        <v>109.45899999999999</v>
      </c>
      <c r="I6744" s="39"/>
      <c r="J6744" s="148">
        <v>0</v>
      </c>
      <c r="K6744" s="222">
        <v>0</v>
      </c>
    </row>
    <row r="6745" spans="1:11" ht="15.75" hidden="1" thickBot="1" x14ac:dyDescent="0.3">
      <c r="A6745" s="209"/>
      <c r="B6745" s="206"/>
      <c r="C6745" s="54"/>
      <c r="D6745" s="54"/>
      <c r="E6745" s="65"/>
      <c r="F6745" s="66" t="s">
        <v>514</v>
      </c>
      <c r="G6745" s="66" t="str">
        <f t="shared" si="143"/>
        <v/>
      </c>
      <c r="H6745" s="68"/>
      <c r="I6745" s="30"/>
      <c r="J6745" s="148">
        <v>0</v>
      </c>
      <c r="K6745" s="222">
        <v>0</v>
      </c>
    </row>
    <row r="6746" spans="1:11" ht="15.75" hidden="1" thickBot="1" x14ac:dyDescent="0.3">
      <c r="A6746" s="202" t="s">
        <v>7053</v>
      </c>
      <c r="B6746" s="204" t="str">
        <f>INDEX(Orçamentária!A:B,MATCH(Composições!A6746,Orçamentária!A:A,0),2)</f>
        <v>Tubo de aço-carbono galvanizado 3” – Água Potável e Combate a Incêndio</v>
      </c>
      <c r="C6746" s="40"/>
      <c r="D6746" s="25" t="str">
        <f>TRIM(INDEX(Orçamentária!C:C,MATCH(Composições!A6746,Orçamentária!A:A,0),1))</f>
        <v>m</v>
      </c>
      <c r="E6746" s="26"/>
      <c r="F6746" s="41" t="s">
        <v>514</v>
      </c>
      <c r="G6746" s="27" t="str">
        <f t="shared" si="143"/>
        <v/>
      </c>
      <c r="H6746" s="28"/>
      <c r="I6746" s="29"/>
      <c r="J6746" s="148">
        <v>0</v>
      </c>
      <c r="K6746" s="222">
        <v>0</v>
      </c>
    </row>
    <row r="6747" spans="1:11" hidden="1" x14ac:dyDescent="0.25">
      <c r="A6747" s="203"/>
      <c r="B6747" s="205"/>
      <c r="C6747" s="31"/>
      <c r="D6747" s="31"/>
      <c r="E6747" s="32"/>
      <c r="F6747" s="42" t="s">
        <v>514</v>
      </c>
      <c r="G6747" s="30" t="str">
        <f t="shared" si="143"/>
        <v/>
      </c>
      <c r="H6747" s="34"/>
      <c r="I6747" s="30"/>
      <c r="J6747" s="148">
        <v>0</v>
      </c>
      <c r="K6747" s="222">
        <v>0</v>
      </c>
    </row>
    <row r="6748" spans="1:11" ht="25.5" hidden="1" x14ac:dyDescent="0.25">
      <c r="A6748" s="203"/>
      <c r="B6748" s="205"/>
      <c r="C6748" s="35" t="s">
        <v>7773</v>
      </c>
      <c r="D6748" s="46" t="s">
        <v>92</v>
      </c>
      <c r="E6748" s="36">
        <v>1</v>
      </c>
      <c r="F6748" s="30">
        <v>125.761</v>
      </c>
      <c r="G6748" s="30">
        <f t="shared" si="143"/>
        <v>125.761</v>
      </c>
      <c r="H6748" s="38">
        <f t="shared" ref="H6748" si="154">SUM(G6748:G6748)</f>
        <v>125.761</v>
      </c>
      <c r="I6748" s="39"/>
      <c r="J6748" s="148">
        <v>0</v>
      </c>
      <c r="K6748" s="222">
        <v>0</v>
      </c>
    </row>
    <row r="6749" spans="1:11" ht="15.75" hidden="1" thickBot="1" x14ac:dyDescent="0.3">
      <c r="A6749" s="209"/>
      <c r="B6749" s="206"/>
      <c r="C6749" s="54"/>
      <c r="D6749" s="54"/>
      <c r="E6749" s="65"/>
      <c r="F6749" s="66" t="s">
        <v>514</v>
      </c>
      <c r="G6749" s="66" t="str">
        <f t="shared" si="143"/>
        <v/>
      </c>
      <c r="H6749" s="68"/>
      <c r="I6749" s="30"/>
      <c r="J6749" s="148">
        <v>0</v>
      </c>
      <c r="K6749" s="222">
        <v>0</v>
      </c>
    </row>
    <row r="6750" spans="1:11" ht="15.75" hidden="1" thickBot="1" x14ac:dyDescent="0.3">
      <c r="A6750" s="202" t="s">
        <v>7055</v>
      </c>
      <c r="B6750" s="204" t="str">
        <f>INDEX(Orçamentária!A:B,MATCH(Composições!A6750,Orçamentária!A:A,0),2)</f>
        <v>Niple de aço-carbono galvanizado 2”</v>
      </c>
      <c r="C6750" s="40"/>
      <c r="D6750" s="25" t="str">
        <f>TRIM(INDEX(Orçamentária!C:C,MATCH(Composições!A6750,Orçamentária!A:A,0),1))</f>
        <v>un</v>
      </c>
      <c r="E6750" s="26"/>
      <c r="F6750" s="41" t="s">
        <v>514</v>
      </c>
      <c r="G6750" s="27" t="str">
        <f t="shared" si="143"/>
        <v/>
      </c>
      <c r="H6750" s="28"/>
      <c r="I6750" s="29"/>
      <c r="J6750" s="148">
        <v>0</v>
      </c>
      <c r="K6750" s="222">
        <v>0</v>
      </c>
    </row>
    <row r="6751" spans="1:11" hidden="1" x14ac:dyDescent="0.25">
      <c r="A6751" s="203"/>
      <c r="B6751" s="205"/>
      <c r="C6751" s="31"/>
      <c r="D6751" s="31"/>
      <c r="E6751" s="32"/>
      <c r="F6751" s="42" t="s">
        <v>514</v>
      </c>
      <c r="G6751" s="30" t="str">
        <f t="shared" si="143"/>
        <v/>
      </c>
      <c r="H6751" s="34"/>
      <c r="I6751" s="30"/>
      <c r="J6751" s="148">
        <v>0</v>
      </c>
      <c r="K6751" s="222">
        <v>0</v>
      </c>
    </row>
    <row r="6752" spans="1:11" hidden="1" x14ac:dyDescent="0.25">
      <c r="A6752" s="203"/>
      <c r="B6752" s="205"/>
      <c r="C6752" s="35" t="s">
        <v>7666</v>
      </c>
      <c r="D6752" s="46" t="s">
        <v>20</v>
      </c>
      <c r="E6752" s="36">
        <v>1</v>
      </c>
      <c r="F6752" s="30">
        <v>35.0075</v>
      </c>
      <c r="G6752" s="30">
        <f t="shared" si="143"/>
        <v>35.0075</v>
      </c>
      <c r="H6752" s="38">
        <f t="shared" ref="H6752" si="155">SUM(G6752:G6752)</f>
        <v>35.0075</v>
      </c>
      <c r="I6752" s="39"/>
      <c r="J6752" s="148">
        <v>0</v>
      </c>
      <c r="K6752" s="222">
        <v>0</v>
      </c>
    </row>
    <row r="6753" spans="1:11" ht="15.75" hidden="1" thickBot="1" x14ac:dyDescent="0.3">
      <c r="A6753" s="209"/>
      <c r="B6753" s="206"/>
      <c r="C6753" s="54"/>
      <c r="D6753" s="54"/>
      <c r="E6753" s="65"/>
      <c r="F6753" s="66" t="s">
        <v>514</v>
      </c>
      <c r="G6753" s="66" t="str">
        <f t="shared" si="143"/>
        <v/>
      </c>
      <c r="H6753" s="68"/>
      <c r="I6753" s="30"/>
      <c r="J6753" s="148">
        <v>0</v>
      </c>
      <c r="K6753" s="222">
        <v>0</v>
      </c>
    </row>
    <row r="6754" spans="1:11" ht="15.75" hidden="1" thickBot="1" x14ac:dyDescent="0.3">
      <c r="A6754" s="202" t="s">
        <v>7057</v>
      </c>
      <c r="B6754" s="204" t="str">
        <f>INDEX(Orçamentária!A:B,MATCH(Composições!A6754,Orçamentária!A:A,0),2)</f>
        <v>Niple de aço-carbono galvanizado 2 1/2”</v>
      </c>
      <c r="C6754" s="40"/>
      <c r="D6754" s="25" t="str">
        <f>TRIM(INDEX(Orçamentária!C:C,MATCH(Composições!A6754,Orçamentária!A:A,0),1))</f>
        <v>un</v>
      </c>
      <c r="E6754" s="26"/>
      <c r="F6754" s="41" t="s">
        <v>514</v>
      </c>
      <c r="G6754" s="27" t="str">
        <f t="shared" si="143"/>
        <v/>
      </c>
      <c r="H6754" s="28"/>
      <c r="I6754" s="29"/>
      <c r="J6754" s="148">
        <v>0</v>
      </c>
      <c r="K6754" s="222">
        <v>0</v>
      </c>
    </row>
    <row r="6755" spans="1:11" hidden="1" x14ac:dyDescent="0.25">
      <c r="A6755" s="203"/>
      <c r="B6755" s="205"/>
      <c r="C6755" s="31"/>
      <c r="D6755" s="31"/>
      <c r="E6755" s="32"/>
      <c r="F6755" s="42" t="s">
        <v>514</v>
      </c>
      <c r="G6755" s="30" t="str">
        <f t="shared" si="143"/>
        <v/>
      </c>
      <c r="H6755" s="34"/>
      <c r="I6755" s="30"/>
      <c r="J6755" s="148">
        <v>0</v>
      </c>
      <c r="K6755" s="222">
        <v>0</v>
      </c>
    </row>
    <row r="6756" spans="1:11" hidden="1" x14ac:dyDescent="0.25">
      <c r="A6756" s="203"/>
      <c r="B6756" s="205"/>
      <c r="C6756" s="35" t="s">
        <v>7665</v>
      </c>
      <c r="D6756" s="46" t="s">
        <v>20</v>
      </c>
      <c r="E6756" s="36">
        <v>1</v>
      </c>
      <c r="F6756" s="30">
        <v>53.58</v>
      </c>
      <c r="G6756" s="30">
        <f t="shared" si="143"/>
        <v>53.58</v>
      </c>
      <c r="H6756" s="38">
        <f t="shared" ref="H6756" si="156">SUM(G6756:G6756)</f>
        <v>53.58</v>
      </c>
      <c r="I6756" s="39"/>
      <c r="J6756" s="148">
        <v>0</v>
      </c>
      <c r="K6756" s="222">
        <v>0</v>
      </c>
    </row>
    <row r="6757" spans="1:11" ht="15.75" hidden="1" thickBot="1" x14ac:dyDescent="0.3">
      <c r="A6757" s="209"/>
      <c r="B6757" s="206"/>
      <c r="C6757" s="54"/>
      <c r="D6757" s="54"/>
      <c r="E6757" s="65"/>
      <c r="F6757" s="66" t="s">
        <v>514</v>
      </c>
      <c r="G6757" s="66" t="str">
        <f t="shared" si="143"/>
        <v/>
      </c>
      <c r="H6757" s="68"/>
      <c r="I6757" s="30"/>
      <c r="J6757" s="148">
        <v>0</v>
      </c>
      <c r="K6757" s="222">
        <v>0</v>
      </c>
    </row>
    <row r="6758" spans="1:11" ht="15.75" hidden="1" thickBot="1" x14ac:dyDescent="0.3">
      <c r="A6758" s="202" t="s">
        <v>7059</v>
      </c>
      <c r="B6758" s="204" t="str">
        <f>INDEX(Orçamentária!A:B,MATCH(Composições!A6758,Orçamentária!A:A,0),2)</f>
        <v>Niple de aço-carbono galvanizado 3”</v>
      </c>
      <c r="C6758" s="40"/>
      <c r="D6758" s="25" t="str">
        <f>TRIM(INDEX(Orçamentária!C:C,MATCH(Composições!A6758,Orçamentária!A:A,0),1))</f>
        <v>un</v>
      </c>
      <c r="E6758" s="26"/>
      <c r="F6758" s="41" t="s">
        <v>514</v>
      </c>
      <c r="G6758" s="27" t="str">
        <f t="shared" si="143"/>
        <v/>
      </c>
      <c r="H6758" s="28"/>
      <c r="I6758" s="29"/>
      <c r="J6758" s="148">
        <v>0</v>
      </c>
      <c r="K6758" s="222">
        <v>0</v>
      </c>
    </row>
    <row r="6759" spans="1:11" hidden="1" x14ac:dyDescent="0.25">
      <c r="A6759" s="203"/>
      <c r="B6759" s="205"/>
      <c r="C6759" s="31"/>
      <c r="D6759" s="31"/>
      <c r="E6759" s="32"/>
      <c r="F6759" s="42" t="s">
        <v>514</v>
      </c>
      <c r="G6759" s="30" t="str">
        <f t="shared" si="143"/>
        <v/>
      </c>
      <c r="H6759" s="34"/>
      <c r="I6759" s="30"/>
      <c r="J6759" s="148">
        <v>0</v>
      </c>
      <c r="K6759" s="222">
        <v>0</v>
      </c>
    </row>
    <row r="6760" spans="1:11" hidden="1" x14ac:dyDescent="0.25">
      <c r="A6760" s="203"/>
      <c r="B6760" s="205"/>
      <c r="C6760" s="35" t="s">
        <v>7667</v>
      </c>
      <c r="D6760" s="46" t="s">
        <v>20</v>
      </c>
      <c r="E6760" s="36">
        <v>1</v>
      </c>
      <c r="F6760" s="30">
        <v>87.162499999999994</v>
      </c>
      <c r="G6760" s="30">
        <f t="shared" si="143"/>
        <v>87.162499999999994</v>
      </c>
      <c r="H6760" s="38">
        <f t="shared" ref="H6760" si="157">SUM(G6760:G6760)</f>
        <v>87.162499999999994</v>
      </c>
      <c r="I6760" s="39"/>
      <c r="J6760" s="148">
        <v>0</v>
      </c>
      <c r="K6760" s="222">
        <v>0</v>
      </c>
    </row>
    <row r="6761" spans="1:11" ht="15.75" hidden="1" thickBot="1" x14ac:dyDescent="0.3">
      <c r="A6761" s="209"/>
      <c r="B6761" s="206"/>
      <c r="C6761" s="54"/>
      <c r="D6761" s="54"/>
      <c r="E6761" s="65"/>
      <c r="F6761" s="66" t="s">
        <v>514</v>
      </c>
      <c r="G6761" s="66" t="str">
        <f t="shared" si="143"/>
        <v/>
      </c>
      <c r="H6761" s="68"/>
      <c r="I6761" s="30"/>
      <c r="J6761" s="148">
        <v>0</v>
      </c>
      <c r="K6761" s="222">
        <v>0</v>
      </c>
    </row>
    <row r="6762" spans="1:11" ht="15.75" hidden="1" thickBot="1" x14ac:dyDescent="0.3">
      <c r="A6762" s="202" t="s">
        <v>7065</v>
      </c>
      <c r="B6762" s="204" t="str">
        <f>INDEX(Orçamentária!A:B,MATCH(Composições!A6762,Orçamentária!A:A,0),2)</f>
        <v>Tubo PVC esgoto DN 300 mm - Ocre</v>
      </c>
      <c r="C6762" s="40"/>
      <c r="D6762" s="25" t="str">
        <f>TRIM(INDEX(Orçamentária!C:C,MATCH(Composições!A6762,Orçamentária!A:A,0),1))</f>
        <v>m</v>
      </c>
      <c r="E6762" s="26"/>
      <c r="F6762" s="41" t="s">
        <v>514</v>
      </c>
      <c r="G6762" s="27" t="str">
        <f t="shared" si="143"/>
        <v/>
      </c>
      <c r="H6762" s="28"/>
      <c r="I6762" s="29"/>
      <c r="J6762" s="148">
        <v>0</v>
      </c>
      <c r="K6762" s="222">
        <v>0</v>
      </c>
    </row>
    <row r="6763" spans="1:11" hidden="1" x14ac:dyDescent="0.25">
      <c r="A6763" s="203"/>
      <c r="B6763" s="205"/>
      <c r="C6763" s="31"/>
      <c r="D6763" s="31"/>
      <c r="E6763" s="32"/>
      <c r="F6763" s="42" t="s">
        <v>514</v>
      </c>
      <c r="G6763" s="30" t="str">
        <f t="shared" si="143"/>
        <v/>
      </c>
      <c r="H6763" s="34"/>
      <c r="I6763" s="30"/>
      <c r="J6763" s="148">
        <v>0</v>
      </c>
      <c r="K6763" s="222">
        <v>0</v>
      </c>
    </row>
    <row r="6764" spans="1:11" hidden="1" x14ac:dyDescent="0.25">
      <c r="A6764" s="203"/>
      <c r="B6764" s="205"/>
      <c r="C6764" s="35" t="s">
        <v>7718</v>
      </c>
      <c r="D6764" s="46" t="s">
        <v>92</v>
      </c>
      <c r="E6764" s="36">
        <v>1</v>
      </c>
      <c r="F6764" s="30">
        <v>350.74949999999995</v>
      </c>
      <c r="G6764" s="30">
        <f t="shared" si="143"/>
        <v>350.74949999999995</v>
      </c>
      <c r="H6764" s="38">
        <f t="shared" ref="H6764" si="158">SUM(G6764:G6764)</f>
        <v>350.74949999999995</v>
      </c>
      <c r="I6764" s="39"/>
      <c r="J6764" s="148">
        <v>0</v>
      </c>
      <c r="K6764" s="222">
        <v>0</v>
      </c>
    </row>
    <row r="6765" spans="1:11" ht="15.75" hidden="1" thickBot="1" x14ac:dyDescent="0.3">
      <c r="A6765" s="209"/>
      <c r="B6765" s="206"/>
      <c r="C6765" s="54"/>
      <c r="D6765" s="54"/>
      <c r="E6765" s="65"/>
      <c r="F6765" s="66" t="s">
        <v>514</v>
      </c>
      <c r="G6765" s="66" t="str">
        <f t="shared" si="143"/>
        <v/>
      </c>
      <c r="H6765" s="68"/>
      <c r="I6765" s="30"/>
      <c r="J6765" s="148">
        <v>0</v>
      </c>
      <c r="K6765" s="222">
        <v>0</v>
      </c>
    </row>
    <row r="6766" spans="1:11" ht="15.75" hidden="1" thickBot="1" x14ac:dyDescent="0.3">
      <c r="A6766" s="202" t="s">
        <v>7067</v>
      </c>
      <c r="B6766" s="204" t="str">
        <f>INDEX(Orçamentária!A:B,MATCH(Composições!A6766,Orçamentária!A:A,0),2)</f>
        <v>Tubo PVC esgoto ou águas pluviais predial DN 100mm</v>
      </c>
      <c r="C6766" s="40"/>
      <c r="D6766" s="25" t="str">
        <f>TRIM(INDEX(Orçamentária!C:C,MATCH(Composições!A6766,Orçamentária!A:A,0),1))</f>
        <v>m</v>
      </c>
      <c r="E6766" s="26"/>
      <c r="F6766" s="41" t="s">
        <v>514</v>
      </c>
      <c r="G6766" s="27" t="str">
        <f t="shared" si="143"/>
        <v/>
      </c>
      <c r="H6766" s="28"/>
      <c r="I6766" s="29"/>
      <c r="J6766" s="148">
        <v>0</v>
      </c>
      <c r="K6766" s="222">
        <v>0</v>
      </c>
    </row>
    <row r="6767" spans="1:11" hidden="1" x14ac:dyDescent="0.25">
      <c r="A6767" s="203"/>
      <c r="B6767" s="205"/>
      <c r="C6767" s="31"/>
      <c r="D6767" s="31"/>
      <c r="E6767" s="32"/>
      <c r="F6767" s="42" t="s">
        <v>514</v>
      </c>
      <c r="G6767" s="30" t="str">
        <f t="shared" si="143"/>
        <v/>
      </c>
      <c r="H6767" s="34"/>
      <c r="I6767" s="30"/>
      <c r="J6767" s="148">
        <v>0</v>
      </c>
      <c r="K6767" s="222">
        <v>0</v>
      </c>
    </row>
    <row r="6768" spans="1:11" ht="25.5" hidden="1" x14ac:dyDescent="0.25">
      <c r="A6768" s="203"/>
      <c r="B6768" s="205"/>
      <c r="C6768" s="35" t="s">
        <v>7774</v>
      </c>
      <c r="D6768" s="46" t="s">
        <v>92</v>
      </c>
      <c r="E6768" s="36">
        <v>1</v>
      </c>
      <c r="F6768" s="30">
        <v>17.755500000000001</v>
      </c>
      <c r="G6768" s="30">
        <f t="shared" si="143"/>
        <v>17.755500000000001</v>
      </c>
      <c r="H6768" s="38">
        <f t="shared" ref="H6768" si="159">SUM(G6768:G6768)</f>
        <v>17.755500000000001</v>
      </c>
      <c r="I6768" s="39"/>
      <c r="J6768" s="148">
        <v>0</v>
      </c>
      <c r="K6768" s="222">
        <v>0</v>
      </c>
    </row>
    <row r="6769" spans="1:11" ht="15.75" hidden="1" thickBot="1" x14ac:dyDescent="0.3">
      <c r="A6769" s="209"/>
      <c r="B6769" s="206"/>
      <c r="C6769" s="54"/>
      <c r="D6769" s="54"/>
      <c r="E6769" s="65"/>
      <c r="F6769" s="66" t="s">
        <v>514</v>
      </c>
      <c r="G6769" s="66" t="str">
        <f t="shared" si="143"/>
        <v/>
      </c>
      <c r="H6769" s="68"/>
      <c r="I6769" s="30"/>
      <c r="J6769" s="148">
        <v>0</v>
      </c>
      <c r="K6769" s="222">
        <v>0</v>
      </c>
    </row>
    <row r="6770" spans="1:11" ht="15.75" hidden="1" thickBot="1" x14ac:dyDescent="0.3">
      <c r="A6770" s="202" t="s">
        <v>7069</v>
      </c>
      <c r="B6770" s="204" t="str">
        <f>INDEX(Orçamentária!A:B,MATCH(Composições!A6770,Orçamentária!A:A,0),2)</f>
        <v>Tubo PVC esgoto ou águas pluviais predial DN 150mm</v>
      </c>
      <c r="C6770" s="40"/>
      <c r="D6770" s="25" t="str">
        <f>TRIM(INDEX(Orçamentária!C:C,MATCH(Composições!A6770,Orçamentária!A:A,0),1))</f>
        <v>m</v>
      </c>
      <c r="E6770" s="26"/>
      <c r="F6770" s="41" t="s">
        <v>514</v>
      </c>
      <c r="G6770" s="27" t="str">
        <f t="shared" ref="G6770:G6833" si="160">IF(ISNUMBER(F6770),E6770*F6770,"")</f>
        <v/>
      </c>
      <c r="H6770" s="28"/>
      <c r="I6770" s="29"/>
      <c r="J6770" s="148">
        <v>0</v>
      </c>
      <c r="K6770" s="222">
        <v>0</v>
      </c>
    </row>
    <row r="6771" spans="1:11" hidden="1" x14ac:dyDescent="0.25">
      <c r="A6771" s="203"/>
      <c r="B6771" s="205"/>
      <c r="C6771" s="31"/>
      <c r="D6771" s="31"/>
      <c r="E6771" s="32"/>
      <c r="F6771" s="42" t="s">
        <v>514</v>
      </c>
      <c r="G6771" s="30" t="str">
        <f t="shared" si="160"/>
        <v/>
      </c>
      <c r="H6771" s="34"/>
      <c r="I6771" s="30"/>
      <c r="J6771" s="148">
        <v>0</v>
      </c>
      <c r="K6771" s="222">
        <v>0</v>
      </c>
    </row>
    <row r="6772" spans="1:11" ht="25.5" hidden="1" x14ac:dyDescent="0.25">
      <c r="A6772" s="203"/>
      <c r="B6772" s="205"/>
      <c r="C6772" s="35" t="s">
        <v>7778</v>
      </c>
      <c r="D6772" s="46" t="s">
        <v>92</v>
      </c>
      <c r="E6772" s="36">
        <v>1</v>
      </c>
      <c r="F6772" s="30">
        <v>45.419499999999999</v>
      </c>
      <c r="G6772" s="30">
        <f t="shared" si="160"/>
        <v>45.419499999999999</v>
      </c>
      <c r="H6772" s="38">
        <f t="shared" ref="H6772" si="161">SUM(G6772:G6772)</f>
        <v>45.419499999999999</v>
      </c>
      <c r="I6772" s="39"/>
      <c r="J6772" s="148">
        <v>0</v>
      </c>
      <c r="K6772" s="222">
        <v>0</v>
      </c>
    </row>
    <row r="6773" spans="1:11" ht="15.75" hidden="1" thickBot="1" x14ac:dyDescent="0.3">
      <c r="A6773" s="209"/>
      <c r="B6773" s="206"/>
      <c r="C6773" s="54"/>
      <c r="D6773" s="54"/>
      <c r="E6773" s="65"/>
      <c r="F6773" s="66" t="s">
        <v>514</v>
      </c>
      <c r="G6773" s="66" t="str">
        <f t="shared" si="160"/>
        <v/>
      </c>
      <c r="H6773" s="68"/>
      <c r="I6773" s="30"/>
      <c r="J6773" s="148">
        <v>0</v>
      </c>
      <c r="K6773" s="222">
        <v>0</v>
      </c>
    </row>
    <row r="6774" spans="1:11" ht="15.75" hidden="1" thickBot="1" x14ac:dyDescent="0.3">
      <c r="A6774" s="202" t="s">
        <v>7070</v>
      </c>
      <c r="B6774" s="204" t="str">
        <f>INDEX(Orçamentária!A:B,MATCH(Composições!A6774,Orçamentária!A:A,0),2)</f>
        <v>Tubo PVC esgoto ou águas pluviais predial DN 40 mm</v>
      </c>
      <c r="C6774" s="40"/>
      <c r="D6774" s="25" t="str">
        <f>TRIM(INDEX(Orçamentária!C:C,MATCH(Composições!A6774,Orçamentária!A:A,0),1))</f>
        <v>m</v>
      </c>
      <c r="E6774" s="26"/>
      <c r="F6774" s="41" t="s">
        <v>514</v>
      </c>
      <c r="G6774" s="27" t="str">
        <f t="shared" si="160"/>
        <v/>
      </c>
      <c r="H6774" s="28"/>
      <c r="I6774" s="29"/>
      <c r="J6774" s="148">
        <v>0</v>
      </c>
      <c r="K6774" s="222">
        <v>0</v>
      </c>
    </row>
    <row r="6775" spans="1:11" hidden="1" x14ac:dyDescent="0.25">
      <c r="A6775" s="203"/>
      <c r="B6775" s="205"/>
      <c r="C6775" s="31"/>
      <c r="D6775" s="31"/>
      <c r="E6775" s="32"/>
      <c r="F6775" s="42" t="s">
        <v>514</v>
      </c>
      <c r="G6775" s="30" t="str">
        <f t="shared" si="160"/>
        <v/>
      </c>
      <c r="H6775" s="34"/>
      <c r="I6775" s="30"/>
      <c r="J6775" s="148">
        <v>0</v>
      </c>
      <c r="K6775" s="222">
        <v>0</v>
      </c>
    </row>
    <row r="6776" spans="1:11" ht="25.5" hidden="1" x14ac:dyDescent="0.25">
      <c r="A6776" s="203"/>
      <c r="B6776" s="205"/>
      <c r="C6776" s="35" t="s">
        <v>7779</v>
      </c>
      <c r="D6776" s="46" t="s">
        <v>92</v>
      </c>
      <c r="E6776" s="36">
        <v>1</v>
      </c>
      <c r="F6776" s="30">
        <v>6.4029999999999996</v>
      </c>
      <c r="G6776" s="30">
        <f t="shared" si="160"/>
        <v>6.4029999999999996</v>
      </c>
      <c r="H6776" s="38">
        <f t="shared" ref="H6776" si="162">SUM(G6776:G6776)</f>
        <v>6.4029999999999996</v>
      </c>
      <c r="I6776" s="39"/>
      <c r="J6776" s="148">
        <v>0</v>
      </c>
      <c r="K6776" s="222">
        <v>0</v>
      </c>
    </row>
    <row r="6777" spans="1:11" ht="15.75" hidden="1" thickBot="1" x14ac:dyDescent="0.3">
      <c r="A6777" s="209"/>
      <c r="B6777" s="206"/>
      <c r="C6777" s="54"/>
      <c r="D6777" s="54"/>
      <c r="E6777" s="65"/>
      <c r="F6777" s="66" t="s">
        <v>514</v>
      </c>
      <c r="G6777" s="66" t="str">
        <f t="shared" si="160"/>
        <v/>
      </c>
      <c r="H6777" s="68"/>
      <c r="I6777" s="30"/>
      <c r="J6777" s="148">
        <v>0</v>
      </c>
      <c r="K6777" s="222">
        <v>0</v>
      </c>
    </row>
    <row r="6778" spans="1:11" ht="15.75" hidden="1" thickBot="1" x14ac:dyDescent="0.3">
      <c r="A6778" s="202" t="s">
        <v>7072</v>
      </c>
      <c r="B6778" s="204" t="str">
        <f>INDEX(Orçamentária!A:B,MATCH(Composições!A6778,Orçamentária!A:A,0),2)</f>
        <v>Tubo PVC esgoto ou águas pluviais predial DN 50mm</v>
      </c>
      <c r="C6778" s="40"/>
      <c r="D6778" s="25" t="str">
        <f>TRIM(INDEX(Orçamentária!C:C,MATCH(Composições!A6778,Orçamentária!A:A,0),1))</f>
        <v>m</v>
      </c>
      <c r="E6778" s="26"/>
      <c r="F6778" s="41" t="s">
        <v>514</v>
      </c>
      <c r="G6778" s="27" t="str">
        <f t="shared" si="160"/>
        <v/>
      </c>
      <c r="H6778" s="28"/>
      <c r="I6778" s="29"/>
      <c r="J6778" s="148">
        <v>0</v>
      </c>
      <c r="K6778" s="222">
        <v>0</v>
      </c>
    </row>
    <row r="6779" spans="1:11" hidden="1" x14ac:dyDescent="0.25">
      <c r="A6779" s="203"/>
      <c r="B6779" s="205"/>
      <c r="C6779" s="31"/>
      <c r="D6779" s="31"/>
      <c r="E6779" s="32"/>
      <c r="F6779" s="42" t="s">
        <v>514</v>
      </c>
      <c r="G6779" s="30" t="str">
        <f t="shared" si="160"/>
        <v/>
      </c>
      <c r="H6779" s="34"/>
      <c r="I6779" s="30"/>
      <c r="J6779" s="148">
        <v>0</v>
      </c>
      <c r="K6779" s="222">
        <v>0</v>
      </c>
    </row>
    <row r="6780" spans="1:11" ht="25.5" hidden="1" x14ac:dyDescent="0.25">
      <c r="A6780" s="203"/>
      <c r="B6780" s="205"/>
      <c r="C6780" s="35" t="s">
        <v>7724</v>
      </c>
      <c r="D6780" s="46" t="s">
        <v>92</v>
      </c>
      <c r="E6780" s="36">
        <v>1</v>
      </c>
      <c r="F6780" s="30">
        <v>10.8965</v>
      </c>
      <c r="G6780" s="30">
        <f t="shared" si="160"/>
        <v>10.8965</v>
      </c>
      <c r="H6780" s="38">
        <f t="shared" ref="H6780" si="163">SUM(G6780:G6780)</f>
        <v>10.8965</v>
      </c>
      <c r="I6780" s="39"/>
      <c r="J6780" s="148">
        <v>0</v>
      </c>
      <c r="K6780" s="222">
        <v>0</v>
      </c>
    </row>
    <row r="6781" spans="1:11" ht="15.75" hidden="1" thickBot="1" x14ac:dyDescent="0.3">
      <c r="A6781" s="209"/>
      <c r="B6781" s="206"/>
      <c r="C6781" s="54"/>
      <c r="D6781" s="54"/>
      <c r="E6781" s="65"/>
      <c r="F6781" s="66" t="s">
        <v>514</v>
      </c>
      <c r="G6781" s="66" t="str">
        <f t="shared" si="160"/>
        <v/>
      </c>
      <c r="H6781" s="68"/>
      <c r="I6781" s="30"/>
      <c r="J6781" s="148">
        <v>0</v>
      </c>
      <c r="K6781" s="222">
        <v>0</v>
      </c>
    </row>
    <row r="6782" spans="1:11" ht="15.75" hidden="1" thickBot="1" x14ac:dyDescent="0.3">
      <c r="A6782" s="202" t="s">
        <v>7074</v>
      </c>
      <c r="B6782" s="204" t="str">
        <f>INDEX(Orçamentária!A:B,MATCH(Composições!A6782,Orçamentária!A:A,0),2)</f>
        <v>Tubo PVC esgoto ou águas pluviais predial DN 75mm</v>
      </c>
      <c r="C6782" s="40"/>
      <c r="D6782" s="25" t="str">
        <f>TRIM(INDEX(Orçamentária!C:C,MATCH(Composições!A6782,Orçamentária!A:A,0),1))</f>
        <v>m</v>
      </c>
      <c r="E6782" s="26"/>
      <c r="F6782" s="41" t="s">
        <v>514</v>
      </c>
      <c r="G6782" s="27" t="str">
        <f t="shared" si="160"/>
        <v/>
      </c>
      <c r="H6782" s="28"/>
      <c r="I6782" s="29"/>
      <c r="J6782" s="148">
        <v>0</v>
      </c>
      <c r="K6782" s="222">
        <v>0</v>
      </c>
    </row>
    <row r="6783" spans="1:11" hidden="1" x14ac:dyDescent="0.25">
      <c r="A6783" s="203"/>
      <c r="B6783" s="205"/>
      <c r="C6783" s="31"/>
      <c r="D6783" s="31"/>
      <c r="E6783" s="32"/>
      <c r="F6783" s="42" t="s">
        <v>514</v>
      </c>
      <c r="G6783" s="30" t="str">
        <f t="shared" si="160"/>
        <v/>
      </c>
      <c r="H6783" s="34"/>
      <c r="I6783" s="30"/>
      <c r="J6783" s="148">
        <v>0</v>
      </c>
      <c r="K6783" s="222">
        <v>0</v>
      </c>
    </row>
    <row r="6784" spans="1:11" ht="25.5" hidden="1" x14ac:dyDescent="0.25">
      <c r="A6784" s="203"/>
      <c r="B6784" s="205"/>
      <c r="C6784" s="35" t="s">
        <v>7725</v>
      </c>
      <c r="D6784" s="46" t="s">
        <v>92</v>
      </c>
      <c r="E6784" s="36">
        <v>1</v>
      </c>
      <c r="F6784" s="30">
        <v>15.731999999999998</v>
      </c>
      <c r="G6784" s="30">
        <f t="shared" si="160"/>
        <v>15.731999999999998</v>
      </c>
      <c r="H6784" s="38">
        <f t="shared" ref="H6784" si="164">SUM(G6784:G6784)</f>
        <v>15.731999999999998</v>
      </c>
      <c r="I6784" s="39"/>
      <c r="J6784" s="148">
        <v>0</v>
      </c>
      <c r="K6784" s="222">
        <v>0</v>
      </c>
    </row>
    <row r="6785" spans="1:11" ht="15.75" hidden="1" thickBot="1" x14ac:dyDescent="0.3">
      <c r="A6785" s="209"/>
      <c r="B6785" s="206"/>
      <c r="C6785" s="54"/>
      <c r="D6785" s="54"/>
      <c r="E6785" s="65"/>
      <c r="F6785" s="66" t="s">
        <v>514</v>
      </c>
      <c r="G6785" s="66" t="str">
        <f t="shared" si="160"/>
        <v/>
      </c>
      <c r="H6785" s="68"/>
      <c r="I6785" s="30"/>
      <c r="J6785" s="148">
        <v>0</v>
      </c>
      <c r="K6785" s="222">
        <v>0</v>
      </c>
    </row>
    <row r="6786" spans="1:11" ht="15.75" hidden="1" thickBot="1" x14ac:dyDescent="0.3">
      <c r="A6786" s="202" t="s">
        <v>7076</v>
      </c>
      <c r="B6786" s="204" t="str">
        <f>INDEX(Orçamentária!A:B,MATCH(Composições!A6786,Orçamentária!A:A,0),2)</f>
        <v>Tubo PVC roscável para água fria 1 1/2”</v>
      </c>
      <c r="C6786" s="40"/>
      <c r="D6786" s="25" t="str">
        <f>TRIM(INDEX(Orçamentária!C:C,MATCH(Composições!A6786,Orçamentária!A:A,0),1))</f>
        <v>m</v>
      </c>
      <c r="E6786" s="26"/>
      <c r="F6786" s="41" t="s">
        <v>514</v>
      </c>
      <c r="G6786" s="27" t="str">
        <f t="shared" si="160"/>
        <v/>
      </c>
      <c r="H6786" s="28"/>
      <c r="I6786" s="29"/>
      <c r="J6786" s="148">
        <v>0</v>
      </c>
      <c r="K6786" s="222">
        <v>0</v>
      </c>
    </row>
    <row r="6787" spans="1:11" hidden="1" x14ac:dyDescent="0.25">
      <c r="A6787" s="203"/>
      <c r="B6787" s="205"/>
      <c r="C6787" s="31"/>
      <c r="D6787" s="31"/>
      <c r="E6787" s="32"/>
      <c r="F6787" s="42" t="s">
        <v>514</v>
      </c>
      <c r="G6787" s="30" t="str">
        <f t="shared" si="160"/>
        <v/>
      </c>
      <c r="H6787" s="34"/>
      <c r="I6787" s="30"/>
      <c r="J6787" s="148">
        <v>0</v>
      </c>
      <c r="K6787" s="222">
        <v>0</v>
      </c>
    </row>
    <row r="6788" spans="1:11" hidden="1" x14ac:dyDescent="0.25">
      <c r="A6788" s="203"/>
      <c r="B6788" s="205"/>
      <c r="C6788" s="35" t="s">
        <v>7775</v>
      </c>
      <c r="D6788" s="46" t="s">
        <v>92</v>
      </c>
      <c r="E6788" s="36">
        <v>1</v>
      </c>
      <c r="F6788" s="30">
        <v>43.205999999999996</v>
      </c>
      <c r="G6788" s="30">
        <f t="shared" si="160"/>
        <v>43.205999999999996</v>
      </c>
      <c r="H6788" s="38">
        <f t="shared" ref="H6788" si="165">SUM(G6788:G6788)</f>
        <v>43.205999999999996</v>
      </c>
      <c r="I6788" s="39"/>
      <c r="J6788" s="148">
        <v>0</v>
      </c>
      <c r="K6788" s="222">
        <v>0</v>
      </c>
    </row>
    <row r="6789" spans="1:11" ht="15.75" hidden="1" thickBot="1" x14ac:dyDescent="0.3">
      <c r="A6789" s="209"/>
      <c r="B6789" s="206"/>
      <c r="C6789" s="54"/>
      <c r="D6789" s="54"/>
      <c r="E6789" s="65"/>
      <c r="F6789" s="66" t="s">
        <v>514</v>
      </c>
      <c r="G6789" s="66" t="str">
        <f t="shared" si="160"/>
        <v/>
      </c>
      <c r="H6789" s="68"/>
      <c r="I6789" s="30"/>
      <c r="J6789" s="148">
        <v>0</v>
      </c>
      <c r="K6789" s="222">
        <v>0</v>
      </c>
    </row>
    <row r="6790" spans="1:11" ht="15.75" hidden="1" thickBot="1" x14ac:dyDescent="0.3">
      <c r="A6790" s="202" t="s">
        <v>7078</v>
      </c>
      <c r="B6790" s="204" t="str">
        <f>INDEX(Orçamentária!A:B,MATCH(Composições!A6790,Orçamentária!A:A,0),2)</f>
        <v>Tubo PVC roscável para água fria 1”</v>
      </c>
      <c r="C6790" s="40"/>
      <c r="D6790" s="25" t="str">
        <f>TRIM(INDEX(Orçamentária!C:C,MATCH(Composições!A6790,Orçamentária!A:A,0),1))</f>
        <v>m</v>
      </c>
      <c r="E6790" s="26"/>
      <c r="F6790" s="41" t="s">
        <v>514</v>
      </c>
      <c r="G6790" s="27" t="str">
        <f t="shared" si="160"/>
        <v/>
      </c>
      <c r="H6790" s="28"/>
      <c r="I6790" s="29"/>
      <c r="J6790" s="148">
        <v>0</v>
      </c>
      <c r="K6790" s="222">
        <v>0</v>
      </c>
    </row>
    <row r="6791" spans="1:11" hidden="1" x14ac:dyDescent="0.25">
      <c r="A6791" s="203"/>
      <c r="B6791" s="205"/>
      <c r="C6791" s="31"/>
      <c r="D6791" s="31"/>
      <c r="E6791" s="32"/>
      <c r="F6791" s="42" t="s">
        <v>514</v>
      </c>
      <c r="G6791" s="30" t="str">
        <f t="shared" si="160"/>
        <v/>
      </c>
      <c r="H6791" s="34"/>
      <c r="I6791" s="30"/>
      <c r="J6791" s="148">
        <v>0</v>
      </c>
      <c r="K6791" s="222">
        <v>0</v>
      </c>
    </row>
    <row r="6792" spans="1:11" hidden="1" x14ac:dyDescent="0.25">
      <c r="A6792" s="203"/>
      <c r="B6792" s="205"/>
      <c r="C6792" s="35" t="s">
        <v>7726</v>
      </c>
      <c r="D6792" s="46" t="s">
        <v>92</v>
      </c>
      <c r="E6792" s="36">
        <v>1</v>
      </c>
      <c r="F6792" s="30">
        <v>25.640499999999996</v>
      </c>
      <c r="G6792" s="30">
        <f t="shared" si="160"/>
        <v>25.640499999999996</v>
      </c>
      <c r="H6792" s="38">
        <f t="shared" ref="H6792" si="166">SUM(G6792:G6792)</f>
        <v>25.640499999999996</v>
      </c>
      <c r="I6792" s="39"/>
      <c r="J6792" s="148">
        <v>0</v>
      </c>
      <c r="K6792" s="222">
        <v>0</v>
      </c>
    </row>
    <row r="6793" spans="1:11" ht="15.75" hidden="1" thickBot="1" x14ac:dyDescent="0.3">
      <c r="A6793" s="209"/>
      <c r="B6793" s="206"/>
      <c r="C6793" s="54"/>
      <c r="D6793" s="54"/>
      <c r="E6793" s="65"/>
      <c r="F6793" s="66" t="s">
        <v>514</v>
      </c>
      <c r="G6793" s="66" t="str">
        <f t="shared" si="160"/>
        <v/>
      </c>
      <c r="H6793" s="68"/>
      <c r="I6793" s="30"/>
      <c r="J6793" s="148">
        <v>0</v>
      </c>
      <c r="K6793" s="222">
        <v>0</v>
      </c>
    </row>
    <row r="6794" spans="1:11" ht="15.75" hidden="1" thickBot="1" x14ac:dyDescent="0.3">
      <c r="A6794" s="202" t="s">
        <v>7080</v>
      </c>
      <c r="B6794" s="204" t="str">
        <f>INDEX(Orçamentária!A:B,MATCH(Composições!A6794,Orçamentária!A:A,0),2)</f>
        <v>Tubo PVC roscável para água fria 2 1/2”</v>
      </c>
      <c r="C6794" s="40"/>
      <c r="D6794" s="25" t="str">
        <f>TRIM(INDEX(Orçamentária!C:C,MATCH(Composições!A6794,Orçamentária!A:A,0),1))</f>
        <v>m</v>
      </c>
      <c r="E6794" s="26"/>
      <c r="F6794" s="41" t="s">
        <v>514</v>
      </c>
      <c r="G6794" s="27" t="str">
        <f t="shared" si="160"/>
        <v/>
      </c>
      <c r="H6794" s="28"/>
      <c r="I6794" s="29"/>
      <c r="J6794" s="148">
        <v>0</v>
      </c>
      <c r="K6794" s="222">
        <v>0</v>
      </c>
    </row>
    <row r="6795" spans="1:11" hidden="1" x14ac:dyDescent="0.25">
      <c r="A6795" s="203"/>
      <c r="B6795" s="205"/>
      <c r="C6795" s="31"/>
      <c r="D6795" s="31"/>
      <c r="E6795" s="32"/>
      <c r="F6795" s="42" t="s">
        <v>514</v>
      </c>
      <c r="G6795" s="30" t="str">
        <f t="shared" si="160"/>
        <v/>
      </c>
      <c r="H6795" s="34"/>
      <c r="I6795" s="30"/>
      <c r="J6795" s="148">
        <v>0</v>
      </c>
      <c r="K6795" s="222">
        <v>0</v>
      </c>
    </row>
    <row r="6796" spans="1:11" hidden="1" x14ac:dyDescent="0.25">
      <c r="A6796" s="203"/>
      <c r="B6796" s="205"/>
      <c r="C6796" s="35" t="s">
        <v>7776</v>
      </c>
      <c r="D6796" s="46" t="s">
        <v>92</v>
      </c>
      <c r="E6796" s="36">
        <v>1</v>
      </c>
      <c r="F6796" s="30">
        <v>95.370499999999993</v>
      </c>
      <c r="G6796" s="30">
        <f t="shared" si="160"/>
        <v>95.370499999999993</v>
      </c>
      <c r="H6796" s="38">
        <f t="shared" ref="H6796" si="167">SUM(G6796:G6796)</f>
        <v>95.370499999999993</v>
      </c>
      <c r="I6796" s="39"/>
      <c r="J6796" s="148">
        <v>0</v>
      </c>
      <c r="K6796" s="222">
        <v>0</v>
      </c>
    </row>
    <row r="6797" spans="1:11" ht="15.75" hidden="1" thickBot="1" x14ac:dyDescent="0.3">
      <c r="A6797" s="209"/>
      <c r="B6797" s="206"/>
      <c r="C6797" s="54"/>
      <c r="D6797" s="54"/>
      <c r="E6797" s="65"/>
      <c r="F6797" s="66" t="s">
        <v>514</v>
      </c>
      <c r="G6797" s="66" t="str">
        <f t="shared" si="160"/>
        <v/>
      </c>
      <c r="H6797" s="68"/>
      <c r="I6797" s="30"/>
      <c r="J6797" s="148">
        <v>0</v>
      </c>
      <c r="K6797" s="222">
        <v>0</v>
      </c>
    </row>
    <row r="6798" spans="1:11" ht="15.75" hidden="1" thickBot="1" x14ac:dyDescent="0.3">
      <c r="A6798" s="202" t="s">
        <v>7082</v>
      </c>
      <c r="B6798" s="204" t="str">
        <f>INDEX(Orçamentária!A:B,MATCH(Composições!A6798,Orçamentária!A:A,0),2)</f>
        <v>Tubo PVC roscável para água fria 2”</v>
      </c>
      <c r="C6798" s="40"/>
      <c r="D6798" s="25" t="str">
        <f>TRIM(INDEX(Orçamentária!C:C,MATCH(Composições!A6798,Orçamentária!A:A,0),1))</f>
        <v>m</v>
      </c>
      <c r="E6798" s="26"/>
      <c r="F6798" s="41" t="s">
        <v>514</v>
      </c>
      <c r="G6798" s="27" t="str">
        <f t="shared" si="160"/>
        <v/>
      </c>
      <c r="H6798" s="28"/>
      <c r="I6798" s="29"/>
      <c r="J6798" s="148">
        <v>0</v>
      </c>
      <c r="K6798" s="222">
        <v>0</v>
      </c>
    </row>
    <row r="6799" spans="1:11" hidden="1" x14ac:dyDescent="0.25">
      <c r="A6799" s="203"/>
      <c r="B6799" s="205"/>
      <c r="C6799" s="31"/>
      <c r="D6799" s="31"/>
      <c r="E6799" s="32"/>
      <c r="F6799" s="42" t="s">
        <v>514</v>
      </c>
      <c r="G6799" s="30" t="str">
        <f t="shared" si="160"/>
        <v/>
      </c>
      <c r="H6799" s="34"/>
      <c r="I6799" s="30"/>
      <c r="J6799" s="148">
        <v>0</v>
      </c>
      <c r="K6799" s="222">
        <v>0</v>
      </c>
    </row>
    <row r="6800" spans="1:11" hidden="1" x14ac:dyDescent="0.25">
      <c r="A6800" s="203"/>
      <c r="B6800" s="205"/>
      <c r="C6800" s="35" t="s">
        <v>7777</v>
      </c>
      <c r="D6800" s="46" t="s">
        <v>92</v>
      </c>
      <c r="E6800" s="36">
        <v>1</v>
      </c>
      <c r="F6800" s="30">
        <v>61.227499999999999</v>
      </c>
      <c r="G6800" s="30">
        <f t="shared" si="160"/>
        <v>61.227499999999999</v>
      </c>
      <c r="H6800" s="38">
        <f t="shared" ref="H6800" si="168">SUM(G6800:G6800)</f>
        <v>61.227499999999999</v>
      </c>
      <c r="I6800" s="39"/>
      <c r="J6800" s="148">
        <v>0</v>
      </c>
      <c r="K6800" s="222">
        <v>0</v>
      </c>
    </row>
    <row r="6801" spans="1:11" ht="15.75" hidden="1" thickBot="1" x14ac:dyDescent="0.3">
      <c r="A6801" s="209"/>
      <c r="B6801" s="206"/>
      <c r="C6801" s="54"/>
      <c r="D6801" s="54"/>
      <c r="E6801" s="65"/>
      <c r="F6801" s="66" t="s">
        <v>514</v>
      </c>
      <c r="G6801" s="66" t="str">
        <f t="shared" si="160"/>
        <v/>
      </c>
      <c r="H6801" s="68"/>
      <c r="I6801" s="30"/>
      <c r="J6801" s="148">
        <v>0</v>
      </c>
      <c r="K6801" s="222">
        <v>0</v>
      </c>
    </row>
    <row r="6802" spans="1:11" ht="15.75" hidden="1" thickBot="1" x14ac:dyDescent="0.3">
      <c r="A6802" s="202" t="s">
        <v>7084</v>
      </c>
      <c r="B6802" s="204" t="str">
        <f>INDEX(Orçamentária!A:B,MATCH(Composições!A6802,Orçamentária!A:A,0),2)</f>
        <v>Tubo PVC roscável para água fria 3”</v>
      </c>
      <c r="C6802" s="40"/>
      <c r="D6802" s="25" t="str">
        <f>TRIM(INDEX(Orçamentária!C:C,MATCH(Composições!A6802,Orçamentária!A:A,0),1))</f>
        <v>m</v>
      </c>
      <c r="E6802" s="26"/>
      <c r="F6802" s="41" t="s">
        <v>514</v>
      </c>
      <c r="G6802" s="27" t="str">
        <f t="shared" si="160"/>
        <v/>
      </c>
      <c r="H6802" s="28"/>
      <c r="I6802" s="29"/>
      <c r="J6802" s="148">
        <v>0</v>
      </c>
      <c r="K6802" s="222">
        <v>0</v>
      </c>
    </row>
    <row r="6803" spans="1:11" hidden="1" x14ac:dyDescent="0.25">
      <c r="A6803" s="203"/>
      <c r="B6803" s="205"/>
      <c r="C6803" s="31"/>
      <c r="D6803" s="31"/>
      <c r="E6803" s="32"/>
      <c r="F6803" s="42" t="s">
        <v>514</v>
      </c>
      <c r="G6803" s="30" t="str">
        <f t="shared" si="160"/>
        <v/>
      </c>
      <c r="H6803" s="34"/>
      <c r="I6803" s="30"/>
      <c r="J6803" s="148">
        <v>0</v>
      </c>
      <c r="K6803" s="222">
        <v>0</v>
      </c>
    </row>
    <row r="6804" spans="1:11" hidden="1" x14ac:dyDescent="0.25">
      <c r="A6804" s="203"/>
      <c r="B6804" s="205"/>
      <c r="C6804" s="35" t="s">
        <v>7727</v>
      </c>
      <c r="D6804" s="46" t="s">
        <v>92</v>
      </c>
      <c r="E6804" s="36">
        <v>1</v>
      </c>
      <c r="F6804" s="30">
        <v>123.348</v>
      </c>
      <c r="G6804" s="30">
        <f t="shared" si="160"/>
        <v>123.348</v>
      </c>
      <c r="H6804" s="38">
        <f t="shared" ref="H6804" si="169">SUM(G6804:G6804)</f>
        <v>123.348</v>
      </c>
      <c r="I6804" s="39"/>
      <c r="J6804" s="148">
        <v>0</v>
      </c>
      <c r="K6804" s="222">
        <v>0</v>
      </c>
    </row>
    <row r="6805" spans="1:11" ht="15.75" hidden="1" thickBot="1" x14ac:dyDescent="0.3">
      <c r="A6805" s="209"/>
      <c r="B6805" s="206"/>
      <c r="C6805" s="54"/>
      <c r="D6805" s="54"/>
      <c r="E6805" s="65"/>
      <c r="F6805" s="66" t="s">
        <v>514</v>
      </c>
      <c r="G6805" s="66" t="str">
        <f t="shared" si="160"/>
        <v/>
      </c>
      <c r="H6805" s="68"/>
      <c r="I6805" s="30"/>
      <c r="J6805" s="148">
        <v>0</v>
      </c>
      <c r="K6805" s="222">
        <v>0</v>
      </c>
    </row>
    <row r="6806" spans="1:11" ht="15.75" hidden="1" thickBot="1" x14ac:dyDescent="0.3">
      <c r="A6806" s="202" t="s">
        <v>7086</v>
      </c>
      <c r="B6806" s="204" t="str">
        <f>INDEX(Orçamentária!A:B,MATCH(Composições!A6806,Orçamentária!A:A,0),2)</f>
        <v>Tubo PVC roscável para água fria 3/4”</v>
      </c>
      <c r="C6806" s="40"/>
      <c r="D6806" s="25" t="str">
        <f>TRIM(INDEX(Orçamentária!C:C,MATCH(Composições!A6806,Orçamentária!A:A,0),1))</f>
        <v>m</v>
      </c>
      <c r="E6806" s="26"/>
      <c r="F6806" s="41" t="s">
        <v>514</v>
      </c>
      <c r="G6806" s="27" t="str">
        <f t="shared" si="160"/>
        <v/>
      </c>
      <c r="H6806" s="28"/>
      <c r="I6806" s="29"/>
      <c r="J6806" s="148">
        <v>0</v>
      </c>
      <c r="K6806" s="222">
        <v>0</v>
      </c>
    </row>
    <row r="6807" spans="1:11" hidden="1" x14ac:dyDescent="0.25">
      <c r="A6807" s="203"/>
      <c r="B6807" s="205"/>
      <c r="C6807" s="31"/>
      <c r="D6807" s="31"/>
      <c r="E6807" s="32"/>
      <c r="F6807" s="42" t="s">
        <v>514</v>
      </c>
      <c r="G6807" s="30" t="str">
        <f t="shared" si="160"/>
        <v/>
      </c>
      <c r="H6807" s="34"/>
      <c r="I6807" s="30"/>
      <c r="J6807" s="148">
        <v>0</v>
      </c>
      <c r="K6807" s="222">
        <v>0</v>
      </c>
    </row>
    <row r="6808" spans="1:11" hidden="1" x14ac:dyDescent="0.25">
      <c r="A6808" s="203"/>
      <c r="B6808" s="205"/>
      <c r="C6808" s="35" t="s">
        <v>7780</v>
      </c>
      <c r="D6808" s="46" t="s">
        <v>92</v>
      </c>
      <c r="E6808" s="36">
        <v>1</v>
      </c>
      <c r="F6808" s="30">
        <v>13.214499999999999</v>
      </c>
      <c r="G6808" s="30">
        <f t="shared" si="160"/>
        <v>13.214499999999999</v>
      </c>
      <c r="H6808" s="38">
        <f t="shared" ref="H6808" si="170">SUM(G6808:G6808)</f>
        <v>13.214499999999999</v>
      </c>
      <c r="I6808" s="39"/>
      <c r="J6808" s="148">
        <v>0</v>
      </c>
      <c r="K6808" s="222">
        <v>0</v>
      </c>
    </row>
    <row r="6809" spans="1:11" ht="15.75" hidden="1" thickBot="1" x14ac:dyDescent="0.3">
      <c r="A6809" s="209"/>
      <c r="B6809" s="206"/>
      <c r="C6809" s="54"/>
      <c r="D6809" s="54"/>
      <c r="E6809" s="65"/>
      <c r="F6809" s="66" t="s">
        <v>514</v>
      </c>
      <c r="G6809" s="66" t="str">
        <f t="shared" si="160"/>
        <v/>
      </c>
      <c r="H6809" s="68"/>
      <c r="I6809" s="30"/>
      <c r="J6809" s="148">
        <v>0</v>
      </c>
      <c r="K6809" s="222">
        <v>0</v>
      </c>
    </row>
    <row r="6810" spans="1:11" ht="15.75" hidden="1" thickBot="1" x14ac:dyDescent="0.3">
      <c r="A6810" s="202" t="s">
        <v>7088</v>
      </c>
      <c r="B6810" s="204" t="str">
        <f>INDEX(Orçamentária!A:B,MATCH(Composições!A6810,Orçamentária!A:A,0),2)</f>
        <v>Tubo PVC roscável para água fria 4”</v>
      </c>
      <c r="C6810" s="40"/>
      <c r="D6810" s="25" t="str">
        <f>TRIM(INDEX(Orçamentária!C:C,MATCH(Composições!A6810,Orçamentária!A:A,0),1))</f>
        <v>m</v>
      </c>
      <c r="E6810" s="26"/>
      <c r="F6810" s="41" t="s">
        <v>514</v>
      </c>
      <c r="G6810" s="27" t="str">
        <f t="shared" si="160"/>
        <v/>
      </c>
      <c r="H6810" s="28"/>
      <c r="I6810" s="29"/>
      <c r="J6810" s="148">
        <v>0</v>
      </c>
      <c r="K6810" s="222">
        <v>0</v>
      </c>
    </row>
    <row r="6811" spans="1:11" hidden="1" x14ac:dyDescent="0.25">
      <c r="A6811" s="203"/>
      <c r="B6811" s="205"/>
      <c r="C6811" s="31"/>
      <c r="D6811" s="31"/>
      <c r="E6811" s="32"/>
      <c r="F6811" s="42" t="s">
        <v>514</v>
      </c>
      <c r="G6811" s="30" t="str">
        <f t="shared" si="160"/>
        <v/>
      </c>
      <c r="H6811" s="34"/>
      <c r="I6811" s="30"/>
      <c r="J6811" s="148">
        <v>0</v>
      </c>
      <c r="K6811" s="222">
        <v>0</v>
      </c>
    </row>
    <row r="6812" spans="1:11" hidden="1" x14ac:dyDescent="0.25">
      <c r="A6812" s="203"/>
      <c r="B6812" s="205"/>
      <c r="C6812" s="35" t="s">
        <v>7781</v>
      </c>
      <c r="D6812" s="46" t="s">
        <v>92</v>
      </c>
      <c r="E6812" s="36">
        <v>1</v>
      </c>
      <c r="F6812" s="30">
        <v>148.91249999999999</v>
      </c>
      <c r="G6812" s="30">
        <f t="shared" si="160"/>
        <v>148.91249999999999</v>
      </c>
      <c r="H6812" s="38">
        <f t="shared" ref="H6812" si="171">SUM(G6812:G6812)</f>
        <v>148.91249999999999</v>
      </c>
      <c r="I6812" s="39"/>
      <c r="J6812" s="148">
        <v>0</v>
      </c>
      <c r="K6812" s="222">
        <v>0</v>
      </c>
    </row>
    <row r="6813" spans="1:11" ht="15.75" hidden="1" thickBot="1" x14ac:dyDescent="0.3">
      <c r="A6813" s="209"/>
      <c r="B6813" s="206"/>
      <c r="C6813" s="54"/>
      <c r="D6813" s="54"/>
      <c r="E6813" s="65"/>
      <c r="F6813" s="66" t="s">
        <v>514</v>
      </c>
      <c r="G6813" s="66" t="str">
        <f t="shared" si="160"/>
        <v/>
      </c>
      <c r="H6813" s="68"/>
      <c r="I6813" s="30"/>
      <c r="J6813" s="148">
        <v>0</v>
      </c>
      <c r="K6813" s="222">
        <v>0</v>
      </c>
    </row>
    <row r="6814" spans="1:11" ht="15.75" hidden="1" thickBot="1" x14ac:dyDescent="0.3">
      <c r="A6814" s="202" t="s">
        <v>7090</v>
      </c>
      <c r="B6814" s="204" t="str">
        <f>INDEX(Orçamentária!A:B,MATCH(Composições!A6814,Orçamentária!A:A,0),2)</f>
        <v>Tubo PVC roscável para água fria 6”</v>
      </c>
      <c r="C6814" s="40"/>
      <c r="D6814" s="25" t="str">
        <f>TRIM(INDEX(Orçamentária!C:C,MATCH(Composições!A6814,Orçamentária!A:A,0),1))</f>
        <v>m</v>
      </c>
      <c r="E6814" s="26"/>
      <c r="F6814" s="41" t="s">
        <v>514</v>
      </c>
      <c r="G6814" s="27" t="str">
        <f t="shared" si="160"/>
        <v/>
      </c>
      <c r="H6814" s="28"/>
      <c r="I6814" s="29"/>
      <c r="J6814" s="148">
        <v>0</v>
      </c>
      <c r="K6814" s="222">
        <v>0</v>
      </c>
    </row>
    <row r="6815" spans="1:11" hidden="1" x14ac:dyDescent="0.25">
      <c r="A6815" s="203"/>
      <c r="B6815" s="205"/>
      <c r="C6815" s="31"/>
      <c r="D6815" s="31"/>
      <c r="E6815" s="32"/>
      <c r="F6815" s="42" t="s">
        <v>514</v>
      </c>
      <c r="G6815" s="30" t="str">
        <f t="shared" si="160"/>
        <v/>
      </c>
      <c r="H6815" s="34"/>
      <c r="I6815" s="30"/>
      <c r="J6815" s="148">
        <v>0</v>
      </c>
      <c r="K6815" s="222">
        <v>0</v>
      </c>
    </row>
    <row r="6816" spans="1:11" hidden="1" x14ac:dyDescent="0.25">
      <c r="A6816" s="203"/>
      <c r="B6816" s="205"/>
      <c r="C6816" s="35" t="s">
        <v>7782</v>
      </c>
      <c r="D6816" s="46" t="s">
        <v>92</v>
      </c>
      <c r="E6816" s="36">
        <v>1</v>
      </c>
      <c r="F6816" s="30">
        <v>224.51349999999999</v>
      </c>
      <c r="G6816" s="30">
        <f t="shared" si="160"/>
        <v>224.51349999999999</v>
      </c>
      <c r="H6816" s="38">
        <f t="shared" ref="H6816" si="172">SUM(G6816:G6816)</f>
        <v>224.51349999999999</v>
      </c>
      <c r="I6816" s="39"/>
      <c r="J6816" s="148">
        <v>0</v>
      </c>
      <c r="K6816" s="222">
        <v>0</v>
      </c>
    </row>
    <row r="6817" spans="1:11" ht="15.75" hidden="1" thickBot="1" x14ac:dyDescent="0.3">
      <c r="A6817" s="209"/>
      <c r="B6817" s="206"/>
      <c r="C6817" s="54"/>
      <c r="D6817" s="54"/>
      <c r="E6817" s="65"/>
      <c r="F6817" s="66" t="s">
        <v>514</v>
      </c>
      <c r="G6817" s="66" t="str">
        <f t="shared" si="160"/>
        <v/>
      </c>
      <c r="H6817" s="68"/>
      <c r="I6817" s="30"/>
      <c r="J6817" s="148">
        <v>0</v>
      </c>
      <c r="K6817" s="222">
        <v>0</v>
      </c>
    </row>
    <row r="6818" spans="1:11" ht="15.75" hidden="1" thickBot="1" x14ac:dyDescent="0.3">
      <c r="A6818" s="202" t="s">
        <v>7092</v>
      </c>
      <c r="B6818" s="204" t="str">
        <f>INDEX(Orçamentária!A:B,MATCH(Composições!A6818,Orçamentária!A:A,0),2)</f>
        <v>Tubo PVC soldável água fria DN 20mm</v>
      </c>
      <c r="C6818" s="40"/>
      <c r="D6818" s="25" t="str">
        <f>TRIM(INDEX(Orçamentária!C:C,MATCH(Composições!A6818,Orçamentária!A:A,0),1))</f>
        <v>m</v>
      </c>
      <c r="E6818" s="26"/>
      <c r="F6818" s="41" t="s">
        <v>514</v>
      </c>
      <c r="G6818" s="27" t="str">
        <f t="shared" si="160"/>
        <v/>
      </c>
      <c r="H6818" s="28"/>
      <c r="I6818" s="29"/>
      <c r="J6818" s="148">
        <v>0</v>
      </c>
      <c r="K6818" s="222">
        <v>0</v>
      </c>
    </row>
    <row r="6819" spans="1:11" hidden="1" x14ac:dyDescent="0.25">
      <c r="A6819" s="203"/>
      <c r="B6819" s="205"/>
      <c r="C6819" s="31"/>
      <c r="D6819" s="31"/>
      <c r="E6819" s="32"/>
      <c r="F6819" s="42" t="s">
        <v>514</v>
      </c>
      <c r="G6819" s="30" t="str">
        <f t="shared" si="160"/>
        <v/>
      </c>
      <c r="H6819" s="34"/>
      <c r="I6819" s="30"/>
      <c r="J6819" s="148">
        <v>0</v>
      </c>
      <c r="K6819" s="222">
        <v>0</v>
      </c>
    </row>
    <row r="6820" spans="1:11" hidden="1" x14ac:dyDescent="0.25">
      <c r="A6820" s="203"/>
      <c r="B6820" s="205"/>
      <c r="C6820" s="35" t="s">
        <v>7729</v>
      </c>
      <c r="D6820" s="46" t="s">
        <v>92</v>
      </c>
      <c r="E6820" s="36">
        <v>1</v>
      </c>
      <c r="F6820" s="30">
        <v>3.8189999999999995</v>
      </c>
      <c r="G6820" s="30">
        <f t="shared" si="160"/>
        <v>3.8189999999999995</v>
      </c>
      <c r="H6820" s="38">
        <f t="shared" ref="H6820" si="173">SUM(G6820:G6820)</f>
        <v>3.8189999999999995</v>
      </c>
      <c r="I6820" s="39"/>
      <c r="J6820" s="148">
        <v>0</v>
      </c>
      <c r="K6820" s="222">
        <v>0</v>
      </c>
    </row>
    <row r="6821" spans="1:11" ht="15.75" hidden="1" thickBot="1" x14ac:dyDescent="0.3">
      <c r="A6821" s="209"/>
      <c r="B6821" s="206"/>
      <c r="C6821" s="54"/>
      <c r="D6821" s="54"/>
      <c r="E6821" s="65"/>
      <c r="F6821" s="66" t="s">
        <v>514</v>
      </c>
      <c r="G6821" s="66" t="str">
        <f t="shared" si="160"/>
        <v/>
      </c>
      <c r="H6821" s="68"/>
      <c r="I6821" s="30"/>
      <c r="J6821" s="148">
        <v>0</v>
      </c>
      <c r="K6821" s="222">
        <v>0</v>
      </c>
    </row>
    <row r="6822" spans="1:11" ht="15.75" hidden="1" thickBot="1" x14ac:dyDescent="0.3">
      <c r="A6822" s="202" t="s">
        <v>7094</v>
      </c>
      <c r="B6822" s="204" t="str">
        <f>INDEX(Orçamentária!A:B,MATCH(Composições!A6822,Orçamentária!A:A,0),2)</f>
        <v>Tubo PVC soldável água fria DN 25mm</v>
      </c>
      <c r="C6822" s="40"/>
      <c r="D6822" s="25" t="str">
        <f>TRIM(INDEX(Orçamentária!C:C,MATCH(Composições!A6822,Orçamentária!A:A,0),1))</f>
        <v>m</v>
      </c>
      <c r="E6822" s="26"/>
      <c r="F6822" s="41" t="s">
        <v>514</v>
      </c>
      <c r="G6822" s="27" t="str">
        <f t="shared" si="160"/>
        <v/>
      </c>
      <c r="H6822" s="28"/>
      <c r="I6822" s="29"/>
      <c r="J6822" s="148">
        <v>0</v>
      </c>
      <c r="K6822" s="222">
        <v>0</v>
      </c>
    </row>
    <row r="6823" spans="1:11" hidden="1" x14ac:dyDescent="0.25">
      <c r="A6823" s="203"/>
      <c r="B6823" s="205"/>
      <c r="C6823" s="31"/>
      <c r="D6823" s="31"/>
      <c r="E6823" s="32"/>
      <c r="F6823" s="42" t="s">
        <v>514</v>
      </c>
      <c r="G6823" s="30" t="str">
        <f t="shared" si="160"/>
        <v/>
      </c>
      <c r="H6823" s="34"/>
      <c r="I6823" s="30"/>
      <c r="J6823" s="148">
        <v>0</v>
      </c>
      <c r="K6823" s="222">
        <v>0</v>
      </c>
    </row>
    <row r="6824" spans="1:11" hidden="1" x14ac:dyDescent="0.25">
      <c r="A6824" s="203"/>
      <c r="B6824" s="205"/>
      <c r="C6824" s="35" t="s">
        <v>7730</v>
      </c>
      <c r="D6824" s="46" t="s">
        <v>92</v>
      </c>
      <c r="E6824" s="36">
        <v>1</v>
      </c>
      <c r="F6824" s="30">
        <v>4.9020000000000001</v>
      </c>
      <c r="G6824" s="30">
        <f t="shared" si="160"/>
        <v>4.9020000000000001</v>
      </c>
      <c r="H6824" s="38">
        <f t="shared" ref="H6824" si="174">SUM(G6824:G6824)</f>
        <v>4.9020000000000001</v>
      </c>
      <c r="I6824" s="39"/>
      <c r="J6824" s="148">
        <v>0</v>
      </c>
      <c r="K6824" s="222">
        <v>0</v>
      </c>
    </row>
    <row r="6825" spans="1:11" ht="15.75" hidden="1" thickBot="1" x14ac:dyDescent="0.3">
      <c r="A6825" s="209"/>
      <c r="B6825" s="206"/>
      <c r="C6825" s="54"/>
      <c r="D6825" s="54"/>
      <c r="E6825" s="65"/>
      <c r="F6825" s="66" t="s">
        <v>514</v>
      </c>
      <c r="G6825" s="66" t="str">
        <f t="shared" si="160"/>
        <v/>
      </c>
      <c r="H6825" s="68"/>
      <c r="I6825" s="30"/>
      <c r="J6825" s="148">
        <v>0</v>
      </c>
      <c r="K6825" s="222">
        <v>0</v>
      </c>
    </row>
    <row r="6826" spans="1:11" ht="15.75" hidden="1" thickBot="1" x14ac:dyDescent="0.3">
      <c r="A6826" s="202" t="s">
        <v>7095</v>
      </c>
      <c r="B6826" s="204" t="str">
        <f>INDEX(Orçamentária!A:B,MATCH(Composições!A6826,Orçamentária!A:A,0),2)</f>
        <v>Tubo PVC soldável água fria DN 32mm</v>
      </c>
      <c r="C6826" s="40"/>
      <c r="D6826" s="25" t="str">
        <f>TRIM(INDEX(Orçamentária!C:C,MATCH(Composições!A6826,Orçamentária!A:A,0),1))</f>
        <v>m</v>
      </c>
      <c r="E6826" s="26"/>
      <c r="F6826" s="41" t="s">
        <v>514</v>
      </c>
      <c r="G6826" s="27" t="str">
        <f t="shared" si="160"/>
        <v/>
      </c>
      <c r="H6826" s="28"/>
      <c r="I6826" s="29"/>
      <c r="J6826" s="148">
        <v>0</v>
      </c>
      <c r="K6826" s="222">
        <v>0</v>
      </c>
    </row>
    <row r="6827" spans="1:11" hidden="1" x14ac:dyDescent="0.25">
      <c r="A6827" s="203"/>
      <c r="B6827" s="205"/>
      <c r="C6827" s="31"/>
      <c r="D6827" s="31"/>
      <c r="E6827" s="32"/>
      <c r="F6827" s="42" t="s">
        <v>514</v>
      </c>
      <c r="G6827" s="30" t="str">
        <f t="shared" si="160"/>
        <v/>
      </c>
      <c r="H6827" s="34"/>
      <c r="I6827" s="30"/>
      <c r="J6827" s="148">
        <v>0</v>
      </c>
      <c r="K6827" s="222">
        <v>0</v>
      </c>
    </row>
    <row r="6828" spans="1:11" hidden="1" x14ac:dyDescent="0.25">
      <c r="A6828" s="203"/>
      <c r="B6828" s="205"/>
      <c r="C6828" s="35" t="s">
        <v>7731</v>
      </c>
      <c r="D6828" s="46" t="s">
        <v>92</v>
      </c>
      <c r="E6828" s="36">
        <v>1</v>
      </c>
      <c r="F6828" s="30">
        <v>11.010499999999999</v>
      </c>
      <c r="G6828" s="30">
        <f t="shared" si="160"/>
        <v>11.010499999999999</v>
      </c>
      <c r="H6828" s="38">
        <f t="shared" ref="H6828" si="175">SUM(G6828:G6828)</f>
        <v>11.010499999999999</v>
      </c>
      <c r="I6828" s="39"/>
      <c r="J6828" s="148">
        <v>0</v>
      </c>
      <c r="K6828" s="222">
        <v>0</v>
      </c>
    </row>
    <row r="6829" spans="1:11" ht="15.75" hidden="1" thickBot="1" x14ac:dyDescent="0.3">
      <c r="A6829" s="209"/>
      <c r="B6829" s="206"/>
      <c r="C6829" s="54"/>
      <c r="D6829" s="54"/>
      <c r="E6829" s="65"/>
      <c r="F6829" s="66" t="s">
        <v>514</v>
      </c>
      <c r="G6829" s="66" t="str">
        <f t="shared" si="160"/>
        <v/>
      </c>
      <c r="H6829" s="68"/>
      <c r="I6829" s="30"/>
      <c r="J6829" s="148">
        <v>0</v>
      </c>
      <c r="K6829" s="222">
        <v>0</v>
      </c>
    </row>
    <row r="6830" spans="1:11" ht="15.75" hidden="1" thickBot="1" x14ac:dyDescent="0.3">
      <c r="A6830" s="202" t="s">
        <v>7096</v>
      </c>
      <c r="B6830" s="204" t="str">
        <f>INDEX(Orçamentária!A:B,MATCH(Composições!A6830,Orçamentária!A:A,0),2)</f>
        <v>Tubo PVC soldável água fria DN 40mm</v>
      </c>
      <c r="C6830" s="40"/>
      <c r="D6830" s="25" t="str">
        <f>TRIM(INDEX(Orçamentária!C:C,MATCH(Composições!A6830,Orçamentária!A:A,0),1))</f>
        <v>m</v>
      </c>
      <c r="E6830" s="26"/>
      <c r="F6830" s="41" t="s">
        <v>514</v>
      </c>
      <c r="G6830" s="27" t="str">
        <f t="shared" si="160"/>
        <v/>
      </c>
      <c r="H6830" s="28"/>
      <c r="I6830" s="29"/>
      <c r="J6830" s="148">
        <v>0</v>
      </c>
      <c r="K6830" s="222">
        <v>0</v>
      </c>
    </row>
    <row r="6831" spans="1:11" hidden="1" x14ac:dyDescent="0.25">
      <c r="A6831" s="203"/>
      <c r="B6831" s="205"/>
      <c r="C6831" s="31"/>
      <c r="D6831" s="31"/>
      <c r="E6831" s="32"/>
      <c r="F6831" s="42" t="s">
        <v>514</v>
      </c>
      <c r="G6831" s="30" t="str">
        <f t="shared" si="160"/>
        <v/>
      </c>
      <c r="H6831" s="34"/>
      <c r="I6831" s="30"/>
      <c r="J6831" s="148">
        <v>0</v>
      </c>
      <c r="K6831" s="222">
        <v>0</v>
      </c>
    </row>
    <row r="6832" spans="1:11" hidden="1" x14ac:dyDescent="0.25">
      <c r="A6832" s="203"/>
      <c r="B6832" s="205"/>
      <c r="C6832" s="35" t="s">
        <v>7732</v>
      </c>
      <c r="D6832" s="46" t="s">
        <v>92</v>
      </c>
      <c r="E6832" s="36">
        <v>1</v>
      </c>
      <c r="F6832" s="30">
        <v>16.026499999999999</v>
      </c>
      <c r="G6832" s="30">
        <f t="shared" si="160"/>
        <v>16.026499999999999</v>
      </c>
      <c r="H6832" s="38">
        <f t="shared" ref="H6832" si="176">SUM(G6832:G6832)</f>
        <v>16.026499999999999</v>
      </c>
      <c r="I6832" s="39"/>
      <c r="J6832" s="148">
        <v>0</v>
      </c>
      <c r="K6832" s="222">
        <v>0</v>
      </c>
    </row>
    <row r="6833" spans="1:11" ht="15.75" hidden="1" thickBot="1" x14ac:dyDescent="0.3">
      <c r="A6833" s="209"/>
      <c r="B6833" s="206"/>
      <c r="C6833" s="54"/>
      <c r="D6833" s="54"/>
      <c r="E6833" s="65"/>
      <c r="F6833" s="66" t="s">
        <v>514</v>
      </c>
      <c r="G6833" s="66" t="str">
        <f t="shared" si="160"/>
        <v/>
      </c>
      <c r="H6833" s="68"/>
      <c r="I6833" s="30"/>
      <c r="J6833" s="148">
        <v>0</v>
      </c>
      <c r="K6833" s="222">
        <v>0</v>
      </c>
    </row>
    <row r="6834" spans="1:11" ht="15.75" hidden="1" thickBot="1" x14ac:dyDescent="0.3">
      <c r="A6834" s="202" t="s">
        <v>7097</v>
      </c>
      <c r="B6834" s="204" t="str">
        <f>INDEX(Orçamentária!A:B,MATCH(Composições!A6834,Orçamentária!A:A,0),2)</f>
        <v>Tubo PVC soldável água fria DN 50mm</v>
      </c>
      <c r="C6834" s="40"/>
      <c r="D6834" s="25" t="str">
        <f>TRIM(INDEX(Orçamentária!C:C,MATCH(Composições!A6834,Orçamentária!A:A,0),1))</f>
        <v>m</v>
      </c>
      <c r="E6834" s="26"/>
      <c r="F6834" s="41" t="s">
        <v>514</v>
      </c>
      <c r="G6834" s="27" t="str">
        <f t="shared" ref="G6834:G6897" si="177">IF(ISNUMBER(F6834),E6834*F6834,"")</f>
        <v/>
      </c>
      <c r="H6834" s="28"/>
      <c r="I6834" s="29"/>
      <c r="J6834" s="148">
        <v>0</v>
      </c>
      <c r="K6834" s="222">
        <v>0</v>
      </c>
    </row>
    <row r="6835" spans="1:11" hidden="1" x14ac:dyDescent="0.25">
      <c r="A6835" s="203"/>
      <c r="B6835" s="205"/>
      <c r="C6835" s="31"/>
      <c r="D6835" s="31"/>
      <c r="E6835" s="32"/>
      <c r="F6835" s="42" t="s">
        <v>514</v>
      </c>
      <c r="G6835" s="30" t="str">
        <f t="shared" si="177"/>
        <v/>
      </c>
      <c r="H6835" s="34"/>
      <c r="I6835" s="30"/>
      <c r="J6835" s="148">
        <v>0</v>
      </c>
      <c r="K6835" s="222">
        <v>0</v>
      </c>
    </row>
    <row r="6836" spans="1:11" hidden="1" x14ac:dyDescent="0.25">
      <c r="A6836" s="203"/>
      <c r="B6836" s="205"/>
      <c r="C6836" s="35" t="s">
        <v>314</v>
      </c>
      <c r="D6836" s="46" t="s">
        <v>92</v>
      </c>
      <c r="E6836" s="36">
        <v>1</v>
      </c>
      <c r="F6836" s="30">
        <v>18.353999999999999</v>
      </c>
      <c r="G6836" s="30">
        <f t="shared" si="177"/>
        <v>18.353999999999999</v>
      </c>
      <c r="H6836" s="38">
        <f t="shared" ref="H6836" si="178">SUM(G6836:G6836)</f>
        <v>18.353999999999999</v>
      </c>
      <c r="I6836" s="39"/>
      <c r="J6836" s="148">
        <v>0</v>
      </c>
      <c r="K6836" s="222">
        <v>0</v>
      </c>
    </row>
    <row r="6837" spans="1:11" ht="15.75" hidden="1" thickBot="1" x14ac:dyDescent="0.3">
      <c r="A6837" s="209"/>
      <c r="B6837" s="206"/>
      <c r="C6837" s="54"/>
      <c r="D6837" s="54"/>
      <c r="E6837" s="65"/>
      <c r="F6837" s="66" t="s">
        <v>514</v>
      </c>
      <c r="G6837" s="66" t="str">
        <f t="shared" si="177"/>
        <v/>
      </c>
      <c r="H6837" s="68"/>
      <c r="I6837" s="30"/>
      <c r="J6837" s="148">
        <v>0</v>
      </c>
      <c r="K6837" s="222">
        <v>0</v>
      </c>
    </row>
    <row r="6838" spans="1:11" ht="15.75" hidden="1" thickBot="1" x14ac:dyDescent="0.3">
      <c r="A6838" s="202" t="s">
        <v>7098</v>
      </c>
      <c r="B6838" s="204" t="str">
        <f>INDEX(Orçamentária!A:B,MATCH(Composições!A6838,Orçamentária!A:A,0),2)</f>
        <v>Tubo PVC soldável água fria DN 60mm</v>
      </c>
      <c r="C6838" s="40"/>
      <c r="D6838" s="25" t="str">
        <f>TRIM(INDEX(Orçamentária!C:C,MATCH(Composições!A6838,Orçamentária!A:A,0),1))</f>
        <v>m</v>
      </c>
      <c r="E6838" s="26"/>
      <c r="F6838" s="41" t="s">
        <v>514</v>
      </c>
      <c r="G6838" s="27" t="str">
        <f t="shared" si="177"/>
        <v/>
      </c>
      <c r="H6838" s="28"/>
      <c r="I6838" s="29"/>
      <c r="J6838" s="148">
        <v>0</v>
      </c>
      <c r="K6838" s="222">
        <v>0</v>
      </c>
    </row>
    <row r="6839" spans="1:11" hidden="1" x14ac:dyDescent="0.25">
      <c r="A6839" s="203"/>
      <c r="B6839" s="205"/>
      <c r="C6839" s="31"/>
      <c r="D6839" s="31"/>
      <c r="E6839" s="32"/>
      <c r="F6839" s="42" t="s">
        <v>514</v>
      </c>
      <c r="G6839" s="30" t="str">
        <f t="shared" si="177"/>
        <v/>
      </c>
      <c r="H6839" s="34"/>
      <c r="I6839" s="30"/>
      <c r="J6839" s="148">
        <v>0</v>
      </c>
      <c r="K6839" s="222">
        <v>0</v>
      </c>
    </row>
    <row r="6840" spans="1:11" hidden="1" x14ac:dyDescent="0.25">
      <c r="A6840" s="203"/>
      <c r="B6840" s="205"/>
      <c r="C6840" s="35" t="s">
        <v>7733</v>
      </c>
      <c r="D6840" s="46" t="s">
        <v>92</v>
      </c>
      <c r="E6840" s="36">
        <v>1</v>
      </c>
      <c r="F6840" s="30">
        <v>30.97</v>
      </c>
      <c r="G6840" s="30">
        <f t="shared" si="177"/>
        <v>30.97</v>
      </c>
      <c r="H6840" s="38">
        <f t="shared" ref="H6840" si="179">SUM(G6840:G6840)</f>
        <v>30.97</v>
      </c>
      <c r="I6840" s="39"/>
      <c r="J6840" s="148">
        <v>0</v>
      </c>
      <c r="K6840" s="222">
        <v>0</v>
      </c>
    </row>
    <row r="6841" spans="1:11" ht="15.75" hidden="1" thickBot="1" x14ac:dyDescent="0.3">
      <c r="A6841" s="209"/>
      <c r="B6841" s="206"/>
      <c r="C6841" s="54"/>
      <c r="D6841" s="54"/>
      <c r="E6841" s="65"/>
      <c r="F6841" s="66" t="s">
        <v>514</v>
      </c>
      <c r="G6841" s="66" t="str">
        <f t="shared" si="177"/>
        <v/>
      </c>
      <c r="H6841" s="68"/>
      <c r="I6841" s="30"/>
      <c r="J6841" s="148">
        <v>0</v>
      </c>
      <c r="K6841" s="222">
        <v>0</v>
      </c>
    </row>
    <row r="6842" spans="1:11" ht="15.75" hidden="1" thickBot="1" x14ac:dyDescent="0.3">
      <c r="A6842" s="202" t="s">
        <v>7100</v>
      </c>
      <c r="B6842" s="204" t="str">
        <f>INDEX(Orçamentária!A:B,MATCH(Composições!A6842,Orçamentária!A:A,0),2)</f>
        <v>Tubo PVC soldável água fria DN 75 mm</v>
      </c>
      <c r="C6842" s="40"/>
      <c r="D6842" s="25" t="str">
        <f>TRIM(INDEX(Orçamentária!C:C,MATCH(Composições!A6842,Orçamentária!A:A,0),1))</f>
        <v>m</v>
      </c>
      <c r="E6842" s="26"/>
      <c r="F6842" s="41" t="s">
        <v>514</v>
      </c>
      <c r="G6842" s="27" t="str">
        <f t="shared" si="177"/>
        <v/>
      </c>
      <c r="H6842" s="28"/>
      <c r="I6842" s="29"/>
      <c r="J6842" s="148">
        <v>0</v>
      </c>
      <c r="K6842" s="222">
        <v>0</v>
      </c>
    </row>
    <row r="6843" spans="1:11" hidden="1" x14ac:dyDescent="0.25">
      <c r="A6843" s="203"/>
      <c r="B6843" s="205"/>
      <c r="C6843" s="31"/>
      <c r="D6843" s="31"/>
      <c r="E6843" s="32"/>
      <c r="F6843" s="42" t="s">
        <v>514</v>
      </c>
      <c r="G6843" s="30" t="str">
        <f t="shared" si="177"/>
        <v/>
      </c>
      <c r="H6843" s="34"/>
      <c r="I6843" s="30"/>
      <c r="J6843" s="148">
        <v>0</v>
      </c>
      <c r="K6843" s="222">
        <v>0</v>
      </c>
    </row>
    <row r="6844" spans="1:11" hidden="1" x14ac:dyDescent="0.25">
      <c r="A6844" s="203"/>
      <c r="B6844" s="205"/>
      <c r="C6844" s="35" t="s">
        <v>7734</v>
      </c>
      <c r="D6844" s="46" t="s">
        <v>92</v>
      </c>
      <c r="E6844" s="36">
        <v>1</v>
      </c>
      <c r="F6844" s="30">
        <v>51.8795</v>
      </c>
      <c r="G6844" s="30">
        <f t="shared" si="177"/>
        <v>51.8795</v>
      </c>
      <c r="H6844" s="38">
        <f t="shared" ref="H6844" si="180">SUM(G6844:G6844)</f>
        <v>51.8795</v>
      </c>
      <c r="I6844" s="39"/>
      <c r="J6844" s="148">
        <v>0</v>
      </c>
      <c r="K6844" s="222">
        <v>0</v>
      </c>
    </row>
    <row r="6845" spans="1:11" ht="15.75" hidden="1" thickBot="1" x14ac:dyDescent="0.3">
      <c r="A6845" s="209"/>
      <c r="B6845" s="206"/>
      <c r="C6845" s="54"/>
      <c r="D6845" s="54"/>
      <c r="E6845" s="65"/>
      <c r="F6845" s="66" t="s">
        <v>514</v>
      </c>
      <c r="G6845" s="66" t="str">
        <f t="shared" si="177"/>
        <v/>
      </c>
      <c r="H6845" s="68"/>
      <c r="I6845" s="30"/>
      <c r="J6845" s="148">
        <v>0</v>
      </c>
      <c r="K6845" s="222">
        <v>0</v>
      </c>
    </row>
    <row r="6846" spans="1:11" ht="15.75" hidden="1" thickBot="1" x14ac:dyDescent="0.3">
      <c r="A6846" s="202" t="s">
        <v>7102</v>
      </c>
      <c r="B6846" s="204" t="str">
        <f>INDEX(Orçamentária!A:B,MATCH(Composições!A6846,Orçamentária!A:A,0),2)</f>
        <v>Tubo PVC soldável água fria DN 85 mm</v>
      </c>
      <c r="C6846" s="40"/>
      <c r="D6846" s="25" t="str">
        <f>TRIM(INDEX(Orçamentária!C:C,MATCH(Composições!A6846,Orçamentária!A:A,0),1))</f>
        <v>m</v>
      </c>
      <c r="E6846" s="26"/>
      <c r="F6846" s="41" t="s">
        <v>514</v>
      </c>
      <c r="G6846" s="27" t="str">
        <f t="shared" si="177"/>
        <v/>
      </c>
      <c r="H6846" s="28"/>
      <c r="I6846" s="29"/>
      <c r="J6846" s="148">
        <v>0</v>
      </c>
      <c r="K6846" s="222">
        <v>0</v>
      </c>
    </row>
    <row r="6847" spans="1:11" hidden="1" x14ac:dyDescent="0.25">
      <c r="A6847" s="203"/>
      <c r="B6847" s="205"/>
      <c r="C6847" s="31"/>
      <c r="D6847" s="31"/>
      <c r="E6847" s="32"/>
      <c r="F6847" s="42" t="s">
        <v>514</v>
      </c>
      <c r="G6847" s="30" t="str">
        <f t="shared" si="177"/>
        <v/>
      </c>
      <c r="H6847" s="34"/>
      <c r="I6847" s="30"/>
      <c r="J6847" s="148">
        <v>0</v>
      </c>
      <c r="K6847" s="222">
        <v>0</v>
      </c>
    </row>
    <row r="6848" spans="1:11" hidden="1" x14ac:dyDescent="0.25">
      <c r="A6848" s="203"/>
      <c r="B6848" s="205"/>
      <c r="C6848" s="35" t="s">
        <v>7735</v>
      </c>
      <c r="D6848" s="46" t="s">
        <v>92</v>
      </c>
      <c r="E6848" s="36">
        <v>1</v>
      </c>
      <c r="F6848" s="30">
        <v>64.827999999999989</v>
      </c>
      <c r="G6848" s="30">
        <f t="shared" si="177"/>
        <v>64.827999999999989</v>
      </c>
      <c r="H6848" s="38">
        <f t="shared" ref="H6848" si="181">SUM(G6848:G6848)</f>
        <v>64.827999999999989</v>
      </c>
      <c r="I6848" s="39"/>
      <c r="J6848" s="148">
        <v>0</v>
      </c>
      <c r="K6848" s="222">
        <v>0</v>
      </c>
    </row>
    <row r="6849" spans="1:11" ht="15.75" hidden="1" thickBot="1" x14ac:dyDescent="0.3">
      <c r="A6849" s="209"/>
      <c r="B6849" s="206"/>
      <c r="C6849" s="54"/>
      <c r="D6849" s="54"/>
      <c r="E6849" s="65"/>
      <c r="F6849" s="66" t="s">
        <v>514</v>
      </c>
      <c r="G6849" s="66" t="str">
        <f t="shared" si="177"/>
        <v/>
      </c>
      <c r="H6849" s="68"/>
      <c r="I6849" s="30"/>
      <c r="J6849" s="148">
        <v>0</v>
      </c>
      <c r="K6849" s="222">
        <v>0</v>
      </c>
    </row>
    <row r="6850" spans="1:11" ht="15.75" hidden="1" thickBot="1" x14ac:dyDescent="0.3">
      <c r="A6850" s="202" t="s">
        <v>7104</v>
      </c>
      <c r="B6850" s="204" t="str">
        <f>INDEX(Orçamentária!A:B,MATCH(Composições!A6850,Orçamentária!A:A,0),2)</f>
        <v>Tubo PVC soldável água fria DN 110 mm</v>
      </c>
      <c r="C6850" s="40"/>
      <c r="D6850" s="25" t="str">
        <f>TRIM(INDEX(Orçamentária!C:C,MATCH(Composições!A6850,Orçamentária!A:A,0),1))</f>
        <v>m</v>
      </c>
      <c r="E6850" s="26"/>
      <c r="F6850" s="41" t="s">
        <v>514</v>
      </c>
      <c r="G6850" s="27" t="str">
        <f t="shared" si="177"/>
        <v/>
      </c>
      <c r="H6850" s="28"/>
      <c r="I6850" s="29"/>
      <c r="J6850" s="148">
        <v>0</v>
      </c>
      <c r="K6850" s="222">
        <v>0</v>
      </c>
    </row>
    <row r="6851" spans="1:11" hidden="1" x14ac:dyDescent="0.25">
      <c r="A6851" s="203"/>
      <c r="B6851" s="205"/>
      <c r="C6851" s="31"/>
      <c r="D6851" s="31"/>
      <c r="E6851" s="32"/>
      <c r="F6851" s="42" t="s">
        <v>514</v>
      </c>
      <c r="G6851" s="30" t="str">
        <f t="shared" si="177"/>
        <v/>
      </c>
      <c r="H6851" s="34"/>
      <c r="I6851" s="30"/>
      <c r="J6851" s="148">
        <v>0</v>
      </c>
      <c r="K6851" s="222">
        <v>0</v>
      </c>
    </row>
    <row r="6852" spans="1:11" hidden="1" x14ac:dyDescent="0.25">
      <c r="A6852" s="203"/>
      <c r="B6852" s="205"/>
      <c r="C6852" s="35" t="s">
        <v>7728</v>
      </c>
      <c r="D6852" s="46" t="s">
        <v>92</v>
      </c>
      <c r="E6852" s="36">
        <v>1</v>
      </c>
      <c r="F6852" s="30">
        <v>103.9965</v>
      </c>
      <c r="G6852" s="30">
        <f t="shared" si="177"/>
        <v>103.9965</v>
      </c>
      <c r="H6852" s="38">
        <f t="shared" ref="H6852" si="182">SUM(G6852:G6852)</f>
        <v>103.9965</v>
      </c>
      <c r="I6852" s="39"/>
      <c r="J6852" s="148">
        <v>0</v>
      </c>
      <c r="K6852" s="222">
        <v>0</v>
      </c>
    </row>
    <row r="6853" spans="1:11" ht="15.75" hidden="1" thickBot="1" x14ac:dyDescent="0.3">
      <c r="A6853" s="209"/>
      <c r="B6853" s="206"/>
      <c r="C6853" s="54"/>
      <c r="D6853" s="54"/>
      <c r="E6853" s="65"/>
      <c r="F6853" s="66" t="s">
        <v>514</v>
      </c>
      <c r="G6853" s="66" t="str">
        <f t="shared" si="177"/>
        <v/>
      </c>
      <c r="H6853" s="68"/>
      <c r="I6853" s="30"/>
      <c r="J6853" s="148">
        <v>0</v>
      </c>
      <c r="K6853" s="222">
        <v>0</v>
      </c>
    </row>
    <row r="6854" spans="1:11" ht="15.75" hidden="1" thickBot="1" x14ac:dyDescent="0.3">
      <c r="A6854" s="202" t="s">
        <v>7123</v>
      </c>
      <c r="B6854" s="204" t="str">
        <f>INDEX(Orçamentária!A:B,MATCH(Composições!A6854,Orçamentária!A:A,0),2)</f>
        <v>Válvula de escoamento para lavatório e bidê</v>
      </c>
      <c r="C6854" s="40"/>
      <c r="D6854" s="25" t="str">
        <f>TRIM(INDEX(Orçamentária!C:C,MATCH(Composições!A6854,Orçamentária!A:A,0),1))</f>
        <v>un</v>
      </c>
      <c r="E6854" s="26"/>
      <c r="F6854" s="41" t="s">
        <v>514</v>
      </c>
      <c r="G6854" s="27" t="str">
        <f t="shared" si="177"/>
        <v/>
      </c>
      <c r="H6854" s="28"/>
      <c r="I6854" s="29"/>
      <c r="J6854" s="148">
        <v>0</v>
      </c>
      <c r="K6854" s="222">
        <v>0</v>
      </c>
    </row>
    <row r="6855" spans="1:11" hidden="1" x14ac:dyDescent="0.25">
      <c r="A6855" s="203"/>
      <c r="B6855" s="205"/>
      <c r="C6855" s="31"/>
      <c r="D6855" s="31"/>
      <c r="E6855" s="32"/>
      <c r="F6855" s="42" t="s">
        <v>514</v>
      </c>
      <c r="G6855" s="30" t="str">
        <f t="shared" si="177"/>
        <v/>
      </c>
      <c r="H6855" s="34"/>
      <c r="I6855" s="30"/>
      <c r="J6855" s="148">
        <v>0</v>
      </c>
      <c r="K6855" s="222">
        <v>0</v>
      </c>
    </row>
    <row r="6856" spans="1:11" hidden="1" x14ac:dyDescent="0.25">
      <c r="A6856" s="203"/>
      <c r="B6856" s="205"/>
      <c r="C6856" s="35" t="s">
        <v>7755</v>
      </c>
      <c r="D6856" s="46" t="s">
        <v>20</v>
      </c>
      <c r="E6856" s="36">
        <v>1</v>
      </c>
      <c r="F6856" s="30">
        <v>34.788999999999994</v>
      </c>
      <c r="G6856" s="30">
        <f t="shared" si="177"/>
        <v>34.788999999999994</v>
      </c>
      <c r="H6856" s="38">
        <f t="shared" ref="H6856" si="183">SUM(G6856:G6856)</f>
        <v>34.788999999999994</v>
      </c>
      <c r="I6856" s="39"/>
      <c r="J6856" s="148">
        <v>0</v>
      </c>
      <c r="K6856" s="222">
        <v>0</v>
      </c>
    </row>
    <row r="6857" spans="1:11" ht="15.75" hidden="1" thickBot="1" x14ac:dyDescent="0.3">
      <c r="A6857" s="209"/>
      <c r="B6857" s="206"/>
      <c r="C6857" s="54"/>
      <c r="D6857" s="54"/>
      <c r="E6857" s="65"/>
      <c r="F6857" s="66" t="s">
        <v>514</v>
      </c>
      <c r="G6857" s="66" t="str">
        <f t="shared" si="177"/>
        <v/>
      </c>
      <c r="H6857" s="68"/>
      <c r="I6857" s="30"/>
      <c r="J6857" s="148">
        <v>0</v>
      </c>
      <c r="K6857" s="222">
        <v>0</v>
      </c>
    </row>
    <row r="6858" spans="1:11" ht="15.75" hidden="1" thickBot="1" x14ac:dyDescent="0.3">
      <c r="A6858" s="202" t="s">
        <v>7125</v>
      </c>
      <c r="B6858" s="204" t="str">
        <f>INDEX(Orçamentária!A:B,MATCH(Composições!A6858,Orçamentária!A:A,0),2)</f>
        <v>Válvula de escoamento para pia de cozinha 3 1/2”</v>
      </c>
      <c r="C6858" s="40"/>
      <c r="D6858" s="25" t="str">
        <f>TRIM(INDEX(Orçamentária!C:C,MATCH(Composições!A6858,Orçamentária!A:A,0),1))</f>
        <v>un</v>
      </c>
      <c r="E6858" s="26"/>
      <c r="F6858" s="41" t="s">
        <v>514</v>
      </c>
      <c r="G6858" s="27" t="str">
        <f t="shared" si="177"/>
        <v/>
      </c>
      <c r="H6858" s="28"/>
      <c r="I6858" s="29"/>
      <c r="J6858" s="148">
        <v>0</v>
      </c>
      <c r="K6858" s="222">
        <v>0</v>
      </c>
    </row>
    <row r="6859" spans="1:11" hidden="1" x14ac:dyDescent="0.25">
      <c r="A6859" s="203"/>
      <c r="B6859" s="205"/>
      <c r="C6859" s="31"/>
      <c r="D6859" s="31"/>
      <c r="E6859" s="32"/>
      <c r="F6859" s="42" t="s">
        <v>514</v>
      </c>
      <c r="G6859" s="30" t="str">
        <f t="shared" si="177"/>
        <v/>
      </c>
      <c r="H6859" s="34"/>
      <c r="I6859" s="30"/>
      <c r="J6859" s="148">
        <v>0</v>
      </c>
      <c r="K6859" s="222">
        <v>0</v>
      </c>
    </row>
    <row r="6860" spans="1:11" hidden="1" x14ac:dyDescent="0.25">
      <c r="A6860" s="203"/>
      <c r="B6860" s="205"/>
      <c r="C6860" s="35" t="s">
        <v>7756</v>
      </c>
      <c r="D6860" s="46" t="s">
        <v>20</v>
      </c>
      <c r="E6860" s="36">
        <v>1</v>
      </c>
      <c r="F6860" s="30">
        <v>47.528500000000001</v>
      </c>
      <c r="G6860" s="30">
        <f t="shared" si="177"/>
        <v>47.528500000000001</v>
      </c>
      <c r="H6860" s="38">
        <f t="shared" ref="H6860" si="184">SUM(G6860:G6860)</f>
        <v>47.528500000000001</v>
      </c>
      <c r="I6860" s="39"/>
      <c r="J6860" s="148">
        <v>0</v>
      </c>
      <c r="K6860" s="222">
        <v>0</v>
      </c>
    </row>
    <row r="6861" spans="1:11" ht="15.75" hidden="1" thickBot="1" x14ac:dyDescent="0.3">
      <c r="A6861" s="209"/>
      <c r="B6861" s="206"/>
      <c r="C6861" s="54"/>
      <c r="D6861" s="54"/>
      <c r="E6861" s="65"/>
      <c r="F6861" s="66" t="s">
        <v>514</v>
      </c>
      <c r="G6861" s="66" t="str">
        <f t="shared" si="177"/>
        <v/>
      </c>
      <c r="H6861" s="68"/>
      <c r="I6861" s="30"/>
      <c r="J6861" s="148">
        <v>0</v>
      </c>
      <c r="K6861" s="222">
        <v>0</v>
      </c>
    </row>
    <row r="6862" spans="1:11" ht="15.75" hidden="1" thickBot="1" x14ac:dyDescent="0.3">
      <c r="A6862" s="202" t="s">
        <v>7128</v>
      </c>
      <c r="B6862" s="204" t="str">
        <f>INDEX(Orçamentária!A:B,MATCH(Composições!A6862,Orçamentária!A:A,0),2)</f>
        <v>Válvula de Sucção tipo Pé com Crivos 1”</v>
      </c>
      <c r="C6862" s="40"/>
      <c r="D6862" s="25" t="str">
        <f>TRIM(INDEX(Orçamentária!C:C,MATCH(Composições!A6862,Orçamentária!A:A,0),1))</f>
        <v>un</v>
      </c>
      <c r="E6862" s="26"/>
      <c r="F6862" s="41" t="s">
        <v>514</v>
      </c>
      <c r="G6862" s="27" t="str">
        <f t="shared" si="177"/>
        <v/>
      </c>
      <c r="H6862" s="28"/>
      <c r="I6862" s="29"/>
      <c r="J6862" s="148">
        <v>0</v>
      </c>
      <c r="K6862" s="222">
        <v>0</v>
      </c>
    </row>
    <row r="6863" spans="1:11" hidden="1" x14ac:dyDescent="0.25">
      <c r="A6863" s="203"/>
      <c r="B6863" s="205"/>
      <c r="C6863" s="31"/>
      <c r="D6863" s="31"/>
      <c r="E6863" s="32"/>
      <c r="F6863" s="42" t="s">
        <v>514</v>
      </c>
      <c r="G6863" s="30" t="str">
        <f t="shared" si="177"/>
        <v/>
      </c>
      <c r="H6863" s="34"/>
      <c r="I6863" s="30"/>
      <c r="J6863" s="148">
        <v>0</v>
      </c>
      <c r="K6863" s="222">
        <v>0</v>
      </c>
    </row>
    <row r="6864" spans="1:11" ht="25.5" hidden="1" x14ac:dyDescent="0.25">
      <c r="A6864" s="203"/>
      <c r="B6864" s="205"/>
      <c r="C6864" s="35" t="s">
        <v>7747</v>
      </c>
      <c r="D6864" s="46" t="s">
        <v>20</v>
      </c>
      <c r="E6864" s="36">
        <v>1</v>
      </c>
      <c r="F6864" s="30">
        <v>60.733499999999999</v>
      </c>
      <c r="G6864" s="30">
        <f t="shared" si="177"/>
        <v>60.733499999999999</v>
      </c>
      <c r="H6864" s="38">
        <f t="shared" ref="H6864" si="185">SUM(G6864:G6864)</f>
        <v>60.733499999999999</v>
      </c>
      <c r="I6864" s="39"/>
      <c r="J6864" s="148">
        <v>0</v>
      </c>
      <c r="K6864" s="222">
        <v>0</v>
      </c>
    </row>
    <row r="6865" spans="1:11" ht="15.75" hidden="1" thickBot="1" x14ac:dyDescent="0.3">
      <c r="A6865" s="209"/>
      <c r="B6865" s="206"/>
      <c r="C6865" s="54"/>
      <c r="D6865" s="54"/>
      <c r="E6865" s="65"/>
      <c r="F6865" s="66" t="s">
        <v>514</v>
      </c>
      <c r="G6865" s="66" t="str">
        <f t="shared" si="177"/>
        <v/>
      </c>
      <c r="H6865" s="68"/>
      <c r="I6865" s="30"/>
      <c r="J6865" s="148">
        <v>0</v>
      </c>
      <c r="K6865" s="222">
        <v>0</v>
      </c>
    </row>
    <row r="6866" spans="1:11" ht="15.75" hidden="1" thickBot="1" x14ac:dyDescent="0.3">
      <c r="A6866" s="202" t="s">
        <v>7130</v>
      </c>
      <c r="B6866" s="204" t="str">
        <f>INDEX(Orçamentária!A:B,MATCH(Composições!A6866,Orçamentária!A:A,0),2)</f>
        <v>Válvula de Sucção tipo Pé com Crivos 2”</v>
      </c>
      <c r="C6866" s="40"/>
      <c r="D6866" s="25" t="str">
        <f>TRIM(INDEX(Orçamentária!C:C,MATCH(Composições!A6866,Orçamentária!A:A,0),1))</f>
        <v>un</v>
      </c>
      <c r="E6866" s="26"/>
      <c r="F6866" s="41" t="s">
        <v>514</v>
      </c>
      <c r="G6866" s="27" t="str">
        <f t="shared" si="177"/>
        <v/>
      </c>
      <c r="H6866" s="28"/>
      <c r="I6866" s="29"/>
      <c r="J6866" s="148">
        <v>0</v>
      </c>
      <c r="K6866" s="222">
        <v>0</v>
      </c>
    </row>
    <row r="6867" spans="1:11" hidden="1" x14ac:dyDescent="0.25">
      <c r="A6867" s="203"/>
      <c r="B6867" s="205"/>
      <c r="C6867" s="31"/>
      <c r="D6867" s="31"/>
      <c r="E6867" s="32"/>
      <c r="F6867" s="42" t="s">
        <v>514</v>
      </c>
      <c r="G6867" s="30" t="str">
        <f t="shared" si="177"/>
        <v/>
      </c>
      <c r="H6867" s="34"/>
      <c r="I6867" s="30"/>
      <c r="J6867" s="148">
        <v>0</v>
      </c>
      <c r="K6867" s="222">
        <v>0</v>
      </c>
    </row>
    <row r="6868" spans="1:11" ht="25.5" hidden="1" x14ac:dyDescent="0.25">
      <c r="A6868" s="203"/>
      <c r="B6868" s="205"/>
      <c r="C6868" s="35" t="s">
        <v>7748</v>
      </c>
      <c r="D6868" s="46" t="s">
        <v>20</v>
      </c>
      <c r="E6868" s="36">
        <v>1</v>
      </c>
      <c r="F6868" s="30">
        <v>155.857</v>
      </c>
      <c r="G6868" s="30">
        <f t="shared" si="177"/>
        <v>155.857</v>
      </c>
      <c r="H6868" s="38">
        <f t="shared" ref="H6868" si="186">SUM(G6868:G6868)</f>
        <v>155.857</v>
      </c>
      <c r="I6868" s="39"/>
      <c r="J6868" s="148">
        <v>0</v>
      </c>
      <c r="K6868" s="222">
        <v>0</v>
      </c>
    </row>
    <row r="6869" spans="1:11" ht="15.75" hidden="1" thickBot="1" x14ac:dyDescent="0.3">
      <c r="A6869" s="209"/>
      <c r="B6869" s="206"/>
      <c r="C6869" s="54"/>
      <c r="D6869" s="54"/>
      <c r="E6869" s="65"/>
      <c r="F6869" s="66" t="s">
        <v>514</v>
      </c>
      <c r="G6869" s="66" t="str">
        <f t="shared" si="177"/>
        <v/>
      </c>
      <c r="H6869" s="68"/>
      <c r="I6869" s="30"/>
      <c r="J6869" s="148">
        <v>0</v>
      </c>
      <c r="K6869" s="222">
        <v>0</v>
      </c>
    </row>
    <row r="6870" spans="1:11" ht="15.75" hidden="1" thickBot="1" x14ac:dyDescent="0.3">
      <c r="A6870" s="202" t="s">
        <v>7134</v>
      </c>
      <c r="B6870" s="204" t="str">
        <f>INDEX(Orçamentária!A:B,MATCH(Composições!A6870,Orçamentária!A:A,0),2)</f>
        <v>Válvula de retenção horizontal – PN-25 3/4”</v>
      </c>
      <c r="C6870" s="40"/>
      <c r="D6870" s="25" t="str">
        <f>TRIM(INDEX(Orçamentária!C:C,MATCH(Composições!A6870,Orçamentária!A:A,0),1))</f>
        <v>un</v>
      </c>
      <c r="E6870" s="26"/>
      <c r="F6870" s="41" t="s">
        <v>514</v>
      </c>
      <c r="G6870" s="27" t="str">
        <f t="shared" si="177"/>
        <v/>
      </c>
      <c r="H6870" s="28"/>
      <c r="I6870" s="29"/>
      <c r="J6870" s="148">
        <v>0</v>
      </c>
      <c r="K6870" s="222">
        <v>0</v>
      </c>
    </row>
    <row r="6871" spans="1:11" hidden="1" x14ac:dyDescent="0.25">
      <c r="A6871" s="203"/>
      <c r="B6871" s="205"/>
      <c r="C6871" s="31"/>
      <c r="D6871" s="31"/>
      <c r="E6871" s="32"/>
      <c r="F6871" s="42" t="s">
        <v>514</v>
      </c>
      <c r="G6871" s="30" t="str">
        <f t="shared" si="177"/>
        <v/>
      </c>
      <c r="H6871" s="34"/>
      <c r="I6871" s="30"/>
      <c r="J6871" s="148">
        <v>0</v>
      </c>
      <c r="K6871" s="222">
        <v>0</v>
      </c>
    </row>
    <row r="6872" spans="1:11" ht="25.5" hidden="1" x14ac:dyDescent="0.25">
      <c r="A6872" s="203"/>
      <c r="B6872" s="205"/>
      <c r="C6872" s="35" t="s">
        <v>7750</v>
      </c>
      <c r="D6872" s="46" t="s">
        <v>20</v>
      </c>
      <c r="E6872" s="36">
        <v>1</v>
      </c>
      <c r="F6872" s="30">
        <v>87.78949999999999</v>
      </c>
      <c r="G6872" s="30">
        <f t="shared" si="177"/>
        <v>87.78949999999999</v>
      </c>
      <c r="H6872" s="38">
        <f>SUM(G6872:G6872)</f>
        <v>87.78949999999999</v>
      </c>
      <c r="I6872" s="39"/>
      <c r="J6872" s="148">
        <v>0</v>
      </c>
      <c r="K6872" s="222">
        <v>0</v>
      </c>
    </row>
    <row r="6873" spans="1:11" ht="15.75" hidden="1" thickBot="1" x14ac:dyDescent="0.3">
      <c r="A6873" s="209"/>
      <c r="B6873" s="206"/>
      <c r="C6873" s="54"/>
      <c r="D6873" s="54"/>
      <c r="E6873" s="65"/>
      <c r="F6873" s="66" t="s">
        <v>514</v>
      </c>
      <c r="G6873" s="66" t="str">
        <f t="shared" si="177"/>
        <v/>
      </c>
      <c r="H6873" s="68"/>
      <c r="I6873" s="30"/>
      <c r="J6873" s="148">
        <v>0</v>
      </c>
      <c r="K6873" s="222">
        <v>0</v>
      </c>
    </row>
    <row r="6874" spans="1:11" ht="15.75" hidden="1" thickBot="1" x14ac:dyDescent="0.3">
      <c r="A6874" s="202" t="s">
        <v>7136</v>
      </c>
      <c r="B6874" s="204" t="str">
        <f>INDEX(Orçamentária!A:B,MATCH(Composições!A6874,Orçamentária!A:A,0),2)</f>
        <v>Válvula de retenção horizontal – PN-25 2”</v>
      </c>
      <c r="C6874" s="40"/>
      <c r="D6874" s="25" t="str">
        <f>TRIM(INDEX(Orçamentária!C:C,MATCH(Composições!A6874,Orçamentária!A:A,0),1))</f>
        <v>un</v>
      </c>
      <c r="E6874" s="26"/>
      <c r="F6874" s="41" t="s">
        <v>514</v>
      </c>
      <c r="G6874" s="27" t="str">
        <f t="shared" si="177"/>
        <v/>
      </c>
      <c r="H6874" s="28"/>
      <c r="I6874" s="29"/>
      <c r="J6874" s="148">
        <v>0</v>
      </c>
      <c r="K6874" s="222">
        <v>0</v>
      </c>
    </row>
    <row r="6875" spans="1:11" hidden="1" x14ac:dyDescent="0.25">
      <c r="A6875" s="203"/>
      <c r="B6875" s="205"/>
      <c r="C6875" s="31"/>
      <c r="D6875" s="31"/>
      <c r="E6875" s="32"/>
      <c r="F6875" s="42" t="s">
        <v>514</v>
      </c>
      <c r="G6875" s="30" t="str">
        <f t="shared" si="177"/>
        <v/>
      </c>
      <c r="H6875" s="34"/>
      <c r="I6875" s="30"/>
      <c r="J6875" s="148">
        <v>0</v>
      </c>
      <c r="K6875" s="222">
        <v>0</v>
      </c>
    </row>
    <row r="6876" spans="1:11" ht="25.5" hidden="1" x14ac:dyDescent="0.25">
      <c r="A6876" s="203"/>
      <c r="B6876" s="205"/>
      <c r="C6876" s="35" t="s">
        <v>7749</v>
      </c>
      <c r="D6876" s="46" t="s">
        <v>20</v>
      </c>
      <c r="E6876" s="36">
        <v>1</v>
      </c>
      <c r="F6876" s="30">
        <v>279.68950000000001</v>
      </c>
      <c r="G6876" s="30">
        <f t="shared" si="177"/>
        <v>279.68950000000001</v>
      </c>
      <c r="H6876" s="38">
        <f>SUM(G6876:G6876)</f>
        <v>279.68950000000001</v>
      </c>
      <c r="I6876" s="39"/>
      <c r="J6876" s="148">
        <v>0</v>
      </c>
      <c r="K6876" s="222">
        <v>0</v>
      </c>
    </row>
    <row r="6877" spans="1:11" ht="15.75" hidden="1" thickBot="1" x14ac:dyDescent="0.3">
      <c r="A6877" s="209"/>
      <c r="B6877" s="206"/>
      <c r="C6877" s="54"/>
      <c r="D6877" s="54"/>
      <c r="E6877" s="65"/>
      <c r="F6877" s="66" t="s">
        <v>514</v>
      </c>
      <c r="G6877" s="66" t="str">
        <f t="shared" si="177"/>
        <v/>
      </c>
      <c r="H6877" s="68"/>
      <c r="I6877" s="30"/>
      <c r="J6877" s="148">
        <v>0</v>
      </c>
      <c r="K6877" s="222">
        <v>0</v>
      </c>
    </row>
    <row r="6878" spans="1:11" ht="15.75" hidden="1" thickBot="1" x14ac:dyDescent="0.3">
      <c r="A6878" s="202" t="s">
        <v>7138</v>
      </c>
      <c r="B6878" s="204" t="str">
        <f>INDEX(Orçamentária!A:B,MATCH(Composições!A6878,Orçamentária!A:A,0),2)</f>
        <v>Válvula de retenção vertical - 3”</v>
      </c>
      <c r="C6878" s="40"/>
      <c r="D6878" s="25" t="str">
        <f>TRIM(INDEX(Orçamentária!C:C,MATCH(Composições!A6878,Orçamentária!A:A,0),1))</f>
        <v>un</v>
      </c>
      <c r="E6878" s="26"/>
      <c r="F6878" s="41" t="s">
        <v>514</v>
      </c>
      <c r="G6878" s="27" t="str">
        <f t="shared" si="177"/>
        <v/>
      </c>
      <c r="H6878" s="28"/>
      <c r="I6878" s="29"/>
      <c r="J6878" s="148">
        <v>0</v>
      </c>
      <c r="K6878" s="222">
        <v>0</v>
      </c>
    </row>
    <row r="6879" spans="1:11" hidden="1" x14ac:dyDescent="0.25">
      <c r="A6879" s="203"/>
      <c r="B6879" s="205"/>
      <c r="C6879" s="31"/>
      <c r="D6879" s="31"/>
      <c r="E6879" s="32"/>
      <c r="F6879" s="42" t="s">
        <v>514</v>
      </c>
      <c r="G6879" s="30" t="str">
        <f t="shared" si="177"/>
        <v/>
      </c>
      <c r="H6879" s="34"/>
      <c r="I6879" s="30"/>
      <c r="J6879" s="148">
        <v>0</v>
      </c>
      <c r="K6879" s="222">
        <v>0</v>
      </c>
    </row>
    <row r="6880" spans="1:11" ht="25.5" hidden="1" x14ac:dyDescent="0.25">
      <c r="A6880" s="203"/>
      <c r="B6880" s="205"/>
      <c r="C6880" s="35" t="s">
        <v>7753</v>
      </c>
      <c r="D6880" s="46" t="s">
        <v>20</v>
      </c>
      <c r="E6880" s="36">
        <v>1</v>
      </c>
      <c r="F6880" s="30">
        <v>338.85550000000001</v>
      </c>
      <c r="G6880" s="30">
        <f t="shared" si="177"/>
        <v>338.85550000000001</v>
      </c>
      <c r="H6880" s="38">
        <f>SUM(G6880:G6880)</f>
        <v>338.85550000000001</v>
      </c>
      <c r="I6880" s="39"/>
      <c r="J6880" s="148">
        <v>0</v>
      </c>
      <c r="K6880" s="222">
        <v>0</v>
      </c>
    </row>
    <row r="6881" spans="1:11" ht="15.75" hidden="1" thickBot="1" x14ac:dyDescent="0.3">
      <c r="A6881" s="209"/>
      <c r="B6881" s="206"/>
      <c r="C6881" s="54"/>
      <c r="D6881" s="54"/>
      <c r="E6881" s="65"/>
      <c r="F6881" s="66" t="s">
        <v>514</v>
      </c>
      <c r="G6881" s="66" t="str">
        <f t="shared" si="177"/>
        <v/>
      </c>
      <c r="H6881" s="68"/>
      <c r="I6881" s="30"/>
      <c r="J6881" s="148">
        <v>0</v>
      </c>
      <c r="K6881" s="222">
        <v>0</v>
      </c>
    </row>
    <row r="6882" spans="1:11" ht="15.75" hidden="1" thickBot="1" x14ac:dyDescent="0.3">
      <c r="A6882" s="202" t="s">
        <v>7140</v>
      </c>
      <c r="B6882" s="204" t="str">
        <f>INDEX(Orçamentária!A:B,MATCH(Composições!A6882,Orçamentária!A:A,0),2)</f>
        <v>Válvula de retenção vertical - 4”</v>
      </c>
      <c r="C6882" s="40"/>
      <c r="D6882" s="25" t="str">
        <f>TRIM(INDEX(Orçamentária!C:C,MATCH(Composições!A6882,Orçamentária!A:A,0),1))</f>
        <v>un</v>
      </c>
      <c r="E6882" s="26"/>
      <c r="F6882" s="41" t="s">
        <v>514</v>
      </c>
      <c r="G6882" s="27" t="str">
        <f t="shared" si="177"/>
        <v/>
      </c>
      <c r="H6882" s="28"/>
      <c r="I6882" s="29"/>
      <c r="J6882" s="148">
        <v>0</v>
      </c>
      <c r="K6882" s="222">
        <v>0</v>
      </c>
    </row>
    <row r="6883" spans="1:11" hidden="1" x14ac:dyDescent="0.25">
      <c r="A6883" s="203"/>
      <c r="B6883" s="205"/>
      <c r="C6883" s="31"/>
      <c r="D6883" s="31"/>
      <c r="E6883" s="32"/>
      <c r="F6883" s="42" t="s">
        <v>514</v>
      </c>
      <c r="G6883" s="30" t="str">
        <f t="shared" si="177"/>
        <v/>
      </c>
      <c r="H6883" s="34"/>
      <c r="I6883" s="30"/>
      <c r="J6883" s="148">
        <v>0</v>
      </c>
      <c r="K6883" s="222">
        <v>0</v>
      </c>
    </row>
    <row r="6884" spans="1:11" ht="25.5" hidden="1" x14ac:dyDescent="0.25">
      <c r="A6884" s="203"/>
      <c r="B6884" s="205"/>
      <c r="C6884" s="35" t="s">
        <v>7754</v>
      </c>
      <c r="D6884" s="46" t="s">
        <v>20</v>
      </c>
      <c r="E6884" s="36">
        <v>1</v>
      </c>
      <c r="F6884" s="30">
        <v>588.09749999999997</v>
      </c>
      <c r="G6884" s="30">
        <f t="shared" si="177"/>
        <v>588.09749999999997</v>
      </c>
      <c r="H6884" s="38">
        <f>SUM(G6884:G6884)</f>
        <v>588.09749999999997</v>
      </c>
      <c r="I6884" s="39"/>
      <c r="J6884" s="148">
        <v>0</v>
      </c>
      <c r="K6884" s="222">
        <v>0</v>
      </c>
    </row>
    <row r="6885" spans="1:11" ht="15.75" hidden="1" thickBot="1" x14ac:dyDescent="0.3">
      <c r="A6885" s="209"/>
      <c r="B6885" s="206"/>
      <c r="C6885" s="54"/>
      <c r="D6885" s="54"/>
      <c r="E6885" s="65"/>
      <c r="F6885" s="66" t="s">
        <v>514</v>
      </c>
      <c r="G6885" s="66" t="str">
        <f t="shared" si="177"/>
        <v/>
      </c>
      <c r="H6885" s="68"/>
      <c r="I6885" s="30"/>
      <c r="J6885" s="148">
        <v>0</v>
      </c>
      <c r="K6885" s="222">
        <v>0</v>
      </c>
    </row>
    <row r="6886" spans="1:11" ht="15.75" hidden="1" thickBot="1" x14ac:dyDescent="0.3">
      <c r="A6886" s="202" t="s">
        <v>7142</v>
      </c>
      <c r="B6886" s="204" t="str">
        <f>INDEX(Orçamentária!A:B,MATCH(Composições!A6886,Orçamentária!A:A,0),2)</f>
        <v>Válvula de retenção vertical - 2”</v>
      </c>
      <c r="C6886" s="40"/>
      <c r="D6886" s="25" t="str">
        <f>TRIM(INDEX(Orçamentária!C:C,MATCH(Composições!A6886,Orçamentária!A:A,0),1))</f>
        <v>un</v>
      </c>
      <c r="E6886" s="26"/>
      <c r="F6886" s="41" t="s">
        <v>514</v>
      </c>
      <c r="G6886" s="27" t="str">
        <f t="shared" si="177"/>
        <v/>
      </c>
      <c r="H6886" s="28"/>
      <c r="I6886" s="29"/>
      <c r="J6886" s="148">
        <v>0</v>
      </c>
      <c r="K6886" s="222">
        <v>0</v>
      </c>
    </row>
    <row r="6887" spans="1:11" hidden="1" x14ac:dyDescent="0.25">
      <c r="A6887" s="203"/>
      <c r="B6887" s="205"/>
      <c r="C6887" s="31"/>
      <c r="D6887" s="31"/>
      <c r="E6887" s="32"/>
      <c r="F6887" s="42" t="s">
        <v>514</v>
      </c>
      <c r="G6887" s="30" t="str">
        <f t="shared" si="177"/>
        <v/>
      </c>
      <c r="H6887" s="34"/>
      <c r="I6887" s="30"/>
      <c r="J6887" s="148">
        <v>0</v>
      </c>
      <c r="K6887" s="222">
        <v>0</v>
      </c>
    </row>
    <row r="6888" spans="1:11" ht="25.5" hidden="1" x14ac:dyDescent="0.25">
      <c r="A6888" s="203"/>
      <c r="B6888" s="205"/>
      <c r="C6888" s="35" t="s">
        <v>7752</v>
      </c>
      <c r="D6888" s="46" t="s">
        <v>20</v>
      </c>
      <c r="E6888" s="36">
        <v>1</v>
      </c>
      <c r="F6888" s="30">
        <v>154.85</v>
      </c>
      <c r="G6888" s="30">
        <f t="shared" si="177"/>
        <v>154.85</v>
      </c>
      <c r="H6888" s="38">
        <f>SUM(G6888:G6888)</f>
        <v>154.85</v>
      </c>
      <c r="I6888" s="39"/>
      <c r="J6888" s="148">
        <v>0</v>
      </c>
      <c r="K6888" s="222">
        <v>0</v>
      </c>
    </row>
    <row r="6889" spans="1:11" ht="15.75" hidden="1" thickBot="1" x14ac:dyDescent="0.3">
      <c r="A6889" s="209"/>
      <c r="B6889" s="206"/>
      <c r="C6889" s="54"/>
      <c r="D6889" s="54"/>
      <c r="E6889" s="65"/>
      <c r="F6889" s="66" t="s">
        <v>514</v>
      </c>
      <c r="G6889" s="66" t="str">
        <f t="shared" si="177"/>
        <v/>
      </c>
      <c r="H6889" s="68"/>
      <c r="I6889" s="30"/>
      <c r="J6889" s="148">
        <v>0</v>
      </c>
      <c r="K6889" s="222">
        <v>0</v>
      </c>
    </row>
    <row r="6890" spans="1:11" ht="15.75" hidden="1" thickBot="1" x14ac:dyDescent="0.3">
      <c r="A6890" s="202" t="s">
        <v>7144</v>
      </c>
      <c r="B6890" s="204" t="str">
        <f>INDEX(Orçamentária!A:B,MATCH(Composições!A6890,Orçamentária!A:A,0),2)</f>
        <v>Válvula de retenção vertical - 2 1/2”</v>
      </c>
      <c r="C6890" s="40"/>
      <c r="D6890" s="25" t="str">
        <f>TRIM(INDEX(Orçamentária!C:C,MATCH(Composições!A6890,Orçamentária!A:A,0),1))</f>
        <v>un</v>
      </c>
      <c r="E6890" s="26"/>
      <c r="F6890" s="41" t="s">
        <v>514</v>
      </c>
      <c r="G6890" s="27" t="str">
        <f t="shared" si="177"/>
        <v/>
      </c>
      <c r="H6890" s="28"/>
      <c r="I6890" s="29"/>
      <c r="J6890" s="148">
        <v>0</v>
      </c>
      <c r="K6890" s="222">
        <v>0</v>
      </c>
    </row>
    <row r="6891" spans="1:11" hidden="1" x14ac:dyDescent="0.25">
      <c r="A6891" s="203"/>
      <c r="B6891" s="205"/>
      <c r="C6891" s="31"/>
      <c r="D6891" s="31"/>
      <c r="E6891" s="32"/>
      <c r="F6891" s="42" t="s">
        <v>514</v>
      </c>
      <c r="G6891" s="30" t="str">
        <f t="shared" si="177"/>
        <v/>
      </c>
      <c r="H6891" s="34"/>
      <c r="I6891" s="30"/>
      <c r="J6891" s="148">
        <v>0</v>
      </c>
      <c r="K6891" s="222">
        <v>0</v>
      </c>
    </row>
    <row r="6892" spans="1:11" ht="25.5" hidden="1" x14ac:dyDescent="0.25">
      <c r="A6892" s="203"/>
      <c r="B6892" s="205"/>
      <c r="C6892" s="35" t="s">
        <v>7751</v>
      </c>
      <c r="D6892" s="46" t="s">
        <v>20</v>
      </c>
      <c r="E6892" s="36">
        <v>1</v>
      </c>
      <c r="F6892" s="30">
        <v>248.14</v>
      </c>
      <c r="G6892" s="30">
        <f t="shared" si="177"/>
        <v>248.14</v>
      </c>
      <c r="H6892" s="38">
        <f>SUM(G6892:G6892)</f>
        <v>248.14</v>
      </c>
      <c r="I6892" s="39"/>
      <c r="J6892" s="148">
        <v>0</v>
      </c>
      <c r="K6892" s="222">
        <v>0</v>
      </c>
    </row>
    <row r="6893" spans="1:11" ht="15.75" hidden="1" thickBot="1" x14ac:dyDescent="0.3">
      <c r="A6893" s="209"/>
      <c r="B6893" s="206"/>
      <c r="C6893" s="54"/>
      <c r="D6893" s="54"/>
      <c r="E6893" s="65"/>
      <c r="F6893" s="66" t="s">
        <v>514</v>
      </c>
      <c r="G6893" s="66" t="str">
        <f t="shared" si="177"/>
        <v/>
      </c>
      <c r="H6893" s="68"/>
      <c r="I6893" s="30"/>
      <c r="J6893" s="148">
        <v>0</v>
      </c>
      <c r="K6893" s="222">
        <v>0</v>
      </c>
    </row>
    <row r="6894" spans="1:11" ht="15.75" hidden="1" thickBot="1" x14ac:dyDescent="0.3">
      <c r="A6894" s="202" t="s">
        <v>7148</v>
      </c>
      <c r="B6894" s="204" t="str">
        <f>INDEX(Orçamentária!A:B,MATCH(Composições!A6894,Orçamentária!A:A,0),2)</f>
        <v>Válvula de escoamento para tanque</v>
      </c>
      <c r="C6894" s="40"/>
      <c r="D6894" s="25" t="str">
        <f>TRIM(INDEX(Orçamentária!C:C,MATCH(Composições!A6894,Orçamentária!A:A,0),1))</f>
        <v>un</v>
      </c>
      <c r="E6894" s="26"/>
      <c r="F6894" s="41" t="s">
        <v>514</v>
      </c>
      <c r="G6894" s="27" t="str">
        <f t="shared" si="177"/>
        <v/>
      </c>
      <c r="H6894" s="28"/>
      <c r="I6894" s="29"/>
      <c r="J6894" s="148">
        <v>0</v>
      </c>
      <c r="K6894" s="222">
        <v>0</v>
      </c>
    </row>
    <row r="6895" spans="1:11" hidden="1" x14ac:dyDescent="0.25">
      <c r="A6895" s="203"/>
      <c r="B6895" s="205"/>
      <c r="C6895" s="31"/>
      <c r="D6895" s="31"/>
      <c r="E6895" s="32"/>
      <c r="F6895" s="42" t="s">
        <v>514</v>
      </c>
      <c r="G6895" s="30" t="str">
        <f t="shared" si="177"/>
        <v/>
      </c>
      <c r="H6895" s="34"/>
      <c r="I6895" s="30"/>
      <c r="J6895" s="148">
        <v>0</v>
      </c>
      <c r="K6895" s="222">
        <v>0</v>
      </c>
    </row>
    <row r="6896" spans="1:11" ht="25.5" hidden="1" x14ac:dyDescent="0.25">
      <c r="A6896" s="203"/>
      <c r="B6896" s="205"/>
      <c r="C6896" s="35" t="s">
        <v>6677</v>
      </c>
      <c r="D6896" s="46" t="s">
        <v>20</v>
      </c>
      <c r="E6896" s="36">
        <v>1</v>
      </c>
      <c r="F6896" s="30">
        <v>43.785499999999999</v>
      </c>
      <c r="G6896" s="30">
        <f t="shared" si="177"/>
        <v>43.785499999999999</v>
      </c>
      <c r="H6896" s="38">
        <f>SUM(G6896:G6896)</f>
        <v>43.785499999999999</v>
      </c>
      <c r="I6896" s="39"/>
      <c r="J6896" s="148">
        <v>0</v>
      </c>
      <c r="K6896" s="222">
        <v>0</v>
      </c>
    </row>
    <row r="6897" spans="1:11" ht="15.75" hidden="1" thickBot="1" x14ac:dyDescent="0.3">
      <c r="A6897" s="209"/>
      <c r="B6897" s="206"/>
      <c r="C6897" s="54"/>
      <c r="D6897" s="54"/>
      <c r="E6897" s="65"/>
      <c r="F6897" s="66" t="s">
        <v>514</v>
      </c>
      <c r="G6897" s="66" t="str">
        <f t="shared" si="177"/>
        <v/>
      </c>
      <c r="H6897" s="68"/>
      <c r="I6897" s="30"/>
      <c r="J6897" s="148">
        <v>0</v>
      </c>
      <c r="K6897" s="222">
        <v>0</v>
      </c>
    </row>
    <row r="6898" spans="1:11" ht="15.75" hidden="1" thickBot="1" x14ac:dyDescent="0.3">
      <c r="A6898" s="202" t="s">
        <v>7149</v>
      </c>
      <c r="B6898" s="204" t="str">
        <f>INDEX(Orçamentária!A:B,MATCH(Composições!A6898,Orçamentária!A:A,0),2)</f>
        <v>Sifão para tanque</v>
      </c>
      <c r="C6898" s="40"/>
      <c r="D6898" s="25" t="str">
        <f>TRIM(INDEX(Orçamentária!C:C,MATCH(Composições!A6898,Orçamentária!A:A,0),1))</f>
        <v>un</v>
      </c>
      <c r="E6898" s="26"/>
      <c r="F6898" s="41" t="s">
        <v>514</v>
      </c>
      <c r="G6898" s="27" t="str">
        <f t="shared" ref="G6898:G6961" si="187">IF(ISNUMBER(F6898),E6898*F6898,"")</f>
        <v/>
      </c>
      <c r="H6898" s="28"/>
      <c r="I6898" s="29"/>
      <c r="J6898" s="148">
        <v>0</v>
      </c>
      <c r="K6898" s="222">
        <v>0</v>
      </c>
    </row>
    <row r="6899" spans="1:11" hidden="1" x14ac:dyDescent="0.25">
      <c r="A6899" s="203"/>
      <c r="B6899" s="205"/>
      <c r="C6899" s="31"/>
      <c r="D6899" s="31"/>
      <c r="E6899" s="32"/>
      <c r="F6899" s="42" t="s">
        <v>514</v>
      </c>
      <c r="G6899" s="30" t="str">
        <f t="shared" si="187"/>
        <v/>
      </c>
      <c r="H6899" s="34"/>
      <c r="I6899" s="30"/>
      <c r="J6899" s="148">
        <v>0</v>
      </c>
      <c r="K6899" s="222">
        <v>0</v>
      </c>
    </row>
    <row r="6900" spans="1:11" hidden="1" x14ac:dyDescent="0.25">
      <c r="A6900" s="203"/>
      <c r="B6900" s="205"/>
      <c r="C6900" s="35" t="s">
        <v>7691</v>
      </c>
      <c r="D6900" s="46" t="s">
        <v>20</v>
      </c>
      <c r="E6900" s="36">
        <v>1</v>
      </c>
      <c r="F6900" s="30">
        <v>147.40199999999999</v>
      </c>
      <c r="G6900" s="30">
        <f t="shared" si="187"/>
        <v>147.40199999999999</v>
      </c>
      <c r="H6900" s="38">
        <f>SUM(G6900:G6900)</f>
        <v>147.40199999999999</v>
      </c>
      <c r="I6900" s="39"/>
      <c r="J6900" s="148">
        <v>0</v>
      </c>
      <c r="K6900" s="222">
        <v>0</v>
      </c>
    </row>
    <row r="6901" spans="1:11" ht="15.75" hidden="1" thickBot="1" x14ac:dyDescent="0.3">
      <c r="A6901" s="209"/>
      <c r="B6901" s="206"/>
      <c r="C6901" s="54"/>
      <c r="D6901" s="54"/>
      <c r="E6901" s="65"/>
      <c r="F6901" s="66" t="s">
        <v>514</v>
      </c>
      <c r="G6901" s="66" t="str">
        <f t="shared" si="187"/>
        <v/>
      </c>
      <c r="H6901" s="68"/>
      <c r="I6901" s="30"/>
      <c r="J6901" s="148">
        <v>0</v>
      </c>
      <c r="K6901" s="222">
        <v>0</v>
      </c>
    </row>
    <row r="6902" spans="1:11" ht="15.75" hidden="1" thickBot="1" x14ac:dyDescent="0.3">
      <c r="A6902" s="202" t="s">
        <v>7150</v>
      </c>
      <c r="B6902" s="204" t="str">
        <f>INDEX(Orçamentária!A:B,MATCH(Composições!A6902,Orçamentária!A:A,0),2)</f>
        <v>Tampa em ferro fundido 20x20 cm</v>
      </c>
      <c r="C6902" s="40"/>
      <c r="D6902" s="25" t="str">
        <f>TRIM(INDEX(Orçamentária!C:C,MATCH(Composições!A6902,Orçamentária!A:A,0),1))</f>
        <v>un</v>
      </c>
      <c r="E6902" s="26"/>
      <c r="F6902" s="41" t="s">
        <v>514</v>
      </c>
      <c r="G6902" s="27" t="str">
        <f t="shared" si="187"/>
        <v/>
      </c>
      <c r="H6902" s="28"/>
      <c r="I6902" s="29"/>
      <c r="J6902" s="148">
        <v>0</v>
      </c>
      <c r="K6902" s="222">
        <v>0</v>
      </c>
    </row>
    <row r="6903" spans="1:11" hidden="1" x14ac:dyDescent="0.25">
      <c r="A6903" s="203"/>
      <c r="B6903" s="205"/>
      <c r="C6903" s="31"/>
      <c r="D6903" s="31"/>
      <c r="E6903" s="32"/>
      <c r="F6903" s="42" t="s">
        <v>514</v>
      </c>
      <c r="G6903" s="30" t="str">
        <f t="shared" si="187"/>
        <v/>
      </c>
      <c r="H6903" s="34"/>
      <c r="I6903" s="30"/>
      <c r="J6903" s="148">
        <v>0</v>
      </c>
      <c r="K6903" s="222">
        <v>0</v>
      </c>
    </row>
    <row r="6904" spans="1:11" ht="25.5" hidden="1" x14ac:dyDescent="0.25">
      <c r="A6904" s="203"/>
      <c r="B6904" s="205"/>
      <c r="C6904" s="35" t="s">
        <v>1163</v>
      </c>
      <c r="D6904" s="46" t="s">
        <v>20</v>
      </c>
      <c r="E6904" s="36">
        <v>1</v>
      </c>
      <c r="F6904" s="30">
        <v>106.39049999999999</v>
      </c>
      <c r="G6904" s="30">
        <f t="shared" si="187"/>
        <v>106.39049999999999</v>
      </c>
      <c r="H6904" s="38">
        <f>SUM(G6904:G6904)</f>
        <v>106.39049999999999</v>
      </c>
      <c r="I6904" s="39"/>
      <c r="J6904" s="148">
        <v>0</v>
      </c>
      <c r="K6904" s="222">
        <v>0</v>
      </c>
    </row>
    <row r="6905" spans="1:11" ht="15.75" hidden="1" thickBot="1" x14ac:dyDescent="0.3">
      <c r="A6905" s="209"/>
      <c r="B6905" s="206"/>
      <c r="C6905" s="54"/>
      <c r="D6905" s="54"/>
      <c r="E6905" s="65"/>
      <c r="F6905" s="66" t="s">
        <v>514</v>
      </c>
      <c r="G6905" s="66" t="str">
        <f t="shared" si="187"/>
        <v/>
      </c>
      <c r="H6905" s="68"/>
      <c r="I6905" s="30"/>
      <c r="J6905" s="148">
        <v>0</v>
      </c>
      <c r="K6905" s="222">
        <v>0</v>
      </c>
    </row>
    <row r="6906" spans="1:11" ht="15.75" hidden="1" thickBot="1" x14ac:dyDescent="0.3">
      <c r="A6906" s="202" t="s">
        <v>7151</v>
      </c>
      <c r="B6906" s="204" t="str">
        <f>INDEX(Orçamentária!A:B,MATCH(Composições!A6906,Orçamentária!A:A,0),2)</f>
        <v>Acoplamento Circular PVC 88mm</v>
      </c>
      <c r="C6906" s="40"/>
      <c r="D6906" s="25" t="str">
        <f>TRIM(INDEX(Orçamentária!C:C,MATCH(Composições!A6906,Orçamentária!A:A,0),1))</f>
        <v>un</v>
      </c>
      <c r="E6906" s="26"/>
      <c r="F6906" s="41" t="s">
        <v>514</v>
      </c>
      <c r="G6906" s="27" t="str">
        <f t="shared" si="187"/>
        <v/>
      </c>
      <c r="H6906" s="28"/>
      <c r="I6906" s="29"/>
      <c r="J6906" s="148">
        <v>0</v>
      </c>
      <c r="K6906" s="222">
        <v>0</v>
      </c>
    </row>
    <row r="6907" spans="1:11" hidden="1" x14ac:dyDescent="0.25">
      <c r="A6907" s="203"/>
      <c r="B6907" s="205"/>
      <c r="C6907" s="31"/>
      <c r="D6907" s="31"/>
      <c r="E6907" s="32"/>
      <c r="F6907" s="42" t="s">
        <v>514</v>
      </c>
      <c r="G6907" s="30" t="str">
        <f t="shared" si="187"/>
        <v/>
      </c>
      <c r="H6907" s="34"/>
      <c r="I6907" s="30"/>
      <c r="J6907" s="148">
        <v>0</v>
      </c>
      <c r="K6907" s="222">
        <v>0</v>
      </c>
    </row>
    <row r="6908" spans="1:11" ht="25.5" hidden="1" x14ac:dyDescent="0.25">
      <c r="A6908" s="203"/>
      <c r="B6908" s="205"/>
      <c r="C6908" s="35" t="s">
        <v>7600</v>
      </c>
      <c r="D6908" s="46" t="s">
        <v>20</v>
      </c>
      <c r="E6908" s="36">
        <v>1</v>
      </c>
      <c r="F6908" s="30">
        <v>4.6360000000000001</v>
      </c>
      <c r="G6908" s="30">
        <f t="shared" si="187"/>
        <v>4.6360000000000001</v>
      </c>
      <c r="H6908" s="38">
        <f>SUM(G6908:G6908)</f>
        <v>4.6360000000000001</v>
      </c>
      <c r="I6908" s="39"/>
      <c r="J6908" s="148">
        <v>0</v>
      </c>
      <c r="K6908" s="222">
        <v>0</v>
      </c>
    </row>
    <row r="6909" spans="1:11" ht="15.75" hidden="1" thickBot="1" x14ac:dyDescent="0.3">
      <c r="A6909" s="209"/>
      <c r="B6909" s="206"/>
      <c r="C6909" s="54"/>
      <c r="D6909" s="54"/>
      <c r="E6909" s="65"/>
      <c r="F6909" s="66" t="s">
        <v>514</v>
      </c>
      <c r="G6909" s="66" t="str">
        <f t="shared" si="187"/>
        <v/>
      </c>
      <c r="H6909" s="68"/>
      <c r="I6909" s="30"/>
      <c r="J6909" s="148">
        <v>0</v>
      </c>
      <c r="K6909" s="222">
        <v>0</v>
      </c>
    </row>
    <row r="6910" spans="1:11" ht="15.75" hidden="1" thickBot="1" x14ac:dyDescent="0.3">
      <c r="A6910" s="202" t="s">
        <v>7153</v>
      </c>
      <c r="B6910" s="204" t="str">
        <f>INDEX(Orçamentária!A:B,MATCH(Composições!A6910,Orçamentária!A:A,0),2)</f>
        <v>Adaptador com Flange e Anel 85mm x 3”</v>
      </c>
      <c r="C6910" s="40"/>
      <c r="D6910" s="25" t="str">
        <f>TRIM(INDEX(Orçamentária!C:C,MATCH(Composições!A6910,Orçamentária!A:A,0),1))</f>
        <v>un</v>
      </c>
      <c r="E6910" s="26"/>
      <c r="F6910" s="41" t="s">
        <v>514</v>
      </c>
      <c r="G6910" s="27" t="str">
        <f t="shared" si="187"/>
        <v/>
      </c>
      <c r="H6910" s="28"/>
      <c r="I6910" s="29"/>
      <c r="J6910" s="148">
        <v>0</v>
      </c>
      <c r="K6910" s="222">
        <v>0</v>
      </c>
    </row>
    <row r="6911" spans="1:11" hidden="1" x14ac:dyDescent="0.25">
      <c r="A6911" s="203"/>
      <c r="B6911" s="205"/>
      <c r="C6911" s="31"/>
      <c r="D6911" s="31"/>
      <c r="E6911" s="32"/>
      <c r="F6911" s="42" t="s">
        <v>514</v>
      </c>
      <c r="G6911" s="30" t="str">
        <f t="shared" si="187"/>
        <v/>
      </c>
      <c r="H6911" s="34"/>
      <c r="I6911" s="30"/>
      <c r="J6911" s="148">
        <v>0</v>
      </c>
      <c r="K6911" s="222">
        <v>0</v>
      </c>
    </row>
    <row r="6912" spans="1:11" ht="25.5" hidden="1" x14ac:dyDescent="0.25">
      <c r="A6912" s="203"/>
      <c r="B6912" s="205"/>
      <c r="C6912" s="35" t="s">
        <v>7604</v>
      </c>
      <c r="D6912" s="46" t="s">
        <v>20</v>
      </c>
      <c r="E6912" s="36">
        <v>1</v>
      </c>
      <c r="F6912" s="30">
        <v>321.77449999999999</v>
      </c>
      <c r="G6912" s="30">
        <f t="shared" si="187"/>
        <v>321.77449999999999</v>
      </c>
      <c r="H6912" s="38">
        <f>SUM(G6912:G6912)</f>
        <v>321.77449999999999</v>
      </c>
      <c r="I6912" s="39"/>
      <c r="J6912" s="148">
        <v>0</v>
      </c>
      <c r="K6912" s="222">
        <v>0</v>
      </c>
    </row>
    <row r="6913" spans="1:11" ht="15.75" hidden="1" thickBot="1" x14ac:dyDescent="0.3">
      <c r="A6913" s="209"/>
      <c r="B6913" s="206"/>
      <c r="C6913" s="54"/>
      <c r="D6913" s="54"/>
      <c r="E6913" s="65"/>
      <c r="F6913" s="66" t="s">
        <v>514</v>
      </c>
      <c r="G6913" s="66" t="str">
        <f t="shared" si="187"/>
        <v/>
      </c>
      <c r="H6913" s="68"/>
      <c r="I6913" s="30"/>
      <c r="J6913" s="148">
        <v>0</v>
      </c>
      <c r="K6913" s="222">
        <v>0</v>
      </c>
    </row>
    <row r="6914" spans="1:11" ht="15.75" hidden="1" thickBot="1" x14ac:dyDescent="0.3">
      <c r="A6914" s="202" t="s">
        <v>7163</v>
      </c>
      <c r="B6914" s="204" t="str">
        <f>INDEX(Orçamentária!A:B,MATCH(Composições!A6914,Orçamentária!A:A,0),2)</f>
        <v>Adaptador PVC água fria- 60 mm x 2”</v>
      </c>
      <c r="C6914" s="40"/>
      <c r="D6914" s="25" t="str">
        <f>TRIM(INDEX(Orçamentária!C:C,MATCH(Composições!A6914,Orçamentária!A:A,0),1))</f>
        <v>un</v>
      </c>
      <c r="E6914" s="26"/>
      <c r="F6914" s="41" t="s">
        <v>514</v>
      </c>
      <c r="G6914" s="27" t="str">
        <f t="shared" si="187"/>
        <v/>
      </c>
      <c r="H6914" s="28"/>
      <c r="I6914" s="29"/>
      <c r="J6914" s="148">
        <v>0</v>
      </c>
      <c r="K6914" s="222">
        <v>0</v>
      </c>
    </row>
    <row r="6915" spans="1:11" hidden="1" x14ac:dyDescent="0.25">
      <c r="A6915" s="203"/>
      <c r="B6915" s="205"/>
      <c r="C6915" s="31"/>
      <c r="D6915" s="31"/>
      <c r="E6915" s="32"/>
      <c r="F6915" s="42" t="s">
        <v>514</v>
      </c>
      <c r="G6915" s="30" t="str">
        <f t="shared" si="187"/>
        <v/>
      </c>
      <c r="H6915" s="34"/>
      <c r="I6915" s="30"/>
      <c r="J6915" s="148">
        <v>0</v>
      </c>
      <c r="K6915" s="222">
        <v>0</v>
      </c>
    </row>
    <row r="6916" spans="1:11" ht="25.5" hidden="1" x14ac:dyDescent="0.25">
      <c r="A6916" s="203"/>
      <c r="B6916" s="205"/>
      <c r="C6916" s="35" t="s">
        <v>7601</v>
      </c>
      <c r="D6916" s="46" t="s">
        <v>20</v>
      </c>
      <c r="E6916" s="36">
        <v>1</v>
      </c>
      <c r="F6916" s="30">
        <v>15.827</v>
      </c>
      <c r="G6916" s="30">
        <f t="shared" si="187"/>
        <v>15.827</v>
      </c>
      <c r="H6916" s="38">
        <f>SUM(G6916:G6916)</f>
        <v>15.827</v>
      </c>
      <c r="I6916" s="39"/>
      <c r="J6916" s="148">
        <v>0</v>
      </c>
      <c r="K6916" s="222">
        <v>0</v>
      </c>
    </row>
    <row r="6917" spans="1:11" ht="15.75" hidden="1" thickBot="1" x14ac:dyDescent="0.3">
      <c r="A6917" s="209"/>
      <c r="B6917" s="206"/>
      <c r="C6917" s="54"/>
      <c r="D6917" s="54"/>
      <c r="E6917" s="65"/>
      <c r="F6917" s="66" t="s">
        <v>514</v>
      </c>
      <c r="G6917" s="66" t="str">
        <f t="shared" si="187"/>
        <v/>
      </c>
      <c r="H6917" s="68"/>
      <c r="I6917" s="30"/>
      <c r="J6917" s="148">
        <v>0</v>
      </c>
      <c r="K6917" s="222">
        <v>0</v>
      </c>
    </row>
    <row r="6918" spans="1:11" ht="15.75" hidden="1" thickBot="1" x14ac:dyDescent="0.3">
      <c r="A6918" s="202" t="s">
        <v>7165</v>
      </c>
      <c r="B6918" s="204" t="str">
        <f>INDEX(Orçamentária!A:B,MATCH(Composições!A6918,Orçamentária!A:A,0),2)</f>
        <v>Manilha para Poço – 1,10x0,50x0,05 m</v>
      </c>
      <c r="C6918" s="40"/>
      <c r="D6918" s="25" t="str">
        <f>TRIM(INDEX(Orçamentária!C:C,MATCH(Composições!A6918,Orçamentária!A:A,0),1))</f>
        <v>un</v>
      </c>
      <c r="E6918" s="26"/>
      <c r="F6918" s="41" t="s">
        <v>514</v>
      </c>
      <c r="G6918" s="27" t="str">
        <f t="shared" si="187"/>
        <v/>
      </c>
      <c r="H6918" s="28"/>
      <c r="I6918" s="29"/>
      <c r="J6918" s="148">
        <v>0</v>
      </c>
      <c r="K6918" s="222">
        <v>0</v>
      </c>
    </row>
    <row r="6919" spans="1:11" hidden="1" x14ac:dyDescent="0.25">
      <c r="A6919" s="203"/>
      <c r="B6919" s="205"/>
      <c r="C6919" s="31"/>
      <c r="D6919" s="31"/>
      <c r="E6919" s="32"/>
      <c r="F6919" s="42" t="s">
        <v>514</v>
      </c>
      <c r="G6919" s="30" t="str">
        <f t="shared" si="187"/>
        <v/>
      </c>
      <c r="H6919" s="34"/>
      <c r="I6919" s="30"/>
      <c r="J6919" s="148">
        <v>0</v>
      </c>
      <c r="K6919" s="222">
        <v>0</v>
      </c>
    </row>
    <row r="6920" spans="1:11" ht="38.25" hidden="1" x14ac:dyDescent="0.25">
      <c r="A6920" s="203"/>
      <c r="B6920" s="205"/>
      <c r="C6920" s="35" t="s">
        <v>7607</v>
      </c>
      <c r="D6920" s="46" t="s">
        <v>20</v>
      </c>
      <c r="E6920" s="36">
        <v>1</v>
      </c>
      <c r="F6920" s="30">
        <v>266.53199999999998</v>
      </c>
      <c r="G6920" s="30">
        <f t="shared" si="187"/>
        <v>266.53199999999998</v>
      </c>
      <c r="H6920" s="38">
        <f>SUM(G6920:G6920)</f>
        <v>266.53199999999998</v>
      </c>
      <c r="I6920" s="39"/>
      <c r="J6920" s="148">
        <v>0</v>
      </c>
      <c r="K6920" s="222">
        <v>0</v>
      </c>
    </row>
    <row r="6921" spans="1:11" ht="15.75" hidden="1" thickBot="1" x14ac:dyDescent="0.3">
      <c r="A6921" s="209"/>
      <c r="B6921" s="206"/>
      <c r="C6921" s="54"/>
      <c r="D6921" s="54"/>
      <c r="E6921" s="65"/>
      <c r="F6921" s="66" t="s">
        <v>514</v>
      </c>
      <c r="G6921" s="66" t="str">
        <f t="shared" si="187"/>
        <v/>
      </c>
      <c r="H6921" s="68"/>
      <c r="I6921" s="30"/>
      <c r="J6921" s="148">
        <v>0</v>
      </c>
      <c r="K6921" s="222">
        <v>0</v>
      </c>
    </row>
    <row r="6922" spans="1:11" ht="15.75" hidden="1" thickBot="1" x14ac:dyDescent="0.3">
      <c r="A6922" s="202" t="s">
        <v>7169</v>
      </c>
      <c r="B6922" s="204" t="str">
        <f>INDEX(Orçamentária!A:B,MATCH(Composições!A6922,Orçamentária!A:A,0),2)</f>
        <v>Aquecedor elétrico horizontal – 200L – Linha Residencial</v>
      </c>
      <c r="C6922" s="40"/>
      <c r="D6922" s="25" t="str">
        <f>TRIM(INDEX(Orçamentária!C:C,MATCH(Composições!A6922,Orçamentária!A:A,0),1))</f>
        <v>un</v>
      </c>
      <c r="E6922" s="26"/>
      <c r="F6922" s="41" t="s">
        <v>514</v>
      </c>
      <c r="G6922" s="27" t="str">
        <f t="shared" si="187"/>
        <v/>
      </c>
      <c r="H6922" s="28"/>
      <c r="I6922" s="29"/>
      <c r="J6922" s="148">
        <v>0</v>
      </c>
      <c r="K6922" s="222">
        <v>0</v>
      </c>
    </row>
    <row r="6923" spans="1:11" hidden="1" x14ac:dyDescent="0.25">
      <c r="A6923" s="203"/>
      <c r="B6923" s="205"/>
      <c r="C6923" s="31"/>
      <c r="D6923" s="31"/>
      <c r="E6923" s="32"/>
      <c r="F6923" s="42" t="s">
        <v>514</v>
      </c>
      <c r="G6923" s="30" t="str">
        <f t="shared" si="187"/>
        <v/>
      </c>
      <c r="H6923" s="34"/>
      <c r="I6923" s="30"/>
      <c r="J6923" s="148">
        <v>0</v>
      </c>
      <c r="K6923" s="222">
        <v>0</v>
      </c>
    </row>
    <row r="6924" spans="1:11" ht="38.25" hidden="1" x14ac:dyDescent="0.25">
      <c r="A6924" s="203"/>
      <c r="B6924" s="205"/>
      <c r="C6924" s="35" t="s">
        <v>7608</v>
      </c>
      <c r="D6924" s="46" t="s">
        <v>20</v>
      </c>
      <c r="E6924" s="36">
        <v>1</v>
      </c>
      <c r="F6924" s="30">
        <v>4887.1324999999997</v>
      </c>
      <c r="G6924" s="30">
        <f t="shared" si="187"/>
        <v>4887.1324999999997</v>
      </c>
      <c r="H6924" s="38">
        <f>SUM(G6924:G6924)</f>
        <v>4887.1324999999997</v>
      </c>
      <c r="I6924" s="39"/>
      <c r="J6924" s="148">
        <v>0</v>
      </c>
      <c r="K6924" s="222">
        <v>0</v>
      </c>
    </row>
    <row r="6925" spans="1:11" ht="15.75" hidden="1" thickBot="1" x14ac:dyDescent="0.3">
      <c r="A6925" s="209"/>
      <c r="B6925" s="206"/>
      <c r="C6925" s="54"/>
      <c r="D6925" s="54"/>
      <c r="E6925" s="65"/>
      <c r="F6925" s="66" t="s">
        <v>514</v>
      </c>
      <c r="G6925" s="66" t="str">
        <f t="shared" si="187"/>
        <v/>
      </c>
      <c r="H6925" s="68"/>
      <c r="I6925" s="30"/>
      <c r="J6925" s="148">
        <v>0</v>
      </c>
      <c r="K6925" s="222">
        <v>0</v>
      </c>
    </row>
    <row r="6926" spans="1:11" ht="15.75" hidden="1" thickBot="1" x14ac:dyDescent="0.3">
      <c r="A6926" s="202" t="s">
        <v>7223</v>
      </c>
      <c r="B6926" s="204" t="str">
        <f>INDEX(Orçamentária!A:B,MATCH(Composições!A6926,Orçamentária!A:A,0),2)</f>
        <v>Bucha de Redução em CPVC 28 x 22mm</v>
      </c>
      <c r="C6926" s="40"/>
      <c r="D6926" s="25" t="str">
        <f>TRIM(INDEX(Orçamentária!C:C,MATCH(Composições!A6926,Orçamentária!A:A,0),1))</f>
        <v>un</v>
      </c>
      <c r="E6926" s="26"/>
      <c r="F6926" s="41" t="s">
        <v>514</v>
      </c>
      <c r="G6926" s="27" t="str">
        <f t="shared" si="187"/>
        <v/>
      </c>
      <c r="H6926" s="28"/>
      <c r="I6926" s="29"/>
      <c r="J6926" s="148">
        <v>0</v>
      </c>
      <c r="K6926" s="222">
        <v>0</v>
      </c>
    </row>
    <row r="6927" spans="1:11" hidden="1" x14ac:dyDescent="0.25">
      <c r="A6927" s="203"/>
      <c r="B6927" s="205"/>
      <c r="C6927" s="31"/>
      <c r="D6927" s="31"/>
      <c r="E6927" s="32"/>
      <c r="F6927" s="42" t="s">
        <v>514</v>
      </c>
      <c r="G6927" s="30" t="str">
        <f t="shared" si="187"/>
        <v/>
      </c>
      <c r="H6927" s="34"/>
      <c r="I6927" s="30"/>
      <c r="J6927" s="148">
        <v>0</v>
      </c>
      <c r="K6927" s="222">
        <v>0</v>
      </c>
    </row>
    <row r="6928" spans="1:11" ht="25.5" hidden="1" x14ac:dyDescent="0.25">
      <c r="A6928" s="203"/>
      <c r="B6928" s="205"/>
      <c r="C6928" s="35" t="s">
        <v>7618</v>
      </c>
      <c r="D6928" s="46" t="s">
        <v>20</v>
      </c>
      <c r="E6928" s="36">
        <v>1</v>
      </c>
      <c r="F6928" s="30">
        <v>1.6909999999999998</v>
      </c>
      <c r="G6928" s="30">
        <f t="shared" si="187"/>
        <v>1.6909999999999998</v>
      </c>
      <c r="H6928" s="38">
        <f>SUM(G6928:G6928)</f>
        <v>1.6909999999999998</v>
      </c>
      <c r="I6928" s="39"/>
      <c r="J6928" s="148">
        <v>0</v>
      </c>
      <c r="K6928" s="222">
        <v>0</v>
      </c>
    </row>
    <row r="6929" spans="1:11" ht="15.75" hidden="1" thickBot="1" x14ac:dyDescent="0.3">
      <c r="A6929" s="209"/>
      <c r="B6929" s="206"/>
      <c r="C6929" s="54"/>
      <c r="D6929" s="54"/>
      <c r="E6929" s="65"/>
      <c r="F6929" s="66" t="s">
        <v>514</v>
      </c>
      <c r="G6929" s="66" t="str">
        <f t="shared" si="187"/>
        <v/>
      </c>
      <c r="H6929" s="68"/>
      <c r="I6929" s="30"/>
      <c r="J6929" s="148">
        <v>0</v>
      </c>
      <c r="K6929" s="222">
        <v>0</v>
      </c>
    </row>
    <row r="6930" spans="1:11" ht="15.75" hidden="1" thickBot="1" x14ac:dyDescent="0.3">
      <c r="A6930" s="202" t="s">
        <v>7229</v>
      </c>
      <c r="B6930" s="204" t="str">
        <f>INDEX(Orçamentária!A:B,MATCH(Composições!A6930,Orçamentária!A:A,0),2)</f>
        <v>Plug Galvanizado 4”</v>
      </c>
      <c r="C6930" s="40"/>
      <c r="D6930" s="25" t="str">
        <f>TRIM(INDEX(Orçamentária!C:C,MATCH(Composições!A6930,Orçamentária!A:A,0),1))</f>
        <v>un</v>
      </c>
      <c r="E6930" s="26"/>
      <c r="F6930" s="41" t="s">
        <v>514</v>
      </c>
      <c r="G6930" s="27" t="str">
        <f t="shared" si="187"/>
        <v/>
      </c>
      <c r="H6930" s="28"/>
      <c r="I6930" s="29"/>
      <c r="J6930" s="148">
        <v>0</v>
      </c>
      <c r="K6930" s="222">
        <v>0</v>
      </c>
    </row>
    <row r="6931" spans="1:11" hidden="1" x14ac:dyDescent="0.25">
      <c r="A6931" s="203"/>
      <c r="B6931" s="205"/>
      <c r="C6931" s="31"/>
      <c r="D6931" s="31"/>
      <c r="E6931" s="32"/>
      <c r="F6931" s="42" t="s">
        <v>514</v>
      </c>
      <c r="G6931" s="30" t="str">
        <f t="shared" si="187"/>
        <v/>
      </c>
      <c r="H6931" s="34"/>
      <c r="I6931" s="30"/>
      <c r="J6931" s="148">
        <v>0</v>
      </c>
      <c r="K6931" s="222">
        <v>0</v>
      </c>
    </row>
    <row r="6932" spans="1:11" hidden="1" x14ac:dyDescent="0.25">
      <c r="A6932" s="203"/>
      <c r="B6932" s="205"/>
      <c r="C6932" s="35" t="s">
        <v>7670</v>
      </c>
      <c r="D6932" s="46" t="s">
        <v>20</v>
      </c>
      <c r="E6932" s="36">
        <v>1</v>
      </c>
      <c r="F6932" s="30">
        <v>108.05299999999998</v>
      </c>
      <c r="G6932" s="30">
        <f t="shared" si="187"/>
        <v>108.05299999999998</v>
      </c>
      <c r="H6932" s="38">
        <f>SUM(G6932:G6932)</f>
        <v>108.05299999999998</v>
      </c>
      <c r="I6932" s="39"/>
      <c r="J6932" s="148">
        <v>0</v>
      </c>
      <c r="K6932" s="222">
        <v>0</v>
      </c>
    </row>
    <row r="6933" spans="1:11" ht="15.75" hidden="1" thickBot="1" x14ac:dyDescent="0.3">
      <c r="A6933" s="209"/>
      <c r="B6933" s="206"/>
      <c r="C6933" s="54"/>
      <c r="D6933" s="54"/>
      <c r="E6933" s="65"/>
      <c r="F6933" s="66" t="s">
        <v>514</v>
      </c>
      <c r="G6933" s="66" t="str">
        <f t="shared" si="187"/>
        <v/>
      </c>
      <c r="H6933" s="68"/>
      <c r="I6933" s="30"/>
      <c r="J6933" s="148">
        <v>0</v>
      </c>
      <c r="K6933" s="222">
        <v>0</v>
      </c>
    </row>
    <row r="6934" spans="1:11" ht="15.75" hidden="1" thickBot="1" x14ac:dyDescent="0.3">
      <c r="A6934" s="202" t="s">
        <v>7231</v>
      </c>
      <c r="B6934" s="204" t="str">
        <f>INDEX(Orçamentária!A:B,MATCH(Composições!A6934,Orçamentária!A:A,0),2)</f>
        <v>Caixa d’água 1000 Litros</v>
      </c>
      <c r="C6934" s="40"/>
      <c r="D6934" s="25" t="str">
        <f>TRIM(INDEX(Orçamentária!C:C,MATCH(Composições!A6934,Orçamentária!A:A,0),1))</f>
        <v>un</v>
      </c>
      <c r="E6934" s="26"/>
      <c r="F6934" s="41" t="s">
        <v>514</v>
      </c>
      <c r="G6934" s="27" t="str">
        <f t="shared" si="187"/>
        <v/>
      </c>
      <c r="H6934" s="28"/>
      <c r="I6934" s="29"/>
      <c r="J6934" s="148">
        <v>0</v>
      </c>
      <c r="K6934" s="222">
        <v>0</v>
      </c>
    </row>
    <row r="6935" spans="1:11" hidden="1" x14ac:dyDescent="0.25">
      <c r="A6935" s="203"/>
      <c r="B6935" s="205"/>
      <c r="C6935" s="31"/>
      <c r="D6935" s="31"/>
      <c r="E6935" s="32"/>
      <c r="F6935" s="42" t="s">
        <v>514</v>
      </c>
      <c r="G6935" s="30" t="str">
        <f t="shared" si="187"/>
        <v/>
      </c>
      <c r="H6935" s="34"/>
      <c r="I6935" s="30"/>
      <c r="J6935" s="148">
        <v>0</v>
      </c>
      <c r="K6935" s="222">
        <v>0</v>
      </c>
    </row>
    <row r="6936" spans="1:11" hidden="1" x14ac:dyDescent="0.25">
      <c r="A6936" s="203"/>
      <c r="B6936" s="205"/>
      <c r="C6936" s="35" t="s">
        <v>7619</v>
      </c>
      <c r="D6936" s="46" t="s">
        <v>20</v>
      </c>
      <c r="E6936" s="36">
        <v>1</v>
      </c>
      <c r="F6936" s="30">
        <v>455.90499999999997</v>
      </c>
      <c r="G6936" s="30">
        <f t="shared" si="187"/>
        <v>455.90499999999997</v>
      </c>
      <c r="H6936" s="38">
        <f>SUM(G6936:G6936)</f>
        <v>455.90499999999997</v>
      </c>
      <c r="I6936" s="39"/>
      <c r="J6936" s="148">
        <v>0</v>
      </c>
      <c r="K6936" s="222">
        <v>0</v>
      </c>
    </row>
    <row r="6937" spans="1:11" ht="15.75" hidden="1" thickBot="1" x14ac:dyDescent="0.3">
      <c r="A6937" s="209"/>
      <c r="B6937" s="206"/>
      <c r="C6937" s="54"/>
      <c r="D6937" s="54"/>
      <c r="E6937" s="65"/>
      <c r="F6937" s="66" t="s">
        <v>514</v>
      </c>
      <c r="G6937" s="66" t="str">
        <f t="shared" si="187"/>
        <v/>
      </c>
      <c r="H6937" s="68"/>
      <c r="I6937" s="30"/>
      <c r="J6937" s="148">
        <v>0</v>
      </c>
      <c r="K6937" s="222">
        <v>0</v>
      </c>
    </row>
    <row r="6938" spans="1:11" ht="15.75" hidden="1" thickBot="1" x14ac:dyDescent="0.3">
      <c r="A6938" s="202" t="s">
        <v>7233</v>
      </c>
      <c r="B6938" s="204" t="str">
        <f>INDEX(Orçamentária!A:B,MATCH(Composições!A6938,Orçamentária!A:A,0),2)</f>
        <v>Canopla para Sprinkler de 1/2”, em latão cromado, diâmetro externo de 6,5cm</v>
      </c>
      <c r="C6938" s="40"/>
      <c r="D6938" s="25" t="str">
        <f>TRIM(INDEX(Orçamentária!C:C,MATCH(Composições!A6938,Orçamentária!A:A,0),1))</f>
        <v>un</v>
      </c>
      <c r="E6938" s="26"/>
      <c r="F6938" s="41" t="s">
        <v>514</v>
      </c>
      <c r="G6938" s="27" t="str">
        <f t="shared" si="187"/>
        <v/>
      </c>
      <c r="H6938" s="28"/>
      <c r="I6938" s="29"/>
      <c r="J6938" s="148">
        <v>0</v>
      </c>
      <c r="K6938" s="222">
        <v>0</v>
      </c>
    </row>
    <row r="6939" spans="1:11" hidden="1" x14ac:dyDescent="0.25">
      <c r="A6939" s="203"/>
      <c r="B6939" s="205"/>
      <c r="C6939" s="31"/>
      <c r="D6939" s="31"/>
      <c r="E6939" s="32"/>
      <c r="F6939" s="42" t="s">
        <v>514</v>
      </c>
      <c r="G6939" s="30" t="str">
        <f t="shared" si="187"/>
        <v/>
      </c>
      <c r="H6939" s="34"/>
      <c r="I6939" s="30"/>
      <c r="J6939" s="148">
        <v>0</v>
      </c>
      <c r="K6939" s="222">
        <v>0</v>
      </c>
    </row>
    <row r="6940" spans="1:11" ht="25.5" hidden="1" x14ac:dyDescent="0.25">
      <c r="A6940" s="203"/>
      <c r="B6940" s="205"/>
      <c r="C6940" s="35" t="s">
        <v>7624</v>
      </c>
      <c r="D6940" s="46" t="s">
        <v>20</v>
      </c>
      <c r="E6940" s="36">
        <v>1</v>
      </c>
      <c r="F6940" s="30">
        <v>5.4339999999999993</v>
      </c>
      <c r="G6940" s="30">
        <f t="shared" si="187"/>
        <v>5.4339999999999993</v>
      </c>
      <c r="H6940" s="38">
        <f>SUM(G6940:G6940)</f>
        <v>5.4339999999999993</v>
      </c>
      <c r="I6940" s="39"/>
      <c r="J6940" s="148">
        <v>0</v>
      </c>
      <c r="K6940" s="222">
        <v>0</v>
      </c>
    </row>
    <row r="6941" spans="1:11" ht="15.75" hidden="1" thickBot="1" x14ac:dyDescent="0.3">
      <c r="A6941" s="209"/>
      <c r="B6941" s="206"/>
      <c r="C6941" s="54"/>
      <c r="D6941" s="54"/>
      <c r="E6941" s="65"/>
      <c r="F6941" s="66" t="s">
        <v>514</v>
      </c>
      <c r="G6941" s="66" t="str">
        <f t="shared" si="187"/>
        <v/>
      </c>
      <c r="H6941" s="68"/>
      <c r="I6941" s="30"/>
      <c r="J6941" s="148">
        <v>0</v>
      </c>
      <c r="K6941" s="222">
        <v>0</v>
      </c>
    </row>
    <row r="6942" spans="1:11" ht="15.75" hidden="1" thickBot="1" x14ac:dyDescent="0.3">
      <c r="A6942" s="202" t="s">
        <v>7235</v>
      </c>
      <c r="B6942" s="204" t="str">
        <f>INDEX(Orçamentária!A:B,MATCH(Composições!A6942,Orçamentária!A:A,0),2)</f>
        <v>Sprinkler Pendente 1/2” Cromado 68°C, Fator K80 (5,6)</v>
      </c>
      <c r="C6942" s="40"/>
      <c r="D6942" s="25" t="str">
        <f>TRIM(INDEX(Orçamentária!C:C,MATCH(Composições!A6942,Orçamentária!A:A,0),1))</f>
        <v>un</v>
      </c>
      <c r="E6942" s="26"/>
      <c r="F6942" s="41" t="s">
        <v>514</v>
      </c>
      <c r="G6942" s="27" t="str">
        <f t="shared" si="187"/>
        <v/>
      </c>
      <c r="H6942" s="28"/>
      <c r="I6942" s="29"/>
      <c r="J6942" s="148">
        <v>0</v>
      </c>
      <c r="K6942" s="222">
        <v>0</v>
      </c>
    </row>
    <row r="6943" spans="1:11" hidden="1" x14ac:dyDescent="0.25">
      <c r="A6943" s="203"/>
      <c r="B6943" s="205"/>
      <c r="C6943" s="31"/>
      <c r="D6943" s="31"/>
      <c r="E6943" s="32"/>
      <c r="F6943" s="42" t="s">
        <v>514</v>
      </c>
      <c r="G6943" s="30" t="str">
        <f t="shared" si="187"/>
        <v/>
      </c>
      <c r="H6943" s="34"/>
      <c r="I6943" s="30"/>
      <c r="J6943" s="148">
        <v>0</v>
      </c>
      <c r="K6943" s="222">
        <v>0</v>
      </c>
    </row>
    <row r="6944" spans="1:11" ht="25.5" hidden="1" x14ac:dyDescent="0.25">
      <c r="A6944" s="203"/>
      <c r="B6944" s="205"/>
      <c r="C6944" s="35" t="s">
        <v>7692</v>
      </c>
      <c r="D6944" s="46" t="s">
        <v>20</v>
      </c>
      <c r="E6944" s="36">
        <v>1</v>
      </c>
      <c r="F6944" s="30">
        <v>33.981500000000004</v>
      </c>
      <c r="G6944" s="30">
        <f t="shared" si="187"/>
        <v>33.981500000000004</v>
      </c>
      <c r="H6944" s="38">
        <f>SUM(G6944:G6944)</f>
        <v>33.981500000000004</v>
      </c>
      <c r="I6944" s="39"/>
      <c r="J6944" s="148">
        <v>0</v>
      </c>
      <c r="K6944" s="222">
        <v>0</v>
      </c>
    </row>
    <row r="6945" spans="1:11" ht="15.75" hidden="1" thickBot="1" x14ac:dyDescent="0.3">
      <c r="A6945" s="209"/>
      <c r="B6945" s="206"/>
      <c r="C6945" s="54"/>
      <c r="D6945" s="54"/>
      <c r="E6945" s="65"/>
      <c r="F6945" s="66" t="s">
        <v>514</v>
      </c>
      <c r="G6945" s="66" t="str">
        <f t="shared" si="187"/>
        <v/>
      </c>
      <c r="H6945" s="68"/>
      <c r="I6945" s="30"/>
      <c r="J6945" s="148">
        <v>0</v>
      </c>
      <c r="K6945" s="222">
        <v>0</v>
      </c>
    </row>
    <row r="6946" spans="1:11" ht="15.75" hidden="1" thickBot="1" x14ac:dyDescent="0.3">
      <c r="A6946" s="202" t="s">
        <v>7237</v>
      </c>
      <c r="B6946" s="204" t="str">
        <f>INDEX(Orçamentária!A:B,MATCH(Composições!A6946,Orçamentária!A:A,0),2)</f>
        <v>Cap PVC Soldável 60 mm</v>
      </c>
      <c r="C6946" s="40"/>
      <c r="D6946" s="25" t="str">
        <f>TRIM(INDEX(Orçamentária!C:C,MATCH(Composições!A6946,Orçamentária!A:A,0),1))</f>
        <v>un</v>
      </c>
      <c r="E6946" s="26"/>
      <c r="F6946" s="41" t="s">
        <v>514</v>
      </c>
      <c r="G6946" s="27" t="str">
        <f t="shared" si="187"/>
        <v/>
      </c>
      <c r="H6946" s="28"/>
      <c r="I6946" s="29"/>
      <c r="J6946" s="148">
        <v>0</v>
      </c>
      <c r="K6946" s="222">
        <v>0</v>
      </c>
    </row>
    <row r="6947" spans="1:11" hidden="1" x14ac:dyDescent="0.25">
      <c r="A6947" s="203"/>
      <c r="B6947" s="205"/>
      <c r="C6947" s="31"/>
      <c r="D6947" s="31"/>
      <c r="E6947" s="32"/>
      <c r="F6947" s="42" t="s">
        <v>514</v>
      </c>
      <c r="G6947" s="30" t="str">
        <f t="shared" si="187"/>
        <v/>
      </c>
      <c r="H6947" s="34"/>
      <c r="I6947" s="30"/>
      <c r="J6947" s="148">
        <v>0</v>
      </c>
      <c r="K6947" s="222">
        <v>0</v>
      </c>
    </row>
    <row r="6948" spans="1:11" hidden="1" x14ac:dyDescent="0.25">
      <c r="A6948" s="203"/>
      <c r="B6948" s="205"/>
      <c r="C6948" s="35" t="s">
        <v>7625</v>
      </c>
      <c r="D6948" s="46" t="s">
        <v>20</v>
      </c>
      <c r="E6948" s="36">
        <v>1</v>
      </c>
      <c r="F6948" s="30">
        <v>15.523</v>
      </c>
      <c r="G6948" s="30">
        <f t="shared" si="187"/>
        <v>15.523</v>
      </c>
      <c r="H6948" s="38">
        <f>SUM(G6948:G6948)</f>
        <v>15.523</v>
      </c>
      <c r="I6948" s="39"/>
      <c r="J6948" s="148">
        <v>0</v>
      </c>
      <c r="K6948" s="222">
        <v>0</v>
      </c>
    </row>
    <row r="6949" spans="1:11" ht="15.75" hidden="1" thickBot="1" x14ac:dyDescent="0.3">
      <c r="A6949" s="209"/>
      <c r="B6949" s="206"/>
      <c r="C6949" s="54"/>
      <c r="D6949" s="54"/>
      <c r="E6949" s="65"/>
      <c r="F6949" s="66" t="s">
        <v>514</v>
      </c>
      <c r="G6949" s="66" t="str">
        <f t="shared" si="187"/>
        <v/>
      </c>
      <c r="H6949" s="68"/>
      <c r="I6949" s="30"/>
      <c r="J6949" s="148">
        <v>0</v>
      </c>
      <c r="K6949" s="222">
        <v>0</v>
      </c>
    </row>
    <row r="6950" spans="1:11" ht="15.75" hidden="1" thickBot="1" x14ac:dyDescent="0.3">
      <c r="A6950" s="202" t="s">
        <v>7241</v>
      </c>
      <c r="B6950" s="204" t="str">
        <f>INDEX(Orçamentária!A:B,MATCH(Composições!A6950,Orçamentária!A:A,0),2)</f>
        <v>Tê 90° em cobre 22 mm</v>
      </c>
      <c r="C6950" s="40"/>
      <c r="D6950" s="25" t="str">
        <f>TRIM(INDEX(Orçamentária!C:C,MATCH(Composições!A6950,Orçamentária!A:A,0),1))</f>
        <v>un</v>
      </c>
      <c r="E6950" s="26"/>
      <c r="F6950" s="41" t="s">
        <v>514</v>
      </c>
      <c r="G6950" s="27" t="str">
        <f t="shared" si="187"/>
        <v/>
      </c>
      <c r="H6950" s="28"/>
      <c r="I6950" s="29"/>
      <c r="J6950" s="148">
        <v>0</v>
      </c>
      <c r="K6950" s="222">
        <v>0</v>
      </c>
    </row>
    <row r="6951" spans="1:11" hidden="1" x14ac:dyDescent="0.25">
      <c r="A6951" s="203"/>
      <c r="B6951" s="205"/>
      <c r="C6951" s="31"/>
      <c r="D6951" s="31"/>
      <c r="E6951" s="32"/>
      <c r="F6951" s="42" t="s">
        <v>514</v>
      </c>
      <c r="G6951" s="30" t="str">
        <f t="shared" si="187"/>
        <v/>
      </c>
      <c r="H6951" s="34"/>
      <c r="I6951" s="30"/>
      <c r="J6951" s="148">
        <v>0</v>
      </c>
      <c r="K6951" s="222">
        <v>0</v>
      </c>
    </row>
    <row r="6952" spans="1:11" ht="25.5" hidden="1" x14ac:dyDescent="0.25">
      <c r="A6952" s="203"/>
      <c r="B6952" s="205"/>
      <c r="C6952" s="35" t="s">
        <v>7697</v>
      </c>
      <c r="D6952" s="46" t="s">
        <v>20</v>
      </c>
      <c r="E6952" s="36">
        <v>1</v>
      </c>
      <c r="F6952" s="30">
        <v>15.874499999999999</v>
      </c>
      <c r="G6952" s="30">
        <f t="shared" si="187"/>
        <v>15.874499999999999</v>
      </c>
      <c r="H6952" s="38">
        <f>SUM(G6952:G6952)</f>
        <v>15.874499999999999</v>
      </c>
      <c r="I6952" s="39"/>
      <c r="J6952" s="148">
        <v>0</v>
      </c>
      <c r="K6952" s="222">
        <v>0</v>
      </c>
    </row>
    <row r="6953" spans="1:11" ht="15.75" hidden="1" thickBot="1" x14ac:dyDescent="0.3">
      <c r="A6953" s="209"/>
      <c r="B6953" s="206"/>
      <c r="C6953" s="54"/>
      <c r="D6953" s="54"/>
      <c r="E6953" s="65"/>
      <c r="F6953" s="66" t="s">
        <v>514</v>
      </c>
      <c r="G6953" s="66" t="str">
        <f t="shared" si="187"/>
        <v/>
      </c>
      <c r="H6953" s="68"/>
      <c r="I6953" s="30"/>
      <c r="J6953" s="148">
        <v>0</v>
      </c>
      <c r="K6953" s="222">
        <v>0</v>
      </c>
    </row>
    <row r="6954" spans="1:11" ht="15.75" hidden="1" thickBot="1" x14ac:dyDescent="0.3">
      <c r="A6954" s="202" t="s">
        <v>7243</v>
      </c>
      <c r="B6954" s="204" t="str">
        <f>INDEX(Orçamentária!A:B,MATCH(Composições!A6954,Orçamentária!A:A,0),2)</f>
        <v>Conector em cobre ou bronze 22mm x 3/4” fêmea</v>
      </c>
      <c r="C6954" s="40"/>
      <c r="D6954" s="25" t="str">
        <f>TRIM(INDEX(Orçamentária!C:C,MATCH(Composições!A6954,Orçamentária!A:A,0),1))</f>
        <v>un</v>
      </c>
      <c r="E6954" s="26"/>
      <c r="F6954" s="41" t="s">
        <v>514</v>
      </c>
      <c r="G6954" s="27" t="str">
        <f t="shared" si="187"/>
        <v/>
      </c>
      <c r="H6954" s="28"/>
      <c r="I6954" s="29"/>
      <c r="J6954" s="148">
        <v>0</v>
      </c>
      <c r="K6954" s="222">
        <v>0</v>
      </c>
    </row>
    <row r="6955" spans="1:11" hidden="1" x14ac:dyDescent="0.25">
      <c r="A6955" s="203"/>
      <c r="B6955" s="205"/>
      <c r="C6955" s="31"/>
      <c r="D6955" s="31"/>
      <c r="E6955" s="32"/>
      <c r="F6955" s="42" t="s">
        <v>514</v>
      </c>
      <c r="G6955" s="30" t="str">
        <f t="shared" si="187"/>
        <v/>
      </c>
      <c r="H6955" s="34"/>
      <c r="I6955" s="30"/>
      <c r="J6955" s="148">
        <v>0</v>
      </c>
      <c r="K6955" s="222">
        <v>0</v>
      </c>
    </row>
    <row r="6956" spans="1:11" ht="25.5" hidden="1" x14ac:dyDescent="0.25">
      <c r="A6956" s="203"/>
      <c r="B6956" s="205"/>
      <c r="C6956" s="35" t="s">
        <v>7630</v>
      </c>
      <c r="D6956" s="46" t="s">
        <v>20</v>
      </c>
      <c r="E6956" s="36">
        <v>1</v>
      </c>
      <c r="F6956" s="30">
        <v>18.524999999999999</v>
      </c>
      <c r="G6956" s="30">
        <f t="shared" si="187"/>
        <v>18.524999999999999</v>
      </c>
      <c r="H6956" s="38">
        <f>SUM(G6956:G6956)</f>
        <v>18.524999999999999</v>
      </c>
      <c r="I6956" s="39"/>
      <c r="J6956" s="148">
        <v>0</v>
      </c>
      <c r="K6956" s="222">
        <v>0</v>
      </c>
    </row>
    <row r="6957" spans="1:11" ht="15.75" hidden="1" thickBot="1" x14ac:dyDescent="0.3">
      <c r="A6957" s="209"/>
      <c r="B6957" s="206"/>
      <c r="C6957" s="54"/>
      <c r="D6957" s="54"/>
      <c r="E6957" s="65"/>
      <c r="F6957" s="66" t="s">
        <v>514</v>
      </c>
      <c r="G6957" s="66" t="str">
        <f t="shared" si="187"/>
        <v/>
      </c>
      <c r="H6957" s="68"/>
      <c r="I6957" s="30"/>
      <c r="J6957" s="148">
        <v>0</v>
      </c>
      <c r="K6957" s="222">
        <v>0</v>
      </c>
    </row>
    <row r="6958" spans="1:11" ht="15.75" hidden="1" thickBot="1" x14ac:dyDescent="0.3">
      <c r="A6958" s="202" t="s">
        <v>7253</v>
      </c>
      <c r="B6958" s="204" t="str">
        <f>INDEX(Orçamentária!A:B,MATCH(Composições!A6958,Orçamentária!A:A,0),2)</f>
        <v>Curva Ferro Galvanizado 90° Fêmea 2”</v>
      </c>
      <c r="C6958" s="40"/>
      <c r="D6958" s="25" t="str">
        <f>TRIM(INDEX(Orçamentária!C:C,MATCH(Composições!A6958,Orçamentária!A:A,0),1))</f>
        <v>un</v>
      </c>
      <c r="E6958" s="26"/>
      <c r="F6958" s="41" t="s">
        <v>514</v>
      </c>
      <c r="G6958" s="27" t="str">
        <f t="shared" si="187"/>
        <v/>
      </c>
      <c r="H6958" s="28"/>
      <c r="I6958" s="29"/>
      <c r="J6958" s="148">
        <v>0</v>
      </c>
      <c r="K6958" s="222">
        <v>0</v>
      </c>
    </row>
    <row r="6959" spans="1:11" hidden="1" x14ac:dyDescent="0.25">
      <c r="A6959" s="203"/>
      <c r="B6959" s="205"/>
      <c r="C6959" s="31"/>
      <c r="D6959" s="31"/>
      <c r="E6959" s="32"/>
      <c r="F6959" s="42" t="s">
        <v>514</v>
      </c>
      <c r="G6959" s="30" t="str">
        <f t="shared" si="187"/>
        <v/>
      </c>
      <c r="H6959" s="34"/>
      <c r="I6959" s="30"/>
      <c r="J6959" s="148">
        <v>0</v>
      </c>
      <c r="K6959" s="222">
        <v>0</v>
      </c>
    </row>
    <row r="6960" spans="1:11" ht="25.5" hidden="1" x14ac:dyDescent="0.25">
      <c r="A6960" s="203"/>
      <c r="B6960" s="205"/>
      <c r="C6960" s="35" t="s">
        <v>7635</v>
      </c>
      <c r="D6960" s="46" t="s">
        <v>20</v>
      </c>
      <c r="E6960" s="36">
        <v>1</v>
      </c>
      <c r="F6960" s="30">
        <v>131.63200000000001</v>
      </c>
      <c r="G6960" s="30">
        <f t="shared" si="187"/>
        <v>131.63200000000001</v>
      </c>
      <c r="H6960" s="38">
        <f>SUM(G6960:G6960)</f>
        <v>131.63200000000001</v>
      </c>
      <c r="I6960" s="39"/>
      <c r="J6960" s="148">
        <v>0</v>
      </c>
      <c r="K6960" s="222">
        <v>0</v>
      </c>
    </row>
    <row r="6961" spans="1:11" ht="15.75" hidden="1" thickBot="1" x14ac:dyDescent="0.3">
      <c r="A6961" s="209"/>
      <c r="B6961" s="206"/>
      <c r="C6961" s="54"/>
      <c r="D6961" s="54"/>
      <c r="E6961" s="65"/>
      <c r="F6961" s="66" t="s">
        <v>514</v>
      </c>
      <c r="G6961" s="66" t="str">
        <f t="shared" si="187"/>
        <v/>
      </c>
      <c r="H6961" s="68"/>
      <c r="I6961" s="30"/>
      <c r="J6961" s="148">
        <v>0</v>
      </c>
      <c r="K6961" s="222">
        <v>0</v>
      </c>
    </row>
    <row r="6962" spans="1:11" ht="15.75" hidden="1" thickBot="1" x14ac:dyDescent="0.3">
      <c r="A6962" s="202" t="s">
        <v>7255</v>
      </c>
      <c r="B6962" s="204" t="str">
        <f>INDEX(Orçamentária!A:B,MATCH(Composições!A6962,Orçamentária!A:A,0),2)</f>
        <v>Curva 45° Longa PVC esgoto ou águas pluviais predial DN 100 mm</v>
      </c>
      <c r="C6962" s="40"/>
      <c r="D6962" s="25" t="str">
        <f>TRIM(INDEX(Orçamentária!C:C,MATCH(Composições!A6962,Orçamentária!A:A,0),1))</f>
        <v>un</v>
      </c>
      <c r="E6962" s="26"/>
      <c r="F6962" s="41" t="s">
        <v>514</v>
      </c>
      <c r="G6962" s="27" t="str">
        <f t="shared" ref="G6962:G7025" si="188">IF(ISNUMBER(F6962),E6962*F6962,"")</f>
        <v/>
      </c>
      <c r="H6962" s="28"/>
      <c r="I6962" s="29"/>
      <c r="J6962" s="148">
        <v>0</v>
      </c>
      <c r="K6962" s="222">
        <v>0</v>
      </c>
    </row>
    <row r="6963" spans="1:11" hidden="1" x14ac:dyDescent="0.25">
      <c r="A6963" s="203"/>
      <c r="B6963" s="205"/>
      <c r="C6963" s="31"/>
      <c r="D6963" s="31"/>
      <c r="E6963" s="32"/>
      <c r="F6963" s="42" t="s">
        <v>514</v>
      </c>
      <c r="G6963" s="30" t="str">
        <f t="shared" si="188"/>
        <v/>
      </c>
      <c r="H6963" s="34"/>
      <c r="I6963" s="30"/>
      <c r="J6963" s="148">
        <v>0</v>
      </c>
      <c r="K6963" s="222">
        <v>0</v>
      </c>
    </row>
    <row r="6964" spans="1:11" hidden="1" x14ac:dyDescent="0.25">
      <c r="A6964" s="203"/>
      <c r="B6964" s="205"/>
      <c r="C6964" s="35" t="s">
        <v>7634</v>
      </c>
      <c r="D6964" s="46" t="s">
        <v>20</v>
      </c>
      <c r="E6964" s="36">
        <v>1</v>
      </c>
      <c r="F6964" s="30">
        <v>54.1785</v>
      </c>
      <c r="G6964" s="30">
        <f t="shared" si="188"/>
        <v>54.1785</v>
      </c>
      <c r="H6964" s="38">
        <f>SUM(G6964:G6964)</f>
        <v>54.1785</v>
      </c>
      <c r="I6964" s="39"/>
      <c r="J6964" s="148">
        <v>0</v>
      </c>
      <c r="K6964" s="222">
        <v>0</v>
      </c>
    </row>
    <row r="6965" spans="1:11" ht="15.75" hidden="1" thickBot="1" x14ac:dyDescent="0.3">
      <c r="A6965" s="209"/>
      <c r="B6965" s="206"/>
      <c r="C6965" s="54"/>
      <c r="D6965" s="54"/>
      <c r="E6965" s="65"/>
      <c r="F6965" s="66" t="s">
        <v>514</v>
      </c>
      <c r="G6965" s="66" t="str">
        <f t="shared" si="188"/>
        <v/>
      </c>
      <c r="H6965" s="68"/>
      <c r="I6965" s="30"/>
      <c r="J6965" s="148">
        <v>0</v>
      </c>
      <c r="K6965" s="222">
        <v>0</v>
      </c>
    </row>
    <row r="6966" spans="1:11" ht="15.75" hidden="1" thickBot="1" x14ac:dyDescent="0.3">
      <c r="A6966" s="202" t="s">
        <v>7257</v>
      </c>
      <c r="B6966" s="204" t="str">
        <f>INDEX(Orçamentária!A:B,MATCH(Composições!A6966,Orçamentária!A:A,0),2)</f>
        <v>Curva 90° de aço-carbono galvanizado 3”</v>
      </c>
      <c r="C6966" s="40"/>
      <c r="D6966" s="25" t="str">
        <f>TRIM(INDEX(Orçamentária!C:C,MATCH(Composições!A6966,Orçamentária!A:A,0),1))</f>
        <v>un</v>
      </c>
      <c r="E6966" s="26"/>
      <c r="F6966" s="41" t="s">
        <v>514</v>
      </c>
      <c r="G6966" s="27" t="str">
        <f t="shared" si="188"/>
        <v/>
      </c>
      <c r="H6966" s="28"/>
      <c r="I6966" s="29"/>
      <c r="J6966" s="148">
        <v>0</v>
      </c>
      <c r="K6966" s="222">
        <v>0</v>
      </c>
    </row>
    <row r="6967" spans="1:11" hidden="1" x14ac:dyDescent="0.25">
      <c r="A6967" s="203"/>
      <c r="B6967" s="205"/>
      <c r="C6967" s="31"/>
      <c r="D6967" s="31"/>
      <c r="E6967" s="32"/>
      <c r="F6967" s="42" t="s">
        <v>514</v>
      </c>
      <c r="G6967" s="30" t="str">
        <f t="shared" si="188"/>
        <v/>
      </c>
      <c r="H6967" s="34"/>
      <c r="I6967" s="30"/>
      <c r="J6967" s="148">
        <v>0</v>
      </c>
      <c r="K6967" s="222">
        <v>0</v>
      </c>
    </row>
    <row r="6968" spans="1:11" ht="25.5" hidden="1" x14ac:dyDescent="0.25">
      <c r="A6968" s="203"/>
      <c r="B6968" s="205"/>
      <c r="C6968" s="35" t="s">
        <v>7636</v>
      </c>
      <c r="D6968" s="46" t="s">
        <v>20</v>
      </c>
      <c r="E6968" s="36">
        <v>1</v>
      </c>
      <c r="F6968" s="30">
        <v>308.35099999999994</v>
      </c>
      <c r="G6968" s="30">
        <f t="shared" si="188"/>
        <v>308.35099999999994</v>
      </c>
      <c r="H6968" s="38">
        <f t="shared" ref="H6968" si="189">SUM(G6968:G6968)</f>
        <v>308.35099999999994</v>
      </c>
      <c r="I6968" s="39"/>
      <c r="J6968" s="148">
        <v>0</v>
      </c>
      <c r="K6968" s="222">
        <v>0</v>
      </c>
    </row>
    <row r="6969" spans="1:11" ht="15.75" hidden="1" thickBot="1" x14ac:dyDescent="0.3">
      <c r="A6969" s="209"/>
      <c r="B6969" s="206"/>
      <c r="C6969" s="54"/>
      <c r="D6969" s="54"/>
      <c r="E6969" s="65"/>
      <c r="F6969" s="66" t="s">
        <v>514</v>
      </c>
      <c r="G6969" s="66" t="str">
        <f t="shared" si="188"/>
        <v/>
      </c>
      <c r="H6969" s="68"/>
      <c r="I6969" s="30"/>
      <c r="J6969" s="148">
        <v>0</v>
      </c>
      <c r="K6969" s="222">
        <v>0</v>
      </c>
    </row>
    <row r="6970" spans="1:11" ht="15.75" hidden="1" thickBot="1" x14ac:dyDescent="0.3">
      <c r="A6970" s="202" t="s">
        <v>7259</v>
      </c>
      <c r="B6970" s="204" t="str">
        <f>INDEX(Orçamentária!A:B,MATCH(Composições!A6970,Orçamentária!A:A,0),2)</f>
        <v>Curva 90° PVC esgoto DN 100 mm Série R</v>
      </c>
      <c r="C6970" s="40"/>
      <c r="D6970" s="25" t="str">
        <f>TRIM(INDEX(Orçamentária!C:C,MATCH(Composições!A6970,Orçamentária!A:A,0),1))</f>
        <v>un</v>
      </c>
      <c r="E6970" s="26"/>
      <c r="F6970" s="41" t="s">
        <v>514</v>
      </c>
      <c r="G6970" s="27" t="str">
        <f t="shared" si="188"/>
        <v/>
      </c>
      <c r="H6970" s="28"/>
      <c r="I6970" s="29"/>
      <c r="J6970" s="148">
        <v>0</v>
      </c>
      <c r="K6970" s="222">
        <v>0</v>
      </c>
    </row>
    <row r="6971" spans="1:11" hidden="1" x14ac:dyDescent="0.25">
      <c r="A6971" s="203"/>
      <c r="B6971" s="205"/>
      <c r="C6971" s="31"/>
      <c r="D6971" s="31"/>
      <c r="E6971" s="32"/>
      <c r="F6971" s="42" t="s">
        <v>514</v>
      </c>
      <c r="G6971" s="30" t="str">
        <f t="shared" si="188"/>
        <v/>
      </c>
      <c r="H6971" s="34"/>
      <c r="I6971" s="30"/>
      <c r="J6971" s="148">
        <v>0</v>
      </c>
      <c r="K6971" s="222">
        <v>0</v>
      </c>
    </row>
    <row r="6972" spans="1:11" ht="25.5" hidden="1" x14ac:dyDescent="0.25">
      <c r="A6972" s="203"/>
      <c r="B6972" s="205"/>
      <c r="C6972" s="35" t="s">
        <v>7633</v>
      </c>
      <c r="D6972" s="46" t="s">
        <v>20</v>
      </c>
      <c r="E6972" s="36">
        <v>1</v>
      </c>
      <c r="F6972" s="30">
        <v>69.701499999999996</v>
      </c>
      <c r="G6972" s="30">
        <f t="shared" si="188"/>
        <v>69.701499999999996</v>
      </c>
      <c r="H6972" s="38">
        <f t="shared" ref="H6972" si="190">SUM(G6972:G6972)</f>
        <v>69.701499999999996</v>
      </c>
      <c r="I6972" s="39"/>
      <c r="J6972" s="148">
        <v>0</v>
      </c>
      <c r="K6972" s="222">
        <v>0</v>
      </c>
    </row>
    <row r="6973" spans="1:11" ht="15.75" hidden="1" thickBot="1" x14ac:dyDescent="0.3">
      <c r="A6973" s="209"/>
      <c r="B6973" s="206"/>
      <c r="C6973" s="54"/>
      <c r="D6973" s="54"/>
      <c r="E6973" s="65"/>
      <c r="F6973" s="66" t="s">
        <v>514</v>
      </c>
      <c r="G6973" s="66" t="str">
        <f t="shared" si="188"/>
        <v/>
      </c>
      <c r="H6973" s="68"/>
      <c r="I6973" s="30"/>
      <c r="J6973" s="148">
        <v>0</v>
      </c>
      <c r="K6973" s="222">
        <v>0</v>
      </c>
    </row>
    <row r="6974" spans="1:11" ht="15.75" hidden="1" thickBot="1" x14ac:dyDescent="0.3">
      <c r="A6974" s="202" t="s">
        <v>7261</v>
      </c>
      <c r="B6974" s="204" t="str">
        <f>INDEX(Orçamentária!A:B,MATCH(Composições!A6974,Orçamentária!A:A,0),2)</f>
        <v>Fita perfurada em aço-carbono - 17x0,40mm - rolo 30m</v>
      </c>
      <c r="C6974" s="40"/>
      <c r="D6974" s="25" t="str">
        <f>TRIM(INDEX(Orçamentária!C:C,MATCH(Composições!A6974,Orçamentária!A:A,0),1))</f>
        <v>un</v>
      </c>
      <c r="E6974" s="26"/>
      <c r="F6974" s="41" t="s">
        <v>514</v>
      </c>
      <c r="G6974" s="27" t="str">
        <f t="shared" si="188"/>
        <v/>
      </c>
      <c r="H6974" s="28"/>
      <c r="I6974" s="29"/>
      <c r="J6974" s="148">
        <v>0</v>
      </c>
      <c r="K6974" s="222">
        <v>0</v>
      </c>
    </row>
    <row r="6975" spans="1:11" hidden="1" x14ac:dyDescent="0.25">
      <c r="A6975" s="203"/>
      <c r="B6975" s="205"/>
      <c r="C6975" s="31"/>
      <c r="D6975" s="31"/>
      <c r="E6975" s="32"/>
      <c r="F6975" s="42" t="s">
        <v>514</v>
      </c>
      <c r="G6975" s="30" t="str">
        <f t="shared" si="188"/>
        <v/>
      </c>
      <c r="H6975" s="34"/>
      <c r="I6975" s="30"/>
      <c r="J6975" s="148">
        <v>0</v>
      </c>
      <c r="K6975" s="222">
        <v>0</v>
      </c>
    </row>
    <row r="6976" spans="1:11" ht="25.5" hidden="1" x14ac:dyDescent="0.25">
      <c r="A6976" s="203"/>
      <c r="B6976" s="205"/>
      <c r="C6976" s="35" t="s">
        <v>7643</v>
      </c>
      <c r="D6976" s="46" t="s">
        <v>20</v>
      </c>
      <c r="E6976" s="36">
        <v>1</v>
      </c>
      <c r="F6976" s="30">
        <v>40.47</v>
      </c>
      <c r="G6976" s="30">
        <f t="shared" si="188"/>
        <v>40.47</v>
      </c>
      <c r="H6976" s="38">
        <f t="shared" ref="H6976" si="191">SUM(G6976:G6976)</f>
        <v>40.47</v>
      </c>
      <c r="I6976" s="39"/>
      <c r="J6976" s="148">
        <v>0</v>
      </c>
      <c r="K6976" s="222">
        <v>0</v>
      </c>
    </row>
    <row r="6977" spans="1:11" ht="15.75" hidden="1" thickBot="1" x14ac:dyDescent="0.3">
      <c r="A6977" s="209"/>
      <c r="B6977" s="206"/>
      <c r="C6977" s="54"/>
      <c r="D6977" s="54"/>
      <c r="E6977" s="65"/>
      <c r="F6977" s="66" t="s">
        <v>514</v>
      </c>
      <c r="G6977" s="66" t="str">
        <f t="shared" si="188"/>
        <v/>
      </c>
      <c r="H6977" s="68"/>
      <c r="I6977" s="30"/>
      <c r="J6977" s="148">
        <v>0</v>
      </c>
      <c r="K6977" s="222">
        <v>0</v>
      </c>
    </row>
    <row r="6978" spans="1:11" ht="15.75" hidden="1" thickBot="1" x14ac:dyDescent="0.3">
      <c r="A6978" s="202" t="s">
        <v>7263</v>
      </c>
      <c r="B6978" s="204" t="str">
        <f>INDEX(Orçamentária!A:B,MATCH(Composições!A6978,Orçamentária!A:A,0),2)</f>
        <v>Flange PVC soldável água fria DN 60mm</v>
      </c>
      <c r="C6978" s="40"/>
      <c r="D6978" s="25" t="str">
        <f>TRIM(INDEX(Orçamentária!C:C,MATCH(Composições!A6978,Orçamentária!A:A,0),1))</f>
        <v>un</v>
      </c>
      <c r="E6978" s="26"/>
      <c r="F6978" s="41" t="s">
        <v>514</v>
      </c>
      <c r="G6978" s="27" t="str">
        <f t="shared" si="188"/>
        <v/>
      </c>
      <c r="H6978" s="28"/>
      <c r="I6978" s="29"/>
      <c r="J6978" s="148">
        <v>0</v>
      </c>
      <c r="K6978" s="222">
        <v>0</v>
      </c>
    </row>
    <row r="6979" spans="1:11" hidden="1" x14ac:dyDescent="0.25">
      <c r="A6979" s="203"/>
      <c r="B6979" s="205"/>
      <c r="C6979" s="31"/>
      <c r="D6979" s="31"/>
      <c r="E6979" s="32"/>
      <c r="F6979" s="42" t="s">
        <v>514</v>
      </c>
      <c r="G6979" s="30" t="str">
        <f t="shared" si="188"/>
        <v/>
      </c>
      <c r="H6979" s="34"/>
      <c r="I6979" s="30"/>
      <c r="J6979" s="148">
        <v>0</v>
      </c>
      <c r="K6979" s="222">
        <v>0</v>
      </c>
    </row>
    <row r="6980" spans="1:11" ht="25.5" hidden="1" x14ac:dyDescent="0.25">
      <c r="A6980" s="203"/>
      <c r="B6980" s="205"/>
      <c r="C6980" s="35" t="s">
        <v>7603</v>
      </c>
      <c r="D6980" s="46" t="s">
        <v>20</v>
      </c>
      <c r="E6980" s="36">
        <v>1</v>
      </c>
      <c r="F6980" s="30">
        <v>43.576499999999996</v>
      </c>
      <c r="G6980" s="30">
        <f t="shared" si="188"/>
        <v>43.576499999999996</v>
      </c>
      <c r="H6980" s="38">
        <f t="shared" ref="H6980" si="192">SUM(G6980:G6980)</f>
        <v>43.576499999999996</v>
      </c>
      <c r="I6980" s="39"/>
      <c r="J6980" s="148">
        <v>0</v>
      </c>
      <c r="K6980" s="222">
        <v>0</v>
      </c>
    </row>
    <row r="6981" spans="1:11" ht="15.75" hidden="1" thickBot="1" x14ac:dyDescent="0.3">
      <c r="A6981" s="209"/>
      <c r="B6981" s="206"/>
      <c r="C6981" s="54"/>
      <c r="D6981" s="54"/>
      <c r="E6981" s="65"/>
      <c r="F6981" s="66" t="s">
        <v>514</v>
      </c>
      <c r="G6981" s="66" t="str">
        <f t="shared" si="188"/>
        <v/>
      </c>
      <c r="H6981" s="68"/>
      <c r="I6981" s="30"/>
      <c r="J6981" s="148">
        <v>0</v>
      </c>
      <c r="K6981" s="222">
        <v>0</v>
      </c>
    </row>
    <row r="6982" spans="1:11" ht="15.75" hidden="1" thickBot="1" x14ac:dyDescent="0.3">
      <c r="A6982" s="202" t="s">
        <v>7265</v>
      </c>
      <c r="B6982" s="204" t="str">
        <f>INDEX(Orçamentária!A:B,MATCH(Composições!A6982,Orçamentária!A:A,0),2)</f>
        <v>Flange PVC soldável água fria DN 25mm</v>
      </c>
      <c r="C6982" s="40"/>
      <c r="D6982" s="25" t="str">
        <f>TRIM(INDEX(Orçamentária!C:C,MATCH(Composições!A6982,Orçamentária!A:A,0),1))</f>
        <v>un</v>
      </c>
      <c r="E6982" s="26"/>
      <c r="F6982" s="41" t="s">
        <v>514</v>
      </c>
      <c r="G6982" s="27" t="str">
        <f t="shared" si="188"/>
        <v/>
      </c>
      <c r="H6982" s="28"/>
      <c r="I6982" s="29"/>
      <c r="J6982" s="148">
        <v>0</v>
      </c>
      <c r="K6982" s="222">
        <v>0</v>
      </c>
    </row>
    <row r="6983" spans="1:11" hidden="1" x14ac:dyDescent="0.25">
      <c r="A6983" s="203"/>
      <c r="B6983" s="205"/>
      <c r="C6983" s="31"/>
      <c r="D6983" s="31"/>
      <c r="E6983" s="32"/>
      <c r="F6983" s="42" t="s">
        <v>514</v>
      </c>
      <c r="G6983" s="30" t="str">
        <f t="shared" si="188"/>
        <v/>
      </c>
      <c r="H6983" s="34"/>
      <c r="I6983" s="30"/>
      <c r="J6983" s="148">
        <v>0</v>
      </c>
      <c r="K6983" s="222">
        <v>0</v>
      </c>
    </row>
    <row r="6984" spans="1:11" ht="25.5" hidden="1" x14ac:dyDescent="0.25">
      <c r="A6984" s="203"/>
      <c r="B6984" s="205"/>
      <c r="C6984" s="35" t="s">
        <v>7602</v>
      </c>
      <c r="D6984" s="46" t="s">
        <v>20</v>
      </c>
      <c r="E6984" s="36">
        <v>1</v>
      </c>
      <c r="F6984" s="30">
        <v>14.715499999999999</v>
      </c>
      <c r="G6984" s="30">
        <f t="shared" si="188"/>
        <v>14.715499999999999</v>
      </c>
      <c r="H6984" s="38">
        <f t="shared" ref="H6984" si="193">SUM(G6984:G6984)</f>
        <v>14.715499999999999</v>
      </c>
      <c r="I6984" s="39"/>
      <c r="J6984" s="148">
        <v>0</v>
      </c>
      <c r="K6984" s="222">
        <v>0</v>
      </c>
    </row>
    <row r="6985" spans="1:11" ht="15.75" hidden="1" thickBot="1" x14ac:dyDescent="0.3">
      <c r="A6985" s="209"/>
      <c r="B6985" s="206"/>
      <c r="C6985" s="54"/>
      <c r="D6985" s="54"/>
      <c r="E6985" s="65"/>
      <c r="F6985" s="66" t="s">
        <v>514</v>
      </c>
      <c r="G6985" s="66" t="str">
        <f t="shared" si="188"/>
        <v/>
      </c>
      <c r="H6985" s="68"/>
      <c r="I6985" s="30"/>
      <c r="J6985" s="148">
        <v>0</v>
      </c>
      <c r="K6985" s="222">
        <v>0</v>
      </c>
    </row>
    <row r="6986" spans="1:11" ht="15.75" hidden="1" thickBot="1" x14ac:dyDescent="0.3">
      <c r="A6986" s="202" t="s">
        <v>7275</v>
      </c>
      <c r="B6986" s="204" t="str">
        <f>INDEX(Orçamentária!A:B,MATCH(Composições!A6986,Orçamentária!A:A,0),2)</f>
        <v>Joelho 45° CPVC 28mm – Linha Residencial</v>
      </c>
      <c r="C6986" s="40"/>
      <c r="D6986" s="25" t="str">
        <f>TRIM(INDEX(Orçamentária!C:C,MATCH(Composições!A6986,Orçamentária!A:A,0),1))</f>
        <v>un</v>
      </c>
      <c r="E6986" s="26"/>
      <c r="F6986" s="41" t="s">
        <v>514</v>
      </c>
      <c r="G6986" s="27" t="str">
        <f t="shared" si="188"/>
        <v/>
      </c>
      <c r="H6986" s="28"/>
      <c r="I6986" s="29"/>
      <c r="J6986" s="148">
        <v>0</v>
      </c>
      <c r="K6986" s="222">
        <v>0</v>
      </c>
    </row>
    <row r="6987" spans="1:11" hidden="1" x14ac:dyDescent="0.25">
      <c r="A6987" s="203"/>
      <c r="B6987" s="205"/>
      <c r="C6987" s="31"/>
      <c r="D6987" s="31"/>
      <c r="E6987" s="32"/>
      <c r="F6987" s="42" t="s">
        <v>514</v>
      </c>
      <c r="G6987" s="30" t="str">
        <f t="shared" si="188"/>
        <v/>
      </c>
      <c r="H6987" s="34"/>
      <c r="I6987" s="30"/>
      <c r="J6987" s="148">
        <v>0</v>
      </c>
      <c r="K6987" s="222">
        <v>0</v>
      </c>
    </row>
    <row r="6988" spans="1:11" hidden="1" x14ac:dyDescent="0.25">
      <c r="A6988" s="203"/>
      <c r="B6988" s="205"/>
      <c r="C6988" s="35" t="s">
        <v>7646</v>
      </c>
      <c r="D6988" s="46" t="s">
        <v>20</v>
      </c>
      <c r="E6988" s="36">
        <v>1</v>
      </c>
      <c r="F6988" s="30">
        <v>7.9229999999999992</v>
      </c>
      <c r="G6988" s="30">
        <f t="shared" si="188"/>
        <v>7.9229999999999992</v>
      </c>
      <c r="H6988" s="38">
        <f t="shared" ref="H6988" si="194">SUM(G6988:G6988)</f>
        <v>7.9229999999999992</v>
      </c>
      <c r="I6988" s="39"/>
      <c r="J6988" s="148">
        <v>0</v>
      </c>
      <c r="K6988" s="222">
        <v>0</v>
      </c>
    </row>
    <row r="6989" spans="1:11" ht="15.75" hidden="1" thickBot="1" x14ac:dyDescent="0.3">
      <c r="A6989" s="209"/>
      <c r="B6989" s="206"/>
      <c r="C6989" s="54"/>
      <c r="D6989" s="54"/>
      <c r="E6989" s="65"/>
      <c r="F6989" s="66" t="s">
        <v>514</v>
      </c>
      <c r="G6989" s="66" t="str">
        <f t="shared" si="188"/>
        <v/>
      </c>
      <c r="H6989" s="68"/>
      <c r="I6989" s="30"/>
      <c r="J6989" s="148">
        <v>0</v>
      </c>
      <c r="K6989" s="222">
        <v>0</v>
      </c>
    </row>
    <row r="6990" spans="1:11" ht="15.75" hidden="1" thickBot="1" x14ac:dyDescent="0.3">
      <c r="A6990" s="202" t="s">
        <v>7277</v>
      </c>
      <c r="B6990" s="204" t="str">
        <f>INDEX(Orçamentária!A:B,MATCH(Composições!A6990,Orçamentária!A:A,0),2)</f>
        <v>Joelho 45° PVC soldável água fria DN 60mm</v>
      </c>
      <c r="C6990" s="40"/>
      <c r="D6990" s="25" t="str">
        <f>TRIM(INDEX(Orçamentária!C:C,MATCH(Composições!A6990,Orçamentária!A:A,0),1))</f>
        <v>un</v>
      </c>
      <c r="E6990" s="26"/>
      <c r="F6990" s="41" t="s">
        <v>514</v>
      </c>
      <c r="G6990" s="27" t="str">
        <f t="shared" si="188"/>
        <v/>
      </c>
      <c r="H6990" s="28"/>
      <c r="I6990" s="29"/>
      <c r="J6990" s="148">
        <v>0</v>
      </c>
      <c r="K6990" s="222">
        <v>0</v>
      </c>
    </row>
    <row r="6991" spans="1:11" hidden="1" x14ac:dyDescent="0.25">
      <c r="A6991" s="203"/>
      <c r="B6991" s="205"/>
      <c r="C6991" s="31"/>
      <c r="D6991" s="31"/>
      <c r="E6991" s="32"/>
      <c r="F6991" s="42" t="s">
        <v>514</v>
      </c>
      <c r="G6991" s="30" t="str">
        <f t="shared" si="188"/>
        <v/>
      </c>
      <c r="H6991" s="34"/>
      <c r="I6991" s="30"/>
      <c r="J6991" s="148">
        <v>0</v>
      </c>
      <c r="K6991" s="222">
        <v>0</v>
      </c>
    </row>
    <row r="6992" spans="1:11" ht="25.5" hidden="1" x14ac:dyDescent="0.25">
      <c r="A6992" s="203"/>
      <c r="B6992" s="205"/>
      <c r="C6992" s="35" t="s">
        <v>7651</v>
      </c>
      <c r="D6992" s="46" t="s">
        <v>20</v>
      </c>
      <c r="E6992" s="36">
        <v>1</v>
      </c>
      <c r="F6992" s="30">
        <v>37.733999999999995</v>
      </c>
      <c r="G6992" s="30">
        <f t="shared" si="188"/>
        <v>37.733999999999995</v>
      </c>
      <c r="H6992" s="38">
        <f t="shared" ref="H6992" si="195">SUM(G6992:G6992)</f>
        <v>37.733999999999995</v>
      </c>
      <c r="I6992" s="39"/>
      <c r="J6992" s="148">
        <v>0</v>
      </c>
      <c r="K6992" s="222">
        <v>0</v>
      </c>
    </row>
    <row r="6993" spans="1:11" ht="15.75" hidden="1" thickBot="1" x14ac:dyDescent="0.3">
      <c r="A6993" s="209"/>
      <c r="B6993" s="206"/>
      <c r="C6993" s="54"/>
      <c r="D6993" s="54"/>
      <c r="E6993" s="65"/>
      <c r="F6993" s="66" t="s">
        <v>514</v>
      </c>
      <c r="G6993" s="66" t="str">
        <f t="shared" si="188"/>
        <v/>
      </c>
      <c r="H6993" s="68"/>
      <c r="I6993" s="30"/>
      <c r="J6993" s="148">
        <v>0</v>
      </c>
      <c r="K6993" s="222">
        <v>0</v>
      </c>
    </row>
    <row r="6994" spans="1:11" ht="15.75" hidden="1" thickBot="1" x14ac:dyDescent="0.3">
      <c r="A6994" s="202" t="s">
        <v>7279</v>
      </c>
      <c r="B6994" s="204" t="str">
        <f>INDEX(Orçamentária!A:B,MATCH(Composições!A6994,Orçamentária!A:A,0),2)</f>
        <v>Joelho 45° CPVC 22mm – Linha Residencial</v>
      </c>
      <c r="C6994" s="40"/>
      <c r="D6994" s="25" t="str">
        <f>TRIM(INDEX(Orçamentária!C:C,MATCH(Composições!A6994,Orçamentária!A:A,0),1))</f>
        <v>un</v>
      </c>
      <c r="E6994" s="26"/>
      <c r="F6994" s="41" t="s">
        <v>514</v>
      </c>
      <c r="G6994" s="27" t="str">
        <f t="shared" si="188"/>
        <v/>
      </c>
      <c r="H6994" s="28"/>
      <c r="I6994" s="29"/>
      <c r="J6994" s="148">
        <v>0</v>
      </c>
      <c r="K6994" s="222">
        <v>0</v>
      </c>
    </row>
    <row r="6995" spans="1:11" hidden="1" x14ac:dyDescent="0.25">
      <c r="A6995" s="203"/>
      <c r="B6995" s="205"/>
      <c r="C6995" s="31"/>
      <c r="D6995" s="31"/>
      <c r="E6995" s="32"/>
      <c r="F6995" s="42" t="s">
        <v>514</v>
      </c>
      <c r="G6995" s="30" t="str">
        <f t="shared" si="188"/>
        <v/>
      </c>
      <c r="H6995" s="34"/>
      <c r="I6995" s="30"/>
      <c r="J6995" s="148">
        <v>0</v>
      </c>
      <c r="K6995" s="222">
        <v>0</v>
      </c>
    </row>
    <row r="6996" spans="1:11" hidden="1" x14ac:dyDescent="0.25">
      <c r="A6996" s="203"/>
      <c r="B6996" s="205"/>
      <c r="C6996" s="35" t="s">
        <v>7645</v>
      </c>
      <c r="D6996" s="46" t="s">
        <v>20</v>
      </c>
      <c r="E6996" s="36">
        <v>1</v>
      </c>
      <c r="F6996" s="30">
        <v>5.4719999999999995</v>
      </c>
      <c r="G6996" s="30">
        <f t="shared" si="188"/>
        <v>5.4719999999999995</v>
      </c>
      <c r="H6996" s="38">
        <f t="shared" ref="H6996" si="196">SUM(G6996:G6996)</f>
        <v>5.4719999999999995</v>
      </c>
      <c r="I6996" s="39"/>
      <c r="J6996" s="148">
        <v>0</v>
      </c>
      <c r="K6996" s="222">
        <v>0</v>
      </c>
    </row>
    <row r="6997" spans="1:11" ht="15.75" hidden="1" thickBot="1" x14ac:dyDescent="0.3">
      <c r="A6997" s="209"/>
      <c r="B6997" s="206"/>
      <c r="C6997" s="54"/>
      <c r="D6997" s="54"/>
      <c r="E6997" s="65"/>
      <c r="F6997" s="66" t="s">
        <v>514</v>
      </c>
      <c r="G6997" s="66" t="str">
        <f t="shared" si="188"/>
        <v/>
      </c>
      <c r="H6997" s="68"/>
      <c r="I6997" s="30"/>
      <c r="J6997" s="148">
        <v>0</v>
      </c>
      <c r="K6997" s="222">
        <v>0</v>
      </c>
    </row>
    <row r="6998" spans="1:11" ht="15.75" hidden="1" thickBot="1" x14ac:dyDescent="0.3">
      <c r="A6998" s="202" t="s">
        <v>7281</v>
      </c>
      <c r="B6998" s="204" t="str">
        <f>INDEX(Orçamentária!A:B,MATCH(Composições!A6998,Orçamentária!A:A,0),2)</f>
        <v>Joelho 45° PVC esgoto ou águas pluviais predial DN 50 mm</v>
      </c>
      <c r="C6998" s="40"/>
      <c r="D6998" s="25" t="str">
        <f>TRIM(INDEX(Orçamentária!C:C,MATCH(Composições!A6998,Orçamentária!A:A,0),1))</f>
        <v>un</v>
      </c>
      <c r="E6998" s="26"/>
      <c r="F6998" s="41" t="s">
        <v>514</v>
      </c>
      <c r="G6998" s="27" t="str">
        <f t="shared" si="188"/>
        <v/>
      </c>
      <c r="H6998" s="28"/>
      <c r="I6998" s="29"/>
      <c r="J6998" s="148">
        <v>0</v>
      </c>
      <c r="K6998" s="222">
        <v>0</v>
      </c>
    </row>
    <row r="6999" spans="1:11" hidden="1" x14ac:dyDescent="0.25">
      <c r="A6999" s="203"/>
      <c r="B6999" s="205"/>
      <c r="C6999" s="31"/>
      <c r="D6999" s="31"/>
      <c r="E6999" s="32"/>
      <c r="F6999" s="42" t="s">
        <v>514</v>
      </c>
      <c r="G6999" s="30" t="str">
        <f t="shared" si="188"/>
        <v/>
      </c>
      <c r="H6999" s="34"/>
      <c r="I6999" s="30"/>
      <c r="J6999" s="148">
        <v>0</v>
      </c>
      <c r="K6999" s="222">
        <v>0</v>
      </c>
    </row>
    <row r="7000" spans="1:11" ht="25.5" hidden="1" x14ac:dyDescent="0.25">
      <c r="A7000" s="203"/>
      <c r="B7000" s="205"/>
      <c r="C7000" s="35" t="s">
        <v>7649</v>
      </c>
      <c r="D7000" s="46" t="s">
        <v>20</v>
      </c>
      <c r="E7000" s="36">
        <v>1</v>
      </c>
      <c r="F7000" s="30">
        <v>3.8</v>
      </c>
      <c r="G7000" s="30">
        <f t="shared" si="188"/>
        <v>3.8</v>
      </c>
      <c r="H7000" s="38">
        <f t="shared" ref="H7000" si="197">SUM(G7000:G7000)</f>
        <v>3.8</v>
      </c>
      <c r="I7000" s="39"/>
      <c r="J7000" s="148">
        <v>0</v>
      </c>
      <c r="K7000" s="222">
        <v>0</v>
      </c>
    </row>
    <row r="7001" spans="1:11" ht="15.75" hidden="1" thickBot="1" x14ac:dyDescent="0.3">
      <c r="A7001" s="209"/>
      <c r="B7001" s="206"/>
      <c r="C7001" s="54"/>
      <c r="D7001" s="54"/>
      <c r="E7001" s="65"/>
      <c r="F7001" s="66" t="s">
        <v>514</v>
      </c>
      <c r="G7001" s="66" t="str">
        <f t="shared" si="188"/>
        <v/>
      </c>
      <c r="H7001" s="68"/>
      <c r="I7001" s="30"/>
      <c r="J7001" s="148">
        <v>0</v>
      </c>
      <c r="K7001" s="222">
        <v>0</v>
      </c>
    </row>
    <row r="7002" spans="1:11" ht="15.75" hidden="1" thickBot="1" x14ac:dyDescent="0.3">
      <c r="A7002" s="202" t="s">
        <v>7295</v>
      </c>
      <c r="B7002" s="204" t="str">
        <f>INDEX(Orçamentária!A:B,MATCH(Composições!A7002,Orçamentária!A:A,0),2)</f>
        <v>Joelho 90° CPVC 22mm – Linha Residencial</v>
      </c>
      <c r="C7002" s="40"/>
      <c r="D7002" s="25" t="str">
        <f>TRIM(INDEX(Orçamentária!C:C,MATCH(Composições!A7002,Orçamentária!A:A,0),1))</f>
        <v>un</v>
      </c>
      <c r="E7002" s="26"/>
      <c r="F7002" s="41" t="s">
        <v>514</v>
      </c>
      <c r="G7002" s="27" t="str">
        <f t="shared" si="188"/>
        <v/>
      </c>
      <c r="H7002" s="28"/>
      <c r="I7002" s="29"/>
      <c r="J7002" s="148">
        <v>0</v>
      </c>
      <c r="K7002" s="222">
        <v>0</v>
      </c>
    </row>
    <row r="7003" spans="1:11" hidden="1" x14ac:dyDescent="0.25">
      <c r="A7003" s="203"/>
      <c r="B7003" s="205"/>
      <c r="C7003" s="31"/>
      <c r="D7003" s="31"/>
      <c r="E7003" s="32"/>
      <c r="F7003" s="42" t="s">
        <v>514</v>
      </c>
      <c r="G7003" s="30" t="str">
        <f t="shared" si="188"/>
        <v/>
      </c>
      <c r="H7003" s="34"/>
      <c r="I7003" s="30"/>
      <c r="J7003" s="148">
        <v>0</v>
      </c>
      <c r="K7003" s="222">
        <v>0</v>
      </c>
    </row>
    <row r="7004" spans="1:11" hidden="1" x14ac:dyDescent="0.25">
      <c r="A7004" s="203"/>
      <c r="B7004" s="205"/>
      <c r="C7004" s="35" t="s">
        <v>7647</v>
      </c>
      <c r="D7004" s="46" t="s">
        <v>20</v>
      </c>
      <c r="E7004" s="36">
        <v>1</v>
      </c>
      <c r="F7004" s="30">
        <v>3.9234999999999998</v>
      </c>
      <c r="G7004" s="30">
        <f t="shared" si="188"/>
        <v>3.9234999999999998</v>
      </c>
      <c r="H7004" s="38">
        <f t="shared" ref="H7004" si="198">SUM(G7004:G7004)</f>
        <v>3.9234999999999998</v>
      </c>
      <c r="I7004" s="39"/>
      <c r="J7004" s="148">
        <v>0</v>
      </c>
      <c r="K7004" s="222">
        <v>0</v>
      </c>
    </row>
    <row r="7005" spans="1:11" ht="15.75" hidden="1" thickBot="1" x14ac:dyDescent="0.3">
      <c r="A7005" s="209"/>
      <c r="B7005" s="206"/>
      <c r="C7005" s="54"/>
      <c r="D7005" s="54"/>
      <c r="E7005" s="65"/>
      <c r="F7005" s="66" t="s">
        <v>514</v>
      </c>
      <c r="G7005" s="66" t="str">
        <f t="shared" si="188"/>
        <v/>
      </c>
      <c r="H7005" s="68"/>
      <c r="I7005" s="30"/>
      <c r="J7005" s="148">
        <v>0</v>
      </c>
      <c r="K7005" s="222">
        <v>0</v>
      </c>
    </row>
    <row r="7006" spans="1:11" ht="15.75" hidden="1" thickBot="1" x14ac:dyDescent="0.3">
      <c r="A7006" s="202" t="s">
        <v>7297</v>
      </c>
      <c r="B7006" s="204" t="str">
        <f>INDEX(Orçamentária!A:B,MATCH(Composições!A7006,Orçamentária!A:A,0),2)</f>
        <v>Joelho 90° CPVC 28mm – Linha Residencial</v>
      </c>
      <c r="C7006" s="40"/>
      <c r="D7006" s="25" t="str">
        <f>TRIM(INDEX(Orçamentária!C:C,MATCH(Composições!A7006,Orçamentária!A:A,0),1))</f>
        <v>un</v>
      </c>
      <c r="E7006" s="26"/>
      <c r="F7006" s="41" t="s">
        <v>514</v>
      </c>
      <c r="G7006" s="27" t="str">
        <f t="shared" si="188"/>
        <v/>
      </c>
      <c r="H7006" s="28"/>
      <c r="I7006" s="29"/>
      <c r="J7006" s="148">
        <v>0</v>
      </c>
      <c r="K7006" s="222">
        <v>0</v>
      </c>
    </row>
    <row r="7007" spans="1:11" hidden="1" x14ac:dyDescent="0.25">
      <c r="A7007" s="203"/>
      <c r="B7007" s="205"/>
      <c r="C7007" s="31"/>
      <c r="D7007" s="31"/>
      <c r="E7007" s="32"/>
      <c r="F7007" s="42" t="s">
        <v>514</v>
      </c>
      <c r="G7007" s="30" t="str">
        <f t="shared" si="188"/>
        <v/>
      </c>
      <c r="H7007" s="34"/>
      <c r="I7007" s="30"/>
      <c r="J7007" s="148">
        <v>0</v>
      </c>
      <c r="K7007" s="222">
        <v>0</v>
      </c>
    </row>
    <row r="7008" spans="1:11" hidden="1" x14ac:dyDescent="0.25">
      <c r="A7008" s="203"/>
      <c r="B7008" s="205"/>
      <c r="C7008" s="35" t="s">
        <v>7648</v>
      </c>
      <c r="D7008" s="46" t="s">
        <v>20</v>
      </c>
      <c r="E7008" s="36">
        <v>1</v>
      </c>
      <c r="F7008" s="30">
        <v>8.2840000000000007</v>
      </c>
      <c r="G7008" s="30">
        <f t="shared" si="188"/>
        <v>8.2840000000000007</v>
      </c>
      <c r="H7008" s="38">
        <f t="shared" ref="H7008" si="199">SUM(G7008:G7008)</f>
        <v>8.2840000000000007</v>
      </c>
      <c r="I7008" s="39"/>
      <c r="J7008" s="148">
        <v>0</v>
      </c>
      <c r="K7008" s="222">
        <v>0</v>
      </c>
    </row>
    <row r="7009" spans="1:11" ht="15.75" hidden="1" thickBot="1" x14ac:dyDescent="0.3">
      <c r="A7009" s="209"/>
      <c r="B7009" s="206"/>
      <c r="C7009" s="54"/>
      <c r="D7009" s="54"/>
      <c r="E7009" s="65"/>
      <c r="F7009" s="66" t="s">
        <v>514</v>
      </c>
      <c r="G7009" s="66" t="str">
        <f t="shared" si="188"/>
        <v/>
      </c>
      <c r="H7009" s="68"/>
      <c r="I7009" s="30"/>
      <c r="J7009" s="148">
        <v>0</v>
      </c>
      <c r="K7009" s="222">
        <v>0</v>
      </c>
    </row>
    <row r="7010" spans="1:11" ht="15.75" hidden="1" thickBot="1" x14ac:dyDescent="0.3">
      <c r="A7010" s="202" t="s">
        <v>7299</v>
      </c>
      <c r="B7010" s="204" t="str">
        <f>INDEX(Orçamentária!A:B,MATCH(Composições!A7010,Orçamentária!A:A,0),2)</f>
        <v>Joelho 90° PVC soldável água fria DN 60mm</v>
      </c>
      <c r="C7010" s="40"/>
      <c r="D7010" s="25" t="str">
        <f>TRIM(INDEX(Orçamentária!C:C,MATCH(Composições!A7010,Orçamentária!A:A,0),1))</f>
        <v>un</v>
      </c>
      <c r="E7010" s="26"/>
      <c r="F7010" s="41" t="s">
        <v>514</v>
      </c>
      <c r="G7010" s="27" t="str">
        <f t="shared" si="188"/>
        <v/>
      </c>
      <c r="H7010" s="28"/>
      <c r="I7010" s="29"/>
      <c r="J7010" s="148">
        <v>0</v>
      </c>
      <c r="K7010" s="222">
        <v>0</v>
      </c>
    </row>
    <row r="7011" spans="1:11" hidden="1" x14ac:dyDescent="0.25">
      <c r="A7011" s="203"/>
      <c r="B7011" s="205"/>
      <c r="C7011" s="31"/>
      <c r="D7011" s="31"/>
      <c r="E7011" s="32"/>
      <c r="F7011" s="42" t="s">
        <v>514</v>
      </c>
      <c r="G7011" s="30" t="str">
        <f t="shared" si="188"/>
        <v/>
      </c>
      <c r="H7011" s="34"/>
      <c r="I7011" s="30"/>
      <c r="J7011" s="148">
        <v>0</v>
      </c>
      <c r="K7011" s="222">
        <v>0</v>
      </c>
    </row>
    <row r="7012" spans="1:11" ht="25.5" hidden="1" x14ac:dyDescent="0.25">
      <c r="A7012" s="203"/>
      <c r="B7012" s="205"/>
      <c r="C7012" s="35" t="s">
        <v>7650</v>
      </c>
      <c r="D7012" s="46" t="s">
        <v>20</v>
      </c>
      <c r="E7012" s="36">
        <v>1</v>
      </c>
      <c r="F7012" s="30">
        <v>32.148000000000003</v>
      </c>
      <c r="G7012" s="30">
        <f t="shared" si="188"/>
        <v>32.148000000000003</v>
      </c>
      <c r="H7012" s="38">
        <f t="shared" ref="H7012" si="200">SUM(G7012:G7012)</f>
        <v>32.148000000000003</v>
      </c>
      <c r="I7012" s="39"/>
      <c r="J7012" s="148">
        <v>0</v>
      </c>
      <c r="K7012" s="222">
        <v>0</v>
      </c>
    </row>
    <row r="7013" spans="1:11" ht="15.75" hidden="1" thickBot="1" x14ac:dyDescent="0.3">
      <c r="A7013" s="209"/>
      <c r="B7013" s="206"/>
      <c r="C7013" s="54"/>
      <c r="D7013" s="54"/>
      <c r="E7013" s="65"/>
      <c r="F7013" s="66" t="s">
        <v>514</v>
      </c>
      <c r="G7013" s="66" t="str">
        <f t="shared" si="188"/>
        <v/>
      </c>
      <c r="H7013" s="68"/>
      <c r="I7013" s="30"/>
      <c r="J7013" s="148">
        <v>0</v>
      </c>
      <c r="K7013" s="222">
        <v>0</v>
      </c>
    </row>
    <row r="7014" spans="1:11" ht="15.75" hidden="1" thickBot="1" x14ac:dyDescent="0.3">
      <c r="A7014" s="202" t="s">
        <v>7301</v>
      </c>
      <c r="B7014" s="204" t="str">
        <f>INDEX(Orçamentária!A:B,MATCH(Composições!A7014,Orçamentária!A:A,0),2)</f>
        <v>Tê 90° PVC soldável água fria DN 60mm</v>
      </c>
      <c r="C7014" s="40"/>
      <c r="D7014" s="25" t="str">
        <f>TRIM(INDEX(Orçamentária!C:C,MATCH(Composições!A7014,Orçamentária!A:A,0),1))</f>
        <v>un</v>
      </c>
      <c r="E7014" s="26"/>
      <c r="F7014" s="41" t="s">
        <v>514</v>
      </c>
      <c r="G7014" s="27" t="str">
        <f t="shared" si="188"/>
        <v/>
      </c>
      <c r="H7014" s="28"/>
      <c r="I7014" s="29"/>
      <c r="J7014" s="148">
        <v>0</v>
      </c>
      <c r="K7014" s="222">
        <v>0</v>
      </c>
    </row>
    <row r="7015" spans="1:11" hidden="1" x14ac:dyDescent="0.25">
      <c r="A7015" s="203"/>
      <c r="B7015" s="205"/>
      <c r="C7015" s="31"/>
      <c r="D7015" s="31"/>
      <c r="E7015" s="32"/>
      <c r="F7015" s="42" t="s">
        <v>514</v>
      </c>
      <c r="G7015" s="30" t="str">
        <f t="shared" si="188"/>
        <v/>
      </c>
      <c r="H7015" s="34"/>
      <c r="I7015" s="30"/>
      <c r="J7015" s="148">
        <v>0</v>
      </c>
      <c r="K7015" s="222">
        <v>0</v>
      </c>
    </row>
    <row r="7016" spans="1:11" ht="25.5" hidden="1" x14ac:dyDescent="0.25">
      <c r="A7016" s="203"/>
      <c r="B7016" s="205"/>
      <c r="C7016" s="35" t="s">
        <v>7703</v>
      </c>
      <c r="D7016" s="46" t="s">
        <v>20</v>
      </c>
      <c r="E7016" s="36">
        <v>1</v>
      </c>
      <c r="F7016" s="30">
        <v>39.748000000000005</v>
      </c>
      <c r="G7016" s="30">
        <f t="shared" si="188"/>
        <v>39.748000000000005</v>
      </c>
      <c r="H7016" s="38">
        <f t="shared" ref="H7016" si="201">SUM(G7016:G7016)</f>
        <v>39.748000000000005</v>
      </c>
      <c r="I7016" s="39"/>
      <c r="J7016" s="148">
        <v>0</v>
      </c>
      <c r="K7016" s="222">
        <v>0</v>
      </c>
    </row>
    <row r="7017" spans="1:11" ht="15.75" hidden="1" thickBot="1" x14ac:dyDescent="0.3">
      <c r="A7017" s="209"/>
      <c r="B7017" s="206"/>
      <c r="C7017" s="54"/>
      <c r="D7017" s="54"/>
      <c r="E7017" s="65"/>
      <c r="F7017" s="66" t="s">
        <v>514</v>
      </c>
      <c r="G7017" s="66" t="str">
        <f t="shared" si="188"/>
        <v/>
      </c>
      <c r="H7017" s="68"/>
      <c r="I7017" s="30"/>
      <c r="J7017" s="148">
        <v>0</v>
      </c>
      <c r="K7017" s="222">
        <v>0</v>
      </c>
    </row>
    <row r="7018" spans="1:11" ht="15.75" hidden="1" thickBot="1" x14ac:dyDescent="0.3">
      <c r="A7018" s="202" t="s">
        <v>7309</v>
      </c>
      <c r="B7018" s="204" t="str">
        <f>INDEX(Orçamentária!A:B,MATCH(Composições!A7018,Orçamentária!A:A,0),2)</f>
        <v>Tubo PEAD corrugado para drenagem – Diâmetro 110mm</v>
      </c>
      <c r="C7018" s="40"/>
      <c r="D7018" s="25" t="str">
        <f>TRIM(INDEX(Orçamentária!C:C,MATCH(Composições!A7018,Orçamentária!A:A,0),1))</f>
        <v>m</v>
      </c>
      <c r="E7018" s="26"/>
      <c r="F7018" s="41" t="s">
        <v>514</v>
      </c>
      <c r="G7018" s="27" t="str">
        <f t="shared" si="188"/>
        <v/>
      </c>
      <c r="H7018" s="28"/>
      <c r="I7018" s="29"/>
      <c r="J7018" s="148">
        <v>0</v>
      </c>
      <c r="K7018" s="222">
        <v>0</v>
      </c>
    </row>
    <row r="7019" spans="1:11" hidden="1" x14ac:dyDescent="0.25">
      <c r="A7019" s="203"/>
      <c r="B7019" s="205"/>
      <c r="C7019" s="31"/>
      <c r="D7019" s="31"/>
      <c r="E7019" s="32"/>
      <c r="F7019" s="42" t="s">
        <v>514</v>
      </c>
      <c r="G7019" s="30" t="str">
        <f t="shared" si="188"/>
        <v/>
      </c>
      <c r="H7019" s="34"/>
      <c r="I7019" s="30"/>
      <c r="J7019" s="148">
        <v>0</v>
      </c>
      <c r="K7019" s="222">
        <v>0</v>
      </c>
    </row>
    <row r="7020" spans="1:11" ht="38.25" hidden="1" x14ac:dyDescent="0.25">
      <c r="A7020" s="203"/>
      <c r="B7020" s="205"/>
      <c r="C7020" s="35" t="s">
        <v>1092</v>
      </c>
      <c r="D7020" s="46" t="s">
        <v>92</v>
      </c>
      <c r="E7020" s="36">
        <v>1</v>
      </c>
      <c r="F7020" s="30">
        <v>10.801499999999999</v>
      </c>
      <c r="G7020" s="30">
        <f t="shared" si="188"/>
        <v>10.801499999999999</v>
      </c>
      <c r="H7020" s="38">
        <f t="shared" ref="H7020" si="202">SUM(G7020:G7020)</f>
        <v>10.801499999999999</v>
      </c>
      <c r="I7020" s="39"/>
      <c r="J7020" s="148">
        <v>0</v>
      </c>
      <c r="K7020" s="222">
        <v>0</v>
      </c>
    </row>
    <row r="7021" spans="1:11" ht="15.75" hidden="1" thickBot="1" x14ac:dyDescent="0.3">
      <c r="A7021" s="209"/>
      <c r="B7021" s="206"/>
      <c r="C7021" s="54"/>
      <c r="D7021" s="54"/>
      <c r="E7021" s="65"/>
      <c r="F7021" s="66" t="s">
        <v>514</v>
      </c>
      <c r="G7021" s="66" t="str">
        <f t="shared" si="188"/>
        <v/>
      </c>
      <c r="H7021" s="68"/>
      <c r="I7021" s="30"/>
      <c r="J7021" s="148">
        <v>0</v>
      </c>
      <c r="K7021" s="222">
        <v>0</v>
      </c>
    </row>
    <row r="7022" spans="1:11" ht="15.75" hidden="1" thickBot="1" x14ac:dyDescent="0.3">
      <c r="A7022" s="202" t="s">
        <v>7311</v>
      </c>
      <c r="B7022" s="204" t="str">
        <f>INDEX(Orçamentária!A:B,MATCH(Composições!A7022,Orçamentária!A:A,0),2)</f>
        <v>Tubo PVC para Calha 88mm</v>
      </c>
      <c r="C7022" s="40"/>
      <c r="D7022" s="25" t="str">
        <f>TRIM(INDEX(Orçamentária!C:C,MATCH(Composições!A7022,Orçamentária!A:A,0),1))</f>
        <v>m</v>
      </c>
      <c r="E7022" s="26"/>
      <c r="F7022" s="41" t="s">
        <v>514</v>
      </c>
      <c r="G7022" s="27" t="str">
        <f t="shared" si="188"/>
        <v/>
      </c>
      <c r="H7022" s="28"/>
      <c r="I7022" s="29"/>
      <c r="J7022" s="148">
        <v>0</v>
      </c>
      <c r="K7022" s="222">
        <v>0</v>
      </c>
    </row>
    <row r="7023" spans="1:11" hidden="1" x14ac:dyDescent="0.25">
      <c r="A7023" s="203"/>
      <c r="B7023" s="205"/>
      <c r="C7023" s="31"/>
      <c r="D7023" s="31"/>
      <c r="E7023" s="32"/>
      <c r="F7023" s="42" t="s">
        <v>514</v>
      </c>
      <c r="G7023" s="30" t="str">
        <f t="shared" si="188"/>
        <v/>
      </c>
      <c r="H7023" s="34"/>
      <c r="I7023" s="30"/>
      <c r="J7023" s="148">
        <v>0</v>
      </c>
      <c r="K7023" s="222">
        <v>0</v>
      </c>
    </row>
    <row r="7024" spans="1:11" ht="25.5" hidden="1" x14ac:dyDescent="0.25">
      <c r="A7024" s="203"/>
      <c r="B7024" s="205"/>
      <c r="C7024" s="35" t="s">
        <v>7629</v>
      </c>
      <c r="D7024" s="46" t="s">
        <v>92</v>
      </c>
      <c r="E7024" s="36">
        <v>1</v>
      </c>
      <c r="F7024" s="30">
        <v>13.470999999999998</v>
      </c>
      <c r="G7024" s="30">
        <f t="shared" si="188"/>
        <v>13.470999999999998</v>
      </c>
      <c r="H7024" s="38">
        <f t="shared" ref="H7024" si="203">SUM(G7024:G7024)</f>
        <v>13.470999999999998</v>
      </c>
      <c r="I7024" s="39"/>
      <c r="J7024" s="148">
        <v>0</v>
      </c>
      <c r="K7024" s="222">
        <v>0</v>
      </c>
    </row>
    <row r="7025" spans="1:11" ht="15.75" hidden="1" thickBot="1" x14ac:dyDescent="0.3">
      <c r="A7025" s="209"/>
      <c r="B7025" s="206"/>
      <c r="C7025" s="54"/>
      <c r="D7025" s="54"/>
      <c r="E7025" s="65"/>
      <c r="F7025" s="66" t="s">
        <v>514</v>
      </c>
      <c r="G7025" s="66" t="str">
        <f t="shared" si="188"/>
        <v/>
      </c>
      <c r="H7025" s="68"/>
      <c r="I7025" s="30"/>
      <c r="J7025" s="148">
        <v>0</v>
      </c>
      <c r="K7025" s="222">
        <v>0</v>
      </c>
    </row>
    <row r="7026" spans="1:11" ht="15.75" hidden="1" thickBot="1" x14ac:dyDescent="0.3">
      <c r="A7026" s="202" t="s">
        <v>7313</v>
      </c>
      <c r="B7026" s="204" t="str">
        <f>INDEX(Orçamentária!A:B,MATCH(Composições!A7026,Orçamentária!A:A,0),2)</f>
        <v>Luva de Correr PVC esgoto ou águas pluviais predial DN 100mm</v>
      </c>
      <c r="C7026" s="40"/>
      <c r="D7026" s="25" t="str">
        <f>TRIM(INDEX(Orçamentária!C:C,MATCH(Composições!A7026,Orçamentária!A:A,0),1))</f>
        <v>un</v>
      </c>
      <c r="E7026" s="26"/>
      <c r="F7026" s="41" t="s">
        <v>514</v>
      </c>
      <c r="G7026" s="27" t="str">
        <f t="shared" ref="G7026:G7089" si="204">IF(ISNUMBER(F7026),E7026*F7026,"")</f>
        <v/>
      </c>
      <c r="H7026" s="28"/>
      <c r="I7026" s="29"/>
      <c r="J7026" s="148">
        <v>0</v>
      </c>
      <c r="K7026" s="222">
        <v>0</v>
      </c>
    </row>
    <row r="7027" spans="1:11" hidden="1" x14ac:dyDescent="0.25">
      <c r="A7027" s="203"/>
      <c r="B7027" s="205"/>
      <c r="C7027" s="31"/>
      <c r="D7027" s="31"/>
      <c r="E7027" s="32"/>
      <c r="F7027" s="42" t="s">
        <v>514</v>
      </c>
      <c r="G7027" s="30" t="str">
        <f t="shared" si="204"/>
        <v/>
      </c>
      <c r="H7027" s="34"/>
      <c r="I7027" s="30"/>
      <c r="J7027" s="148">
        <v>0</v>
      </c>
      <c r="K7027" s="222">
        <v>0</v>
      </c>
    </row>
    <row r="7028" spans="1:11" ht="25.5" hidden="1" x14ac:dyDescent="0.25">
      <c r="A7028" s="203"/>
      <c r="B7028" s="205"/>
      <c r="C7028" s="35" t="s">
        <v>7655</v>
      </c>
      <c r="D7028" s="46" t="s">
        <v>20</v>
      </c>
      <c r="E7028" s="36">
        <v>1</v>
      </c>
      <c r="F7028" s="30">
        <v>31.311999999999998</v>
      </c>
      <c r="G7028" s="30">
        <f t="shared" si="204"/>
        <v>31.311999999999998</v>
      </c>
      <c r="H7028" s="38">
        <f t="shared" ref="H7028" si="205">SUM(G7028:G7028)</f>
        <v>31.311999999999998</v>
      </c>
      <c r="I7028" s="39"/>
      <c r="J7028" s="148">
        <v>0</v>
      </c>
      <c r="K7028" s="222">
        <v>0</v>
      </c>
    </row>
    <row r="7029" spans="1:11" ht="15.75" hidden="1" thickBot="1" x14ac:dyDescent="0.3">
      <c r="A7029" s="209"/>
      <c r="B7029" s="206"/>
      <c r="C7029" s="54"/>
      <c r="D7029" s="54"/>
      <c r="E7029" s="65"/>
      <c r="F7029" s="66" t="s">
        <v>514</v>
      </c>
      <c r="G7029" s="66" t="str">
        <f t="shared" si="204"/>
        <v/>
      </c>
      <c r="H7029" s="68"/>
      <c r="I7029" s="30"/>
      <c r="J7029" s="148">
        <v>0</v>
      </c>
      <c r="K7029" s="222">
        <v>0</v>
      </c>
    </row>
    <row r="7030" spans="1:11" ht="15.75" hidden="1" thickBot="1" x14ac:dyDescent="0.3">
      <c r="A7030" s="202" t="s">
        <v>7317</v>
      </c>
      <c r="B7030" s="204" t="str">
        <f>INDEX(Orçamentária!A:B,MATCH(Composições!A7030,Orçamentária!A:A,0),2)</f>
        <v>Luva de transição CPVC 1/2” x 22mm  – Linha Residencial</v>
      </c>
      <c r="C7030" s="40"/>
      <c r="D7030" s="25" t="str">
        <f>TRIM(INDEX(Orçamentária!C:C,MATCH(Composições!A7030,Orçamentária!A:A,0),1))</f>
        <v>un</v>
      </c>
      <c r="E7030" s="26"/>
      <c r="F7030" s="41" t="s">
        <v>514</v>
      </c>
      <c r="G7030" s="27" t="str">
        <f t="shared" si="204"/>
        <v/>
      </c>
      <c r="H7030" s="28"/>
      <c r="I7030" s="29"/>
      <c r="J7030" s="148">
        <v>0</v>
      </c>
      <c r="K7030" s="222">
        <v>0</v>
      </c>
    </row>
    <row r="7031" spans="1:11" hidden="1" x14ac:dyDescent="0.25">
      <c r="A7031" s="203"/>
      <c r="B7031" s="205"/>
      <c r="C7031" s="31"/>
      <c r="D7031" s="31"/>
      <c r="E7031" s="32"/>
      <c r="F7031" s="42" t="s">
        <v>514</v>
      </c>
      <c r="G7031" s="30" t="str">
        <f t="shared" si="204"/>
        <v/>
      </c>
      <c r="H7031" s="34"/>
      <c r="I7031" s="30"/>
      <c r="J7031" s="148">
        <v>0</v>
      </c>
      <c r="K7031" s="222">
        <v>0</v>
      </c>
    </row>
    <row r="7032" spans="1:11" hidden="1" x14ac:dyDescent="0.25">
      <c r="A7032" s="203"/>
      <c r="B7032" s="205"/>
      <c r="C7032" s="35" t="s">
        <v>7656</v>
      </c>
      <c r="D7032" s="46" t="s">
        <v>20</v>
      </c>
      <c r="E7032" s="36">
        <v>1</v>
      </c>
      <c r="F7032" s="30">
        <v>8.5975000000000001</v>
      </c>
      <c r="G7032" s="30">
        <f t="shared" si="204"/>
        <v>8.5975000000000001</v>
      </c>
      <c r="H7032" s="38">
        <f t="shared" ref="H7032" si="206">SUM(G7032:G7032)</f>
        <v>8.5975000000000001</v>
      </c>
      <c r="I7032" s="39"/>
      <c r="J7032" s="148">
        <v>0</v>
      </c>
      <c r="K7032" s="222">
        <v>0</v>
      </c>
    </row>
    <row r="7033" spans="1:11" ht="15.75" hidden="1" thickBot="1" x14ac:dyDescent="0.3">
      <c r="A7033" s="209"/>
      <c r="B7033" s="206"/>
      <c r="C7033" s="54"/>
      <c r="D7033" s="54"/>
      <c r="E7033" s="65"/>
      <c r="F7033" s="66" t="s">
        <v>514</v>
      </c>
      <c r="G7033" s="66" t="str">
        <f t="shared" si="204"/>
        <v/>
      </c>
      <c r="H7033" s="68"/>
      <c r="I7033" s="30"/>
      <c r="J7033" s="148">
        <v>0</v>
      </c>
      <c r="K7033" s="222">
        <v>0</v>
      </c>
    </row>
    <row r="7034" spans="1:11" ht="15.75" hidden="1" thickBot="1" x14ac:dyDescent="0.3">
      <c r="A7034" s="202" t="s">
        <v>7321</v>
      </c>
      <c r="B7034" s="204" t="str">
        <f>INDEX(Orçamentária!A:B,MATCH(Composições!A7034,Orçamentária!A:A,0),2)</f>
        <v>Luva em aço-carbono galvanizado 2 1/2” - Água Potável e Combate a Incêndio</v>
      </c>
      <c r="C7034" s="40"/>
      <c r="D7034" s="25" t="str">
        <f>TRIM(INDEX(Orçamentária!C:C,MATCH(Composições!A7034,Orçamentária!A:A,0),1))</f>
        <v>un</v>
      </c>
      <c r="E7034" s="26"/>
      <c r="F7034" s="41" t="s">
        <v>514</v>
      </c>
      <c r="G7034" s="27" t="str">
        <f t="shared" si="204"/>
        <v/>
      </c>
      <c r="H7034" s="28"/>
      <c r="I7034" s="29"/>
      <c r="J7034" s="148">
        <v>0</v>
      </c>
      <c r="K7034" s="222">
        <v>0</v>
      </c>
    </row>
    <row r="7035" spans="1:11" hidden="1" x14ac:dyDescent="0.25">
      <c r="A7035" s="203"/>
      <c r="B7035" s="205"/>
      <c r="C7035" s="31"/>
      <c r="D7035" s="31"/>
      <c r="E7035" s="32"/>
      <c r="F7035" s="42" t="s">
        <v>514</v>
      </c>
      <c r="G7035" s="30" t="str">
        <f t="shared" si="204"/>
        <v/>
      </c>
      <c r="H7035" s="34"/>
      <c r="I7035" s="30"/>
      <c r="J7035" s="148">
        <v>0</v>
      </c>
      <c r="K7035" s="222">
        <v>0</v>
      </c>
    </row>
    <row r="7036" spans="1:11" ht="25.5" hidden="1" x14ac:dyDescent="0.25">
      <c r="A7036" s="203"/>
      <c r="B7036" s="205"/>
      <c r="C7036" s="35" t="s">
        <v>3323</v>
      </c>
      <c r="D7036" s="46" t="s">
        <v>20</v>
      </c>
      <c r="E7036" s="36">
        <v>1</v>
      </c>
      <c r="F7036" s="30">
        <v>14.487499999999999</v>
      </c>
      <c r="G7036" s="30">
        <f t="shared" si="204"/>
        <v>14.487499999999999</v>
      </c>
      <c r="H7036" s="38">
        <f t="shared" ref="H7036" si="207">SUM(G7036:G7036)</f>
        <v>14.487499999999999</v>
      </c>
      <c r="I7036" s="39"/>
      <c r="J7036" s="148">
        <v>0</v>
      </c>
      <c r="K7036" s="222">
        <v>0</v>
      </c>
    </row>
    <row r="7037" spans="1:11" ht="15.75" hidden="1" thickBot="1" x14ac:dyDescent="0.3">
      <c r="A7037" s="209"/>
      <c r="B7037" s="206"/>
      <c r="C7037" s="54"/>
      <c r="D7037" s="54"/>
      <c r="E7037" s="65"/>
      <c r="F7037" s="66" t="s">
        <v>514</v>
      </c>
      <c r="G7037" s="66" t="str">
        <f t="shared" si="204"/>
        <v/>
      </c>
      <c r="H7037" s="68"/>
      <c r="I7037" s="30"/>
      <c r="J7037" s="148">
        <v>0</v>
      </c>
      <c r="K7037" s="222">
        <v>0</v>
      </c>
    </row>
    <row r="7038" spans="1:11" ht="15.75" hidden="1" thickBot="1" x14ac:dyDescent="0.3">
      <c r="A7038" s="202" t="s">
        <v>7323</v>
      </c>
      <c r="B7038" s="204" t="str">
        <f>INDEX(Orçamentária!A:B,MATCH(Composições!A7038,Orçamentária!A:A,0),2)</f>
        <v>Luva em aço-carbono galvanizado 2” - Água Potável e Combate a Incêndio</v>
      </c>
      <c r="C7038" s="40"/>
      <c r="D7038" s="25" t="str">
        <f>TRIM(INDEX(Orçamentária!C:C,MATCH(Composições!A7038,Orçamentária!A:A,0),1))</f>
        <v>un</v>
      </c>
      <c r="E7038" s="26"/>
      <c r="F7038" s="41" t="s">
        <v>514</v>
      </c>
      <c r="G7038" s="27" t="str">
        <f t="shared" si="204"/>
        <v/>
      </c>
      <c r="H7038" s="28"/>
      <c r="I7038" s="29"/>
      <c r="J7038" s="148">
        <v>0</v>
      </c>
      <c r="K7038" s="222">
        <v>0</v>
      </c>
    </row>
    <row r="7039" spans="1:11" hidden="1" x14ac:dyDescent="0.25">
      <c r="A7039" s="203"/>
      <c r="B7039" s="205"/>
      <c r="C7039" s="31"/>
      <c r="D7039" s="31"/>
      <c r="E7039" s="32"/>
      <c r="F7039" s="42" t="s">
        <v>514</v>
      </c>
      <c r="G7039" s="30" t="str">
        <f t="shared" si="204"/>
        <v/>
      </c>
      <c r="H7039" s="34"/>
      <c r="I7039" s="30"/>
      <c r="J7039" s="148">
        <v>0</v>
      </c>
      <c r="K7039" s="222">
        <v>0</v>
      </c>
    </row>
    <row r="7040" spans="1:11" ht="25.5" hidden="1" x14ac:dyDescent="0.25">
      <c r="A7040" s="203"/>
      <c r="B7040" s="205"/>
      <c r="C7040" s="35" t="s">
        <v>3322</v>
      </c>
      <c r="D7040" s="46" t="s">
        <v>20</v>
      </c>
      <c r="E7040" s="36">
        <v>1</v>
      </c>
      <c r="F7040" s="30">
        <v>9.9179999999999993</v>
      </c>
      <c r="G7040" s="30">
        <f t="shared" si="204"/>
        <v>9.9179999999999993</v>
      </c>
      <c r="H7040" s="38">
        <f t="shared" ref="H7040" si="208">SUM(G7040:G7040)</f>
        <v>9.9179999999999993</v>
      </c>
      <c r="I7040" s="39"/>
      <c r="J7040" s="148">
        <v>0</v>
      </c>
      <c r="K7040" s="222">
        <v>0</v>
      </c>
    </row>
    <row r="7041" spans="1:11" ht="15.75" hidden="1" thickBot="1" x14ac:dyDescent="0.3">
      <c r="A7041" s="209"/>
      <c r="B7041" s="206"/>
      <c r="C7041" s="54"/>
      <c r="D7041" s="54"/>
      <c r="E7041" s="65"/>
      <c r="F7041" s="66" t="s">
        <v>514</v>
      </c>
      <c r="G7041" s="66" t="str">
        <f t="shared" si="204"/>
        <v/>
      </c>
      <c r="H7041" s="68"/>
      <c r="I7041" s="30"/>
      <c r="J7041" s="148">
        <v>0</v>
      </c>
      <c r="K7041" s="222">
        <v>0</v>
      </c>
    </row>
    <row r="7042" spans="1:11" ht="15.75" hidden="1" thickBot="1" x14ac:dyDescent="0.3">
      <c r="A7042" s="202" t="s">
        <v>7325</v>
      </c>
      <c r="B7042" s="204" t="str">
        <f>INDEX(Orçamentária!A:B,MATCH(Composições!A7042,Orçamentária!A:A,0),2)</f>
        <v>Luva em aço-carbono galvanizado 3” - Água Potável e Combate a Incêndio</v>
      </c>
      <c r="C7042" s="40"/>
      <c r="D7042" s="25" t="str">
        <f>TRIM(INDEX(Orçamentária!C:C,MATCH(Composições!A7042,Orçamentária!A:A,0),1))</f>
        <v>un</v>
      </c>
      <c r="E7042" s="26"/>
      <c r="F7042" s="41" t="s">
        <v>514</v>
      </c>
      <c r="G7042" s="27" t="str">
        <f t="shared" si="204"/>
        <v/>
      </c>
      <c r="H7042" s="28"/>
      <c r="I7042" s="29"/>
      <c r="J7042" s="148">
        <v>0</v>
      </c>
      <c r="K7042" s="222">
        <v>0</v>
      </c>
    </row>
    <row r="7043" spans="1:11" hidden="1" x14ac:dyDescent="0.25">
      <c r="A7043" s="203"/>
      <c r="B7043" s="205"/>
      <c r="C7043" s="31"/>
      <c r="D7043" s="31"/>
      <c r="E7043" s="32"/>
      <c r="F7043" s="42" t="s">
        <v>514</v>
      </c>
      <c r="G7043" s="30" t="str">
        <f t="shared" si="204"/>
        <v/>
      </c>
      <c r="H7043" s="34"/>
      <c r="I7043" s="30"/>
      <c r="J7043" s="148">
        <v>0</v>
      </c>
      <c r="K7043" s="222">
        <v>0</v>
      </c>
    </row>
    <row r="7044" spans="1:11" ht="25.5" hidden="1" x14ac:dyDescent="0.25">
      <c r="A7044" s="203"/>
      <c r="B7044" s="205"/>
      <c r="C7044" s="35" t="s">
        <v>3324</v>
      </c>
      <c r="D7044" s="46" t="s">
        <v>20</v>
      </c>
      <c r="E7044" s="36">
        <v>1</v>
      </c>
      <c r="F7044" s="30">
        <v>22.049499999999998</v>
      </c>
      <c r="G7044" s="30">
        <f t="shared" si="204"/>
        <v>22.049499999999998</v>
      </c>
      <c r="H7044" s="38">
        <f t="shared" ref="H7044" si="209">SUM(G7044:G7044)</f>
        <v>22.049499999999998</v>
      </c>
      <c r="I7044" s="39"/>
      <c r="J7044" s="148">
        <v>0</v>
      </c>
      <c r="K7044" s="222">
        <v>0</v>
      </c>
    </row>
    <row r="7045" spans="1:11" ht="15.75" hidden="1" thickBot="1" x14ac:dyDescent="0.3">
      <c r="A7045" s="209"/>
      <c r="B7045" s="206"/>
      <c r="C7045" s="54"/>
      <c r="D7045" s="54"/>
      <c r="E7045" s="65"/>
      <c r="F7045" s="66" t="s">
        <v>514</v>
      </c>
      <c r="G7045" s="66" t="str">
        <f t="shared" si="204"/>
        <v/>
      </c>
      <c r="H7045" s="68"/>
      <c r="I7045" s="30"/>
      <c r="J7045" s="148">
        <v>0</v>
      </c>
      <c r="K7045" s="222">
        <v>0</v>
      </c>
    </row>
    <row r="7046" spans="1:11" ht="15.75" hidden="1" thickBot="1" x14ac:dyDescent="0.3">
      <c r="A7046" s="202" t="s">
        <v>7327</v>
      </c>
      <c r="B7046" s="204" t="str">
        <f>INDEX(Orçamentária!A:B,MATCH(Composições!A7046,Orçamentária!A:A,0),2)</f>
        <v>Tê 45° (Junção) em aço-carbono galvanizado 2 1/2” – Água Potável e Combate a Incêndio</v>
      </c>
      <c r="C7046" s="40"/>
      <c r="D7046" s="25" t="str">
        <f>TRIM(INDEX(Orçamentária!C:C,MATCH(Composições!A7046,Orçamentária!A:A,0),1))</f>
        <v>un</v>
      </c>
      <c r="E7046" s="26"/>
      <c r="F7046" s="41" t="s">
        <v>514</v>
      </c>
      <c r="G7046" s="27" t="str">
        <f t="shared" si="204"/>
        <v/>
      </c>
      <c r="H7046" s="28"/>
      <c r="I7046" s="29"/>
      <c r="J7046" s="148">
        <v>0</v>
      </c>
      <c r="K7046" s="222">
        <v>0</v>
      </c>
    </row>
    <row r="7047" spans="1:11" hidden="1" x14ac:dyDescent="0.25">
      <c r="A7047" s="203"/>
      <c r="B7047" s="205"/>
      <c r="C7047" s="31"/>
      <c r="D7047" s="31"/>
      <c r="E7047" s="32"/>
      <c r="F7047" s="42" t="s">
        <v>514</v>
      </c>
      <c r="G7047" s="30" t="str">
        <f t="shared" si="204"/>
        <v/>
      </c>
      <c r="H7047" s="34"/>
      <c r="I7047" s="30"/>
      <c r="J7047" s="148">
        <v>0</v>
      </c>
      <c r="K7047" s="222">
        <v>0</v>
      </c>
    </row>
    <row r="7048" spans="1:11" hidden="1" x14ac:dyDescent="0.25">
      <c r="A7048" s="203"/>
      <c r="B7048" s="205"/>
      <c r="C7048" s="35" t="s">
        <v>7704</v>
      </c>
      <c r="D7048" s="46" t="s">
        <v>20</v>
      </c>
      <c r="E7048" s="36">
        <v>1</v>
      </c>
      <c r="F7048" s="30">
        <v>257.04149999999998</v>
      </c>
      <c r="G7048" s="30">
        <f t="shared" si="204"/>
        <v>257.04149999999998</v>
      </c>
      <c r="H7048" s="38">
        <f t="shared" ref="H7048" si="210">SUM(G7048:G7048)</f>
        <v>257.04149999999998</v>
      </c>
      <c r="I7048" s="39"/>
      <c r="J7048" s="148">
        <v>0</v>
      </c>
      <c r="K7048" s="222">
        <v>0</v>
      </c>
    </row>
    <row r="7049" spans="1:11" ht="15.75" hidden="1" thickBot="1" x14ac:dyDescent="0.3">
      <c r="A7049" s="209"/>
      <c r="B7049" s="206"/>
      <c r="C7049" s="54"/>
      <c r="D7049" s="54"/>
      <c r="E7049" s="65"/>
      <c r="F7049" s="66" t="s">
        <v>514</v>
      </c>
      <c r="G7049" s="66" t="str">
        <f t="shared" si="204"/>
        <v/>
      </c>
      <c r="H7049" s="68"/>
      <c r="I7049" s="30"/>
      <c r="J7049" s="148">
        <v>0</v>
      </c>
      <c r="K7049" s="222">
        <v>0</v>
      </c>
    </row>
    <row r="7050" spans="1:11" ht="15.75" hidden="1" thickBot="1" x14ac:dyDescent="0.3">
      <c r="A7050" s="202" t="s">
        <v>7329</v>
      </c>
      <c r="B7050" s="204" t="str">
        <f>INDEX(Orçamentária!A:B,MATCH(Composições!A7050,Orçamentária!A:A,0),2)</f>
        <v>Tê 45° (Junção) em aço-carbono galvanizado 2” – Água Potável e Combate a Incêndio</v>
      </c>
      <c r="C7050" s="40"/>
      <c r="D7050" s="25" t="str">
        <f>TRIM(INDEX(Orçamentária!C:C,MATCH(Composições!A7050,Orçamentária!A:A,0),1))</f>
        <v>un</v>
      </c>
      <c r="E7050" s="26"/>
      <c r="F7050" s="41" t="s">
        <v>514</v>
      </c>
      <c r="G7050" s="27" t="str">
        <f t="shared" si="204"/>
        <v/>
      </c>
      <c r="H7050" s="28"/>
      <c r="I7050" s="29"/>
      <c r="J7050" s="148">
        <v>0</v>
      </c>
      <c r="K7050" s="222">
        <v>0</v>
      </c>
    </row>
    <row r="7051" spans="1:11" hidden="1" x14ac:dyDescent="0.25">
      <c r="A7051" s="203"/>
      <c r="B7051" s="205"/>
      <c r="C7051" s="31"/>
      <c r="D7051" s="31"/>
      <c r="E7051" s="32"/>
      <c r="F7051" s="42" t="s">
        <v>514</v>
      </c>
      <c r="G7051" s="30" t="str">
        <f t="shared" si="204"/>
        <v/>
      </c>
      <c r="H7051" s="34"/>
      <c r="I7051" s="30"/>
      <c r="J7051" s="148">
        <v>0</v>
      </c>
      <c r="K7051" s="222">
        <v>0</v>
      </c>
    </row>
    <row r="7052" spans="1:11" hidden="1" x14ac:dyDescent="0.25">
      <c r="A7052" s="203"/>
      <c r="B7052" s="205"/>
      <c r="C7052" s="35" t="s">
        <v>7705</v>
      </c>
      <c r="D7052" s="46" t="s">
        <v>20</v>
      </c>
      <c r="E7052" s="36">
        <v>1</v>
      </c>
      <c r="F7052" s="30">
        <v>137.96849999999998</v>
      </c>
      <c r="G7052" s="30">
        <f t="shared" si="204"/>
        <v>137.96849999999998</v>
      </c>
      <c r="H7052" s="38">
        <f t="shared" ref="H7052" si="211">SUM(G7052:G7052)</f>
        <v>137.96849999999998</v>
      </c>
      <c r="I7052" s="39"/>
      <c r="J7052" s="148">
        <v>0</v>
      </c>
      <c r="K7052" s="222">
        <v>0</v>
      </c>
    </row>
    <row r="7053" spans="1:11" ht="15.75" hidden="1" thickBot="1" x14ac:dyDescent="0.3">
      <c r="A7053" s="209"/>
      <c r="B7053" s="206"/>
      <c r="C7053" s="54"/>
      <c r="D7053" s="54"/>
      <c r="E7053" s="65"/>
      <c r="F7053" s="66" t="s">
        <v>514</v>
      </c>
      <c r="G7053" s="66" t="str">
        <f t="shared" si="204"/>
        <v/>
      </c>
      <c r="H7053" s="68"/>
      <c r="I7053" s="30"/>
      <c r="J7053" s="148">
        <v>0</v>
      </c>
      <c r="K7053" s="222">
        <v>0</v>
      </c>
    </row>
    <row r="7054" spans="1:11" ht="15.75" hidden="1" thickBot="1" x14ac:dyDescent="0.3">
      <c r="A7054" s="202" t="s">
        <v>7331</v>
      </c>
      <c r="B7054" s="204" t="str">
        <f>INDEX(Orçamentária!A:B,MATCH(Composições!A7054,Orçamentária!A:A,0),2)</f>
        <v>Tê 45° (Junção) em aço-carbono galvanizado 3” – Água Potável e Combate a Incêndio</v>
      </c>
      <c r="C7054" s="40"/>
      <c r="D7054" s="25" t="str">
        <f>TRIM(INDEX(Orçamentária!C:C,MATCH(Composições!A7054,Orçamentária!A:A,0),1))</f>
        <v>un</v>
      </c>
      <c r="E7054" s="26"/>
      <c r="F7054" s="41" t="s">
        <v>514</v>
      </c>
      <c r="G7054" s="27" t="str">
        <f t="shared" si="204"/>
        <v/>
      </c>
      <c r="H7054" s="28"/>
      <c r="I7054" s="29"/>
      <c r="J7054" s="148">
        <v>0</v>
      </c>
      <c r="K7054" s="222">
        <v>0</v>
      </c>
    </row>
    <row r="7055" spans="1:11" hidden="1" x14ac:dyDescent="0.25">
      <c r="A7055" s="203"/>
      <c r="B7055" s="205"/>
      <c r="C7055" s="31"/>
      <c r="D7055" s="31"/>
      <c r="E7055" s="32"/>
      <c r="F7055" s="42" t="s">
        <v>514</v>
      </c>
      <c r="G7055" s="30" t="str">
        <f t="shared" si="204"/>
        <v/>
      </c>
      <c r="H7055" s="34"/>
      <c r="I7055" s="30"/>
      <c r="J7055" s="148">
        <v>0</v>
      </c>
      <c r="K7055" s="222">
        <v>0</v>
      </c>
    </row>
    <row r="7056" spans="1:11" hidden="1" x14ac:dyDescent="0.25">
      <c r="A7056" s="203"/>
      <c r="B7056" s="205"/>
      <c r="C7056" s="35" t="s">
        <v>7706</v>
      </c>
      <c r="D7056" s="46" t="s">
        <v>20</v>
      </c>
      <c r="E7056" s="36">
        <v>1</v>
      </c>
      <c r="F7056" s="30">
        <v>406.30549999999999</v>
      </c>
      <c r="G7056" s="30">
        <f t="shared" si="204"/>
        <v>406.30549999999999</v>
      </c>
      <c r="H7056" s="38">
        <f t="shared" ref="H7056" si="212">SUM(G7056:G7056)</f>
        <v>406.30549999999999</v>
      </c>
      <c r="I7056" s="39"/>
      <c r="J7056" s="148">
        <v>0</v>
      </c>
      <c r="K7056" s="222">
        <v>0</v>
      </c>
    </row>
    <row r="7057" spans="1:11" ht="15.75" hidden="1" thickBot="1" x14ac:dyDescent="0.3">
      <c r="A7057" s="209"/>
      <c r="B7057" s="206"/>
      <c r="C7057" s="54"/>
      <c r="D7057" s="54"/>
      <c r="E7057" s="65"/>
      <c r="F7057" s="66" t="s">
        <v>514</v>
      </c>
      <c r="G7057" s="66" t="str">
        <f t="shared" si="204"/>
        <v/>
      </c>
      <c r="H7057" s="68"/>
      <c r="I7057" s="30"/>
      <c r="J7057" s="148">
        <v>0</v>
      </c>
      <c r="K7057" s="222">
        <v>0</v>
      </c>
    </row>
    <row r="7058" spans="1:11" ht="15.75" hidden="1" thickBot="1" x14ac:dyDescent="0.3">
      <c r="A7058" s="202" t="s">
        <v>7333</v>
      </c>
      <c r="B7058" s="204" t="str">
        <f>INDEX(Orçamentária!A:B,MATCH(Composições!A7058,Orçamentária!A:A,0),2)</f>
        <v>Tê 45° (Junção) PVC esgoto ou águas pluviais predial DN 75mm</v>
      </c>
      <c r="C7058" s="40"/>
      <c r="D7058" s="25" t="str">
        <f>TRIM(INDEX(Orçamentária!C:C,MATCH(Composições!A7058,Orçamentária!A:A,0),1))</f>
        <v>un</v>
      </c>
      <c r="E7058" s="26"/>
      <c r="F7058" s="41" t="s">
        <v>514</v>
      </c>
      <c r="G7058" s="27" t="str">
        <f t="shared" si="204"/>
        <v/>
      </c>
      <c r="H7058" s="28"/>
      <c r="I7058" s="29"/>
      <c r="J7058" s="148">
        <v>0</v>
      </c>
      <c r="K7058" s="222">
        <v>0</v>
      </c>
    </row>
    <row r="7059" spans="1:11" hidden="1" x14ac:dyDescent="0.25">
      <c r="A7059" s="203"/>
      <c r="B7059" s="205"/>
      <c r="C7059" s="31"/>
      <c r="D7059" s="31"/>
      <c r="E7059" s="32"/>
      <c r="F7059" s="42" t="s">
        <v>514</v>
      </c>
      <c r="G7059" s="30" t="str">
        <f t="shared" si="204"/>
        <v/>
      </c>
      <c r="H7059" s="34"/>
      <c r="I7059" s="30"/>
      <c r="J7059" s="148">
        <v>0</v>
      </c>
      <c r="K7059" s="222">
        <v>0</v>
      </c>
    </row>
    <row r="7060" spans="1:11" ht="25.5" hidden="1" x14ac:dyDescent="0.25">
      <c r="A7060" s="203"/>
      <c r="B7060" s="205"/>
      <c r="C7060" s="35" t="s">
        <v>7652</v>
      </c>
      <c r="D7060" s="46" t="s">
        <v>20</v>
      </c>
      <c r="E7060" s="36">
        <v>1</v>
      </c>
      <c r="F7060" s="30">
        <v>45.504999999999995</v>
      </c>
      <c r="G7060" s="30">
        <f t="shared" si="204"/>
        <v>45.504999999999995</v>
      </c>
      <c r="H7060" s="38">
        <f t="shared" ref="H7060" si="213">SUM(G7060:G7060)</f>
        <v>45.504999999999995</v>
      </c>
      <c r="I7060" s="39"/>
      <c r="J7060" s="148">
        <v>0</v>
      </c>
      <c r="K7060" s="222">
        <v>0</v>
      </c>
    </row>
    <row r="7061" spans="1:11" ht="15.75" hidden="1" thickBot="1" x14ac:dyDescent="0.3">
      <c r="A7061" s="209"/>
      <c r="B7061" s="206"/>
      <c r="C7061" s="54"/>
      <c r="D7061" s="54"/>
      <c r="E7061" s="65"/>
      <c r="F7061" s="66" t="s">
        <v>514</v>
      </c>
      <c r="G7061" s="66" t="str">
        <f t="shared" si="204"/>
        <v/>
      </c>
      <c r="H7061" s="68"/>
      <c r="I7061" s="30"/>
      <c r="J7061" s="148">
        <v>0</v>
      </c>
      <c r="K7061" s="222">
        <v>0</v>
      </c>
    </row>
    <row r="7062" spans="1:11" ht="15.75" hidden="1" thickBot="1" x14ac:dyDescent="0.3">
      <c r="A7062" s="202" t="s">
        <v>7335</v>
      </c>
      <c r="B7062" s="204" t="str">
        <f>INDEX(Orçamentária!A:B,MATCH(Composições!A7062,Orçamentária!A:A,0),2)</f>
        <v>União CPVC 22mm – Linha Residencial</v>
      </c>
      <c r="C7062" s="40"/>
      <c r="D7062" s="25" t="str">
        <f>TRIM(INDEX(Orçamentária!C:C,MATCH(Composições!A7062,Orçamentária!A:A,0),1))</f>
        <v>un</v>
      </c>
      <c r="E7062" s="26"/>
      <c r="F7062" s="41" t="s">
        <v>514</v>
      </c>
      <c r="G7062" s="27" t="str">
        <f t="shared" si="204"/>
        <v/>
      </c>
      <c r="H7062" s="28"/>
      <c r="I7062" s="29"/>
      <c r="J7062" s="148">
        <v>0</v>
      </c>
      <c r="K7062" s="222">
        <v>0</v>
      </c>
    </row>
    <row r="7063" spans="1:11" hidden="1" x14ac:dyDescent="0.25">
      <c r="A7063" s="203"/>
      <c r="B7063" s="205"/>
      <c r="C7063" s="31"/>
      <c r="D7063" s="31"/>
      <c r="E7063" s="32"/>
      <c r="F7063" s="42" t="s">
        <v>514</v>
      </c>
      <c r="G7063" s="30" t="str">
        <f t="shared" si="204"/>
        <v/>
      </c>
      <c r="H7063" s="34"/>
      <c r="I7063" s="30"/>
      <c r="J7063" s="148">
        <v>0</v>
      </c>
      <c r="K7063" s="222">
        <v>0</v>
      </c>
    </row>
    <row r="7064" spans="1:11" hidden="1" x14ac:dyDescent="0.25">
      <c r="A7064" s="203"/>
      <c r="B7064" s="205"/>
      <c r="C7064" s="35" t="s">
        <v>7742</v>
      </c>
      <c r="D7064" s="46" t="s">
        <v>20</v>
      </c>
      <c r="E7064" s="36">
        <v>1</v>
      </c>
      <c r="F7064" s="30">
        <v>11.703999999999999</v>
      </c>
      <c r="G7064" s="30">
        <f t="shared" si="204"/>
        <v>11.703999999999999</v>
      </c>
      <c r="H7064" s="38">
        <f t="shared" ref="H7064:H7124" si="214">SUM(G7064:G7064)</f>
        <v>11.703999999999999</v>
      </c>
      <c r="I7064" s="39"/>
      <c r="J7064" s="148">
        <v>0</v>
      </c>
      <c r="K7064" s="222">
        <v>0</v>
      </c>
    </row>
    <row r="7065" spans="1:11" ht="15.75" hidden="1" thickBot="1" x14ac:dyDescent="0.3">
      <c r="A7065" s="209"/>
      <c r="B7065" s="206"/>
      <c r="C7065" s="54"/>
      <c r="D7065" s="54"/>
      <c r="E7065" s="65"/>
      <c r="F7065" s="66" t="s">
        <v>514</v>
      </c>
      <c r="G7065" s="66" t="str">
        <f t="shared" si="204"/>
        <v/>
      </c>
      <c r="H7065" s="68"/>
      <c r="I7065" s="30"/>
      <c r="J7065" s="148">
        <v>0</v>
      </c>
      <c r="K7065" s="222">
        <v>0</v>
      </c>
    </row>
    <row r="7066" spans="1:11" ht="15.75" hidden="1" thickBot="1" x14ac:dyDescent="0.3">
      <c r="A7066" s="202" t="s">
        <v>7337</v>
      </c>
      <c r="B7066" s="204" t="str">
        <f>INDEX(Orçamentária!A:B,MATCH(Composições!A7066,Orçamentária!A:A,0),2)</f>
        <v>União CPVC 28mm– Linha Residencial</v>
      </c>
      <c r="C7066" s="40"/>
      <c r="D7066" s="25" t="str">
        <f>TRIM(INDEX(Orçamentária!C:C,MATCH(Composições!A7066,Orçamentária!A:A,0),1))</f>
        <v>un</v>
      </c>
      <c r="E7066" s="26"/>
      <c r="F7066" s="41" t="s">
        <v>514</v>
      </c>
      <c r="G7066" s="27" t="str">
        <f t="shared" si="204"/>
        <v/>
      </c>
      <c r="H7066" s="28"/>
      <c r="I7066" s="29"/>
      <c r="J7066" s="148">
        <v>0</v>
      </c>
      <c r="K7066" s="222">
        <v>0</v>
      </c>
    </row>
    <row r="7067" spans="1:11" hidden="1" x14ac:dyDescent="0.25">
      <c r="A7067" s="203"/>
      <c r="B7067" s="205"/>
      <c r="C7067" s="31"/>
      <c r="D7067" s="31"/>
      <c r="E7067" s="32"/>
      <c r="F7067" s="42" t="s">
        <v>514</v>
      </c>
      <c r="G7067" s="30" t="str">
        <f t="shared" si="204"/>
        <v/>
      </c>
      <c r="H7067" s="34"/>
      <c r="I7067" s="30"/>
      <c r="J7067" s="148">
        <v>0</v>
      </c>
      <c r="K7067" s="222">
        <v>0</v>
      </c>
    </row>
    <row r="7068" spans="1:11" hidden="1" x14ac:dyDescent="0.25">
      <c r="A7068" s="203"/>
      <c r="B7068" s="205"/>
      <c r="C7068" s="35" t="s">
        <v>7743</v>
      </c>
      <c r="D7068" s="46" t="s">
        <v>20</v>
      </c>
      <c r="E7068" s="36">
        <v>1</v>
      </c>
      <c r="F7068" s="30">
        <v>18.515499999999999</v>
      </c>
      <c r="G7068" s="30">
        <f t="shared" si="204"/>
        <v>18.515499999999999</v>
      </c>
      <c r="H7068" s="38">
        <f t="shared" si="214"/>
        <v>18.515499999999999</v>
      </c>
      <c r="I7068" s="39"/>
      <c r="J7068" s="148">
        <v>0</v>
      </c>
      <c r="K7068" s="222">
        <v>0</v>
      </c>
    </row>
    <row r="7069" spans="1:11" ht="15.75" hidden="1" thickBot="1" x14ac:dyDescent="0.3">
      <c r="A7069" s="209"/>
      <c r="B7069" s="206"/>
      <c r="C7069" s="54"/>
      <c r="D7069" s="54"/>
      <c r="E7069" s="65"/>
      <c r="F7069" s="66" t="s">
        <v>514</v>
      </c>
      <c r="G7069" s="66" t="str">
        <f t="shared" si="204"/>
        <v/>
      </c>
      <c r="H7069" s="68"/>
      <c r="I7069" s="30"/>
      <c r="J7069" s="148">
        <v>0</v>
      </c>
      <c r="K7069" s="222">
        <v>0</v>
      </c>
    </row>
    <row r="7070" spans="1:11" ht="15.75" hidden="1" thickBot="1" x14ac:dyDescent="0.3">
      <c r="A7070" s="202" t="s">
        <v>7339</v>
      </c>
      <c r="B7070" s="204" t="str">
        <f>INDEX(Orçamentária!A:B,MATCH(Composições!A7070,Orçamentária!A:A,0),2)</f>
        <v>União com assento cônico aço-carbono galvanizado 1 1/2” – Água Potável e Combate a Incêndio</v>
      </c>
      <c r="C7070" s="40"/>
      <c r="D7070" s="25" t="str">
        <f>TRIM(INDEX(Orçamentária!C:C,MATCH(Composições!A7070,Orçamentária!A:A,0),1))</f>
        <v>un</v>
      </c>
      <c r="E7070" s="26"/>
      <c r="F7070" s="41" t="s">
        <v>514</v>
      </c>
      <c r="G7070" s="27" t="str">
        <f t="shared" si="204"/>
        <v/>
      </c>
      <c r="H7070" s="28"/>
      <c r="I7070" s="29"/>
      <c r="J7070" s="148">
        <v>0</v>
      </c>
      <c r="K7070" s="222">
        <v>0</v>
      </c>
    </row>
    <row r="7071" spans="1:11" hidden="1" x14ac:dyDescent="0.25">
      <c r="A7071" s="203"/>
      <c r="B7071" s="205"/>
      <c r="C7071" s="31"/>
      <c r="D7071" s="31"/>
      <c r="E7071" s="32"/>
      <c r="F7071" s="42" t="s">
        <v>514</v>
      </c>
      <c r="G7071" s="30" t="str">
        <f t="shared" si="204"/>
        <v/>
      </c>
      <c r="H7071" s="34"/>
      <c r="I7071" s="30"/>
      <c r="J7071" s="148">
        <v>0</v>
      </c>
      <c r="K7071" s="222">
        <v>0</v>
      </c>
    </row>
    <row r="7072" spans="1:11" ht="25.5" hidden="1" x14ac:dyDescent="0.25">
      <c r="A7072" s="203"/>
      <c r="B7072" s="205"/>
      <c r="C7072" s="35" t="s">
        <v>7737</v>
      </c>
      <c r="D7072" s="46" t="s">
        <v>20</v>
      </c>
      <c r="E7072" s="36">
        <v>1</v>
      </c>
      <c r="F7072" s="30">
        <v>68.989000000000004</v>
      </c>
      <c r="G7072" s="30">
        <f t="shared" si="204"/>
        <v>68.989000000000004</v>
      </c>
      <c r="H7072" s="38">
        <f t="shared" si="214"/>
        <v>68.989000000000004</v>
      </c>
      <c r="I7072" s="39"/>
      <c r="J7072" s="148">
        <v>0</v>
      </c>
      <c r="K7072" s="222">
        <v>0</v>
      </c>
    </row>
    <row r="7073" spans="1:11" ht="15.75" hidden="1" thickBot="1" x14ac:dyDescent="0.3">
      <c r="A7073" s="209"/>
      <c r="B7073" s="206"/>
      <c r="C7073" s="54"/>
      <c r="D7073" s="54"/>
      <c r="E7073" s="65"/>
      <c r="F7073" s="66" t="s">
        <v>514</v>
      </c>
      <c r="G7073" s="66" t="str">
        <f t="shared" si="204"/>
        <v/>
      </c>
      <c r="H7073" s="68"/>
      <c r="I7073" s="30"/>
      <c r="J7073" s="148">
        <v>0</v>
      </c>
      <c r="K7073" s="222">
        <v>0</v>
      </c>
    </row>
    <row r="7074" spans="1:11" ht="15.75" hidden="1" thickBot="1" x14ac:dyDescent="0.3">
      <c r="A7074" s="202" t="s">
        <v>7341</v>
      </c>
      <c r="B7074" s="204" t="str">
        <f>INDEX(Orçamentária!A:B,MATCH(Composições!A7074,Orçamentária!A:A,0),2)</f>
        <v>União com assento cônico aço-carbono galvanizado 1 1/4” – Água Potável e Combate a Incêndio</v>
      </c>
      <c r="C7074" s="40"/>
      <c r="D7074" s="25" t="str">
        <f>TRIM(INDEX(Orçamentária!C:C,MATCH(Composições!A7074,Orçamentária!A:A,0),1))</f>
        <v>un</v>
      </c>
      <c r="E7074" s="26"/>
      <c r="F7074" s="41" t="s">
        <v>514</v>
      </c>
      <c r="G7074" s="27" t="str">
        <f t="shared" si="204"/>
        <v/>
      </c>
      <c r="H7074" s="28"/>
      <c r="I7074" s="29"/>
      <c r="J7074" s="148">
        <v>0</v>
      </c>
      <c r="K7074" s="222">
        <v>0</v>
      </c>
    </row>
    <row r="7075" spans="1:11" hidden="1" x14ac:dyDescent="0.25">
      <c r="A7075" s="203"/>
      <c r="B7075" s="205"/>
      <c r="C7075" s="31"/>
      <c r="D7075" s="31"/>
      <c r="E7075" s="32"/>
      <c r="F7075" s="42" t="s">
        <v>514</v>
      </c>
      <c r="G7075" s="30" t="str">
        <f t="shared" si="204"/>
        <v/>
      </c>
      <c r="H7075" s="34"/>
      <c r="I7075" s="30"/>
      <c r="J7075" s="148">
        <v>0</v>
      </c>
      <c r="K7075" s="222">
        <v>0</v>
      </c>
    </row>
    <row r="7076" spans="1:11" ht="25.5" hidden="1" x14ac:dyDescent="0.25">
      <c r="A7076" s="203"/>
      <c r="B7076" s="205"/>
      <c r="C7076" s="35" t="s">
        <v>7736</v>
      </c>
      <c r="D7076" s="46" t="s">
        <v>20</v>
      </c>
      <c r="E7076" s="36">
        <v>1</v>
      </c>
      <c r="F7076" s="30">
        <v>92.482499999999987</v>
      </c>
      <c r="G7076" s="30">
        <f t="shared" si="204"/>
        <v>92.482499999999987</v>
      </c>
      <c r="H7076" s="38">
        <f t="shared" si="214"/>
        <v>92.482499999999987</v>
      </c>
      <c r="I7076" s="39"/>
      <c r="J7076" s="148">
        <v>0</v>
      </c>
      <c r="K7076" s="222">
        <v>0</v>
      </c>
    </row>
    <row r="7077" spans="1:11" ht="15.75" hidden="1" thickBot="1" x14ac:dyDescent="0.3">
      <c r="A7077" s="209"/>
      <c r="B7077" s="206"/>
      <c r="C7077" s="54"/>
      <c r="D7077" s="54"/>
      <c r="E7077" s="65"/>
      <c r="F7077" s="66" t="s">
        <v>514</v>
      </c>
      <c r="G7077" s="66" t="str">
        <f t="shared" si="204"/>
        <v/>
      </c>
      <c r="H7077" s="68"/>
      <c r="I7077" s="30"/>
      <c r="J7077" s="148">
        <v>0</v>
      </c>
      <c r="K7077" s="222">
        <v>0</v>
      </c>
    </row>
    <row r="7078" spans="1:11" ht="15.75" hidden="1" thickBot="1" x14ac:dyDescent="0.3">
      <c r="A7078" s="202" t="s">
        <v>7343</v>
      </c>
      <c r="B7078" s="204" t="str">
        <f>INDEX(Orçamentária!A:B,MATCH(Composições!A7078,Orçamentária!A:A,0),2)</f>
        <v>União com assento cônico aço-carbono galvanizado 2” – Água Potável e Combate a Incêndio</v>
      </c>
      <c r="C7078" s="40"/>
      <c r="D7078" s="25" t="str">
        <f>TRIM(INDEX(Orçamentária!C:C,MATCH(Composições!A7078,Orçamentária!A:A,0),1))</f>
        <v>un</v>
      </c>
      <c r="E7078" s="26"/>
      <c r="F7078" s="41" t="s">
        <v>514</v>
      </c>
      <c r="G7078" s="27" t="str">
        <f t="shared" si="204"/>
        <v/>
      </c>
      <c r="H7078" s="28"/>
      <c r="I7078" s="29"/>
      <c r="J7078" s="148">
        <v>0</v>
      </c>
      <c r="K7078" s="222">
        <v>0</v>
      </c>
    </row>
    <row r="7079" spans="1:11" hidden="1" x14ac:dyDescent="0.25">
      <c r="A7079" s="203"/>
      <c r="B7079" s="205"/>
      <c r="C7079" s="31"/>
      <c r="D7079" s="31"/>
      <c r="E7079" s="32"/>
      <c r="F7079" s="42" t="s">
        <v>514</v>
      </c>
      <c r="G7079" s="30" t="str">
        <f t="shared" si="204"/>
        <v/>
      </c>
      <c r="H7079" s="34"/>
      <c r="I7079" s="30"/>
      <c r="J7079" s="148">
        <v>0</v>
      </c>
      <c r="K7079" s="222">
        <v>0</v>
      </c>
    </row>
    <row r="7080" spans="1:11" ht="25.5" hidden="1" x14ac:dyDescent="0.25">
      <c r="A7080" s="203"/>
      <c r="B7080" s="205"/>
      <c r="C7080" s="35" t="s">
        <v>7739</v>
      </c>
      <c r="D7080" s="46" t="s">
        <v>20</v>
      </c>
      <c r="E7080" s="36">
        <v>1</v>
      </c>
      <c r="F7080" s="30">
        <v>101.441</v>
      </c>
      <c r="G7080" s="30">
        <f t="shared" si="204"/>
        <v>101.441</v>
      </c>
      <c r="H7080" s="38">
        <f t="shared" si="214"/>
        <v>101.441</v>
      </c>
      <c r="I7080" s="39"/>
      <c r="J7080" s="148">
        <v>0</v>
      </c>
      <c r="K7080" s="222">
        <v>0</v>
      </c>
    </row>
    <row r="7081" spans="1:11" ht="15.75" hidden="1" thickBot="1" x14ac:dyDescent="0.3">
      <c r="A7081" s="209"/>
      <c r="B7081" s="206"/>
      <c r="C7081" s="54"/>
      <c r="D7081" s="54"/>
      <c r="E7081" s="65"/>
      <c r="F7081" s="66" t="s">
        <v>514</v>
      </c>
      <c r="G7081" s="66" t="str">
        <f t="shared" si="204"/>
        <v/>
      </c>
      <c r="H7081" s="68"/>
      <c r="I7081" s="30"/>
      <c r="J7081" s="148">
        <v>0</v>
      </c>
      <c r="K7081" s="222">
        <v>0</v>
      </c>
    </row>
    <row r="7082" spans="1:11" ht="15.75" hidden="1" thickBot="1" x14ac:dyDescent="0.3">
      <c r="A7082" s="202" t="s">
        <v>7345</v>
      </c>
      <c r="B7082" s="204" t="str">
        <f>INDEX(Orçamentária!A:B,MATCH(Composições!A7082,Orçamentária!A:A,0),2)</f>
        <v>União com assento cônico aço-carbono galvanizado 3” – Água Potável e Combate a Incêndio</v>
      </c>
      <c r="C7082" s="40"/>
      <c r="D7082" s="25" t="str">
        <f>TRIM(INDEX(Orçamentária!C:C,MATCH(Composições!A7082,Orçamentária!A:A,0),1))</f>
        <v>un</v>
      </c>
      <c r="E7082" s="26"/>
      <c r="F7082" s="41" t="s">
        <v>514</v>
      </c>
      <c r="G7082" s="27" t="str">
        <f t="shared" si="204"/>
        <v/>
      </c>
      <c r="H7082" s="28"/>
      <c r="I7082" s="29"/>
      <c r="J7082" s="148">
        <v>0</v>
      </c>
      <c r="K7082" s="222">
        <v>0</v>
      </c>
    </row>
    <row r="7083" spans="1:11" hidden="1" x14ac:dyDescent="0.25">
      <c r="A7083" s="203"/>
      <c r="B7083" s="205"/>
      <c r="C7083" s="31"/>
      <c r="D7083" s="31"/>
      <c r="E7083" s="32"/>
      <c r="F7083" s="42" t="s">
        <v>514</v>
      </c>
      <c r="G7083" s="30" t="str">
        <f t="shared" si="204"/>
        <v/>
      </c>
      <c r="H7083" s="34"/>
      <c r="I7083" s="30"/>
      <c r="J7083" s="148">
        <v>0</v>
      </c>
      <c r="K7083" s="222">
        <v>0</v>
      </c>
    </row>
    <row r="7084" spans="1:11" ht="25.5" hidden="1" x14ac:dyDescent="0.25">
      <c r="A7084" s="203"/>
      <c r="B7084" s="205"/>
      <c r="C7084" s="35" t="s">
        <v>7740</v>
      </c>
      <c r="D7084" s="46" t="s">
        <v>20</v>
      </c>
      <c r="E7084" s="36">
        <v>1</v>
      </c>
      <c r="F7084" s="30">
        <v>260.01499999999999</v>
      </c>
      <c r="G7084" s="30">
        <f t="shared" si="204"/>
        <v>260.01499999999999</v>
      </c>
      <c r="H7084" s="38">
        <f t="shared" si="214"/>
        <v>260.01499999999999</v>
      </c>
      <c r="I7084" s="39"/>
      <c r="J7084" s="148">
        <v>0</v>
      </c>
      <c r="K7084" s="222">
        <v>0</v>
      </c>
    </row>
    <row r="7085" spans="1:11" ht="15.75" hidden="1" thickBot="1" x14ac:dyDescent="0.3">
      <c r="A7085" s="209"/>
      <c r="B7085" s="206"/>
      <c r="C7085" s="54"/>
      <c r="D7085" s="54"/>
      <c r="E7085" s="65"/>
      <c r="F7085" s="66" t="s">
        <v>514</v>
      </c>
      <c r="G7085" s="66" t="str">
        <f t="shared" si="204"/>
        <v/>
      </c>
      <c r="H7085" s="68"/>
      <c r="I7085" s="30"/>
      <c r="J7085" s="148">
        <v>0</v>
      </c>
      <c r="K7085" s="222">
        <v>0</v>
      </c>
    </row>
    <row r="7086" spans="1:11" ht="15.75" hidden="1" thickBot="1" x14ac:dyDescent="0.3">
      <c r="A7086" s="202" t="s">
        <v>7347</v>
      </c>
      <c r="B7086" s="204" t="str">
        <f>INDEX(Orçamentária!A:B,MATCH(Composições!A7086,Orçamentária!A:A,0),2)</f>
        <v>União com assento cônico aço-carbono galvanizado 4” – Água Potável e Combate a Incêndio</v>
      </c>
      <c r="C7086" s="40"/>
      <c r="D7086" s="25" t="str">
        <f>TRIM(INDEX(Orçamentária!C:C,MATCH(Composições!A7086,Orçamentária!A:A,0),1))</f>
        <v>un</v>
      </c>
      <c r="E7086" s="26"/>
      <c r="F7086" s="41" t="s">
        <v>514</v>
      </c>
      <c r="G7086" s="27" t="str">
        <f t="shared" si="204"/>
        <v/>
      </c>
      <c r="H7086" s="28"/>
      <c r="I7086" s="29"/>
      <c r="J7086" s="148">
        <v>0</v>
      </c>
      <c r="K7086" s="222">
        <v>0</v>
      </c>
    </row>
    <row r="7087" spans="1:11" hidden="1" x14ac:dyDescent="0.25">
      <c r="A7087" s="203"/>
      <c r="B7087" s="205"/>
      <c r="C7087" s="31"/>
      <c r="D7087" s="31"/>
      <c r="E7087" s="32"/>
      <c r="F7087" s="42" t="s">
        <v>514</v>
      </c>
      <c r="G7087" s="30" t="str">
        <f t="shared" si="204"/>
        <v/>
      </c>
      <c r="H7087" s="34"/>
      <c r="I7087" s="30"/>
      <c r="J7087" s="148">
        <v>0</v>
      </c>
      <c r="K7087" s="222">
        <v>0</v>
      </c>
    </row>
    <row r="7088" spans="1:11" ht="25.5" hidden="1" x14ac:dyDescent="0.25">
      <c r="A7088" s="203"/>
      <c r="B7088" s="205"/>
      <c r="C7088" s="35" t="s">
        <v>7741</v>
      </c>
      <c r="D7088" s="46" t="s">
        <v>20</v>
      </c>
      <c r="E7088" s="36">
        <v>1</v>
      </c>
      <c r="F7088" s="30">
        <v>365.01850000000002</v>
      </c>
      <c r="G7088" s="30">
        <f t="shared" si="204"/>
        <v>365.01850000000002</v>
      </c>
      <c r="H7088" s="38">
        <f t="shared" si="214"/>
        <v>365.01850000000002</v>
      </c>
      <c r="I7088" s="39"/>
      <c r="J7088" s="148">
        <v>0</v>
      </c>
      <c r="K7088" s="222">
        <v>0</v>
      </c>
    </row>
    <row r="7089" spans="1:11" ht="15.75" hidden="1" thickBot="1" x14ac:dyDescent="0.3">
      <c r="A7089" s="209"/>
      <c r="B7089" s="206"/>
      <c r="C7089" s="54"/>
      <c r="D7089" s="54"/>
      <c r="E7089" s="65"/>
      <c r="F7089" s="66" t="s">
        <v>514</v>
      </c>
      <c r="G7089" s="66" t="str">
        <f t="shared" si="204"/>
        <v/>
      </c>
      <c r="H7089" s="68"/>
      <c r="I7089" s="30"/>
      <c r="J7089" s="148">
        <v>0</v>
      </c>
      <c r="K7089" s="222">
        <v>0</v>
      </c>
    </row>
    <row r="7090" spans="1:11" ht="15.75" hidden="1" thickBot="1" x14ac:dyDescent="0.3">
      <c r="A7090" s="202" t="s">
        <v>7349</v>
      </c>
      <c r="B7090" s="204" t="str">
        <f>INDEX(Orçamentária!A:B,MATCH(Composições!A7090,Orçamentária!A:A,0),2)</f>
        <v>União com assento cônico aço-carbono galvanizado 1” – Água Potável e Combate a Incêndio</v>
      </c>
      <c r="C7090" s="40"/>
      <c r="D7090" s="25" t="str">
        <f>TRIM(INDEX(Orçamentária!C:C,MATCH(Composições!A7090,Orçamentária!A:A,0),1))</f>
        <v>un</v>
      </c>
      <c r="E7090" s="26"/>
      <c r="F7090" s="41" t="s">
        <v>514</v>
      </c>
      <c r="G7090" s="27" t="str">
        <f t="shared" ref="G7090:G7153" si="215">IF(ISNUMBER(F7090),E7090*F7090,"")</f>
        <v/>
      </c>
      <c r="H7090" s="28"/>
      <c r="I7090" s="29"/>
      <c r="J7090" s="148">
        <v>0</v>
      </c>
      <c r="K7090" s="222">
        <v>0</v>
      </c>
    </row>
    <row r="7091" spans="1:11" hidden="1" x14ac:dyDescent="0.25">
      <c r="A7091" s="203"/>
      <c r="B7091" s="205"/>
      <c r="C7091" s="31"/>
      <c r="D7091" s="31"/>
      <c r="E7091" s="32"/>
      <c r="F7091" s="42" t="s">
        <v>514</v>
      </c>
      <c r="G7091" s="30" t="str">
        <f t="shared" si="215"/>
        <v/>
      </c>
      <c r="H7091" s="34"/>
      <c r="I7091" s="30"/>
      <c r="J7091" s="148">
        <v>0</v>
      </c>
      <c r="K7091" s="222">
        <v>0</v>
      </c>
    </row>
    <row r="7092" spans="1:11" ht="25.5" hidden="1" x14ac:dyDescent="0.25">
      <c r="A7092" s="203"/>
      <c r="B7092" s="205"/>
      <c r="C7092" s="35" t="s">
        <v>1134</v>
      </c>
      <c r="D7092" s="46" t="s">
        <v>20</v>
      </c>
      <c r="E7092" s="36">
        <v>1</v>
      </c>
      <c r="F7092" s="30">
        <v>33.126499999999993</v>
      </c>
      <c r="G7092" s="30">
        <f t="shared" si="215"/>
        <v>33.126499999999993</v>
      </c>
      <c r="H7092" s="38">
        <f t="shared" si="214"/>
        <v>33.126499999999993</v>
      </c>
      <c r="I7092" s="39"/>
      <c r="J7092" s="148">
        <v>0</v>
      </c>
      <c r="K7092" s="222">
        <v>0</v>
      </c>
    </row>
    <row r="7093" spans="1:11" ht="15.75" hidden="1" thickBot="1" x14ac:dyDescent="0.3">
      <c r="A7093" s="209"/>
      <c r="B7093" s="206"/>
      <c r="C7093" s="54"/>
      <c r="D7093" s="54"/>
      <c r="E7093" s="65"/>
      <c r="F7093" s="66" t="s">
        <v>514</v>
      </c>
      <c r="G7093" s="66" t="str">
        <f t="shared" si="215"/>
        <v/>
      </c>
      <c r="H7093" s="68"/>
      <c r="I7093" s="30"/>
      <c r="J7093" s="148">
        <v>0</v>
      </c>
      <c r="K7093" s="222">
        <v>0</v>
      </c>
    </row>
    <row r="7094" spans="1:11" ht="15.75" hidden="1" thickBot="1" x14ac:dyDescent="0.3">
      <c r="A7094" s="202" t="s">
        <v>7351</v>
      </c>
      <c r="B7094" s="204" t="str">
        <f>INDEX(Orçamentária!A:B,MATCH(Composições!A7094,Orçamentária!A:A,0),2)</f>
        <v>União com assento cônico aço-carbono galvanizado 2 1/2” – Água Potável e Combate a Incêndio</v>
      </c>
      <c r="C7094" s="40"/>
      <c r="D7094" s="25" t="str">
        <f>TRIM(INDEX(Orçamentária!C:C,MATCH(Composições!A7094,Orçamentária!A:A,0),1))</f>
        <v>un</v>
      </c>
      <c r="E7094" s="26"/>
      <c r="F7094" s="41" t="s">
        <v>514</v>
      </c>
      <c r="G7094" s="27" t="str">
        <f t="shared" si="215"/>
        <v/>
      </c>
      <c r="H7094" s="28"/>
      <c r="I7094" s="29"/>
      <c r="J7094" s="148">
        <v>0</v>
      </c>
      <c r="K7094" s="222">
        <v>0</v>
      </c>
    </row>
    <row r="7095" spans="1:11" hidden="1" x14ac:dyDescent="0.25">
      <c r="A7095" s="203"/>
      <c r="B7095" s="205"/>
      <c r="C7095" s="31"/>
      <c r="D7095" s="31"/>
      <c r="E7095" s="32"/>
      <c r="F7095" s="42" t="s">
        <v>514</v>
      </c>
      <c r="G7095" s="30" t="str">
        <f t="shared" si="215"/>
        <v/>
      </c>
      <c r="H7095" s="34"/>
      <c r="I7095" s="30"/>
      <c r="J7095" s="148">
        <v>0</v>
      </c>
      <c r="K7095" s="222">
        <v>0</v>
      </c>
    </row>
    <row r="7096" spans="1:11" ht="25.5" hidden="1" x14ac:dyDescent="0.25">
      <c r="A7096" s="203"/>
      <c r="B7096" s="205"/>
      <c r="C7096" s="35" t="s">
        <v>7738</v>
      </c>
      <c r="D7096" s="46" t="s">
        <v>20</v>
      </c>
      <c r="E7096" s="36">
        <v>1</v>
      </c>
      <c r="F7096" s="30">
        <v>167.83649999999997</v>
      </c>
      <c r="G7096" s="30">
        <f t="shared" si="215"/>
        <v>167.83649999999997</v>
      </c>
      <c r="H7096" s="38">
        <f t="shared" si="214"/>
        <v>167.83649999999997</v>
      </c>
      <c r="I7096" s="39"/>
      <c r="J7096" s="148">
        <v>0</v>
      </c>
      <c r="K7096" s="222">
        <v>0</v>
      </c>
    </row>
    <row r="7097" spans="1:11" ht="15.75" hidden="1" thickBot="1" x14ac:dyDescent="0.3">
      <c r="A7097" s="209"/>
      <c r="B7097" s="206"/>
      <c r="C7097" s="54"/>
      <c r="D7097" s="54"/>
      <c r="E7097" s="65"/>
      <c r="F7097" s="66" t="s">
        <v>514</v>
      </c>
      <c r="G7097" s="66" t="str">
        <f t="shared" si="215"/>
        <v/>
      </c>
      <c r="H7097" s="68"/>
      <c r="I7097" s="30"/>
      <c r="J7097" s="148">
        <v>0</v>
      </c>
      <c r="K7097" s="222">
        <v>0</v>
      </c>
    </row>
    <row r="7098" spans="1:11" ht="15.75" hidden="1" thickBot="1" x14ac:dyDescent="0.3">
      <c r="A7098" s="202" t="s">
        <v>7353</v>
      </c>
      <c r="B7098" s="204" t="str">
        <f>INDEX(Orçamentária!A:B,MATCH(Composições!A7098,Orçamentária!A:A,0),2)</f>
        <v>Tê 90° em aço-carbono galvanizado 1 1/2” – Água Potável e Combate a Incêndio</v>
      </c>
      <c r="C7098" s="40"/>
      <c r="D7098" s="25" t="str">
        <f>TRIM(INDEX(Orçamentária!C:C,MATCH(Composições!A7098,Orçamentária!A:A,0),1))</f>
        <v>un</v>
      </c>
      <c r="E7098" s="26"/>
      <c r="F7098" s="41" t="s">
        <v>514</v>
      </c>
      <c r="G7098" s="27" t="str">
        <f t="shared" si="215"/>
        <v/>
      </c>
      <c r="H7098" s="28"/>
      <c r="I7098" s="29"/>
      <c r="J7098" s="148">
        <v>0</v>
      </c>
      <c r="K7098" s="222">
        <v>0</v>
      </c>
    </row>
    <row r="7099" spans="1:11" hidden="1" x14ac:dyDescent="0.25">
      <c r="A7099" s="203"/>
      <c r="B7099" s="205"/>
      <c r="C7099" s="31"/>
      <c r="D7099" s="31"/>
      <c r="E7099" s="32"/>
      <c r="F7099" s="42" t="s">
        <v>514</v>
      </c>
      <c r="G7099" s="30" t="str">
        <f t="shared" si="215"/>
        <v/>
      </c>
      <c r="H7099" s="34"/>
      <c r="I7099" s="30"/>
      <c r="J7099" s="148">
        <v>0</v>
      </c>
      <c r="K7099" s="222">
        <v>0</v>
      </c>
    </row>
    <row r="7100" spans="1:11" hidden="1" x14ac:dyDescent="0.25">
      <c r="A7100" s="203"/>
      <c r="B7100" s="205"/>
      <c r="C7100" s="35" t="s">
        <v>7698</v>
      </c>
      <c r="D7100" s="46" t="s">
        <v>20</v>
      </c>
      <c r="E7100" s="36">
        <v>1</v>
      </c>
      <c r="F7100" s="30">
        <v>41.714499999999994</v>
      </c>
      <c r="G7100" s="30">
        <f t="shared" si="215"/>
        <v>41.714499999999994</v>
      </c>
      <c r="H7100" s="38">
        <f t="shared" si="214"/>
        <v>41.714499999999994</v>
      </c>
      <c r="I7100" s="39"/>
      <c r="J7100" s="148">
        <v>0</v>
      </c>
      <c r="K7100" s="222">
        <v>0</v>
      </c>
    </row>
    <row r="7101" spans="1:11" ht="15.75" hidden="1" thickBot="1" x14ac:dyDescent="0.3">
      <c r="A7101" s="209"/>
      <c r="B7101" s="206"/>
      <c r="C7101" s="54"/>
      <c r="D7101" s="54"/>
      <c r="E7101" s="65"/>
      <c r="F7101" s="66" t="s">
        <v>514</v>
      </c>
      <c r="G7101" s="66" t="str">
        <f t="shared" si="215"/>
        <v/>
      </c>
      <c r="H7101" s="68"/>
      <c r="I7101" s="30"/>
      <c r="J7101" s="148">
        <v>0</v>
      </c>
      <c r="K7101" s="222">
        <v>0</v>
      </c>
    </row>
    <row r="7102" spans="1:11" ht="15.75" hidden="1" thickBot="1" x14ac:dyDescent="0.3">
      <c r="A7102" s="202" t="s">
        <v>7355</v>
      </c>
      <c r="B7102" s="204" t="str">
        <f>INDEX(Orçamentária!A:B,MATCH(Composições!A7102,Orçamentária!A:A,0),2)</f>
        <v>Tê 90° em aço-carbono galvanizado 1/2” – Água Potável e Combate a Incêndio</v>
      </c>
      <c r="C7102" s="40"/>
      <c r="D7102" s="25" t="str">
        <f>TRIM(INDEX(Orçamentária!C:C,MATCH(Composições!A7102,Orçamentária!A:A,0),1))</f>
        <v>un</v>
      </c>
      <c r="E7102" s="26"/>
      <c r="F7102" s="41" t="s">
        <v>514</v>
      </c>
      <c r="G7102" s="27" t="str">
        <f t="shared" si="215"/>
        <v/>
      </c>
      <c r="H7102" s="28"/>
      <c r="I7102" s="29"/>
      <c r="J7102" s="148">
        <v>0</v>
      </c>
      <c r="K7102" s="222">
        <v>0</v>
      </c>
    </row>
    <row r="7103" spans="1:11" hidden="1" x14ac:dyDescent="0.25">
      <c r="A7103" s="203"/>
      <c r="B7103" s="205"/>
      <c r="C7103" s="31"/>
      <c r="D7103" s="31"/>
      <c r="E7103" s="32"/>
      <c r="F7103" s="42" t="s">
        <v>514</v>
      </c>
      <c r="G7103" s="30" t="str">
        <f t="shared" si="215"/>
        <v/>
      </c>
      <c r="H7103" s="34"/>
      <c r="I7103" s="30"/>
      <c r="J7103" s="148">
        <v>0</v>
      </c>
      <c r="K7103" s="222">
        <v>0</v>
      </c>
    </row>
    <row r="7104" spans="1:11" hidden="1" x14ac:dyDescent="0.25">
      <c r="A7104" s="203"/>
      <c r="B7104" s="205"/>
      <c r="C7104" s="35" t="s">
        <v>7699</v>
      </c>
      <c r="D7104" s="46" t="s">
        <v>20</v>
      </c>
      <c r="E7104" s="36">
        <v>1</v>
      </c>
      <c r="F7104" s="30">
        <v>9.386000000000001</v>
      </c>
      <c r="G7104" s="30">
        <f t="shared" si="215"/>
        <v>9.386000000000001</v>
      </c>
      <c r="H7104" s="38">
        <f t="shared" si="214"/>
        <v>9.386000000000001</v>
      </c>
      <c r="I7104" s="39"/>
      <c r="J7104" s="148">
        <v>0</v>
      </c>
      <c r="K7104" s="222">
        <v>0</v>
      </c>
    </row>
    <row r="7105" spans="1:11" ht="15.75" hidden="1" thickBot="1" x14ac:dyDescent="0.3">
      <c r="A7105" s="209"/>
      <c r="B7105" s="206"/>
      <c r="C7105" s="54"/>
      <c r="D7105" s="54"/>
      <c r="E7105" s="65"/>
      <c r="F7105" s="66" t="s">
        <v>514</v>
      </c>
      <c r="G7105" s="66" t="str">
        <f t="shared" si="215"/>
        <v/>
      </c>
      <c r="H7105" s="68"/>
      <c r="I7105" s="30"/>
      <c r="J7105" s="148">
        <v>0</v>
      </c>
      <c r="K7105" s="222">
        <v>0</v>
      </c>
    </row>
    <row r="7106" spans="1:11" ht="15.75" hidden="1" thickBot="1" x14ac:dyDescent="0.3">
      <c r="A7106" s="202" t="s">
        <v>7357</v>
      </c>
      <c r="B7106" s="204" t="str">
        <f>INDEX(Orçamentária!A:B,MATCH(Composições!A7106,Orçamentária!A:A,0),2)</f>
        <v>Tê 90° em aço-carbono galvanizado 2 1/2” – Água Potável e Combate a Incêndio</v>
      </c>
      <c r="C7106" s="40"/>
      <c r="D7106" s="25" t="str">
        <f>TRIM(INDEX(Orçamentária!C:C,MATCH(Composições!A7106,Orçamentária!A:A,0),1))</f>
        <v>un</v>
      </c>
      <c r="E7106" s="26"/>
      <c r="F7106" s="41" t="s">
        <v>514</v>
      </c>
      <c r="G7106" s="27" t="str">
        <f t="shared" si="215"/>
        <v/>
      </c>
      <c r="H7106" s="28"/>
      <c r="I7106" s="29"/>
      <c r="J7106" s="148">
        <v>0</v>
      </c>
      <c r="K7106" s="222">
        <v>0</v>
      </c>
    </row>
    <row r="7107" spans="1:11" hidden="1" x14ac:dyDescent="0.25">
      <c r="A7107" s="203"/>
      <c r="B7107" s="205"/>
      <c r="C7107" s="31"/>
      <c r="D7107" s="31"/>
      <c r="E7107" s="32"/>
      <c r="F7107" s="42" t="s">
        <v>514</v>
      </c>
      <c r="G7107" s="30" t="str">
        <f t="shared" si="215"/>
        <v/>
      </c>
      <c r="H7107" s="34"/>
      <c r="I7107" s="30"/>
      <c r="J7107" s="148">
        <v>0</v>
      </c>
      <c r="K7107" s="222">
        <v>0</v>
      </c>
    </row>
    <row r="7108" spans="1:11" hidden="1" x14ac:dyDescent="0.25">
      <c r="A7108" s="203"/>
      <c r="B7108" s="205"/>
      <c r="C7108" s="35" t="s">
        <v>7700</v>
      </c>
      <c r="D7108" s="46" t="s">
        <v>20</v>
      </c>
      <c r="E7108" s="36">
        <v>1</v>
      </c>
      <c r="F7108" s="30">
        <v>125.45699999999999</v>
      </c>
      <c r="G7108" s="30">
        <f t="shared" si="215"/>
        <v>125.45699999999999</v>
      </c>
      <c r="H7108" s="38">
        <f t="shared" si="214"/>
        <v>125.45699999999999</v>
      </c>
      <c r="I7108" s="39"/>
      <c r="J7108" s="148">
        <v>0</v>
      </c>
      <c r="K7108" s="222">
        <v>0</v>
      </c>
    </row>
    <row r="7109" spans="1:11" ht="15.75" hidden="1" thickBot="1" x14ac:dyDescent="0.3">
      <c r="A7109" s="209"/>
      <c r="B7109" s="206"/>
      <c r="C7109" s="54"/>
      <c r="D7109" s="54"/>
      <c r="E7109" s="65"/>
      <c r="F7109" s="66" t="s">
        <v>514</v>
      </c>
      <c r="G7109" s="66" t="str">
        <f t="shared" si="215"/>
        <v/>
      </c>
      <c r="H7109" s="68"/>
      <c r="I7109" s="30"/>
      <c r="J7109" s="148">
        <v>0</v>
      </c>
      <c r="K7109" s="222">
        <v>0</v>
      </c>
    </row>
    <row r="7110" spans="1:11" ht="15.75" hidden="1" thickBot="1" x14ac:dyDescent="0.3">
      <c r="A7110" s="202" t="s">
        <v>7359</v>
      </c>
      <c r="B7110" s="204" t="str">
        <f>INDEX(Orçamentária!A:B,MATCH(Composições!A7110,Orçamentária!A:A,0),2)</f>
        <v>Tê 90° em aço-carbono galvanizado 2” – Água Potável e Combate a Incêndio</v>
      </c>
      <c r="C7110" s="40"/>
      <c r="D7110" s="25" t="str">
        <f>TRIM(INDEX(Orçamentária!C:C,MATCH(Composições!A7110,Orçamentária!A:A,0),1))</f>
        <v>un</v>
      </c>
      <c r="E7110" s="26"/>
      <c r="F7110" s="41" t="s">
        <v>514</v>
      </c>
      <c r="G7110" s="27" t="str">
        <f t="shared" si="215"/>
        <v/>
      </c>
      <c r="H7110" s="28"/>
      <c r="I7110" s="29"/>
      <c r="J7110" s="148">
        <v>0</v>
      </c>
      <c r="K7110" s="222">
        <v>0</v>
      </c>
    </row>
    <row r="7111" spans="1:11" hidden="1" x14ac:dyDescent="0.25">
      <c r="A7111" s="203"/>
      <c r="B7111" s="205"/>
      <c r="C7111" s="31"/>
      <c r="D7111" s="31"/>
      <c r="E7111" s="32"/>
      <c r="F7111" s="42" t="s">
        <v>514</v>
      </c>
      <c r="G7111" s="30" t="str">
        <f t="shared" si="215"/>
        <v/>
      </c>
      <c r="H7111" s="34"/>
      <c r="I7111" s="30"/>
      <c r="J7111" s="148">
        <v>0</v>
      </c>
      <c r="K7111" s="222">
        <v>0</v>
      </c>
    </row>
    <row r="7112" spans="1:11" hidden="1" x14ac:dyDescent="0.25">
      <c r="A7112" s="203"/>
      <c r="B7112" s="205"/>
      <c r="C7112" s="35" t="s">
        <v>7701</v>
      </c>
      <c r="D7112" s="46" t="s">
        <v>20</v>
      </c>
      <c r="E7112" s="36">
        <v>1</v>
      </c>
      <c r="F7112" s="30">
        <v>66.072499999999991</v>
      </c>
      <c r="G7112" s="30">
        <f t="shared" si="215"/>
        <v>66.072499999999991</v>
      </c>
      <c r="H7112" s="38">
        <f t="shared" si="214"/>
        <v>66.072499999999991</v>
      </c>
      <c r="I7112" s="39"/>
      <c r="J7112" s="148">
        <v>0</v>
      </c>
      <c r="K7112" s="222">
        <v>0</v>
      </c>
    </row>
    <row r="7113" spans="1:11" ht="15.75" hidden="1" thickBot="1" x14ac:dyDescent="0.3">
      <c r="A7113" s="209"/>
      <c r="B7113" s="206"/>
      <c r="C7113" s="54"/>
      <c r="D7113" s="54"/>
      <c r="E7113" s="65"/>
      <c r="F7113" s="66" t="s">
        <v>514</v>
      </c>
      <c r="G7113" s="66" t="str">
        <f t="shared" si="215"/>
        <v/>
      </c>
      <c r="H7113" s="68"/>
      <c r="I7113" s="30"/>
      <c r="J7113" s="148">
        <v>0</v>
      </c>
      <c r="K7113" s="222">
        <v>0</v>
      </c>
    </row>
    <row r="7114" spans="1:11" ht="15.75" hidden="1" thickBot="1" x14ac:dyDescent="0.3">
      <c r="A7114" s="202" t="s">
        <v>7361</v>
      </c>
      <c r="B7114" s="204" t="str">
        <f>INDEX(Orçamentária!A:B,MATCH(Composições!A7114,Orçamentária!A:A,0),2)</f>
        <v>Tê de redução em aço-carbono galvanizado 2”x1 1/2” – Água Potável e Combate a Incêndio</v>
      </c>
      <c r="C7114" s="40"/>
      <c r="D7114" s="25" t="str">
        <f>TRIM(INDEX(Orçamentária!C:C,MATCH(Composições!A7114,Orçamentária!A:A,0),1))</f>
        <v>un</v>
      </c>
      <c r="E7114" s="26"/>
      <c r="F7114" s="41" t="s">
        <v>514</v>
      </c>
      <c r="G7114" s="27" t="str">
        <f t="shared" si="215"/>
        <v/>
      </c>
      <c r="H7114" s="28"/>
      <c r="I7114" s="29"/>
      <c r="J7114" s="148">
        <v>0</v>
      </c>
      <c r="K7114" s="222">
        <v>0</v>
      </c>
    </row>
    <row r="7115" spans="1:11" hidden="1" x14ac:dyDescent="0.25">
      <c r="A7115" s="203"/>
      <c r="B7115" s="205"/>
      <c r="C7115" s="31"/>
      <c r="D7115" s="31"/>
      <c r="E7115" s="32"/>
      <c r="F7115" s="42" t="s">
        <v>514</v>
      </c>
      <c r="G7115" s="30" t="str">
        <f t="shared" si="215"/>
        <v/>
      </c>
      <c r="H7115" s="34"/>
      <c r="I7115" s="30"/>
      <c r="J7115" s="148">
        <v>0</v>
      </c>
      <c r="K7115" s="222">
        <v>0</v>
      </c>
    </row>
    <row r="7116" spans="1:11" ht="25.5" hidden="1" x14ac:dyDescent="0.25">
      <c r="A7116" s="203"/>
      <c r="B7116" s="205"/>
      <c r="C7116" s="35" t="s">
        <v>7702</v>
      </c>
      <c r="D7116" s="46" t="s">
        <v>20</v>
      </c>
      <c r="E7116" s="36">
        <v>1</v>
      </c>
      <c r="F7116" s="30">
        <v>73.140499999999989</v>
      </c>
      <c r="G7116" s="30">
        <f t="shared" si="215"/>
        <v>73.140499999999989</v>
      </c>
      <c r="H7116" s="38">
        <f t="shared" si="214"/>
        <v>73.140499999999989</v>
      </c>
      <c r="I7116" s="39"/>
      <c r="J7116" s="148">
        <v>0</v>
      </c>
      <c r="K7116" s="222">
        <v>0</v>
      </c>
    </row>
    <row r="7117" spans="1:11" ht="15.75" hidden="1" thickBot="1" x14ac:dyDescent="0.3">
      <c r="A7117" s="209"/>
      <c r="B7117" s="206"/>
      <c r="C7117" s="54"/>
      <c r="D7117" s="54"/>
      <c r="E7117" s="65"/>
      <c r="F7117" s="66" t="s">
        <v>514</v>
      </c>
      <c r="G7117" s="66" t="str">
        <f t="shared" si="215"/>
        <v/>
      </c>
      <c r="H7117" s="68"/>
      <c r="I7117" s="30"/>
      <c r="J7117" s="148">
        <v>0</v>
      </c>
      <c r="K7117" s="222">
        <v>0</v>
      </c>
    </row>
    <row r="7118" spans="1:11" ht="15.75" hidden="1" thickBot="1" x14ac:dyDescent="0.3">
      <c r="A7118" s="202" t="s">
        <v>7363</v>
      </c>
      <c r="B7118" s="204" t="str">
        <f>INDEX(Orçamentária!A:B,MATCH(Composições!A7118,Orçamentária!A:A,0),2)</f>
        <v>Tê 90° CPVC 22mm – Linha Residencial</v>
      </c>
      <c r="C7118" s="40"/>
      <c r="D7118" s="25" t="str">
        <f>TRIM(INDEX(Orçamentária!C:C,MATCH(Composições!A7118,Orçamentária!A:A,0),1))</f>
        <v>un</v>
      </c>
      <c r="E7118" s="26"/>
      <c r="F7118" s="41" t="s">
        <v>514</v>
      </c>
      <c r="G7118" s="27" t="str">
        <f t="shared" si="215"/>
        <v/>
      </c>
      <c r="H7118" s="28"/>
      <c r="I7118" s="29"/>
      <c r="J7118" s="148">
        <v>0</v>
      </c>
      <c r="K7118" s="222">
        <v>0</v>
      </c>
    </row>
    <row r="7119" spans="1:11" hidden="1" x14ac:dyDescent="0.25">
      <c r="A7119" s="203"/>
      <c r="B7119" s="205"/>
      <c r="C7119" s="31"/>
      <c r="D7119" s="31"/>
      <c r="E7119" s="32"/>
      <c r="F7119" s="42" t="s">
        <v>514</v>
      </c>
      <c r="G7119" s="30" t="str">
        <f t="shared" si="215"/>
        <v/>
      </c>
      <c r="H7119" s="34"/>
      <c r="I7119" s="30"/>
      <c r="J7119" s="148">
        <v>0</v>
      </c>
      <c r="K7119" s="222">
        <v>0</v>
      </c>
    </row>
    <row r="7120" spans="1:11" ht="25.5" hidden="1" x14ac:dyDescent="0.25">
      <c r="A7120" s="203"/>
      <c r="B7120" s="205"/>
      <c r="C7120" s="35" t="s">
        <v>7695</v>
      </c>
      <c r="D7120" s="46" t="s">
        <v>20</v>
      </c>
      <c r="E7120" s="36">
        <v>1</v>
      </c>
      <c r="F7120" s="30">
        <v>4.5979999999999999</v>
      </c>
      <c r="G7120" s="30">
        <f t="shared" si="215"/>
        <v>4.5979999999999999</v>
      </c>
      <c r="H7120" s="38">
        <f t="shared" si="214"/>
        <v>4.5979999999999999</v>
      </c>
      <c r="I7120" s="39"/>
      <c r="J7120" s="148">
        <v>0</v>
      </c>
      <c r="K7120" s="222">
        <v>0</v>
      </c>
    </row>
    <row r="7121" spans="1:11" ht="15.75" hidden="1" thickBot="1" x14ac:dyDescent="0.3">
      <c r="A7121" s="209"/>
      <c r="B7121" s="206"/>
      <c r="C7121" s="54"/>
      <c r="D7121" s="54"/>
      <c r="E7121" s="65"/>
      <c r="F7121" s="66" t="s">
        <v>514</v>
      </c>
      <c r="G7121" s="66" t="str">
        <f t="shared" si="215"/>
        <v/>
      </c>
      <c r="H7121" s="68"/>
      <c r="I7121" s="30"/>
      <c r="J7121" s="148">
        <v>0</v>
      </c>
      <c r="K7121" s="222">
        <v>0</v>
      </c>
    </row>
    <row r="7122" spans="1:11" ht="15.75" hidden="1" thickBot="1" x14ac:dyDescent="0.3">
      <c r="A7122" s="202" t="s">
        <v>7365</v>
      </c>
      <c r="B7122" s="204" t="str">
        <f>INDEX(Orçamentária!A:B,MATCH(Composições!A7122,Orçamentária!A:A,0),2)</f>
        <v>Tê 90° CPVC 28mm – Linha Residencial</v>
      </c>
      <c r="C7122" s="40"/>
      <c r="D7122" s="25" t="str">
        <f>TRIM(INDEX(Orçamentária!C:C,MATCH(Composições!A7122,Orçamentária!A:A,0),1))</f>
        <v>un</v>
      </c>
      <c r="E7122" s="26"/>
      <c r="F7122" s="41" t="s">
        <v>514</v>
      </c>
      <c r="G7122" s="27" t="str">
        <f t="shared" si="215"/>
        <v/>
      </c>
      <c r="H7122" s="28"/>
      <c r="I7122" s="29"/>
      <c r="J7122" s="148">
        <v>0</v>
      </c>
      <c r="K7122" s="222">
        <v>0</v>
      </c>
    </row>
    <row r="7123" spans="1:11" hidden="1" x14ac:dyDescent="0.25">
      <c r="A7123" s="203"/>
      <c r="B7123" s="205"/>
      <c r="C7123" s="31"/>
      <c r="D7123" s="31"/>
      <c r="E7123" s="32"/>
      <c r="F7123" s="42" t="s">
        <v>514</v>
      </c>
      <c r="G7123" s="30" t="str">
        <f t="shared" si="215"/>
        <v/>
      </c>
      <c r="H7123" s="34"/>
      <c r="I7123" s="30"/>
      <c r="J7123" s="148">
        <v>0</v>
      </c>
      <c r="K7123" s="222">
        <v>0</v>
      </c>
    </row>
    <row r="7124" spans="1:11" ht="25.5" hidden="1" x14ac:dyDescent="0.25">
      <c r="A7124" s="203"/>
      <c r="B7124" s="205"/>
      <c r="C7124" s="35" t="s">
        <v>7696</v>
      </c>
      <c r="D7124" s="46" t="s">
        <v>20</v>
      </c>
      <c r="E7124" s="36">
        <v>1</v>
      </c>
      <c r="F7124" s="30">
        <v>8.4834999999999994</v>
      </c>
      <c r="G7124" s="30">
        <f t="shared" si="215"/>
        <v>8.4834999999999994</v>
      </c>
      <c r="H7124" s="38">
        <f t="shared" si="214"/>
        <v>8.4834999999999994</v>
      </c>
      <c r="I7124" s="39"/>
      <c r="J7124" s="148">
        <v>0</v>
      </c>
      <c r="K7124" s="222">
        <v>0</v>
      </c>
    </row>
    <row r="7125" spans="1:11" ht="15.75" hidden="1" thickBot="1" x14ac:dyDescent="0.3">
      <c r="A7125" s="209"/>
      <c r="B7125" s="206"/>
      <c r="C7125" s="54"/>
      <c r="D7125" s="54"/>
      <c r="E7125" s="65"/>
      <c r="F7125" s="66" t="s">
        <v>514</v>
      </c>
      <c r="G7125" s="66" t="str">
        <f t="shared" si="215"/>
        <v/>
      </c>
      <c r="H7125" s="68"/>
      <c r="I7125" s="30"/>
      <c r="J7125" s="148">
        <v>0</v>
      </c>
      <c r="K7125" s="222">
        <v>0</v>
      </c>
    </row>
    <row r="7126" spans="1:11" ht="15.75" hidden="1" thickBot="1" x14ac:dyDescent="0.3">
      <c r="A7126" s="202" t="s">
        <v>7367</v>
      </c>
      <c r="B7126" s="204" t="str">
        <f>INDEX(Orçamentária!A:B,MATCH(Composições!A7126,Orçamentária!A:A,0),2)</f>
        <v>Luva CPVC 22mm – Linha Residencial</v>
      </c>
      <c r="C7126" s="40"/>
      <c r="D7126" s="25" t="str">
        <f>TRIM(INDEX(Orçamentária!C:C,MATCH(Composições!A7126,Orçamentária!A:A,0),1))</f>
        <v>un</v>
      </c>
      <c r="E7126" s="26"/>
      <c r="F7126" s="41" t="s">
        <v>514</v>
      </c>
      <c r="G7126" s="27" t="str">
        <f t="shared" si="215"/>
        <v/>
      </c>
      <c r="H7126" s="28"/>
      <c r="I7126" s="29"/>
      <c r="J7126" s="148">
        <v>0</v>
      </c>
      <c r="K7126" s="222">
        <v>0</v>
      </c>
    </row>
    <row r="7127" spans="1:11" hidden="1" x14ac:dyDescent="0.25">
      <c r="A7127" s="203"/>
      <c r="B7127" s="205"/>
      <c r="C7127" s="31"/>
      <c r="D7127" s="31"/>
      <c r="E7127" s="32"/>
      <c r="F7127" s="42" t="s">
        <v>514</v>
      </c>
      <c r="G7127" s="30" t="str">
        <f t="shared" si="215"/>
        <v/>
      </c>
      <c r="H7127" s="34"/>
      <c r="I7127" s="30"/>
      <c r="J7127" s="148">
        <v>0</v>
      </c>
      <c r="K7127" s="222">
        <v>0</v>
      </c>
    </row>
    <row r="7128" spans="1:11" hidden="1" x14ac:dyDescent="0.25">
      <c r="A7128" s="203"/>
      <c r="B7128" s="205"/>
      <c r="C7128" s="35" t="s">
        <v>7653</v>
      </c>
      <c r="D7128" s="46" t="s">
        <v>20</v>
      </c>
      <c r="E7128" s="36">
        <v>1</v>
      </c>
      <c r="F7128" s="30">
        <v>2.1849999999999996</v>
      </c>
      <c r="G7128" s="30">
        <f t="shared" si="215"/>
        <v>2.1849999999999996</v>
      </c>
      <c r="H7128" s="38">
        <f t="shared" ref="H7128:H7224" si="216">SUM(G7128:G7128)</f>
        <v>2.1849999999999996</v>
      </c>
      <c r="I7128" s="39"/>
      <c r="J7128" s="148">
        <v>0</v>
      </c>
      <c r="K7128" s="222">
        <v>0</v>
      </c>
    </row>
    <row r="7129" spans="1:11" ht="15.75" hidden="1" thickBot="1" x14ac:dyDescent="0.3">
      <c r="A7129" s="209"/>
      <c r="B7129" s="206"/>
      <c r="C7129" s="54"/>
      <c r="D7129" s="54"/>
      <c r="E7129" s="65"/>
      <c r="F7129" s="66" t="s">
        <v>514</v>
      </c>
      <c r="G7129" s="66" t="str">
        <f t="shared" si="215"/>
        <v/>
      </c>
      <c r="H7129" s="68"/>
      <c r="I7129" s="30"/>
      <c r="J7129" s="148">
        <v>0</v>
      </c>
      <c r="K7129" s="222">
        <v>0</v>
      </c>
    </row>
    <row r="7130" spans="1:11" ht="15.75" hidden="1" thickBot="1" x14ac:dyDescent="0.3">
      <c r="A7130" s="202" t="s">
        <v>7369</v>
      </c>
      <c r="B7130" s="204" t="str">
        <f>INDEX(Orçamentária!A:B,MATCH(Composições!A7130,Orçamentária!A:A,0),2)</f>
        <v>Luva CPVC 28mm– Linha Residencial</v>
      </c>
      <c r="C7130" s="40"/>
      <c r="D7130" s="25" t="str">
        <f>TRIM(INDEX(Orçamentária!C:C,MATCH(Composições!A7130,Orçamentária!A:A,0),1))</f>
        <v>un</v>
      </c>
      <c r="E7130" s="26"/>
      <c r="F7130" s="41" t="s">
        <v>514</v>
      </c>
      <c r="G7130" s="27" t="str">
        <f t="shared" si="215"/>
        <v/>
      </c>
      <c r="H7130" s="28"/>
      <c r="I7130" s="29"/>
      <c r="J7130" s="148">
        <v>0</v>
      </c>
      <c r="K7130" s="222">
        <v>0</v>
      </c>
    </row>
    <row r="7131" spans="1:11" hidden="1" x14ac:dyDescent="0.25">
      <c r="A7131" s="203"/>
      <c r="B7131" s="205"/>
      <c r="C7131" s="31"/>
      <c r="D7131" s="31"/>
      <c r="E7131" s="32"/>
      <c r="F7131" s="42" t="s">
        <v>514</v>
      </c>
      <c r="G7131" s="30" t="str">
        <f t="shared" si="215"/>
        <v/>
      </c>
      <c r="H7131" s="34"/>
      <c r="I7131" s="30"/>
      <c r="J7131" s="148">
        <v>0</v>
      </c>
      <c r="K7131" s="222">
        <v>0</v>
      </c>
    </row>
    <row r="7132" spans="1:11" hidden="1" x14ac:dyDescent="0.25">
      <c r="A7132" s="203"/>
      <c r="B7132" s="205"/>
      <c r="C7132" s="35" t="s">
        <v>7654</v>
      </c>
      <c r="D7132" s="46" t="s">
        <v>20</v>
      </c>
      <c r="E7132" s="36">
        <v>1</v>
      </c>
      <c r="F7132" s="30">
        <v>4.4364999999999997</v>
      </c>
      <c r="G7132" s="30">
        <f t="shared" si="215"/>
        <v>4.4364999999999997</v>
      </c>
      <c r="H7132" s="38">
        <f t="shared" si="216"/>
        <v>4.4364999999999997</v>
      </c>
      <c r="I7132" s="39"/>
      <c r="J7132" s="148">
        <v>0</v>
      </c>
      <c r="K7132" s="222">
        <v>0</v>
      </c>
    </row>
    <row r="7133" spans="1:11" ht="15.75" hidden="1" thickBot="1" x14ac:dyDescent="0.3">
      <c r="A7133" s="209"/>
      <c r="B7133" s="206"/>
      <c r="C7133" s="54"/>
      <c r="D7133" s="54"/>
      <c r="E7133" s="65"/>
      <c r="F7133" s="66" t="s">
        <v>514</v>
      </c>
      <c r="G7133" s="66" t="str">
        <f t="shared" si="215"/>
        <v/>
      </c>
      <c r="H7133" s="68"/>
      <c r="I7133" s="30"/>
      <c r="J7133" s="148">
        <v>0</v>
      </c>
      <c r="K7133" s="222">
        <v>0</v>
      </c>
    </row>
    <row r="7134" spans="1:11" ht="15.75" hidden="1" thickBot="1" x14ac:dyDescent="0.3">
      <c r="A7134" s="202" t="s">
        <v>7371</v>
      </c>
      <c r="B7134" s="204" t="str">
        <f>INDEX(Orçamentária!A:B,MATCH(Composições!A7134,Orçamentária!A:A,0),2)</f>
        <v>Luva PVC roscável para água fria 1 1/2”</v>
      </c>
      <c r="C7134" s="40"/>
      <c r="D7134" s="25" t="str">
        <f>TRIM(INDEX(Orçamentária!C:C,MATCH(Composições!A7134,Orçamentária!A:A,0),1))</f>
        <v>un</v>
      </c>
      <c r="E7134" s="26"/>
      <c r="F7134" s="41" t="s">
        <v>514</v>
      </c>
      <c r="G7134" s="27" t="str">
        <f t="shared" si="215"/>
        <v/>
      </c>
      <c r="H7134" s="28"/>
      <c r="I7134" s="29"/>
      <c r="J7134" s="148">
        <v>0</v>
      </c>
      <c r="K7134" s="222">
        <v>0</v>
      </c>
    </row>
    <row r="7135" spans="1:11" hidden="1" x14ac:dyDescent="0.25">
      <c r="A7135" s="203"/>
      <c r="B7135" s="205"/>
      <c r="C7135" s="31"/>
      <c r="D7135" s="31"/>
      <c r="E7135" s="32"/>
      <c r="F7135" s="42" t="s">
        <v>514</v>
      </c>
      <c r="G7135" s="30" t="str">
        <f t="shared" si="215"/>
        <v/>
      </c>
      <c r="H7135" s="34"/>
      <c r="I7135" s="30"/>
      <c r="J7135" s="148">
        <v>0</v>
      </c>
      <c r="K7135" s="222">
        <v>0</v>
      </c>
    </row>
    <row r="7136" spans="1:11" hidden="1" x14ac:dyDescent="0.25">
      <c r="A7136" s="203"/>
      <c r="B7136" s="205"/>
      <c r="C7136" s="35" t="s">
        <v>7783</v>
      </c>
      <c r="D7136" s="46" t="s">
        <v>20</v>
      </c>
      <c r="E7136" s="36">
        <v>1</v>
      </c>
      <c r="F7136" s="30">
        <v>9.6709999999999994</v>
      </c>
      <c r="G7136" s="30">
        <f t="shared" si="215"/>
        <v>9.6709999999999994</v>
      </c>
      <c r="H7136" s="38">
        <f t="shared" si="216"/>
        <v>9.6709999999999994</v>
      </c>
      <c r="I7136" s="39"/>
      <c r="J7136" s="148">
        <v>0</v>
      </c>
      <c r="K7136" s="222">
        <v>0</v>
      </c>
    </row>
    <row r="7137" spans="1:11" ht="15.75" hidden="1" thickBot="1" x14ac:dyDescent="0.3">
      <c r="A7137" s="209"/>
      <c r="B7137" s="206"/>
      <c r="C7137" s="54"/>
      <c r="D7137" s="54"/>
      <c r="E7137" s="65"/>
      <c r="F7137" s="66" t="s">
        <v>514</v>
      </c>
      <c r="G7137" s="66" t="str">
        <f t="shared" si="215"/>
        <v/>
      </c>
      <c r="H7137" s="68"/>
      <c r="I7137" s="30"/>
      <c r="J7137" s="148">
        <v>0</v>
      </c>
      <c r="K7137" s="222">
        <v>0</v>
      </c>
    </row>
    <row r="7138" spans="1:11" ht="15.75" hidden="1" thickBot="1" x14ac:dyDescent="0.3">
      <c r="A7138" s="202" t="s">
        <v>7373</v>
      </c>
      <c r="B7138" s="204" t="str">
        <f>INDEX(Orçamentária!A:B,MATCH(Composições!A7138,Orçamentária!A:A,0),2)</f>
        <v>Luva PVC roscável para água fria 2”</v>
      </c>
      <c r="C7138" s="40"/>
      <c r="D7138" s="25" t="str">
        <f>TRIM(INDEX(Orçamentária!C:C,MATCH(Composições!A7138,Orçamentária!A:A,0),1))</f>
        <v>un</v>
      </c>
      <c r="E7138" s="26"/>
      <c r="F7138" s="41" t="s">
        <v>514</v>
      </c>
      <c r="G7138" s="27" t="str">
        <f t="shared" si="215"/>
        <v/>
      </c>
      <c r="H7138" s="28"/>
      <c r="I7138" s="29"/>
      <c r="J7138" s="148">
        <v>0</v>
      </c>
      <c r="K7138" s="222">
        <v>0</v>
      </c>
    </row>
    <row r="7139" spans="1:11" hidden="1" x14ac:dyDescent="0.25">
      <c r="A7139" s="203"/>
      <c r="B7139" s="205"/>
      <c r="C7139" s="31"/>
      <c r="D7139" s="31"/>
      <c r="E7139" s="32"/>
      <c r="F7139" s="42" t="s">
        <v>514</v>
      </c>
      <c r="G7139" s="30" t="str">
        <f t="shared" si="215"/>
        <v/>
      </c>
      <c r="H7139" s="34"/>
      <c r="I7139" s="30"/>
      <c r="J7139" s="148">
        <v>0</v>
      </c>
      <c r="K7139" s="222">
        <v>0</v>
      </c>
    </row>
    <row r="7140" spans="1:11" hidden="1" x14ac:dyDescent="0.25">
      <c r="A7140" s="203"/>
      <c r="B7140" s="205"/>
      <c r="C7140" s="35" t="s">
        <v>7784</v>
      </c>
      <c r="D7140" s="46" t="s">
        <v>20</v>
      </c>
      <c r="E7140" s="36">
        <v>1</v>
      </c>
      <c r="F7140" s="30">
        <v>19.512999999999998</v>
      </c>
      <c r="G7140" s="30">
        <f t="shared" si="215"/>
        <v>19.512999999999998</v>
      </c>
      <c r="H7140" s="38">
        <f t="shared" si="216"/>
        <v>19.512999999999998</v>
      </c>
      <c r="I7140" s="39"/>
      <c r="J7140" s="148">
        <v>0</v>
      </c>
      <c r="K7140" s="222">
        <v>0</v>
      </c>
    </row>
    <row r="7141" spans="1:11" ht="15.75" hidden="1" thickBot="1" x14ac:dyDescent="0.3">
      <c r="A7141" s="209"/>
      <c r="B7141" s="206"/>
      <c r="C7141" s="54"/>
      <c r="D7141" s="54"/>
      <c r="E7141" s="65"/>
      <c r="F7141" s="66" t="s">
        <v>514</v>
      </c>
      <c r="G7141" s="66" t="str">
        <f t="shared" si="215"/>
        <v/>
      </c>
      <c r="H7141" s="68"/>
      <c r="I7141" s="30"/>
      <c r="J7141" s="148">
        <v>0</v>
      </c>
      <c r="K7141" s="222">
        <v>0</v>
      </c>
    </row>
    <row r="7142" spans="1:11" ht="15.75" hidden="1" thickBot="1" x14ac:dyDescent="0.3">
      <c r="A7142" s="202" t="s">
        <v>7375</v>
      </c>
      <c r="B7142" s="204" t="str">
        <f>INDEX(Orçamentária!A:B,MATCH(Composições!A7142,Orçamentária!A:A,0),2)</f>
        <v>Luva de PVC soldável água fria DN 60mm</v>
      </c>
      <c r="C7142" s="40"/>
      <c r="D7142" s="25" t="str">
        <f>TRIM(INDEX(Orçamentária!C:C,MATCH(Composições!A7142,Orçamentária!A:A,0),1))</f>
        <v>un</v>
      </c>
      <c r="E7142" s="26"/>
      <c r="F7142" s="41" t="s">
        <v>514</v>
      </c>
      <c r="G7142" s="27" t="str">
        <f t="shared" si="215"/>
        <v/>
      </c>
      <c r="H7142" s="28"/>
      <c r="I7142" s="29"/>
      <c r="J7142" s="148">
        <v>0</v>
      </c>
      <c r="K7142" s="222">
        <v>0</v>
      </c>
    </row>
    <row r="7143" spans="1:11" hidden="1" x14ac:dyDescent="0.25">
      <c r="A7143" s="203"/>
      <c r="B7143" s="205"/>
      <c r="C7143" s="31"/>
      <c r="D7143" s="31"/>
      <c r="E7143" s="32"/>
      <c r="F7143" s="42" t="s">
        <v>514</v>
      </c>
      <c r="G7143" s="30" t="str">
        <f t="shared" si="215"/>
        <v/>
      </c>
      <c r="H7143" s="34"/>
      <c r="I7143" s="30"/>
      <c r="J7143" s="148">
        <v>0</v>
      </c>
      <c r="K7143" s="222">
        <v>0</v>
      </c>
    </row>
    <row r="7144" spans="1:11" hidden="1" x14ac:dyDescent="0.25">
      <c r="A7144" s="203"/>
      <c r="B7144" s="205"/>
      <c r="C7144" s="35" t="s">
        <v>7657</v>
      </c>
      <c r="D7144" s="46" t="s">
        <v>20</v>
      </c>
      <c r="E7144" s="36">
        <v>1</v>
      </c>
      <c r="F7144" s="30">
        <v>15.808</v>
      </c>
      <c r="G7144" s="30">
        <f t="shared" si="215"/>
        <v>15.808</v>
      </c>
      <c r="H7144" s="38">
        <f t="shared" si="216"/>
        <v>15.808</v>
      </c>
      <c r="I7144" s="39"/>
      <c r="J7144" s="148">
        <v>0</v>
      </c>
      <c r="K7144" s="222">
        <v>0</v>
      </c>
    </row>
    <row r="7145" spans="1:11" ht="15.75" hidden="1" thickBot="1" x14ac:dyDescent="0.3">
      <c r="A7145" s="209"/>
      <c r="B7145" s="206"/>
      <c r="C7145" s="54"/>
      <c r="D7145" s="54"/>
      <c r="E7145" s="65"/>
      <c r="F7145" s="66" t="s">
        <v>514</v>
      </c>
      <c r="G7145" s="66" t="str">
        <f t="shared" si="215"/>
        <v/>
      </c>
      <c r="H7145" s="68"/>
      <c r="I7145" s="30"/>
      <c r="J7145" s="148">
        <v>0</v>
      </c>
      <c r="K7145" s="222">
        <v>0</v>
      </c>
    </row>
    <row r="7146" spans="1:11" ht="15.75" hidden="1" thickBot="1" x14ac:dyDescent="0.3">
      <c r="A7146" s="202" t="s">
        <v>7377</v>
      </c>
      <c r="B7146" s="204" t="str">
        <f>INDEX(Orçamentária!A:B,MATCH(Composições!A7146,Orçamentária!A:A,0),2)</f>
        <v>União PVC soldável 60mm</v>
      </c>
      <c r="C7146" s="40"/>
      <c r="D7146" s="25" t="str">
        <f>TRIM(INDEX(Orçamentária!C:C,MATCH(Composições!A7146,Orçamentária!A:A,0),1))</f>
        <v>un</v>
      </c>
      <c r="E7146" s="26"/>
      <c r="F7146" s="41" t="s">
        <v>514</v>
      </c>
      <c r="G7146" s="27" t="str">
        <f t="shared" si="215"/>
        <v/>
      </c>
      <c r="H7146" s="28"/>
      <c r="I7146" s="29"/>
      <c r="J7146" s="148">
        <v>0</v>
      </c>
      <c r="K7146" s="222">
        <v>0</v>
      </c>
    </row>
    <row r="7147" spans="1:11" hidden="1" x14ac:dyDescent="0.25">
      <c r="A7147" s="203"/>
      <c r="B7147" s="205"/>
      <c r="C7147" s="31"/>
      <c r="D7147" s="31"/>
      <c r="E7147" s="32"/>
      <c r="F7147" s="42" t="s">
        <v>514</v>
      </c>
      <c r="G7147" s="30" t="str">
        <f t="shared" si="215"/>
        <v/>
      </c>
      <c r="H7147" s="34"/>
      <c r="I7147" s="30"/>
      <c r="J7147" s="148">
        <v>0</v>
      </c>
      <c r="K7147" s="222">
        <v>0</v>
      </c>
    </row>
    <row r="7148" spans="1:11" hidden="1" x14ac:dyDescent="0.25">
      <c r="A7148" s="203"/>
      <c r="B7148" s="205"/>
      <c r="C7148" s="35" t="s">
        <v>7785</v>
      </c>
      <c r="D7148" s="46" t="s">
        <v>20</v>
      </c>
      <c r="E7148" s="36">
        <v>1</v>
      </c>
      <c r="F7148" s="30">
        <v>102.4195</v>
      </c>
      <c r="G7148" s="30">
        <f t="shared" si="215"/>
        <v>102.4195</v>
      </c>
      <c r="H7148" s="38">
        <f t="shared" si="216"/>
        <v>102.4195</v>
      </c>
      <c r="I7148" s="39"/>
      <c r="J7148" s="148">
        <v>0</v>
      </c>
      <c r="K7148" s="222">
        <v>0</v>
      </c>
    </row>
    <row r="7149" spans="1:11" ht="15.75" hidden="1" thickBot="1" x14ac:dyDescent="0.3">
      <c r="A7149" s="209"/>
      <c r="B7149" s="206"/>
      <c r="C7149" s="54"/>
      <c r="D7149" s="54"/>
      <c r="E7149" s="65"/>
      <c r="F7149" s="66" t="s">
        <v>514</v>
      </c>
      <c r="G7149" s="66" t="str">
        <f t="shared" si="215"/>
        <v/>
      </c>
      <c r="H7149" s="68"/>
      <c r="I7149" s="30"/>
      <c r="J7149" s="148">
        <v>0</v>
      </c>
      <c r="K7149" s="222">
        <v>0</v>
      </c>
    </row>
    <row r="7150" spans="1:11" ht="15.75" hidden="1" thickBot="1" x14ac:dyDescent="0.3">
      <c r="A7150" s="202" t="s">
        <v>7379</v>
      </c>
      <c r="B7150" s="204" t="str">
        <f>INDEX(Orçamentária!A:B,MATCH(Composições!A7150,Orçamentária!A:A,0),2)</f>
        <v>União PVC soldável 85mm</v>
      </c>
      <c r="C7150" s="40"/>
      <c r="D7150" s="25" t="str">
        <f>TRIM(INDEX(Orçamentária!C:C,MATCH(Composições!A7150,Orçamentária!A:A,0),1))</f>
        <v>un</v>
      </c>
      <c r="E7150" s="26"/>
      <c r="F7150" s="41" t="s">
        <v>514</v>
      </c>
      <c r="G7150" s="27" t="str">
        <f t="shared" si="215"/>
        <v/>
      </c>
      <c r="H7150" s="28"/>
      <c r="I7150" s="29"/>
      <c r="J7150" s="148">
        <v>0</v>
      </c>
      <c r="K7150" s="222">
        <v>0</v>
      </c>
    </row>
    <row r="7151" spans="1:11" hidden="1" x14ac:dyDescent="0.25">
      <c r="A7151" s="203"/>
      <c r="B7151" s="205"/>
      <c r="C7151" s="31"/>
      <c r="D7151" s="31"/>
      <c r="E7151" s="32"/>
      <c r="F7151" s="42" t="s">
        <v>514</v>
      </c>
      <c r="G7151" s="30" t="str">
        <f t="shared" si="215"/>
        <v/>
      </c>
      <c r="H7151" s="34"/>
      <c r="I7151" s="30"/>
      <c r="J7151" s="148">
        <v>0</v>
      </c>
      <c r="K7151" s="222">
        <v>0</v>
      </c>
    </row>
    <row r="7152" spans="1:11" hidden="1" x14ac:dyDescent="0.25">
      <c r="A7152" s="203"/>
      <c r="B7152" s="205"/>
      <c r="C7152" s="35" t="s">
        <v>7786</v>
      </c>
      <c r="D7152" s="46" t="s">
        <v>20</v>
      </c>
      <c r="E7152" s="36">
        <v>1</v>
      </c>
      <c r="F7152" s="30">
        <v>317.77499999999998</v>
      </c>
      <c r="G7152" s="30">
        <f t="shared" si="215"/>
        <v>317.77499999999998</v>
      </c>
      <c r="H7152" s="38">
        <f t="shared" si="216"/>
        <v>317.77499999999998</v>
      </c>
      <c r="I7152" s="39"/>
      <c r="J7152" s="148">
        <v>0</v>
      </c>
      <c r="K7152" s="222">
        <v>0</v>
      </c>
    </row>
    <row r="7153" spans="1:11" ht="15.75" hidden="1" thickBot="1" x14ac:dyDescent="0.3">
      <c r="A7153" s="209"/>
      <c r="B7153" s="206"/>
      <c r="C7153" s="54"/>
      <c r="D7153" s="54"/>
      <c r="E7153" s="65"/>
      <c r="F7153" s="66" t="s">
        <v>514</v>
      </c>
      <c r="G7153" s="66" t="str">
        <f t="shared" si="215"/>
        <v/>
      </c>
      <c r="H7153" s="68"/>
      <c r="I7153" s="30"/>
      <c r="J7153" s="148">
        <v>0</v>
      </c>
      <c r="K7153" s="222">
        <v>0</v>
      </c>
    </row>
    <row r="7154" spans="1:11" ht="15.75" hidden="1" thickBot="1" x14ac:dyDescent="0.3">
      <c r="A7154" s="202" t="s">
        <v>7451</v>
      </c>
      <c r="B7154" s="204" t="str">
        <f>INDEX(Orçamentária!A:B,MATCH(Composições!A7154,Orçamentária!A:A,0),2)</f>
        <v>Supervisor(a) Técnico(a) - Sistema Hidrossanitário</v>
      </c>
      <c r="C7154" s="40"/>
      <c r="D7154" s="25" t="str">
        <f>TRIM(INDEX(Orçamentária!C:C,MATCH(Composições!A7154,Orçamentária!A:A,0),1))</f>
        <v>Profissional</v>
      </c>
      <c r="E7154" s="26"/>
      <c r="F7154" s="41" t="s">
        <v>514</v>
      </c>
      <c r="G7154" s="27" t="str">
        <f t="shared" ref="G7154:G7217" si="217">IF(ISNUMBER(F7154),E7154*F7154,"")</f>
        <v/>
      </c>
      <c r="H7154" s="28"/>
      <c r="I7154" s="29"/>
      <c r="J7154" s="148">
        <v>0</v>
      </c>
      <c r="K7154" s="222">
        <v>0</v>
      </c>
    </row>
    <row r="7155" spans="1:11" hidden="1" x14ac:dyDescent="0.25">
      <c r="A7155" s="203"/>
      <c r="B7155" s="205"/>
      <c r="C7155" s="31"/>
      <c r="D7155" s="31"/>
      <c r="E7155" s="32"/>
      <c r="F7155" s="42" t="s">
        <v>514</v>
      </c>
      <c r="G7155" s="33" t="str">
        <f t="shared" si="217"/>
        <v/>
      </c>
      <c r="H7155" s="34"/>
      <c r="I7155" s="30"/>
      <c r="J7155" s="148">
        <v>0</v>
      </c>
      <c r="K7155" s="222">
        <v>0</v>
      </c>
    </row>
    <row r="7156" spans="1:11" ht="25.5" hidden="1" x14ac:dyDescent="0.25">
      <c r="A7156" s="203"/>
      <c r="B7156" s="205"/>
      <c r="C7156" s="35" t="s">
        <v>772</v>
      </c>
      <c r="D7156" s="46" t="s">
        <v>12</v>
      </c>
      <c r="E7156" s="36">
        <f>ROUND(220/(1+110.14%),4)</f>
        <v>104.6921</v>
      </c>
      <c r="F7156" s="30">
        <v>109.136</v>
      </c>
      <c r="G7156" s="33">
        <f t="shared" si="217"/>
        <v>11425.6770256</v>
      </c>
      <c r="H7156" s="38">
        <f>SUM(G7156:G7156)</f>
        <v>11425.6770256</v>
      </c>
      <c r="I7156" s="39"/>
      <c r="J7156" s="148">
        <v>0</v>
      </c>
      <c r="K7156" s="222">
        <v>0</v>
      </c>
    </row>
    <row r="7157" spans="1:11" hidden="1" x14ac:dyDescent="0.25">
      <c r="A7157" s="203"/>
      <c r="B7157" s="205"/>
      <c r="C7157" s="35"/>
      <c r="D7157" s="46"/>
      <c r="E7157" s="36"/>
      <c r="F7157" s="30" t="s">
        <v>514</v>
      </c>
      <c r="G7157" s="33" t="str">
        <f t="shared" si="217"/>
        <v/>
      </c>
      <c r="H7157" s="34"/>
      <c r="I7157" s="39"/>
      <c r="J7157" s="148">
        <v>0</v>
      </c>
      <c r="K7157" s="222">
        <v>0</v>
      </c>
    </row>
    <row r="7158" spans="1:11" ht="25.5" hidden="1" x14ac:dyDescent="0.25">
      <c r="A7158" s="203"/>
      <c r="B7158" s="205"/>
      <c r="C7158" s="47" t="s">
        <v>773</v>
      </c>
      <c r="D7158" s="46"/>
      <c r="E7158" s="36"/>
      <c r="F7158" s="30" t="s">
        <v>514</v>
      </c>
      <c r="G7158" s="33" t="str">
        <f t="shared" si="217"/>
        <v/>
      </c>
      <c r="H7158" s="34"/>
      <c r="I7158" s="39"/>
      <c r="J7158" s="148">
        <v>0</v>
      </c>
      <c r="K7158" s="222">
        <v>0</v>
      </c>
    </row>
    <row r="7159" spans="1:11" ht="15.75" hidden="1" thickBot="1" x14ac:dyDescent="0.3">
      <c r="A7159" s="209"/>
      <c r="B7159" s="206"/>
      <c r="C7159" s="35"/>
      <c r="D7159" s="35"/>
      <c r="E7159" s="36"/>
      <c r="F7159" s="30" t="s">
        <v>514</v>
      </c>
      <c r="G7159" s="33" t="str">
        <f t="shared" si="217"/>
        <v/>
      </c>
      <c r="H7159" s="34"/>
      <c r="I7159" s="30"/>
      <c r="J7159" s="148">
        <v>0</v>
      </c>
      <c r="K7159" s="222">
        <v>0</v>
      </c>
    </row>
    <row r="7160" spans="1:11" ht="15.75" hidden="1" thickBot="1" x14ac:dyDescent="0.3">
      <c r="A7160" s="202" t="s">
        <v>7453</v>
      </c>
      <c r="B7160" s="204" t="str">
        <f>INDEX(Orçamentária!A:B,MATCH(Composições!A7160,Orçamentária!A:A,0),2)</f>
        <v>Supervisor(a) Técnico(a) - Segurança do Trabalho</v>
      </c>
      <c r="C7160" s="40"/>
      <c r="D7160" s="25" t="str">
        <f>TRIM(INDEX(Orçamentária!C:C,MATCH(Composições!A7160,Orçamentária!A:A,0),1))</f>
        <v>Profissional</v>
      </c>
      <c r="E7160" s="26"/>
      <c r="F7160" s="41" t="s">
        <v>514</v>
      </c>
      <c r="G7160" s="27" t="str">
        <f t="shared" si="217"/>
        <v/>
      </c>
      <c r="H7160" s="28"/>
      <c r="I7160" s="29"/>
      <c r="J7160" s="148">
        <v>0</v>
      </c>
      <c r="K7160" s="222">
        <v>0</v>
      </c>
    </row>
    <row r="7161" spans="1:11" hidden="1" x14ac:dyDescent="0.25">
      <c r="A7161" s="203"/>
      <c r="B7161" s="205"/>
      <c r="C7161" s="31"/>
      <c r="D7161" s="31"/>
      <c r="E7161" s="32"/>
      <c r="F7161" s="42" t="s">
        <v>514</v>
      </c>
      <c r="G7161" s="33" t="str">
        <f t="shared" si="217"/>
        <v/>
      </c>
      <c r="H7161" s="34"/>
      <c r="I7161" s="30"/>
      <c r="J7161" s="148">
        <v>0</v>
      </c>
      <c r="K7161" s="222">
        <v>0</v>
      </c>
    </row>
    <row r="7162" spans="1:11" ht="25.5" hidden="1" x14ac:dyDescent="0.25">
      <c r="A7162" s="203"/>
      <c r="B7162" s="205"/>
      <c r="C7162" s="35" t="s">
        <v>772</v>
      </c>
      <c r="D7162" s="46" t="s">
        <v>12</v>
      </c>
      <c r="E7162" s="36">
        <f>ROUND(220/(1+110.14%),4)</f>
        <v>104.6921</v>
      </c>
      <c r="F7162" s="30">
        <v>109.136</v>
      </c>
      <c r="G7162" s="33">
        <f t="shared" si="217"/>
        <v>11425.6770256</v>
      </c>
      <c r="H7162" s="38">
        <f>SUM(G7162:G7162)</f>
        <v>11425.6770256</v>
      </c>
      <c r="I7162" s="39"/>
      <c r="J7162" s="148">
        <v>0</v>
      </c>
      <c r="K7162" s="222">
        <v>0</v>
      </c>
    </row>
    <row r="7163" spans="1:11" hidden="1" x14ac:dyDescent="0.25">
      <c r="A7163" s="203"/>
      <c r="B7163" s="205"/>
      <c r="C7163" s="35"/>
      <c r="D7163" s="46"/>
      <c r="E7163" s="36"/>
      <c r="F7163" s="30" t="s">
        <v>514</v>
      </c>
      <c r="G7163" s="33" t="str">
        <f t="shared" si="217"/>
        <v/>
      </c>
      <c r="H7163" s="34"/>
      <c r="I7163" s="39"/>
      <c r="J7163" s="148">
        <v>0</v>
      </c>
      <c r="K7163" s="222">
        <v>0</v>
      </c>
    </row>
    <row r="7164" spans="1:11" ht="25.5" hidden="1" x14ac:dyDescent="0.25">
      <c r="A7164" s="203"/>
      <c r="B7164" s="205"/>
      <c r="C7164" s="47" t="s">
        <v>773</v>
      </c>
      <c r="D7164" s="46"/>
      <c r="E7164" s="36"/>
      <c r="F7164" s="30" t="s">
        <v>514</v>
      </c>
      <c r="G7164" s="33" t="str">
        <f t="shared" si="217"/>
        <v/>
      </c>
      <c r="H7164" s="34"/>
      <c r="I7164" s="39"/>
      <c r="J7164" s="148">
        <v>0</v>
      </c>
      <c r="K7164" s="222">
        <v>0</v>
      </c>
    </row>
    <row r="7165" spans="1:11" ht="15.75" hidden="1" thickBot="1" x14ac:dyDescent="0.3">
      <c r="A7165" s="209"/>
      <c r="B7165" s="206"/>
      <c r="C7165" s="35"/>
      <c r="D7165" s="35"/>
      <c r="E7165" s="36"/>
      <c r="F7165" s="30" t="s">
        <v>514</v>
      </c>
      <c r="G7165" s="33" t="str">
        <f t="shared" si="217"/>
        <v/>
      </c>
      <c r="H7165" s="34"/>
      <c r="I7165" s="30"/>
      <c r="J7165" s="148">
        <v>0</v>
      </c>
      <c r="K7165" s="222">
        <v>0</v>
      </c>
    </row>
    <row r="7166" spans="1:11" ht="15.75" hidden="1" thickBot="1" x14ac:dyDescent="0.3">
      <c r="A7166" s="202" t="s">
        <v>7455</v>
      </c>
      <c r="B7166" s="204" t="str">
        <f>INDEX(Orçamentária!A:B,MATCH(Composições!A7166,Orçamentária!A:A,0),2)</f>
        <v>Encarregado(a) de Manutenção Hidrossanitária</v>
      </c>
      <c r="C7166" s="40"/>
      <c r="D7166" s="25" t="str">
        <f>TRIM(INDEX(Orçamentária!C:C,MATCH(Composições!A7166,Orçamentária!A:A,0),1))</f>
        <v>Profissional</v>
      </c>
      <c r="E7166" s="26"/>
      <c r="F7166" s="41" t="s">
        <v>514</v>
      </c>
      <c r="G7166" s="27" t="str">
        <f t="shared" si="217"/>
        <v/>
      </c>
      <c r="H7166" s="28"/>
      <c r="I7166" s="29"/>
      <c r="J7166" s="148">
        <v>0</v>
      </c>
      <c r="K7166" s="222">
        <v>0</v>
      </c>
    </row>
    <row r="7167" spans="1:11" hidden="1" x14ac:dyDescent="0.25">
      <c r="A7167" s="203"/>
      <c r="B7167" s="205"/>
      <c r="C7167" s="31"/>
      <c r="D7167" s="31"/>
      <c r="E7167" s="32"/>
      <c r="F7167" s="42" t="s">
        <v>514</v>
      </c>
      <c r="G7167" s="33" t="str">
        <f t="shared" si="217"/>
        <v/>
      </c>
      <c r="H7167" s="34"/>
      <c r="I7167" s="30"/>
      <c r="J7167" s="148">
        <v>0</v>
      </c>
      <c r="K7167" s="222">
        <v>0</v>
      </c>
    </row>
    <row r="7168" spans="1:11" hidden="1" x14ac:dyDescent="0.25">
      <c r="A7168" s="203"/>
      <c r="B7168" s="205"/>
      <c r="C7168" s="35" t="s">
        <v>3223</v>
      </c>
      <c r="D7168" s="46" t="s">
        <v>12</v>
      </c>
      <c r="E7168" s="36">
        <f>ROUND(220/(1+110.14%),4)</f>
        <v>104.6921</v>
      </c>
      <c r="F7168" s="30">
        <v>20.273</v>
      </c>
      <c r="G7168" s="33">
        <f t="shared" si="217"/>
        <v>2122.4229433</v>
      </c>
      <c r="H7168" s="38">
        <f>SUM(G7168:G7168)</f>
        <v>2122.4229433</v>
      </c>
      <c r="I7168" s="39"/>
      <c r="J7168" s="148">
        <v>0</v>
      </c>
      <c r="K7168" s="222">
        <v>0</v>
      </c>
    </row>
    <row r="7169" spans="1:11" hidden="1" x14ac:dyDescent="0.25">
      <c r="A7169" s="203"/>
      <c r="B7169" s="205"/>
      <c r="C7169" s="35"/>
      <c r="D7169" s="46"/>
      <c r="E7169" s="36"/>
      <c r="F7169" s="30" t="s">
        <v>514</v>
      </c>
      <c r="G7169" s="33" t="str">
        <f t="shared" si="217"/>
        <v/>
      </c>
      <c r="H7169" s="34"/>
      <c r="I7169" s="39"/>
      <c r="J7169" s="148">
        <v>0</v>
      </c>
      <c r="K7169" s="222">
        <v>0</v>
      </c>
    </row>
    <row r="7170" spans="1:11" ht="25.5" hidden="1" x14ac:dyDescent="0.25">
      <c r="A7170" s="203"/>
      <c r="B7170" s="205"/>
      <c r="C7170" s="47" t="s">
        <v>773</v>
      </c>
      <c r="D7170" s="46"/>
      <c r="E7170" s="36"/>
      <c r="F7170" s="30" t="s">
        <v>514</v>
      </c>
      <c r="G7170" s="33" t="str">
        <f t="shared" si="217"/>
        <v/>
      </c>
      <c r="H7170" s="34"/>
      <c r="I7170" s="39"/>
      <c r="J7170" s="148">
        <v>0</v>
      </c>
      <c r="K7170" s="222">
        <v>0</v>
      </c>
    </row>
    <row r="7171" spans="1:11" ht="15.75" hidden="1" thickBot="1" x14ac:dyDescent="0.3">
      <c r="A7171" s="209"/>
      <c r="B7171" s="206"/>
      <c r="C7171" s="35"/>
      <c r="D7171" s="35"/>
      <c r="E7171" s="36"/>
      <c r="F7171" s="30" t="s">
        <v>514</v>
      </c>
      <c r="G7171" s="33" t="str">
        <f t="shared" si="217"/>
        <v/>
      </c>
      <c r="H7171" s="34"/>
      <c r="I7171" s="30"/>
      <c r="J7171" s="148">
        <v>0</v>
      </c>
      <c r="K7171" s="222">
        <v>0</v>
      </c>
    </row>
    <row r="7172" spans="1:11" ht="15.75" hidden="1" thickBot="1" x14ac:dyDescent="0.3">
      <c r="A7172" s="202" t="s">
        <v>7457</v>
      </c>
      <c r="B7172" s="204" t="str">
        <f>INDEX(Orçamentária!A:B,MATCH(Composições!A7172,Orçamentária!A:A,0),2)</f>
        <v>Bombeiro(a) Hidráulico(a) Planejador(a) de Manutenção</v>
      </c>
      <c r="C7172" s="40"/>
      <c r="D7172" s="25" t="str">
        <f>TRIM(INDEX(Orçamentária!C:C,MATCH(Composições!A7172,Orçamentária!A:A,0),1))</f>
        <v>Profissional</v>
      </c>
      <c r="E7172" s="26"/>
      <c r="F7172" s="41" t="s">
        <v>514</v>
      </c>
      <c r="G7172" s="27" t="str">
        <f t="shared" si="217"/>
        <v/>
      </c>
      <c r="H7172" s="28"/>
      <c r="I7172" s="29"/>
      <c r="J7172" s="148">
        <v>0</v>
      </c>
      <c r="K7172" s="222">
        <v>0</v>
      </c>
    </row>
    <row r="7173" spans="1:11" hidden="1" x14ac:dyDescent="0.25">
      <c r="A7173" s="203"/>
      <c r="B7173" s="205"/>
      <c r="C7173" s="31"/>
      <c r="D7173" s="31"/>
      <c r="E7173" s="32"/>
      <c r="F7173" s="42" t="s">
        <v>514</v>
      </c>
      <c r="G7173" s="33" t="str">
        <f t="shared" si="217"/>
        <v/>
      </c>
      <c r="H7173" s="34"/>
      <c r="I7173" s="30"/>
      <c r="J7173" s="148">
        <v>0</v>
      </c>
      <c r="K7173" s="222">
        <v>0</v>
      </c>
    </row>
    <row r="7174" spans="1:11" ht="25.5" hidden="1" x14ac:dyDescent="0.25">
      <c r="A7174" s="203"/>
      <c r="B7174" s="205"/>
      <c r="C7174" s="35" t="s">
        <v>944</v>
      </c>
      <c r="D7174" s="46" t="s">
        <v>12</v>
      </c>
      <c r="E7174" s="36">
        <f>ROUND(220/(1+110.14%),4)</f>
        <v>104.6921</v>
      </c>
      <c r="F7174" s="30">
        <v>24.300999999999998</v>
      </c>
      <c r="G7174" s="33">
        <f t="shared" si="217"/>
        <v>2544.1227220999999</v>
      </c>
      <c r="H7174" s="38">
        <f>SUM(G7174:G7174)</f>
        <v>2544.1227220999999</v>
      </c>
      <c r="I7174" s="39"/>
      <c r="J7174" s="148">
        <v>0</v>
      </c>
      <c r="K7174" s="222">
        <v>0</v>
      </c>
    </row>
    <row r="7175" spans="1:11" hidden="1" x14ac:dyDescent="0.25">
      <c r="A7175" s="203"/>
      <c r="B7175" s="205"/>
      <c r="C7175" s="35"/>
      <c r="D7175" s="46"/>
      <c r="E7175" s="36"/>
      <c r="F7175" s="30" t="s">
        <v>514</v>
      </c>
      <c r="G7175" s="33" t="str">
        <f t="shared" si="217"/>
        <v/>
      </c>
      <c r="H7175" s="34"/>
      <c r="I7175" s="39"/>
      <c r="J7175" s="148">
        <v>0</v>
      </c>
      <c r="K7175" s="222">
        <v>0</v>
      </c>
    </row>
    <row r="7176" spans="1:11" ht="25.5" hidden="1" x14ac:dyDescent="0.25">
      <c r="A7176" s="203"/>
      <c r="B7176" s="205"/>
      <c r="C7176" s="47" t="s">
        <v>773</v>
      </c>
      <c r="D7176" s="46"/>
      <c r="E7176" s="36"/>
      <c r="F7176" s="30" t="s">
        <v>514</v>
      </c>
      <c r="G7176" s="33" t="str">
        <f t="shared" si="217"/>
        <v/>
      </c>
      <c r="H7176" s="34"/>
      <c r="I7176" s="39"/>
      <c r="J7176" s="148">
        <v>0</v>
      </c>
      <c r="K7176" s="222">
        <v>0</v>
      </c>
    </row>
    <row r="7177" spans="1:11" ht="15.75" hidden="1" thickBot="1" x14ac:dyDescent="0.3">
      <c r="A7177" s="209"/>
      <c r="B7177" s="206"/>
      <c r="C7177" s="35"/>
      <c r="D7177" s="35"/>
      <c r="E7177" s="36"/>
      <c r="F7177" s="30" t="s">
        <v>514</v>
      </c>
      <c r="G7177" s="33" t="str">
        <f t="shared" si="217"/>
        <v/>
      </c>
      <c r="H7177" s="34"/>
      <c r="I7177" s="30"/>
      <c r="J7177" s="148">
        <v>0</v>
      </c>
      <c r="K7177" s="222">
        <v>0</v>
      </c>
    </row>
    <row r="7178" spans="1:11" ht="15.75" hidden="1" thickBot="1" x14ac:dyDescent="0.3">
      <c r="A7178" s="202" t="s">
        <v>7459</v>
      </c>
      <c r="B7178" s="204" t="str">
        <f>INDEX(Orçamentária!A:B,MATCH(Composições!A7178,Orçamentária!A:A,0),2)</f>
        <v>Instalador(a) Hidráulico(a)</v>
      </c>
      <c r="C7178" s="40"/>
      <c r="D7178" s="25" t="str">
        <f>TRIM(INDEX(Orçamentária!C:C,MATCH(Composições!A7178,Orçamentária!A:A,0),1))</f>
        <v>Profissional</v>
      </c>
      <c r="E7178" s="26"/>
      <c r="F7178" s="41" t="s">
        <v>514</v>
      </c>
      <c r="G7178" s="27" t="str">
        <f t="shared" si="217"/>
        <v/>
      </c>
      <c r="H7178" s="28"/>
      <c r="I7178" s="29"/>
      <c r="J7178" s="148">
        <v>0</v>
      </c>
      <c r="K7178" s="222">
        <v>0</v>
      </c>
    </row>
    <row r="7179" spans="1:11" hidden="1" x14ac:dyDescent="0.25">
      <c r="A7179" s="203"/>
      <c r="B7179" s="205"/>
      <c r="C7179" s="31"/>
      <c r="D7179" s="31"/>
      <c r="E7179" s="32"/>
      <c r="F7179" s="42" t="s">
        <v>514</v>
      </c>
      <c r="G7179" s="33" t="str">
        <f t="shared" si="217"/>
        <v/>
      </c>
      <c r="H7179" s="34"/>
      <c r="I7179" s="30"/>
      <c r="J7179" s="148">
        <v>0</v>
      </c>
      <c r="K7179" s="222">
        <v>0</v>
      </c>
    </row>
    <row r="7180" spans="1:11" hidden="1" x14ac:dyDescent="0.25">
      <c r="A7180" s="203"/>
      <c r="B7180" s="205"/>
      <c r="C7180" s="35" t="s">
        <v>7644</v>
      </c>
      <c r="D7180" s="46" t="s">
        <v>12</v>
      </c>
      <c r="E7180" s="36">
        <f>ROUND(220/(1+110.14%),4)</f>
        <v>104.6921</v>
      </c>
      <c r="F7180" s="30">
        <v>11.979499999999998</v>
      </c>
      <c r="G7180" s="33">
        <f t="shared" si="217"/>
        <v>1254.1590119499997</v>
      </c>
      <c r="H7180" s="38">
        <f>SUM(G7180:G7180)</f>
        <v>1254.1590119499997</v>
      </c>
      <c r="I7180" s="39"/>
      <c r="J7180" s="148">
        <v>0</v>
      </c>
      <c r="K7180" s="222">
        <v>0</v>
      </c>
    </row>
    <row r="7181" spans="1:11" hidden="1" x14ac:dyDescent="0.25">
      <c r="A7181" s="203"/>
      <c r="B7181" s="205"/>
      <c r="C7181" s="35"/>
      <c r="D7181" s="46"/>
      <c r="E7181" s="36"/>
      <c r="F7181" s="30" t="s">
        <v>514</v>
      </c>
      <c r="G7181" s="33" t="str">
        <f t="shared" si="217"/>
        <v/>
      </c>
      <c r="H7181" s="34"/>
      <c r="I7181" s="39"/>
      <c r="J7181" s="148">
        <v>0</v>
      </c>
      <c r="K7181" s="222">
        <v>0</v>
      </c>
    </row>
    <row r="7182" spans="1:11" ht="25.5" hidden="1" x14ac:dyDescent="0.25">
      <c r="A7182" s="203"/>
      <c r="B7182" s="205"/>
      <c r="C7182" s="47" t="s">
        <v>773</v>
      </c>
      <c r="D7182" s="46"/>
      <c r="E7182" s="36"/>
      <c r="F7182" s="30" t="s">
        <v>514</v>
      </c>
      <c r="G7182" s="33" t="str">
        <f t="shared" si="217"/>
        <v/>
      </c>
      <c r="H7182" s="34"/>
      <c r="I7182" s="39"/>
      <c r="J7182" s="148">
        <v>0</v>
      </c>
      <c r="K7182" s="222">
        <v>0</v>
      </c>
    </row>
    <row r="7183" spans="1:11" ht="15.75" hidden="1" thickBot="1" x14ac:dyDescent="0.3">
      <c r="A7183" s="209"/>
      <c r="B7183" s="206"/>
      <c r="C7183" s="35"/>
      <c r="D7183" s="35"/>
      <c r="E7183" s="36"/>
      <c r="F7183" s="30" t="s">
        <v>514</v>
      </c>
      <c r="G7183" s="33" t="str">
        <f t="shared" si="217"/>
        <v/>
      </c>
      <c r="H7183" s="34"/>
      <c r="I7183" s="30"/>
      <c r="J7183" s="148">
        <v>0</v>
      </c>
      <c r="K7183" s="222">
        <v>0</v>
      </c>
    </row>
    <row r="7184" spans="1:11" ht="15.75" hidden="1" thickBot="1" x14ac:dyDescent="0.3">
      <c r="A7184" s="202" t="s">
        <v>7461</v>
      </c>
      <c r="B7184" s="204" t="str">
        <f>INDEX(Orçamentária!A:B,MATCH(Composições!A7184,Orçamentária!A:A,0),2)</f>
        <v>Bombeiro(a) Hidráulico(a) Plantonista (diurno)</v>
      </c>
      <c r="C7184" s="40"/>
      <c r="D7184" s="25" t="str">
        <f>TRIM(INDEX(Orçamentária!C:C,MATCH(Composições!A7184,Orçamentária!A:A,0),1))</f>
        <v>Profissional</v>
      </c>
      <c r="E7184" s="26"/>
      <c r="F7184" s="41" t="s">
        <v>514</v>
      </c>
      <c r="G7184" s="27" t="str">
        <f t="shared" si="217"/>
        <v/>
      </c>
      <c r="H7184" s="28"/>
      <c r="I7184" s="29"/>
      <c r="J7184" s="148">
        <v>0</v>
      </c>
      <c r="K7184" s="222">
        <v>0</v>
      </c>
    </row>
    <row r="7185" spans="1:11" hidden="1" x14ac:dyDescent="0.25">
      <c r="A7185" s="203"/>
      <c r="B7185" s="205"/>
      <c r="C7185" s="31"/>
      <c r="D7185" s="31"/>
      <c r="E7185" s="32"/>
      <c r="F7185" s="42" t="s">
        <v>514</v>
      </c>
      <c r="G7185" s="33" t="str">
        <f t="shared" si="217"/>
        <v/>
      </c>
      <c r="H7185" s="34"/>
      <c r="I7185" s="30"/>
      <c r="J7185" s="148">
        <v>0</v>
      </c>
      <c r="K7185" s="222">
        <v>0</v>
      </c>
    </row>
    <row r="7186" spans="1:11" ht="25.5" hidden="1" x14ac:dyDescent="0.25">
      <c r="A7186" s="203"/>
      <c r="B7186" s="205"/>
      <c r="C7186" s="35" t="s">
        <v>944</v>
      </c>
      <c r="D7186" s="46" t="s">
        <v>12</v>
      </c>
      <c r="E7186" s="36">
        <f>ROUND(220/(1+110.14%),4)</f>
        <v>104.6921</v>
      </c>
      <c r="F7186" s="30">
        <v>24.300999999999998</v>
      </c>
      <c r="G7186" s="33">
        <f t="shared" si="217"/>
        <v>2544.1227220999999</v>
      </c>
      <c r="H7186" s="38">
        <f>SUM(G7186:G7186)</f>
        <v>2544.1227220999999</v>
      </c>
      <c r="I7186" s="39"/>
      <c r="J7186" s="148">
        <v>0</v>
      </c>
      <c r="K7186" s="222">
        <v>0</v>
      </c>
    </row>
    <row r="7187" spans="1:11" hidden="1" x14ac:dyDescent="0.25">
      <c r="A7187" s="203"/>
      <c r="B7187" s="205"/>
      <c r="C7187" s="31"/>
      <c r="D7187" s="46"/>
      <c r="E7187" s="36"/>
      <c r="F7187" s="30" t="s">
        <v>514</v>
      </c>
      <c r="G7187" s="33" t="str">
        <f t="shared" si="217"/>
        <v/>
      </c>
      <c r="H7187" s="34"/>
      <c r="I7187" s="39"/>
      <c r="J7187" s="148">
        <v>0</v>
      </c>
      <c r="K7187" s="222">
        <v>0</v>
      </c>
    </row>
    <row r="7188" spans="1:11" ht="25.5" hidden="1" x14ac:dyDescent="0.25">
      <c r="A7188" s="203"/>
      <c r="B7188" s="205"/>
      <c r="C7188" s="47" t="s">
        <v>773</v>
      </c>
      <c r="D7188" s="46"/>
      <c r="E7188" s="36"/>
      <c r="F7188" s="30" t="s">
        <v>514</v>
      </c>
      <c r="G7188" s="33" t="str">
        <f t="shared" si="217"/>
        <v/>
      </c>
      <c r="H7188" s="34"/>
      <c r="I7188" s="39"/>
      <c r="J7188" s="148">
        <v>0</v>
      </c>
      <c r="K7188" s="222">
        <v>0</v>
      </c>
    </row>
    <row r="7189" spans="1:11" ht="15.75" hidden="1" thickBot="1" x14ac:dyDescent="0.3">
      <c r="A7189" s="209"/>
      <c r="B7189" s="206"/>
      <c r="C7189" s="54"/>
      <c r="D7189" s="35"/>
      <c r="E7189" s="36"/>
      <c r="F7189" s="30" t="s">
        <v>514</v>
      </c>
      <c r="G7189" s="33" t="str">
        <f t="shared" si="217"/>
        <v/>
      </c>
      <c r="H7189" s="34"/>
      <c r="I7189" s="30"/>
      <c r="J7189" s="148">
        <v>0</v>
      </c>
      <c r="K7189" s="222">
        <v>0</v>
      </c>
    </row>
    <row r="7190" spans="1:11" ht="15.75" hidden="1" thickBot="1" x14ac:dyDescent="0.3">
      <c r="A7190" s="202" t="s">
        <v>7463</v>
      </c>
      <c r="B7190" s="204" t="str">
        <f>INDEX(Orçamentária!A:B,MATCH(Composições!A7190,Orçamentária!A:A,0),2)</f>
        <v>Bombeiro(a) Hidráulico(a) Plantonista (noturno)</v>
      </c>
      <c r="C7190" s="40"/>
      <c r="D7190" s="25" t="str">
        <f>TRIM(INDEX(Orçamentária!C:C,MATCH(Composições!A7190,Orçamentária!A:A,0),1))</f>
        <v>Profissional</v>
      </c>
      <c r="E7190" s="26"/>
      <c r="F7190" s="41" t="s">
        <v>514</v>
      </c>
      <c r="G7190" s="27" t="str">
        <f t="shared" si="217"/>
        <v/>
      </c>
      <c r="H7190" s="28"/>
      <c r="I7190" s="29"/>
      <c r="J7190" s="148">
        <v>0</v>
      </c>
      <c r="K7190" s="222">
        <v>0</v>
      </c>
    </row>
    <row r="7191" spans="1:11" hidden="1" x14ac:dyDescent="0.25">
      <c r="A7191" s="203"/>
      <c r="B7191" s="205"/>
      <c r="C7191" s="31"/>
      <c r="D7191" s="31"/>
      <c r="E7191" s="32"/>
      <c r="F7191" s="42" t="s">
        <v>514</v>
      </c>
      <c r="G7191" s="33" t="str">
        <f t="shared" si="217"/>
        <v/>
      </c>
      <c r="H7191" s="34"/>
      <c r="I7191" s="30"/>
      <c r="J7191" s="148">
        <v>0</v>
      </c>
      <c r="K7191" s="222">
        <v>0</v>
      </c>
    </row>
    <row r="7192" spans="1:11" ht="25.5" hidden="1" x14ac:dyDescent="0.25">
      <c r="A7192" s="203"/>
      <c r="B7192" s="205"/>
      <c r="C7192" s="35" t="s">
        <v>944</v>
      </c>
      <c r="D7192" s="46" t="s">
        <v>12</v>
      </c>
      <c r="E7192" s="36">
        <f>ROUND(220/(1+110.14%),4)</f>
        <v>104.6921</v>
      </c>
      <c r="F7192" s="30">
        <v>24.300999999999998</v>
      </c>
      <c r="G7192" s="33">
        <f t="shared" si="217"/>
        <v>2544.1227220999999</v>
      </c>
      <c r="H7192" s="38">
        <f>SUM(G7192:G7192)</f>
        <v>2544.1227220999999</v>
      </c>
      <c r="I7192" s="39"/>
      <c r="J7192" s="148">
        <v>0</v>
      </c>
      <c r="K7192" s="222">
        <v>0</v>
      </c>
    </row>
    <row r="7193" spans="1:11" hidden="1" x14ac:dyDescent="0.25">
      <c r="A7193" s="203"/>
      <c r="B7193" s="205"/>
      <c r="C7193" s="31"/>
      <c r="D7193" s="46"/>
      <c r="E7193" s="36"/>
      <c r="F7193" s="30" t="s">
        <v>514</v>
      </c>
      <c r="G7193" s="33" t="str">
        <f t="shared" si="217"/>
        <v/>
      </c>
      <c r="H7193" s="34"/>
      <c r="I7193" s="39"/>
      <c r="J7193" s="148">
        <v>0</v>
      </c>
      <c r="K7193" s="222">
        <v>0</v>
      </c>
    </row>
    <row r="7194" spans="1:11" ht="25.5" hidden="1" x14ac:dyDescent="0.25">
      <c r="A7194" s="203"/>
      <c r="B7194" s="205"/>
      <c r="C7194" s="47" t="s">
        <v>773</v>
      </c>
      <c r="D7194" s="46"/>
      <c r="E7194" s="36"/>
      <c r="F7194" s="30" t="s">
        <v>514</v>
      </c>
      <c r="G7194" s="33" t="str">
        <f t="shared" si="217"/>
        <v/>
      </c>
      <c r="H7194" s="34"/>
      <c r="I7194" s="39"/>
      <c r="J7194" s="148">
        <v>0</v>
      </c>
      <c r="K7194" s="222">
        <v>0</v>
      </c>
    </row>
    <row r="7195" spans="1:11" ht="15.75" hidden="1" thickBot="1" x14ac:dyDescent="0.3">
      <c r="A7195" s="209"/>
      <c r="B7195" s="206"/>
      <c r="C7195" s="54"/>
      <c r="D7195" s="35"/>
      <c r="E7195" s="36"/>
      <c r="F7195" s="30" t="s">
        <v>514</v>
      </c>
      <c r="G7195" s="33" t="str">
        <f t="shared" si="217"/>
        <v/>
      </c>
      <c r="H7195" s="34"/>
      <c r="I7195" s="30"/>
      <c r="J7195" s="148">
        <v>0</v>
      </c>
      <c r="K7195" s="222">
        <v>0</v>
      </c>
    </row>
    <row r="7196" spans="1:11" ht="15.75" hidden="1" thickBot="1" x14ac:dyDescent="0.3">
      <c r="A7196" s="202" t="s">
        <v>7465</v>
      </c>
      <c r="B7196" s="204" t="str">
        <f>INDEX(Orçamentária!A:B,MATCH(Composições!A7196,Orçamentária!A:A,0),2)</f>
        <v>Ajudante de Manutenção Hidrossanitária</v>
      </c>
      <c r="C7196" s="40"/>
      <c r="D7196" s="25" t="str">
        <f>TRIM(INDEX(Orçamentária!C:C,MATCH(Composições!A7196,Orçamentária!A:A,0),1))</f>
        <v>Profissional</v>
      </c>
      <c r="E7196" s="26"/>
      <c r="F7196" s="41" t="s">
        <v>514</v>
      </c>
      <c r="G7196" s="27" t="str">
        <f t="shared" si="217"/>
        <v/>
      </c>
      <c r="H7196" s="28"/>
      <c r="I7196" s="29"/>
      <c r="J7196" s="148">
        <v>0</v>
      </c>
      <c r="K7196" s="222">
        <v>0</v>
      </c>
    </row>
    <row r="7197" spans="1:11" hidden="1" x14ac:dyDescent="0.25">
      <c r="A7197" s="203"/>
      <c r="B7197" s="205"/>
      <c r="C7197" s="31"/>
      <c r="D7197" s="31"/>
      <c r="E7197" s="32"/>
      <c r="F7197" s="42" t="s">
        <v>514</v>
      </c>
      <c r="G7197" s="33" t="str">
        <f t="shared" si="217"/>
        <v/>
      </c>
      <c r="H7197" s="34"/>
      <c r="I7197" s="30"/>
      <c r="J7197" s="148">
        <v>0</v>
      </c>
      <c r="K7197" s="222">
        <v>0</v>
      </c>
    </row>
    <row r="7198" spans="1:11" ht="25.5" hidden="1" x14ac:dyDescent="0.25">
      <c r="A7198" s="203"/>
      <c r="B7198" s="205"/>
      <c r="C7198" s="35" t="s">
        <v>943</v>
      </c>
      <c r="D7198" s="46" t="s">
        <v>12</v>
      </c>
      <c r="E7198" s="36">
        <f>ROUND(220/(1+110.14%),4)</f>
        <v>104.6921</v>
      </c>
      <c r="F7198" s="30">
        <v>19.094999999999999</v>
      </c>
      <c r="G7198" s="33">
        <f t="shared" si="217"/>
        <v>1999.0956494999998</v>
      </c>
      <c r="H7198" s="38">
        <f>SUM(G7198:G7198)</f>
        <v>1999.0956494999998</v>
      </c>
      <c r="I7198" s="39"/>
      <c r="J7198" s="148">
        <v>0</v>
      </c>
      <c r="K7198" s="222">
        <v>0</v>
      </c>
    </row>
    <row r="7199" spans="1:11" hidden="1" x14ac:dyDescent="0.25">
      <c r="A7199" s="203"/>
      <c r="B7199" s="205"/>
      <c r="C7199" s="31"/>
      <c r="D7199" s="46"/>
      <c r="E7199" s="36"/>
      <c r="F7199" s="30" t="s">
        <v>514</v>
      </c>
      <c r="G7199" s="33" t="str">
        <f t="shared" si="217"/>
        <v/>
      </c>
      <c r="H7199" s="34"/>
      <c r="I7199" s="39"/>
      <c r="J7199" s="148">
        <v>0</v>
      </c>
      <c r="K7199" s="222">
        <v>0</v>
      </c>
    </row>
    <row r="7200" spans="1:11" ht="25.5" hidden="1" x14ac:dyDescent="0.25">
      <c r="A7200" s="203"/>
      <c r="B7200" s="205"/>
      <c r="C7200" s="47" t="s">
        <v>773</v>
      </c>
      <c r="D7200" s="46"/>
      <c r="E7200" s="36"/>
      <c r="F7200" s="30" t="s">
        <v>514</v>
      </c>
      <c r="G7200" s="33" t="str">
        <f t="shared" si="217"/>
        <v/>
      </c>
      <c r="H7200" s="34"/>
      <c r="I7200" s="39"/>
      <c r="J7200" s="148">
        <v>0</v>
      </c>
      <c r="K7200" s="222">
        <v>0</v>
      </c>
    </row>
    <row r="7201" spans="1:11" ht="15.75" hidden="1" thickBot="1" x14ac:dyDescent="0.3">
      <c r="A7201" s="209"/>
      <c r="B7201" s="206"/>
      <c r="C7201" s="54"/>
      <c r="D7201" s="35"/>
      <c r="E7201" s="36"/>
      <c r="F7201" s="30" t="s">
        <v>514</v>
      </c>
      <c r="G7201" s="33" t="str">
        <f t="shared" si="217"/>
        <v/>
      </c>
      <c r="H7201" s="34"/>
      <c r="I7201" s="30"/>
      <c r="J7201" s="148">
        <v>0</v>
      </c>
      <c r="K7201" s="222">
        <v>0</v>
      </c>
    </row>
    <row r="7202" spans="1:11" ht="15.75" hidden="1" thickBot="1" x14ac:dyDescent="0.3">
      <c r="A7202" s="202" t="s">
        <v>7467</v>
      </c>
      <c r="B7202" s="204" t="str">
        <f>INDEX(Orçamentária!A:B,MATCH(Composições!A7202,Orçamentária!A:A,0),2)</f>
        <v>Ajudante de Bombeiro(a) Hidráulico(a) Plantonista (diurno)</v>
      </c>
      <c r="C7202" s="40"/>
      <c r="D7202" s="25" t="str">
        <f>TRIM(INDEX(Orçamentária!C:C,MATCH(Composições!A7202,Orçamentária!A:A,0),1))</f>
        <v>Profissional</v>
      </c>
      <c r="E7202" s="26"/>
      <c r="F7202" s="41" t="s">
        <v>514</v>
      </c>
      <c r="G7202" s="27" t="str">
        <f t="shared" si="217"/>
        <v/>
      </c>
      <c r="H7202" s="28"/>
      <c r="I7202" s="29"/>
      <c r="J7202" s="148">
        <v>0</v>
      </c>
      <c r="K7202" s="222">
        <v>0</v>
      </c>
    </row>
    <row r="7203" spans="1:11" hidden="1" x14ac:dyDescent="0.25">
      <c r="A7203" s="203"/>
      <c r="B7203" s="205"/>
      <c r="C7203" s="31"/>
      <c r="D7203" s="31"/>
      <c r="E7203" s="32"/>
      <c r="F7203" s="42" t="s">
        <v>514</v>
      </c>
      <c r="G7203" s="33" t="str">
        <f t="shared" si="217"/>
        <v/>
      </c>
      <c r="H7203" s="34"/>
      <c r="I7203" s="30"/>
      <c r="J7203" s="148">
        <v>0</v>
      </c>
      <c r="K7203" s="222">
        <v>0</v>
      </c>
    </row>
    <row r="7204" spans="1:11" ht="25.5" hidden="1" x14ac:dyDescent="0.25">
      <c r="A7204" s="203"/>
      <c r="B7204" s="205"/>
      <c r="C7204" s="35" t="s">
        <v>943</v>
      </c>
      <c r="D7204" s="46" t="s">
        <v>12</v>
      </c>
      <c r="E7204" s="36">
        <f>ROUND(220/(1+110.14%),4)</f>
        <v>104.6921</v>
      </c>
      <c r="F7204" s="30">
        <v>19.094999999999999</v>
      </c>
      <c r="G7204" s="33">
        <f t="shared" si="217"/>
        <v>1999.0956494999998</v>
      </c>
      <c r="H7204" s="38">
        <f>SUM(G7204:G7204)</f>
        <v>1999.0956494999998</v>
      </c>
      <c r="I7204" s="39"/>
      <c r="J7204" s="148">
        <v>0</v>
      </c>
      <c r="K7204" s="222">
        <v>0</v>
      </c>
    </row>
    <row r="7205" spans="1:11" hidden="1" x14ac:dyDescent="0.25">
      <c r="A7205" s="203"/>
      <c r="B7205" s="205"/>
      <c r="C7205" s="31"/>
      <c r="D7205" s="46"/>
      <c r="E7205" s="36"/>
      <c r="F7205" s="30" t="s">
        <v>514</v>
      </c>
      <c r="G7205" s="33" t="str">
        <f t="shared" si="217"/>
        <v/>
      </c>
      <c r="H7205" s="34"/>
      <c r="I7205" s="39"/>
      <c r="J7205" s="148">
        <v>0</v>
      </c>
      <c r="K7205" s="222">
        <v>0</v>
      </c>
    </row>
    <row r="7206" spans="1:11" ht="25.5" hidden="1" x14ac:dyDescent="0.25">
      <c r="A7206" s="203"/>
      <c r="B7206" s="205"/>
      <c r="C7206" s="47" t="s">
        <v>773</v>
      </c>
      <c r="D7206" s="46"/>
      <c r="E7206" s="36"/>
      <c r="F7206" s="30" t="s">
        <v>514</v>
      </c>
      <c r="G7206" s="33" t="str">
        <f t="shared" si="217"/>
        <v/>
      </c>
      <c r="H7206" s="34"/>
      <c r="I7206" s="39"/>
      <c r="J7206" s="148">
        <v>0</v>
      </c>
      <c r="K7206" s="222">
        <v>0</v>
      </c>
    </row>
    <row r="7207" spans="1:11" ht="15.75" hidden="1" thickBot="1" x14ac:dyDescent="0.3">
      <c r="A7207" s="209"/>
      <c r="B7207" s="206"/>
      <c r="C7207" s="54"/>
      <c r="D7207" s="35"/>
      <c r="E7207" s="36"/>
      <c r="F7207" s="30" t="s">
        <v>514</v>
      </c>
      <c r="G7207" s="33" t="str">
        <f t="shared" si="217"/>
        <v/>
      </c>
      <c r="H7207" s="34"/>
      <c r="I7207" s="30"/>
      <c r="J7207" s="148">
        <v>0</v>
      </c>
      <c r="K7207" s="222">
        <v>0</v>
      </c>
    </row>
    <row r="7208" spans="1:11" ht="15.75" hidden="1" thickBot="1" x14ac:dyDescent="0.3">
      <c r="A7208" s="202" t="s">
        <v>7469</v>
      </c>
      <c r="B7208" s="204" t="str">
        <f>INDEX(Orçamentária!A:B,MATCH(Composições!A7208,Orçamentária!A:A,0),2)</f>
        <v>Ajudante de Bombeiro(a) Hidráulico(a) Plantonista (noturno)</v>
      </c>
      <c r="C7208" s="40"/>
      <c r="D7208" s="25" t="str">
        <f>TRIM(INDEX(Orçamentária!C:C,MATCH(Composições!A7208,Orçamentária!A:A,0),1))</f>
        <v>Profissional</v>
      </c>
      <c r="E7208" s="26"/>
      <c r="F7208" s="41" t="s">
        <v>514</v>
      </c>
      <c r="G7208" s="27" t="str">
        <f t="shared" si="217"/>
        <v/>
      </c>
      <c r="H7208" s="28"/>
      <c r="I7208" s="29"/>
      <c r="J7208" s="148">
        <v>0</v>
      </c>
      <c r="K7208" s="222">
        <v>0</v>
      </c>
    </row>
    <row r="7209" spans="1:11" hidden="1" x14ac:dyDescent="0.25">
      <c r="A7209" s="203"/>
      <c r="B7209" s="205"/>
      <c r="C7209" s="31"/>
      <c r="D7209" s="31"/>
      <c r="E7209" s="32"/>
      <c r="F7209" s="42" t="s">
        <v>514</v>
      </c>
      <c r="G7209" s="33" t="str">
        <f t="shared" si="217"/>
        <v/>
      </c>
      <c r="H7209" s="34"/>
      <c r="I7209" s="30"/>
      <c r="J7209" s="148">
        <v>0</v>
      </c>
      <c r="K7209" s="222">
        <v>0</v>
      </c>
    </row>
    <row r="7210" spans="1:11" ht="25.5" hidden="1" x14ac:dyDescent="0.25">
      <c r="A7210" s="203"/>
      <c r="B7210" s="205"/>
      <c r="C7210" s="35" t="s">
        <v>943</v>
      </c>
      <c r="D7210" s="46" t="s">
        <v>12</v>
      </c>
      <c r="E7210" s="36">
        <f>ROUND(220/(1+110.14%),4)</f>
        <v>104.6921</v>
      </c>
      <c r="F7210" s="30">
        <v>19.094999999999999</v>
      </c>
      <c r="G7210" s="33">
        <f t="shared" si="217"/>
        <v>1999.0956494999998</v>
      </c>
      <c r="H7210" s="38">
        <f>SUM(G7210:G7210)</f>
        <v>1999.0956494999998</v>
      </c>
      <c r="I7210" s="39"/>
      <c r="J7210" s="148">
        <v>0</v>
      </c>
      <c r="K7210" s="222">
        <v>0</v>
      </c>
    </row>
    <row r="7211" spans="1:11" hidden="1" x14ac:dyDescent="0.25">
      <c r="A7211" s="203"/>
      <c r="B7211" s="205"/>
      <c r="C7211" s="31"/>
      <c r="D7211" s="46"/>
      <c r="E7211" s="36"/>
      <c r="F7211" s="30" t="s">
        <v>514</v>
      </c>
      <c r="G7211" s="33" t="str">
        <f t="shared" si="217"/>
        <v/>
      </c>
      <c r="H7211" s="34"/>
      <c r="I7211" s="39"/>
      <c r="J7211" s="148">
        <v>0</v>
      </c>
      <c r="K7211" s="222">
        <v>0</v>
      </c>
    </row>
    <row r="7212" spans="1:11" ht="25.5" hidden="1" x14ac:dyDescent="0.25">
      <c r="A7212" s="203"/>
      <c r="B7212" s="205"/>
      <c r="C7212" s="47" t="s">
        <v>773</v>
      </c>
      <c r="D7212" s="46"/>
      <c r="E7212" s="36"/>
      <c r="F7212" s="30" t="s">
        <v>514</v>
      </c>
      <c r="G7212" s="33" t="str">
        <f t="shared" si="217"/>
        <v/>
      </c>
      <c r="H7212" s="34"/>
      <c r="I7212" s="39"/>
      <c r="J7212" s="148">
        <v>0</v>
      </c>
      <c r="K7212" s="222">
        <v>0</v>
      </c>
    </row>
    <row r="7213" spans="1:11" ht="15.75" hidden="1" thickBot="1" x14ac:dyDescent="0.3">
      <c r="A7213" s="209"/>
      <c r="B7213" s="206"/>
      <c r="C7213" s="54"/>
      <c r="D7213" s="35"/>
      <c r="E7213" s="36"/>
      <c r="F7213" s="30" t="s">
        <v>514</v>
      </c>
      <c r="G7213" s="33" t="str">
        <f t="shared" si="217"/>
        <v/>
      </c>
      <c r="H7213" s="34"/>
      <c r="I7213" s="30"/>
      <c r="J7213" s="148">
        <v>0</v>
      </c>
      <c r="K7213" s="222">
        <v>0</v>
      </c>
    </row>
    <row r="7214" spans="1:11" ht="15.75" hidden="1" thickBot="1" x14ac:dyDescent="0.3">
      <c r="A7214" s="202" t="s">
        <v>7473</v>
      </c>
      <c r="B7214" s="204" t="str">
        <f>INDEX(Orçamentária!A:B,MATCH(Composições!A7214,Orçamentária!A:A,0),2)</f>
        <v>Mangueira de incêndio tipo 2 - engate 2 1/2” - lance 15m</v>
      </c>
      <c r="C7214" s="40"/>
      <c r="D7214" s="25" t="str">
        <f>TRIM(INDEX(Orçamentária!C:C,MATCH(Composições!A7214,Orçamentária!A:A,0),1))</f>
        <v>un</v>
      </c>
      <c r="E7214" s="26"/>
      <c r="F7214" s="41" t="s">
        <v>514</v>
      </c>
      <c r="G7214" s="27" t="str">
        <f t="shared" si="217"/>
        <v/>
      </c>
      <c r="H7214" s="28"/>
      <c r="I7214" s="29"/>
      <c r="J7214" s="148">
        <v>0</v>
      </c>
      <c r="K7214" s="222">
        <v>0</v>
      </c>
    </row>
    <row r="7215" spans="1:11" hidden="1" x14ac:dyDescent="0.25">
      <c r="A7215" s="203"/>
      <c r="B7215" s="205"/>
      <c r="C7215" s="31"/>
      <c r="D7215" s="31"/>
      <c r="E7215" s="32"/>
      <c r="F7215" s="42" t="s">
        <v>514</v>
      </c>
      <c r="G7215" s="30" t="str">
        <f t="shared" si="217"/>
        <v/>
      </c>
      <c r="H7215" s="34"/>
      <c r="I7215" s="30"/>
      <c r="J7215" s="148">
        <v>0</v>
      </c>
      <c r="K7215" s="222">
        <v>0</v>
      </c>
    </row>
    <row r="7216" spans="1:11" ht="38.25" hidden="1" x14ac:dyDescent="0.25">
      <c r="A7216" s="203"/>
      <c r="B7216" s="205"/>
      <c r="C7216" s="35" t="s">
        <v>7659</v>
      </c>
      <c r="D7216" s="46" t="s">
        <v>20</v>
      </c>
      <c r="E7216" s="36">
        <v>1</v>
      </c>
      <c r="F7216" s="30">
        <v>631.76900000000001</v>
      </c>
      <c r="G7216" s="30">
        <f t="shared" si="217"/>
        <v>631.76900000000001</v>
      </c>
      <c r="H7216" s="38">
        <f t="shared" si="216"/>
        <v>631.76900000000001</v>
      </c>
      <c r="I7216" s="39"/>
      <c r="J7216" s="148">
        <v>0</v>
      </c>
      <c r="K7216" s="222">
        <v>0</v>
      </c>
    </row>
    <row r="7217" spans="1:11" ht="15.75" hidden="1" thickBot="1" x14ac:dyDescent="0.3">
      <c r="A7217" s="209"/>
      <c r="B7217" s="206"/>
      <c r="C7217" s="54"/>
      <c r="D7217" s="54"/>
      <c r="E7217" s="65"/>
      <c r="F7217" s="66" t="s">
        <v>514</v>
      </c>
      <c r="G7217" s="66" t="str">
        <f t="shared" si="217"/>
        <v/>
      </c>
      <c r="H7217" s="68"/>
      <c r="I7217" s="30"/>
      <c r="J7217" s="148">
        <v>0</v>
      </c>
      <c r="K7217" s="222">
        <v>0</v>
      </c>
    </row>
    <row r="7218" spans="1:11" ht="15.75" hidden="1" thickBot="1" x14ac:dyDescent="0.3">
      <c r="A7218" s="202" t="s">
        <v>7475</v>
      </c>
      <c r="B7218" s="204" t="str">
        <f>INDEX(Orçamentária!A:B,MATCH(Composições!A7218,Orçamentária!A:A,0),2)</f>
        <v>Manômetro DN100 (4”) até 150psi - para aferição (NBR 14105-1 classe A1)</v>
      </c>
      <c r="C7218" s="40"/>
      <c r="D7218" s="25" t="str">
        <f>TRIM(INDEX(Orçamentária!C:C,MATCH(Composições!A7218,Orçamentária!A:A,0),1))</f>
        <v>un</v>
      </c>
      <c r="E7218" s="26"/>
      <c r="F7218" s="41" t="s">
        <v>514</v>
      </c>
      <c r="G7218" s="27" t="str">
        <f t="shared" ref="G7218:G7281" si="218">IF(ISNUMBER(F7218),E7218*F7218,"")</f>
        <v/>
      </c>
      <c r="H7218" s="28"/>
      <c r="I7218" s="29"/>
      <c r="J7218" s="148">
        <v>0</v>
      </c>
      <c r="K7218" s="222">
        <v>0</v>
      </c>
    </row>
    <row r="7219" spans="1:11" hidden="1" x14ac:dyDescent="0.25">
      <c r="A7219" s="203"/>
      <c r="B7219" s="205"/>
      <c r="C7219" s="31"/>
      <c r="D7219" s="31"/>
      <c r="E7219" s="32"/>
      <c r="F7219" s="42" t="s">
        <v>514</v>
      </c>
      <c r="G7219" s="30" t="str">
        <f t="shared" si="218"/>
        <v/>
      </c>
      <c r="H7219" s="34"/>
      <c r="I7219" s="30"/>
      <c r="J7219" s="148">
        <v>0</v>
      </c>
      <c r="K7219" s="222">
        <v>0</v>
      </c>
    </row>
    <row r="7220" spans="1:11" ht="25.5" hidden="1" x14ac:dyDescent="0.25">
      <c r="A7220" s="203"/>
      <c r="B7220" s="205"/>
      <c r="C7220" s="35" t="s">
        <v>7661</v>
      </c>
      <c r="D7220" s="46" t="s">
        <v>20</v>
      </c>
      <c r="E7220" s="36">
        <v>1</v>
      </c>
      <c r="F7220" s="30">
        <v>161.44299999999998</v>
      </c>
      <c r="G7220" s="30">
        <f t="shared" si="218"/>
        <v>161.44299999999998</v>
      </c>
      <c r="H7220" s="38">
        <f t="shared" si="216"/>
        <v>161.44299999999998</v>
      </c>
      <c r="I7220" s="39"/>
      <c r="J7220" s="148">
        <v>0</v>
      </c>
      <c r="K7220" s="222">
        <v>0</v>
      </c>
    </row>
    <row r="7221" spans="1:11" ht="15.75" hidden="1" thickBot="1" x14ac:dyDescent="0.3">
      <c r="A7221" s="209"/>
      <c r="B7221" s="206"/>
      <c r="C7221" s="54"/>
      <c r="D7221" s="54"/>
      <c r="E7221" s="65"/>
      <c r="F7221" s="66" t="s">
        <v>514</v>
      </c>
      <c r="G7221" s="66" t="str">
        <f t="shared" si="218"/>
        <v/>
      </c>
      <c r="H7221" s="68"/>
      <c r="I7221" s="30"/>
      <c r="J7221" s="148">
        <v>0</v>
      </c>
      <c r="K7221" s="222">
        <v>0</v>
      </c>
    </row>
    <row r="7222" spans="1:11" ht="15.75" hidden="1" thickBot="1" x14ac:dyDescent="0.3">
      <c r="A7222" s="202" t="s">
        <v>7505</v>
      </c>
      <c r="B7222" s="204" t="str">
        <f>INDEX(Orçamentária!A:B,MATCH(Composições!A7222,Orçamentária!A:A,0),2)</f>
        <v>Bucha de redução em ferro galvanizado 3” X 2 1/2”</v>
      </c>
      <c r="C7222" s="40"/>
      <c r="D7222" s="25" t="str">
        <f>TRIM(INDEX(Orçamentária!C:C,MATCH(Composições!A7222,Orçamentária!A:A,0),1))</f>
        <v>un</v>
      </c>
      <c r="E7222" s="26"/>
      <c r="F7222" s="41" t="s">
        <v>514</v>
      </c>
      <c r="G7222" s="27" t="str">
        <f t="shared" si="218"/>
        <v/>
      </c>
      <c r="H7222" s="28"/>
      <c r="I7222" s="29"/>
      <c r="J7222" s="148">
        <v>0</v>
      </c>
      <c r="K7222" s="222">
        <v>0</v>
      </c>
    </row>
    <row r="7223" spans="1:11" hidden="1" x14ac:dyDescent="0.25">
      <c r="A7223" s="203"/>
      <c r="B7223" s="205"/>
      <c r="C7223" s="31"/>
      <c r="D7223" s="31"/>
      <c r="E7223" s="32"/>
      <c r="F7223" s="42" t="s">
        <v>514</v>
      </c>
      <c r="G7223" s="30" t="str">
        <f t="shared" si="218"/>
        <v/>
      </c>
      <c r="H7223" s="34"/>
      <c r="I7223" s="30"/>
      <c r="J7223" s="148">
        <v>0</v>
      </c>
      <c r="K7223" s="222">
        <v>0</v>
      </c>
    </row>
    <row r="7224" spans="1:11" ht="25.5" hidden="1" x14ac:dyDescent="0.25">
      <c r="A7224" s="203"/>
      <c r="B7224" s="205"/>
      <c r="C7224" s="35" t="s">
        <v>7617</v>
      </c>
      <c r="D7224" s="46" t="s">
        <v>20</v>
      </c>
      <c r="E7224" s="36">
        <v>1</v>
      </c>
      <c r="F7224" s="30">
        <v>64.115499999999997</v>
      </c>
      <c r="G7224" s="30">
        <f t="shared" si="218"/>
        <v>64.115499999999997</v>
      </c>
      <c r="H7224" s="38">
        <f t="shared" si="216"/>
        <v>64.115499999999997</v>
      </c>
      <c r="I7224" s="39"/>
      <c r="J7224" s="148">
        <v>0</v>
      </c>
      <c r="K7224" s="222">
        <v>0</v>
      </c>
    </row>
    <row r="7225" spans="1:11" ht="15.75" hidden="1" thickBot="1" x14ac:dyDescent="0.3">
      <c r="A7225" s="209"/>
      <c r="B7225" s="206"/>
      <c r="C7225" s="54"/>
      <c r="D7225" s="54"/>
      <c r="E7225" s="65"/>
      <c r="F7225" s="66" t="s">
        <v>514</v>
      </c>
      <c r="G7225" s="66" t="str">
        <f t="shared" si="218"/>
        <v/>
      </c>
      <c r="H7225" s="68"/>
      <c r="I7225" s="30"/>
      <c r="J7225" s="148">
        <v>0</v>
      </c>
      <c r="K7225" s="222">
        <v>0</v>
      </c>
    </row>
    <row r="7226" spans="1:11" ht="15.75" hidden="1" thickBot="1" x14ac:dyDescent="0.3">
      <c r="A7226" s="202" t="s">
        <v>7507</v>
      </c>
      <c r="B7226" s="204" t="str">
        <f>INDEX(Orçamentária!A:B,MATCH(Composições!A7226,Orçamentária!A:A,0),2)</f>
        <v>Tubo de aço-carbono galvanizado 1 1/2” – Água Potável e Combate a Incêndio</v>
      </c>
      <c r="C7226" s="40"/>
      <c r="D7226" s="25" t="str">
        <f>TRIM(INDEX(Orçamentária!C:C,MATCH(Composições!A7226,Orçamentária!A:A,0),1))</f>
        <v>m</v>
      </c>
      <c r="E7226" s="26"/>
      <c r="F7226" s="41" t="s">
        <v>514</v>
      </c>
      <c r="G7226" s="27" t="str">
        <f t="shared" si="218"/>
        <v/>
      </c>
      <c r="H7226" s="28"/>
      <c r="I7226" s="29"/>
      <c r="J7226" s="148">
        <v>0</v>
      </c>
      <c r="K7226" s="222">
        <v>0</v>
      </c>
    </row>
    <row r="7227" spans="1:11" hidden="1" x14ac:dyDescent="0.25">
      <c r="A7227" s="203"/>
      <c r="B7227" s="205"/>
      <c r="C7227" s="31"/>
      <c r="D7227" s="31"/>
      <c r="E7227" s="32"/>
      <c r="F7227" s="42" t="s">
        <v>514</v>
      </c>
      <c r="G7227" s="30" t="str">
        <f t="shared" si="218"/>
        <v/>
      </c>
      <c r="H7227" s="34"/>
      <c r="I7227" s="30"/>
      <c r="J7227" s="148">
        <v>0</v>
      </c>
      <c r="K7227" s="222">
        <v>0</v>
      </c>
    </row>
    <row r="7228" spans="1:11" ht="25.5" hidden="1" x14ac:dyDescent="0.25">
      <c r="A7228" s="203"/>
      <c r="B7228" s="205"/>
      <c r="C7228" s="35" t="s">
        <v>7787</v>
      </c>
      <c r="D7228" s="46" t="s">
        <v>92</v>
      </c>
      <c r="E7228" s="36">
        <v>1</v>
      </c>
      <c r="F7228" s="30">
        <v>59.945</v>
      </c>
      <c r="G7228" s="30">
        <f t="shared" si="218"/>
        <v>59.945</v>
      </c>
      <c r="H7228" s="38">
        <f t="shared" ref="H7228" si="219">SUM(G7228:G7228)</f>
        <v>59.945</v>
      </c>
      <c r="I7228" s="39"/>
      <c r="J7228" s="148">
        <v>0</v>
      </c>
      <c r="K7228" s="222">
        <v>0</v>
      </c>
    </row>
    <row r="7229" spans="1:11" ht="15.75" hidden="1" thickBot="1" x14ac:dyDescent="0.3">
      <c r="A7229" s="209"/>
      <c r="B7229" s="206"/>
      <c r="C7229" s="54"/>
      <c r="D7229" s="54"/>
      <c r="E7229" s="65"/>
      <c r="F7229" s="66" t="s">
        <v>514</v>
      </c>
      <c r="G7229" s="66" t="str">
        <f t="shared" si="218"/>
        <v/>
      </c>
      <c r="H7229" s="68"/>
      <c r="I7229" s="30"/>
      <c r="J7229" s="148">
        <v>0</v>
      </c>
      <c r="K7229" s="222">
        <v>0</v>
      </c>
    </row>
    <row r="7230" spans="1:11" ht="15.75" hidden="1" thickBot="1" x14ac:dyDescent="0.3">
      <c r="A7230" s="202" t="s">
        <v>7525</v>
      </c>
      <c r="B7230" s="204" t="str">
        <f>INDEX(Orçamentária!A:B,MATCH(Composições!A7230,Orçamentária!A:A,0),2)</f>
        <v>Grelha para retorno quadrada 225x225 mm</v>
      </c>
      <c r="C7230" s="40"/>
      <c r="D7230" s="25" t="str">
        <f>TRIM(INDEX(Orçamentária!C:C,MATCH(Composições!A7230,Orçamentária!A:A,0),1))</f>
        <v>un</v>
      </c>
      <c r="E7230" s="26"/>
      <c r="F7230" s="41" t="s">
        <v>514</v>
      </c>
      <c r="G7230" s="27" t="str">
        <f t="shared" si="218"/>
        <v/>
      </c>
      <c r="H7230" s="28"/>
      <c r="I7230" s="29"/>
      <c r="J7230" s="148">
        <v>0</v>
      </c>
      <c r="K7230" s="222">
        <v>0</v>
      </c>
    </row>
    <row r="7231" spans="1:11" hidden="1" x14ac:dyDescent="0.25">
      <c r="A7231" s="203"/>
      <c r="B7231" s="205"/>
      <c r="C7231" s="31"/>
      <c r="D7231" s="31"/>
      <c r="E7231" s="32"/>
      <c r="F7231" s="42" t="s">
        <v>514</v>
      </c>
      <c r="G7231" s="30" t="str">
        <f t="shared" si="218"/>
        <v/>
      </c>
      <c r="H7231" s="34"/>
      <c r="I7231" s="30"/>
      <c r="J7231" s="148">
        <v>0</v>
      </c>
      <c r="K7231" s="222">
        <v>0</v>
      </c>
    </row>
    <row r="7232" spans="1:11" hidden="1" x14ac:dyDescent="0.25">
      <c r="A7232" s="203"/>
      <c r="B7232" s="205"/>
      <c r="C7232" s="35" t="s">
        <v>52</v>
      </c>
      <c r="D7232" s="46" t="s">
        <v>12</v>
      </c>
      <c r="E7232" s="36">
        <v>3.5</v>
      </c>
      <c r="F7232" s="30">
        <v>21.184999999999999</v>
      </c>
      <c r="G7232" s="33">
        <f t="shared" si="218"/>
        <v>74.147499999999994</v>
      </c>
      <c r="H7232" s="38">
        <f>SUM(G7232:G7234)</f>
        <v>166.61574999999999</v>
      </c>
      <c r="I7232" s="39"/>
      <c r="J7232" s="148">
        <v>0</v>
      </c>
      <c r="K7232" s="222">
        <v>0</v>
      </c>
    </row>
    <row r="7233" spans="1:11" ht="25.5" hidden="1" x14ac:dyDescent="0.25">
      <c r="A7233" s="203"/>
      <c r="B7233" s="205"/>
      <c r="C7233" s="35" t="s">
        <v>561</v>
      </c>
      <c r="D7233" s="46" t="s">
        <v>12</v>
      </c>
      <c r="E7233" s="36">
        <v>3.5</v>
      </c>
      <c r="F7233" s="30">
        <v>26.419499999999999</v>
      </c>
      <c r="G7233" s="33">
        <f t="shared" si="218"/>
        <v>92.468249999999998</v>
      </c>
      <c r="H7233" s="34"/>
      <c r="I7233" s="30"/>
      <c r="J7233" s="148">
        <v>0</v>
      </c>
      <c r="K7233" s="222">
        <v>0</v>
      </c>
    </row>
    <row r="7234" spans="1:11" hidden="1" x14ac:dyDescent="0.25">
      <c r="A7234" s="203"/>
      <c r="B7234" s="205"/>
      <c r="C7234" s="35" t="s">
        <v>7808</v>
      </c>
      <c r="D7234" s="35" t="s">
        <v>143</v>
      </c>
      <c r="E7234" s="36">
        <v>1</v>
      </c>
      <c r="F7234" s="33" t="s">
        <v>514</v>
      </c>
      <c r="G7234" s="33" t="str">
        <f t="shared" si="218"/>
        <v/>
      </c>
      <c r="H7234" s="34"/>
      <c r="I7234" s="30"/>
      <c r="J7234" s="148">
        <v>0</v>
      </c>
      <c r="K7234" s="222">
        <v>0</v>
      </c>
    </row>
    <row r="7235" spans="1:11" ht="15.75" hidden="1" thickBot="1" x14ac:dyDescent="0.3">
      <c r="A7235" s="209"/>
      <c r="B7235" s="206"/>
      <c r="C7235" s="35"/>
      <c r="D7235" s="35"/>
      <c r="E7235" s="36"/>
      <c r="F7235" s="30" t="s">
        <v>514</v>
      </c>
      <c r="G7235" s="30" t="str">
        <f t="shared" si="218"/>
        <v/>
      </c>
      <c r="H7235" s="34"/>
      <c r="I7235" s="30"/>
      <c r="J7235" s="148">
        <v>0</v>
      </c>
      <c r="K7235" s="222">
        <v>0</v>
      </c>
    </row>
    <row r="7236" spans="1:11" ht="15.75" hidden="1" thickBot="1" x14ac:dyDescent="0.3">
      <c r="A7236" s="202" t="s">
        <v>7529</v>
      </c>
      <c r="B7236" s="204" t="str">
        <f>INDEX(Orçamentária!A:B,MATCH(Composições!A7236,Orçamentária!A:A,0),2)</f>
        <v>Instalação de quadros elétricos ou de telecomunicações</v>
      </c>
      <c r="C7236" s="40"/>
      <c r="D7236" s="25" t="str">
        <f>TRIM(INDEX(Orçamentária!C:C,MATCH(Composições!A7236,Orçamentária!A:A,0),1))</f>
        <v>un</v>
      </c>
      <c r="E7236" s="26"/>
      <c r="F7236" s="48" t="s">
        <v>514</v>
      </c>
      <c r="G7236" s="27" t="str">
        <f t="shared" si="218"/>
        <v/>
      </c>
      <c r="H7236" s="28"/>
      <c r="I7236" s="29"/>
      <c r="J7236" s="148">
        <v>0</v>
      </c>
      <c r="K7236" s="222">
        <v>0</v>
      </c>
    </row>
    <row r="7237" spans="1:11" hidden="1" x14ac:dyDescent="0.25">
      <c r="A7237" s="207"/>
      <c r="B7237" s="205"/>
      <c r="C7237" s="31"/>
      <c r="D7237" s="31"/>
      <c r="E7237" s="32"/>
      <c r="F7237" s="53" t="s">
        <v>514</v>
      </c>
      <c r="G7237" s="53" t="str">
        <f t="shared" si="218"/>
        <v/>
      </c>
      <c r="H7237" s="72"/>
      <c r="I7237" s="73"/>
      <c r="J7237" s="148">
        <v>0</v>
      </c>
      <c r="K7237" s="222">
        <v>0</v>
      </c>
    </row>
    <row r="7238" spans="1:11" ht="38.25" hidden="1" x14ac:dyDescent="0.25">
      <c r="A7238" s="207"/>
      <c r="B7238" s="205"/>
      <c r="C7238" s="35" t="s">
        <v>3211</v>
      </c>
      <c r="D7238" s="46" t="s">
        <v>119</v>
      </c>
      <c r="E7238" s="36">
        <v>1.9199999999999998E-2</v>
      </c>
      <c r="F7238" s="30">
        <v>789.17314089199988</v>
      </c>
      <c r="G7238" s="53">
        <f t="shared" si="218"/>
        <v>15.152124305126396</v>
      </c>
      <c r="H7238" s="38">
        <f>SUM(G7238:G7240)</f>
        <v>43.386627805126395</v>
      </c>
      <c r="I7238" s="39"/>
      <c r="J7238" s="148">
        <v>0</v>
      </c>
      <c r="K7238" s="222">
        <v>0</v>
      </c>
    </row>
    <row r="7239" spans="1:11" hidden="1" x14ac:dyDescent="0.25">
      <c r="A7239" s="207"/>
      <c r="B7239" s="205"/>
      <c r="C7239" s="35" t="s">
        <v>74</v>
      </c>
      <c r="D7239" s="46" t="s">
        <v>12</v>
      </c>
      <c r="E7239" s="36">
        <v>0.63370000000000004</v>
      </c>
      <c r="F7239" s="30">
        <v>19.4085</v>
      </c>
      <c r="G7239" s="53">
        <f t="shared" si="218"/>
        <v>12.299166450000001</v>
      </c>
      <c r="H7239" s="43"/>
      <c r="I7239" s="39"/>
      <c r="J7239" s="148">
        <v>0</v>
      </c>
      <c r="K7239" s="222">
        <v>0</v>
      </c>
    </row>
    <row r="7240" spans="1:11" hidden="1" x14ac:dyDescent="0.25">
      <c r="A7240" s="207"/>
      <c r="B7240" s="205"/>
      <c r="C7240" s="35" t="s">
        <v>30</v>
      </c>
      <c r="D7240" s="46" t="s">
        <v>12</v>
      </c>
      <c r="E7240" s="36">
        <v>0.63370000000000004</v>
      </c>
      <c r="F7240" s="30">
        <v>25.146499999999996</v>
      </c>
      <c r="G7240" s="53">
        <f t="shared" si="218"/>
        <v>15.935337049999999</v>
      </c>
      <c r="H7240" s="43"/>
      <c r="I7240" s="39"/>
      <c r="J7240" s="148">
        <v>0</v>
      </c>
      <c r="K7240" s="222">
        <v>0</v>
      </c>
    </row>
    <row r="7241" spans="1:11" ht="15.75" hidden="1" thickBot="1" x14ac:dyDescent="0.3">
      <c r="A7241" s="208"/>
      <c r="B7241" s="206"/>
      <c r="C7241" s="35"/>
      <c r="D7241" s="35"/>
      <c r="E7241" s="36"/>
      <c r="F7241" s="30" t="s">
        <v>514</v>
      </c>
      <c r="G7241" s="53"/>
      <c r="H7241" s="43"/>
      <c r="I7241" s="39"/>
      <c r="J7241" s="148">
        <v>0</v>
      </c>
      <c r="K7241" s="222">
        <v>0</v>
      </c>
    </row>
    <row r="7242" spans="1:11" ht="15.75" hidden="1" thickBot="1" x14ac:dyDescent="0.3">
      <c r="A7242" s="202" t="s">
        <v>7530</v>
      </c>
      <c r="B7242" s="204" t="str">
        <f>INDEX(Orçamentária!A:B,MATCH(Composições!A7242,Orçamentária!A:A,0),2)</f>
        <v>Condulete de alumínio de 3"</v>
      </c>
      <c r="C7242" s="40"/>
      <c r="D7242" s="25" t="str">
        <f>TRIM(INDEX(Orçamentária!C:C,MATCH(Composições!A7242,Orçamentária!A:A,0),1))</f>
        <v>un</v>
      </c>
      <c r="E7242" s="26"/>
      <c r="F7242" s="48" t="s">
        <v>514</v>
      </c>
      <c r="G7242" s="27" t="str">
        <f t="shared" ref="G7242:G7305" si="220">IF(ISNUMBER(F7242),E7242*F7242,"")</f>
        <v/>
      </c>
      <c r="H7242" s="28"/>
      <c r="I7242" s="29"/>
      <c r="J7242" s="148">
        <v>0</v>
      </c>
      <c r="K7242" s="222">
        <v>0</v>
      </c>
    </row>
    <row r="7243" spans="1:11" hidden="1" x14ac:dyDescent="0.25">
      <c r="A7243" s="207"/>
      <c r="B7243" s="205"/>
      <c r="C7243" s="31"/>
      <c r="D7243" s="31"/>
      <c r="E7243" s="32"/>
      <c r="F7243" s="53" t="s">
        <v>514</v>
      </c>
      <c r="G7243" s="53" t="str">
        <f t="shared" si="220"/>
        <v/>
      </c>
      <c r="H7243" s="72"/>
      <c r="I7243" s="73"/>
      <c r="J7243" s="148">
        <v>0</v>
      </c>
      <c r="K7243" s="222">
        <v>0</v>
      </c>
    </row>
    <row r="7244" spans="1:11" ht="25.5" hidden="1" x14ac:dyDescent="0.25">
      <c r="A7244" s="207"/>
      <c r="B7244" s="205"/>
      <c r="C7244" s="35" t="s">
        <v>3256</v>
      </c>
      <c r="D7244" s="35" t="s">
        <v>20</v>
      </c>
      <c r="E7244" s="36">
        <v>1</v>
      </c>
      <c r="F7244" s="30">
        <v>119.26300000000001</v>
      </c>
      <c r="G7244" s="53">
        <f t="shared" si="220"/>
        <v>119.26300000000001</v>
      </c>
      <c r="H7244" s="38">
        <f>SUM(G7244:G7247)</f>
        <v>142.85861550000001</v>
      </c>
      <c r="I7244" s="39"/>
      <c r="J7244" s="148">
        <v>0</v>
      </c>
      <c r="K7244" s="222">
        <v>0</v>
      </c>
    </row>
    <row r="7245" spans="1:11" ht="38.25" hidden="1" x14ac:dyDescent="0.25">
      <c r="A7245" s="207"/>
      <c r="B7245" s="205"/>
      <c r="C7245" s="35" t="s">
        <v>3233</v>
      </c>
      <c r="D7245" s="35" t="s">
        <v>20</v>
      </c>
      <c r="E7245" s="36">
        <v>2</v>
      </c>
      <c r="F7245" s="33">
        <v>0.38949999999999996</v>
      </c>
      <c r="G7245" s="33">
        <f t="shared" si="220"/>
        <v>0.77899999999999991</v>
      </c>
      <c r="H7245" s="34"/>
      <c r="I7245" s="30"/>
      <c r="J7245" s="148">
        <v>0</v>
      </c>
      <c r="K7245" s="222">
        <v>0</v>
      </c>
    </row>
    <row r="7246" spans="1:11" hidden="1" x14ac:dyDescent="0.25">
      <c r="A7246" s="207"/>
      <c r="B7246" s="205"/>
      <c r="C7246" s="35" t="s">
        <v>1150</v>
      </c>
      <c r="D7246" s="35" t="s">
        <v>695</v>
      </c>
      <c r="E7246" s="36">
        <v>0.5121</v>
      </c>
      <c r="F7246" s="30">
        <v>19.4085</v>
      </c>
      <c r="G7246" s="53">
        <f t="shared" si="220"/>
        <v>9.9390928499999998</v>
      </c>
      <c r="H7246" s="43"/>
      <c r="I7246" s="39"/>
      <c r="J7246" s="148">
        <v>0</v>
      </c>
      <c r="K7246" s="222">
        <v>0</v>
      </c>
    </row>
    <row r="7247" spans="1:11" hidden="1" x14ac:dyDescent="0.25">
      <c r="A7247" s="207"/>
      <c r="B7247" s="205"/>
      <c r="C7247" s="35" t="s">
        <v>1151</v>
      </c>
      <c r="D7247" s="35" t="s">
        <v>695</v>
      </c>
      <c r="E7247" s="36">
        <v>0.5121</v>
      </c>
      <c r="F7247" s="30">
        <v>25.146499999999996</v>
      </c>
      <c r="G7247" s="53">
        <f t="shared" si="220"/>
        <v>12.877522649999998</v>
      </c>
      <c r="H7247" s="43"/>
      <c r="I7247" s="39"/>
      <c r="J7247" s="148">
        <v>0</v>
      </c>
      <c r="K7247" s="222">
        <v>0</v>
      </c>
    </row>
    <row r="7248" spans="1:11" ht="15.75" hidden="1" thickBot="1" x14ac:dyDescent="0.3">
      <c r="A7248" s="208"/>
      <c r="B7248" s="206"/>
      <c r="C7248" s="54"/>
      <c r="D7248" s="150"/>
      <c r="E7248" s="65"/>
      <c r="F7248" s="75" t="s">
        <v>514</v>
      </c>
      <c r="G7248" s="75" t="str">
        <f t="shared" si="220"/>
        <v/>
      </c>
      <c r="H7248" s="76"/>
      <c r="I7248" s="73"/>
      <c r="J7248" s="148">
        <v>0</v>
      </c>
      <c r="K7248" s="222">
        <v>0</v>
      </c>
    </row>
    <row r="7249" spans="1:11" ht="15.75" hidden="1" thickBot="1" x14ac:dyDescent="0.3">
      <c r="A7249" s="202" t="s">
        <v>7557</v>
      </c>
      <c r="B7249" s="204" t="str">
        <f>INDEX(Orçamentária!A:B,MATCH(Composições!A7249,Orçamentária!A:A,0),2)</f>
        <v>Fluido de arrefecimento diluído para motor MTU 16V4000</v>
      </c>
      <c r="C7249" s="40"/>
      <c r="D7249" s="25" t="str">
        <f>TRIM(INDEX(Orçamentária!C:C,MATCH(Composições!A7249,Orçamentária!A:A,0),1))</f>
        <v>litro</v>
      </c>
      <c r="E7249" s="26"/>
      <c r="F7249" s="41" t="s">
        <v>514</v>
      </c>
      <c r="G7249" s="27" t="str">
        <f t="shared" si="220"/>
        <v/>
      </c>
      <c r="H7249" s="28"/>
      <c r="I7249" s="29"/>
      <c r="J7249" s="148">
        <v>0</v>
      </c>
      <c r="K7249" s="222">
        <v>0</v>
      </c>
    </row>
    <row r="7250" spans="1:11" hidden="1" x14ac:dyDescent="0.25">
      <c r="A7250" s="203"/>
      <c r="B7250" s="205"/>
      <c r="C7250" s="31"/>
      <c r="D7250" s="31"/>
      <c r="E7250" s="32"/>
      <c r="F7250" s="42" t="s">
        <v>514</v>
      </c>
      <c r="G7250" s="30" t="str">
        <f t="shared" si="220"/>
        <v/>
      </c>
      <c r="H7250" s="34"/>
      <c r="I7250" s="30"/>
      <c r="J7250" s="148">
        <v>0</v>
      </c>
      <c r="K7250" s="222">
        <v>0</v>
      </c>
    </row>
    <row r="7251" spans="1:11" hidden="1" x14ac:dyDescent="0.25">
      <c r="A7251" s="203"/>
      <c r="B7251" s="205"/>
      <c r="C7251" s="35" t="s">
        <v>7993</v>
      </c>
      <c r="D7251" s="35" t="s">
        <v>101</v>
      </c>
      <c r="E7251" s="36">
        <v>0.91</v>
      </c>
      <c r="F7251" s="30" t="s">
        <v>514</v>
      </c>
      <c r="G7251" s="30" t="str">
        <f t="shared" si="220"/>
        <v/>
      </c>
      <c r="H7251" s="38">
        <f>SUM(G7251:G7252)</f>
        <v>0</v>
      </c>
      <c r="I7251" s="39"/>
      <c r="J7251" s="148">
        <v>0</v>
      </c>
      <c r="K7251" s="222">
        <v>0</v>
      </c>
    </row>
    <row r="7252" spans="1:11" hidden="1" x14ac:dyDescent="0.25">
      <c r="A7252" s="203"/>
      <c r="B7252" s="205"/>
      <c r="C7252" s="35" t="s">
        <v>7835</v>
      </c>
      <c r="D7252" s="35" t="s">
        <v>101</v>
      </c>
      <c r="E7252" s="36">
        <v>0.09</v>
      </c>
      <c r="F7252" s="30" t="s">
        <v>514</v>
      </c>
      <c r="G7252" s="30" t="str">
        <f t="shared" si="220"/>
        <v/>
      </c>
      <c r="H7252" s="34"/>
      <c r="I7252" s="39"/>
      <c r="J7252" s="148">
        <v>0</v>
      </c>
      <c r="K7252" s="222">
        <v>0</v>
      </c>
    </row>
    <row r="7253" spans="1:11" ht="15.75" hidden="1" thickBot="1" x14ac:dyDescent="0.3">
      <c r="A7253" s="209"/>
      <c r="B7253" s="206"/>
      <c r="C7253" s="35"/>
      <c r="D7253" s="54"/>
      <c r="E7253" s="65"/>
      <c r="F7253" s="66" t="s">
        <v>514</v>
      </c>
      <c r="G7253" s="66" t="str">
        <f t="shared" si="220"/>
        <v/>
      </c>
      <c r="H7253" s="68"/>
      <c r="I7253" s="30"/>
      <c r="J7253" s="148">
        <v>0</v>
      </c>
      <c r="K7253" s="222">
        <v>0</v>
      </c>
    </row>
    <row r="7254" spans="1:11" ht="15.75" hidden="1" thickBot="1" x14ac:dyDescent="0.3">
      <c r="A7254" s="202" t="s">
        <v>7565</v>
      </c>
      <c r="B7254" s="204" t="str">
        <f>INDEX(Orçamentária!A:B,MATCH(Composições!A7254,Orçamentária!A:A,0),2)</f>
        <v>Fluido de arrefecimento diluído para motor Cummins NTA 855</v>
      </c>
      <c r="C7254" s="40"/>
      <c r="D7254" s="25" t="str">
        <f>TRIM(INDEX(Orçamentária!C:C,MATCH(Composições!A7254,Orçamentária!A:A,0),1))</f>
        <v>litro</v>
      </c>
      <c r="E7254" s="26"/>
      <c r="F7254" s="41" t="s">
        <v>514</v>
      </c>
      <c r="G7254" s="27" t="str">
        <f t="shared" si="220"/>
        <v/>
      </c>
      <c r="H7254" s="28"/>
      <c r="I7254" s="29"/>
      <c r="J7254" s="148">
        <v>0</v>
      </c>
      <c r="K7254" s="222">
        <v>0</v>
      </c>
    </row>
    <row r="7255" spans="1:11" hidden="1" x14ac:dyDescent="0.25">
      <c r="A7255" s="203"/>
      <c r="B7255" s="205"/>
      <c r="C7255" s="31"/>
      <c r="D7255" s="31"/>
      <c r="E7255" s="32"/>
      <c r="F7255" s="42" t="s">
        <v>514</v>
      </c>
      <c r="G7255" s="30" t="str">
        <f t="shared" si="220"/>
        <v/>
      </c>
      <c r="H7255" s="34"/>
      <c r="I7255" s="30"/>
      <c r="J7255" s="148">
        <v>0</v>
      </c>
      <c r="K7255" s="222">
        <v>0</v>
      </c>
    </row>
    <row r="7256" spans="1:11" hidden="1" x14ac:dyDescent="0.25">
      <c r="A7256" s="203"/>
      <c r="B7256" s="205"/>
      <c r="C7256" s="35" t="s">
        <v>7993</v>
      </c>
      <c r="D7256" s="35" t="s">
        <v>101</v>
      </c>
      <c r="E7256" s="36">
        <v>0.96</v>
      </c>
      <c r="F7256" s="30" t="s">
        <v>514</v>
      </c>
      <c r="G7256" s="30" t="str">
        <f t="shared" si="220"/>
        <v/>
      </c>
      <c r="H7256" s="38">
        <f>SUM(G7256:G7257)</f>
        <v>0</v>
      </c>
      <c r="I7256" s="39"/>
      <c r="J7256" s="148">
        <v>0</v>
      </c>
      <c r="K7256" s="222">
        <v>0</v>
      </c>
    </row>
    <row r="7257" spans="1:11" hidden="1" x14ac:dyDescent="0.25">
      <c r="A7257" s="203"/>
      <c r="B7257" s="205"/>
      <c r="C7257" s="35" t="s">
        <v>7844</v>
      </c>
      <c r="D7257" s="35" t="s">
        <v>101</v>
      </c>
      <c r="E7257" s="36">
        <v>0.04</v>
      </c>
      <c r="F7257" s="30" t="s">
        <v>514</v>
      </c>
      <c r="G7257" s="30" t="str">
        <f t="shared" si="220"/>
        <v/>
      </c>
      <c r="H7257" s="34"/>
      <c r="I7257" s="39"/>
      <c r="J7257" s="148">
        <v>0</v>
      </c>
      <c r="K7257" s="222">
        <v>0</v>
      </c>
    </row>
    <row r="7258" spans="1:11" ht="15.75" hidden="1" thickBot="1" x14ac:dyDescent="0.3">
      <c r="A7258" s="209"/>
      <c r="B7258" s="206"/>
      <c r="C7258" s="35"/>
      <c r="D7258" s="54"/>
      <c r="E7258" s="65"/>
      <c r="F7258" s="66" t="s">
        <v>514</v>
      </c>
      <c r="G7258" s="66" t="str">
        <f t="shared" si="220"/>
        <v/>
      </c>
      <c r="H7258" s="68"/>
      <c r="I7258" s="30"/>
      <c r="J7258" s="148">
        <v>0</v>
      </c>
      <c r="K7258" s="222">
        <v>0</v>
      </c>
    </row>
    <row r="7259" spans="1:11" ht="15.75" hidden="1" thickBot="1" x14ac:dyDescent="0.3">
      <c r="A7259" s="202" t="s">
        <v>7578</v>
      </c>
      <c r="B7259" s="204" t="str">
        <f>INDEX(Orçamentária!A:B,MATCH(Composições!A7259,Orçamentária!A:A,0),2)</f>
        <v>Fluido de arrefecimento diluído para motor Mercedes-Benz OM 447 LA</v>
      </c>
      <c r="C7259" s="40"/>
      <c r="D7259" s="25" t="str">
        <f>TRIM(INDEX(Orçamentária!C:C,MATCH(Composições!A7259,Orçamentária!A:A,0),1))</f>
        <v>litro</v>
      </c>
      <c r="E7259" s="26"/>
      <c r="F7259" s="41" t="s">
        <v>514</v>
      </c>
      <c r="G7259" s="27" t="str">
        <f t="shared" si="220"/>
        <v/>
      </c>
      <c r="H7259" s="28"/>
      <c r="I7259" s="29"/>
      <c r="J7259" s="148">
        <v>0</v>
      </c>
      <c r="K7259" s="222">
        <v>0</v>
      </c>
    </row>
    <row r="7260" spans="1:11" hidden="1" x14ac:dyDescent="0.25">
      <c r="A7260" s="203"/>
      <c r="B7260" s="205"/>
      <c r="C7260" s="31"/>
      <c r="D7260" s="31"/>
      <c r="E7260" s="32"/>
      <c r="F7260" s="42" t="s">
        <v>514</v>
      </c>
      <c r="G7260" s="33" t="str">
        <f t="shared" si="220"/>
        <v/>
      </c>
      <c r="H7260" s="34"/>
      <c r="I7260" s="30"/>
      <c r="J7260" s="148">
        <v>0</v>
      </c>
      <c r="K7260" s="222">
        <v>0</v>
      </c>
    </row>
    <row r="7261" spans="1:11" hidden="1" x14ac:dyDescent="0.25">
      <c r="A7261" s="203"/>
      <c r="B7261" s="205"/>
      <c r="C7261" s="35" t="s">
        <v>7993</v>
      </c>
      <c r="D7261" s="35" t="s">
        <v>101</v>
      </c>
      <c r="E7261" s="36">
        <v>0.5</v>
      </c>
      <c r="F7261" s="30" t="s">
        <v>514</v>
      </c>
      <c r="G7261" s="33" t="str">
        <f t="shared" si="220"/>
        <v/>
      </c>
      <c r="H7261" s="38">
        <f>SUM(G7261:G7262)</f>
        <v>0</v>
      </c>
      <c r="I7261" s="39"/>
      <c r="J7261" s="148">
        <v>0</v>
      </c>
      <c r="K7261" s="222">
        <v>0</v>
      </c>
    </row>
    <row r="7262" spans="1:11" hidden="1" x14ac:dyDescent="0.25">
      <c r="A7262" s="203"/>
      <c r="B7262" s="205"/>
      <c r="C7262" s="35" t="s">
        <v>7857</v>
      </c>
      <c r="D7262" s="35" t="s">
        <v>101</v>
      </c>
      <c r="E7262" s="36">
        <v>0.5</v>
      </c>
      <c r="F7262" s="30" t="s">
        <v>514</v>
      </c>
      <c r="G7262" s="30" t="str">
        <f t="shared" si="220"/>
        <v/>
      </c>
      <c r="H7262" s="34"/>
      <c r="I7262" s="39"/>
      <c r="J7262" s="148">
        <v>0</v>
      </c>
      <c r="K7262" s="222">
        <v>0</v>
      </c>
    </row>
    <row r="7263" spans="1:11" ht="15.75" hidden="1" thickBot="1" x14ac:dyDescent="0.3">
      <c r="A7263" s="209"/>
      <c r="B7263" s="206"/>
      <c r="C7263" s="54"/>
      <c r="D7263" s="35"/>
      <c r="E7263" s="36"/>
      <c r="F7263" s="30" t="s">
        <v>514</v>
      </c>
      <c r="G7263" s="33" t="str">
        <f t="shared" si="220"/>
        <v/>
      </c>
      <c r="H7263" s="34"/>
      <c r="I7263" s="30"/>
      <c r="J7263" s="148">
        <v>0</v>
      </c>
      <c r="K7263" s="222">
        <v>0</v>
      </c>
    </row>
    <row r="7264" spans="1:11" ht="15.75" hidden="1" thickBot="1" x14ac:dyDescent="0.3">
      <c r="A7264" s="202" t="s">
        <v>7882</v>
      </c>
      <c r="B7264" s="204" t="str">
        <f>INDEX(Orçamentária!A:B,MATCH(Composições!A7264,Orçamentária!A:A,0),2)</f>
        <v>Cotovelo BSP 1 1/2” para filtro de óleo diesel</v>
      </c>
      <c r="C7264" s="40"/>
      <c r="D7264" s="25" t="str">
        <f>TRIM(INDEX(Orçamentária!C:C,MATCH(Composições!A7264,Orçamentária!A:A,0),1))</f>
        <v>un</v>
      </c>
      <c r="E7264" s="26"/>
      <c r="F7264" s="41" t="s">
        <v>514</v>
      </c>
      <c r="G7264" s="27" t="str">
        <f t="shared" si="220"/>
        <v/>
      </c>
      <c r="H7264" s="28"/>
      <c r="I7264" s="29"/>
      <c r="J7264" s="148">
        <v>0</v>
      </c>
      <c r="K7264" s="222">
        <v>0</v>
      </c>
    </row>
    <row r="7265" spans="1:11" hidden="1" x14ac:dyDescent="0.25">
      <c r="A7265" s="203"/>
      <c r="B7265" s="205"/>
      <c r="C7265" s="31"/>
      <c r="D7265" s="31"/>
      <c r="E7265" s="32"/>
      <c r="F7265" s="42" t="s">
        <v>514</v>
      </c>
      <c r="G7265" s="30" t="str">
        <f t="shared" si="220"/>
        <v/>
      </c>
      <c r="H7265" s="34"/>
      <c r="I7265" s="30"/>
      <c r="J7265" s="148">
        <v>0</v>
      </c>
      <c r="K7265" s="222">
        <v>0</v>
      </c>
    </row>
    <row r="7266" spans="1:11" ht="25.5" hidden="1" x14ac:dyDescent="0.25">
      <c r="A7266" s="203"/>
      <c r="B7266" s="205"/>
      <c r="C7266" s="35" t="s">
        <v>7631</v>
      </c>
      <c r="D7266" s="35" t="s">
        <v>20</v>
      </c>
      <c r="E7266" s="36">
        <v>1</v>
      </c>
      <c r="F7266" s="30">
        <v>40.403500000000001</v>
      </c>
      <c r="G7266" s="30">
        <f t="shared" si="220"/>
        <v>40.403500000000001</v>
      </c>
      <c r="H7266" s="38">
        <f t="shared" ref="H7266" si="221">SUM(G7266:G7266)</f>
        <v>40.403500000000001</v>
      </c>
      <c r="I7266" s="39"/>
      <c r="J7266" s="148">
        <v>0</v>
      </c>
      <c r="K7266" s="222">
        <v>0</v>
      </c>
    </row>
    <row r="7267" spans="1:11" ht="15.75" hidden="1" thickBot="1" x14ac:dyDescent="0.3">
      <c r="A7267" s="209"/>
      <c r="B7267" s="206"/>
      <c r="C7267" s="54"/>
      <c r="D7267" s="54"/>
      <c r="E7267" s="65"/>
      <c r="F7267" s="66" t="s">
        <v>514</v>
      </c>
      <c r="G7267" s="66" t="str">
        <f t="shared" si="220"/>
        <v/>
      </c>
      <c r="H7267" s="68"/>
      <c r="I7267" s="30"/>
      <c r="J7267" s="148">
        <v>0</v>
      </c>
      <c r="K7267" s="222">
        <v>0</v>
      </c>
    </row>
    <row r="7268" spans="1:11" ht="15.75" hidden="1" thickBot="1" x14ac:dyDescent="0.3">
      <c r="A7268" s="202" t="s">
        <v>7888</v>
      </c>
      <c r="B7268" s="204" t="str">
        <f>INDEX(Orçamentária!A:B,MATCH(Composições!A7268,Orçamentária!A:A,0),2)</f>
        <v>União BSP 1 1/2” para filtro de óleo diesel</v>
      </c>
      <c r="C7268" s="40"/>
      <c r="D7268" s="25" t="str">
        <f>TRIM(INDEX(Orçamentária!C:C,MATCH(Composições!A7268,Orçamentária!A:A,0),1))</f>
        <v>un</v>
      </c>
      <c r="E7268" s="26"/>
      <c r="F7268" s="41" t="s">
        <v>514</v>
      </c>
      <c r="G7268" s="27" t="str">
        <f t="shared" si="220"/>
        <v/>
      </c>
      <c r="H7268" s="28"/>
      <c r="I7268" s="29"/>
      <c r="J7268" s="148">
        <v>0</v>
      </c>
      <c r="K7268" s="222">
        <v>0</v>
      </c>
    </row>
    <row r="7269" spans="1:11" hidden="1" x14ac:dyDescent="0.25">
      <c r="A7269" s="203"/>
      <c r="B7269" s="205"/>
      <c r="C7269" s="31"/>
      <c r="D7269" s="31"/>
      <c r="E7269" s="32"/>
      <c r="F7269" s="42" t="s">
        <v>514</v>
      </c>
      <c r="G7269" s="30" t="str">
        <f t="shared" si="220"/>
        <v/>
      </c>
      <c r="H7269" s="34"/>
      <c r="I7269" s="30"/>
      <c r="J7269" s="148">
        <v>0</v>
      </c>
      <c r="K7269" s="222">
        <v>0</v>
      </c>
    </row>
    <row r="7270" spans="1:11" ht="25.5" hidden="1" x14ac:dyDescent="0.25">
      <c r="A7270" s="203"/>
      <c r="B7270" s="205"/>
      <c r="C7270" s="35" t="s">
        <v>7737</v>
      </c>
      <c r="D7270" s="35" t="s">
        <v>20</v>
      </c>
      <c r="E7270" s="36">
        <v>1</v>
      </c>
      <c r="F7270" s="30">
        <v>68.989000000000004</v>
      </c>
      <c r="G7270" s="30">
        <f t="shared" si="220"/>
        <v>68.989000000000004</v>
      </c>
      <c r="H7270" s="38">
        <f t="shared" ref="H7270" si="222">SUM(G7270:G7270)</f>
        <v>68.989000000000004</v>
      </c>
      <c r="I7270" s="39"/>
      <c r="J7270" s="148">
        <v>0</v>
      </c>
      <c r="K7270" s="222">
        <v>0</v>
      </c>
    </row>
    <row r="7271" spans="1:11" ht="15.75" hidden="1" thickBot="1" x14ac:dyDescent="0.3">
      <c r="A7271" s="209"/>
      <c r="B7271" s="206"/>
      <c r="C7271" s="54"/>
      <c r="D7271" s="54"/>
      <c r="E7271" s="65"/>
      <c r="F7271" s="66" t="s">
        <v>514</v>
      </c>
      <c r="G7271" s="66" t="str">
        <f t="shared" si="220"/>
        <v/>
      </c>
      <c r="H7271" s="68"/>
      <c r="I7271" s="30"/>
      <c r="J7271" s="148">
        <v>0</v>
      </c>
      <c r="K7271" s="222">
        <v>0</v>
      </c>
    </row>
    <row r="7272" spans="1:11" ht="15.75" hidden="1" thickBot="1" x14ac:dyDescent="0.3">
      <c r="A7272" s="202" t="s">
        <v>7890</v>
      </c>
      <c r="B7272" s="204" t="str">
        <f>INDEX(Orçamentária!A:B,MATCH(Composições!A7272,Orçamentária!A:A,0),2)</f>
        <v>Tubo de aço-carbono 1 1/2” - Filtro de óleo diesel</v>
      </c>
      <c r="C7272" s="40"/>
      <c r="D7272" s="25" t="str">
        <f>TRIM(INDEX(Orçamentária!C:C,MATCH(Composições!A7272,Orçamentária!A:A,0),1))</f>
        <v>m</v>
      </c>
      <c r="E7272" s="26"/>
      <c r="F7272" s="41" t="s">
        <v>514</v>
      </c>
      <c r="G7272" s="27" t="str">
        <f t="shared" si="220"/>
        <v/>
      </c>
      <c r="H7272" s="28"/>
      <c r="I7272" s="29"/>
      <c r="J7272" s="148">
        <v>0</v>
      </c>
      <c r="K7272" s="222">
        <v>0</v>
      </c>
    </row>
    <row r="7273" spans="1:11" hidden="1" x14ac:dyDescent="0.25">
      <c r="A7273" s="203"/>
      <c r="B7273" s="205"/>
      <c r="C7273" s="31"/>
      <c r="D7273" s="31"/>
      <c r="E7273" s="32"/>
      <c r="F7273" s="42" t="s">
        <v>514</v>
      </c>
      <c r="G7273" s="33" t="str">
        <f t="shared" si="220"/>
        <v/>
      </c>
      <c r="H7273" s="34"/>
      <c r="I7273" s="30"/>
      <c r="J7273" s="148">
        <v>0</v>
      </c>
      <c r="K7273" s="222">
        <v>0</v>
      </c>
    </row>
    <row r="7274" spans="1:11" ht="25.5" hidden="1" x14ac:dyDescent="0.25">
      <c r="A7274" s="203"/>
      <c r="B7274" s="205"/>
      <c r="C7274" s="35" t="s">
        <v>7787</v>
      </c>
      <c r="D7274" s="35" t="s">
        <v>92</v>
      </c>
      <c r="E7274" s="36">
        <v>1</v>
      </c>
      <c r="F7274" s="30">
        <v>59.945</v>
      </c>
      <c r="G7274" s="33">
        <f t="shared" si="220"/>
        <v>59.945</v>
      </c>
      <c r="H7274" s="38">
        <f>SUM(G7274:G7274)</f>
        <v>59.945</v>
      </c>
      <c r="I7274" s="39"/>
      <c r="J7274" s="148">
        <v>0</v>
      </c>
      <c r="K7274" s="222">
        <v>0</v>
      </c>
    </row>
    <row r="7275" spans="1:11" ht="15.75" hidden="1" thickBot="1" x14ac:dyDescent="0.3">
      <c r="A7275" s="209"/>
      <c r="B7275" s="206"/>
      <c r="C7275" s="54"/>
      <c r="D7275" s="35"/>
      <c r="E7275" s="36"/>
      <c r="F7275" s="30" t="s">
        <v>514</v>
      </c>
      <c r="G7275" s="33" t="str">
        <f t="shared" si="220"/>
        <v/>
      </c>
      <c r="H7275" s="34"/>
      <c r="I7275" s="30"/>
      <c r="J7275" s="148">
        <v>0</v>
      </c>
      <c r="K7275" s="222">
        <v>0</v>
      </c>
    </row>
    <row r="7276" spans="1:11" ht="15.75" hidden="1" thickBot="1" x14ac:dyDescent="0.3">
      <c r="A7276" s="202" t="s">
        <v>7902</v>
      </c>
      <c r="B7276" s="204" t="str">
        <f>INDEX(Orçamentária!A:B,MATCH(Composições!A7276,Orçamentária!A:A,0),2)</f>
        <v>Bloco vazado de concreto simples com 02 furos (19x19x39 - Classe A)</v>
      </c>
      <c r="C7276" s="40"/>
      <c r="D7276" s="25" t="str">
        <f>TRIM(INDEX(Orçamentária!C:C,MATCH(Composições!A7276,Orçamentária!A:A,0),1))</f>
        <v>un</v>
      </c>
      <c r="E7276" s="26"/>
      <c r="F7276" s="41" t="s">
        <v>514</v>
      </c>
      <c r="G7276" s="27" t="str">
        <f t="shared" si="220"/>
        <v/>
      </c>
      <c r="H7276" s="28"/>
      <c r="I7276" s="29"/>
      <c r="J7276" s="148">
        <v>0</v>
      </c>
      <c r="K7276" s="222">
        <v>0</v>
      </c>
    </row>
    <row r="7277" spans="1:11" hidden="1" x14ac:dyDescent="0.25">
      <c r="A7277" s="203"/>
      <c r="B7277" s="205"/>
      <c r="C7277" s="31"/>
      <c r="D7277" s="31"/>
      <c r="E7277" s="32"/>
      <c r="F7277" s="42" t="s">
        <v>514</v>
      </c>
      <c r="G7277" s="30" t="str">
        <f t="shared" si="220"/>
        <v/>
      </c>
      <c r="H7277" s="34"/>
      <c r="I7277" s="30"/>
      <c r="J7277" s="148">
        <v>0</v>
      </c>
      <c r="K7277" s="222">
        <v>0</v>
      </c>
    </row>
    <row r="7278" spans="1:11" ht="25.5" hidden="1" x14ac:dyDescent="0.25">
      <c r="A7278" s="203"/>
      <c r="B7278" s="205"/>
      <c r="C7278" s="35" t="s">
        <v>7612</v>
      </c>
      <c r="D7278" s="35" t="s">
        <v>20</v>
      </c>
      <c r="E7278" s="36">
        <v>1</v>
      </c>
      <c r="F7278" s="30">
        <v>5.3389999999999995</v>
      </c>
      <c r="G7278" s="30">
        <f t="shared" si="220"/>
        <v>5.3389999999999995</v>
      </c>
      <c r="H7278" s="38">
        <f t="shared" ref="H7278" si="223">SUM(G7278:G7278)</f>
        <v>5.3389999999999995</v>
      </c>
      <c r="I7278" s="39"/>
      <c r="J7278" s="148">
        <v>0</v>
      </c>
      <c r="K7278" s="222">
        <v>0</v>
      </c>
    </row>
    <row r="7279" spans="1:11" ht="15.75" hidden="1" thickBot="1" x14ac:dyDescent="0.3">
      <c r="A7279" s="209"/>
      <c r="B7279" s="206"/>
      <c r="C7279" s="54"/>
      <c r="D7279" s="54"/>
      <c r="E7279" s="65"/>
      <c r="F7279" s="66" t="s">
        <v>514</v>
      </c>
      <c r="G7279" s="66" t="str">
        <f t="shared" si="220"/>
        <v/>
      </c>
      <c r="H7279" s="68"/>
      <c r="I7279" s="30"/>
      <c r="J7279" s="148">
        <v>0</v>
      </c>
      <c r="K7279" s="222">
        <v>0</v>
      </c>
    </row>
    <row r="7280" spans="1:11" ht="15.75" hidden="1" thickBot="1" x14ac:dyDescent="0.3">
      <c r="A7280" s="202" t="s">
        <v>7904</v>
      </c>
      <c r="B7280" s="204" t="str">
        <f>INDEX(Orçamentária!A:B,MATCH(Composições!A7280,Orçamentária!A:A,0),2)</f>
        <v>Bloco vazado de concreto simples tipo canaleta (19x19x39 - Classe A)</v>
      </c>
      <c r="C7280" s="40"/>
      <c r="D7280" s="25" t="str">
        <f>TRIM(INDEX(Orçamentária!C:C,MATCH(Composições!A7280,Orçamentária!A:A,0),1))</f>
        <v>un</v>
      </c>
      <c r="E7280" s="26"/>
      <c r="F7280" s="41" t="s">
        <v>514</v>
      </c>
      <c r="G7280" s="27" t="str">
        <f t="shared" si="220"/>
        <v/>
      </c>
      <c r="H7280" s="28"/>
      <c r="I7280" s="29"/>
      <c r="J7280" s="148">
        <v>0</v>
      </c>
      <c r="K7280" s="222">
        <v>0</v>
      </c>
    </row>
    <row r="7281" spans="1:11" hidden="1" x14ac:dyDescent="0.25">
      <c r="A7281" s="203"/>
      <c r="B7281" s="205"/>
      <c r="C7281" s="31"/>
      <c r="D7281" s="31"/>
      <c r="E7281" s="32"/>
      <c r="F7281" s="42" t="s">
        <v>514</v>
      </c>
      <c r="G7281" s="30" t="str">
        <f t="shared" si="220"/>
        <v/>
      </c>
      <c r="H7281" s="34"/>
      <c r="I7281" s="30"/>
      <c r="J7281" s="148">
        <v>0</v>
      </c>
      <c r="K7281" s="222">
        <v>0</v>
      </c>
    </row>
    <row r="7282" spans="1:11" hidden="1" x14ac:dyDescent="0.25">
      <c r="A7282" s="203"/>
      <c r="B7282" s="205"/>
      <c r="C7282" s="35" t="s">
        <v>7924</v>
      </c>
      <c r="D7282" s="35" t="s">
        <v>20</v>
      </c>
      <c r="E7282" s="36">
        <v>1</v>
      </c>
      <c r="F7282" s="30">
        <v>0</v>
      </c>
      <c r="G7282" s="30">
        <f t="shared" si="220"/>
        <v>0</v>
      </c>
      <c r="H7282" s="38">
        <f t="shared" ref="H7282" si="224">SUM(G7282:G7282)</f>
        <v>0</v>
      </c>
      <c r="I7282" s="39"/>
      <c r="J7282" s="148">
        <v>0</v>
      </c>
      <c r="K7282" s="222">
        <v>0</v>
      </c>
    </row>
    <row r="7283" spans="1:11" ht="15.75" hidden="1" thickBot="1" x14ac:dyDescent="0.3">
      <c r="A7283" s="209"/>
      <c r="B7283" s="206"/>
      <c r="C7283" s="54"/>
      <c r="D7283" s="54"/>
      <c r="E7283" s="65"/>
      <c r="F7283" s="66" t="s">
        <v>514</v>
      </c>
      <c r="G7283" s="66" t="str">
        <f t="shared" si="220"/>
        <v/>
      </c>
      <c r="H7283" s="68"/>
      <c r="I7283" s="30"/>
      <c r="J7283" s="148">
        <v>0</v>
      </c>
      <c r="K7283" s="222">
        <v>0</v>
      </c>
    </row>
    <row r="7284" spans="1:11" ht="15.75" hidden="1" thickBot="1" x14ac:dyDescent="0.3">
      <c r="A7284" s="202" t="s">
        <v>7908</v>
      </c>
      <c r="B7284" s="204" t="str">
        <f>INDEX(Orçamentária!A:B,MATCH(Composições!A7284,Orçamentária!A:A,0),2)</f>
        <v>Bloco vazado de concreto simples tipo compensador A (19x19x9 - Classe C)</v>
      </c>
      <c r="C7284" s="40"/>
      <c r="D7284" s="25" t="str">
        <f>TRIM(INDEX(Orçamentária!C:C,MATCH(Composições!A7284,Orçamentária!A:A,0),1))</f>
        <v>un</v>
      </c>
      <c r="E7284" s="26"/>
      <c r="F7284" s="41" t="s">
        <v>514</v>
      </c>
      <c r="G7284" s="27" t="str">
        <f t="shared" si="220"/>
        <v/>
      </c>
      <c r="H7284" s="28"/>
      <c r="I7284" s="29"/>
      <c r="J7284" s="148">
        <v>0</v>
      </c>
      <c r="K7284" s="222">
        <v>0</v>
      </c>
    </row>
    <row r="7285" spans="1:11" hidden="1" x14ac:dyDescent="0.25">
      <c r="A7285" s="203"/>
      <c r="B7285" s="205"/>
      <c r="C7285" s="31"/>
      <c r="D7285" s="31"/>
      <c r="E7285" s="32"/>
      <c r="F7285" s="42" t="s">
        <v>514</v>
      </c>
      <c r="G7285" s="33" t="str">
        <f t="shared" si="220"/>
        <v/>
      </c>
      <c r="H7285" s="34"/>
      <c r="I7285" s="30"/>
      <c r="J7285" s="148">
        <v>0</v>
      </c>
      <c r="K7285" s="222">
        <v>0</v>
      </c>
    </row>
    <row r="7286" spans="1:11" ht="25.5" hidden="1" x14ac:dyDescent="0.25">
      <c r="A7286" s="203"/>
      <c r="B7286" s="205"/>
      <c r="C7286" s="35" t="s">
        <v>7663</v>
      </c>
      <c r="D7286" s="35" t="s">
        <v>20</v>
      </c>
      <c r="E7286" s="36">
        <v>1</v>
      </c>
      <c r="F7286" s="30">
        <v>1.6054999999999999</v>
      </c>
      <c r="G7286" s="33">
        <f t="shared" si="220"/>
        <v>1.6054999999999999</v>
      </c>
      <c r="H7286" s="38">
        <f>SUM(G7286:G7286)</f>
        <v>1.6054999999999999</v>
      </c>
      <c r="I7286" s="39"/>
      <c r="J7286" s="148">
        <v>0</v>
      </c>
      <c r="K7286" s="222">
        <v>0</v>
      </c>
    </row>
    <row r="7287" spans="1:11" ht="15.75" hidden="1" thickBot="1" x14ac:dyDescent="0.3">
      <c r="A7287" s="209"/>
      <c r="B7287" s="206"/>
      <c r="C7287" s="35"/>
      <c r="D7287" s="35"/>
      <c r="E7287" s="36"/>
      <c r="F7287" s="30" t="s">
        <v>514</v>
      </c>
      <c r="G7287" s="33" t="str">
        <f t="shared" si="220"/>
        <v/>
      </c>
      <c r="H7287" s="34"/>
      <c r="I7287" s="30"/>
      <c r="J7287" s="148">
        <v>0</v>
      </c>
      <c r="K7287" s="222">
        <v>0</v>
      </c>
    </row>
    <row r="7288" spans="1:11" ht="15.75" hidden="1" thickBot="1" x14ac:dyDescent="0.3">
      <c r="A7288" s="202" t="s">
        <v>7914</v>
      </c>
      <c r="B7288" s="204" t="str">
        <f>INDEX(Orçamentária!A:B,MATCH(Composições!A7288,Orçamentária!A:A,0),2)</f>
        <v>Graute industrializado, 50 MPa ≤ fck ≤ 60 Mpa</v>
      </c>
      <c r="C7288" s="40"/>
      <c r="D7288" s="25" t="str">
        <f>TRIM(INDEX(Orçamentária!C:C,MATCH(Composições!A7288,Orçamentária!A:A,0),1))</f>
        <v>25 kg</v>
      </c>
      <c r="E7288" s="26"/>
      <c r="F7288" s="41" t="s">
        <v>514</v>
      </c>
      <c r="G7288" s="27" t="str">
        <f t="shared" si="220"/>
        <v/>
      </c>
      <c r="H7288" s="28"/>
      <c r="I7288" s="29"/>
      <c r="J7288" s="148">
        <v>0</v>
      </c>
      <c r="K7288" s="222">
        <v>0</v>
      </c>
    </row>
    <row r="7289" spans="1:11" hidden="1" x14ac:dyDescent="0.25">
      <c r="A7289" s="203"/>
      <c r="B7289" s="205"/>
      <c r="C7289" s="31"/>
      <c r="D7289" s="31"/>
      <c r="E7289" s="32"/>
      <c r="F7289" s="42" t="s">
        <v>514</v>
      </c>
      <c r="G7289" s="33" t="str">
        <f t="shared" si="220"/>
        <v/>
      </c>
      <c r="H7289" s="34"/>
      <c r="I7289" s="30"/>
      <c r="J7289" s="148">
        <v>0</v>
      </c>
      <c r="K7289" s="222">
        <v>0</v>
      </c>
    </row>
    <row r="7290" spans="1:11" hidden="1" x14ac:dyDescent="0.25">
      <c r="A7290" s="203"/>
      <c r="B7290" s="205"/>
      <c r="C7290" s="35" t="s">
        <v>925</v>
      </c>
      <c r="D7290" s="35" t="s">
        <v>42</v>
      </c>
      <c r="E7290" s="36">
        <v>25</v>
      </c>
      <c r="F7290" s="30">
        <v>1.8144999999999998</v>
      </c>
      <c r="G7290" s="33">
        <f t="shared" si="220"/>
        <v>45.362499999999997</v>
      </c>
      <c r="H7290" s="38">
        <f>SUM(G7290:G7290)</f>
        <v>45.362499999999997</v>
      </c>
      <c r="I7290" s="39"/>
      <c r="J7290" s="148">
        <v>0</v>
      </c>
      <c r="K7290" s="222">
        <v>0</v>
      </c>
    </row>
    <row r="7291" spans="1:11" ht="15.75" hidden="1" thickBot="1" x14ac:dyDescent="0.3">
      <c r="A7291" s="209"/>
      <c r="B7291" s="206"/>
      <c r="C7291" s="35"/>
      <c r="D7291" s="35"/>
      <c r="E7291" s="36"/>
      <c r="F7291" s="30" t="s">
        <v>514</v>
      </c>
      <c r="G7291" s="33" t="str">
        <f t="shared" si="220"/>
        <v/>
      </c>
      <c r="H7291" s="34"/>
      <c r="I7291" s="30"/>
      <c r="J7291" s="148">
        <v>0</v>
      </c>
      <c r="K7291" s="222">
        <v>0</v>
      </c>
    </row>
    <row r="7292" spans="1:11" ht="15.75" hidden="1" thickBot="1" x14ac:dyDescent="0.3">
      <c r="A7292" s="202" t="s">
        <v>7916</v>
      </c>
      <c r="B7292" s="204" t="str">
        <f>INDEX(Orçamentária!A:B,MATCH(Composições!A7292,Orçamentária!A:A,0),2)</f>
        <v>Tela metálica para reboco</v>
      </c>
      <c r="C7292" s="40"/>
      <c r="D7292" s="25" t="str">
        <f>TRIM(INDEX(Orçamentária!C:C,MATCH(Composições!A7292,Orçamentária!A:A,0),1))</f>
        <v>m2</v>
      </c>
      <c r="E7292" s="26"/>
      <c r="F7292" s="41" t="s">
        <v>514</v>
      </c>
      <c r="G7292" s="27" t="str">
        <f t="shared" si="220"/>
        <v/>
      </c>
      <c r="H7292" s="28"/>
      <c r="I7292" s="29"/>
      <c r="J7292" s="148">
        <v>0</v>
      </c>
      <c r="K7292" s="222">
        <v>0</v>
      </c>
    </row>
    <row r="7293" spans="1:11" hidden="1" x14ac:dyDescent="0.25">
      <c r="A7293" s="203"/>
      <c r="B7293" s="205"/>
      <c r="C7293" s="31"/>
      <c r="D7293" s="31"/>
      <c r="E7293" s="32"/>
      <c r="F7293" s="42" t="s">
        <v>514</v>
      </c>
      <c r="G7293" s="33" t="str">
        <f t="shared" si="220"/>
        <v/>
      </c>
      <c r="H7293" s="34"/>
      <c r="I7293" s="30"/>
      <c r="J7293" s="148">
        <v>0</v>
      </c>
      <c r="K7293" s="222">
        <v>0</v>
      </c>
    </row>
    <row r="7294" spans="1:11" ht="25.5" hidden="1" x14ac:dyDescent="0.25">
      <c r="A7294" s="203"/>
      <c r="B7294" s="205"/>
      <c r="C7294" s="35" t="s">
        <v>7707</v>
      </c>
      <c r="D7294" s="35" t="s">
        <v>94</v>
      </c>
      <c r="E7294" s="36">
        <v>1</v>
      </c>
      <c r="F7294" s="30">
        <v>21.66</v>
      </c>
      <c r="G7294" s="33">
        <f t="shared" si="220"/>
        <v>21.66</v>
      </c>
      <c r="H7294" s="38">
        <f>SUM(G7294:G7294)</f>
        <v>21.66</v>
      </c>
      <c r="I7294" s="39"/>
      <c r="J7294" s="148">
        <v>0</v>
      </c>
      <c r="K7294" s="222">
        <v>0</v>
      </c>
    </row>
    <row r="7295" spans="1:11" ht="15.75" hidden="1" thickBot="1" x14ac:dyDescent="0.3">
      <c r="A7295" s="209"/>
      <c r="B7295" s="206"/>
      <c r="C7295" s="35"/>
      <c r="D7295" s="35"/>
      <c r="E7295" s="36"/>
      <c r="F7295" s="30" t="s">
        <v>514</v>
      </c>
      <c r="G7295" s="33" t="str">
        <f t="shared" si="220"/>
        <v/>
      </c>
      <c r="H7295" s="34"/>
      <c r="I7295" s="30"/>
      <c r="J7295" s="148">
        <v>0</v>
      </c>
      <c r="K7295" s="222">
        <v>0</v>
      </c>
    </row>
    <row r="7296" spans="1:11" ht="15.75" hidden="1" thickBot="1" x14ac:dyDescent="0.3">
      <c r="A7296" s="202" t="s">
        <v>7918</v>
      </c>
      <c r="B7296" s="204" t="str">
        <f>INDEX(Orçamentária!A:B,MATCH(Composições!A7296,Orçamentária!A:A,0),2)</f>
        <v>Vergalhão Ca-60 Diâmetro 4,2 mm</v>
      </c>
      <c r="C7296" s="40"/>
      <c r="D7296" s="25" t="str">
        <f>TRIM(INDEX(Orçamentária!C:C,MATCH(Composições!A7296,Orçamentária!A:A,0),1))</f>
        <v>m</v>
      </c>
      <c r="E7296" s="26"/>
      <c r="F7296" s="41" t="s">
        <v>514</v>
      </c>
      <c r="G7296" s="27" t="str">
        <f t="shared" si="220"/>
        <v/>
      </c>
      <c r="H7296" s="28"/>
      <c r="I7296" s="29"/>
      <c r="J7296" s="148">
        <v>0</v>
      </c>
      <c r="K7296" s="222">
        <v>0</v>
      </c>
    </row>
    <row r="7297" spans="1:11" hidden="1" x14ac:dyDescent="0.25">
      <c r="A7297" s="203"/>
      <c r="B7297" s="205"/>
      <c r="C7297" s="31"/>
      <c r="D7297" s="31"/>
      <c r="E7297" s="32"/>
      <c r="F7297" s="42" t="s">
        <v>514</v>
      </c>
      <c r="G7297" s="33" t="str">
        <f t="shared" si="220"/>
        <v/>
      </c>
      <c r="H7297" s="34"/>
      <c r="I7297" s="30"/>
      <c r="J7297" s="148">
        <v>0</v>
      </c>
      <c r="K7297" s="222">
        <v>0</v>
      </c>
    </row>
    <row r="7298" spans="1:11" hidden="1" x14ac:dyDescent="0.25">
      <c r="A7298" s="203"/>
      <c r="B7298" s="205"/>
      <c r="C7298" s="35" t="s">
        <v>1435</v>
      </c>
      <c r="D7298" s="35" t="s">
        <v>42</v>
      </c>
      <c r="E7298" s="36">
        <v>0.109</v>
      </c>
      <c r="F7298" s="30">
        <v>9.6234999999999999</v>
      </c>
      <c r="G7298" s="33">
        <f t="shared" si="220"/>
        <v>1.0489614999999999</v>
      </c>
      <c r="H7298" s="38">
        <f>SUM(G7298:G7298)</f>
        <v>1.0489614999999999</v>
      </c>
      <c r="I7298" s="39"/>
      <c r="J7298" s="148">
        <v>0</v>
      </c>
      <c r="K7298" s="222">
        <v>0</v>
      </c>
    </row>
    <row r="7299" spans="1:11" ht="15.75" hidden="1" thickBot="1" x14ac:dyDescent="0.3">
      <c r="A7299" s="209"/>
      <c r="B7299" s="206"/>
      <c r="C7299" s="35"/>
      <c r="D7299" s="35"/>
      <c r="E7299" s="36"/>
      <c r="F7299" s="30" t="s">
        <v>514</v>
      </c>
      <c r="G7299" s="33" t="str">
        <f t="shared" si="220"/>
        <v/>
      </c>
      <c r="H7299" s="34"/>
      <c r="I7299" s="30"/>
      <c r="J7299" s="148">
        <v>0</v>
      </c>
      <c r="K7299" s="222">
        <v>0</v>
      </c>
    </row>
    <row r="7300" spans="1:11" ht="15.75" hidden="1" thickBot="1" x14ac:dyDescent="0.3">
      <c r="A7300" s="202" t="s">
        <v>7920</v>
      </c>
      <c r="B7300" s="204" t="str">
        <f>INDEX(Orçamentária!A:B,MATCH(Composições!A7300,Orçamentária!A:A,0),2)</f>
        <v>Vermiculita Expandida</v>
      </c>
      <c r="C7300" s="40"/>
      <c r="D7300" s="25" t="str">
        <f>TRIM(INDEX(Orçamentária!C:C,MATCH(Composições!A7300,Orçamentária!A:A,0),1))</f>
        <v>100 L</v>
      </c>
      <c r="E7300" s="26"/>
      <c r="F7300" s="41" t="s">
        <v>514</v>
      </c>
      <c r="G7300" s="27" t="str">
        <f t="shared" si="220"/>
        <v/>
      </c>
      <c r="H7300" s="28"/>
      <c r="I7300" s="29"/>
      <c r="J7300" s="148">
        <v>0</v>
      </c>
      <c r="K7300" s="222">
        <v>0</v>
      </c>
    </row>
    <row r="7301" spans="1:11" hidden="1" x14ac:dyDescent="0.25">
      <c r="A7301" s="203"/>
      <c r="B7301" s="205"/>
      <c r="C7301" s="31"/>
      <c r="D7301" s="31"/>
      <c r="E7301" s="32"/>
      <c r="F7301" s="42" t="s">
        <v>514</v>
      </c>
      <c r="G7301" s="33" t="str">
        <f t="shared" si="220"/>
        <v/>
      </c>
      <c r="H7301" s="34"/>
      <c r="I7301" s="30"/>
      <c r="J7301" s="148">
        <v>0</v>
      </c>
      <c r="K7301" s="222">
        <v>0</v>
      </c>
    </row>
    <row r="7302" spans="1:11" hidden="1" x14ac:dyDescent="0.25">
      <c r="A7302" s="203"/>
      <c r="B7302" s="205"/>
      <c r="C7302" s="35" t="s">
        <v>7925</v>
      </c>
      <c r="D7302" s="35" t="s">
        <v>108</v>
      </c>
      <c r="E7302" s="36">
        <v>0.1</v>
      </c>
      <c r="F7302" s="30">
        <v>0</v>
      </c>
      <c r="G7302" s="33">
        <f t="shared" si="220"/>
        <v>0</v>
      </c>
      <c r="H7302" s="38">
        <f>SUM(G7302:G7302)</f>
        <v>0</v>
      </c>
      <c r="I7302" s="39"/>
      <c r="J7302" s="148">
        <v>0</v>
      </c>
      <c r="K7302" s="222">
        <v>0</v>
      </c>
    </row>
    <row r="7303" spans="1:11" ht="15.75" hidden="1" thickBot="1" x14ac:dyDescent="0.3">
      <c r="A7303" s="209"/>
      <c r="B7303" s="206"/>
      <c r="C7303" s="54"/>
      <c r="D7303" s="54"/>
      <c r="E7303" s="65"/>
      <c r="F7303" s="66" t="s">
        <v>514</v>
      </c>
      <c r="G7303" s="67" t="str">
        <f t="shared" si="220"/>
        <v/>
      </c>
      <c r="H7303" s="68"/>
      <c r="I7303" s="30"/>
      <c r="J7303" s="148">
        <v>0</v>
      </c>
      <c r="K7303" s="222">
        <v>0</v>
      </c>
    </row>
    <row r="7304" spans="1:11" ht="15.75" hidden="1" thickBot="1" x14ac:dyDescent="0.3">
      <c r="A7304" s="202" t="s">
        <v>7929</v>
      </c>
      <c r="B7304" s="204" t="str">
        <f>INDEX(Orçamentária!A:B,MATCH(Composições!A7304,Orçamentária!A:A,0),2)</f>
        <v>Conector Macho 26mm  x 3/4” para tubo PEX para gás - GLP</v>
      </c>
      <c r="C7304" s="40"/>
      <c r="D7304" s="25" t="str">
        <f>TRIM(INDEX(Orçamentária!C:C,MATCH(Composições!A7304,Orçamentária!A:A,0),1))</f>
        <v>un</v>
      </c>
      <c r="E7304" s="26"/>
      <c r="F7304" s="41" t="s">
        <v>514</v>
      </c>
      <c r="G7304" s="27" t="str">
        <f t="shared" si="220"/>
        <v/>
      </c>
      <c r="H7304" s="28"/>
      <c r="I7304" s="29"/>
      <c r="J7304" s="148">
        <v>0</v>
      </c>
      <c r="K7304" s="222">
        <v>0</v>
      </c>
    </row>
    <row r="7305" spans="1:11" hidden="1" x14ac:dyDescent="0.25">
      <c r="A7305" s="203"/>
      <c r="B7305" s="205"/>
      <c r="C7305" s="31"/>
      <c r="D7305" s="31"/>
      <c r="E7305" s="32"/>
      <c r="F7305" s="42" t="s">
        <v>514</v>
      </c>
      <c r="G7305" s="33" t="str">
        <f t="shared" si="220"/>
        <v/>
      </c>
      <c r="H7305" s="34"/>
      <c r="I7305" s="30"/>
      <c r="J7305" s="148">
        <v>0</v>
      </c>
      <c r="K7305" s="222">
        <v>0</v>
      </c>
    </row>
    <row r="7306" spans="1:11" hidden="1" x14ac:dyDescent="0.25">
      <c r="A7306" s="203"/>
      <c r="B7306" s="205"/>
      <c r="C7306" s="35" t="s">
        <v>7986</v>
      </c>
      <c r="D7306" s="35" t="s">
        <v>20</v>
      </c>
      <c r="E7306" s="36">
        <v>1</v>
      </c>
      <c r="F7306" s="30">
        <v>0</v>
      </c>
      <c r="G7306" s="33">
        <f t="shared" ref="G7306:G7369" si="225">IF(ISNUMBER(F7306),E7306*F7306,"")</f>
        <v>0</v>
      </c>
      <c r="H7306" s="38">
        <f>SUM(G7306:G7306)</f>
        <v>0</v>
      </c>
      <c r="I7306" s="39"/>
      <c r="J7306" s="148">
        <v>0</v>
      </c>
      <c r="K7306" s="222">
        <v>0</v>
      </c>
    </row>
    <row r="7307" spans="1:11" ht="15.75" hidden="1" thickBot="1" x14ac:dyDescent="0.3">
      <c r="A7307" s="209"/>
      <c r="B7307" s="206"/>
      <c r="C7307" s="54"/>
      <c r="D7307" s="54"/>
      <c r="E7307" s="65"/>
      <c r="F7307" s="66" t="s">
        <v>514</v>
      </c>
      <c r="G7307" s="67" t="str">
        <f t="shared" si="225"/>
        <v/>
      </c>
      <c r="H7307" s="68"/>
      <c r="I7307" s="30"/>
      <c r="J7307" s="148">
        <v>0</v>
      </c>
      <c r="K7307" s="222">
        <v>0</v>
      </c>
    </row>
    <row r="7308" spans="1:11" ht="15.75" hidden="1" thickBot="1" x14ac:dyDescent="0.3">
      <c r="A7308" s="202" t="s">
        <v>7933</v>
      </c>
      <c r="B7308" s="204" t="str">
        <f>INDEX(Orçamentária!A:B,MATCH(Composições!A7308,Orçamentária!A:A,0),2)</f>
        <v>Redução 26 mm x 20mm para tubo PEX para gás – GLP</v>
      </c>
      <c r="C7308" s="40"/>
      <c r="D7308" s="25" t="str">
        <f>TRIM(INDEX(Orçamentária!C:C,MATCH(Composições!A7308,Orçamentária!A:A,0),1))</f>
        <v>un</v>
      </c>
      <c r="E7308" s="26"/>
      <c r="F7308" s="41" t="s">
        <v>514</v>
      </c>
      <c r="G7308" s="27" t="str">
        <f t="shared" si="225"/>
        <v/>
      </c>
      <c r="H7308" s="28"/>
      <c r="I7308" s="29"/>
      <c r="J7308" s="148">
        <v>0</v>
      </c>
      <c r="K7308" s="222">
        <v>0</v>
      </c>
    </row>
    <row r="7309" spans="1:11" hidden="1" x14ac:dyDescent="0.25">
      <c r="A7309" s="203"/>
      <c r="B7309" s="205"/>
      <c r="C7309" s="31"/>
      <c r="D7309" s="31"/>
      <c r="E7309" s="32"/>
      <c r="F7309" s="42" t="s">
        <v>514</v>
      </c>
      <c r="G7309" s="33" t="str">
        <f t="shared" si="225"/>
        <v/>
      </c>
      <c r="H7309" s="34"/>
      <c r="I7309" s="30"/>
      <c r="J7309" s="148">
        <v>0</v>
      </c>
      <c r="K7309" s="222">
        <v>0</v>
      </c>
    </row>
    <row r="7310" spans="1:11" hidden="1" x14ac:dyDescent="0.25">
      <c r="A7310" s="203"/>
      <c r="B7310" s="205"/>
      <c r="C7310" s="35" t="s">
        <v>7987</v>
      </c>
      <c r="D7310" s="35" t="s">
        <v>20</v>
      </c>
      <c r="E7310" s="36">
        <v>1</v>
      </c>
      <c r="F7310" s="30">
        <v>0</v>
      </c>
      <c r="G7310" s="33">
        <f t="shared" si="225"/>
        <v>0</v>
      </c>
      <c r="H7310" s="38">
        <f>SUM(G7310:G7310)</f>
        <v>0</v>
      </c>
      <c r="I7310" s="39"/>
      <c r="J7310" s="148">
        <v>0</v>
      </c>
      <c r="K7310" s="222">
        <v>0</v>
      </c>
    </row>
    <row r="7311" spans="1:11" ht="15.75" hidden="1" thickBot="1" x14ac:dyDescent="0.3">
      <c r="A7311" s="209"/>
      <c r="B7311" s="206"/>
      <c r="C7311" s="54"/>
      <c r="D7311" s="54"/>
      <c r="E7311" s="65"/>
      <c r="F7311" s="66" t="s">
        <v>514</v>
      </c>
      <c r="G7311" s="67" t="str">
        <f t="shared" si="225"/>
        <v/>
      </c>
      <c r="H7311" s="68"/>
      <c r="I7311" s="30"/>
      <c r="J7311" s="148">
        <v>0</v>
      </c>
      <c r="K7311" s="222">
        <v>0</v>
      </c>
    </row>
    <row r="7312" spans="1:11" ht="15.75" hidden="1" thickBot="1" x14ac:dyDescent="0.3">
      <c r="A7312" s="202" t="s">
        <v>7934</v>
      </c>
      <c r="B7312" s="204" t="str">
        <f>INDEX(Orçamentária!A:B,MATCH(Composições!A7312,Orçamentária!A:A,0),2)</f>
        <v>Tê Fêmea 26mm X 3/4” para tubo PEX para gás - GLP</v>
      </c>
      <c r="C7312" s="40"/>
      <c r="D7312" s="25" t="str">
        <f>TRIM(INDEX(Orçamentária!C:C,MATCH(Composições!A7312,Orçamentária!A:A,0),1))</f>
        <v>un</v>
      </c>
      <c r="E7312" s="26"/>
      <c r="F7312" s="41" t="s">
        <v>514</v>
      </c>
      <c r="G7312" s="27" t="str">
        <f t="shared" si="225"/>
        <v/>
      </c>
      <c r="H7312" s="28"/>
      <c r="I7312" s="29"/>
      <c r="J7312" s="148">
        <v>0</v>
      </c>
      <c r="K7312" s="222">
        <v>0</v>
      </c>
    </row>
    <row r="7313" spans="1:11" hidden="1" x14ac:dyDescent="0.25">
      <c r="A7313" s="203"/>
      <c r="B7313" s="205"/>
      <c r="C7313" s="31"/>
      <c r="D7313" s="31"/>
      <c r="E7313" s="32"/>
      <c r="F7313" s="42" t="s">
        <v>514</v>
      </c>
      <c r="G7313" s="33" t="str">
        <f t="shared" si="225"/>
        <v/>
      </c>
      <c r="H7313" s="34"/>
      <c r="I7313" s="30"/>
      <c r="J7313" s="148">
        <v>0</v>
      </c>
      <c r="K7313" s="222">
        <v>0</v>
      </c>
    </row>
    <row r="7314" spans="1:11" hidden="1" x14ac:dyDescent="0.25">
      <c r="A7314" s="203"/>
      <c r="B7314" s="205"/>
      <c r="C7314" s="35" t="s">
        <v>7988</v>
      </c>
      <c r="D7314" s="35" t="s">
        <v>20</v>
      </c>
      <c r="E7314" s="36">
        <v>1</v>
      </c>
      <c r="F7314" s="30">
        <v>0</v>
      </c>
      <c r="G7314" s="33">
        <f t="shared" si="225"/>
        <v>0</v>
      </c>
      <c r="H7314" s="38">
        <f>SUM(G7314:G7314)</f>
        <v>0</v>
      </c>
      <c r="I7314" s="39"/>
      <c r="J7314" s="148">
        <v>0</v>
      </c>
      <c r="K7314" s="222">
        <v>0</v>
      </c>
    </row>
    <row r="7315" spans="1:11" ht="15.75" hidden="1" thickBot="1" x14ac:dyDescent="0.3">
      <c r="A7315" s="209"/>
      <c r="B7315" s="206"/>
      <c r="C7315" s="54"/>
      <c r="D7315" s="54"/>
      <c r="E7315" s="65"/>
      <c r="F7315" s="66" t="s">
        <v>514</v>
      </c>
      <c r="G7315" s="67" t="str">
        <f t="shared" si="225"/>
        <v/>
      </c>
      <c r="H7315" s="68"/>
      <c r="I7315" s="30"/>
      <c r="J7315" s="148">
        <v>0</v>
      </c>
      <c r="K7315" s="222">
        <v>0</v>
      </c>
    </row>
    <row r="7316" spans="1:11" ht="15.75" hidden="1" thickBot="1" x14ac:dyDescent="0.3">
      <c r="A7316" s="202" t="s">
        <v>7935</v>
      </c>
      <c r="B7316" s="204" t="str">
        <f>INDEX(Orçamentária!A:B,MATCH(Composições!A7316,Orçamentária!A:A,0),2)</f>
        <v>Tubo de sistema PEX multicamada flexível 20 mm para gás</v>
      </c>
      <c r="C7316" s="40"/>
      <c r="D7316" s="25" t="str">
        <f>TRIM(INDEX(Orçamentária!C:C,MATCH(Composições!A7316,Orçamentária!A:A,0),1))</f>
        <v>m</v>
      </c>
      <c r="E7316" s="26"/>
      <c r="F7316" s="41" t="s">
        <v>514</v>
      </c>
      <c r="G7316" s="27" t="str">
        <f t="shared" si="225"/>
        <v/>
      </c>
      <c r="H7316" s="28"/>
      <c r="I7316" s="29"/>
      <c r="J7316" s="148">
        <v>0</v>
      </c>
      <c r="K7316" s="222">
        <v>0</v>
      </c>
    </row>
    <row r="7317" spans="1:11" hidden="1" x14ac:dyDescent="0.25">
      <c r="A7317" s="203"/>
      <c r="B7317" s="205"/>
      <c r="C7317" s="31"/>
      <c r="D7317" s="31"/>
      <c r="E7317" s="32"/>
      <c r="F7317" s="42" t="s">
        <v>514</v>
      </c>
      <c r="G7317" s="33" t="str">
        <f t="shared" si="225"/>
        <v/>
      </c>
      <c r="H7317" s="34"/>
      <c r="I7317" s="30"/>
      <c r="J7317" s="148">
        <v>0</v>
      </c>
      <c r="K7317" s="222">
        <v>0</v>
      </c>
    </row>
    <row r="7318" spans="1:11" ht="25.5" hidden="1" x14ac:dyDescent="0.25">
      <c r="A7318" s="203"/>
      <c r="B7318" s="205"/>
      <c r="C7318" s="35" t="s">
        <v>3369</v>
      </c>
      <c r="D7318" s="35" t="s">
        <v>92</v>
      </c>
      <c r="E7318" s="36">
        <v>1</v>
      </c>
      <c r="F7318" s="30">
        <v>18.971499999999999</v>
      </c>
      <c r="G7318" s="33">
        <f t="shared" si="225"/>
        <v>18.971499999999999</v>
      </c>
      <c r="H7318" s="38">
        <f>SUM(G7318:G7318)</f>
        <v>18.971499999999999</v>
      </c>
      <c r="I7318" s="39"/>
      <c r="J7318" s="148">
        <v>0</v>
      </c>
      <c r="K7318" s="222">
        <v>0</v>
      </c>
    </row>
    <row r="7319" spans="1:11" ht="15.75" hidden="1" thickBot="1" x14ac:dyDescent="0.3">
      <c r="A7319" s="209"/>
      <c r="B7319" s="206"/>
      <c r="C7319" s="54"/>
      <c r="D7319" s="54"/>
      <c r="E7319" s="65"/>
      <c r="F7319" s="66" t="s">
        <v>514</v>
      </c>
      <c r="G7319" s="67" t="str">
        <f t="shared" si="225"/>
        <v/>
      </c>
      <c r="H7319" s="68"/>
      <c r="I7319" s="30"/>
      <c r="J7319" s="148">
        <v>0</v>
      </c>
      <c r="K7319" s="222">
        <v>0</v>
      </c>
    </row>
    <row r="7320" spans="1:11" ht="15.75" hidden="1" thickBot="1" x14ac:dyDescent="0.3">
      <c r="A7320" s="202" t="s">
        <v>7944</v>
      </c>
      <c r="B7320" s="204" t="str">
        <f>INDEX(Orçamentária!A:B,MATCH(Composições!A7320,Orçamentária!A:A,0),2)</f>
        <v>Tubo de sistema PEX multicamada flexível 26 mm para gás</v>
      </c>
      <c r="C7320" s="40"/>
      <c r="D7320" s="25" t="str">
        <f>TRIM(INDEX(Orçamentária!C:C,MATCH(Composições!A7320,Orçamentária!A:A,0),1))</f>
        <v>m</v>
      </c>
      <c r="E7320" s="26"/>
      <c r="F7320" s="41" t="s">
        <v>514</v>
      </c>
      <c r="G7320" s="27" t="str">
        <f t="shared" si="225"/>
        <v/>
      </c>
      <c r="H7320" s="28"/>
      <c r="I7320" s="29"/>
      <c r="J7320" s="148">
        <v>0</v>
      </c>
      <c r="K7320" s="222">
        <v>0</v>
      </c>
    </row>
    <row r="7321" spans="1:11" hidden="1" x14ac:dyDescent="0.25">
      <c r="A7321" s="203"/>
      <c r="B7321" s="205"/>
      <c r="C7321" s="31"/>
      <c r="D7321" s="31"/>
      <c r="E7321" s="32"/>
      <c r="F7321" s="42" t="s">
        <v>514</v>
      </c>
      <c r="G7321" s="33" t="str">
        <f t="shared" si="225"/>
        <v/>
      </c>
      <c r="H7321" s="34"/>
      <c r="I7321" s="30"/>
      <c r="J7321" s="148">
        <v>0</v>
      </c>
      <c r="K7321" s="222">
        <v>0</v>
      </c>
    </row>
    <row r="7322" spans="1:11" ht="25.5" hidden="1" x14ac:dyDescent="0.25">
      <c r="A7322" s="203"/>
      <c r="B7322" s="205"/>
      <c r="C7322" s="35" t="s">
        <v>3368</v>
      </c>
      <c r="D7322" s="35" t="s">
        <v>92</v>
      </c>
      <c r="E7322" s="36">
        <v>1</v>
      </c>
      <c r="F7322" s="30">
        <v>26.267499999999998</v>
      </c>
      <c r="G7322" s="33">
        <f t="shared" si="225"/>
        <v>26.267499999999998</v>
      </c>
      <c r="H7322" s="38">
        <f>SUM(G7322:G7322)</f>
        <v>26.267499999999998</v>
      </c>
      <c r="I7322" s="39"/>
      <c r="J7322" s="148">
        <v>0</v>
      </c>
      <c r="K7322" s="222">
        <v>0</v>
      </c>
    </row>
    <row r="7323" spans="1:11" ht="15.75" hidden="1" thickBot="1" x14ac:dyDescent="0.3">
      <c r="A7323" s="209"/>
      <c r="B7323" s="206"/>
      <c r="C7323" s="54"/>
      <c r="D7323" s="54"/>
      <c r="E7323" s="65"/>
      <c r="F7323" s="66" t="s">
        <v>514</v>
      </c>
      <c r="G7323" s="67" t="str">
        <f t="shared" si="225"/>
        <v/>
      </c>
      <c r="H7323" s="68"/>
      <c r="I7323" s="30"/>
      <c r="J7323" s="148">
        <v>0</v>
      </c>
      <c r="K7323" s="222">
        <v>0</v>
      </c>
    </row>
    <row r="7324" spans="1:11" ht="15.75" hidden="1" thickBot="1" x14ac:dyDescent="0.3">
      <c r="A7324" s="202" t="s">
        <v>7947</v>
      </c>
      <c r="B7324" s="204" t="str">
        <f>INDEX(Orçamentária!A:B,MATCH(Composições!A7324,Orçamentária!A:A,0),2)</f>
        <v>Pastilha de porcelana (2 x 2 cm) – Fornecimento e instalação</v>
      </c>
      <c r="C7324" s="40"/>
      <c r="D7324" s="25" t="str">
        <f>TRIM(INDEX(Orçamentária!C:C,MATCH(Composições!A7324,Orçamentária!A:A,0),1))</f>
        <v>m2</v>
      </c>
      <c r="E7324" s="26"/>
      <c r="F7324" s="48" t="s">
        <v>514</v>
      </c>
      <c r="G7324" s="27" t="str">
        <f t="shared" si="225"/>
        <v/>
      </c>
      <c r="H7324" s="28"/>
      <c r="I7324" s="29"/>
      <c r="J7324" s="148">
        <v>0</v>
      </c>
      <c r="K7324" s="222">
        <v>0</v>
      </c>
    </row>
    <row r="7325" spans="1:11" hidden="1" x14ac:dyDescent="0.25">
      <c r="A7325" s="207"/>
      <c r="B7325" s="205"/>
      <c r="C7325" s="31"/>
      <c r="D7325" s="31"/>
      <c r="E7325" s="32"/>
      <c r="F7325" s="53" t="s">
        <v>514</v>
      </c>
      <c r="G7325" s="53" t="str">
        <f t="shared" si="225"/>
        <v/>
      </c>
      <c r="H7325" s="72"/>
      <c r="I7325" s="73"/>
      <c r="J7325" s="148">
        <v>0</v>
      </c>
      <c r="K7325" s="222">
        <v>0</v>
      </c>
    </row>
    <row r="7326" spans="1:11" ht="38.25" hidden="1" x14ac:dyDescent="0.25">
      <c r="A7326" s="207"/>
      <c r="B7326" s="205"/>
      <c r="C7326" s="35" t="s">
        <v>8018</v>
      </c>
      <c r="D7326" s="35" t="s">
        <v>982</v>
      </c>
      <c r="E7326" s="36">
        <v>1.1599999999999999</v>
      </c>
      <c r="F7326" s="30">
        <v>179.36949999999999</v>
      </c>
      <c r="G7326" s="53">
        <f t="shared" si="225"/>
        <v>208.06861999999998</v>
      </c>
      <c r="H7326" s="38">
        <f>SUM(G7326:G7329)</f>
        <v>270.16261499999996</v>
      </c>
      <c r="I7326" s="39"/>
      <c r="J7326" s="148">
        <v>0</v>
      </c>
      <c r="K7326" s="222">
        <v>0</v>
      </c>
    </row>
    <row r="7327" spans="1:11" hidden="1" x14ac:dyDescent="0.25">
      <c r="A7327" s="207"/>
      <c r="B7327" s="205"/>
      <c r="C7327" s="35" t="s">
        <v>3490</v>
      </c>
      <c r="D7327" s="35" t="s">
        <v>891</v>
      </c>
      <c r="E7327" s="36">
        <v>9.84</v>
      </c>
      <c r="F7327" s="33">
        <v>1.843</v>
      </c>
      <c r="G7327" s="33">
        <f t="shared" si="225"/>
        <v>18.135120000000001</v>
      </c>
      <c r="H7327" s="34"/>
      <c r="I7327" s="30"/>
      <c r="J7327" s="148">
        <v>0</v>
      </c>
      <c r="K7327" s="222">
        <v>0</v>
      </c>
    </row>
    <row r="7328" spans="1:11" hidden="1" x14ac:dyDescent="0.25">
      <c r="A7328" s="207"/>
      <c r="B7328" s="205"/>
      <c r="C7328" s="35" t="s">
        <v>1215</v>
      </c>
      <c r="D7328" s="35" t="s">
        <v>695</v>
      </c>
      <c r="E7328" s="36">
        <v>1.29</v>
      </c>
      <c r="F7328" s="30">
        <v>24.795000000000002</v>
      </c>
      <c r="G7328" s="53">
        <f t="shared" si="225"/>
        <v>31.985550000000003</v>
      </c>
      <c r="H7328" s="43"/>
      <c r="I7328" s="39"/>
      <c r="J7328" s="148">
        <v>0</v>
      </c>
      <c r="K7328" s="222">
        <v>0</v>
      </c>
    </row>
    <row r="7329" spans="1:11" hidden="1" x14ac:dyDescent="0.25">
      <c r="A7329" s="207"/>
      <c r="B7329" s="205"/>
      <c r="C7329" s="35" t="s">
        <v>696</v>
      </c>
      <c r="D7329" s="35" t="s">
        <v>695</v>
      </c>
      <c r="E7329" s="36">
        <v>0.65</v>
      </c>
      <c r="F7329" s="30">
        <v>18.420500000000001</v>
      </c>
      <c r="G7329" s="53">
        <f t="shared" si="225"/>
        <v>11.973325000000001</v>
      </c>
      <c r="H7329" s="43"/>
      <c r="I7329" s="39"/>
      <c r="J7329" s="148">
        <v>0</v>
      </c>
      <c r="K7329" s="222">
        <v>0</v>
      </c>
    </row>
    <row r="7330" spans="1:11" ht="15.75" hidden="1" thickBot="1" x14ac:dyDescent="0.3">
      <c r="A7330" s="208"/>
      <c r="B7330" s="206"/>
      <c r="C7330" s="54"/>
      <c r="D7330" s="150"/>
      <c r="E7330" s="65"/>
      <c r="F7330" s="75" t="s">
        <v>514</v>
      </c>
      <c r="G7330" s="75" t="str">
        <f t="shared" si="225"/>
        <v/>
      </c>
      <c r="H7330" s="76"/>
      <c r="I7330" s="73"/>
      <c r="J7330" s="148">
        <v>0</v>
      </c>
      <c r="K7330" s="222">
        <v>0</v>
      </c>
    </row>
    <row r="7331" spans="1:11" ht="15.75" hidden="1" thickBot="1" x14ac:dyDescent="0.3">
      <c r="A7331" s="202" t="s">
        <v>7950</v>
      </c>
      <c r="B7331" s="204" t="str">
        <f>INDEX(Orçamentária!A:B,MATCH(Composições!A7331,Orçamentária!A:A,0),2)</f>
        <v>Eletroduto de PEAD de 4"</v>
      </c>
      <c r="C7331" s="40"/>
      <c r="D7331" s="25" t="str">
        <f>TRIM(INDEX(Orçamentária!C:C,MATCH(Composições!A7331,Orçamentária!A:A,0),1))</f>
        <v>m</v>
      </c>
      <c r="E7331" s="26"/>
      <c r="F7331" s="48" t="s">
        <v>514</v>
      </c>
      <c r="G7331" s="27" t="str">
        <f t="shared" si="225"/>
        <v/>
      </c>
      <c r="H7331" s="28"/>
      <c r="I7331" s="29"/>
      <c r="J7331" s="148">
        <v>0</v>
      </c>
      <c r="K7331" s="222">
        <v>0</v>
      </c>
    </row>
    <row r="7332" spans="1:11" hidden="1" x14ac:dyDescent="0.25">
      <c r="A7332" s="207"/>
      <c r="B7332" s="205"/>
      <c r="C7332" s="31"/>
      <c r="D7332" s="31"/>
      <c r="E7332" s="32"/>
      <c r="F7332" s="53" t="s">
        <v>514</v>
      </c>
      <c r="G7332" s="53" t="str">
        <f t="shared" si="225"/>
        <v/>
      </c>
      <c r="H7332" s="72"/>
      <c r="I7332" s="73"/>
      <c r="J7332" s="148">
        <v>0</v>
      </c>
      <c r="K7332" s="222">
        <v>0</v>
      </c>
    </row>
    <row r="7333" spans="1:11" ht="38.25" hidden="1" x14ac:dyDescent="0.25">
      <c r="A7333" s="207"/>
      <c r="B7333" s="205"/>
      <c r="C7333" s="35" t="s">
        <v>7997</v>
      </c>
      <c r="D7333" s="35" t="s">
        <v>473</v>
      </c>
      <c r="E7333" s="36">
        <v>1.1000000000000001</v>
      </c>
      <c r="F7333" s="30">
        <v>13.052999999999999</v>
      </c>
      <c r="G7333" s="53">
        <f t="shared" si="225"/>
        <v>14.3583</v>
      </c>
      <c r="H7333" s="38">
        <f>SUM(G7333:G7335)</f>
        <v>22.026215499999999</v>
      </c>
      <c r="I7333" s="39"/>
      <c r="J7333" s="148">
        <v>0</v>
      </c>
      <c r="K7333" s="222">
        <v>0</v>
      </c>
    </row>
    <row r="7334" spans="1:11" hidden="1" x14ac:dyDescent="0.25">
      <c r="A7334" s="207"/>
      <c r="B7334" s="205"/>
      <c r="C7334" s="35" t="s">
        <v>1150</v>
      </c>
      <c r="D7334" s="35" t="s">
        <v>695</v>
      </c>
      <c r="E7334" s="36">
        <v>0.1721</v>
      </c>
      <c r="F7334" s="33">
        <v>19.4085</v>
      </c>
      <c r="G7334" s="33">
        <f t="shared" si="225"/>
        <v>3.3402028500000003</v>
      </c>
      <c r="H7334" s="34"/>
      <c r="I7334" s="30"/>
      <c r="J7334" s="148">
        <v>0</v>
      </c>
      <c r="K7334" s="222">
        <v>0</v>
      </c>
    </row>
    <row r="7335" spans="1:11" hidden="1" x14ac:dyDescent="0.25">
      <c r="A7335" s="207"/>
      <c r="B7335" s="205"/>
      <c r="C7335" s="35" t="s">
        <v>1151</v>
      </c>
      <c r="D7335" s="35" t="s">
        <v>695</v>
      </c>
      <c r="E7335" s="36">
        <v>0.1721</v>
      </c>
      <c r="F7335" s="30">
        <v>25.146499999999996</v>
      </c>
      <c r="G7335" s="53">
        <f t="shared" si="225"/>
        <v>4.3277126499999996</v>
      </c>
      <c r="H7335" s="43"/>
      <c r="I7335" s="39"/>
      <c r="J7335" s="148">
        <v>0</v>
      </c>
      <c r="K7335" s="222">
        <v>0</v>
      </c>
    </row>
    <row r="7336" spans="1:11" ht="15.75" hidden="1" thickBot="1" x14ac:dyDescent="0.3">
      <c r="A7336" s="208"/>
      <c r="B7336" s="206"/>
      <c r="C7336" s="54"/>
      <c r="D7336" s="150"/>
      <c r="E7336" s="65"/>
      <c r="F7336" s="75" t="s">
        <v>514</v>
      </c>
      <c r="G7336" s="75" t="str">
        <f t="shared" si="225"/>
        <v/>
      </c>
      <c r="H7336" s="76"/>
      <c r="I7336" s="73"/>
      <c r="J7336" s="148">
        <v>0</v>
      </c>
      <c r="K7336" s="222">
        <v>0</v>
      </c>
    </row>
    <row r="7337" spans="1:11" ht="15.75" hidden="1" thickBot="1" x14ac:dyDescent="0.3">
      <c r="A7337" s="202" t="s">
        <v>7954</v>
      </c>
      <c r="B7337" s="204" t="str">
        <f>INDEX(Orçamentária!A:B,MATCH(Composições!A7337,Orçamentária!A:A,0),2)</f>
        <v>Poste de Concreto Circular L=12m</v>
      </c>
      <c r="C7337" s="40"/>
      <c r="D7337" s="25" t="str">
        <f>TRIM(INDEX(Orçamentária!C:C,MATCH(Composições!A7337,Orçamentária!A:A,0),1))</f>
        <v>un</v>
      </c>
      <c r="E7337" s="26"/>
      <c r="F7337" s="48" t="s">
        <v>514</v>
      </c>
      <c r="G7337" s="27" t="str">
        <f t="shared" si="225"/>
        <v/>
      </c>
      <c r="H7337" s="28"/>
      <c r="I7337" s="29"/>
      <c r="J7337" s="148">
        <v>0</v>
      </c>
      <c r="K7337" s="222">
        <v>0</v>
      </c>
    </row>
    <row r="7338" spans="1:11" hidden="1" x14ac:dyDescent="0.25">
      <c r="A7338" s="207"/>
      <c r="B7338" s="205"/>
      <c r="C7338" s="31"/>
      <c r="D7338" s="31"/>
      <c r="E7338" s="32"/>
      <c r="F7338" s="53" t="s">
        <v>514</v>
      </c>
      <c r="G7338" s="53" t="str">
        <f t="shared" si="225"/>
        <v/>
      </c>
      <c r="H7338" s="72"/>
      <c r="I7338" s="73"/>
      <c r="J7338" s="148">
        <v>0</v>
      </c>
      <c r="K7338" s="222">
        <v>0</v>
      </c>
    </row>
    <row r="7339" spans="1:11" hidden="1" x14ac:dyDescent="0.25">
      <c r="A7339" s="207"/>
      <c r="B7339" s="205"/>
      <c r="C7339" s="35" t="s">
        <v>3236</v>
      </c>
      <c r="D7339" s="35" t="s">
        <v>473</v>
      </c>
      <c r="E7339" s="36">
        <v>9</v>
      </c>
      <c r="F7339" s="30">
        <v>28.518999999999998</v>
      </c>
      <c r="G7339" s="53">
        <f t="shared" si="225"/>
        <v>256.67099999999999</v>
      </c>
      <c r="H7339" s="38">
        <f>SUM(G7339:G7343)</f>
        <v>1950.2817614999999</v>
      </c>
      <c r="I7339" s="39"/>
      <c r="J7339" s="148">
        <v>0</v>
      </c>
      <c r="K7339" s="222">
        <v>0</v>
      </c>
    </row>
    <row r="7340" spans="1:11" ht="51" hidden="1" x14ac:dyDescent="0.25">
      <c r="A7340" s="207"/>
      <c r="B7340" s="205"/>
      <c r="C7340" s="35" t="s">
        <v>3180</v>
      </c>
      <c r="D7340" s="35" t="s">
        <v>932</v>
      </c>
      <c r="E7340" s="36">
        <v>7.6999999999999999E-2</v>
      </c>
      <c r="F7340" s="33">
        <v>266.81700000000001</v>
      </c>
      <c r="G7340" s="33">
        <f t="shared" si="225"/>
        <v>20.544909000000001</v>
      </c>
      <c r="H7340" s="34"/>
      <c r="I7340" s="30"/>
      <c r="J7340" s="148">
        <v>0</v>
      </c>
      <c r="K7340" s="222">
        <v>0</v>
      </c>
    </row>
    <row r="7341" spans="1:11" hidden="1" x14ac:dyDescent="0.25">
      <c r="A7341" s="207"/>
      <c r="B7341" s="205"/>
      <c r="C7341" s="35" t="s">
        <v>1150</v>
      </c>
      <c r="D7341" s="35" t="s">
        <v>695</v>
      </c>
      <c r="E7341" s="36">
        <v>1.2330000000000001</v>
      </c>
      <c r="F7341" s="30">
        <v>19.4085</v>
      </c>
      <c r="G7341" s="53">
        <f t="shared" si="225"/>
        <v>23.930680500000001</v>
      </c>
      <c r="H7341" s="43"/>
      <c r="I7341" s="39"/>
      <c r="J7341" s="148">
        <v>0</v>
      </c>
      <c r="K7341" s="222">
        <v>0</v>
      </c>
    </row>
    <row r="7342" spans="1:11" hidden="1" x14ac:dyDescent="0.25">
      <c r="A7342" s="207"/>
      <c r="B7342" s="205"/>
      <c r="C7342" s="35" t="s">
        <v>1151</v>
      </c>
      <c r="D7342" s="35" t="s">
        <v>695</v>
      </c>
      <c r="E7342" s="36">
        <v>4.008</v>
      </c>
      <c r="F7342" s="30">
        <v>25.146499999999996</v>
      </c>
      <c r="G7342" s="53">
        <f t="shared" si="225"/>
        <v>100.78717199999998</v>
      </c>
      <c r="H7342" s="43"/>
      <c r="I7342" s="39"/>
      <c r="J7342" s="148">
        <v>0</v>
      </c>
      <c r="K7342" s="222">
        <v>0</v>
      </c>
    </row>
    <row r="7343" spans="1:11" ht="25.5" hidden="1" x14ac:dyDescent="0.25">
      <c r="A7343" s="207"/>
      <c r="B7343" s="205"/>
      <c r="C7343" s="35" t="s">
        <v>8000</v>
      </c>
      <c r="D7343" s="35" t="s">
        <v>20</v>
      </c>
      <c r="E7343" s="36">
        <v>1</v>
      </c>
      <c r="F7343" s="30">
        <v>1548.348</v>
      </c>
      <c r="G7343" s="53">
        <f t="shared" si="225"/>
        <v>1548.348</v>
      </c>
      <c r="H7343" s="43"/>
      <c r="I7343" s="39"/>
      <c r="J7343" s="148">
        <v>0</v>
      </c>
      <c r="K7343" s="222">
        <v>0</v>
      </c>
    </row>
    <row r="7344" spans="1:11" ht="15.75" hidden="1" thickBot="1" x14ac:dyDescent="0.3">
      <c r="A7344" s="208"/>
      <c r="B7344" s="206"/>
      <c r="C7344" s="54"/>
      <c r="D7344" s="150"/>
      <c r="E7344" s="65"/>
      <c r="F7344" s="75" t="s">
        <v>514</v>
      </c>
      <c r="G7344" s="75" t="str">
        <f t="shared" si="225"/>
        <v/>
      </c>
      <c r="H7344" s="76"/>
      <c r="I7344" s="73"/>
      <c r="J7344" s="148">
        <v>0</v>
      </c>
      <c r="K7344" s="222">
        <v>0</v>
      </c>
    </row>
    <row r="7345" spans="1:11" ht="15.75" hidden="1" thickBot="1" x14ac:dyDescent="0.3">
      <c r="A7345" s="202" t="s">
        <v>7955</v>
      </c>
      <c r="B7345" s="204" t="str">
        <f>INDEX(Orçamentária!A:B,MATCH(Composições!A7345,Orçamentária!A:A,0),2)</f>
        <v>Poste de Concreto Circular L=9m</v>
      </c>
      <c r="C7345" s="40"/>
      <c r="D7345" s="25" t="str">
        <f>TRIM(INDEX(Orçamentária!C:C,MATCH(Composições!A7345,Orçamentária!A:A,0),1))</f>
        <v>un</v>
      </c>
      <c r="E7345" s="26"/>
      <c r="F7345" s="48" t="s">
        <v>514</v>
      </c>
      <c r="G7345" s="27" t="str">
        <f t="shared" si="225"/>
        <v/>
      </c>
      <c r="H7345" s="28"/>
      <c r="I7345" s="29"/>
      <c r="J7345" s="148">
        <v>0</v>
      </c>
      <c r="K7345" s="222">
        <v>0</v>
      </c>
    </row>
    <row r="7346" spans="1:11" hidden="1" x14ac:dyDescent="0.25">
      <c r="A7346" s="207"/>
      <c r="B7346" s="205"/>
      <c r="C7346" s="31"/>
      <c r="D7346" s="31"/>
      <c r="E7346" s="32"/>
      <c r="F7346" s="53" t="s">
        <v>514</v>
      </c>
      <c r="G7346" s="53" t="str">
        <f t="shared" si="225"/>
        <v/>
      </c>
      <c r="H7346" s="72"/>
      <c r="I7346" s="73"/>
      <c r="J7346" s="148">
        <v>0</v>
      </c>
      <c r="K7346" s="222">
        <v>0</v>
      </c>
    </row>
    <row r="7347" spans="1:11" hidden="1" x14ac:dyDescent="0.25">
      <c r="A7347" s="207"/>
      <c r="B7347" s="205"/>
      <c r="C7347" s="35" t="s">
        <v>3236</v>
      </c>
      <c r="D7347" s="35" t="s">
        <v>473</v>
      </c>
      <c r="E7347" s="36">
        <v>12</v>
      </c>
      <c r="F7347" s="30">
        <v>28.518999999999998</v>
      </c>
      <c r="G7347" s="53">
        <f t="shared" si="225"/>
        <v>342.22799999999995</v>
      </c>
      <c r="H7347" s="38">
        <f>SUM(G7347:G7351)</f>
        <v>1941.2627084999999</v>
      </c>
      <c r="I7347" s="39"/>
      <c r="J7347" s="148">
        <v>0</v>
      </c>
      <c r="K7347" s="222">
        <v>0</v>
      </c>
    </row>
    <row r="7348" spans="1:11" ht="51" hidden="1" x14ac:dyDescent="0.25">
      <c r="A7348" s="207"/>
      <c r="B7348" s="205"/>
      <c r="C7348" s="35" t="s">
        <v>3180</v>
      </c>
      <c r="D7348" s="35" t="s">
        <v>932</v>
      </c>
      <c r="E7348" s="36">
        <v>9.9000000000000005E-2</v>
      </c>
      <c r="F7348" s="33">
        <v>266.81700000000001</v>
      </c>
      <c r="G7348" s="33">
        <f t="shared" si="225"/>
        <v>26.414883000000003</v>
      </c>
      <c r="H7348" s="34"/>
      <c r="I7348" s="30"/>
      <c r="J7348" s="148">
        <v>0</v>
      </c>
      <c r="K7348" s="222">
        <v>0</v>
      </c>
    </row>
    <row r="7349" spans="1:11" hidden="1" x14ac:dyDescent="0.25">
      <c r="A7349" s="207"/>
      <c r="B7349" s="205"/>
      <c r="C7349" s="35" t="s">
        <v>1150</v>
      </c>
      <c r="D7349" s="35" t="s">
        <v>695</v>
      </c>
      <c r="E7349" s="36">
        <v>2.234</v>
      </c>
      <c r="F7349" s="30">
        <v>19.4085</v>
      </c>
      <c r="G7349" s="53">
        <f t="shared" si="225"/>
        <v>43.358589000000002</v>
      </c>
      <c r="H7349" s="43"/>
      <c r="I7349" s="39"/>
      <c r="J7349" s="148">
        <v>0</v>
      </c>
      <c r="K7349" s="222">
        <v>0</v>
      </c>
    </row>
    <row r="7350" spans="1:11" hidden="1" x14ac:dyDescent="0.25">
      <c r="A7350" s="207"/>
      <c r="B7350" s="205"/>
      <c r="C7350" s="35" t="s">
        <v>1151</v>
      </c>
      <c r="D7350" s="35" t="s">
        <v>695</v>
      </c>
      <c r="E7350" s="36">
        <v>7.2610000000000001</v>
      </c>
      <c r="F7350" s="30">
        <v>25.146499999999996</v>
      </c>
      <c r="G7350" s="53">
        <f t="shared" si="225"/>
        <v>182.58873649999998</v>
      </c>
      <c r="H7350" s="43"/>
      <c r="I7350" s="39"/>
      <c r="J7350" s="148">
        <v>0</v>
      </c>
      <c r="K7350" s="222">
        <v>0</v>
      </c>
    </row>
    <row r="7351" spans="1:11" ht="25.5" hidden="1" x14ac:dyDescent="0.25">
      <c r="A7351" s="207"/>
      <c r="B7351" s="205"/>
      <c r="C7351" s="35" t="s">
        <v>8001</v>
      </c>
      <c r="D7351" s="35" t="s">
        <v>20</v>
      </c>
      <c r="E7351" s="36">
        <v>1</v>
      </c>
      <c r="F7351" s="30">
        <v>1346.6724999999999</v>
      </c>
      <c r="G7351" s="53">
        <f t="shared" si="225"/>
        <v>1346.6724999999999</v>
      </c>
      <c r="H7351" s="43"/>
      <c r="I7351" s="39"/>
      <c r="J7351" s="148">
        <v>0</v>
      </c>
      <c r="K7351" s="222">
        <v>0</v>
      </c>
    </row>
    <row r="7352" spans="1:11" ht="15.75" hidden="1" thickBot="1" x14ac:dyDescent="0.3">
      <c r="A7352" s="208"/>
      <c r="B7352" s="206"/>
      <c r="C7352" s="54"/>
      <c r="D7352" s="150"/>
      <c r="E7352" s="65"/>
      <c r="F7352" s="75" t="s">
        <v>514</v>
      </c>
      <c r="G7352" s="75" t="str">
        <f t="shared" si="225"/>
        <v/>
      </c>
      <c r="H7352" s="76"/>
      <c r="I7352" s="73"/>
      <c r="J7352" s="148">
        <v>0</v>
      </c>
      <c r="K7352" s="222">
        <v>0</v>
      </c>
    </row>
    <row r="7353" spans="1:11" ht="15.75" hidden="1" thickBot="1" x14ac:dyDescent="0.3">
      <c r="A7353" s="202" t="s">
        <v>7956</v>
      </c>
      <c r="B7353" s="204" t="str">
        <f>INDEX(Orçamentária!A:B,MATCH(Composições!A7353,Orçamentária!A:A,0),2)</f>
        <v>Suporte para luminária de poste triplo</v>
      </c>
      <c r="C7353" s="40"/>
      <c r="D7353" s="25" t="str">
        <f>TRIM(INDEX(Orçamentária!C:C,MATCH(Composições!A7353,Orçamentária!A:A,0),1))</f>
        <v>un</v>
      </c>
      <c r="E7353" s="26"/>
      <c r="F7353" s="48" t="s">
        <v>514</v>
      </c>
      <c r="G7353" s="27" t="str">
        <f t="shared" si="225"/>
        <v/>
      </c>
      <c r="H7353" s="28"/>
      <c r="I7353" s="29"/>
      <c r="J7353" s="148">
        <v>0</v>
      </c>
      <c r="K7353" s="222">
        <v>0</v>
      </c>
    </row>
    <row r="7354" spans="1:11" hidden="1" x14ac:dyDescent="0.25">
      <c r="A7354" s="207"/>
      <c r="B7354" s="205"/>
      <c r="C7354" s="31"/>
      <c r="D7354" s="31"/>
      <c r="E7354" s="32"/>
      <c r="F7354" s="53" t="s">
        <v>514</v>
      </c>
      <c r="G7354" s="53" t="str">
        <f t="shared" si="225"/>
        <v/>
      </c>
      <c r="H7354" s="72"/>
      <c r="I7354" s="73"/>
      <c r="J7354" s="148">
        <v>0</v>
      </c>
      <c r="K7354" s="222">
        <v>0</v>
      </c>
    </row>
    <row r="7355" spans="1:11" ht="25.5" hidden="1" x14ac:dyDescent="0.25">
      <c r="A7355" s="207"/>
      <c r="B7355" s="205"/>
      <c r="C7355" s="35" t="s">
        <v>8029</v>
      </c>
      <c r="D7355" s="35" t="s">
        <v>20</v>
      </c>
      <c r="E7355" s="36">
        <v>1</v>
      </c>
      <c r="F7355" s="30">
        <v>0</v>
      </c>
      <c r="G7355" s="53">
        <f t="shared" si="225"/>
        <v>0</v>
      </c>
      <c r="H7355" s="38">
        <f>SUM(G7355:G7357)</f>
        <v>11.138749999999998</v>
      </c>
      <c r="I7355" s="39"/>
      <c r="J7355" s="148">
        <v>0</v>
      </c>
      <c r="K7355" s="222">
        <v>0</v>
      </c>
    </row>
    <row r="7356" spans="1:11" hidden="1" x14ac:dyDescent="0.25">
      <c r="A7356" s="207"/>
      <c r="B7356" s="205"/>
      <c r="C7356" s="35" t="s">
        <v>1150</v>
      </c>
      <c r="D7356" s="35" t="s">
        <v>695</v>
      </c>
      <c r="E7356" s="36">
        <v>0.25</v>
      </c>
      <c r="F7356" s="33">
        <v>19.4085</v>
      </c>
      <c r="G7356" s="33">
        <f t="shared" si="225"/>
        <v>4.852125</v>
      </c>
      <c r="H7356" s="34"/>
      <c r="I7356" s="30"/>
      <c r="J7356" s="148">
        <v>0</v>
      </c>
      <c r="K7356" s="222">
        <v>0</v>
      </c>
    </row>
    <row r="7357" spans="1:11" hidden="1" x14ac:dyDescent="0.25">
      <c r="A7357" s="207"/>
      <c r="B7357" s="205"/>
      <c r="C7357" s="35" t="s">
        <v>1151</v>
      </c>
      <c r="D7357" s="35" t="s">
        <v>695</v>
      </c>
      <c r="E7357" s="36">
        <v>0.25</v>
      </c>
      <c r="F7357" s="30">
        <v>25.146499999999996</v>
      </c>
      <c r="G7357" s="53">
        <f t="shared" si="225"/>
        <v>6.286624999999999</v>
      </c>
      <c r="H7357" s="43"/>
      <c r="I7357" s="39"/>
      <c r="J7357" s="148">
        <v>0</v>
      </c>
      <c r="K7357" s="222">
        <v>0</v>
      </c>
    </row>
    <row r="7358" spans="1:11" ht="15.75" hidden="1" thickBot="1" x14ac:dyDescent="0.3">
      <c r="A7358" s="208"/>
      <c r="B7358" s="206"/>
      <c r="C7358" s="54"/>
      <c r="D7358" s="150"/>
      <c r="E7358" s="65"/>
      <c r="F7358" s="75" t="s">
        <v>514</v>
      </c>
      <c r="G7358" s="75" t="str">
        <f t="shared" si="225"/>
        <v/>
      </c>
      <c r="H7358" s="76"/>
      <c r="I7358" s="73"/>
      <c r="J7358" s="148">
        <v>0</v>
      </c>
      <c r="K7358" s="222">
        <v>0</v>
      </c>
    </row>
    <row r="7359" spans="1:11" ht="15.75" hidden="1" thickBot="1" x14ac:dyDescent="0.3">
      <c r="A7359" s="202" t="s">
        <v>7957</v>
      </c>
      <c r="B7359" s="204" t="str">
        <f>INDEX(Orçamentária!A:B,MATCH(Composições!A7359,Orçamentária!A:A,0),2)</f>
        <v>Remoção de poste de iluminação</v>
      </c>
      <c r="C7359" s="40"/>
      <c r="D7359" s="25" t="str">
        <f>TRIM(INDEX(Orçamentária!C:C,MATCH(Composições!A7359,Orçamentária!A:A,0),1))</f>
        <v>un</v>
      </c>
      <c r="E7359" s="26"/>
      <c r="F7359" s="48" t="s">
        <v>514</v>
      </c>
      <c r="G7359" s="27" t="str">
        <f t="shared" si="225"/>
        <v/>
      </c>
      <c r="H7359" s="28"/>
      <c r="I7359" s="29"/>
      <c r="J7359" s="148">
        <v>0</v>
      </c>
      <c r="K7359" s="222">
        <v>0</v>
      </c>
    </row>
    <row r="7360" spans="1:11" hidden="1" x14ac:dyDescent="0.25">
      <c r="A7360" s="207"/>
      <c r="B7360" s="205"/>
      <c r="C7360" s="31"/>
      <c r="D7360" s="31"/>
      <c r="E7360" s="32"/>
      <c r="F7360" s="53" t="s">
        <v>514</v>
      </c>
      <c r="G7360" s="53" t="str">
        <f t="shared" si="225"/>
        <v/>
      </c>
      <c r="H7360" s="72"/>
      <c r="I7360" s="73"/>
      <c r="J7360" s="148">
        <v>0</v>
      </c>
      <c r="K7360" s="222">
        <v>0</v>
      </c>
    </row>
    <row r="7361" spans="1:11" hidden="1" x14ac:dyDescent="0.25">
      <c r="A7361" s="207"/>
      <c r="B7361" s="205"/>
      <c r="C7361" s="35" t="s">
        <v>1150</v>
      </c>
      <c r="D7361" s="35" t="s">
        <v>695</v>
      </c>
      <c r="E7361" s="36">
        <v>5</v>
      </c>
      <c r="F7361" s="33">
        <v>19.4085</v>
      </c>
      <c r="G7361" s="53">
        <f t="shared" si="225"/>
        <v>97.042500000000004</v>
      </c>
      <c r="H7361" s="38">
        <f>SUM(G7361:G7362)</f>
        <v>222.77499999999998</v>
      </c>
      <c r="I7361" s="39"/>
      <c r="J7361" s="148">
        <v>0</v>
      </c>
      <c r="K7361" s="222">
        <v>0</v>
      </c>
    </row>
    <row r="7362" spans="1:11" hidden="1" x14ac:dyDescent="0.25">
      <c r="A7362" s="207"/>
      <c r="B7362" s="205"/>
      <c r="C7362" s="35" t="s">
        <v>1151</v>
      </c>
      <c r="D7362" s="35" t="s">
        <v>695</v>
      </c>
      <c r="E7362" s="36">
        <v>5</v>
      </c>
      <c r="F7362" s="30">
        <v>25.146499999999996</v>
      </c>
      <c r="G7362" s="33">
        <f t="shared" si="225"/>
        <v>125.73249999999999</v>
      </c>
      <c r="H7362" s="34"/>
      <c r="I7362" s="30"/>
      <c r="J7362" s="148">
        <v>0</v>
      </c>
      <c r="K7362" s="222">
        <v>0</v>
      </c>
    </row>
    <row r="7363" spans="1:11" ht="15.75" hidden="1" thickBot="1" x14ac:dyDescent="0.3">
      <c r="A7363" s="208"/>
      <c r="B7363" s="206"/>
      <c r="C7363" s="54"/>
      <c r="D7363" s="150"/>
      <c r="E7363" s="65"/>
      <c r="F7363" s="75" t="s">
        <v>514</v>
      </c>
      <c r="G7363" s="75" t="str">
        <f t="shared" si="225"/>
        <v/>
      </c>
      <c r="H7363" s="76"/>
      <c r="I7363" s="73"/>
      <c r="J7363" s="148">
        <v>0</v>
      </c>
      <c r="K7363" s="222">
        <v>0</v>
      </c>
    </row>
    <row r="7364" spans="1:11" ht="15.75" hidden="1" thickBot="1" x14ac:dyDescent="0.3">
      <c r="A7364" s="202" t="s">
        <v>7958</v>
      </c>
      <c r="B7364" s="204" t="str">
        <f>INDEX(Orçamentária!A:B,MATCH(Composições!A7364,Orçamentária!A:A,0),2)</f>
        <v>Remoção de braço de iluminação</v>
      </c>
      <c r="C7364" s="40"/>
      <c r="D7364" s="25" t="str">
        <f>TRIM(INDEX(Orçamentária!C:C,MATCH(Composições!A7364,Orçamentária!A:A,0),1))</f>
        <v>un</v>
      </c>
      <c r="E7364" s="26"/>
      <c r="F7364" s="48" t="s">
        <v>514</v>
      </c>
      <c r="G7364" s="27" t="str">
        <f t="shared" si="225"/>
        <v/>
      </c>
      <c r="H7364" s="28"/>
      <c r="I7364" s="29"/>
      <c r="J7364" s="148">
        <v>0</v>
      </c>
      <c r="K7364" s="222">
        <v>0</v>
      </c>
    </row>
    <row r="7365" spans="1:11" hidden="1" x14ac:dyDescent="0.25">
      <c r="A7365" s="207"/>
      <c r="B7365" s="205"/>
      <c r="C7365" s="31"/>
      <c r="D7365" s="31"/>
      <c r="E7365" s="32"/>
      <c r="F7365" s="53" t="s">
        <v>514</v>
      </c>
      <c r="G7365" s="53" t="str">
        <f t="shared" si="225"/>
        <v/>
      </c>
      <c r="H7365" s="72"/>
      <c r="I7365" s="73"/>
      <c r="J7365" s="148">
        <v>0</v>
      </c>
      <c r="K7365" s="222">
        <v>0</v>
      </c>
    </row>
    <row r="7366" spans="1:11" hidden="1" x14ac:dyDescent="0.25">
      <c r="A7366" s="207"/>
      <c r="B7366" s="205"/>
      <c r="C7366" s="35" t="s">
        <v>1150</v>
      </c>
      <c r="D7366" s="35" t="s">
        <v>695</v>
      </c>
      <c r="E7366" s="36">
        <v>0.8</v>
      </c>
      <c r="F7366" s="33">
        <v>19.4085</v>
      </c>
      <c r="G7366" s="53">
        <f t="shared" si="225"/>
        <v>15.526800000000001</v>
      </c>
      <c r="H7366" s="38">
        <f>SUM(G7366:G7367)</f>
        <v>35.643999999999998</v>
      </c>
      <c r="I7366" s="39"/>
      <c r="J7366" s="148">
        <v>0</v>
      </c>
      <c r="K7366" s="222">
        <v>0</v>
      </c>
    </row>
    <row r="7367" spans="1:11" hidden="1" x14ac:dyDescent="0.25">
      <c r="A7367" s="207"/>
      <c r="B7367" s="205"/>
      <c r="C7367" s="35" t="s">
        <v>1151</v>
      </c>
      <c r="D7367" s="35" t="s">
        <v>695</v>
      </c>
      <c r="E7367" s="36">
        <v>0.8</v>
      </c>
      <c r="F7367" s="30">
        <v>25.146499999999996</v>
      </c>
      <c r="G7367" s="33">
        <f t="shared" si="225"/>
        <v>20.117199999999997</v>
      </c>
      <c r="H7367" s="34"/>
      <c r="I7367" s="30"/>
      <c r="J7367" s="148">
        <v>0</v>
      </c>
      <c r="K7367" s="222">
        <v>0</v>
      </c>
    </row>
    <row r="7368" spans="1:11" ht="15.75" hidden="1" thickBot="1" x14ac:dyDescent="0.3">
      <c r="A7368" s="208"/>
      <c r="B7368" s="206"/>
      <c r="C7368" s="54"/>
      <c r="D7368" s="150"/>
      <c r="E7368" s="65"/>
      <c r="F7368" s="75" t="s">
        <v>514</v>
      </c>
      <c r="G7368" s="75" t="str">
        <f t="shared" si="225"/>
        <v/>
      </c>
      <c r="H7368" s="76"/>
      <c r="I7368" s="73"/>
      <c r="J7368" s="148">
        <v>0</v>
      </c>
      <c r="K7368" s="222">
        <v>0</v>
      </c>
    </row>
    <row r="7369" spans="1:11" ht="15.75" hidden="1" thickBot="1" x14ac:dyDescent="0.3">
      <c r="A7369" s="202" t="s">
        <v>7959</v>
      </c>
      <c r="B7369" s="204" t="str">
        <f>INDEX(Orçamentária!A:B,MATCH(Composições!A7369,Orçamentária!A:A,0),2)</f>
        <v>Cabo 3x10mm²</v>
      </c>
      <c r="C7369" s="40"/>
      <c r="D7369" s="25" t="str">
        <f>TRIM(INDEX(Orçamentária!C:C,MATCH(Composições!A7369,Orçamentária!A:A,0),1))</f>
        <v>m</v>
      </c>
      <c r="E7369" s="26"/>
      <c r="F7369" s="41" t="s">
        <v>514</v>
      </c>
      <c r="G7369" s="27" t="str">
        <f t="shared" si="225"/>
        <v/>
      </c>
      <c r="H7369" s="28"/>
      <c r="I7369" s="29"/>
      <c r="J7369" s="148">
        <v>0</v>
      </c>
      <c r="K7369" s="222">
        <v>0</v>
      </c>
    </row>
    <row r="7370" spans="1:11" hidden="1" x14ac:dyDescent="0.25">
      <c r="A7370" s="203"/>
      <c r="B7370" s="205"/>
      <c r="C7370" s="31"/>
      <c r="D7370" s="31"/>
      <c r="E7370" s="32"/>
      <c r="F7370" s="42" t="s">
        <v>514</v>
      </c>
      <c r="G7370" s="30" t="str">
        <f t="shared" ref="G7370:G7433" si="226">IF(ISNUMBER(F7370),E7370*F7370,"")</f>
        <v/>
      </c>
      <c r="H7370" s="34"/>
      <c r="I7370" s="30"/>
      <c r="J7370" s="148">
        <v>0</v>
      </c>
      <c r="K7370" s="222">
        <v>0</v>
      </c>
    </row>
    <row r="7371" spans="1:11" hidden="1" x14ac:dyDescent="0.25">
      <c r="A7371" s="203"/>
      <c r="B7371" s="205"/>
      <c r="C7371" s="35" t="s">
        <v>74</v>
      </c>
      <c r="D7371" s="35" t="s">
        <v>12</v>
      </c>
      <c r="E7371" s="36">
        <v>6.08E-2</v>
      </c>
      <c r="F7371" s="30">
        <v>19.4085</v>
      </c>
      <c r="G7371" s="33">
        <f t="shared" si="226"/>
        <v>1.1800368000000001</v>
      </c>
      <c r="H7371" s="38">
        <f>SUM(G7371:G7374)</f>
        <v>2.7474189999999998</v>
      </c>
      <c r="I7371" s="39"/>
      <c r="J7371" s="148">
        <v>0</v>
      </c>
      <c r="K7371" s="222">
        <v>0</v>
      </c>
    </row>
    <row r="7372" spans="1:11" hidden="1" x14ac:dyDescent="0.25">
      <c r="A7372" s="203"/>
      <c r="B7372" s="205"/>
      <c r="C7372" s="35" t="s">
        <v>30</v>
      </c>
      <c r="D7372" s="35" t="s">
        <v>12</v>
      </c>
      <c r="E7372" s="36">
        <v>6.08E-2</v>
      </c>
      <c r="F7372" s="30">
        <v>25.146499999999996</v>
      </c>
      <c r="G7372" s="33">
        <f t="shared" si="226"/>
        <v>1.5289071999999997</v>
      </c>
      <c r="H7372" s="34"/>
      <c r="I7372" s="30"/>
      <c r="J7372" s="148">
        <v>0</v>
      </c>
      <c r="K7372" s="222">
        <v>0</v>
      </c>
    </row>
    <row r="7373" spans="1:11" ht="25.5" hidden="1" x14ac:dyDescent="0.25">
      <c r="A7373" s="203"/>
      <c r="B7373" s="205"/>
      <c r="C7373" s="35" t="s">
        <v>8030</v>
      </c>
      <c r="D7373" s="35" t="s">
        <v>92</v>
      </c>
      <c r="E7373" s="36">
        <v>1.0149999999999999</v>
      </c>
      <c r="F7373" s="33" t="s">
        <v>514</v>
      </c>
      <c r="G7373" s="33" t="str">
        <f t="shared" si="226"/>
        <v/>
      </c>
      <c r="H7373" s="34"/>
      <c r="I7373" s="30"/>
      <c r="J7373" s="148">
        <v>0</v>
      </c>
      <c r="K7373" s="222">
        <v>0</v>
      </c>
    </row>
    <row r="7374" spans="1:11" hidden="1" x14ac:dyDescent="0.25">
      <c r="A7374" s="203"/>
      <c r="B7374" s="205"/>
      <c r="C7374" s="35" t="s">
        <v>546</v>
      </c>
      <c r="D7374" s="35" t="s">
        <v>20</v>
      </c>
      <c r="E7374" s="36">
        <v>8.9999999999999993E-3</v>
      </c>
      <c r="F7374" s="33">
        <v>4.2749999999999995</v>
      </c>
      <c r="G7374" s="33">
        <f t="shared" si="226"/>
        <v>3.8474999999999995E-2</v>
      </c>
      <c r="H7374" s="34"/>
      <c r="I7374" s="30"/>
      <c r="J7374" s="148">
        <v>0</v>
      </c>
      <c r="K7374" s="222">
        <v>0</v>
      </c>
    </row>
    <row r="7375" spans="1:11" ht="15.75" hidden="1" thickBot="1" x14ac:dyDescent="0.3">
      <c r="A7375" s="209"/>
      <c r="B7375" s="206"/>
      <c r="C7375" s="35"/>
      <c r="D7375" s="35"/>
      <c r="E7375" s="36"/>
      <c r="F7375" s="30" t="s">
        <v>514</v>
      </c>
      <c r="G7375" s="30" t="str">
        <f t="shared" si="226"/>
        <v/>
      </c>
      <c r="H7375" s="34"/>
      <c r="I7375" s="30"/>
      <c r="J7375" s="148">
        <v>0</v>
      </c>
      <c r="K7375" s="222">
        <v>0</v>
      </c>
    </row>
    <row r="7376" spans="1:11" ht="15.75" hidden="1" thickBot="1" x14ac:dyDescent="0.3">
      <c r="A7376" s="202" t="s">
        <v>7960</v>
      </c>
      <c r="B7376" s="204" t="str">
        <f>INDEX(Orçamentária!A:B,MATCH(Composições!A7376,Orçamentária!A:A,0),2)</f>
        <v>Quadro elétrico tipo PTTA/TTA para uso ao tempo</v>
      </c>
      <c r="C7376" s="40"/>
      <c r="D7376" s="25" t="str">
        <f>TRIM(INDEX(Orçamentária!C:C,MATCH(Composições!A7376,Orçamentária!A:A,0),1))</f>
        <v>un</v>
      </c>
      <c r="E7376" s="26"/>
      <c r="F7376" s="41" t="s">
        <v>514</v>
      </c>
      <c r="G7376" s="27" t="str">
        <f t="shared" si="226"/>
        <v/>
      </c>
      <c r="H7376" s="28"/>
      <c r="I7376" s="29"/>
      <c r="J7376" s="148">
        <v>0</v>
      </c>
      <c r="K7376" s="222">
        <v>0</v>
      </c>
    </row>
    <row r="7377" spans="1:11" hidden="1" x14ac:dyDescent="0.25">
      <c r="A7377" s="203"/>
      <c r="B7377" s="205"/>
      <c r="C7377" s="31"/>
      <c r="D7377" s="31"/>
      <c r="E7377" s="32"/>
      <c r="F7377" s="42" t="s">
        <v>514</v>
      </c>
      <c r="G7377" s="30" t="str">
        <f t="shared" si="226"/>
        <v/>
      </c>
      <c r="H7377" s="34"/>
      <c r="I7377" s="30"/>
      <c r="J7377" s="148">
        <v>0</v>
      </c>
      <c r="K7377" s="222">
        <v>0</v>
      </c>
    </row>
    <row r="7378" spans="1:11" ht="38.25" hidden="1" x14ac:dyDescent="0.25">
      <c r="A7378" s="203"/>
      <c r="B7378" s="205"/>
      <c r="C7378" s="35" t="s">
        <v>8033</v>
      </c>
      <c r="D7378" s="46" t="s">
        <v>20</v>
      </c>
      <c r="E7378" s="36">
        <v>1</v>
      </c>
      <c r="F7378" s="33" t="s">
        <v>514</v>
      </c>
      <c r="G7378" s="30" t="str">
        <f t="shared" si="226"/>
        <v/>
      </c>
      <c r="H7378" s="38">
        <f>SUM(G7378:G7381)</f>
        <v>43.386627805126395</v>
      </c>
      <c r="I7378" s="39"/>
      <c r="J7378" s="148">
        <v>0</v>
      </c>
      <c r="K7378" s="222">
        <v>0</v>
      </c>
    </row>
    <row r="7379" spans="1:11" ht="38.25" hidden="1" x14ac:dyDescent="0.25">
      <c r="A7379" s="203"/>
      <c r="B7379" s="205"/>
      <c r="C7379" s="35" t="s">
        <v>3211</v>
      </c>
      <c r="D7379" s="46" t="s">
        <v>119</v>
      </c>
      <c r="E7379" s="36">
        <v>1.9199999999999998E-2</v>
      </c>
      <c r="F7379" s="30">
        <v>789.17314089199988</v>
      </c>
      <c r="G7379" s="30">
        <f t="shared" si="226"/>
        <v>15.152124305126396</v>
      </c>
      <c r="H7379" s="34"/>
      <c r="I7379" s="30"/>
      <c r="J7379" s="148">
        <v>0</v>
      </c>
      <c r="K7379" s="222">
        <v>0</v>
      </c>
    </row>
    <row r="7380" spans="1:11" hidden="1" x14ac:dyDescent="0.25">
      <c r="A7380" s="203"/>
      <c r="B7380" s="205"/>
      <c r="C7380" s="35" t="s">
        <v>74</v>
      </c>
      <c r="D7380" s="46" t="s">
        <v>12</v>
      </c>
      <c r="E7380" s="36">
        <v>0.63370000000000004</v>
      </c>
      <c r="F7380" s="30">
        <v>19.4085</v>
      </c>
      <c r="G7380" s="30">
        <f t="shared" si="226"/>
        <v>12.299166450000001</v>
      </c>
      <c r="H7380" s="34"/>
      <c r="I7380" s="30"/>
      <c r="J7380" s="148">
        <v>0</v>
      </c>
      <c r="K7380" s="222">
        <v>0</v>
      </c>
    </row>
    <row r="7381" spans="1:11" hidden="1" x14ac:dyDescent="0.25">
      <c r="A7381" s="203"/>
      <c r="B7381" s="205"/>
      <c r="C7381" s="35" t="s">
        <v>30</v>
      </c>
      <c r="D7381" s="46" t="s">
        <v>12</v>
      </c>
      <c r="E7381" s="36">
        <v>0.63370000000000004</v>
      </c>
      <c r="F7381" s="30">
        <v>25.146499999999996</v>
      </c>
      <c r="G7381" s="33">
        <f t="shared" si="226"/>
        <v>15.935337049999999</v>
      </c>
      <c r="H7381" s="34"/>
      <c r="I7381" s="30"/>
      <c r="J7381" s="148">
        <v>0</v>
      </c>
      <c r="K7381" s="222">
        <v>0</v>
      </c>
    </row>
    <row r="7382" spans="1:11" ht="15.75" hidden="1" thickBot="1" x14ac:dyDescent="0.3">
      <c r="A7382" s="203"/>
      <c r="B7382" s="206"/>
      <c r="C7382" s="35"/>
      <c r="D7382" s="35"/>
      <c r="E7382" s="36"/>
      <c r="F7382" s="30" t="s">
        <v>514</v>
      </c>
      <c r="G7382" s="30" t="str">
        <f t="shared" si="226"/>
        <v/>
      </c>
      <c r="H7382" s="34"/>
      <c r="I7382" s="30"/>
      <c r="J7382" s="148">
        <v>0</v>
      </c>
      <c r="K7382" s="222">
        <v>0</v>
      </c>
    </row>
    <row r="7383" spans="1:11" ht="15.75" hidden="1" thickBot="1" x14ac:dyDescent="0.3">
      <c r="A7383" s="202" t="s">
        <v>7961</v>
      </c>
      <c r="B7383" s="204" t="str">
        <f>INDEX(Orçamentária!A:B,MATCH(Composições!A7383,Orçamentária!A:A,0),2)</f>
        <v>Luminária LED para poste 230W</v>
      </c>
      <c r="C7383" s="40"/>
      <c r="D7383" s="25" t="str">
        <f>TRIM(INDEX(Orçamentária!C:C,MATCH(Composições!A7383,Orçamentária!A:A,0),1))</f>
        <v>un</v>
      </c>
      <c r="E7383" s="26"/>
      <c r="F7383" s="41" t="s">
        <v>514</v>
      </c>
      <c r="G7383" s="27" t="str">
        <f t="shared" si="226"/>
        <v/>
      </c>
      <c r="H7383" s="28"/>
      <c r="I7383" s="29"/>
      <c r="J7383" s="148">
        <v>0</v>
      </c>
      <c r="K7383" s="222">
        <v>0</v>
      </c>
    </row>
    <row r="7384" spans="1:11" hidden="1" x14ac:dyDescent="0.25">
      <c r="A7384" s="203"/>
      <c r="B7384" s="205"/>
      <c r="C7384" s="31"/>
      <c r="D7384" s="31"/>
      <c r="E7384" s="32"/>
      <c r="F7384" s="42" t="s">
        <v>514</v>
      </c>
      <c r="G7384" s="30" t="str">
        <f t="shared" si="226"/>
        <v/>
      </c>
      <c r="H7384" s="34"/>
      <c r="I7384" s="30"/>
      <c r="J7384" s="148">
        <v>0</v>
      </c>
      <c r="K7384" s="222">
        <v>0</v>
      </c>
    </row>
    <row r="7385" spans="1:11" ht="51" hidden="1" x14ac:dyDescent="0.25">
      <c r="A7385" s="203"/>
      <c r="B7385" s="205"/>
      <c r="C7385" s="35" t="s">
        <v>3180</v>
      </c>
      <c r="D7385" s="46" t="s">
        <v>932</v>
      </c>
      <c r="E7385" s="36">
        <v>0.23880000000000001</v>
      </c>
      <c r="F7385" s="33">
        <v>266.81700000000001</v>
      </c>
      <c r="G7385" s="30">
        <f t="shared" si="226"/>
        <v>63.715899600000007</v>
      </c>
      <c r="H7385" s="38">
        <f>SUM(G7385:G7389)</f>
        <v>925.05229510000004</v>
      </c>
      <c r="I7385" s="39"/>
      <c r="J7385" s="148">
        <v>0</v>
      </c>
      <c r="K7385" s="222">
        <v>0</v>
      </c>
    </row>
    <row r="7386" spans="1:11" ht="25.5" hidden="1" x14ac:dyDescent="0.25">
      <c r="A7386" s="203"/>
      <c r="B7386" s="205"/>
      <c r="C7386" s="35" t="s">
        <v>3303</v>
      </c>
      <c r="D7386" s="46" t="s">
        <v>278</v>
      </c>
      <c r="E7386" s="36">
        <v>1.4E-2</v>
      </c>
      <c r="F7386" s="30">
        <v>4.2749999999999995</v>
      </c>
      <c r="G7386" s="30">
        <f t="shared" si="226"/>
        <v>5.9849999999999993E-2</v>
      </c>
      <c r="H7386" s="34"/>
      <c r="I7386" s="30"/>
      <c r="J7386" s="148">
        <v>0</v>
      </c>
      <c r="K7386" s="222">
        <v>0</v>
      </c>
    </row>
    <row r="7387" spans="1:11" ht="25.5" hidden="1" x14ac:dyDescent="0.25">
      <c r="A7387" s="203"/>
      <c r="B7387" s="205"/>
      <c r="C7387" s="35" t="s">
        <v>7999</v>
      </c>
      <c r="D7387" s="46" t="s">
        <v>278</v>
      </c>
      <c r="E7387" s="36">
        <v>1</v>
      </c>
      <c r="F7387" s="30">
        <v>850.66800000000001</v>
      </c>
      <c r="G7387" s="30">
        <f t="shared" si="226"/>
        <v>850.66800000000001</v>
      </c>
      <c r="H7387" s="34"/>
      <c r="I7387" s="30"/>
      <c r="J7387" s="148">
        <v>0</v>
      </c>
      <c r="K7387" s="222">
        <v>0</v>
      </c>
    </row>
    <row r="7388" spans="1:11" hidden="1" x14ac:dyDescent="0.25">
      <c r="A7388" s="203"/>
      <c r="B7388" s="205"/>
      <c r="C7388" s="35" t="s">
        <v>1150</v>
      </c>
      <c r="D7388" s="46" t="s">
        <v>695</v>
      </c>
      <c r="E7388" s="36">
        <v>0.23810000000000001</v>
      </c>
      <c r="F7388" s="30">
        <v>19.4085</v>
      </c>
      <c r="G7388" s="30">
        <f t="shared" si="226"/>
        <v>4.6211638500000003</v>
      </c>
      <c r="H7388" s="34"/>
      <c r="I7388" s="30"/>
      <c r="J7388" s="148">
        <v>0</v>
      </c>
      <c r="K7388" s="222">
        <v>0</v>
      </c>
    </row>
    <row r="7389" spans="1:11" hidden="1" x14ac:dyDescent="0.25">
      <c r="A7389" s="203"/>
      <c r="B7389" s="205"/>
      <c r="C7389" s="35" t="s">
        <v>1151</v>
      </c>
      <c r="D7389" s="46" t="s">
        <v>695</v>
      </c>
      <c r="E7389" s="36">
        <v>0.23810000000000001</v>
      </c>
      <c r="F7389" s="30">
        <v>25.146499999999996</v>
      </c>
      <c r="G7389" s="33">
        <f t="shared" si="226"/>
        <v>5.9873816499999988</v>
      </c>
      <c r="H7389" s="34"/>
      <c r="I7389" s="30"/>
      <c r="J7389" s="148">
        <v>0</v>
      </c>
      <c r="K7389" s="222">
        <v>0</v>
      </c>
    </row>
    <row r="7390" spans="1:11" ht="15.75" hidden="1" thickBot="1" x14ac:dyDescent="0.3">
      <c r="A7390" s="203"/>
      <c r="B7390" s="206"/>
      <c r="C7390" s="35"/>
      <c r="D7390" s="35"/>
      <c r="E7390" s="36"/>
      <c r="F7390" s="30" t="s">
        <v>514</v>
      </c>
      <c r="G7390" s="30" t="str">
        <f t="shared" si="226"/>
        <v/>
      </c>
      <c r="H7390" s="34"/>
      <c r="I7390" s="30"/>
      <c r="J7390" s="148">
        <v>0</v>
      </c>
      <c r="K7390" s="222">
        <v>0</v>
      </c>
    </row>
    <row r="7391" spans="1:11" ht="15.75" hidden="1" thickBot="1" x14ac:dyDescent="0.3">
      <c r="A7391" s="202" t="s">
        <v>7962</v>
      </c>
      <c r="B7391" s="204" t="str">
        <f>INDEX(Orçamentária!A:B,MATCH(Composições!A7391,Orçamentária!A:A,0),2)</f>
        <v>Eletroduto PEAD 1 1/2”(40mm)</v>
      </c>
      <c r="C7391" s="40"/>
      <c r="D7391" s="25" t="str">
        <f>TRIM(INDEX(Orçamentária!C:C,MATCH(Composições!A7391,Orçamentária!A:A,0),1))</f>
        <v>m</v>
      </c>
      <c r="E7391" s="26"/>
      <c r="F7391" s="48" t="s">
        <v>514</v>
      </c>
      <c r="G7391" s="27" t="str">
        <f t="shared" si="226"/>
        <v/>
      </c>
      <c r="H7391" s="28"/>
      <c r="I7391" s="29"/>
      <c r="J7391" s="148">
        <v>0</v>
      </c>
      <c r="K7391" s="222">
        <v>0</v>
      </c>
    </row>
    <row r="7392" spans="1:11" hidden="1" x14ac:dyDescent="0.25">
      <c r="A7392" s="207"/>
      <c r="B7392" s="205"/>
      <c r="C7392" s="31"/>
      <c r="D7392" s="31"/>
      <c r="E7392" s="32"/>
      <c r="F7392" s="53" t="s">
        <v>514</v>
      </c>
      <c r="G7392" s="53" t="str">
        <f t="shared" si="226"/>
        <v/>
      </c>
      <c r="H7392" s="72"/>
      <c r="I7392" s="73"/>
      <c r="J7392" s="148">
        <v>0</v>
      </c>
      <c r="K7392" s="222">
        <v>0</v>
      </c>
    </row>
    <row r="7393" spans="1:11" ht="38.25" hidden="1" x14ac:dyDescent="0.25">
      <c r="A7393" s="207"/>
      <c r="B7393" s="205"/>
      <c r="C7393" s="35" t="s">
        <v>7996</v>
      </c>
      <c r="D7393" s="35" t="s">
        <v>473</v>
      </c>
      <c r="E7393" s="36">
        <v>1.1000000000000001</v>
      </c>
      <c r="F7393" s="30">
        <v>4.6550000000000002</v>
      </c>
      <c r="G7393" s="53">
        <f t="shared" si="226"/>
        <v>5.1205000000000007</v>
      </c>
      <c r="H7393" s="38">
        <f>SUM(G7393:G7395)</f>
        <v>8.1145960000000006</v>
      </c>
      <c r="I7393" s="39"/>
      <c r="J7393" s="148">
        <v>0</v>
      </c>
      <c r="K7393" s="222">
        <v>0</v>
      </c>
    </row>
    <row r="7394" spans="1:11" hidden="1" x14ac:dyDescent="0.25">
      <c r="A7394" s="207"/>
      <c r="B7394" s="205"/>
      <c r="C7394" s="35" t="s">
        <v>1150</v>
      </c>
      <c r="D7394" s="35" t="s">
        <v>695</v>
      </c>
      <c r="E7394" s="36">
        <v>6.7199999999999996E-2</v>
      </c>
      <c r="F7394" s="33">
        <v>19.4085</v>
      </c>
      <c r="G7394" s="33">
        <f t="shared" si="226"/>
        <v>1.3042511999999999</v>
      </c>
      <c r="H7394" s="34"/>
      <c r="I7394" s="30"/>
      <c r="J7394" s="148">
        <v>0</v>
      </c>
      <c r="K7394" s="222">
        <v>0</v>
      </c>
    </row>
    <row r="7395" spans="1:11" hidden="1" x14ac:dyDescent="0.25">
      <c r="A7395" s="207"/>
      <c r="B7395" s="205"/>
      <c r="C7395" s="35" t="s">
        <v>1151</v>
      </c>
      <c r="D7395" s="35" t="s">
        <v>695</v>
      </c>
      <c r="E7395" s="36">
        <v>6.7199999999999996E-2</v>
      </c>
      <c r="F7395" s="30">
        <v>25.146499999999996</v>
      </c>
      <c r="G7395" s="53">
        <f t="shared" si="226"/>
        <v>1.6898447999999997</v>
      </c>
      <c r="H7395" s="43"/>
      <c r="I7395" s="39"/>
      <c r="J7395" s="148">
        <v>0</v>
      </c>
      <c r="K7395" s="222">
        <v>0</v>
      </c>
    </row>
    <row r="7396" spans="1:11" ht="15.75" hidden="1" thickBot="1" x14ac:dyDescent="0.3">
      <c r="A7396" s="208"/>
      <c r="B7396" s="206"/>
      <c r="C7396" s="54"/>
      <c r="D7396" s="150"/>
      <c r="E7396" s="65"/>
      <c r="F7396" s="75" t="s">
        <v>514</v>
      </c>
      <c r="G7396" s="75" t="str">
        <f t="shared" si="226"/>
        <v/>
      </c>
      <c r="H7396" s="76"/>
      <c r="I7396" s="73"/>
      <c r="J7396" s="148">
        <v>0</v>
      </c>
      <c r="K7396" s="222">
        <v>0</v>
      </c>
    </row>
    <row r="7397" spans="1:11" ht="15.75" hidden="1" thickBot="1" x14ac:dyDescent="0.3">
      <c r="A7397" s="202" t="s">
        <v>7963</v>
      </c>
      <c r="B7397" s="204" t="str">
        <f>INDEX(Orçamentária!A:B,MATCH(Composições!A7397,Orçamentária!A:A,0),2)</f>
        <v>Cabo 3x6 mm²</v>
      </c>
      <c r="C7397" s="40"/>
      <c r="D7397" s="25" t="str">
        <f>TRIM(INDEX(Orçamentária!C:C,MATCH(Composições!A7397,Orçamentária!A:A,0),1))</f>
        <v>m</v>
      </c>
      <c r="E7397" s="26"/>
      <c r="F7397" s="41" t="s">
        <v>514</v>
      </c>
      <c r="G7397" s="27" t="str">
        <f t="shared" si="226"/>
        <v/>
      </c>
      <c r="H7397" s="28"/>
      <c r="I7397" s="29"/>
      <c r="J7397" s="148">
        <v>0</v>
      </c>
      <c r="K7397" s="222">
        <v>0</v>
      </c>
    </row>
    <row r="7398" spans="1:11" hidden="1" x14ac:dyDescent="0.25">
      <c r="A7398" s="203"/>
      <c r="B7398" s="205"/>
      <c r="C7398" s="31"/>
      <c r="D7398" s="31"/>
      <c r="E7398" s="32"/>
      <c r="F7398" s="42" t="s">
        <v>514</v>
      </c>
      <c r="G7398" s="30" t="str">
        <f t="shared" si="226"/>
        <v/>
      </c>
      <c r="H7398" s="34"/>
      <c r="I7398" s="30"/>
      <c r="J7398" s="148">
        <v>0</v>
      </c>
      <c r="K7398" s="222">
        <v>0</v>
      </c>
    </row>
    <row r="7399" spans="1:11" hidden="1" x14ac:dyDescent="0.25">
      <c r="A7399" s="203"/>
      <c r="B7399" s="205"/>
      <c r="C7399" s="35" t="s">
        <v>74</v>
      </c>
      <c r="D7399" s="35" t="s">
        <v>12</v>
      </c>
      <c r="E7399" s="36">
        <v>1.2999999999999999E-2</v>
      </c>
      <c r="F7399" s="30">
        <v>19.4085</v>
      </c>
      <c r="G7399" s="33">
        <f t="shared" si="226"/>
        <v>0.25231049999999999</v>
      </c>
      <c r="H7399" s="38">
        <f>SUM(G7399:G7402)</f>
        <v>0.62196499999999988</v>
      </c>
      <c r="I7399" s="39"/>
      <c r="J7399" s="148">
        <v>0</v>
      </c>
      <c r="K7399" s="222">
        <v>0</v>
      </c>
    </row>
    <row r="7400" spans="1:11" hidden="1" x14ac:dyDescent="0.25">
      <c r="A7400" s="203"/>
      <c r="B7400" s="205"/>
      <c r="C7400" s="35" t="s">
        <v>30</v>
      </c>
      <c r="D7400" s="35" t="s">
        <v>12</v>
      </c>
      <c r="E7400" s="36">
        <v>1.2999999999999999E-2</v>
      </c>
      <c r="F7400" s="30">
        <v>25.146499999999996</v>
      </c>
      <c r="G7400" s="33">
        <f t="shared" si="226"/>
        <v>0.32690449999999993</v>
      </c>
      <c r="H7400" s="34"/>
      <c r="I7400" s="30"/>
      <c r="J7400" s="148">
        <v>0</v>
      </c>
      <c r="K7400" s="222">
        <v>0</v>
      </c>
    </row>
    <row r="7401" spans="1:11" ht="25.5" hidden="1" x14ac:dyDescent="0.25">
      <c r="A7401" s="203"/>
      <c r="B7401" s="205"/>
      <c r="C7401" s="35" t="s">
        <v>8039</v>
      </c>
      <c r="D7401" s="35" t="s">
        <v>92</v>
      </c>
      <c r="E7401" s="36">
        <v>1.0269999999999999</v>
      </c>
      <c r="F7401" s="33" t="s">
        <v>514</v>
      </c>
      <c r="G7401" s="33" t="str">
        <f t="shared" si="226"/>
        <v/>
      </c>
      <c r="H7401" s="34"/>
      <c r="I7401" s="30"/>
      <c r="J7401" s="148">
        <v>0</v>
      </c>
      <c r="K7401" s="222">
        <v>0</v>
      </c>
    </row>
    <row r="7402" spans="1:11" hidden="1" x14ac:dyDescent="0.25">
      <c r="A7402" s="203"/>
      <c r="B7402" s="205"/>
      <c r="C7402" s="35" t="s">
        <v>546</v>
      </c>
      <c r="D7402" s="35" t="s">
        <v>20</v>
      </c>
      <c r="E7402" s="36">
        <v>0.01</v>
      </c>
      <c r="F7402" s="33">
        <v>4.2749999999999995</v>
      </c>
      <c r="G7402" s="33">
        <f t="shared" si="226"/>
        <v>4.2749999999999996E-2</v>
      </c>
      <c r="H7402" s="34"/>
      <c r="I7402" s="30"/>
      <c r="J7402" s="148">
        <v>0</v>
      </c>
      <c r="K7402" s="222">
        <v>0</v>
      </c>
    </row>
    <row r="7403" spans="1:11" ht="15.75" hidden="1" thickBot="1" x14ac:dyDescent="0.3">
      <c r="A7403" s="209"/>
      <c r="B7403" s="206"/>
      <c r="C7403" s="35"/>
      <c r="D7403" s="35"/>
      <c r="E7403" s="36"/>
      <c r="F7403" s="30" t="s">
        <v>514</v>
      </c>
      <c r="G7403" s="30" t="str">
        <f t="shared" si="226"/>
        <v/>
      </c>
      <c r="H7403" s="34"/>
      <c r="I7403" s="30"/>
      <c r="J7403" s="148">
        <v>0</v>
      </c>
      <c r="K7403" s="222">
        <v>0</v>
      </c>
    </row>
    <row r="7404" spans="1:11" ht="15.75" hidden="1" thickBot="1" x14ac:dyDescent="0.3">
      <c r="A7404" s="202" t="s">
        <v>7964</v>
      </c>
      <c r="B7404" s="204" t="str">
        <f>INDEX(Orçamentária!A:B,MATCH(Composições!A7404,Orçamentária!A:A,0),2)</f>
        <v>Eletroduto de aço galvanizado a fogo de 1”</v>
      </c>
      <c r="C7404" s="40"/>
      <c r="D7404" s="25" t="str">
        <f>TRIM(INDEX(Orçamentária!C:C,MATCH(Composições!A7404,Orçamentária!A:A,0),1))</f>
        <v>m</v>
      </c>
      <c r="E7404" s="26"/>
      <c r="F7404" s="41" t="s">
        <v>514</v>
      </c>
      <c r="G7404" s="27" t="str">
        <f t="shared" si="226"/>
        <v/>
      </c>
      <c r="H7404" s="28"/>
      <c r="I7404" s="29"/>
      <c r="J7404" s="148">
        <v>0</v>
      </c>
      <c r="K7404" s="222">
        <v>0</v>
      </c>
    </row>
    <row r="7405" spans="1:11" hidden="1" x14ac:dyDescent="0.25">
      <c r="A7405" s="203"/>
      <c r="B7405" s="205"/>
      <c r="C7405" s="31"/>
      <c r="D7405" s="31"/>
      <c r="E7405" s="32"/>
      <c r="F7405" s="42" t="s">
        <v>514</v>
      </c>
      <c r="G7405" s="30" t="str">
        <f t="shared" si="226"/>
        <v/>
      </c>
      <c r="H7405" s="34"/>
      <c r="I7405" s="30"/>
      <c r="J7405" s="148">
        <v>0</v>
      </c>
      <c r="K7405" s="222">
        <v>0</v>
      </c>
    </row>
    <row r="7406" spans="1:11" hidden="1" x14ac:dyDescent="0.25">
      <c r="A7406" s="203"/>
      <c r="B7406" s="205"/>
      <c r="C7406" s="35" t="s">
        <v>8031</v>
      </c>
      <c r="D7406" s="35" t="s">
        <v>92</v>
      </c>
      <c r="E7406" s="36">
        <v>1.05</v>
      </c>
      <c r="F7406" s="30">
        <v>0</v>
      </c>
      <c r="G7406" s="33">
        <f t="shared" si="226"/>
        <v>0</v>
      </c>
      <c r="H7406" s="38">
        <f>SUM(G7406:G7408)</f>
        <v>22.277499999999996</v>
      </c>
      <c r="I7406" s="39"/>
      <c r="J7406" s="148">
        <v>0</v>
      </c>
      <c r="K7406" s="222">
        <v>0</v>
      </c>
    </row>
    <row r="7407" spans="1:11" hidden="1" x14ac:dyDescent="0.25">
      <c r="A7407" s="203"/>
      <c r="B7407" s="205"/>
      <c r="C7407" s="35" t="s">
        <v>1150</v>
      </c>
      <c r="D7407" s="35" t="s">
        <v>695</v>
      </c>
      <c r="E7407" s="36">
        <v>0.5</v>
      </c>
      <c r="F7407" s="30">
        <v>19.4085</v>
      </c>
      <c r="G7407" s="33">
        <f t="shared" si="226"/>
        <v>9.70425</v>
      </c>
      <c r="H7407" s="34"/>
      <c r="I7407" s="30"/>
      <c r="J7407" s="148">
        <v>0</v>
      </c>
      <c r="K7407" s="222">
        <v>0</v>
      </c>
    </row>
    <row r="7408" spans="1:11" hidden="1" x14ac:dyDescent="0.25">
      <c r="A7408" s="203"/>
      <c r="B7408" s="205"/>
      <c r="C7408" s="35" t="s">
        <v>1151</v>
      </c>
      <c r="D7408" s="35" t="s">
        <v>695</v>
      </c>
      <c r="E7408" s="36">
        <v>0.5</v>
      </c>
      <c r="F7408" s="30">
        <v>25.146499999999996</v>
      </c>
      <c r="G7408" s="33">
        <f t="shared" si="226"/>
        <v>12.573249999999998</v>
      </c>
      <c r="H7408" s="34"/>
      <c r="I7408" s="30"/>
      <c r="J7408" s="148">
        <v>0</v>
      </c>
      <c r="K7408" s="222">
        <v>0</v>
      </c>
    </row>
    <row r="7409" spans="1:11" ht="15.75" hidden="1" thickBot="1" x14ac:dyDescent="0.3">
      <c r="A7409" s="209"/>
      <c r="B7409" s="206"/>
      <c r="C7409" s="35"/>
      <c r="D7409" s="35"/>
      <c r="E7409" s="36"/>
      <c r="F7409" s="30" t="s">
        <v>514</v>
      </c>
      <c r="G7409" s="30" t="str">
        <f t="shared" si="226"/>
        <v/>
      </c>
      <c r="H7409" s="34"/>
      <c r="I7409" s="30"/>
      <c r="J7409" s="148">
        <v>0</v>
      </c>
      <c r="K7409" s="222">
        <v>0</v>
      </c>
    </row>
    <row r="7410" spans="1:11" ht="15.75" hidden="1" thickBot="1" x14ac:dyDescent="0.3">
      <c r="A7410" s="202" t="s">
        <v>7965</v>
      </c>
      <c r="B7410" s="204" t="str">
        <f>INDEX(Orçamentária!A:B,MATCH(Composições!A7410,Orçamentária!A:A,0),2)</f>
        <v>Eletroduto de aço galvanizado a fogo de 1 1/2”</v>
      </c>
      <c r="C7410" s="40"/>
      <c r="D7410" s="25" t="str">
        <f>TRIM(INDEX(Orçamentária!C:C,MATCH(Composições!A7410,Orçamentária!A:A,0),1))</f>
        <v>m</v>
      </c>
      <c r="E7410" s="26"/>
      <c r="F7410" s="41" t="s">
        <v>514</v>
      </c>
      <c r="G7410" s="27" t="str">
        <f t="shared" si="226"/>
        <v/>
      </c>
      <c r="H7410" s="28"/>
      <c r="I7410" s="29"/>
      <c r="J7410" s="148">
        <v>0</v>
      </c>
      <c r="K7410" s="222">
        <v>0</v>
      </c>
    </row>
    <row r="7411" spans="1:11" hidden="1" x14ac:dyDescent="0.25">
      <c r="A7411" s="203"/>
      <c r="B7411" s="205"/>
      <c r="C7411" s="31"/>
      <c r="D7411" s="31"/>
      <c r="E7411" s="32"/>
      <c r="F7411" s="42" t="s">
        <v>514</v>
      </c>
      <c r="G7411" s="30" t="str">
        <f t="shared" si="226"/>
        <v/>
      </c>
      <c r="H7411" s="34"/>
      <c r="I7411" s="30"/>
      <c r="J7411" s="148">
        <v>0</v>
      </c>
      <c r="K7411" s="222">
        <v>0</v>
      </c>
    </row>
    <row r="7412" spans="1:11" hidden="1" x14ac:dyDescent="0.25">
      <c r="A7412" s="203"/>
      <c r="B7412" s="205"/>
      <c r="C7412" s="35" t="s">
        <v>8032</v>
      </c>
      <c r="D7412" s="35" t="s">
        <v>92</v>
      </c>
      <c r="E7412" s="36">
        <v>1.05</v>
      </c>
      <c r="F7412" s="30">
        <v>0</v>
      </c>
      <c r="G7412" s="33">
        <f t="shared" si="226"/>
        <v>0</v>
      </c>
      <c r="H7412" s="38">
        <f>SUM(G7412:G7414)</f>
        <v>33.416249999999991</v>
      </c>
      <c r="I7412" s="39"/>
      <c r="J7412" s="148">
        <v>0</v>
      </c>
      <c r="K7412" s="222">
        <v>0</v>
      </c>
    </row>
    <row r="7413" spans="1:11" hidden="1" x14ac:dyDescent="0.25">
      <c r="A7413" s="203"/>
      <c r="B7413" s="205"/>
      <c r="C7413" s="35" t="s">
        <v>30</v>
      </c>
      <c r="D7413" s="35" t="s">
        <v>12</v>
      </c>
      <c r="E7413" s="36">
        <v>0.75</v>
      </c>
      <c r="F7413" s="30">
        <v>25.146499999999996</v>
      </c>
      <c r="G7413" s="33">
        <f t="shared" si="226"/>
        <v>18.859874999999995</v>
      </c>
      <c r="H7413" s="34"/>
      <c r="I7413" s="30"/>
      <c r="J7413" s="148">
        <v>0</v>
      </c>
      <c r="K7413" s="222">
        <v>0</v>
      </c>
    </row>
    <row r="7414" spans="1:11" hidden="1" x14ac:dyDescent="0.25">
      <c r="A7414" s="203"/>
      <c r="B7414" s="205"/>
      <c r="C7414" s="35" t="s">
        <v>74</v>
      </c>
      <c r="D7414" s="35" t="s">
        <v>12</v>
      </c>
      <c r="E7414" s="36">
        <v>0.75</v>
      </c>
      <c r="F7414" s="30">
        <v>19.4085</v>
      </c>
      <c r="G7414" s="33">
        <f t="shared" si="226"/>
        <v>14.556374999999999</v>
      </c>
      <c r="H7414" s="34"/>
      <c r="I7414" s="30"/>
      <c r="J7414" s="148">
        <v>0</v>
      </c>
      <c r="K7414" s="222">
        <v>0</v>
      </c>
    </row>
    <row r="7415" spans="1:11" ht="15.75" hidden="1" thickBot="1" x14ac:dyDescent="0.3">
      <c r="A7415" s="209"/>
      <c r="B7415" s="206"/>
      <c r="C7415" s="35"/>
      <c r="D7415" s="35"/>
      <c r="E7415" s="36"/>
      <c r="F7415" s="30" t="s">
        <v>514</v>
      </c>
      <c r="G7415" s="30" t="str">
        <f t="shared" si="226"/>
        <v/>
      </c>
      <c r="H7415" s="34"/>
      <c r="I7415" s="30"/>
      <c r="J7415" s="148">
        <v>0</v>
      </c>
      <c r="K7415" s="222">
        <v>0</v>
      </c>
    </row>
    <row r="7416" spans="1:11" ht="15.75" hidden="1" thickBot="1" x14ac:dyDescent="0.3">
      <c r="A7416" s="202" t="s">
        <v>7966</v>
      </c>
      <c r="B7416" s="204" t="str">
        <f>INDEX(Orçamentária!A:B,MATCH(Composições!A7416,Orçamentária!A:A,0),2)</f>
        <v>Eletroduto de aço galvanizado a fogo de 2”</v>
      </c>
      <c r="C7416" s="40"/>
      <c r="D7416" s="25" t="str">
        <f>TRIM(INDEX(Orçamentária!C:C,MATCH(Composições!A7416,Orçamentária!A:A,0),1))</f>
        <v>m</v>
      </c>
      <c r="E7416" s="26"/>
      <c r="F7416" s="41" t="s">
        <v>514</v>
      </c>
      <c r="G7416" s="27" t="str">
        <f t="shared" si="226"/>
        <v/>
      </c>
      <c r="H7416" s="28"/>
      <c r="I7416" s="29"/>
      <c r="J7416" s="148">
        <v>0</v>
      </c>
      <c r="K7416" s="222">
        <v>0</v>
      </c>
    </row>
    <row r="7417" spans="1:11" hidden="1" x14ac:dyDescent="0.25">
      <c r="A7417" s="203"/>
      <c r="B7417" s="205"/>
      <c r="C7417" s="31"/>
      <c r="D7417" s="31"/>
      <c r="E7417" s="32"/>
      <c r="F7417" s="42" t="s">
        <v>514</v>
      </c>
      <c r="G7417" s="30" t="str">
        <f t="shared" si="226"/>
        <v/>
      </c>
      <c r="H7417" s="34"/>
      <c r="I7417" s="30"/>
      <c r="J7417" s="148">
        <v>0</v>
      </c>
      <c r="K7417" s="222">
        <v>0</v>
      </c>
    </row>
    <row r="7418" spans="1:11" hidden="1" x14ac:dyDescent="0.25">
      <c r="A7418" s="203"/>
      <c r="B7418" s="205"/>
      <c r="C7418" s="35" t="s">
        <v>8038</v>
      </c>
      <c r="D7418" s="35" t="s">
        <v>92</v>
      </c>
      <c r="E7418" s="36">
        <v>1.05</v>
      </c>
      <c r="F7418" s="30">
        <v>0</v>
      </c>
      <c r="G7418" s="33">
        <f t="shared" si="226"/>
        <v>0</v>
      </c>
      <c r="H7418" s="38">
        <f>SUM(G7418:G7420)</f>
        <v>33.416249999999991</v>
      </c>
      <c r="I7418" s="39"/>
      <c r="J7418" s="148">
        <v>0</v>
      </c>
      <c r="K7418" s="222">
        <v>0</v>
      </c>
    </row>
    <row r="7419" spans="1:11" hidden="1" x14ac:dyDescent="0.25">
      <c r="A7419" s="203"/>
      <c r="B7419" s="205"/>
      <c r="C7419" s="35" t="s">
        <v>30</v>
      </c>
      <c r="D7419" s="35" t="s">
        <v>12</v>
      </c>
      <c r="E7419" s="36">
        <v>0.75</v>
      </c>
      <c r="F7419" s="30">
        <v>25.146499999999996</v>
      </c>
      <c r="G7419" s="33">
        <f t="shared" si="226"/>
        <v>18.859874999999995</v>
      </c>
      <c r="H7419" s="34"/>
      <c r="I7419" s="30"/>
      <c r="J7419" s="148">
        <v>0</v>
      </c>
      <c r="K7419" s="222">
        <v>0</v>
      </c>
    </row>
    <row r="7420" spans="1:11" hidden="1" x14ac:dyDescent="0.25">
      <c r="A7420" s="203"/>
      <c r="B7420" s="205"/>
      <c r="C7420" s="35" t="s">
        <v>74</v>
      </c>
      <c r="D7420" s="35" t="s">
        <v>12</v>
      </c>
      <c r="E7420" s="36">
        <v>0.75</v>
      </c>
      <c r="F7420" s="30">
        <v>19.4085</v>
      </c>
      <c r="G7420" s="33">
        <f t="shared" si="226"/>
        <v>14.556374999999999</v>
      </c>
      <c r="H7420" s="34"/>
      <c r="I7420" s="30"/>
      <c r="J7420" s="148">
        <v>0</v>
      </c>
      <c r="K7420" s="222">
        <v>0</v>
      </c>
    </row>
    <row r="7421" spans="1:11" ht="15.75" hidden="1" thickBot="1" x14ac:dyDescent="0.3">
      <c r="A7421" s="209"/>
      <c r="B7421" s="206"/>
      <c r="C7421" s="35"/>
      <c r="D7421" s="35"/>
      <c r="E7421" s="36"/>
      <c r="F7421" s="30" t="s">
        <v>514</v>
      </c>
      <c r="G7421" s="30" t="str">
        <f t="shared" si="226"/>
        <v/>
      </c>
      <c r="H7421" s="34"/>
      <c r="I7421" s="30"/>
      <c r="J7421" s="148">
        <v>0</v>
      </c>
      <c r="K7421" s="222">
        <v>0</v>
      </c>
    </row>
    <row r="7422" spans="1:11" ht="15.75" hidden="1" thickBot="1" x14ac:dyDescent="0.3">
      <c r="A7422" s="202" t="s">
        <v>7967</v>
      </c>
      <c r="B7422" s="204" t="str">
        <f>INDEX(Orçamentária!A:B,MATCH(Composições!A7422,Orçamentária!A:A,0),2)</f>
        <v>Eletroduto de aço galvanizado a fogo de 3”</v>
      </c>
      <c r="C7422" s="40"/>
      <c r="D7422" s="25" t="str">
        <f>TRIM(INDEX(Orçamentária!C:C,MATCH(Composições!A7422,Orçamentária!A:A,0),1))</f>
        <v>m</v>
      </c>
      <c r="E7422" s="26"/>
      <c r="F7422" s="41" t="s">
        <v>514</v>
      </c>
      <c r="G7422" s="27" t="str">
        <f t="shared" si="226"/>
        <v/>
      </c>
      <c r="H7422" s="28"/>
      <c r="I7422" s="29"/>
      <c r="J7422" s="148">
        <v>0</v>
      </c>
      <c r="K7422" s="222">
        <v>0</v>
      </c>
    </row>
    <row r="7423" spans="1:11" hidden="1" x14ac:dyDescent="0.25">
      <c r="A7423" s="203"/>
      <c r="B7423" s="205"/>
      <c r="C7423" s="31"/>
      <c r="D7423" s="31"/>
      <c r="E7423" s="32"/>
      <c r="F7423" s="42" t="s">
        <v>514</v>
      </c>
      <c r="G7423" s="30" t="str">
        <f t="shared" si="226"/>
        <v/>
      </c>
      <c r="H7423" s="34"/>
      <c r="I7423" s="30"/>
      <c r="J7423" s="148">
        <v>0</v>
      </c>
      <c r="K7423" s="222">
        <v>0</v>
      </c>
    </row>
    <row r="7424" spans="1:11" hidden="1" x14ac:dyDescent="0.25">
      <c r="A7424" s="203"/>
      <c r="B7424" s="205"/>
      <c r="C7424" s="35" t="s">
        <v>8037</v>
      </c>
      <c r="D7424" s="35" t="s">
        <v>92</v>
      </c>
      <c r="E7424" s="36">
        <v>1.05</v>
      </c>
      <c r="F7424" s="30">
        <v>0</v>
      </c>
      <c r="G7424" s="33">
        <f t="shared" si="226"/>
        <v>0</v>
      </c>
      <c r="H7424" s="38">
        <f>SUM(G7424:G7426)</f>
        <v>44.554999999999993</v>
      </c>
      <c r="I7424" s="39"/>
      <c r="J7424" s="148">
        <v>0</v>
      </c>
      <c r="K7424" s="222">
        <v>0</v>
      </c>
    </row>
    <row r="7425" spans="1:11" hidden="1" x14ac:dyDescent="0.25">
      <c r="A7425" s="203"/>
      <c r="B7425" s="205"/>
      <c r="C7425" s="35" t="s">
        <v>30</v>
      </c>
      <c r="D7425" s="35" t="s">
        <v>12</v>
      </c>
      <c r="E7425" s="36">
        <v>1</v>
      </c>
      <c r="F7425" s="30">
        <v>25.146499999999996</v>
      </c>
      <c r="G7425" s="33">
        <f t="shared" si="226"/>
        <v>25.146499999999996</v>
      </c>
      <c r="H7425" s="34"/>
      <c r="I7425" s="30"/>
      <c r="J7425" s="148">
        <v>0</v>
      </c>
      <c r="K7425" s="222">
        <v>0</v>
      </c>
    </row>
    <row r="7426" spans="1:11" hidden="1" x14ac:dyDescent="0.25">
      <c r="A7426" s="203"/>
      <c r="B7426" s="205"/>
      <c r="C7426" s="35" t="s">
        <v>74</v>
      </c>
      <c r="D7426" s="35" t="s">
        <v>12</v>
      </c>
      <c r="E7426" s="36">
        <v>1</v>
      </c>
      <c r="F7426" s="30">
        <v>19.4085</v>
      </c>
      <c r="G7426" s="33">
        <f t="shared" si="226"/>
        <v>19.4085</v>
      </c>
      <c r="H7426" s="34"/>
      <c r="I7426" s="30"/>
      <c r="J7426" s="148">
        <v>0</v>
      </c>
      <c r="K7426" s="222">
        <v>0</v>
      </c>
    </row>
    <row r="7427" spans="1:11" ht="15.75" hidden="1" thickBot="1" x14ac:dyDescent="0.3">
      <c r="A7427" s="209"/>
      <c r="B7427" s="206"/>
      <c r="C7427" s="35"/>
      <c r="D7427" s="35"/>
      <c r="E7427" s="36"/>
      <c r="F7427" s="30" t="s">
        <v>514</v>
      </c>
      <c r="G7427" s="30" t="str">
        <f t="shared" si="226"/>
        <v/>
      </c>
      <c r="H7427" s="34"/>
      <c r="I7427" s="30"/>
      <c r="J7427" s="148">
        <v>0</v>
      </c>
      <c r="K7427" s="222">
        <v>0</v>
      </c>
    </row>
    <row r="7428" spans="1:11" ht="15.75" hidden="1" thickBot="1" x14ac:dyDescent="0.3">
      <c r="A7428" s="202" t="s">
        <v>7968</v>
      </c>
      <c r="B7428" s="204" t="str">
        <f>INDEX(Orçamentária!A:B,MATCH(Composições!A7428,Orçamentária!A:A,0),2)</f>
        <v>Projeto Executivo de Iluminação Viária</v>
      </c>
      <c r="C7428" s="40"/>
      <c r="D7428" s="25" t="str">
        <f>TRIM(INDEX(Orçamentária!C:C,MATCH(Composições!A7428,Orçamentária!A:A,0),1))</f>
        <v>un</v>
      </c>
      <c r="E7428" s="26"/>
      <c r="F7428" s="41" t="s">
        <v>514</v>
      </c>
      <c r="G7428" s="27" t="str">
        <f t="shared" si="226"/>
        <v/>
      </c>
      <c r="H7428" s="28"/>
      <c r="I7428" s="29"/>
      <c r="J7428" s="148">
        <v>0</v>
      </c>
      <c r="K7428" s="222">
        <v>0</v>
      </c>
    </row>
    <row r="7429" spans="1:11" hidden="1" x14ac:dyDescent="0.25">
      <c r="A7429" s="203"/>
      <c r="B7429" s="205"/>
      <c r="C7429" s="31"/>
      <c r="D7429" s="31"/>
      <c r="E7429" s="32"/>
      <c r="F7429" s="42" t="s">
        <v>514</v>
      </c>
      <c r="G7429" s="30" t="str">
        <f t="shared" si="226"/>
        <v/>
      </c>
      <c r="H7429" s="34"/>
      <c r="I7429" s="30"/>
      <c r="J7429" s="148">
        <v>0</v>
      </c>
      <c r="K7429" s="222">
        <v>0</v>
      </c>
    </row>
    <row r="7430" spans="1:11" hidden="1" x14ac:dyDescent="0.25">
      <c r="A7430" s="203"/>
      <c r="B7430" s="205"/>
      <c r="C7430" s="35" t="s">
        <v>3225</v>
      </c>
      <c r="D7430" s="46" t="s">
        <v>695</v>
      </c>
      <c r="E7430" s="36">
        <v>40</v>
      </c>
      <c r="F7430" s="33">
        <v>114.18049999999999</v>
      </c>
      <c r="G7430" s="30">
        <f t="shared" si="226"/>
        <v>4567.2199999999993</v>
      </c>
      <c r="H7430" s="38">
        <f>SUM(G7430:G7431)</f>
        <v>5156.2199999999993</v>
      </c>
      <c r="I7430" s="39"/>
      <c r="J7430" s="148">
        <v>0</v>
      </c>
      <c r="K7430" s="222">
        <v>0</v>
      </c>
    </row>
    <row r="7431" spans="1:11" hidden="1" x14ac:dyDescent="0.25">
      <c r="A7431" s="203"/>
      <c r="B7431" s="205"/>
      <c r="C7431" s="35" t="s">
        <v>3222</v>
      </c>
      <c r="D7431" s="46" t="s">
        <v>695</v>
      </c>
      <c r="E7431" s="36">
        <v>40</v>
      </c>
      <c r="F7431" s="30">
        <v>14.725</v>
      </c>
      <c r="G7431" s="33">
        <f t="shared" si="226"/>
        <v>589</v>
      </c>
      <c r="H7431" s="34"/>
      <c r="I7431" s="30"/>
      <c r="J7431" s="148">
        <v>0</v>
      </c>
      <c r="K7431" s="222">
        <v>0</v>
      </c>
    </row>
    <row r="7432" spans="1:11" ht="15.75" hidden="1" thickBot="1" x14ac:dyDescent="0.3">
      <c r="A7432" s="203"/>
      <c r="B7432" s="206"/>
      <c r="C7432" s="35"/>
      <c r="D7432" s="35"/>
      <c r="E7432" s="36"/>
      <c r="F7432" s="30" t="s">
        <v>514</v>
      </c>
      <c r="G7432" s="30" t="str">
        <f t="shared" si="226"/>
        <v/>
      </c>
      <c r="H7432" s="34"/>
      <c r="I7432" s="30"/>
      <c r="J7432" s="148">
        <v>0</v>
      </c>
      <c r="K7432" s="222">
        <v>0</v>
      </c>
    </row>
    <row r="7433" spans="1:11" ht="15.75" hidden="1" thickBot="1" x14ac:dyDescent="0.3">
      <c r="A7433" s="202" t="s">
        <v>7969</v>
      </c>
      <c r="B7433" s="204" t="str">
        <f>INDEX(Orçamentária!A:B,MATCH(Composições!A7433,Orçamentária!A:A,0),2)</f>
        <v>Luminária LED para poste 150W</v>
      </c>
      <c r="C7433" s="40"/>
      <c r="D7433" s="25" t="str">
        <f>TRIM(INDEX(Orçamentária!C:C,MATCH(Composições!A7433,Orçamentária!A:A,0),1))</f>
        <v>un</v>
      </c>
      <c r="E7433" s="26"/>
      <c r="F7433" s="41" t="s">
        <v>514</v>
      </c>
      <c r="G7433" s="27" t="str">
        <f t="shared" si="226"/>
        <v/>
      </c>
      <c r="H7433" s="28"/>
      <c r="I7433" s="29"/>
      <c r="J7433" s="148">
        <v>0</v>
      </c>
      <c r="K7433" s="222">
        <v>0</v>
      </c>
    </row>
    <row r="7434" spans="1:11" hidden="1" x14ac:dyDescent="0.25">
      <c r="A7434" s="203"/>
      <c r="B7434" s="205"/>
      <c r="C7434" s="31"/>
      <c r="D7434" s="31"/>
      <c r="E7434" s="32"/>
      <c r="F7434" s="42" t="s">
        <v>514</v>
      </c>
      <c r="G7434" s="30" t="str">
        <f t="shared" ref="G7434:G7497" si="227">IF(ISNUMBER(F7434),E7434*F7434,"")</f>
        <v/>
      </c>
      <c r="H7434" s="34"/>
      <c r="I7434" s="30"/>
      <c r="J7434" s="148">
        <v>0</v>
      </c>
      <c r="K7434" s="222">
        <v>0</v>
      </c>
    </row>
    <row r="7435" spans="1:11" ht="51" hidden="1" x14ac:dyDescent="0.25">
      <c r="A7435" s="203"/>
      <c r="B7435" s="205"/>
      <c r="C7435" s="35" t="s">
        <v>3180</v>
      </c>
      <c r="D7435" s="46" t="s">
        <v>932</v>
      </c>
      <c r="E7435" s="36">
        <v>0.23880000000000001</v>
      </c>
      <c r="F7435" s="33">
        <v>266.81700000000001</v>
      </c>
      <c r="G7435" s="30">
        <f t="shared" si="227"/>
        <v>63.715899600000007</v>
      </c>
      <c r="H7435" s="38">
        <f>SUM(G7435:G7439)</f>
        <v>806.72029510000004</v>
      </c>
      <c r="I7435" s="39"/>
      <c r="J7435" s="148">
        <v>0</v>
      </c>
      <c r="K7435" s="222">
        <v>0</v>
      </c>
    </row>
    <row r="7436" spans="1:11" ht="25.5" hidden="1" x14ac:dyDescent="0.25">
      <c r="A7436" s="203"/>
      <c r="B7436" s="205"/>
      <c r="C7436" s="35" t="s">
        <v>3303</v>
      </c>
      <c r="D7436" s="46" t="s">
        <v>278</v>
      </c>
      <c r="E7436" s="36">
        <v>1.4E-2</v>
      </c>
      <c r="F7436" s="30">
        <v>4.2749999999999995</v>
      </c>
      <c r="G7436" s="30">
        <f t="shared" si="227"/>
        <v>5.9849999999999993E-2</v>
      </c>
      <c r="H7436" s="34"/>
      <c r="I7436" s="30"/>
      <c r="J7436" s="148">
        <v>0</v>
      </c>
      <c r="K7436" s="222">
        <v>0</v>
      </c>
    </row>
    <row r="7437" spans="1:11" ht="25.5" hidden="1" x14ac:dyDescent="0.25">
      <c r="A7437" s="203"/>
      <c r="B7437" s="205"/>
      <c r="C7437" s="35" t="s">
        <v>7998</v>
      </c>
      <c r="D7437" s="46" t="s">
        <v>278</v>
      </c>
      <c r="E7437" s="36">
        <v>1</v>
      </c>
      <c r="F7437" s="30">
        <v>732.33600000000001</v>
      </c>
      <c r="G7437" s="30">
        <f t="shared" si="227"/>
        <v>732.33600000000001</v>
      </c>
      <c r="H7437" s="34"/>
      <c r="I7437" s="30"/>
      <c r="J7437" s="148">
        <v>0</v>
      </c>
      <c r="K7437" s="222">
        <v>0</v>
      </c>
    </row>
    <row r="7438" spans="1:11" hidden="1" x14ac:dyDescent="0.25">
      <c r="A7438" s="203"/>
      <c r="B7438" s="205"/>
      <c r="C7438" s="35" t="s">
        <v>1150</v>
      </c>
      <c r="D7438" s="46" t="s">
        <v>695</v>
      </c>
      <c r="E7438" s="36">
        <v>0.23810000000000001</v>
      </c>
      <c r="F7438" s="30">
        <v>19.4085</v>
      </c>
      <c r="G7438" s="30">
        <f t="shared" si="227"/>
        <v>4.6211638500000003</v>
      </c>
      <c r="H7438" s="34"/>
      <c r="I7438" s="30"/>
      <c r="J7438" s="148">
        <v>0</v>
      </c>
      <c r="K7438" s="222">
        <v>0</v>
      </c>
    </row>
    <row r="7439" spans="1:11" hidden="1" x14ac:dyDescent="0.25">
      <c r="A7439" s="203"/>
      <c r="B7439" s="205"/>
      <c r="C7439" s="35" t="s">
        <v>1151</v>
      </c>
      <c r="D7439" s="46" t="s">
        <v>695</v>
      </c>
      <c r="E7439" s="36">
        <v>0.23810000000000001</v>
      </c>
      <c r="F7439" s="30">
        <v>25.146499999999996</v>
      </c>
      <c r="G7439" s="33">
        <f t="shared" si="227"/>
        <v>5.9873816499999988</v>
      </c>
      <c r="H7439" s="34"/>
      <c r="I7439" s="30"/>
      <c r="J7439" s="148">
        <v>0</v>
      </c>
      <c r="K7439" s="222">
        <v>0</v>
      </c>
    </row>
    <row r="7440" spans="1:11" ht="15.75" hidden="1" thickBot="1" x14ac:dyDescent="0.3">
      <c r="A7440" s="203"/>
      <c r="B7440" s="206"/>
      <c r="C7440" s="35"/>
      <c r="D7440" s="35"/>
      <c r="E7440" s="36"/>
      <c r="F7440" s="30" t="s">
        <v>514</v>
      </c>
      <c r="G7440" s="30" t="str">
        <f t="shared" si="227"/>
        <v/>
      </c>
      <c r="H7440" s="34"/>
      <c r="I7440" s="30"/>
      <c r="J7440" s="148">
        <v>0</v>
      </c>
      <c r="K7440" s="222">
        <v>0</v>
      </c>
    </row>
    <row r="7441" spans="1:11" ht="15.75" hidden="1" thickBot="1" x14ac:dyDescent="0.3">
      <c r="A7441" s="202" t="s">
        <v>7970</v>
      </c>
      <c r="B7441" s="204" t="str">
        <f>INDEX(Orçamentária!A:B,MATCH(Composições!A7441,Orçamentária!A:A,0),2)</f>
        <v>Suporte para luminária de poste quádruplo</v>
      </c>
      <c r="C7441" s="40"/>
      <c r="D7441" s="25" t="str">
        <f>TRIM(INDEX(Orçamentária!C:C,MATCH(Composições!A7441,Orçamentária!A:A,0),1))</f>
        <v>un</v>
      </c>
      <c r="E7441" s="26"/>
      <c r="F7441" s="48" t="s">
        <v>514</v>
      </c>
      <c r="G7441" s="27" t="str">
        <f t="shared" si="227"/>
        <v/>
      </c>
      <c r="H7441" s="28"/>
      <c r="I7441" s="29"/>
      <c r="J7441" s="148">
        <v>0</v>
      </c>
      <c r="K7441" s="222">
        <v>0</v>
      </c>
    </row>
    <row r="7442" spans="1:11" hidden="1" x14ac:dyDescent="0.25">
      <c r="A7442" s="203"/>
      <c r="B7442" s="205"/>
      <c r="C7442" s="31"/>
      <c r="D7442" s="31"/>
      <c r="E7442" s="32"/>
      <c r="F7442" s="53" t="s">
        <v>514</v>
      </c>
      <c r="G7442" s="53" t="str">
        <f t="shared" si="227"/>
        <v/>
      </c>
      <c r="H7442" s="72"/>
      <c r="I7442" s="30"/>
      <c r="J7442" s="148">
        <v>0</v>
      </c>
      <c r="K7442" s="222">
        <v>0</v>
      </c>
    </row>
    <row r="7443" spans="1:11" ht="25.5" hidden="1" x14ac:dyDescent="0.25">
      <c r="A7443" s="203"/>
      <c r="B7443" s="205"/>
      <c r="C7443" s="35" t="s">
        <v>8041</v>
      </c>
      <c r="D7443" s="35" t="s">
        <v>20</v>
      </c>
      <c r="E7443" s="36">
        <v>1</v>
      </c>
      <c r="F7443" s="30">
        <v>0</v>
      </c>
      <c r="G7443" s="53">
        <f t="shared" si="227"/>
        <v>0</v>
      </c>
      <c r="H7443" s="38">
        <f>SUM(G7443:G7445)</f>
        <v>11.138749999999998</v>
      </c>
      <c r="I7443" s="39"/>
      <c r="J7443" s="148">
        <v>0</v>
      </c>
      <c r="K7443" s="222">
        <v>0</v>
      </c>
    </row>
    <row r="7444" spans="1:11" hidden="1" x14ac:dyDescent="0.25">
      <c r="A7444" s="203"/>
      <c r="B7444" s="205"/>
      <c r="C7444" s="35" t="s">
        <v>1150</v>
      </c>
      <c r="D7444" s="35" t="s">
        <v>695</v>
      </c>
      <c r="E7444" s="36">
        <v>0.25</v>
      </c>
      <c r="F7444" s="33">
        <v>19.4085</v>
      </c>
      <c r="G7444" s="33">
        <f t="shared" si="227"/>
        <v>4.852125</v>
      </c>
      <c r="H7444" s="34"/>
      <c r="I7444" s="30"/>
      <c r="J7444" s="148">
        <v>0</v>
      </c>
      <c r="K7444" s="222">
        <v>0</v>
      </c>
    </row>
    <row r="7445" spans="1:11" hidden="1" x14ac:dyDescent="0.25">
      <c r="A7445" s="203"/>
      <c r="B7445" s="205"/>
      <c r="C7445" s="35" t="s">
        <v>1151</v>
      </c>
      <c r="D7445" s="35" t="s">
        <v>695</v>
      </c>
      <c r="E7445" s="36">
        <v>0.25</v>
      </c>
      <c r="F7445" s="30">
        <v>25.146499999999996</v>
      </c>
      <c r="G7445" s="53">
        <f t="shared" si="227"/>
        <v>6.286624999999999</v>
      </c>
      <c r="H7445" s="43"/>
      <c r="I7445" s="30"/>
      <c r="J7445" s="148">
        <v>0</v>
      </c>
      <c r="K7445" s="222">
        <v>0</v>
      </c>
    </row>
    <row r="7446" spans="1:11" ht="15.75" hidden="1" thickBot="1" x14ac:dyDescent="0.3">
      <c r="A7446" s="203"/>
      <c r="B7446" s="206"/>
      <c r="C7446" s="35"/>
      <c r="D7446" s="35"/>
      <c r="E7446" s="36"/>
      <c r="F7446" s="30" t="s">
        <v>514</v>
      </c>
      <c r="G7446" s="30" t="str">
        <f t="shared" si="227"/>
        <v/>
      </c>
      <c r="H7446" s="34"/>
      <c r="I7446" s="30"/>
      <c r="J7446" s="148">
        <v>0</v>
      </c>
      <c r="K7446" s="222">
        <v>0</v>
      </c>
    </row>
    <row r="7447" spans="1:11" ht="15.75" hidden="1" thickBot="1" x14ac:dyDescent="0.3">
      <c r="A7447" s="202" t="s">
        <v>7971</v>
      </c>
      <c r="B7447" s="204" t="str">
        <f>INDEX(Orçamentária!A:B,MATCH(Composições!A7447,Orçamentária!A:A,0),2)</f>
        <v>Braço para iluminação</v>
      </c>
      <c r="C7447" s="40"/>
      <c r="D7447" s="25" t="str">
        <f>TRIM(INDEX(Orçamentária!C:C,MATCH(Composições!A7447,Orçamentária!A:A,0),1))</f>
        <v>un</v>
      </c>
      <c r="E7447" s="26"/>
      <c r="F7447" s="41" t="s">
        <v>514</v>
      </c>
      <c r="G7447" s="27" t="str">
        <f t="shared" si="227"/>
        <v/>
      </c>
      <c r="H7447" s="28"/>
      <c r="I7447" s="29"/>
      <c r="J7447" s="148">
        <v>0</v>
      </c>
      <c r="K7447" s="222">
        <v>0</v>
      </c>
    </row>
    <row r="7448" spans="1:11" hidden="1" x14ac:dyDescent="0.25">
      <c r="A7448" s="203"/>
      <c r="B7448" s="205"/>
      <c r="C7448" s="31"/>
      <c r="D7448" s="31"/>
      <c r="E7448" s="32"/>
      <c r="F7448" s="42" t="s">
        <v>514</v>
      </c>
      <c r="G7448" s="30" t="str">
        <f t="shared" si="227"/>
        <v/>
      </c>
      <c r="H7448" s="34"/>
      <c r="I7448" s="30"/>
      <c r="J7448" s="148">
        <v>0</v>
      </c>
      <c r="K7448" s="222">
        <v>0</v>
      </c>
    </row>
    <row r="7449" spans="1:11" hidden="1" x14ac:dyDescent="0.25">
      <c r="A7449" s="203"/>
      <c r="B7449" s="205"/>
      <c r="C7449" s="35" t="s">
        <v>3232</v>
      </c>
      <c r="D7449" s="46" t="s">
        <v>278</v>
      </c>
      <c r="E7449" s="36">
        <v>1</v>
      </c>
      <c r="F7449" s="33">
        <v>23.75</v>
      </c>
      <c r="G7449" s="30">
        <f t="shared" si="227"/>
        <v>23.75</v>
      </c>
      <c r="H7449" s="38">
        <f>SUM(G7449:G7452)</f>
        <v>117.45141459999999</v>
      </c>
      <c r="I7449" s="39"/>
      <c r="J7449" s="148">
        <v>0</v>
      </c>
      <c r="K7449" s="222">
        <v>0</v>
      </c>
    </row>
    <row r="7450" spans="1:11" ht="51" hidden="1" x14ac:dyDescent="0.25">
      <c r="A7450" s="203"/>
      <c r="B7450" s="205"/>
      <c r="C7450" s="35" t="s">
        <v>3180</v>
      </c>
      <c r="D7450" s="46" t="s">
        <v>932</v>
      </c>
      <c r="E7450" s="36">
        <v>0.23880000000000001</v>
      </c>
      <c r="F7450" s="30">
        <v>266.81700000000001</v>
      </c>
      <c r="G7450" s="30">
        <f t="shared" si="227"/>
        <v>63.715899600000007</v>
      </c>
      <c r="H7450" s="34"/>
      <c r="I7450" s="30"/>
      <c r="J7450" s="148">
        <v>0</v>
      </c>
      <c r="K7450" s="222">
        <v>0</v>
      </c>
    </row>
    <row r="7451" spans="1:11" hidden="1" x14ac:dyDescent="0.25">
      <c r="A7451" s="203"/>
      <c r="B7451" s="205"/>
      <c r="C7451" s="35" t="s">
        <v>1150</v>
      </c>
      <c r="D7451" s="46" t="s">
        <v>695</v>
      </c>
      <c r="E7451" s="36">
        <v>0.67300000000000004</v>
      </c>
      <c r="F7451" s="30">
        <v>19.4085</v>
      </c>
      <c r="G7451" s="30">
        <f t="shared" si="227"/>
        <v>13.061920500000001</v>
      </c>
      <c r="H7451" s="34"/>
      <c r="I7451" s="30"/>
      <c r="J7451" s="148">
        <v>0</v>
      </c>
      <c r="K7451" s="222">
        <v>0</v>
      </c>
    </row>
    <row r="7452" spans="1:11" hidden="1" x14ac:dyDescent="0.25">
      <c r="A7452" s="203"/>
      <c r="B7452" s="205"/>
      <c r="C7452" s="35" t="s">
        <v>1151</v>
      </c>
      <c r="D7452" s="46" t="s">
        <v>695</v>
      </c>
      <c r="E7452" s="36">
        <v>0.67300000000000004</v>
      </c>
      <c r="F7452" s="30">
        <v>25.146499999999996</v>
      </c>
      <c r="G7452" s="30">
        <f t="shared" si="227"/>
        <v>16.9235945</v>
      </c>
      <c r="H7452" s="34"/>
      <c r="I7452" s="30"/>
      <c r="J7452" s="148">
        <v>0</v>
      </c>
      <c r="K7452" s="222">
        <v>0</v>
      </c>
    </row>
    <row r="7453" spans="1:11" ht="15.75" hidden="1" thickBot="1" x14ac:dyDescent="0.3">
      <c r="A7453" s="209"/>
      <c r="B7453" s="206"/>
      <c r="C7453" s="54"/>
      <c r="D7453" s="54"/>
      <c r="E7453" s="65"/>
      <c r="F7453" s="66" t="s">
        <v>514</v>
      </c>
      <c r="G7453" s="66" t="str">
        <f t="shared" si="227"/>
        <v/>
      </c>
      <c r="H7453" s="68"/>
      <c r="I7453" s="30"/>
      <c r="J7453" s="148">
        <v>0</v>
      </c>
      <c r="K7453" s="222">
        <v>0</v>
      </c>
    </row>
    <row r="7454" spans="1:11" ht="15.75" hidden="1" thickBot="1" x14ac:dyDescent="0.3">
      <c r="A7454" s="202" t="s">
        <v>7972</v>
      </c>
      <c r="B7454" s="204" t="str">
        <f>INDEX(Orçamentária!A:B,MATCH(Composições!A7454,Orçamentária!A:A,0),2)</f>
        <v>Quadro elétrico TTA (18 disjuntores terminais)</v>
      </c>
      <c r="C7454" s="40"/>
      <c r="D7454" s="25" t="str">
        <f>TRIM(INDEX(Orçamentária!C:C,MATCH(Composições!A7454,Orçamentária!A:A,0),1))</f>
        <v>un</v>
      </c>
      <c r="E7454" s="26"/>
      <c r="F7454" s="41" t="s">
        <v>514</v>
      </c>
      <c r="G7454" s="27" t="str">
        <f t="shared" si="227"/>
        <v/>
      </c>
      <c r="H7454" s="28"/>
      <c r="I7454" s="29"/>
      <c r="J7454" s="148">
        <v>15</v>
      </c>
      <c r="K7454" s="222" t="s">
        <v>8074</v>
      </c>
    </row>
    <row r="7455" spans="1:11" hidden="1" x14ac:dyDescent="0.25">
      <c r="A7455" s="203"/>
      <c r="B7455" s="205"/>
      <c r="C7455" s="31"/>
      <c r="D7455" s="31"/>
      <c r="E7455" s="32"/>
      <c r="F7455" s="42" t="s">
        <v>514</v>
      </c>
      <c r="G7455" s="30" t="str">
        <f t="shared" si="227"/>
        <v/>
      </c>
      <c r="H7455" s="34"/>
      <c r="I7455" s="30"/>
      <c r="J7455" s="148">
        <v>15</v>
      </c>
      <c r="K7455" s="222" t="s">
        <v>8074</v>
      </c>
    </row>
    <row r="7456" spans="1:11" ht="38.25" hidden="1" x14ac:dyDescent="0.25">
      <c r="A7456" s="203"/>
      <c r="B7456" s="205"/>
      <c r="C7456" s="35" t="s">
        <v>8067</v>
      </c>
      <c r="D7456" s="46" t="s">
        <v>20</v>
      </c>
      <c r="E7456" s="36">
        <v>1</v>
      </c>
      <c r="F7456" s="33">
        <v>7115.29</v>
      </c>
      <c r="G7456" s="30">
        <f t="shared" si="227"/>
        <v>7115.29</v>
      </c>
      <c r="H7456" s="38">
        <f>SUM(G7456:G7459)</f>
        <v>7158.6766278051264</v>
      </c>
      <c r="I7456" s="39"/>
      <c r="J7456" s="148">
        <v>15</v>
      </c>
      <c r="K7456" s="222" t="s">
        <v>8074</v>
      </c>
    </row>
    <row r="7457" spans="1:11" ht="38.25" hidden="1" x14ac:dyDescent="0.25">
      <c r="A7457" s="203"/>
      <c r="B7457" s="205"/>
      <c r="C7457" s="35" t="s">
        <v>3211</v>
      </c>
      <c r="D7457" s="46" t="s">
        <v>119</v>
      </c>
      <c r="E7457" s="36">
        <v>1.9199999999999998E-2</v>
      </c>
      <c r="F7457" s="30">
        <v>789.17314089199988</v>
      </c>
      <c r="G7457" s="30">
        <f t="shared" si="227"/>
        <v>15.152124305126396</v>
      </c>
      <c r="H7457" s="34"/>
      <c r="I7457" s="30"/>
      <c r="J7457" s="148">
        <v>15</v>
      </c>
      <c r="K7457" s="222" t="s">
        <v>8074</v>
      </c>
    </row>
    <row r="7458" spans="1:11" hidden="1" x14ac:dyDescent="0.25">
      <c r="A7458" s="203"/>
      <c r="B7458" s="205"/>
      <c r="C7458" s="35" t="s">
        <v>74</v>
      </c>
      <c r="D7458" s="46" t="s">
        <v>12</v>
      </c>
      <c r="E7458" s="36">
        <v>0.63370000000000004</v>
      </c>
      <c r="F7458" s="30">
        <v>19.4085</v>
      </c>
      <c r="G7458" s="30">
        <f t="shared" si="227"/>
        <v>12.299166450000001</v>
      </c>
      <c r="H7458" s="34"/>
      <c r="I7458" s="30"/>
      <c r="J7458" s="148">
        <v>15</v>
      </c>
      <c r="K7458" s="222" t="s">
        <v>8074</v>
      </c>
    </row>
    <row r="7459" spans="1:11" hidden="1" x14ac:dyDescent="0.25">
      <c r="A7459" s="203"/>
      <c r="B7459" s="205"/>
      <c r="C7459" s="35" t="s">
        <v>30</v>
      </c>
      <c r="D7459" s="46" t="s">
        <v>12</v>
      </c>
      <c r="E7459" s="36">
        <v>0.63370000000000004</v>
      </c>
      <c r="F7459" s="30">
        <v>25.146499999999996</v>
      </c>
      <c r="G7459" s="33">
        <f t="shared" si="227"/>
        <v>15.935337049999999</v>
      </c>
      <c r="H7459" s="34"/>
      <c r="I7459" s="30"/>
      <c r="J7459" s="148">
        <v>15</v>
      </c>
      <c r="K7459" s="222" t="s">
        <v>8074</v>
      </c>
    </row>
    <row r="7460" spans="1:11" ht="15.75" hidden="1" thickBot="1" x14ac:dyDescent="0.3">
      <c r="A7460" s="203"/>
      <c r="B7460" s="206"/>
      <c r="C7460" s="35"/>
      <c r="D7460" s="35"/>
      <c r="E7460" s="36"/>
      <c r="F7460" s="30" t="s">
        <v>514</v>
      </c>
      <c r="G7460" s="30" t="str">
        <f t="shared" si="227"/>
        <v/>
      </c>
      <c r="H7460" s="34"/>
      <c r="I7460" s="30"/>
      <c r="J7460" s="148">
        <v>15</v>
      </c>
      <c r="K7460" s="222" t="s">
        <v>8074</v>
      </c>
    </row>
    <row r="7461" spans="1:11" ht="15.75" hidden="1" thickBot="1" x14ac:dyDescent="0.3">
      <c r="A7461" s="202" t="s">
        <v>7973</v>
      </c>
      <c r="B7461" s="204" t="str">
        <f>INDEX(Orçamentária!A:B,MATCH(Composições!A7461,Orçamentária!A:A,0),2)</f>
        <v>Condulete de alumínio de 3/4’’</v>
      </c>
      <c r="C7461" s="40"/>
      <c r="D7461" s="25" t="str">
        <f>TRIM(INDEX(Orçamentária!C:C,MATCH(Composições!A7461,Orçamentária!A:A,0),1))</f>
        <v>un</v>
      </c>
      <c r="E7461" s="26"/>
      <c r="F7461" s="48" t="s">
        <v>514</v>
      </c>
      <c r="G7461" s="27" t="str">
        <f t="shared" si="227"/>
        <v/>
      </c>
      <c r="H7461" s="28"/>
      <c r="I7461" s="29"/>
      <c r="J7461" s="148">
        <v>600</v>
      </c>
      <c r="K7461" s="222" t="s">
        <v>8074</v>
      </c>
    </row>
    <row r="7462" spans="1:11" hidden="1" x14ac:dyDescent="0.25">
      <c r="A7462" s="207"/>
      <c r="B7462" s="205"/>
      <c r="C7462" s="31"/>
      <c r="D7462" s="31"/>
      <c r="E7462" s="32"/>
      <c r="F7462" s="53" t="s">
        <v>514</v>
      </c>
      <c r="G7462" s="53" t="str">
        <f t="shared" si="227"/>
        <v/>
      </c>
      <c r="H7462" s="72"/>
      <c r="I7462" s="73"/>
      <c r="J7462" s="148">
        <v>600</v>
      </c>
      <c r="K7462" s="222" t="s">
        <v>8074</v>
      </c>
    </row>
    <row r="7463" spans="1:11" ht="25.5" hidden="1" x14ac:dyDescent="0.25">
      <c r="A7463" s="207"/>
      <c r="B7463" s="205"/>
      <c r="C7463" s="35" t="s">
        <v>8071</v>
      </c>
      <c r="D7463" s="35" t="s">
        <v>278</v>
      </c>
      <c r="E7463" s="36">
        <v>1</v>
      </c>
      <c r="F7463" s="30">
        <v>16.8245</v>
      </c>
      <c r="G7463" s="53">
        <f t="shared" si="227"/>
        <v>16.8245</v>
      </c>
      <c r="H7463" s="38">
        <f>SUM(G7463:G7466)</f>
        <v>39.733968500000003</v>
      </c>
      <c r="I7463" s="39"/>
      <c r="J7463" s="148">
        <v>600</v>
      </c>
      <c r="K7463" s="222" t="s">
        <v>8074</v>
      </c>
    </row>
    <row r="7464" spans="1:11" ht="38.25" hidden="1" x14ac:dyDescent="0.25">
      <c r="A7464" s="207"/>
      <c r="B7464" s="205"/>
      <c r="C7464" s="35" t="s">
        <v>3233</v>
      </c>
      <c r="D7464" s="35" t="s">
        <v>278</v>
      </c>
      <c r="E7464" s="36">
        <v>2</v>
      </c>
      <c r="F7464" s="33">
        <v>0.38949999999999996</v>
      </c>
      <c r="G7464" s="33">
        <f t="shared" si="227"/>
        <v>0.77899999999999991</v>
      </c>
      <c r="H7464" s="34"/>
      <c r="I7464" s="30"/>
      <c r="J7464" s="148">
        <v>600</v>
      </c>
      <c r="K7464" s="222" t="s">
        <v>8074</v>
      </c>
    </row>
    <row r="7465" spans="1:11" hidden="1" x14ac:dyDescent="0.25">
      <c r="A7465" s="207"/>
      <c r="B7465" s="205"/>
      <c r="C7465" s="35" t="s">
        <v>1150</v>
      </c>
      <c r="D7465" s="35" t="s">
        <v>695</v>
      </c>
      <c r="E7465" s="36">
        <v>0.49669999999999997</v>
      </c>
      <c r="F7465" s="30">
        <v>19.4085</v>
      </c>
      <c r="G7465" s="53">
        <f t="shared" si="227"/>
        <v>9.6402019499999998</v>
      </c>
      <c r="H7465" s="43"/>
      <c r="I7465" s="39"/>
      <c r="J7465" s="148">
        <v>600</v>
      </c>
      <c r="K7465" s="222" t="s">
        <v>8074</v>
      </c>
    </row>
    <row r="7466" spans="1:11" hidden="1" x14ac:dyDescent="0.25">
      <c r="A7466" s="207"/>
      <c r="B7466" s="205"/>
      <c r="C7466" s="35" t="s">
        <v>1151</v>
      </c>
      <c r="D7466" s="35" t="s">
        <v>695</v>
      </c>
      <c r="E7466" s="36">
        <v>0.49669999999999997</v>
      </c>
      <c r="F7466" s="30">
        <v>25.146499999999996</v>
      </c>
      <c r="G7466" s="53">
        <f t="shared" si="227"/>
        <v>12.490266549999998</v>
      </c>
      <c r="H7466" s="43"/>
      <c r="I7466" s="39"/>
      <c r="J7466" s="148">
        <v>600</v>
      </c>
      <c r="K7466" s="222" t="s">
        <v>8074</v>
      </c>
    </row>
    <row r="7467" spans="1:11" ht="15.75" hidden="1" thickBot="1" x14ac:dyDescent="0.3">
      <c r="A7467" s="208"/>
      <c r="B7467" s="206"/>
      <c r="C7467" s="54"/>
      <c r="D7467" s="150"/>
      <c r="E7467" s="65"/>
      <c r="F7467" s="75" t="s">
        <v>514</v>
      </c>
      <c r="G7467" s="75" t="str">
        <f t="shared" si="227"/>
        <v/>
      </c>
      <c r="H7467" s="76"/>
      <c r="I7467" s="73"/>
      <c r="J7467" s="148">
        <v>600</v>
      </c>
      <c r="K7467" s="222" t="s">
        <v>8074</v>
      </c>
    </row>
    <row r="7468" spans="1:11" ht="15.75" hidden="1" thickBot="1" x14ac:dyDescent="0.3">
      <c r="A7468" s="202" t="s">
        <v>7974</v>
      </c>
      <c r="B7468" s="204" t="str">
        <f>INDEX(Orçamentária!A:B,MATCH(Composições!A7468,Orçamentária!A:A,0),2)</f>
        <v>Condulete de alumínio de 2’’</v>
      </c>
      <c r="C7468" s="40"/>
      <c r="D7468" s="25" t="str">
        <f>TRIM(INDEX(Orçamentária!C:C,MATCH(Composições!A7468,Orçamentária!A:A,0),1))</f>
        <v>un</v>
      </c>
      <c r="E7468" s="26"/>
      <c r="F7468" s="48" t="s">
        <v>514</v>
      </c>
      <c r="G7468" s="27" t="str">
        <f t="shared" si="227"/>
        <v/>
      </c>
      <c r="H7468" s="28"/>
      <c r="I7468" s="29"/>
      <c r="J7468" s="148">
        <v>0</v>
      </c>
      <c r="K7468" s="222">
        <v>0</v>
      </c>
    </row>
    <row r="7469" spans="1:11" hidden="1" x14ac:dyDescent="0.25">
      <c r="A7469" s="207"/>
      <c r="B7469" s="205"/>
      <c r="C7469" s="31"/>
      <c r="D7469" s="31"/>
      <c r="E7469" s="32"/>
      <c r="F7469" s="53" t="s">
        <v>514</v>
      </c>
      <c r="G7469" s="53" t="str">
        <f t="shared" si="227"/>
        <v/>
      </c>
      <c r="H7469" s="72"/>
      <c r="I7469" s="73"/>
      <c r="J7469" s="148">
        <v>0</v>
      </c>
      <c r="K7469" s="222">
        <v>0</v>
      </c>
    </row>
    <row r="7470" spans="1:11" ht="25.5" hidden="1" x14ac:dyDescent="0.25">
      <c r="A7470" s="207"/>
      <c r="B7470" s="205"/>
      <c r="C7470" s="35" t="s">
        <v>3257</v>
      </c>
      <c r="D7470" s="35" t="s">
        <v>20</v>
      </c>
      <c r="E7470" s="36">
        <v>1</v>
      </c>
      <c r="F7470" s="30">
        <v>54.966999999999999</v>
      </c>
      <c r="G7470" s="53">
        <f t="shared" si="227"/>
        <v>54.966999999999999</v>
      </c>
      <c r="H7470" s="38">
        <f>SUM(G7470:G7473)</f>
        <v>78.562615499999993</v>
      </c>
      <c r="I7470" s="39"/>
      <c r="J7470" s="148">
        <v>0</v>
      </c>
      <c r="K7470" s="222">
        <v>0</v>
      </c>
    </row>
    <row r="7471" spans="1:11" ht="38.25" hidden="1" x14ac:dyDescent="0.25">
      <c r="A7471" s="207"/>
      <c r="B7471" s="205"/>
      <c r="C7471" s="35" t="s">
        <v>3233</v>
      </c>
      <c r="D7471" s="35" t="s">
        <v>20</v>
      </c>
      <c r="E7471" s="36">
        <v>2</v>
      </c>
      <c r="F7471" s="33">
        <v>0.38949999999999996</v>
      </c>
      <c r="G7471" s="33">
        <f t="shared" si="227"/>
        <v>0.77899999999999991</v>
      </c>
      <c r="H7471" s="34"/>
      <c r="I7471" s="30"/>
      <c r="J7471" s="148">
        <v>0</v>
      </c>
      <c r="K7471" s="222">
        <v>0</v>
      </c>
    </row>
    <row r="7472" spans="1:11" hidden="1" x14ac:dyDescent="0.25">
      <c r="A7472" s="207"/>
      <c r="B7472" s="205"/>
      <c r="C7472" s="35" t="s">
        <v>1150</v>
      </c>
      <c r="D7472" s="35" t="s">
        <v>695</v>
      </c>
      <c r="E7472" s="36">
        <v>0.5121</v>
      </c>
      <c r="F7472" s="30">
        <v>19.4085</v>
      </c>
      <c r="G7472" s="53">
        <f t="shared" si="227"/>
        <v>9.9390928499999998</v>
      </c>
      <c r="H7472" s="43"/>
      <c r="I7472" s="39"/>
      <c r="J7472" s="148">
        <v>0</v>
      </c>
      <c r="K7472" s="222">
        <v>0</v>
      </c>
    </row>
    <row r="7473" spans="1:11" hidden="1" x14ac:dyDescent="0.25">
      <c r="A7473" s="207"/>
      <c r="B7473" s="205"/>
      <c r="C7473" s="35" t="s">
        <v>1151</v>
      </c>
      <c r="D7473" s="35" t="s">
        <v>695</v>
      </c>
      <c r="E7473" s="36">
        <v>0.5121</v>
      </c>
      <c r="F7473" s="30">
        <v>25.146499999999996</v>
      </c>
      <c r="G7473" s="53">
        <f t="shared" si="227"/>
        <v>12.877522649999998</v>
      </c>
      <c r="H7473" s="43"/>
      <c r="I7473" s="39"/>
      <c r="J7473" s="148">
        <v>0</v>
      </c>
      <c r="K7473" s="222">
        <v>0</v>
      </c>
    </row>
    <row r="7474" spans="1:11" ht="15.75" hidden="1" thickBot="1" x14ac:dyDescent="0.3">
      <c r="A7474" s="208"/>
      <c r="B7474" s="206"/>
      <c r="C7474" s="54"/>
      <c r="D7474" s="150"/>
      <c r="E7474" s="65"/>
      <c r="F7474" s="75" t="s">
        <v>514</v>
      </c>
      <c r="G7474" s="75" t="str">
        <f t="shared" si="227"/>
        <v/>
      </c>
      <c r="H7474" s="76"/>
      <c r="I7474" s="73"/>
      <c r="J7474" s="148">
        <v>0</v>
      </c>
      <c r="K7474" s="222">
        <v>0</v>
      </c>
    </row>
    <row r="7475" spans="1:11" ht="15.75" hidden="1" thickBot="1" x14ac:dyDescent="0.3">
      <c r="A7475" s="202" t="s">
        <v>7976</v>
      </c>
      <c r="B7475" s="204" t="str">
        <f>INDEX(Orçamentária!A:B,MATCH(Composições!A7475,Orçamentária!A:A,0),2)</f>
        <v>Cerâmica para revestimento de PAREDES de superfícies internas</v>
      </c>
      <c r="C7475" s="40"/>
      <c r="D7475" s="25" t="s">
        <v>94</v>
      </c>
      <c r="E7475" s="26"/>
      <c r="F7475" s="48" t="s">
        <v>514</v>
      </c>
      <c r="G7475" s="27" t="str">
        <f t="shared" si="227"/>
        <v/>
      </c>
      <c r="H7475" s="28"/>
      <c r="I7475" s="29"/>
      <c r="J7475" s="148">
        <v>300</v>
      </c>
      <c r="K7475" s="222" t="s">
        <v>8074</v>
      </c>
    </row>
    <row r="7476" spans="1:11" hidden="1" x14ac:dyDescent="0.25">
      <c r="A7476" s="207"/>
      <c r="B7476" s="205"/>
      <c r="C7476" s="31"/>
      <c r="D7476" s="31"/>
      <c r="E7476" s="32"/>
      <c r="F7476" s="53" t="s">
        <v>514</v>
      </c>
      <c r="G7476" s="53" t="str">
        <f t="shared" si="227"/>
        <v/>
      </c>
      <c r="H7476" s="72"/>
      <c r="I7476" s="73"/>
      <c r="J7476" s="148">
        <v>300</v>
      </c>
      <c r="K7476" s="222" t="s">
        <v>8074</v>
      </c>
    </row>
    <row r="7477" spans="1:11" ht="51" hidden="1" x14ac:dyDescent="0.25">
      <c r="A7477" s="207"/>
      <c r="B7477" s="205"/>
      <c r="C7477" s="35" t="s">
        <v>8070</v>
      </c>
      <c r="D7477" s="35" t="s">
        <v>94</v>
      </c>
      <c r="E7477" s="36">
        <v>1.08</v>
      </c>
      <c r="F7477" s="53">
        <v>61.4</v>
      </c>
      <c r="G7477" s="53">
        <f t="shared" si="227"/>
        <v>66.311999999999998</v>
      </c>
      <c r="H7477" s="38">
        <f>SUM(G7477:G7481)</f>
        <v>95.93071999999998</v>
      </c>
      <c r="I7477" s="39"/>
      <c r="J7477" s="148">
        <v>300</v>
      </c>
      <c r="K7477" s="222" t="s">
        <v>8074</v>
      </c>
    </row>
    <row r="7478" spans="1:11" hidden="1" x14ac:dyDescent="0.25">
      <c r="A7478" s="207"/>
      <c r="B7478" s="205"/>
      <c r="C7478" s="35" t="s">
        <v>3513</v>
      </c>
      <c r="D7478" s="35" t="s">
        <v>42</v>
      </c>
      <c r="E7478" s="36">
        <v>6.14</v>
      </c>
      <c r="F7478" s="53">
        <v>0.96899999999999997</v>
      </c>
      <c r="G7478" s="53">
        <f t="shared" si="227"/>
        <v>5.9496599999999997</v>
      </c>
      <c r="H7478" s="72"/>
      <c r="I7478" s="73"/>
      <c r="J7478" s="148">
        <v>300</v>
      </c>
      <c r="K7478" s="222" t="s">
        <v>8074</v>
      </c>
    </row>
    <row r="7479" spans="1:11" hidden="1" x14ac:dyDescent="0.25">
      <c r="A7479" s="207"/>
      <c r="B7479" s="205"/>
      <c r="C7479" s="35" t="s">
        <v>3511</v>
      </c>
      <c r="D7479" s="35" t="s">
        <v>42</v>
      </c>
      <c r="E7479" s="36">
        <v>0.22</v>
      </c>
      <c r="F7479" s="53">
        <v>3.0590000000000002</v>
      </c>
      <c r="G7479" s="53">
        <f t="shared" si="227"/>
        <v>0.67298000000000002</v>
      </c>
      <c r="H7479" s="72"/>
      <c r="I7479" s="73"/>
      <c r="J7479" s="148">
        <v>300</v>
      </c>
      <c r="K7479" s="222" t="s">
        <v>8074</v>
      </c>
    </row>
    <row r="7480" spans="1:11" hidden="1" x14ac:dyDescent="0.25">
      <c r="A7480" s="207"/>
      <c r="B7480" s="205"/>
      <c r="C7480" s="35" t="s">
        <v>36</v>
      </c>
      <c r="D7480" s="35" t="s">
        <v>12</v>
      </c>
      <c r="E7480" s="36">
        <v>0.66</v>
      </c>
      <c r="F7480" s="53">
        <v>24.795000000000002</v>
      </c>
      <c r="G7480" s="53">
        <f t="shared" si="227"/>
        <v>16.364700000000003</v>
      </c>
      <c r="H7480" s="72"/>
      <c r="I7480" s="73"/>
      <c r="J7480" s="148">
        <v>300</v>
      </c>
      <c r="K7480" s="222" t="s">
        <v>8074</v>
      </c>
    </row>
    <row r="7481" spans="1:11" hidden="1" x14ac:dyDescent="0.25">
      <c r="A7481" s="207"/>
      <c r="B7481" s="205"/>
      <c r="C7481" s="35" t="s">
        <v>23</v>
      </c>
      <c r="D7481" s="35" t="s">
        <v>12</v>
      </c>
      <c r="E7481" s="36">
        <v>0.36</v>
      </c>
      <c r="F7481" s="53">
        <v>18.420500000000001</v>
      </c>
      <c r="G7481" s="53">
        <f t="shared" si="227"/>
        <v>6.6313800000000001</v>
      </c>
      <c r="H7481" s="72"/>
      <c r="I7481" s="73"/>
      <c r="J7481" s="148">
        <v>300</v>
      </c>
      <c r="K7481" s="222" t="s">
        <v>8074</v>
      </c>
    </row>
    <row r="7482" spans="1:11" ht="15.75" hidden="1" thickBot="1" x14ac:dyDescent="0.3">
      <c r="A7482" s="208"/>
      <c r="B7482" s="206"/>
      <c r="C7482" s="54"/>
      <c r="D7482" s="150"/>
      <c r="E7482" s="65"/>
      <c r="F7482" s="75" t="s">
        <v>514</v>
      </c>
      <c r="G7482" s="75" t="str">
        <f t="shared" si="227"/>
        <v/>
      </c>
      <c r="H7482" s="76"/>
      <c r="I7482" s="73"/>
      <c r="J7482" s="148">
        <v>300</v>
      </c>
      <c r="K7482" s="222" t="s">
        <v>8074</v>
      </c>
    </row>
    <row r="7483" spans="1:11" ht="15.75" hidden="1" thickBot="1" x14ac:dyDescent="0.3">
      <c r="A7483" s="202" t="s">
        <v>7977</v>
      </c>
      <c r="B7483" s="204" t="str">
        <f>INDEX(Orçamentária!A:B,MATCH(Composições!A7483,Orçamentária!A:A,0),2)</f>
        <v>Cerâmica para revestimento de pisos de superfícies internas</v>
      </c>
      <c r="C7483" s="40"/>
      <c r="D7483" s="25" t="s">
        <v>94</v>
      </c>
      <c r="E7483" s="26"/>
      <c r="F7483" s="48" t="s">
        <v>514</v>
      </c>
      <c r="G7483" s="27" t="str">
        <f t="shared" si="227"/>
        <v/>
      </c>
      <c r="H7483" s="28"/>
      <c r="I7483" s="29"/>
      <c r="J7483" s="148">
        <v>350</v>
      </c>
      <c r="K7483" s="222" t="s">
        <v>8074</v>
      </c>
    </row>
    <row r="7484" spans="1:11" hidden="1" x14ac:dyDescent="0.25">
      <c r="A7484" s="207"/>
      <c r="B7484" s="205"/>
      <c r="C7484" s="31"/>
      <c r="D7484" s="31"/>
      <c r="E7484" s="32"/>
      <c r="F7484" s="53" t="s">
        <v>514</v>
      </c>
      <c r="G7484" s="53" t="str">
        <f t="shared" si="227"/>
        <v/>
      </c>
      <c r="H7484" s="72"/>
      <c r="I7484" s="73"/>
      <c r="J7484" s="148">
        <v>350</v>
      </c>
      <c r="K7484" s="222" t="s">
        <v>8074</v>
      </c>
    </row>
    <row r="7485" spans="1:11" ht="25.5" hidden="1" x14ac:dyDescent="0.25">
      <c r="A7485" s="207"/>
      <c r="B7485" s="205"/>
      <c r="C7485" s="35" t="s">
        <v>8069</v>
      </c>
      <c r="D7485" s="35" t="s">
        <v>94</v>
      </c>
      <c r="E7485" s="36">
        <v>1.08</v>
      </c>
      <c r="F7485" s="53">
        <v>49.9</v>
      </c>
      <c r="G7485" s="53">
        <f t="shared" si="227"/>
        <v>53.892000000000003</v>
      </c>
      <c r="H7485" s="38">
        <f>SUM(G7485:G7489)</f>
        <v>83.51072000000002</v>
      </c>
      <c r="I7485" s="39"/>
      <c r="J7485" s="148">
        <v>350</v>
      </c>
      <c r="K7485" s="222" t="s">
        <v>8074</v>
      </c>
    </row>
    <row r="7486" spans="1:11" hidden="1" x14ac:dyDescent="0.25">
      <c r="A7486" s="207"/>
      <c r="B7486" s="205"/>
      <c r="C7486" s="35" t="s">
        <v>3513</v>
      </c>
      <c r="D7486" s="35" t="s">
        <v>42</v>
      </c>
      <c r="E7486" s="36">
        <v>6.14</v>
      </c>
      <c r="F7486" s="53">
        <v>0.96899999999999997</v>
      </c>
      <c r="G7486" s="53">
        <f t="shared" si="227"/>
        <v>5.9496599999999997</v>
      </c>
      <c r="H7486" s="72"/>
      <c r="I7486" s="73"/>
      <c r="J7486" s="148">
        <v>350</v>
      </c>
      <c r="K7486" s="222" t="s">
        <v>8074</v>
      </c>
    </row>
    <row r="7487" spans="1:11" hidden="1" x14ac:dyDescent="0.25">
      <c r="A7487" s="207"/>
      <c r="B7487" s="205"/>
      <c r="C7487" s="35" t="s">
        <v>3511</v>
      </c>
      <c r="D7487" s="35" t="s">
        <v>42</v>
      </c>
      <c r="E7487" s="36">
        <v>0.22</v>
      </c>
      <c r="F7487" s="53">
        <v>3.0590000000000002</v>
      </c>
      <c r="G7487" s="53">
        <f t="shared" si="227"/>
        <v>0.67298000000000002</v>
      </c>
      <c r="H7487" s="72"/>
      <c r="I7487" s="73"/>
      <c r="J7487" s="148">
        <v>350</v>
      </c>
      <c r="K7487" s="222" t="s">
        <v>8074</v>
      </c>
    </row>
    <row r="7488" spans="1:11" hidden="1" x14ac:dyDescent="0.25">
      <c r="A7488" s="207"/>
      <c r="B7488" s="205"/>
      <c r="C7488" s="35" t="s">
        <v>36</v>
      </c>
      <c r="D7488" s="35" t="s">
        <v>12</v>
      </c>
      <c r="E7488" s="36">
        <v>0.66</v>
      </c>
      <c r="F7488" s="53">
        <v>24.795000000000002</v>
      </c>
      <c r="G7488" s="53">
        <f t="shared" si="227"/>
        <v>16.364700000000003</v>
      </c>
      <c r="H7488" s="72"/>
      <c r="I7488" s="73"/>
      <c r="J7488" s="148">
        <v>350</v>
      </c>
      <c r="K7488" s="222" t="s">
        <v>8074</v>
      </c>
    </row>
    <row r="7489" spans="1:11" hidden="1" x14ac:dyDescent="0.25">
      <c r="A7489" s="207"/>
      <c r="B7489" s="205"/>
      <c r="C7489" s="35" t="s">
        <v>23</v>
      </c>
      <c r="D7489" s="35" t="s">
        <v>12</v>
      </c>
      <c r="E7489" s="36">
        <v>0.36</v>
      </c>
      <c r="F7489" s="53">
        <v>18.420500000000001</v>
      </c>
      <c r="G7489" s="53">
        <f t="shared" si="227"/>
        <v>6.6313800000000001</v>
      </c>
      <c r="H7489" s="72"/>
      <c r="I7489" s="73"/>
      <c r="J7489" s="148">
        <v>350</v>
      </c>
      <c r="K7489" s="222" t="s">
        <v>8074</v>
      </c>
    </row>
    <row r="7490" spans="1:11" ht="15.75" hidden="1" thickBot="1" x14ac:dyDescent="0.3">
      <c r="A7490" s="208"/>
      <c r="B7490" s="206"/>
      <c r="C7490" s="54"/>
      <c r="D7490" s="150"/>
      <c r="E7490" s="65"/>
      <c r="F7490" s="75" t="s">
        <v>514</v>
      </c>
      <c r="G7490" s="75" t="str">
        <f t="shared" si="227"/>
        <v/>
      </c>
      <c r="H7490" s="76"/>
      <c r="I7490" s="73"/>
      <c r="J7490" s="148">
        <v>350</v>
      </c>
      <c r="K7490" s="222" t="s">
        <v>8074</v>
      </c>
    </row>
    <row r="7491" spans="1:11" ht="15.75" hidden="1" thickBot="1" x14ac:dyDescent="0.3">
      <c r="A7491" s="202" t="s">
        <v>7978</v>
      </c>
      <c r="B7491" s="204" t="str">
        <f>INDEX(Orçamentária!A:B,MATCH(Composições!A7491,Orçamentária!A:A,0),2)</f>
        <v>Cerâmica de linha industrial para revestimento de PISOS E PAREDES de superfícies internas e externas</v>
      </c>
      <c r="C7491" s="40"/>
      <c r="D7491" s="25" t="s">
        <v>94</v>
      </c>
      <c r="E7491" s="26"/>
      <c r="F7491" s="48" t="s">
        <v>514</v>
      </c>
      <c r="G7491" s="27" t="str">
        <f t="shared" si="227"/>
        <v/>
      </c>
      <c r="H7491" s="28"/>
      <c r="I7491" s="29"/>
      <c r="J7491" s="148">
        <v>300</v>
      </c>
      <c r="K7491" s="222" t="s">
        <v>8074</v>
      </c>
    </row>
    <row r="7492" spans="1:11" hidden="1" x14ac:dyDescent="0.25">
      <c r="A7492" s="207"/>
      <c r="B7492" s="205"/>
      <c r="C7492" s="31"/>
      <c r="D7492" s="31"/>
      <c r="E7492" s="32"/>
      <c r="F7492" s="53" t="s">
        <v>514</v>
      </c>
      <c r="G7492" s="53" t="str">
        <f t="shared" si="227"/>
        <v/>
      </c>
      <c r="H7492" s="72"/>
      <c r="I7492" s="73"/>
      <c r="J7492" s="148">
        <v>300</v>
      </c>
      <c r="K7492" s="222" t="s">
        <v>8074</v>
      </c>
    </row>
    <row r="7493" spans="1:11" ht="25.5" hidden="1" x14ac:dyDescent="0.25">
      <c r="A7493" s="207"/>
      <c r="B7493" s="205"/>
      <c r="C7493" s="35" t="s">
        <v>8068</v>
      </c>
      <c r="D7493" s="35" t="s">
        <v>94</v>
      </c>
      <c r="E7493" s="36">
        <v>1.08</v>
      </c>
      <c r="F7493" s="53">
        <v>134.75</v>
      </c>
      <c r="G7493" s="53">
        <f t="shared" si="227"/>
        <v>145.53</v>
      </c>
      <c r="H7493" s="38">
        <f>SUM(G7493:G7497)</f>
        <v>175.14872</v>
      </c>
      <c r="I7493" s="39"/>
      <c r="J7493" s="148">
        <v>300</v>
      </c>
      <c r="K7493" s="222" t="s">
        <v>8074</v>
      </c>
    </row>
    <row r="7494" spans="1:11" hidden="1" x14ac:dyDescent="0.25">
      <c r="A7494" s="207"/>
      <c r="B7494" s="205"/>
      <c r="C7494" s="35" t="s">
        <v>3513</v>
      </c>
      <c r="D7494" s="35" t="s">
        <v>42</v>
      </c>
      <c r="E7494" s="36">
        <v>6.14</v>
      </c>
      <c r="F7494" s="53">
        <v>0.96899999999999997</v>
      </c>
      <c r="G7494" s="53">
        <f t="shared" si="227"/>
        <v>5.9496599999999997</v>
      </c>
      <c r="H7494" s="72"/>
      <c r="I7494" s="73"/>
      <c r="J7494" s="148">
        <v>300</v>
      </c>
      <c r="K7494" s="222" t="s">
        <v>8074</v>
      </c>
    </row>
    <row r="7495" spans="1:11" hidden="1" x14ac:dyDescent="0.25">
      <c r="A7495" s="207"/>
      <c r="B7495" s="205"/>
      <c r="C7495" s="35" t="s">
        <v>3511</v>
      </c>
      <c r="D7495" s="35" t="s">
        <v>42</v>
      </c>
      <c r="E7495" s="36">
        <v>0.22</v>
      </c>
      <c r="F7495" s="53">
        <v>3.0590000000000002</v>
      </c>
      <c r="G7495" s="53">
        <f t="shared" si="227"/>
        <v>0.67298000000000002</v>
      </c>
      <c r="H7495" s="72"/>
      <c r="I7495" s="73"/>
      <c r="J7495" s="148">
        <v>300</v>
      </c>
      <c r="K7495" s="222" t="s">
        <v>8074</v>
      </c>
    </row>
    <row r="7496" spans="1:11" hidden="1" x14ac:dyDescent="0.25">
      <c r="A7496" s="207"/>
      <c r="B7496" s="205"/>
      <c r="C7496" s="35" t="s">
        <v>36</v>
      </c>
      <c r="D7496" s="35" t="s">
        <v>12</v>
      </c>
      <c r="E7496" s="36">
        <v>0.66</v>
      </c>
      <c r="F7496" s="53">
        <v>24.795000000000002</v>
      </c>
      <c r="G7496" s="53">
        <f t="shared" si="227"/>
        <v>16.364700000000003</v>
      </c>
      <c r="H7496" s="72"/>
      <c r="I7496" s="73"/>
      <c r="J7496" s="148">
        <v>300</v>
      </c>
      <c r="K7496" s="222" t="s">
        <v>8074</v>
      </c>
    </row>
    <row r="7497" spans="1:11" hidden="1" x14ac:dyDescent="0.25">
      <c r="A7497" s="207"/>
      <c r="B7497" s="205"/>
      <c r="C7497" s="35" t="s">
        <v>23</v>
      </c>
      <c r="D7497" s="35" t="s">
        <v>12</v>
      </c>
      <c r="E7497" s="36">
        <v>0.36</v>
      </c>
      <c r="F7497" s="53">
        <v>18.420500000000001</v>
      </c>
      <c r="G7497" s="53">
        <f t="shared" si="227"/>
        <v>6.6313800000000001</v>
      </c>
      <c r="H7497" s="72"/>
      <c r="I7497" s="73"/>
      <c r="J7497" s="148">
        <v>300</v>
      </c>
      <c r="K7497" s="222" t="s">
        <v>8074</v>
      </c>
    </row>
    <row r="7498" spans="1:11" ht="15.75" hidden="1" thickBot="1" x14ac:dyDescent="0.3">
      <c r="A7498" s="208"/>
      <c r="B7498" s="206"/>
      <c r="C7498" s="54"/>
      <c r="D7498" s="150"/>
      <c r="E7498" s="65"/>
      <c r="F7498" s="75" t="s">
        <v>514</v>
      </c>
      <c r="G7498" s="75" t="str">
        <f t="shared" ref="G7498:G7561" si="228">IF(ISNUMBER(F7498),E7498*F7498,"")</f>
        <v/>
      </c>
      <c r="H7498" s="76"/>
      <c r="I7498" s="73"/>
      <c r="J7498" s="148">
        <v>300</v>
      </c>
      <c r="K7498" s="222" t="s">
        <v>8074</v>
      </c>
    </row>
  </sheetData>
  <protectedRanges>
    <protectedRange sqref="C218 C109 C3199:C3200 C817 C3343 C1847 C1853 C1889 C1865 C1883 C1859 C1871 C1877 C1895 C1901 C1806 C1811 C1907 C2391 C3204 C3331 C3240 C3261 C3208 C3215 C3174 C3246 C3256 C3230 C3236 C3248 C3337 C1928 C1933 C1938 C2773 C2405 C2794 C2799 C2425 C2397 C2401 C2409 C2413 C2417 C2421 C2429 C2765 C119 C2733 C2741 C2753 C2745" name="COTACOES_92_6"/>
    <protectedRange sqref="C356" name="COTACOES_14_1_1"/>
    <protectedRange sqref="C422 C401" name="COTACOES_92_13_1"/>
    <protectedRange sqref="C508" name="COTACOES_92_4_1_1"/>
    <protectedRange sqref="C501" name="COTACOES_92_4_2_1"/>
    <protectedRange sqref="C795:C796 C763 C760:C761 C777:C778 C780 C801" name="COTACOES_92_3_1_1"/>
    <protectedRange sqref="C751" name="COTACOES_92_22_1"/>
    <protectedRange sqref="C1230" name="COTACOES_91_1_2_1"/>
    <protectedRange sqref="C1224" name="COTACOES_91_1_3_1"/>
    <protectedRange sqref="C1391:C1392" name="COTACOES_68_1_1"/>
    <protectedRange sqref="F1525 F1537 F1519 F1513 F1531" name="COTACOES_27_1_2_1_8_1"/>
    <protectedRange sqref="C1543 C1525 C1537 C1519 C1513 C1531" name="COTACOES_5_1_8_1"/>
    <protectedRange sqref="C1410:C1414 C1425:C1429 C1440:C1444 C1455:C1459 C1470:C1474 C1485:C1489 C1500:C1504" name="COTACOES_32_1_1"/>
    <protectedRange sqref="F1575 F1578 F1581" name="COTACOES_27_1_2_1_17_1"/>
    <protectedRange sqref="C1574:C1579 C1581:C1582" name="COTACOES_5_1_17_1"/>
    <protectedRange sqref="C1639 C1622 C1616 C1645 C5085 C5091" name="COTACOES_15_1_1"/>
    <protectedRange sqref="C1728 C1739 C1730 C1741" name="COTACOES_8_1_1"/>
    <protectedRange sqref="C1706 C4944:C4945 C4951:C4952 C4958:C4959 C4965:C4966 C5008:C5009 C5021:C5022 C5027 C5031:C5032 C5037:C5038 C5052:C5053 C5097:C5098 C5619 C5623 C5627 C5631 C1717 C1708 C1719" name="COTACOES_9_1_1_3"/>
    <protectedRange sqref="C1692" name="COTACOES_10_1_1"/>
    <protectedRange sqref="C1766" name="COTACOES_42_1_3"/>
    <protectedRange sqref="C1780" name="COTACOES_42_1_1_1"/>
    <protectedRange sqref="C1794" name="COTACOES_42_1_2_1"/>
    <protectedRange sqref="F1752" name="COTACOES_27_1_1_3_1"/>
    <protectedRange sqref="F1759" name="COTACOES_27_1_1_4_1"/>
    <protectedRange sqref="C1818" name="COTACOES_37_1_1"/>
    <protectedRange sqref="C1824" name="COTACOES_82_1_1"/>
    <protectedRange sqref="C1837" name="COTACOES_58_1_1"/>
    <protectedRange sqref="C1843" name="COTACOES_61_1_1"/>
    <protectedRange sqref="C1849" name="COTACOES_40_1_1"/>
    <protectedRange sqref="C1855" name="COTACOES_36_1_2"/>
    <protectedRange sqref="C1891" name="COTACOES_41_1_2"/>
    <protectedRange sqref="C1867 C1885" name="COTACOES_41_1_1_1"/>
    <protectedRange sqref="C1861" name="COTACOES_36_1_1_1"/>
    <protectedRange sqref="C1873 C1879" name="COTACOES_44_1_1"/>
    <protectedRange sqref="C1897" name="COTACOES_51_1_1"/>
    <protectedRange sqref="F1897" name="COTACOES_54_1_1"/>
    <protectedRange sqref="C1903 C2393 C3084:C3085 C3234 C3228 C3211 C3264 C3218:C3220 C2774 C2789 C2809" name="COTACOES_55_1_3"/>
    <protectedRange sqref="F1903" name="COTACOES_57_1_1"/>
    <protectedRange sqref="C1947" name="COTACOES_75_1_2"/>
    <protectedRange sqref="C1953" name="COTACOES_75_1_1_1"/>
    <protectedRange sqref="C1983 C1975" name="COTACOES_78_1_1"/>
    <protectedRange sqref="C1966" name="COTACOES_80_1_2"/>
    <protectedRange sqref="C1959" name="COTACOES_80_1_1_1"/>
    <protectedRange sqref="C2324" name="COTACOES_62_1_1"/>
    <protectedRange sqref="C2385" name="COTACOES_4_1_1"/>
    <protectedRange sqref="C835:C836" name="COTACOES_92_4_3"/>
    <protectedRange sqref="C786 C6435 C6440" name="COTACOES_92_2_7"/>
    <protectedRange sqref="C3357" name="COTACOES_92_2_3_2"/>
    <protectedRange sqref="C3360" name="COTACOES_55_1_1_3"/>
    <protectedRange sqref="C3365" name="COTACOES_92_2_5_1"/>
    <protectedRange sqref="C3371" name="COTACOES_55_1_2_1"/>
    <protectedRange sqref="C3673:C3675" name="COTACOES_55_1_1_1_1"/>
    <protectedRange sqref="C3693:C3695 C3708" name="COTACOES_55_1_1_2_1"/>
    <protectedRange sqref="C3699" name="COTACOES_92_1_2_1"/>
    <protectedRange sqref="C3827 C3767 C3706:C3707 C3709 C3701:C3704 C3773 C3779 C3785 C3791 C3797 C3803 C3809 C3815 C3821" name="COTACOES_55_1_1_4_1"/>
    <protectedRange sqref="C3856 C3865" name="COTACOES_92_12_1"/>
    <protectedRange sqref="C3859:C3860 C3868:C3869" name="COTACOES_55_1_5_1"/>
    <protectedRange sqref="C3873" name="COTACOES_92_14_1"/>
    <protectedRange sqref="C3875:C3877" name="COTACOES_55_1_6_1"/>
    <protectedRange sqref="C3885:C3895" name="COTACOES_92_15_1"/>
    <protectedRange sqref="C3950" name="COTACOES_9_1_1_1_1"/>
    <protectedRange sqref="C3960:C3961" name="COTACOES_9_1_1_2_1"/>
    <protectedRange sqref="C3992" name="COTACOES_92_16_1"/>
    <protectedRange sqref="C3995:C3996" name="COTACOES_55_1_7_2"/>
    <protectedRange sqref="C4005" name="COTACOES_92_17_2"/>
    <protectedRange sqref="C4011:C4013" name="COTACOES_55_1_8_1"/>
    <protectedRange sqref="C3977 C4149 C4183 C4197 C4215" name="COTACOES_55_1_7_1_2"/>
    <protectedRange sqref="C4031 C4040 C4049 C4058 C4067 C4076" name="COTACOES_92_17_1_1"/>
    <protectedRange sqref="C4097" name="COTACOES_55_1_7_1_1_1"/>
    <protectedRange sqref="C2433 C2649 C2441 C2453 C2457 C2461 C2465 C2469 C2473 C2477 C2481 C2485 C2489 C2493 C2497 C2501 C2505 C2509 C2513 C2517 C2521 C2525 C2529 C2533 C2537 C2541 C2545 C2549 C2653 C2445 C2449" name="COTACOES_92_3_2"/>
    <protectedRange sqref="C2553 C2557 C2561 C2581 C2573 C2575:C2576 C2583:C2584 C2589 C2591:C2592 C2601 C2605 C2617 C2621 C2625 C2629 C2637 C2613 C2645 C2641 C7298 C7290 C7294 C7302 C2609 C7286 C7318 C7322 C7306 C7310 C7314 C7274 C7261" name="COTACOES_92_5_2"/>
    <protectedRange sqref="C4114 C4104:C4106 C4110:C4111" name="COTACOES_55_1_7_1_1_1_1"/>
    <protectedRange sqref="C4364" name="COTACOES_92_17_1_1_1"/>
    <protectedRange sqref="C2657:C2659 C2663:C2665 C2669:C2671 C2675:C2677 C2681:C2683 C2687:C2689 C2699:C2701 C2705:C2707 C2711:C2713 C2693:C2695 C7156:C7158 C7162:C7164 C7169:C7170 C7175:C7176 C7181:C7182" name="COTACOES_92_3_2_1"/>
    <protectedRange sqref="C4346" name="COTACOES_92_17_1_1_1_1"/>
    <protectedRange sqref="C389" name="COTACOES_92_3_1_1_1"/>
    <protectedRange sqref="C410" name="COTACOES_92_3_1_1_2"/>
    <protectedRange sqref="C419" name="COTACOES_92_3_1_1_3"/>
    <protectedRange sqref="C798" name="COTACOES_92_3_1_1_4"/>
    <protectedRange sqref="C809" name="COTACOES_92_3_1_1_5"/>
    <protectedRange sqref="C2569" name="COTACOES_92_5_2_1"/>
    <protectedRange sqref="C4216" name="COTACOES_92_5_2_2"/>
    <protectedRange sqref="C1729" name="COTACOES_9_1_1_3_1"/>
    <protectedRange sqref="C1740" name="COTACOES_9_1_1_3_2"/>
    <protectedRange sqref="C1707 C1718" name="COTACOES_9_1_1_3_3"/>
    <protectedRange sqref="C5394 C5396 C5402 C5404 C5410 C5412 C5418 C5420 C5453:C5454 C5447:C5448 C5466:C5467 C5472:C5473" name="COTACOES_8_1_1_1"/>
    <protectedRange sqref="C5395 C5403 C5411 C5419" name="COTACOES_9_1_1_3_4"/>
    <protectedRange sqref="C6388 C6390 C6395:C6396 C6430 C6401 C6403 C6452" name="COTACOES_8_1_1_2"/>
    <protectedRange sqref="C6389 C6402" name="COTACOES_9_1_1_3_5"/>
    <protectedRange sqref="C6461 C6463" name="COTACOES_8_1_1_2_1"/>
    <protectedRange sqref="C6462" name="COTACOES_9_1_1_3_5_1"/>
    <protectedRange sqref="C6468 C6470" name="COTACOES_8_1_1_2_2"/>
    <protectedRange sqref="C6469" name="COTACOES_9_1_1_3_5_2"/>
    <protectedRange sqref="C7232" name="COTACOES_92_6_1"/>
    <protectedRange sqref="C7234" name="COTACOES_51_1_1_1"/>
    <protectedRange sqref="F7234" name="COTACOES_54_1_1_1"/>
    <protectedRange sqref="F7406 F7412 F7418 F7424" name="COTACOES_27_1_2_1_8_1_1"/>
    <protectedRange sqref="C7412 C7418 C7424 C7406" name="COTACOES_5_1_8_1_1"/>
  </protectedRanges>
  <autoFilter ref="A5:K7498" xr:uid="{00000000-0001-0000-0300-000000000000}">
    <filterColumn colId="9">
      <filters>
        <filter val="1,00"/>
        <filter val="10,00"/>
        <filter val="100,00"/>
        <filter val="1000,00"/>
        <filter val="10000,00"/>
        <filter val="110,00"/>
        <filter val="1100,00"/>
        <filter val="115,00"/>
        <filter val="120,00"/>
        <filter val="1200,00"/>
        <filter val="125,00"/>
        <filter val="1300,00"/>
        <filter val="135,00"/>
        <filter val="145,00"/>
        <filter val="15,00"/>
        <filter val="150,00"/>
        <filter val="1500,00"/>
        <filter val="15000,00"/>
        <filter val="160,00"/>
        <filter val="1720,00"/>
        <filter val="175,00"/>
        <filter val="180,00"/>
        <filter val="1875,00"/>
        <filter val="2,00"/>
        <filter val="20,00"/>
        <filter val="200,00"/>
        <filter val="2000,00"/>
        <filter val="220,00"/>
        <filter val="225,00"/>
        <filter val="2250,00"/>
        <filter val="22800,00"/>
        <filter val="2400,00"/>
        <filter val="25,00"/>
        <filter val="250,00"/>
        <filter val="2500,00"/>
        <filter val="265,00"/>
        <filter val="270,00"/>
        <filter val="2700,00"/>
        <filter val="285,00"/>
        <filter val="3,00"/>
        <filter val="30,00"/>
        <filter val="300,00"/>
        <filter val="3000,00"/>
        <filter val="320,00"/>
        <filter val="325,00"/>
        <filter val="35,00"/>
        <filter val="350,00"/>
        <filter val="360,00"/>
        <filter val="375,00"/>
        <filter val="380,00"/>
        <filter val="4,00"/>
        <filter val="40,00"/>
        <filter val="400,00"/>
        <filter val="4000,00"/>
        <filter val="425,00"/>
        <filter val="45,00"/>
        <filter val="450,00"/>
        <filter val="4500,00"/>
        <filter val="475,00"/>
        <filter val="485,00"/>
        <filter val="4860,00"/>
        <filter val="5,00"/>
        <filter val="50,00"/>
        <filter val="500,00"/>
        <filter val="540,00"/>
        <filter val="5400,00"/>
        <filter val="55,00"/>
        <filter val="560,00"/>
        <filter val="565,00"/>
        <filter val="6,00"/>
        <filter val="60,00"/>
        <filter val="600,00"/>
        <filter val="610,00"/>
        <filter val="620,00"/>
        <filter val="65,00"/>
        <filter val="650,00"/>
        <filter val="660,00"/>
        <filter val="680,00"/>
        <filter val="70,00"/>
        <filter val="700,00"/>
        <filter val="7125,00"/>
        <filter val="720,00"/>
        <filter val="75,00"/>
        <filter val="750,00"/>
        <filter val="7680,00"/>
        <filter val="80,00"/>
        <filter val="835,00"/>
        <filter val="85,00"/>
        <filter val="850,00"/>
        <filter val="8550,00"/>
        <filter val="875,00"/>
        <filter val="90,00"/>
        <filter val="900,00"/>
        <filter val="9000,00"/>
        <filter val="95,00"/>
        <filter val="950,00"/>
      </filters>
    </filterColumn>
    <filterColumn colId="10">
      <filters>
        <filter val="Grupo 03"/>
      </filters>
    </filterColumn>
  </autoFilter>
  <mergeCells count="2450">
    <mergeCell ref="A7461:A7467"/>
    <mergeCell ref="B7461:B7467"/>
    <mergeCell ref="A7468:A7474"/>
    <mergeCell ref="B7468:B7474"/>
    <mergeCell ref="A7454:A7460"/>
    <mergeCell ref="B7454:B7460"/>
    <mergeCell ref="A7475:A7482"/>
    <mergeCell ref="B7475:B7482"/>
    <mergeCell ref="A7483:A7490"/>
    <mergeCell ref="B7483:B7490"/>
    <mergeCell ref="A7491:A7498"/>
    <mergeCell ref="B7491:B7498"/>
    <mergeCell ref="A7304:A7307"/>
    <mergeCell ref="B7304:B7307"/>
    <mergeCell ref="A7308:A7311"/>
    <mergeCell ref="B7308:B7311"/>
    <mergeCell ref="A7312:A7315"/>
    <mergeCell ref="B7312:B7315"/>
    <mergeCell ref="A7433:A7440"/>
    <mergeCell ref="B7433:B7440"/>
    <mergeCell ref="A7441:A7446"/>
    <mergeCell ref="B7441:B7446"/>
    <mergeCell ref="A7447:A7453"/>
    <mergeCell ref="B7447:B7453"/>
    <mergeCell ref="A7331:A7336"/>
    <mergeCell ref="B7331:B7336"/>
    <mergeCell ref="A7324:A7330"/>
    <mergeCell ref="B7324:B7330"/>
    <mergeCell ref="A7316:A7319"/>
    <mergeCell ref="B7316:B7319"/>
    <mergeCell ref="A7320:A7323"/>
    <mergeCell ref="B7320:B7323"/>
    <mergeCell ref="A7230:A7235"/>
    <mergeCell ref="B7230:B7235"/>
    <mergeCell ref="A7236:A7241"/>
    <mergeCell ref="B7236:B7241"/>
    <mergeCell ref="A4752:A4755"/>
    <mergeCell ref="B4752:B4755"/>
    <mergeCell ref="A7242:A7248"/>
    <mergeCell ref="B7242:B7248"/>
    <mergeCell ref="A6866:A6869"/>
    <mergeCell ref="B6866:B6869"/>
    <mergeCell ref="A6850:A6853"/>
    <mergeCell ref="B6850:B6853"/>
    <mergeCell ref="A6890:A6893"/>
    <mergeCell ref="B6890:B6893"/>
    <mergeCell ref="A6898:A6901"/>
    <mergeCell ref="B6898:B6901"/>
    <mergeCell ref="A6870:A6873"/>
    <mergeCell ref="B6870:B6873"/>
    <mergeCell ref="A7014:A7017"/>
    <mergeCell ref="B7014:B7017"/>
    <mergeCell ref="A7022:A7025"/>
    <mergeCell ref="B7022:B7025"/>
    <mergeCell ref="A6918:A6921"/>
    <mergeCell ref="B6918:B6921"/>
    <mergeCell ref="A7184:A7189"/>
    <mergeCell ref="B7184:B7189"/>
    <mergeCell ref="A6922:A6925"/>
    <mergeCell ref="B6922:B6925"/>
    <mergeCell ref="A6934:A6937"/>
    <mergeCell ref="B6934:B6937"/>
    <mergeCell ref="A7138:A7141"/>
    <mergeCell ref="B7138:B7141"/>
    <mergeCell ref="A7122:A7125"/>
    <mergeCell ref="B7122:B7125"/>
    <mergeCell ref="A7126:A7129"/>
    <mergeCell ref="B7126:B7129"/>
    <mergeCell ref="A7114:A7117"/>
    <mergeCell ref="B7114:B7117"/>
    <mergeCell ref="A7118:A7121"/>
    <mergeCell ref="B7118:B7121"/>
    <mergeCell ref="A7134:A7137"/>
    <mergeCell ref="B7134:B7137"/>
    <mergeCell ref="A2715:A2718"/>
    <mergeCell ref="B2715:B2718"/>
    <mergeCell ref="A2719:A2722"/>
    <mergeCell ref="B2719:B2722"/>
    <mergeCell ref="A2723:A2726"/>
    <mergeCell ref="B2723:B2726"/>
    <mergeCell ref="A2743:A2746"/>
    <mergeCell ref="B2743:B2746"/>
    <mergeCell ref="A2755:A2758"/>
    <mergeCell ref="B2755:B2758"/>
    <mergeCell ref="A3462:A3472"/>
    <mergeCell ref="B3462:B3472"/>
    <mergeCell ref="A3533:A3541"/>
    <mergeCell ref="B3533:B3541"/>
    <mergeCell ref="A2812:A2816"/>
    <mergeCell ref="B2812:B2816"/>
    <mergeCell ref="A2817:A2821"/>
    <mergeCell ref="B2817:B2821"/>
    <mergeCell ref="A2822:A2826"/>
    <mergeCell ref="B2822:B2826"/>
    <mergeCell ref="A2776:A2785"/>
    <mergeCell ref="B2776:B2785"/>
    <mergeCell ref="A2786:A2791"/>
    <mergeCell ref="B2786:B2791"/>
    <mergeCell ref="A2797:A2801"/>
    <mergeCell ref="B2797:B2801"/>
    <mergeCell ref="A2912:A2919"/>
    <mergeCell ref="B2912:B2919"/>
    <mergeCell ref="A2920:A2927"/>
    <mergeCell ref="B2920:B2927"/>
    <mergeCell ref="A2928:A2935"/>
    <mergeCell ref="B2928:B2935"/>
    <mergeCell ref="A2739:A2742"/>
    <mergeCell ref="B2739:B2742"/>
    <mergeCell ref="A2747:A2750"/>
    <mergeCell ref="B2747:B2750"/>
    <mergeCell ref="A2751:A2754"/>
    <mergeCell ref="B2751:B2754"/>
    <mergeCell ref="A2802:A2811"/>
    <mergeCell ref="B2802:B2811"/>
    <mergeCell ref="A2792:A2796"/>
    <mergeCell ref="B2792:B2796"/>
    <mergeCell ref="A2966:A2970"/>
    <mergeCell ref="B2966:B2970"/>
    <mergeCell ref="A2971:A2975"/>
    <mergeCell ref="B2971:B2975"/>
    <mergeCell ref="A2976:A2980"/>
    <mergeCell ref="B2976:B2980"/>
    <mergeCell ref="A2951:A2955"/>
    <mergeCell ref="B2951:B2955"/>
    <mergeCell ref="A2956:A2960"/>
    <mergeCell ref="B2956:B2960"/>
    <mergeCell ref="A4732:A4735"/>
    <mergeCell ref="B4732:B4735"/>
    <mergeCell ref="A2891:A2895"/>
    <mergeCell ref="B2891:B2895"/>
    <mergeCell ref="A2896:A2903"/>
    <mergeCell ref="B2896:B2903"/>
    <mergeCell ref="A2904:A2911"/>
    <mergeCell ref="B2904:B2911"/>
    <mergeCell ref="A3810:A3815"/>
    <mergeCell ref="B3810:B3815"/>
    <mergeCell ref="A2961:A2965"/>
    <mergeCell ref="B2961:B2965"/>
    <mergeCell ref="A2936:A2940"/>
    <mergeCell ref="B2936:B2940"/>
    <mergeCell ref="A2941:A2945"/>
    <mergeCell ref="B2941:B2945"/>
    <mergeCell ref="A2946:A2950"/>
    <mergeCell ref="B2946:B2950"/>
    <mergeCell ref="A3016:A3020"/>
    <mergeCell ref="B3016:B3020"/>
    <mergeCell ref="A3021:A3025"/>
    <mergeCell ref="B3021:B3025"/>
    <mergeCell ref="A7010:A7013"/>
    <mergeCell ref="B7010:B7013"/>
    <mergeCell ref="A4736:A4739"/>
    <mergeCell ref="B4736:B4739"/>
    <mergeCell ref="A7058:A7061"/>
    <mergeCell ref="B7058:B7061"/>
    <mergeCell ref="A7102:A7105"/>
    <mergeCell ref="B7102:B7105"/>
    <mergeCell ref="A7106:A7109"/>
    <mergeCell ref="B7106:B7109"/>
    <mergeCell ref="A7082:A7085"/>
    <mergeCell ref="B7082:B7085"/>
    <mergeCell ref="A7086:A7089"/>
    <mergeCell ref="B7086:B7089"/>
    <mergeCell ref="A7090:A7093"/>
    <mergeCell ref="B7090:B7093"/>
    <mergeCell ref="A7018:A7021"/>
    <mergeCell ref="B7018:B7021"/>
    <mergeCell ref="A7046:A7049"/>
    <mergeCell ref="B7046:B7049"/>
    <mergeCell ref="A7050:A7053"/>
    <mergeCell ref="B7050:B7053"/>
    <mergeCell ref="A7054:A7057"/>
    <mergeCell ref="B7054:B7057"/>
    <mergeCell ref="A7062:A7065"/>
    <mergeCell ref="B7062:B7065"/>
    <mergeCell ref="A7006:A7009"/>
    <mergeCell ref="B7006:B7009"/>
    <mergeCell ref="A6958:A6961"/>
    <mergeCell ref="B6958:B6961"/>
    <mergeCell ref="A6962:A6965"/>
    <mergeCell ref="B6962:B6965"/>
    <mergeCell ref="A7190:A7195"/>
    <mergeCell ref="B7190:B7195"/>
    <mergeCell ref="A7130:A7133"/>
    <mergeCell ref="B7130:B7133"/>
    <mergeCell ref="A7226:A7229"/>
    <mergeCell ref="B7226:B7229"/>
    <mergeCell ref="A7214:A7217"/>
    <mergeCell ref="B7214:B7217"/>
    <mergeCell ref="A7218:A7221"/>
    <mergeCell ref="B7218:B7221"/>
    <mergeCell ref="A7154:A7159"/>
    <mergeCell ref="B7154:B7159"/>
    <mergeCell ref="A7160:A7165"/>
    <mergeCell ref="B7160:B7165"/>
    <mergeCell ref="A7166:A7171"/>
    <mergeCell ref="B7166:B7171"/>
    <mergeCell ref="A7172:A7177"/>
    <mergeCell ref="B7172:B7177"/>
    <mergeCell ref="A7178:A7183"/>
    <mergeCell ref="B7178:B7183"/>
    <mergeCell ref="A7142:A7145"/>
    <mergeCell ref="B7142:B7145"/>
    <mergeCell ref="A7146:A7149"/>
    <mergeCell ref="B7146:B7149"/>
    <mergeCell ref="A7150:A7153"/>
    <mergeCell ref="B7150:B7153"/>
    <mergeCell ref="A7110:A7113"/>
    <mergeCell ref="B7110:B7113"/>
    <mergeCell ref="A7222:A7225"/>
    <mergeCell ref="B7222:B7225"/>
    <mergeCell ref="A7066:A7069"/>
    <mergeCell ref="B7066:B7069"/>
    <mergeCell ref="A7070:A7073"/>
    <mergeCell ref="B7070:B7073"/>
    <mergeCell ref="A7074:A7077"/>
    <mergeCell ref="B7074:B7077"/>
    <mergeCell ref="A7078:A7081"/>
    <mergeCell ref="B7078:B7081"/>
    <mergeCell ref="A7098:A7101"/>
    <mergeCell ref="B7098:B7101"/>
    <mergeCell ref="A7026:A7029"/>
    <mergeCell ref="B7026:B7029"/>
    <mergeCell ref="A7030:A7033"/>
    <mergeCell ref="B7030:B7033"/>
    <mergeCell ref="A7034:A7037"/>
    <mergeCell ref="B7034:B7037"/>
    <mergeCell ref="A7038:A7041"/>
    <mergeCell ref="B7038:B7041"/>
    <mergeCell ref="A7042:A7045"/>
    <mergeCell ref="B7042:B7045"/>
    <mergeCell ref="A7094:A7097"/>
    <mergeCell ref="B7094:B7097"/>
    <mergeCell ref="A7196:A7201"/>
    <mergeCell ref="B7196:B7201"/>
    <mergeCell ref="A7202:A7207"/>
    <mergeCell ref="B7202:B7207"/>
    <mergeCell ref="A7208:A7213"/>
    <mergeCell ref="B7208:B7213"/>
    <mergeCell ref="A6970:A6973"/>
    <mergeCell ref="B6970:B6973"/>
    <mergeCell ref="A6978:A6981"/>
    <mergeCell ref="B6978:B6981"/>
    <mergeCell ref="A6854:A6857"/>
    <mergeCell ref="B6854:B6857"/>
    <mergeCell ref="A6906:A6909"/>
    <mergeCell ref="B6906:B6909"/>
    <mergeCell ref="A6910:A6913"/>
    <mergeCell ref="B6910:B6913"/>
    <mergeCell ref="A6914:A6917"/>
    <mergeCell ref="B6914:B6917"/>
    <mergeCell ref="A6926:A6929"/>
    <mergeCell ref="B6926:B6929"/>
    <mergeCell ref="A6930:A6933"/>
    <mergeCell ref="B6930:B6933"/>
    <mergeCell ref="A6966:A6969"/>
    <mergeCell ref="B6966:B6969"/>
    <mergeCell ref="A6894:A6897"/>
    <mergeCell ref="B6894:B6897"/>
    <mergeCell ref="A6874:A6877"/>
    <mergeCell ref="B6874:B6877"/>
    <mergeCell ref="A6878:A6881"/>
    <mergeCell ref="B6878:B6881"/>
    <mergeCell ref="A6882:A6885"/>
    <mergeCell ref="B6882:B6885"/>
    <mergeCell ref="A6886:A6889"/>
    <mergeCell ref="B6886:B6889"/>
    <mergeCell ref="A6938:A6941"/>
    <mergeCell ref="B6938:B6941"/>
    <mergeCell ref="A7002:A7005"/>
    <mergeCell ref="B7002:B7005"/>
    <mergeCell ref="A6982:A6985"/>
    <mergeCell ref="B6982:B6985"/>
    <mergeCell ref="A6986:A6989"/>
    <mergeCell ref="B6986:B6989"/>
    <mergeCell ref="A6990:A6993"/>
    <mergeCell ref="B6990:B6993"/>
    <mergeCell ref="A6974:A6977"/>
    <mergeCell ref="B6974:B6977"/>
    <mergeCell ref="A6822:A6825"/>
    <mergeCell ref="B6822:B6825"/>
    <mergeCell ref="A6826:A6829"/>
    <mergeCell ref="B6826:B6829"/>
    <mergeCell ref="A6830:A6833"/>
    <mergeCell ref="B6830:B6833"/>
    <mergeCell ref="A6834:A6837"/>
    <mergeCell ref="B6834:B6837"/>
    <mergeCell ref="A6994:A6997"/>
    <mergeCell ref="B6994:B6997"/>
    <mergeCell ref="A6998:A7001"/>
    <mergeCell ref="B6998:B7001"/>
    <mergeCell ref="A6858:A6861"/>
    <mergeCell ref="B6858:B6861"/>
    <mergeCell ref="A6942:A6945"/>
    <mergeCell ref="B6942:B6945"/>
    <mergeCell ref="A6946:A6949"/>
    <mergeCell ref="B6946:B6949"/>
    <mergeCell ref="A6950:A6953"/>
    <mergeCell ref="B6950:B6953"/>
    <mergeCell ref="A6954:A6957"/>
    <mergeCell ref="B6954:B6957"/>
    <mergeCell ref="A6778:A6781"/>
    <mergeCell ref="B6778:B6781"/>
    <mergeCell ref="A6810:A6813"/>
    <mergeCell ref="B6810:B6813"/>
    <mergeCell ref="A6814:A6817"/>
    <mergeCell ref="B6814:B6817"/>
    <mergeCell ref="A6818:A6821"/>
    <mergeCell ref="B6818:B6821"/>
    <mergeCell ref="A6902:A6905"/>
    <mergeCell ref="B6902:B6905"/>
    <mergeCell ref="A6838:A6841"/>
    <mergeCell ref="B6838:B6841"/>
    <mergeCell ref="A6842:A6845"/>
    <mergeCell ref="B6842:B6845"/>
    <mergeCell ref="A6846:A6849"/>
    <mergeCell ref="B6846:B6849"/>
    <mergeCell ref="A6862:A6865"/>
    <mergeCell ref="B6862:B6865"/>
    <mergeCell ref="A6754:A6757"/>
    <mergeCell ref="B6754:B6757"/>
    <mergeCell ref="A6758:A6761"/>
    <mergeCell ref="B6758:B6761"/>
    <mergeCell ref="A6762:A6765"/>
    <mergeCell ref="B6762:B6765"/>
    <mergeCell ref="A6766:A6769"/>
    <mergeCell ref="B6766:B6769"/>
    <mergeCell ref="A6726:A6729"/>
    <mergeCell ref="B6726:B6729"/>
    <mergeCell ref="A6730:A6733"/>
    <mergeCell ref="B6730:B6733"/>
    <mergeCell ref="A6734:A6737"/>
    <mergeCell ref="B6734:B6737"/>
    <mergeCell ref="A6770:A6773"/>
    <mergeCell ref="B6770:B6773"/>
    <mergeCell ref="A6774:A6777"/>
    <mergeCell ref="B6774:B6777"/>
    <mergeCell ref="A4740:A4743"/>
    <mergeCell ref="B4740:B4743"/>
    <mergeCell ref="A2874:A2880"/>
    <mergeCell ref="B2874:B2880"/>
    <mergeCell ref="A2881:A2885"/>
    <mergeCell ref="B2881:B2885"/>
    <mergeCell ref="A2886:A2890"/>
    <mergeCell ref="B2886:B2890"/>
    <mergeCell ref="A6638:A6641"/>
    <mergeCell ref="B6638:B6641"/>
    <mergeCell ref="A6642:A6645"/>
    <mergeCell ref="B6642:B6645"/>
    <mergeCell ref="A6646:A6649"/>
    <mergeCell ref="B6646:B6649"/>
    <mergeCell ref="A6566:A6569"/>
    <mergeCell ref="B6566:B6569"/>
    <mergeCell ref="A6570:A6573"/>
    <mergeCell ref="B6570:B6573"/>
    <mergeCell ref="A6574:A6577"/>
    <mergeCell ref="B6574:B6577"/>
    <mergeCell ref="A6578:A6581"/>
    <mergeCell ref="B6578:B6581"/>
    <mergeCell ref="A6041:A6044"/>
    <mergeCell ref="B6041:B6044"/>
    <mergeCell ref="A6057:A6060"/>
    <mergeCell ref="B6057:B6060"/>
    <mergeCell ref="A6125:A6128"/>
    <mergeCell ref="B6125:B6128"/>
    <mergeCell ref="A4744:A4747"/>
    <mergeCell ref="B4744:B4747"/>
    <mergeCell ref="A4748:A4751"/>
    <mergeCell ref="B4748:B4751"/>
    <mergeCell ref="A3026:A3030"/>
    <mergeCell ref="B3026:B3030"/>
    <mergeCell ref="A3001:A3005"/>
    <mergeCell ref="B3001:B3005"/>
    <mergeCell ref="A3006:A3010"/>
    <mergeCell ref="B3006:B3010"/>
    <mergeCell ref="A3011:A3015"/>
    <mergeCell ref="B3011:B3015"/>
    <mergeCell ref="A2981:A2985"/>
    <mergeCell ref="B2981:B2985"/>
    <mergeCell ref="A2986:A2995"/>
    <mergeCell ref="B2986:B2995"/>
    <mergeCell ref="A6706:A6709"/>
    <mergeCell ref="B6706:B6709"/>
    <mergeCell ref="A6710:A6713"/>
    <mergeCell ref="B6710:B6713"/>
    <mergeCell ref="A6782:A6785"/>
    <mergeCell ref="B6782:B6785"/>
    <mergeCell ref="A6714:A6717"/>
    <mergeCell ref="B6714:B6717"/>
    <mergeCell ref="A6718:A6721"/>
    <mergeCell ref="B6718:B6721"/>
    <mergeCell ref="A6738:A6741"/>
    <mergeCell ref="B6738:B6741"/>
    <mergeCell ref="A6742:A6745"/>
    <mergeCell ref="B6742:B6745"/>
    <mergeCell ref="A6746:A6749"/>
    <mergeCell ref="B6746:B6749"/>
    <mergeCell ref="A4756:A4759"/>
    <mergeCell ref="B4756:B4759"/>
    <mergeCell ref="A6618:A6621"/>
    <mergeCell ref="B6618:B6621"/>
    <mergeCell ref="A6562:A6565"/>
    <mergeCell ref="B6562:B6565"/>
    <mergeCell ref="A6806:A6809"/>
    <mergeCell ref="B6806:B6809"/>
    <mergeCell ref="A6678:A6681"/>
    <mergeCell ref="B6678:B6681"/>
    <mergeCell ref="A6662:A6665"/>
    <mergeCell ref="B6662:B6665"/>
    <mergeCell ref="A6630:A6633"/>
    <mergeCell ref="B6630:B6633"/>
    <mergeCell ref="A6786:A6789"/>
    <mergeCell ref="B6786:B6789"/>
    <mergeCell ref="A6790:A6793"/>
    <mergeCell ref="B6790:B6793"/>
    <mergeCell ref="A6582:A6585"/>
    <mergeCell ref="B6582:B6585"/>
    <mergeCell ref="A6590:A6593"/>
    <mergeCell ref="B6590:B6593"/>
    <mergeCell ref="A6594:A6597"/>
    <mergeCell ref="B6594:B6597"/>
    <mergeCell ref="A6586:A6589"/>
    <mergeCell ref="B6586:B6589"/>
    <mergeCell ref="A6794:A6797"/>
    <mergeCell ref="B6794:B6797"/>
    <mergeCell ref="A6798:A6801"/>
    <mergeCell ref="B6798:B6801"/>
    <mergeCell ref="A6802:A6805"/>
    <mergeCell ref="B6802:B6805"/>
    <mergeCell ref="A6722:A6725"/>
    <mergeCell ref="B6722:B6725"/>
    <mergeCell ref="A6750:A6753"/>
    <mergeCell ref="B6750:B6753"/>
    <mergeCell ref="A6538:A6541"/>
    <mergeCell ref="B6538:B6541"/>
    <mergeCell ref="A6682:A6685"/>
    <mergeCell ref="B6682:B6685"/>
    <mergeCell ref="A6686:A6689"/>
    <mergeCell ref="B6686:B6689"/>
    <mergeCell ref="A6690:A6693"/>
    <mergeCell ref="B6690:B6693"/>
    <mergeCell ref="A6694:A6697"/>
    <mergeCell ref="B6694:B6697"/>
    <mergeCell ref="A6698:A6701"/>
    <mergeCell ref="B6698:B6701"/>
    <mergeCell ref="A6702:A6705"/>
    <mergeCell ref="B6702:B6705"/>
    <mergeCell ref="A6602:A6605"/>
    <mergeCell ref="B6602:B6605"/>
    <mergeCell ref="A6606:A6609"/>
    <mergeCell ref="B6606:B6609"/>
    <mergeCell ref="A6666:A6669"/>
    <mergeCell ref="B6666:B6669"/>
    <mergeCell ref="A6670:A6673"/>
    <mergeCell ref="B6670:B6673"/>
    <mergeCell ref="A6622:A6625"/>
    <mergeCell ref="B6622:B6625"/>
    <mergeCell ref="A6634:A6637"/>
    <mergeCell ref="B6634:B6637"/>
    <mergeCell ref="A6650:A6653"/>
    <mergeCell ref="B6650:B6653"/>
    <mergeCell ref="A6654:A6657"/>
    <mergeCell ref="B6654:B6657"/>
    <mergeCell ref="A6674:A6677"/>
    <mergeCell ref="B6674:B6677"/>
    <mergeCell ref="A5621:A5624"/>
    <mergeCell ref="B5621:B5624"/>
    <mergeCell ref="A5625:A5628"/>
    <mergeCell ref="B5625:B5628"/>
    <mergeCell ref="A5629:A5632"/>
    <mergeCell ref="B5629:B5632"/>
    <mergeCell ref="A6445:A6449"/>
    <mergeCell ref="B6445:B6449"/>
    <mergeCell ref="A6450:A6458"/>
    <mergeCell ref="B6450:B6458"/>
    <mergeCell ref="A6399:A6405"/>
    <mergeCell ref="B6399:B6405"/>
    <mergeCell ref="A6406:A6409"/>
    <mergeCell ref="B6406:B6409"/>
    <mergeCell ref="A6410:A6414"/>
    <mergeCell ref="B6410:B6414"/>
    <mergeCell ref="A6494:A6497"/>
    <mergeCell ref="B6494:B6497"/>
    <mergeCell ref="A6129:A6132"/>
    <mergeCell ref="B6129:B6132"/>
    <mergeCell ref="A6133:A6136"/>
    <mergeCell ref="B6133:B6136"/>
    <mergeCell ref="A5633:A5636"/>
    <mergeCell ref="B5633:B5636"/>
    <mergeCell ref="A5637:A5640"/>
    <mergeCell ref="B5637:B5640"/>
    <mergeCell ref="A5641:A5644"/>
    <mergeCell ref="B5641:B5644"/>
    <mergeCell ref="A5645:A5648"/>
    <mergeCell ref="B5645:B5648"/>
    <mergeCell ref="A5649:A5652"/>
    <mergeCell ref="B5649:B5652"/>
    <mergeCell ref="A5310:A5315"/>
    <mergeCell ref="B5310:B5315"/>
    <mergeCell ref="A5347:A5353"/>
    <mergeCell ref="B5347:B5353"/>
    <mergeCell ref="A5354:A5360"/>
    <mergeCell ref="B5354:B5360"/>
    <mergeCell ref="A5361:A5366"/>
    <mergeCell ref="B5361:B5366"/>
    <mergeCell ref="A5367:A5372"/>
    <mergeCell ref="B5367:B5372"/>
    <mergeCell ref="A5373:A5379"/>
    <mergeCell ref="B5373:B5379"/>
    <mergeCell ref="A5380:A5385"/>
    <mergeCell ref="B5380:B5385"/>
    <mergeCell ref="A5386:A5391"/>
    <mergeCell ref="B5386:B5391"/>
    <mergeCell ref="A5392:A5399"/>
    <mergeCell ref="B5392:B5399"/>
    <mergeCell ref="A5322:A5327"/>
    <mergeCell ref="B5322:B5327"/>
    <mergeCell ref="A5316:A5321"/>
    <mergeCell ref="B5316:B5321"/>
    <mergeCell ref="A5328:A5333"/>
    <mergeCell ref="B5328:B5333"/>
    <mergeCell ref="A5334:A5339"/>
    <mergeCell ref="B5334:B5339"/>
    <mergeCell ref="A5340:A5346"/>
    <mergeCell ref="B5340:B5346"/>
    <mergeCell ref="A5400:A5407"/>
    <mergeCell ref="B5400:B5407"/>
    <mergeCell ref="A5252:A5257"/>
    <mergeCell ref="B5252:B5257"/>
    <mergeCell ref="A5258:A5264"/>
    <mergeCell ref="B5258:B5264"/>
    <mergeCell ref="A5265:A5276"/>
    <mergeCell ref="B5265:B5276"/>
    <mergeCell ref="A5285:A5290"/>
    <mergeCell ref="B5285:B5290"/>
    <mergeCell ref="A5291:A5297"/>
    <mergeCell ref="B5291:B5297"/>
    <mergeCell ref="A5298:A5303"/>
    <mergeCell ref="B5298:B5303"/>
    <mergeCell ref="A5304:A5309"/>
    <mergeCell ref="B5304:B5309"/>
    <mergeCell ref="A5178:A5185"/>
    <mergeCell ref="B5178:B5185"/>
    <mergeCell ref="A5186:A5193"/>
    <mergeCell ref="B5186:B5193"/>
    <mergeCell ref="A5194:A5201"/>
    <mergeCell ref="B5194:B5201"/>
    <mergeCell ref="A5202:A5216"/>
    <mergeCell ref="B5202:B5216"/>
    <mergeCell ref="A5217:A5231"/>
    <mergeCell ref="B5217:B5231"/>
    <mergeCell ref="A5232:A5238"/>
    <mergeCell ref="B5232:B5238"/>
    <mergeCell ref="A5239:A5245"/>
    <mergeCell ref="B5239:B5245"/>
    <mergeCell ref="A5246:A5251"/>
    <mergeCell ref="B5246:B5251"/>
    <mergeCell ref="A5277:A5284"/>
    <mergeCell ref="B5277:B5284"/>
    <mergeCell ref="A5142:A5149"/>
    <mergeCell ref="B5142:B5149"/>
    <mergeCell ref="A5150:A5157"/>
    <mergeCell ref="B5150:B5157"/>
    <mergeCell ref="A5158:A5163"/>
    <mergeCell ref="B5158:B5163"/>
    <mergeCell ref="A5164:A5171"/>
    <mergeCell ref="B5164:B5171"/>
    <mergeCell ref="A5172:A5177"/>
    <mergeCell ref="B5172:B5177"/>
    <mergeCell ref="B136:B139"/>
    <mergeCell ref="A184:A190"/>
    <mergeCell ref="B184:B190"/>
    <mergeCell ref="A191:A197"/>
    <mergeCell ref="B191:B197"/>
    <mergeCell ref="A198:A201"/>
    <mergeCell ref="B198:B201"/>
    <mergeCell ref="A215:A219"/>
    <mergeCell ref="B215:B219"/>
    <mergeCell ref="A220:A224"/>
    <mergeCell ref="B220:B224"/>
    <mergeCell ref="A225:A228"/>
    <mergeCell ref="B225:B228"/>
    <mergeCell ref="A202:A205"/>
    <mergeCell ref="B202:B205"/>
    <mergeCell ref="A206:A210"/>
    <mergeCell ref="B162:B166"/>
    <mergeCell ref="A167:A171"/>
    <mergeCell ref="B167:B171"/>
    <mergeCell ref="A237:A240"/>
    <mergeCell ref="B237:B240"/>
    <mergeCell ref="A269:A276"/>
    <mergeCell ref="A98:A102"/>
    <mergeCell ref="B98:B102"/>
    <mergeCell ref="A103:A106"/>
    <mergeCell ref="B103:B106"/>
    <mergeCell ref="A107:A111"/>
    <mergeCell ref="B107:B111"/>
    <mergeCell ref="B70:B77"/>
    <mergeCell ref="A78:A82"/>
    <mergeCell ref="B78:B82"/>
    <mergeCell ref="A88:A92"/>
    <mergeCell ref="B88:B92"/>
    <mergeCell ref="A93:A97"/>
    <mergeCell ref="B93:B97"/>
    <mergeCell ref="A5120:A5125"/>
    <mergeCell ref="B5120:B5125"/>
    <mergeCell ref="A127:A131"/>
    <mergeCell ref="B127:B131"/>
    <mergeCell ref="A132:A135"/>
    <mergeCell ref="B132:B135"/>
    <mergeCell ref="A136:A139"/>
    <mergeCell ref="A112:A116"/>
    <mergeCell ref="B112:B116"/>
    <mergeCell ref="A117:A121"/>
    <mergeCell ref="B117:B121"/>
    <mergeCell ref="A122:A126"/>
    <mergeCell ref="B122:B126"/>
    <mergeCell ref="B249:B263"/>
    <mergeCell ref="A264:A268"/>
    <mergeCell ref="B264:B268"/>
    <mergeCell ref="A291:A305"/>
    <mergeCell ref="A5126:A5133"/>
    <mergeCell ref="B5126:B5133"/>
    <mergeCell ref="A140:A144"/>
    <mergeCell ref="B140:B144"/>
    <mergeCell ref="A145:A149"/>
    <mergeCell ref="B145:B149"/>
    <mergeCell ref="A150:A154"/>
    <mergeCell ref="B150:B154"/>
    <mergeCell ref="A172:A175"/>
    <mergeCell ref="B172:B175"/>
    <mergeCell ref="A176:A179"/>
    <mergeCell ref="B176:B179"/>
    <mergeCell ref="A180:A183"/>
    <mergeCell ref="B180:B183"/>
    <mergeCell ref="A155:A161"/>
    <mergeCell ref="B155:B161"/>
    <mergeCell ref="A162:A166"/>
    <mergeCell ref="B206:B210"/>
    <mergeCell ref="A211:A214"/>
    <mergeCell ref="B211:B214"/>
    <mergeCell ref="A229:A232"/>
    <mergeCell ref="B229:B232"/>
    <mergeCell ref="A233:A236"/>
    <mergeCell ref="B233:B236"/>
    <mergeCell ref="B269:B276"/>
    <mergeCell ref="A277:A283"/>
    <mergeCell ref="B277:B283"/>
    <mergeCell ref="A284:A290"/>
    <mergeCell ref="B284:B290"/>
    <mergeCell ref="A241:A248"/>
    <mergeCell ref="B241:B248"/>
    <mergeCell ref="A249:A263"/>
    <mergeCell ref="A6:A9"/>
    <mergeCell ref="B6:B9"/>
    <mergeCell ref="A10:A13"/>
    <mergeCell ref="B10:B13"/>
    <mergeCell ref="A14:A17"/>
    <mergeCell ref="B14:B17"/>
    <mergeCell ref="A48:A52"/>
    <mergeCell ref="B48:B52"/>
    <mergeCell ref="A53:A59"/>
    <mergeCell ref="B53:B59"/>
    <mergeCell ref="A60:A64"/>
    <mergeCell ref="B60:B64"/>
    <mergeCell ref="A33:A37"/>
    <mergeCell ref="B33:B37"/>
    <mergeCell ref="A38:A42"/>
    <mergeCell ref="A83:A87"/>
    <mergeCell ref="B83:B87"/>
    <mergeCell ref="A65:A69"/>
    <mergeCell ref="B65:B69"/>
    <mergeCell ref="A70:A77"/>
    <mergeCell ref="B38:B42"/>
    <mergeCell ref="A43:A47"/>
    <mergeCell ref="B43:B47"/>
    <mergeCell ref="A18:A22"/>
    <mergeCell ref="B18:B22"/>
    <mergeCell ref="A23:A27"/>
    <mergeCell ref="B23:B27"/>
    <mergeCell ref="A28:A32"/>
    <mergeCell ref="B28:B32"/>
    <mergeCell ref="B291:B305"/>
    <mergeCell ref="A306:A320"/>
    <mergeCell ref="B306:B320"/>
    <mergeCell ref="A321:A326"/>
    <mergeCell ref="B321:B326"/>
    <mergeCell ref="A366:A371"/>
    <mergeCell ref="B366:B371"/>
    <mergeCell ref="A372:A380"/>
    <mergeCell ref="B372:B380"/>
    <mergeCell ref="A381:A394"/>
    <mergeCell ref="B381:B394"/>
    <mergeCell ref="A327:A341"/>
    <mergeCell ref="B327:B341"/>
    <mergeCell ref="A342:A351"/>
    <mergeCell ref="B342:B351"/>
    <mergeCell ref="A352:A365"/>
    <mergeCell ref="B352:B365"/>
    <mergeCell ref="A395:A401"/>
    <mergeCell ref="B395:B401"/>
    <mergeCell ref="A402:A415"/>
    <mergeCell ref="B402:B415"/>
    <mergeCell ref="A416:A422"/>
    <mergeCell ref="B416:B422"/>
    <mergeCell ref="A607:A615"/>
    <mergeCell ref="B607:B615"/>
    <mergeCell ref="A562:A569"/>
    <mergeCell ref="B562:B569"/>
    <mergeCell ref="A570:A579"/>
    <mergeCell ref="B570:B579"/>
    <mergeCell ref="A447:A454"/>
    <mergeCell ref="B447:B454"/>
    <mergeCell ref="A455:A464"/>
    <mergeCell ref="B455:B464"/>
    <mergeCell ref="A465:A471"/>
    <mergeCell ref="B465:B471"/>
    <mergeCell ref="A423:A434"/>
    <mergeCell ref="B423:B434"/>
    <mergeCell ref="A435:A440"/>
    <mergeCell ref="B435:B440"/>
    <mergeCell ref="A441:A446"/>
    <mergeCell ref="B441:B446"/>
    <mergeCell ref="A472:A483"/>
    <mergeCell ref="B472:B483"/>
    <mergeCell ref="A484:A489"/>
    <mergeCell ref="B484:B489"/>
    <mergeCell ref="A490:A497"/>
    <mergeCell ref="B490:B497"/>
    <mergeCell ref="A638:A644"/>
    <mergeCell ref="B638:B644"/>
    <mergeCell ref="A645:A648"/>
    <mergeCell ref="B645:B648"/>
    <mergeCell ref="A649:A652"/>
    <mergeCell ref="B649:B652"/>
    <mergeCell ref="A518:A524"/>
    <mergeCell ref="B518:B524"/>
    <mergeCell ref="A525:A531"/>
    <mergeCell ref="B525:B531"/>
    <mergeCell ref="A532:A537"/>
    <mergeCell ref="B532:B537"/>
    <mergeCell ref="A498:A504"/>
    <mergeCell ref="B498:B504"/>
    <mergeCell ref="A505:A511"/>
    <mergeCell ref="B505:B511"/>
    <mergeCell ref="A512:A517"/>
    <mergeCell ref="B512:B517"/>
    <mergeCell ref="A616:A621"/>
    <mergeCell ref="B616:B621"/>
    <mergeCell ref="A622:A629"/>
    <mergeCell ref="B622:B629"/>
    <mergeCell ref="A538:A545"/>
    <mergeCell ref="B538:B545"/>
    <mergeCell ref="A546:A553"/>
    <mergeCell ref="B546:B553"/>
    <mergeCell ref="A554:A561"/>
    <mergeCell ref="B554:B561"/>
    <mergeCell ref="A589:A596"/>
    <mergeCell ref="B589:B596"/>
    <mergeCell ref="A597:A606"/>
    <mergeCell ref="B597:B606"/>
    <mergeCell ref="A737:A744"/>
    <mergeCell ref="B737:B744"/>
    <mergeCell ref="A745:A748"/>
    <mergeCell ref="B745:B748"/>
    <mergeCell ref="A749:A755"/>
    <mergeCell ref="B749:B755"/>
    <mergeCell ref="A580:A588"/>
    <mergeCell ref="B580:B588"/>
    <mergeCell ref="A724:A730"/>
    <mergeCell ref="B724:B730"/>
    <mergeCell ref="A731:A736"/>
    <mergeCell ref="B731:B736"/>
    <mergeCell ref="A687:A696"/>
    <mergeCell ref="B687:B696"/>
    <mergeCell ref="A697:A704"/>
    <mergeCell ref="B697:B704"/>
    <mergeCell ref="A705:A714"/>
    <mergeCell ref="B705:B714"/>
    <mergeCell ref="A665:A668"/>
    <mergeCell ref="B665:B668"/>
    <mergeCell ref="A669:A676"/>
    <mergeCell ref="B669:B676"/>
    <mergeCell ref="A677:A686"/>
    <mergeCell ref="B677:B686"/>
    <mergeCell ref="A630:A637"/>
    <mergeCell ref="B630:B637"/>
    <mergeCell ref="A653:A656"/>
    <mergeCell ref="B653:B656"/>
    <mergeCell ref="A657:A660"/>
    <mergeCell ref="B657:B660"/>
    <mergeCell ref="A661:A664"/>
    <mergeCell ref="B661:B664"/>
    <mergeCell ref="A715:A723"/>
    <mergeCell ref="B715:B723"/>
    <mergeCell ref="A846:A850"/>
    <mergeCell ref="B846:B850"/>
    <mergeCell ref="A851:A856"/>
    <mergeCell ref="B851:B856"/>
    <mergeCell ref="A857:A862"/>
    <mergeCell ref="B857:B862"/>
    <mergeCell ref="A828:A832"/>
    <mergeCell ref="B828:B832"/>
    <mergeCell ref="A833:A839"/>
    <mergeCell ref="B833:B839"/>
    <mergeCell ref="A840:A845"/>
    <mergeCell ref="B840:B845"/>
    <mergeCell ref="A815:A818"/>
    <mergeCell ref="B815:B818"/>
    <mergeCell ref="A819:A823"/>
    <mergeCell ref="B819:B823"/>
    <mergeCell ref="A824:A827"/>
    <mergeCell ref="B824:B827"/>
    <mergeCell ref="A784:A790"/>
    <mergeCell ref="B784:B790"/>
    <mergeCell ref="A791:A804"/>
    <mergeCell ref="B791:B804"/>
    <mergeCell ref="A805:A814"/>
    <mergeCell ref="B805:B814"/>
    <mergeCell ref="A756:A766"/>
    <mergeCell ref="B756:B766"/>
    <mergeCell ref="A767:A772"/>
    <mergeCell ref="B767:B772"/>
    <mergeCell ref="A773:A783"/>
    <mergeCell ref="B773:B783"/>
    <mergeCell ref="A904:A907"/>
    <mergeCell ref="B904:B907"/>
    <mergeCell ref="A908:A913"/>
    <mergeCell ref="B908:B913"/>
    <mergeCell ref="A914:A922"/>
    <mergeCell ref="B914:B922"/>
    <mergeCell ref="A884:A891"/>
    <mergeCell ref="B884:B891"/>
    <mergeCell ref="A892:A896"/>
    <mergeCell ref="B892:B896"/>
    <mergeCell ref="A897:A903"/>
    <mergeCell ref="B897:B903"/>
    <mergeCell ref="A863:A867"/>
    <mergeCell ref="B863:B867"/>
    <mergeCell ref="A868:A875"/>
    <mergeCell ref="B868:B875"/>
    <mergeCell ref="A876:A883"/>
    <mergeCell ref="B876:B883"/>
    <mergeCell ref="A967:A973"/>
    <mergeCell ref="B967:B973"/>
    <mergeCell ref="A974:A980"/>
    <mergeCell ref="B974:B980"/>
    <mergeCell ref="A981:A991"/>
    <mergeCell ref="B981:B991"/>
    <mergeCell ref="A948:A953"/>
    <mergeCell ref="B948:B953"/>
    <mergeCell ref="A954:A959"/>
    <mergeCell ref="B954:B959"/>
    <mergeCell ref="A960:A966"/>
    <mergeCell ref="B960:B966"/>
    <mergeCell ref="A923:A929"/>
    <mergeCell ref="B923:B929"/>
    <mergeCell ref="A930:A938"/>
    <mergeCell ref="B930:B938"/>
    <mergeCell ref="A939:A947"/>
    <mergeCell ref="B939:B947"/>
    <mergeCell ref="A1037:A1045"/>
    <mergeCell ref="B1037:B1045"/>
    <mergeCell ref="A1046:A1052"/>
    <mergeCell ref="B1046:B1052"/>
    <mergeCell ref="A1053:A1059"/>
    <mergeCell ref="B1053:B1059"/>
    <mergeCell ref="A1013:A1021"/>
    <mergeCell ref="B1013:B1021"/>
    <mergeCell ref="A1022:A1026"/>
    <mergeCell ref="B1022:B1026"/>
    <mergeCell ref="A1027:A1036"/>
    <mergeCell ref="B1027:B1036"/>
    <mergeCell ref="A992:A1002"/>
    <mergeCell ref="B992:B1002"/>
    <mergeCell ref="A1003:A1007"/>
    <mergeCell ref="B1003:B1007"/>
    <mergeCell ref="A1008:A1012"/>
    <mergeCell ref="B1008:B1012"/>
    <mergeCell ref="A1109:A1116"/>
    <mergeCell ref="B1109:B1116"/>
    <mergeCell ref="A1117:A1121"/>
    <mergeCell ref="B1117:B1121"/>
    <mergeCell ref="A1122:A1126"/>
    <mergeCell ref="B1122:B1126"/>
    <mergeCell ref="A1083:A1090"/>
    <mergeCell ref="B1083:B1090"/>
    <mergeCell ref="A1091:A1098"/>
    <mergeCell ref="B1091:B1098"/>
    <mergeCell ref="A1099:A1108"/>
    <mergeCell ref="B1099:B1108"/>
    <mergeCell ref="A1060:A1066"/>
    <mergeCell ref="B1060:B1066"/>
    <mergeCell ref="A1067:A1073"/>
    <mergeCell ref="B1067:B1073"/>
    <mergeCell ref="A1074:A1082"/>
    <mergeCell ref="B1074:B1082"/>
    <mergeCell ref="A1166:A1172"/>
    <mergeCell ref="B1166:B1172"/>
    <mergeCell ref="A1173:A1179"/>
    <mergeCell ref="B1173:B1179"/>
    <mergeCell ref="A1180:A1186"/>
    <mergeCell ref="B1180:B1186"/>
    <mergeCell ref="A1145:A1151"/>
    <mergeCell ref="B1145:B1151"/>
    <mergeCell ref="A1152:A1158"/>
    <mergeCell ref="B1152:B1158"/>
    <mergeCell ref="A1159:A1165"/>
    <mergeCell ref="B1159:B1165"/>
    <mergeCell ref="A1127:A1132"/>
    <mergeCell ref="B1127:B1132"/>
    <mergeCell ref="A1133:A1137"/>
    <mergeCell ref="B1133:B1137"/>
    <mergeCell ref="A1138:A1144"/>
    <mergeCell ref="B1138:B1144"/>
    <mergeCell ref="A1228:A1233"/>
    <mergeCell ref="B1228:B1233"/>
    <mergeCell ref="A1234:A1239"/>
    <mergeCell ref="B1234:B1239"/>
    <mergeCell ref="A1240:A1245"/>
    <mergeCell ref="B1240:B1245"/>
    <mergeCell ref="A1208:A1214"/>
    <mergeCell ref="B1208:B1214"/>
    <mergeCell ref="A1215:A1221"/>
    <mergeCell ref="B1215:B1221"/>
    <mergeCell ref="A1222:A1227"/>
    <mergeCell ref="B1222:B1227"/>
    <mergeCell ref="A1187:A1193"/>
    <mergeCell ref="B1187:B1193"/>
    <mergeCell ref="A1194:A1200"/>
    <mergeCell ref="B1194:B1200"/>
    <mergeCell ref="A1201:A1207"/>
    <mergeCell ref="B1201:B1207"/>
    <mergeCell ref="A1287:A1293"/>
    <mergeCell ref="B1287:B1293"/>
    <mergeCell ref="A1294:A1300"/>
    <mergeCell ref="B1294:B1300"/>
    <mergeCell ref="A1301:A1308"/>
    <mergeCell ref="B1301:B1308"/>
    <mergeCell ref="A1267:A1272"/>
    <mergeCell ref="B1267:B1272"/>
    <mergeCell ref="A1273:A1279"/>
    <mergeCell ref="B1273:B1279"/>
    <mergeCell ref="A1280:A1286"/>
    <mergeCell ref="B1280:B1286"/>
    <mergeCell ref="A1246:A1252"/>
    <mergeCell ref="B1246:B1252"/>
    <mergeCell ref="A1253:A1259"/>
    <mergeCell ref="B1253:B1259"/>
    <mergeCell ref="A1260:A1266"/>
    <mergeCell ref="B1260:B1266"/>
    <mergeCell ref="A1349:A1354"/>
    <mergeCell ref="B1349:B1354"/>
    <mergeCell ref="A1355:A1361"/>
    <mergeCell ref="B1355:B1361"/>
    <mergeCell ref="A1362:A1367"/>
    <mergeCell ref="B1362:B1367"/>
    <mergeCell ref="A1330:A1335"/>
    <mergeCell ref="B1330:B1335"/>
    <mergeCell ref="A1336:A1341"/>
    <mergeCell ref="B1336:B1341"/>
    <mergeCell ref="A1342:A1348"/>
    <mergeCell ref="B1342:B1348"/>
    <mergeCell ref="A1309:A1317"/>
    <mergeCell ref="B1309:B1317"/>
    <mergeCell ref="A1318:A1323"/>
    <mergeCell ref="B1318:B1323"/>
    <mergeCell ref="A1324:A1329"/>
    <mergeCell ref="B1324:B1329"/>
    <mergeCell ref="A1406:A1420"/>
    <mergeCell ref="B1406:B1420"/>
    <mergeCell ref="A1421:A1435"/>
    <mergeCell ref="B1421:B1435"/>
    <mergeCell ref="A1436:A1450"/>
    <mergeCell ref="B1436:B1450"/>
    <mergeCell ref="A1387:A1392"/>
    <mergeCell ref="B1387:B1392"/>
    <mergeCell ref="A1393:A1398"/>
    <mergeCell ref="B1393:B1398"/>
    <mergeCell ref="A1399:A1405"/>
    <mergeCell ref="B1399:B1405"/>
    <mergeCell ref="A1368:A1373"/>
    <mergeCell ref="B1368:B1373"/>
    <mergeCell ref="A1374:A1380"/>
    <mergeCell ref="B1374:B1380"/>
    <mergeCell ref="A1381:A1386"/>
    <mergeCell ref="B1381:B1386"/>
    <mergeCell ref="A1523:A1528"/>
    <mergeCell ref="B1523:B1528"/>
    <mergeCell ref="A1529:A1534"/>
    <mergeCell ref="B1529:B1534"/>
    <mergeCell ref="A1535:A1540"/>
    <mergeCell ref="B1535:B1540"/>
    <mergeCell ref="A1496:A1510"/>
    <mergeCell ref="B1496:B1510"/>
    <mergeCell ref="A1511:A1516"/>
    <mergeCell ref="B1511:B1516"/>
    <mergeCell ref="A1517:A1522"/>
    <mergeCell ref="B1517:B1522"/>
    <mergeCell ref="A1451:A1465"/>
    <mergeCell ref="B1451:B1465"/>
    <mergeCell ref="A1466:A1480"/>
    <mergeCell ref="B1466:B1480"/>
    <mergeCell ref="A1481:A1495"/>
    <mergeCell ref="B1481:B1495"/>
    <mergeCell ref="A1590:A1595"/>
    <mergeCell ref="B1590:B1595"/>
    <mergeCell ref="A1596:A1601"/>
    <mergeCell ref="B1596:B1601"/>
    <mergeCell ref="A1602:A1608"/>
    <mergeCell ref="B1602:B1608"/>
    <mergeCell ref="A1562:A1568"/>
    <mergeCell ref="B1562:B1568"/>
    <mergeCell ref="A1569:A1583"/>
    <mergeCell ref="B1569:B1583"/>
    <mergeCell ref="A1584:A1589"/>
    <mergeCell ref="B1584:B1589"/>
    <mergeCell ref="A1541:A1547"/>
    <mergeCell ref="B1541:B1547"/>
    <mergeCell ref="A1548:A1554"/>
    <mergeCell ref="B1548:B1554"/>
    <mergeCell ref="A1555:A1561"/>
    <mergeCell ref="B1555:B1561"/>
    <mergeCell ref="A1643:A1648"/>
    <mergeCell ref="B1643:B1648"/>
    <mergeCell ref="A1649:A1654"/>
    <mergeCell ref="B1649:B1654"/>
    <mergeCell ref="A1655:A1659"/>
    <mergeCell ref="B1655:B1659"/>
    <mergeCell ref="A1626:A1630"/>
    <mergeCell ref="B1626:B1630"/>
    <mergeCell ref="A1631:A1636"/>
    <mergeCell ref="B1631:B1636"/>
    <mergeCell ref="A1637:A1642"/>
    <mergeCell ref="B1637:B1642"/>
    <mergeCell ref="A1609:A1613"/>
    <mergeCell ref="B1609:B1613"/>
    <mergeCell ref="A1614:A1619"/>
    <mergeCell ref="B1614:B1619"/>
    <mergeCell ref="A1620:A1625"/>
    <mergeCell ref="B1620:B1625"/>
    <mergeCell ref="A1696:A1703"/>
    <mergeCell ref="B1696:B1703"/>
    <mergeCell ref="A1704:A1714"/>
    <mergeCell ref="B1704:B1714"/>
    <mergeCell ref="A1715:A1725"/>
    <mergeCell ref="B1715:B1725"/>
    <mergeCell ref="A1676:A1682"/>
    <mergeCell ref="B1676:B1682"/>
    <mergeCell ref="A1683:A1689"/>
    <mergeCell ref="B1683:B1689"/>
    <mergeCell ref="A1690:A1695"/>
    <mergeCell ref="B1690:B1695"/>
    <mergeCell ref="A1660:A1664"/>
    <mergeCell ref="B1660:B1664"/>
    <mergeCell ref="A1665:A1669"/>
    <mergeCell ref="B1665:B1669"/>
    <mergeCell ref="A1670:A1675"/>
    <mergeCell ref="B1670:B1675"/>
    <mergeCell ref="A1776:A1782"/>
    <mergeCell ref="B1776:B1782"/>
    <mergeCell ref="A1783:A1789"/>
    <mergeCell ref="B1783:B1789"/>
    <mergeCell ref="A1790:A1796"/>
    <mergeCell ref="B1790:B1796"/>
    <mergeCell ref="A1755:A1761"/>
    <mergeCell ref="B1755:B1761"/>
    <mergeCell ref="A1762:A1768"/>
    <mergeCell ref="B1762:B1768"/>
    <mergeCell ref="A1769:A1775"/>
    <mergeCell ref="B1769:B1775"/>
    <mergeCell ref="A1726:A1736"/>
    <mergeCell ref="B1726:B1736"/>
    <mergeCell ref="A1737:A1747"/>
    <mergeCell ref="B1737:B1747"/>
    <mergeCell ref="A1748:A1754"/>
    <mergeCell ref="B1748:B1754"/>
    <mergeCell ref="A1833:A1838"/>
    <mergeCell ref="B1833:B1838"/>
    <mergeCell ref="A1839:A1844"/>
    <mergeCell ref="B1839:B1844"/>
    <mergeCell ref="A1845:A1850"/>
    <mergeCell ref="B1845:B1850"/>
    <mergeCell ref="A1814:A1819"/>
    <mergeCell ref="B1814:B1819"/>
    <mergeCell ref="A1820:A1825"/>
    <mergeCell ref="B1820:B1825"/>
    <mergeCell ref="A1826:A1832"/>
    <mergeCell ref="B1826:B1832"/>
    <mergeCell ref="A1797:A1803"/>
    <mergeCell ref="B1797:B1803"/>
    <mergeCell ref="A1804:A1808"/>
    <mergeCell ref="B1804:B1808"/>
    <mergeCell ref="A1809:A1813"/>
    <mergeCell ref="B1809:B1813"/>
    <mergeCell ref="A1887:A1892"/>
    <mergeCell ref="B1887:B1892"/>
    <mergeCell ref="A1893:A1898"/>
    <mergeCell ref="B1893:B1898"/>
    <mergeCell ref="A1899:A1904"/>
    <mergeCell ref="B1899:B1904"/>
    <mergeCell ref="A1869:A1874"/>
    <mergeCell ref="B1869:B1874"/>
    <mergeCell ref="A1875:A1880"/>
    <mergeCell ref="B1875:B1880"/>
    <mergeCell ref="A1881:A1886"/>
    <mergeCell ref="B1881:B1886"/>
    <mergeCell ref="A1851:A1856"/>
    <mergeCell ref="B1851:B1856"/>
    <mergeCell ref="A1857:A1862"/>
    <mergeCell ref="B1857:B1862"/>
    <mergeCell ref="A1863:A1868"/>
    <mergeCell ref="B1863:B1868"/>
    <mergeCell ref="A1936:A1942"/>
    <mergeCell ref="B1936:B1942"/>
    <mergeCell ref="A1943:A1948"/>
    <mergeCell ref="B1943:B1948"/>
    <mergeCell ref="A1949:A1954"/>
    <mergeCell ref="B1949:B1954"/>
    <mergeCell ref="A1920:A1925"/>
    <mergeCell ref="B1920:B1925"/>
    <mergeCell ref="A1926:A1930"/>
    <mergeCell ref="B1926:B1930"/>
    <mergeCell ref="A1931:A1935"/>
    <mergeCell ref="B1931:B1935"/>
    <mergeCell ref="A1905:A1909"/>
    <mergeCell ref="B1905:B1909"/>
    <mergeCell ref="A1910:A1914"/>
    <mergeCell ref="B1910:B1914"/>
    <mergeCell ref="A1915:A1919"/>
    <mergeCell ref="B1915:B1919"/>
    <mergeCell ref="A1999:A2005"/>
    <mergeCell ref="B1999:B2005"/>
    <mergeCell ref="A2006:A2012"/>
    <mergeCell ref="B2006:B2012"/>
    <mergeCell ref="A2013:A2018"/>
    <mergeCell ref="B2013:B2018"/>
    <mergeCell ref="A1977:A1984"/>
    <mergeCell ref="B1977:B1984"/>
    <mergeCell ref="A1985:A1991"/>
    <mergeCell ref="B1985:B1991"/>
    <mergeCell ref="A1992:A1998"/>
    <mergeCell ref="B1992:B1998"/>
    <mergeCell ref="A1955:A1961"/>
    <mergeCell ref="B1955:B1961"/>
    <mergeCell ref="A1962:A1968"/>
    <mergeCell ref="B1962:B1968"/>
    <mergeCell ref="A1969:A1976"/>
    <mergeCell ref="B1969:B1976"/>
    <mergeCell ref="A2067:A2074"/>
    <mergeCell ref="B2067:B2074"/>
    <mergeCell ref="A2075:A2082"/>
    <mergeCell ref="B2075:B2082"/>
    <mergeCell ref="A2083:A2090"/>
    <mergeCell ref="B2083:B2090"/>
    <mergeCell ref="A2043:A2050"/>
    <mergeCell ref="B2043:B2050"/>
    <mergeCell ref="A2051:A2058"/>
    <mergeCell ref="B2051:B2058"/>
    <mergeCell ref="A2059:A2066"/>
    <mergeCell ref="B2059:B2066"/>
    <mergeCell ref="A2019:A2026"/>
    <mergeCell ref="B2019:B2026"/>
    <mergeCell ref="A2027:A2034"/>
    <mergeCell ref="B2027:B2034"/>
    <mergeCell ref="A2035:A2042"/>
    <mergeCell ref="B2035:B2042"/>
    <mergeCell ref="A2131:A2136"/>
    <mergeCell ref="B2131:B2136"/>
    <mergeCell ref="A2137:A2144"/>
    <mergeCell ref="B2137:B2144"/>
    <mergeCell ref="A2145:A2152"/>
    <mergeCell ref="B2145:B2152"/>
    <mergeCell ref="A2113:A2118"/>
    <mergeCell ref="B2113:B2118"/>
    <mergeCell ref="A2119:A2124"/>
    <mergeCell ref="B2119:B2124"/>
    <mergeCell ref="A2125:A2130"/>
    <mergeCell ref="B2125:B2130"/>
    <mergeCell ref="A2091:A2098"/>
    <mergeCell ref="B2091:B2098"/>
    <mergeCell ref="A2099:A2106"/>
    <mergeCell ref="B2099:B2106"/>
    <mergeCell ref="A2107:A2112"/>
    <mergeCell ref="B2107:B2112"/>
    <mergeCell ref="A2201:A2205"/>
    <mergeCell ref="B2201:B2205"/>
    <mergeCell ref="A2206:A2212"/>
    <mergeCell ref="B2206:B2212"/>
    <mergeCell ref="A2213:A2219"/>
    <mergeCell ref="B2213:B2219"/>
    <mergeCell ref="A2177:A2184"/>
    <mergeCell ref="B2177:B2184"/>
    <mergeCell ref="A2185:A2192"/>
    <mergeCell ref="B2185:B2192"/>
    <mergeCell ref="A2193:A2200"/>
    <mergeCell ref="B2193:B2200"/>
    <mergeCell ref="A2153:A2160"/>
    <mergeCell ref="B2153:B2160"/>
    <mergeCell ref="A2161:A2168"/>
    <mergeCell ref="B2161:B2168"/>
    <mergeCell ref="A2169:A2176"/>
    <mergeCell ref="B2169:B2176"/>
    <mergeCell ref="A2272:A2281"/>
    <mergeCell ref="B2272:B2281"/>
    <mergeCell ref="A2282:A2291"/>
    <mergeCell ref="B2282:B2291"/>
    <mergeCell ref="A2292:A2301"/>
    <mergeCell ref="B2292:B2301"/>
    <mergeCell ref="A2246:A2251"/>
    <mergeCell ref="B2246:B2251"/>
    <mergeCell ref="A2252:A2261"/>
    <mergeCell ref="B2252:B2261"/>
    <mergeCell ref="A2262:A2271"/>
    <mergeCell ref="B2262:B2271"/>
    <mergeCell ref="A2220:A2225"/>
    <mergeCell ref="B2220:B2225"/>
    <mergeCell ref="A2226:A2231"/>
    <mergeCell ref="B2226:B2231"/>
    <mergeCell ref="A2232:A2245"/>
    <mergeCell ref="B2232:B2245"/>
    <mergeCell ref="A2340:A2344"/>
    <mergeCell ref="B2340:B2344"/>
    <mergeCell ref="A2345:A2349"/>
    <mergeCell ref="B2345:B2349"/>
    <mergeCell ref="A2350:A2354"/>
    <mergeCell ref="B2350:B2354"/>
    <mergeCell ref="A2322:A2327"/>
    <mergeCell ref="B2322:B2327"/>
    <mergeCell ref="A2328:A2333"/>
    <mergeCell ref="B2328:B2333"/>
    <mergeCell ref="A2334:A2339"/>
    <mergeCell ref="B2334:B2339"/>
    <mergeCell ref="A2302:A2308"/>
    <mergeCell ref="B2302:B2308"/>
    <mergeCell ref="A2309:A2315"/>
    <mergeCell ref="B2309:B2315"/>
    <mergeCell ref="A2316:A2321"/>
    <mergeCell ref="B2316:B2321"/>
    <mergeCell ref="A2376:A2381"/>
    <mergeCell ref="B2376:B2381"/>
    <mergeCell ref="A2382:A2388"/>
    <mergeCell ref="B2382:B2388"/>
    <mergeCell ref="A2389:A2394"/>
    <mergeCell ref="B2389:B2394"/>
    <mergeCell ref="A2355:A2360"/>
    <mergeCell ref="B2355:B2360"/>
    <mergeCell ref="A2361:A2368"/>
    <mergeCell ref="B2361:B2368"/>
    <mergeCell ref="A2369:A2375"/>
    <mergeCell ref="B2369:B2375"/>
    <mergeCell ref="A2395:A2398"/>
    <mergeCell ref="B2395:B2398"/>
    <mergeCell ref="A2399:A2402"/>
    <mergeCell ref="B2399:B2402"/>
    <mergeCell ref="A2403:A2406"/>
    <mergeCell ref="B2403:B2406"/>
    <mergeCell ref="A2431:A2434"/>
    <mergeCell ref="B2431:B2434"/>
    <mergeCell ref="A2551:A2554"/>
    <mergeCell ref="B2551:B2554"/>
    <mergeCell ref="A2407:A2410"/>
    <mergeCell ref="B2407:B2410"/>
    <mergeCell ref="A2411:A2414"/>
    <mergeCell ref="B2411:B2414"/>
    <mergeCell ref="A2415:A2418"/>
    <mergeCell ref="B2415:B2418"/>
    <mergeCell ref="A2419:A2422"/>
    <mergeCell ref="B2419:B2422"/>
    <mergeCell ref="A2423:A2426"/>
    <mergeCell ref="B2423:B2426"/>
    <mergeCell ref="A2427:A2430"/>
    <mergeCell ref="B2427:B2430"/>
    <mergeCell ref="A2435:A2438"/>
    <mergeCell ref="B2435:B2438"/>
    <mergeCell ref="A2479:A2482"/>
    <mergeCell ref="B2479:B2482"/>
    <mergeCell ref="A2535:A2538"/>
    <mergeCell ref="B2535:B2538"/>
    <mergeCell ref="A2539:A2542"/>
    <mergeCell ref="B2539:B2542"/>
    <mergeCell ref="A2443:A2446"/>
    <mergeCell ref="B2443:B2446"/>
    <mergeCell ref="A2447:A2450"/>
    <mergeCell ref="B2447:B2450"/>
    <mergeCell ref="A2439:A2442"/>
    <mergeCell ref="B2439:B2442"/>
    <mergeCell ref="A2451:A2454"/>
    <mergeCell ref="B2451:B2454"/>
    <mergeCell ref="A2611:A2614"/>
    <mergeCell ref="B2611:B2614"/>
    <mergeCell ref="A2587:A2594"/>
    <mergeCell ref="B2587:B2594"/>
    <mergeCell ref="A2595:A2598"/>
    <mergeCell ref="B2595:B2598"/>
    <mergeCell ref="A2599:A2602"/>
    <mergeCell ref="B2599:B2602"/>
    <mergeCell ref="A2567:A2570"/>
    <mergeCell ref="B2567:B2570"/>
    <mergeCell ref="A2571:A2578"/>
    <mergeCell ref="B2571:B2578"/>
    <mergeCell ref="A2579:A2586"/>
    <mergeCell ref="B2579:B2586"/>
    <mergeCell ref="A2555:A2558"/>
    <mergeCell ref="B2555:B2558"/>
    <mergeCell ref="A2559:A2562"/>
    <mergeCell ref="B2559:B2562"/>
    <mergeCell ref="A2563:A2566"/>
    <mergeCell ref="B2563:B2566"/>
    <mergeCell ref="A2685:A2690"/>
    <mergeCell ref="B2685:B2690"/>
    <mergeCell ref="A2691:A2696"/>
    <mergeCell ref="B2691:B2696"/>
    <mergeCell ref="A2697:A2702"/>
    <mergeCell ref="B2697:B2702"/>
    <mergeCell ref="A2667:A2672"/>
    <mergeCell ref="B2667:B2672"/>
    <mergeCell ref="A2673:A2678"/>
    <mergeCell ref="B2673:B2678"/>
    <mergeCell ref="A2679:A2684"/>
    <mergeCell ref="B2679:B2684"/>
    <mergeCell ref="A2647:A2650"/>
    <mergeCell ref="B2647:B2650"/>
    <mergeCell ref="A2655:A2660"/>
    <mergeCell ref="B2655:B2660"/>
    <mergeCell ref="A2661:A2666"/>
    <mergeCell ref="B2661:B2666"/>
    <mergeCell ref="A2651:A2654"/>
    <mergeCell ref="B2651:B2654"/>
    <mergeCell ref="A2703:A2708"/>
    <mergeCell ref="B2703:B2708"/>
    <mergeCell ref="A2709:A2714"/>
    <mergeCell ref="B2709:B2714"/>
    <mergeCell ref="A2771:A2775"/>
    <mergeCell ref="B2771:B2775"/>
    <mergeCell ref="A2763:A2766"/>
    <mergeCell ref="B2763:B2766"/>
    <mergeCell ref="A2859:A2863"/>
    <mergeCell ref="B2859:B2863"/>
    <mergeCell ref="A2864:A2868"/>
    <mergeCell ref="B2864:B2868"/>
    <mergeCell ref="A2869:A2873"/>
    <mergeCell ref="B2869:B2873"/>
    <mergeCell ref="A2844:A2848"/>
    <mergeCell ref="B2844:B2848"/>
    <mergeCell ref="A2849:A2853"/>
    <mergeCell ref="B2849:B2853"/>
    <mergeCell ref="A2854:A2858"/>
    <mergeCell ref="B2854:B2858"/>
    <mergeCell ref="A2827:A2833"/>
    <mergeCell ref="B2827:B2833"/>
    <mergeCell ref="A2834:A2838"/>
    <mergeCell ref="B2834:B2838"/>
    <mergeCell ref="A2839:A2843"/>
    <mergeCell ref="B2839:B2843"/>
    <mergeCell ref="A2727:A2730"/>
    <mergeCell ref="B2727:B2730"/>
    <mergeCell ref="A2731:A2734"/>
    <mergeCell ref="B2731:B2734"/>
    <mergeCell ref="A2735:A2738"/>
    <mergeCell ref="B2735:B2738"/>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2996:A3000"/>
    <mergeCell ref="B2996:B3000"/>
    <mergeCell ref="A3066:A3073"/>
    <mergeCell ref="B3066:B3073"/>
    <mergeCell ref="A3074:A3078"/>
    <mergeCell ref="B3074:B3078"/>
    <mergeCell ref="A3079:A3086"/>
    <mergeCell ref="B3079:B3086"/>
    <mergeCell ref="A3049:A3053"/>
    <mergeCell ref="B3049:B3053"/>
    <mergeCell ref="A3054:A3061"/>
    <mergeCell ref="B3054:B3061"/>
    <mergeCell ref="A3062:A3065"/>
    <mergeCell ref="B3062:B3065"/>
    <mergeCell ref="A3031:A3035"/>
    <mergeCell ref="B3031:B3035"/>
    <mergeCell ref="A3036:A3040"/>
    <mergeCell ref="B3036:B3040"/>
    <mergeCell ref="A3041:A3048"/>
    <mergeCell ref="B3041:B3048"/>
    <mergeCell ref="A3150:A3155"/>
    <mergeCell ref="B3150:B3155"/>
    <mergeCell ref="A3156:A3160"/>
    <mergeCell ref="B3156:B3160"/>
    <mergeCell ref="A3161:A3166"/>
    <mergeCell ref="B3161:B3166"/>
    <mergeCell ref="A3132:A3137"/>
    <mergeCell ref="B3132:B3137"/>
    <mergeCell ref="A3138:A3143"/>
    <mergeCell ref="B3138:B3143"/>
    <mergeCell ref="A3144:A3149"/>
    <mergeCell ref="B3144:B3149"/>
    <mergeCell ref="A3117:A3121"/>
    <mergeCell ref="B3117:B3121"/>
    <mergeCell ref="A3122:A3126"/>
    <mergeCell ref="B3122:B3126"/>
    <mergeCell ref="A3127:A3131"/>
    <mergeCell ref="B3127:B3131"/>
    <mergeCell ref="A3206:A3212"/>
    <mergeCell ref="B3206:B3212"/>
    <mergeCell ref="A3213:A3225"/>
    <mergeCell ref="B3213:B3225"/>
    <mergeCell ref="A3226:A3231"/>
    <mergeCell ref="B3226:B3231"/>
    <mergeCell ref="A3189:A3196"/>
    <mergeCell ref="B3189:B3196"/>
    <mergeCell ref="A3197:A3201"/>
    <mergeCell ref="B3197:B3201"/>
    <mergeCell ref="A3202:A3205"/>
    <mergeCell ref="B3202:B3205"/>
    <mergeCell ref="A3167:A3171"/>
    <mergeCell ref="B3167:B3171"/>
    <mergeCell ref="A3172:A3180"/>
    <mergeCell ref="B3172:B3180"/>
    <mergeCell ref="A3181:A3188"/>
    <mergeCell ref="B3181:B3188"/>
    <mergeCell ref="A3273:A3279"/>
    <mergeCell ref="B3273:B3279"/>
    <mergeCell ref="A3280:A3286"/>
    <mergeCell ref="B3280:B3286"/>
    <mergeCell ref="A3287:A3293"/>
    <mergeCell ref="B3287:B3293"/>
    <mergeCell ref="A3254:A3258"/>
    <mergeCell ref="B3254:B3258"/>
    <mergeCell ref="A3259:A3265"/>
    <mergeCell ref="B3259:B3265"/>
    <mergeCell ref="A3266:A3272"/>
    <mergeCell ref="B3266:B3272"/>
    <mergeCell ref="A3232:A3237"/>
    <mergeCell ref="B3232:B3237"/>
    <mergeCell ref="A3238:A3243"/>
    <mergeCell ref="B3238:B3243"/>
    <mergeCell ref="A3244:A3253"/>
    <mergeCell ref="B3244:B3253"/>
    <mergeCell ref="A3335:A3340"/>
    <mergeCell ref="B3335:B3340"/>
    <mergeCell ref="A3341:A3349"/>
    <mergeCell ref="B3341:B3349"/>
    <mergeCell ref="A3350:A3354"/>
    <mergeCell ref="B3350:B3354"/>
    <mergeCell ref="A3315:A3321"/>
    <mergeCell ref="B3315:B3321"/>
    <mergeCell ref="A3322:A3328"/>
    <mergeCell ref="B3322:B3328"/>
    <mergeCell ref="A3329:A3334"/>
    <mergeCell ref="B3329:B3334"/>
    <mergeCell ref="A3294:A3300"/>
    <mergeCell ref="B3294:B3300"/>
    <mergeCell ref="A3301:A3307"/>
    <mergeCell ref="B3301:B3307"/>
    <mergeCell ref="A3308:A3314"/>
    <mergeCell ref="B3308:B3314"/>
    <mergeCell ref="A3389:A3392"/>
    <mergeCell ref="B3389:B3392"/>
    <mergeCell ref="A3393:A3396"/>
    <mergeCell ref="B3393:B3396"/>
    <mergeCell ref="A3397:A3403"/>
    <mergeCell ref="B3397:B3403"/>
    <mergeCell ref="A3376:A3379"/>
    <mergeCell ref="B3376:B3379"/>
    <mergeCell ref="A3380:A3383"/>
    <mergeCell ref="B3380:B3383"/>
    <mergeCell ref="A3384:A3388"/>
    <mergeCell ref="B3384:B3388"/>
    <mergeCell ref="A3355:A3361"/>
    <mergeCell ref="B3355:B3361"/>
    <mergeCell ref="A3362:A3368"/>
    <mergeCell ref="B3362:B3368"/>
    <mergeCell ref="A3369:A3375"/>
    <mergeCell ref="B3369:B3375"/>
    <mergeCell ref="A3437:A3440"/>
    <mergeCell ref="B3437:B3440"/>
    <mergeCell ref="A3441:A3450"/>
    <mergeCell ref="B3441:B3450"/>
    <mergeCell ref="A3451:A3461"/>
    <mergeCell ref="B3451:B3461"/>
    <mergeCell ref="A3423:A3427"/>
    <mergeCell ref="B3423:B3427"/>
    <mergeCell ref="A3428:A3432"/>
    <mergeCell ref="B3428:B3432"/>
    <mergeCell ref="A3433:A3436"/>
    <mergeCell ref="B3433:B3436"/>
    <mergeCell ref="A3404:A3410"/>
    <mergeCell ref="B3404:B3410"/>
    <mergeCell ref="A3411:A3417"/>
    <mergeCell ref="B3411:B3417"/>
    <mergeCell ref="A3418:A3422"/>
    <mergeCell ref="B3418:B3422"/>
    <mergeCell ref="A3549:A3564"/>
    <mergeCell ref="B3549:B3564"/>
    <mergeCell ref="A3565:A3570"/>
    <mergeCell ref="B3565:B3570"/>
    <mergeCell ref="A3571:A3576"/>
    <mergeCell ref="B3571:B3576"/>
    <mergeCell ref="A3506:A3522"/>
    <mergeCell ref="B3506:B3522"/>
    <mergeCell ref="A3523:A3532"/>
    <mergeCell ref="B3523:B3532"/>
    <mergeCell ref="A3542:A3548"/>
    <mergeCell ref="B3542:B3548"/>
    <mergeCell ref="A3473:A3480"/>
    <mergeCell ref="B3473:B3480"/>
    <mergeCell ref="A3481:A3497"/>
    <mergeCell ref="B3481:B3497"/>
    <mergeCell ref="A3498:A3505"/>
    <mergeCell ref="B3498:B3505"/>
    <mergeCell ref="A3577:A3584"/>
    <mergeCell ref="B3577:B3584"/>
    <mergeCell ref="A3585:A3591"/>
    <mergeCell ref="B3585:B3591"/>
    <mergeCell ref="A3592:A3596"/>
    <mergeCell ref="B3592:B3596"/>
    <mergeCell ref="A3639:A3643"/>
    <mergeCell ref="B3639:B3643"/>
    <mergeCell ref="A3644:A3651"/>
    <mergeCell ref="B3644:B3651"/>
    <mergeCell ref="A3652:A3655"/>
    <mergeCell ref="B3652:B3655"/>
    <mergeCell ref="A3618:A3623"/>
    <mergeCell ref="B3618:B3623"/>
    <mergeCell ref="A3624:A3633"/>
    <mergeCell ref="B3624:B3633"/>
    <mergeCell ref="A3634:A3638"/>
    <mergeCell ref="B3634:B3638"/>
    <mergeCell ref="A3597:A3604"/>
    <mergeCell ref="B3597:B3604"/>
    <mergeCell ref="A3605:A3610"/>
    <mergeCell ref="B3605:B3610"/>
    <mergeCell ref="A3611:A3617"/>
    <mergeCell ref="B3611:B3617"/>
    <mergeCell ref="A3656:A3661"/>
    <mergeCell ref="B3656:B3661"/>
    <mergeCell ref="A3662:A3676"/>
    <mergeCell ref="B3662:B3676"/>
    <mergeCell ref="A3677:A3684"/>
    <mergeCell ref="B3677:B3684"/>
    <mergeCell ref="A3822:A3827"/>
    <mergeCell ref="B3822:B3827"/>
    <mergeCell ref="A3804:A3809"/>
    <mergeCell ref="B3804:B3809"/>
    <mergeCell ref="A3828:A3832"/>
    <mergeCell ref="B3828:B3832"/>
    <mergeCell ref="A3833:A3843"/>
    <mergeCell ref="B3833:B3843"/>
    <mergeCell ref="A3816:A3821"/>
    <mergeCell ref="B3816:B3821"/>
    <mergeCell ref="A3721:A3724"/>
    <mergeCell ref="B3721:B3724"/>
    <mergeCell ref="A3725:A3734"/>
    <mergeCell ref="B3725:B3734"/>
    <mergeCell ref="A3735:A3739"/>
    <mergeCell ref="B3735:B3739"/>
    <mergeCell ref="A3685:A3696"/>
    <mergeCell ref="B3685:B3696"/>
    <mergeCell ref="A3697:A3709"/>
    <mergeCell ref="B3697:B3709"/>
    <mergeCell ref="A3710:A3720"/>
    <mergeCell ref="B3710:B3720"/>
    <mergeCell ref="A3764:A3767"/>
    <mergeCell ref="B3764:B3767"/>
    <mergeCell ref="A3844:A3853"/>
    <mergeCell ref="B3844:B3853"/>
    <mergeCell ref="A3740:A3748"/>
    <mergeCell ref="B3740:B3748"/>
    <mergeCell ref="A3749:A3755"/>
    <mergeCell ref="B3749:B3755"/>
    <mergeCell ref="A3756:A3759"/>
    <mergeCell ref="B3756:B3759"/>
    <mergeCell ref="A3768:A3773"/>
    <mergeCell ref="B3768:B3773"/>
    <mergeCell ref="A3774:A3779"/>
    <mergeCell ref="B3774:B3779"/>
    <mergeCell ref="A3780:A3785"/>
    <mergeCell ref="B3780:B3785"/>
    <mergeCell ref="A3786:A3791"/>
    <mergeCell ref="B3786:B3791"/>
    <mergeCell ref="A3792:A3797"/>
    <mergeCell ref="B3792:B3797"/>
    <mergeCell ref="A3798:A3803"/>
    <mergeCell ref="B3798:B3803"/>
    <mergeCell ref="A3760:A3763"/>
    <mergeCell ref="B3760:B3763"/>
    <mergeCell ref="A3957:A3964"/>
    <mergeCell ref="B3957:B3964"/>
    <mergeCell ref="A3990:A4002"/>
    <mergeCell ref="B3990:B4002"/>
    <mergeCell ref="A4003:A4015"/>
    <mergeCell ref="B4003:B4015"/>
    <mergeCell ref="A4016:A4020"/>
    <mergeCell ref="B4016:B4020"/>
    <mergeCell ref="A3965:A3974"/>
    <mergeCell ref="B3965:B3974"/>
    <mergeCell ref="A3883:A3897"/>
    <mergeCell ref="B3883:B3897"/>
    <mergeCell ref="A3898:A3904"/>
    <mergeCell ref="B3898:B3904"/>
    <mergeCell ref="A3905:A3922"/>
    <mergeCell ref="B3905:B3922"/>
    <mergeCell ref="A3854:A3862"/>
    <mergeCell ref="B3854:B3862"/>
    <mergeCell ref="A3863:A3870"/>
    <mergeCell ref="B3863:B3870"/>
    <mergeCell ref="A3871:A3882"/>
    <mergeCell ref="B3871:B3882"/>
    <mergeCell ref="A3923:A3928"/>
    <mergeCell ref="B3923:B3928"/>
    <mergeCell ref="A3929:A3934"/>
    <mergeCell ref="B3929:B3934"/>
    <mergeCell ref="A4112:A4118"/>
    <mergeCell ref="B4112:B4118"/>
    <mergeCell ref="A4119:A4126"/>
    <mergeCell ref="B4119:B4126"/>
    <mergeCell ref="A4089:A4094"/>
    <mergeCell ref="B4089:B4094"/>
    <mergeCell ref="A4095:A4101"/>
    <mergeCell ref="B4095:B4101"/>
    <mergeCell ref="A4102:A4107"/>
    <mergeCell ref="B4102:B4107"/>
    <mergeCell ref="A3935:A3940"/>
    <mergeCell ref="B3935:B3940"/>
    <mergeCell ref="A4038:A4046"/>
    <mergeCell ref="B4038:B4046"/>
    <mergeCell ref="A4047:A4055"/>
    <mergeCell ref="B4047:B4055"/>
    <mergeCell ref="A4056:A4064"/>
    <mergeCell ref="B4056:B4064"/>
    <mergeCell ref="A4021:A4024"/>
    <mergeCell ref="B4021:B4024"/>
    <mergeCell ref="A4025:A4028"/>
    <mergeCell ref="B4025:B4028"/>
    <mergeCell ref="A4029:A4037"/>
    <mergeCell ref="B4029:B4037"/>
    <mergeCell ref="A3975:A3981"/>
    <mergeCell ref="B3975:B3981"/>
    <mergeCell ref="A3982:A3989"/>
    <mergeCell ref="B3982:B3989"/>
    <mergeCell ref="A3941:A3947"/>
    <mergeCell ref="B3941:B3947"/>
    <mergeCell ref="A3948:A3956"/>
    <mergeCell ref="B3948:B3956"/>
    <mergeCell ref="A4065:A4073"/>
    <mergeCell ref="B4065:B4073"/>
    <mergeCell ref="A4074:A4082"/>
    <mergeCell ref="B4074:B4082"/>
    <mergeCell ref="A4083:A4088"/>
    <mergeCell ref="B4083:B4088"/>
    <mergeCell ref="A4195:A4200"/>
    <mergeCell ref="B4195:B4200"/>
    <mergeCell ref="A4201:A4206"/>
    <mergeCell ref="B4201:B4206"/>
    <mergeCell ref="A4207:A4212"/>
    <mergeCell ref="B4207:B4212"/>
    <mergeCell ref="A4177:A4180"/>
    <mergeCell ref="B4177:B4180"/>
    <mergeCell ref="A4181:A4187"/>
    <mergeCell ref="B4181:B4187"/>
    <mergeCell ref="A4188:A4194"/>
    <mergeCell ref="B4188:B4194"/>
    <mergeCell ref="A4147:A4154"/>
    <mergeCell ref="B4147:B4154"/>
    <mergeCell ref="A4155:A4165"/>
    <mergeCell ref="B4155:B4165"/>
    <mergeCell ref="A4166:A4176"/>
    <mergeCell ref="B4166:B4176"/>
    <mergeCell ref="A4127:A4134"/>
    <mergeCell ref="B4127:B4134"/>
    <mergeCell ref="A4135:A4142"/>
    <mergeCell ref="B4135:B4142"/>
    <mergeCell ref="A4143:A4146"/>
    <mergeCell ref="B4143:B4146"/>
    <mergeCell ref="A4108:A4111"/>
    <mergeCell ref="B4108:B4111"/>
    <mergeCell ref="A4274:A4282"/>
    <mergeCell ref="B4274:B4282"/>
    <mergeCell ref="A4283:A4298"/>
    <mergeCell ref="B4283:B4298"/>
    <mergeCell ref="A4299:A4325"/>
    <mergeCell ref="B4299:B4325"/>
    <mergeCell ref="A4254:A4260"/>
    <mergeCell ref="B4254:B4260"/>
    <mergeCell ref="A4261:A4265"/>
    <mergeCell ref="B4261:B4265"/>
    <mergeCell ref="A4266:A4273"/>
    <mergeCell ref="B4266:B4273"/>
    <mergeCell ref="A4237:A4244"/>
    <mergeCell ref="B4237:B4244"/>
    <mergeCell ref="A4245:A4253"/>
    <mergeCell ref="B4245:B4253"/>
    <mergeCell ref="A4213:A4222"/>
    <mergeCell ref="B4213:B4222"/>
    <mergeCell ref="A4223:A4228"/>
    <mergeCell ref="B4223:B4228"/>
    <mergeCell ref="A4229:A4236"/>
    <mergeCell ref="B4229:B4236"/>
    <mergeCell ref="A4380:A4389"/>
    <mergeCell ref="B4380:B4389"/>
    <mergeCell ref="A4390:A4397"/>
    <mergeCell ref="B4390:B4397"/>
    <mergeCell ref="A4398:A4405"/>
    <mergeCell ref="B4398:B4405"/>
    <mergeCell ref="A4353:A4361"/>
    <mergeCell ref="B4353:B4361"/>
    <mergeCell ref="A4362:A4370"/>
    <mergeCell ref="B4362:B4370"/>
    <mergeCell ref="A4371:A4379"/>
    <mergeCell ref="B4371:B4379"/>
    <mergeCell ref="A4326:A4332"/>
    <mergeCell ref="B4326:B4332"/>
    <mergeCell ref="A4333:A4343"/>
    <mergeCell ref="B4333:B4343"/>
    <mergeCell ref="A4344:A4352"/>
    <mergeCell ref="B4344:B4352"/>
    <mergeCell ref="A4468:A4473"/>
    <mergeCell ref="B4468:B4473"/>
    <mergeCell ref="A4474:A4493"/>
    <mergeCell ref="B4474:B4493"/>
    <mergeCell ref="A4494:A4501"/>
    <mergeCell ref="B4494:B4501"/>
    <mergeCell ref="A4436:A4443"/>
    <mergeCell ref="B4436:B4443"/>
    <mergeCell ref="A4444:A4455"/>
    <mergeCell ref="B4444:B4455"/>
    <mergeCell ref="A4456:A4467"/>
    <mergeCell ref="B4456:B4467"/>
    <mergeCell ref="A4406:A4415"/>
    <mergeCell ref="B4406:B4415"/>
    <mergeCell ref="A4416:A4425"/>
    <mergeCell ref="B4416:B4425"/>
    <mergeCell ref="A4426:A4435"/>
    <mergeCell ref="B4426:B4435"/>
    <mergeCell ref="A4542:A4546"/>
    <mergeCell ref="B4542:B4546"/>
    <mergeCell ref="A4547:A4552"/>
    <mergeCell ref="B4547:B4552"/>
    <mergeCell ref="A4553:A4564"/>
    <mergeCell ref="B4553:B4564"/>
    <mergeCell ref="A4521:A4525"/>
    <mergeCell ref="B4521:B4525"/>
    <mergeCell ref="A4526:A4533"/>
    <mergeCell ref="B4526:B4533"/>
    <mergeCell ref="A4534:A4541"/>
    <mergeCell ref="B4534:B4541"/>
    <mergeCell ref="A4502:A4509"/>
    <mergeCell ref="B4502:B4509"/>
    <mergeCell ref="A4510:A4515"/>
    <mergeCell ref="B4510:B4515"/>
    <mergeCell ref="A4516:A4520"/>
    <mergeCell ref="B4516:B4520"/>
    <mergeCell ref="A4627:A4638"/>
    <mergeCell ref="B4627:B4638"/>
    <mergeCell ref="A4639:A4646"/>
    <mergeCell ref="B4639:B4646"/>
    <mergeCell ref="A4647:A4652"/>
    <mergeCell ref="B4647:B4652"/>
    <mergeCell ref="A4604:A4612"/>
    <mergeCell ref="B4604:B4612"/>
    <mergeCell ref="A4613:A4620"/>
    <mergeCell ref="B4613:B4620"/>
    <mergeCell ref="A4621:A4626"/>
    <mergeCell ref="B4621:B4626"/>
    <mergeCell ref="A4565:A4576"/>
    <mergeCell ref="B4565:B4576"/>
    <mergeCell ref="A4577:A4595"/>
    <mergeCell ref="B4577:B4595"/>
    <mergeCell ref="A4596:A4603"/>
    <mergeCell ref="B4596:B4603"/>
    <mergeCell ref="A4702:A4713"/>
    <mergeCell ref="B4702:B4713"/>
    <mergeCell ref="A4718:A4723"/>
    <mergeCell ref="B4718:B4723"/>
    <mergeCell ref="A4724:A4731"/>
    <mergeCell ref="B4724:B4731"/>
    <mergeCell ref="A4679:A4684"/>
    <mergeCell ref="B4679:B4684"/>
    <mergeCell ref="A4685:A4692"/>
    <mergeCell ref="B4685:B4692"/>
    <mergeCell ref="A4693:A4701"/>
    <mergeCell ref="B4693:B4701"/>
    <mergeCell ref="A4653:A4660"/>
    <mergeCell ref="B4653:B4660"/>
    <mergeCell ref="A4661:A4668"/>
    <mergeCell ref="B4661:B4668"/>
    <mergeCell ref="A4669:A4678"/>
    <mergeCell ref="B4669:B4678"/>
    <mergeCell ref="A4714:A4717"/>
    <mergeCell ref="B4714:B4717"/>
    <mergeCell ref="A4784:A4793"/>
    <mergeCell ref="B4784:B4793"/>
    <mergeCell ref="A4794:A4803"/>
    <mergeCell ref="B4794:B4803"/>
    <mergeCell ref="A4804:A4808"/>
    <mergeCell ref="B4804:B4808"/>
    <mergeCell ref="A4809:A4813"/>
    <mergeCell ref="B4809:B4813"/>
    <mergeCell ref="A4814:A4818"/>
    <mergeCell ref="B4814:B4818"/>
    <mergeCell ref="A4827:A4834"/>
    <mergeCell ref="B4827:B4834"/>
    <mergeCell ref="A4835:A4842"/>
    <mergeCell ref="B4835:B4842"/>
    <mergeCell ref="A4843:A4850"/>
    <mergeCell ref="B4843:B4850"/>
    <mergeCell ref="A4768:A4778"/>
    <mergeCell ref="B4768:B4778"/>
    <mergeCell ref="A4779:A4783"/>
    <mergeCell ref="B4779:B4783"/>
    <mergeCell ref="A4851:A4858"/>
    <mergeCell ref="B4851:B4858"/>
    <mergeCell ref="A4859:A4866"/>
    <mergeCell ref="B4859:B4866"/>
    <mergeCell ref="A4867:A4874"/>
    <mergeCell ref="B4867:B4874"/>
    <mergeCell ref="A4875:A4882"/>
    <mergeCell ref="B4875:B4882"/>
    <mergeCell ref="A4819:A4826"/>
    <mergeCell ref="B4819:B4826"/>
    <mergeCell ref="A4883:A4892"/>
    <mergeCell ref="B4883:B4892"/>
    <mergeCell ref="A4893:A4901"/>
    <mergeCell ref="B4893:B4901"/>
    <mergeCell ref="A4902:A4908"/>
    <mergeCell ref="B4902:B4908"/>
    <mergeCell ref="A4909:A4915"/>
    <mergeCell ref="B4909:B4915"/>
    <mergeCell ref="A4916:A4922"/>
    <mergeCell ref="B4916:B4922"/>
    <mergeCell ref="A4923:A4929"/>
    <mergeCell ref="B4923:B4929"/>
    <mergeCell ref="A4930:A4936"/>
    <mergeCell ref="B4930:B4936"/>
    <mergeCell ref="A4937:A4941"/>
    <mergeCell ref="B4937:B4941"/>
    <mergeCell ref="A4942:A4948"/>
    <mergeCell ref="B4942:B4948"/>
    <mergeCell ref="B4949:B4955"/>
    <mergeCell ref="A4949:A4955"/>
    <mergeCell ref="A4956:A4962"/>
    <mergeCell ref="B4956:B4962"/>
    <mergeCell ref="A4963:A4969"/>
    <mergeCell ref="B4963:B4969"/>
    <mergeCell ref="A4970:A4974"/>
    <mergeCell ref="B4970:B4974"/>
    <mergeCell ref="A5063:A5070"/>
    <mergeCell ref="B5063:B5070"/>
    <mergeCell ref="A5071:A5076"/>
    <mergeCell ref="B5071:B5076"/>
    <mergeCell ref="A5077:A5082"/>
    <mergeCell ref="B5077:B5082"/>
    <mergeCell ref="A5083:A5088"/>
    <mergeCell ref="B5083:B5088"/>
    <mergeCell ref="A4975:A4980"/>
    <mergeCell ref="B4975:B4980"/>
    <mergeCell ref="A4981:A4986"/>
    <mergeCell ref="B4981:B4986"/>
    <mergeCell ref="A4987:A4992"/>
    <mergeCell ref="B4987:B4992"/>
    <mergeCell ref="A4993:A4998"/>
    <mergeCell ref="B4993:B4998"/>
    <mergeCell ref="A4999:A5005"/>
    <mergeCell ref="B4999:B5005"/>
    <mergeCell ref="A5006:A5010"/>
    <mergeCell ref="B5006:B5010"/>
    <mergeCell ref="A5011:A5018"/>
    <mergeCell ref="B5011:B5018"/>
    <mergeCell ref="A5019:A5024"/>
    <mergeCell ref="B5019:B5024"/>
    <mergeCell ref="A5025:A5028"/>
    <mergeCell ref="B5025:B5028"/>
    <mergeCell ref="A2531:A2534"/>
    <mergeCell ref="B2531:B2534"/>
    <mergeCell ref="A2547:A2550"/>
    <mergeCell ref="B2547:B2550"/>
    <mergeCell ref="A2615:A2618"/>
    <mergeCell ref="B2615:B2618"/>
    <mergeCell ref="A2619:A2622"/>
    <mergeCell ref="B2619:B2622"/>
    <mergeCell ref="A2623:A2626"/>
    <mergeCell ref="B2623:B2626"/>
    <mergeCell ref="A2603:A2606"/>
    <mergeCell ref="B2603:B2606"/>
    <mergeCell ref="A2607:A2610"/>
    <mergeCell ref="B2607:B2610"/>
    <mergeCell ref="A5102:A5108"/>
    <mergeCell ref="B5102:B5108"/>
    <mergeCell ref="A5109:A5119"/>
    <mergeCell ref="B5109:B5119"/>
    <mergeCell ref="A5089:A5094"/>
    <mergeCell ref="B5089:B5094"/>
    <mergeCell ref="A5095:A5101"/>
    <mergeCell ref="B5095:B5101"/>
    <mergeCell ref="A5029:A5034"/>
    <mergeCell ref="B5029:B5034"/>
    <mergeCell ref="A5035:A5040"/>
    <mergeCell ref="B5035:B5040"/>
    <mergeCell ref="A5041:A5048"/>
    <mergeCell ref="B5041:B5048"/>
    <mergeCell ref="A5049:A5055"/>
    <mergeCell ref="B5049:B5055"/>
    <mergeCell ref="A5056:A5062"/>
    <mergeCell ref="B5056:B5062"/>
    <mergeCell ref="A2635:A2638"/>
    <mergeCell ref="B2635:B2638"/>
    <mergeCell ref="A2483:A2486"/>
    <mergeCell ref="B2483:B2486"/>
    <mergeCell ref="A2487:A2490"/>
    <mergeCell ref="B2487:B2490"/>
    <mergeCell ref="A2491:A2494"/>
    <mergeCell ref="B2491:B2494"/>
    <mergeCell ref="A2495:A2498"/>
    <mergeCell ref="B2495:B2498"/>
    <mergeCell ref="A2499:A2502"/>
    <mergeCell ref="B2499:B2502"/>
    <mergeCell ref="A2503:A2506"/>
    <mergeCell ref="B2503:B2506"/>
    <mergeCell ref="A2543:A2546"/>
    <mergeCell ref="B2543:B2546"/>
    <mergeCell ref="A5134:A5141"/>
    <mergeCell ref="B5134:B5141"/>
    <mergeCell ref="A2643:A2646"/>
    <mergeCell ref="B2643:B2646"/>
    <mergeCell ref="A2507:A2510"/>
    <mergeCell ref="B2507:B2510"/>
    <mergeCell ref="A2511:A2514"/>
    <mergeCell ref="B2511:B2514"/>
    <mergeCell ref="A2515:A2518"/>
    <mergeCell ref="B2515:B2518"/>
    <mergeCell ref="A2519:A2522"/>
    <mergeCell ref="B2519:B2522"/>
    <mergeCell ref="A2523:A2526"/>
    <mergeCell ref="B2523:B2526"/>
    <mergeCell ref="A2527:A2530"/>
    <mergeCell ref="B2527:B2530"/>
    <mergeCell ref="A5464:A5469"/>
    <mergeCell ref="B5464:B5469"/>
    <mergeCell ref="A5470:A5475"/>
    <mergeCell ref="B5470:B5475"/>
    <mergeCell ref="A5476:A5481"/>
    <mergeCell ref="B5476:B5481"/>
    <mergeCell ref="A5482:A5485"/>
    <mergeCell ref="B5482:B5485"/>
    <mergeCell ref="A5493:A5496"/>
    <mergeCell ref="B5493:B5496"/>
    <mergeCell ref="A5486:A5492"/>
    <mergeCell ref="B5486:B5492"/>
    <mergeCell ref="A5617:A5620"/>
    <mergeCell ref="B5617:B5620"/>
    <mergeCell ref="A2455:A2458"/>
    <mergeCell ref="B2455:B2458"/>
    <mergeCell ref="A2459:A2462"/>
    <mergeCell ref="B2459:B2462"/>
    <mergeCell ref="A2463:A2466"/>
    <mergeCell ref="B2463:B2466"/>
    <mergeCell ref="A2467:A2470"/>
    <mergeCell ref="B2467:B2470"/>
    <mergeCell ref="A2471:A2474"/>
    <mergeCell ref="B2471:B2474"/>
    <mergeCell ref="A2475:A2478"/>
    <mergeCell ref="B2475:B2478"/>
    <mergeCell ref="A2627:A2630"/>
    <mergeCell ref="B2627:B2630"/>
    <mergeCell ref="A2631:A2634"/>
    <mergeCell ref="B2631:B2634"/>
    <mergeCell ref="A5457:A5463"/>
    <mergeCell ref="B5457:B5463"/>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17:A5820"/>
    <mergeCell ref="B5817:B5820"/>
    <mergeCell ref="A5821:A5824"/>
    <mergeCell ref="B5821:B5824"/>
    <mergeCell ref="A5825:A5828"/>
    <mergeCell ref="B5825:B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857:A5860"/>
    <mergeCell ref="B5857:B5860"/>
    <mergeCell ref="A5929:A5932"/>
    <mergeCell ref="B5929:B5932"/>
    <mergeCell ref="A5933:A5936"/>
    <mergeCell ref="B5933:B5936"/>
    <mergeCell ref="A5937:A5940"/>
    <mergeCell ref="B5937:B5940"/>
    <mergeCell ref="A5941:A5944"/>
    <mergeCell ref="B5941:B5944"/>
    <mergeCell ref="A5945:A5948"/>
    <mergeCell ref="B5945:B5948"/>
    <mergeCell ref="A5985:A5988"/>
    <mergeCell ref="B5985:B5988"/>
    <mergeCell ref="A5949:A5952"/>
    <mergeCell ref="B5949:B5952"/>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889:A5892"/>
    <mergeCell ref="B5889:B5892"/>
    <mergeCell ref="A5893:A5896"/>
    <mergeCell ref="B5893:B5896"/>
    <mergeCell ref="A6089:A6092"/>
    <mergeCell ref="B6089:B6092"/>
    <mergeCell ref="A6093:A6096"/>
    <mergeCell ref="B6093:B6096"/>
    <mergeCell ref="A6097:A6100"/>
    <mergeCell ref="B6097:B6100"/>
    <mergeCell ref="A6101:A6104"/>
    <mergeCell ref="B6101:B6104"/>
    <mergeCell ref="A6105:A6108"/>
    <mergeCell ref="B6105:B6108"/>
    <mergeCell ref="A6029:A6032"/>
    <mergeCell ref="B6029:B6032"/>
    <mergeCell ref="A6033:A6036"/>
    <mergeCell ref="B6033:B6036"/>
    <mergeCell ref="A5897:A5900"/>
    <mergeCell ref="B5897:B5900"/>
    <mergeCell ref="A5901:A5904"/>
    <mergeCell ref="B5901:B5904"/>
    <mergeCell ref="A5905:A5908"/>
    <mergeCell ref="B5905:B5908"/>
    <mergeCell ref="A5909:A5912"/>
    <mergeCell ref="B5909:B5912"/>
    <mergeCell ref="A5913:A5916"/>
    <mergeCell ref="B5913:B5916"/>
    <mergeCell ref="A5917:A5920"/>
    <mergeCell ref="B5917:B5920"/>
    <mergeCell ref="A5989:A5992"/>
    <mergeCell ref="B5989:B5992"/>
    <mergeCell ref="A5921:A5924"/>
    <mergeCell ref="B5921:B5924"/>
    <mergeCell ref="A5925:A5928"/>
    <mergeCell ref="B5925:B5928"/>
    <mergeCell ref="A6149:A6152"/>
    <mergeCell ref="B6149:B6152"/>
    <mergeCell ref="A2767:A2770"/>
    <mergeCell ref="B2767:B2770"/>
    <mergeCell ref="B5993:B5996"/>
    <mergeCell ref="B5997:B6000"/>
    <mergeCell ref="A5581:A5586"/>
    <mergeCell ref="B5581:B5586"/>
    <mergeCell ref="A5587:A5592"/>
    <mergeCell ref="B5587:B5592"/>
    <mergeCell ref="A5593:A5598"/>
    <mergeCell ref="B5593:B5598"/>
    <mergeCell ref="A5599:A5604"/>
    <mergeCell ref="B5599:B5604"/>
    <mergeCell ref="A5605:A5610"/>
    <mergeCell ref="B5605:B5610"/>
    <mergeCell ref="A5611:A5616"/>
    <mergeCell ref="B5611:B5616"/>
    <mergeCell ref="A6073:A6076"/>
    <mergeCell ref="B6073:B6076"/>
    <mergeCell ref="A6077:A6080"/>
    <mergeCell ref="B6077:B6080"/>
    <mergeCell ref="A6081:A6084"/>
    <mergeCell ref="B6081:B6084"/>
    <mergeCell ref="A6085:A6088"/>
    <mergeCell ref="B6085:B6088"/>
    <mergeCell ref="A6117:A6120"/>
    <mergeCell ref="B6117:B6120"/>
    <mergeCell ref="A5953:A5956"/>
    <mergeCell ref="B5953:B5956"/>
    <mergeCell ref="A5993:A5996"/>
    <mergeCell ref="A5997:A6000"/>
    <mergeCell ref="A6061:A6064"/>
    <mergeCell ref="B6061:B6064"/>
    <mergeCell ref="A5545:A5550"/>
    <mergeCell ref="B5545:B5550"/>
    <mergeCell ref="A5551:A5556"/>
    <mergeCell ref="B5551:B5556"/>
    <mergeCell ref="A5557:A5562"/>
    <mergeCell ref="B5557:B5562"/>
    <mergeCell ref="A5563:A5568"/>
    <mergeCell ref="B5563:B5568"/>
    <mergeCell ref="A5569:A5574"/>
    <mergeCell ref="B5569:B5574"/>
    <mergeCell ref="A5575:A5580"/>
    <mergeCell ref="B5575:B5580"/>
    <mergeCell ref="A6137:A6144"/>
    <mergeCell ref="B6137:B6144"/>
    <mergeCell ref="A6145:A6148"/>
    <mergeCell ref="B6145:B6148"/>
    <mergeCell ref="A6001:A6004"/>
    <mergeCell ref="B6001:B6004"/>
    <mergeCell ref="A6005:A6008"/>
    <mergeCell ref="B6005:B6008"/>
    <mergeCell ref="A6009:A6012"/>
    <mergeCell ref="B6009:B6012"/>
    <mergeCell ref="A6013:A6016"/>
    <mergeCell ref="B6013:B6016"/>
    <mergeCell ref="A6017:A6020"/>
    <mergeCell ref="B6017:B6020"/>
    <mergeCell ref="A6021:A6024"/>
    <mergeCell ref="B6021:B6024"/>
    <mergeCell ref="A6121:A6124"/>
    <mergeCell ref="B6121:B6124"/>
    <mergeCell ref="A6109:A6112"/>
    <mergeCell ref="B6109:B6112"/>
    <mergeCell ref="A6113:A6116"/>
    <mergeCell ref="B6113:B6116"/>
    <mergeCell ref="A6025:A6028"/>
    <mergeCell ref="B6025:B6028"/>
    <mergeCell ref="A5957:A5960"/>
    <mergeCell ref="B5957:B5960"/>
    <mergeCell ref="A5961:A5964"/>
    <mergeCell ref="B5961:B5964"/>
    <mergeCell ref="A5965:A5968"/>
    <mergeCell ref="B5965:B5968"/>
    <mergeCell ref="A5969:A5972"/>
    <mergeCell ref="B5969:B5972"/>
    <mergeCell ref="A5973:A5976"/>
    <mergeCell ref="B5973:B5976"/>
    <mergeCell ref="A5977:A5980"/>
    <mergeCell ref="B5977:B5980"/>
    <mergeCell ref="A5981:A5984"/>
    <mergeCell ref="B5981:B5984"/>
    <mergeCell ref="A6037:A6040"/>
    <mergeCell ref="B6037:B6040"/>
    <mergeCell ref="A6045:A6048"/>
    <mergeCell ref="B6045:B6048"/>
    <mergeCell ref="A6049:A6052"/>
    <mergeCell ref="B6049:B6052"/>
    <mergeCell ref="A6053:A6056"/>
    <mergeCell ref="B6053:B6056"/>
    <mergeCell ref="A6065:A6068"/>
    <mergeCell ref="B6065:B6068"/>
    <mergeCell ref="A6069:A6072"/>
    <mergeCell ref="B6069:B6072"/>
    <mergeCell ref="A6153:A6156"/>
    <mergeCell ref="B6153:B6156"/>
    <mergeCell ref="A2759:A2762"/>
    <mergeCell ref="B2759:B2762"/>
    <mergeCell ref="A5497:A5502"/>
    <mergeCell ref="B5497:B5502"/>
    <mergeCell ref="A5503:A5508"/>
    <mergeCell ref="B5503:B5508"/>
    <mergeCell ref="A5509:A5514"/>
    <mergeCell ref="B5509:B5514"/>
    <mergeCell ref="A5515:A5520"/>
    <mergeCell ref="B5515:B5520"/>
    <mergeCell ref="A5521:A5526"/>
    <mergeCell ref="B5521:B5526"/>
    <mergeCell ref="A5527:A5532"/>
    <mergeCell ref="B5527:B5532"/>
    <mergeCell ref="A5533:A5538"/>
    <mergeCell ref="B5533:B5538"/>
    <mergeCell ref="A5539:A5544"/>
    <mergeCell ref="B5539:B5544"/>
    <mergeCell ref="A5408:A5415"/>
    <mergeCell ref="B5408:B5415"/>
    <mergeCell ref="A5416:A5422"/>
    <mergeCell ref="B5416:B5422"/>
    <mergeCell ref="A5423:A5432"/>
    <mergeCell ref="B5423:B5432"/>
    <mergeCell ref="A5433:A5444"/>
    <mergeCell ref="B5433:B5444"/>
    <mergeCell ref="A5445:A5450"/>
    <mergeCell ref="B5445:B5450"/>
    <mergeCell ref="A5451:A5456"/>
    <mergeCell ref="B5451:B5456"/>
    <mergeCell ref="A6658:A6661"/>
    <mergeCell ref="B6658:B6661"/>
    <mergeCell ref="A6626:A6629"/>
    <mergeCell ref="B6626:B6629"/>
    <mergeCell ref="A6228:A6233"/>
    <mergeCell ref="B6228:B6233"/>
    <mergeCell ref="A6186:A6190"/>
    <mergeCell ref="B6186:B6190"/>
    <mergeCell ref="A6191:A6195"/>
    <mergeCell ref="B6191:B6195"/>
    <mergeCell ref="A6204:A6211"/>
    <mergeCell ref="B6204:B6211"/>
    <mergeCell ref="A6196:A6203"/>
    <mergeCell ref="B6196:B6203"/>
    <mergeCell ref="A6212:A6220"/>
    <mergeCell ref="B6212:B6220"/>
    <mergeCell ref="A6221:A6227"/>
    <mergeCell ref="B6221:B6227"/>
    <mergeCell ref="A6234:A6240"/>
    <mergeCell ref="B6234:B6240"/>
    <mergeCell ref="A6241:A6246"/>
    <mergeCell ref="B6241:B6246"/>
    <mergeCell ref="A6598:A6601"/>
    <mergeCell ref="B6598:B6601"/>
    <mergeCell ref="A6610:A6613"/>
    <mergeCell ref="B6610:B6613"/>
    <mergeCell ref="A6614:A6617"/>
    <mergeCell ref="B6614:B6617"/>
    <mergeCell ref="A6526:A6529"/>
    <mergeCell ref="B6526:B6529"/>
    <mergeCell ref="A6530:A6533"/>
    <mergeCell ref="B6530:B6533"/>
    <mergeCell ref="A6253:A6261"/>
    <mergeCell ref="B6253:B6261"/>
    <mergeCell ref="A6262:A6272"/>
    <mergeCell ref="B6262:B6272"/>
    <mergeCell ref="A6273:A6280"/>
    <mergeCell ref="B6273:B6280"/>
    <mergeCell ref="A6281:A6288"/>
    <mergeCell ref="B6281:B6288"/>
    <mergeCell ref="A6289:A6297"/>
    <mergeCell ref="B6289:B6297"/>
    <mergeCell ref="A6298:A6308"/>
    <mergeCell ref="B6298:B6308"/>
    <mergeCell ref="A6309:A6332"/>
    <mergeCell ref="B6309:B6332"/>
    <mergeCell ref="A6558:A6561"/>
    <mergeCell ref="B6558:B6561"/>
    <mergeCell ref="A6518:A6521"/>
    <mergeCell ref="B6518:B6521"/>
    <mergeCell ref="A6522:A6525"/>
    <mergeCell ref="B6522:B6525"/>
    <mergeCell ref="A6428:A6432"/>
    <mergeCell ref="B6428:B6432"/>
    <mergeCell ref="A6534:A6537"/>
    <mergeCell ref="B6534:B6537"/>
    <mergeCell ref="A6542:A6545"/>
    <mergeCell ref="B6542:B6545"/>
    <mergeCell ref="A6546:A6549"/>
    <mergeCell ref="B6546:B6549"/>
    <mergeCell ref="A6550:A6553"/>
    <mergeCell ref="B6550:B6553"/>
    <mergeCell ref="A6554:A6557"/>
    <mergeCell ref="B6554:B6557"/>
    <mergeCell ref="A6247:A6252"/>
    <mergeCell ref="B6247:B6252"/>
    <mergeCell ref="A6415:A6418"/>
    <mergeCell ref="B6415:B6418"/>
    <mergeCell ref="A6419:A6422"/>
    <mergeCell ref="B6419:B6422"/>
    <mergeCell ref="A6157:A6167"/>
    <mergeCell ref="B6157:B6167"/>
    <mergeCell ref="A6168:A6178"/>
    <mergeCell ref="B6168:B6178"/>
    <mergeCell ref="A7284:A7287"/>
    <mergeCell ref="B7284:B7287"/>
    <mergeCell ref="A7276:A7279"/>
    <mergeCell ref="B7276:B7279"/>
    <mergeCell ref="A7280:A7283"/>
    <mergeCell ref="B7280:B7283"/>
    <mergeCell ref="A7254:A7258"/>
    <mergeCell ref="B7254:B7258"/>
    <mergeCell ref="A7259:A7263"/>
    <mergeCell ref="B7259:B7263"/>
    <mergeCell ref="A6423:A6427"/>
    <mergeCell ref="B6423:B6427"/>
    <mergeCell ref="A6438:A6444"/>
    <mergeCell ref="B6438:B6444"/>
    <mergeCell ref="A6179:A6185"/>
    <mergeCell ref="B6179:B6185"/>
    <mergeCell ref="A6333:A6342"/>
    <mergeCell ref="B6333:B6342"/>
    <mergeCell ref="A6343:A6351"/>
    <mergeCell ref="B6343:B6351"/>
    <mergeCell ref="A7264:A7267"/>
    <mergeCell ref="B7264:B7267"/>
    <mergeCell ref="A6371:A6385"/>
    <mergeCell ref="B6371:B6385"/>
    <mergeCell ref="A6386:A6392"/>
    <mergeCell ref="B6386:B6392"/>
    <mergeCell ref="A6393:A6398"/>
    <mergeCell ref="B6393:B6398"/>
    <mergeCell ref="A6498:A6501"/>
    <mergeCell ref="B6498:B6501"/>
    <mergeCell ref="A6502:A6505"/>
    <mergeCell ref="B6502:B6505"/>
    <mergeCell ref="A6506:A6509"/>
    <mergeCell ref="B6506:B6509"/>
    <mergeCell ref="A6510:A6513"/>
    <mergeCell ref="B6510:B6513"/>
    <mergeCell ref="A6514:A6517"/>
    <mergeCell ref="B6514:B6517"/>
    <mergeCell ref="A6480:A6486"/>
    <mergeCell ref="B6480:B6486"/>
    <mergeCell ref="A6487:A6493"/>
    <mergeCell ref="B6487:B6493"/>
    <mergeCell ref="A7300:A7303"/>
    <mergeCell ref="B7300:B7303"/>
    <mergeCell ref="A2639:A2642"/>
    <mergeCell ref="B2639:B2642"/>
    <mergeCell ref="A4760:A4763"/>
    <mergeCell ref="B4760:B4763"/>
    <mergeCell ref="A4764:A4767"/>
    <mergeCell ref="B4764:B4767"/>
    <mergeCell ref="A7296:A7299"/>
    <mergeCell ref="B7296:B7299"/>
    <mergeCell ref="A7288:A7291"/>
    <mergeCell ref="B7288:B7291"/>
    <mergeCell ref="A7292:A7295"/>
    <mergeCell ref="B7292:B7295"/>
    <mergeCell ref="A6433:A6437"/>
    <mergeCell ref="B6433:B6437"/>
    <mergeCell ref="A6459:A6465"/>
    <mergeCell ref="B6459:B6465"/>
    <mergeCell ref="A6466:A6472"/>
    <mergeCell ref="B6466:B6472"/>
    <mergeCell ref="A6473:A6479"/>
    <mergeCell ref="B6473:B6479"/>
    <mergeCell ref="A7268:A7271"/>
    <mergeCell ref="B7268:B7271"/>
    <mergeCell ref="A7272:A7275"/>
    <mergeCell ref="B7272:B7275"/>
    <mergeCell ref="A7249:A7253"/>
    <mergeCell ref="B7249:B7253"/>
    <mergeCell ref="A6352:A6356"/>
    <mergeCell ref="B6352:B6356"/>
    <mergeCell ref="A6357:A6370"/>
    <mergeCell ref="B6357:B6370"/>
    <mergeCell ref="A7428:A7432"/>
    <mergeCell ref="B7428:B7432"/>
    <mergeCell ref="A7383:A7390"/>
    <mergeCell ref="B7383:B7390"/>
    <mergeCell ref="A7391:A7396"/>
    <mergeCell ref="B7391:B7396"/>
    <mergeCell ref="A7404:A7409"/>
    <mergeCell ref="B7404:B7409"/>
    <mergeCell ref="A7410:A7415"/>
    <mergeCell ref="B7410:B7415"/>
    <mergeCell ref="A7416:A7421"/>
    <mergeCell ref="B7416:B7421"/>
    <mergeCell ref="A7422:A7427"/>
    <mergeCell ref="B7422:B7427"/>
    <mergeCell ref="A7337:A7344"/>
    <mergeCell ref="B7337:B7344"/>
    <mergeCell ref="A7345:A7352"/>
    <mergeCell ref="B7345:B7352"/>
    <mergeCell ref="A7353:A7358"/>
    <mergeCell ref="B7353:B7358"/>
    <mergeCell ref="A7359:A7363"/>
    <mergeCell ref="B7359:B7363"/>
    <mergeCell ref="A7364:A7368"/>
    <mergeCell ref="B7364:B7368"/>
    <mergeCell ref="A7369:A7375"/>
    <mergeCell ref="B7369:B7375"/>
    <mergeCell ref="A7397:A7403"/>
    <mergeCell ref="B7397:B7403"/>
    <mergeCell ref="A7376:A7382"/>
    <mergeCell ref="B7376:B7382"/>
  </mergeCells>
  <conditionalFormatting sqref="D3383 D263 D2406 D2245:E2245 D4897:D4898 E4897 D5010 D5024 D5269 D5276 D862:E862 D879:E879 D889 D6182:D6184">
    <cfRule type="containsText" dxfId="3163" priority="6608" operator="containsText" text="Pesquisa de Preços">
      <formula>NOT(ISERROR(SEARCH("Pesquisa de Preços",D263)))</formula>
    </cfRule>
  </conditionalFormatting>
  <conditionalFormatting sqref="D9">
    <cfRule type="containsText" dxfId="3162" priority="6607" operator="containsText" text="Pesquisa de Preços">
      <formula>NOT(ISERROR(SEARCH("Pesquisa de Preços",D9)))</formula>
    </cfRule>
  </conditionalFormatting>
  <conditionalFormatting sqref="D7">
    <cfRule type="containsText" dxfId="3161" priority="6606" operator="containsText" text="Pesquisa de Preços">
      <formula>NOT(ISERROR(SEARCH("Pesquisa de Preços",D7)))</formula>
    </cfRule>
  </conditionalFormatting>
  <conditionalFormatting sqref="D6 D10 D14 D18 D23 D28 D33 D38 D43 D48 D53 D60 D65 D70 D78 D83 D88 D93 D98 D103 D107 D112 D117 D122 D127 D132 D136 D140 D145 D150 D155 D162 D167 D172 D176 D180 D184 D191 D198 D202 D206 D211 D215 D220 D225 D229 D233 D237 D241 D249 D264 D269 D277 D284 D291 D306 D321 D327 D342 D352 D366 D372 D381 D395 D402 D416 D423 D435 D441 D447 D455 D465 D472 D484 D490 D498 D505 D512 D518 D525 D532 D538 D546 D554 D562 D570 D580 D589 D597 D607 D616 D622 D630 D638 D645 D649 D653 D657 D661 D665 D669 D677 D687 D697 D705 D715 D724 D731 D737 D745 D749 D756 D767 D773 D784 D791 D805 D815 D819 D824 D828 D833 D840 D846 D851 D857 D863 D868 D876 D884 D892 D897 D904 D908 D914 D923 D930 D939 D948 D954 D960 D967 D974 D981 D992 D1003 D1008 D1013 D1022 D1027 D1037 D1046 D1053 D1060 D1067 D1074 D1083 D1091 D1099 D1109 D1117 D1122 D1127 D1133 D1138 D1145 D1152 D1159 D1166 D1173 D1180 D1187 D1194 D1201 D1208 D1215 D1222 D1228 D1234 D1246 D1253 D1260 D1267 D1273 D1280 D1287 D1294 D1301 D1309 D1318 D1324 D1330 D1336 D1342 D1349 D1355 D1362 D1368 D1374 D1381 D1387 D1393 D1399 D1406 D1421 D1436 D1451 D1466 D1481 D1496 D1511 D1517 D1523 D1529 D1535 D1541 D1548 D1555 D1562 D1569 D1584 D1590 D1596 D1602 D1609 D1614 D1620 D1626 D1631 D1637 D1643 D1649 D1655 D1660 D1665 D1670 D1676 D1683 D1690 D1696 D1704 D1715 D1726 D1737 D1748 D1755 D1762 D1769 D1776 D1783 D1790 D1797 D1804 D1809 D1814 D1820 D1826 D1833 D1839 D1845 D1851 D1857 D1863 D1869 D1875 D1881 D1887 D1893 D1899 D1905 D1910 D1915 D1920 D1926 D1931 D1936 D1943 D1949 D1955 D1962 D1969 D1977 D1985 D1992 D1999 D2006 D2013 D2019 D2027 D2035 D2043 D2051 D2059 D2067 D2075 D2083 D2091 D2099 D2107 D2113 D2119 D2125 D2131 D2137 D2145 D2153 D2161 D2169 D2177 D2185 D2193 D2201 D2206 D2213 D2220 D2226 D2232 D2246 D2252 D2262 D2272 D2282 D2292 D2302 D2309 D2316 D2322 D2328 D2334 D2340 D2345 D2350 D2355 D2361 D2369 D2376 D2382 D2389 D2403 D2431 D2551 D2555 D2559 D2563 D2567 D2571 D2579 D2587 D2595 D2599 D2603 D2607 D2611 D2615 D2619 D2623 D2627 D2631 D2635 D2647 D2655 D2661 D2667 D2673 D2679 D2685 D2691 D2697 D2703 D2709 D2771 D2776 D2786 D2802 D2812 D2817 D2822 D2827 D2834 D2839 D2844 D2849 D2854 D2859 D2864 D2869 D2874 D2881 D2886 D2891 D2896 D2904 D2912 D2920 D2928 D2936 D2941 D2946 D2951 D2956 D2961 D2966 D2971 D2976 D2981 D2986 D2996 D3001 D3006 D3011 D3016 D3021 D3026 D3031 D3036 D3041 D3049 D3054 D3062 D3066 D3074 D3079 D3087 D3092 D3097 D3102 D3107 D3112 D3117 D3122 D3127 D3132 D3138 D3144 D3150 D3156 D3161 D3167 D3172 D3181 D3189 D3197 D3202 D3206 D3213 D3226 D3232 D3238 D3244 D3254 D3259 D3266 D3273 D3280 D3287 D3294 D3301 D3308 D3315 D3322 D3329 D3335 D3341 D3350 D3355 D3362 D3369 D3376 D3380 D3384 D3389 D3393 D3397 D3404 D3411 D3418 D3423 D3428 D3433 D3437 D3441 D3451 D3473 D3481 D3498 D3506 D3523 D3542 D3549 D3565 D3571 D3577 D3585 D3592 D3597 D3605 D3611 D3618 D3624 D3634 D3639 D3644 D3652 D3656 D3662 D3677 D3685 D3697 D3710 D3721 D3725 D3735 D3740 D3749 D3756 D3760 D3764 D3822 D3828 D3833 D3844 D3854 D3863 D3871 D3883 D3898 D3905 D3923 D3929 D3935 D3941 D3948 D3957 D3965 D3975 D3982 D3990 D4003 D4016 D4021 D4025 D4029 D4038 D4047 D4056 D4065 D4074 D4083 D4089 D4095 D4102 D4108 D4112 D4119 D4127 D4135 D4143 D4147 D4155 D4166 D4177 D4181 D4188 D4195 D4201 D4207 D4213 D4223 D4229 D4237 D4245 D4254 D4261 D4266 D4274 D4283 D4299 D4326 D4333 D4344 D4353 D4362 D4371 D4380 D4390 D4398 D4406 D4416 D4426 D4436 D4444 D4456 D4468 D4474 D4494 D4502 D4510 D4516 D4521 D4526 D4534 D4542 D4547 D4553 D4565 D4577 D4596 D4604 D4613 D4621 D4627 D4639 D4647 D4653 D4661 D4669 D4679 D4685 D4693 D4702 D4718 D4724 D4768 D4779">
    <cfRule type="containsText" dxfId="3160" priority="6605" operator="containsText" text="Pesquisa de Preços">
      <formula>NOT(ISERROR(SEARCH("Pesquisa de Preços",D6)))</formula>
    </cfRule>
  </conditionalFormatting>
  <conditionalFormatting sqref="D8">
    <cfRule type="containsText" dxfId="3159" priority="6604" operator="containsText" text="Pesquisa de Preços">
      <formula>NOT(ISERROR(SEARCH("Pesquisa de Preços",D8)))</formula>
    </cfRule>
  </conditionalFormatting>
  <conditionalFormatting sqref="D15">
    <cfRule type="containsText" dxfId="3158" priority="6603" operator="containsText" text="Pesquisa de Preços">
      <formula>NOT(ISERROR(SEARCH("Pesquisa de Preços",D15)))</formula>
    </cfRule>
  </conditionalFormatting>
  <conditionalFormatting sqref="D16">
    <cfRule type="containsText" dxfId="3157" priority="6602" operator="containsText" text="Pesquisa de Preços">
      <formula>NOT(ISERROR(SEARCH("Pesquisa de Preços",D16)))</formula>
    </cfRule>
  </conditionalFormatting>
  <conditionalFormatting sqref="D12">
    <cfRule type="containsText" dxfId="3156" priority="6601" operator="containsText" text="Pesquisa de Preços">
      <formula>NOT(ISERROR(SEARCH("Pesquisa de Preços",D12)))</formula>
    </cfRule>
  </conditionalFormatting>
  <conditionalFormatting sqref="D95:D96">
    <cfRule type="containsText" dxfId="3155" priority="6099" operator="containsText" text="Pesquisa de Preços">
      <formula>NOT(ISERROR(SEARCH("Pesquisa de Preços",D95)))</formula>
    </cfRule>
  </conditionalFormatting>
  <conditionalFormatting sqref="D13">
    <cfRule type="containsText" dxfId="3154" priority="6600" operator="containsText" text="Pesquisa de Preços">
      <formula>NOT(ISERROR(SEARCH("Pesquisa de Preços",D13)))</formula>
    </cfRule>
  </conditionalFormatting>
  <conditionalFormatting sqref="D11">
    <cfRule type="containsText" dxfId="3153" priority="6599" operator="containsText" text="Pesquisa de Preços">
      <formula>NOT(ISERROR(SEARCH("Pesquisa de Preços",D11)))</formula>
    </cfRule>
  </conditionalFormatting>
  <conditionalFormatting sqref="D226">
    <cfRule type="containsText" dxfId="3152" priority="6597" operator="containsText" text="Pesquisa de Preços">
      <formula>NOT(ISERROR(SEARCH("Pesquisa de Preços",D226)))</formula>
    </cfRule>
  </conditionalFormatting>
  <conditionalFormatting sqref="D228">
    <cfRule type="containsText" dxfId="3151" priority="6598" operator="containsText" text="Pesquisa de Preços">
      <formula>NOT(ISERROR(SEARCH("Pesquisa de Preços",D228)))</formula>
    </cfRule>
  </conditionalFormatting>
  <conditionalFormatting sqref="D1384">
    <cfRule type="containsText" dxfId="3150" priority="6095" operator="containsText" text="Pesquisa de Preços">
      <formula>NOT(ISERROR(SEARCH("Pesquisa de Preços",D1384)))</formula>
    </cfRule>
  </conditionalFormatting>
  <conditionalFormatting sqref="D515">
    <cfRule type="containsText" dxfId="3149" priority="6503" operator="containsText" text="Pesquisa de Preços">
      <formula>NOT(ISERROR(SEARCH("Pesquisa de Preços",D515)))</formula>
    </cfRule>
  </conditionalFormatting>
  <conditionalFormatting sqref="D151">
    <cfRule type="containsText" dxfId="3148" priority="6593" operator="containsText" text="Pesquisa de Preços">
      <formula>NOT(ISERROR(SEARCH("Pesquisa de Preços",D151)))</formula>
    </cfRule>
  </conditionalFormatting>
  <conditionalFormatting sqref="D491:D492 D494:D497">
    <cfRule type="containsText" dxfId="3147" priority="6500" operator="containsText" text="Pesquisa de Preços">
      <formula>NOT(ISERROR(SEARCH("Pesquisa de Preços",D491)))</formula>
    </cfRule>
  </conditionalFormatting>
  <conditionalFormatting sqref="D79">
    <cfRule type="containsText" dxfId="3146" priority="6594" operator="containsText" text="Pesquisa de Preços">
      <formula>NOT(ISERROR(SEARCH("Pesquisa de Preços",D79)))</formula>
    </cfRule>
  </conditionalFormatting>
  <conditionalFormatting sqref="D163">
    <cfRule type="containsText" dxfId="3145" priority="6592" operator="containsText" text="Pesquisa de Preços">
      <formula>NOT(ISERROR(SEARCH("Pesquisa de Preços",D163)))</formula>
    </cfRule>
  </conditionalFormatting>
  <conditionalFormatting sqref="D80">
    <cfRule type="containsText" dxfId="3144" priority="6596" operator="containsText" text="Pesquisa de Preços">
      <formula>NOT(ISERROR(SEARCH("Pesquisa de Preços",D80)))</formula>
    </cfRule>
  </conditionalFormatting>
  <conditionalFormatting sqref="D82">
    <cfRule type="containsText" dxfId="3143" priority="6595" operator="containsText" text="Pesquisa de Preços">
      <formula>NOT(ISERROR(SEARCH("Pesquisa de Preços",D82)))</formula>
    </cfRule>
  </conditionalFormatting>
  <conditionalFormatting sqref="D89">
    <cfRule type="containsText" dxfId="3142" priority="6591" operator="containsText" text="Pesquisa de Preços">
      <formula>NOT(ISERROR(SEARCH("Pesquisa de Preços",D89)))</formula>
    </cfRule>
  </conditionalFormatting>
  <conditionalFormatting sqref="D61">
    <cfRule type="containsText" dxfId="3141" priority="6590" operator="containsText" text="Pesquisa de Preços">
      <formula>NOT(ISERROR(SEARCH("Pesquisa de Preços",D61)))</formula>
    </cfRule>
  </conditionalFormatting>
  <conditionalFormatting sqref="D54">
    <cfRule type="containsText" dxfId="3140" priority="6589" operator="containsText" text="Pesquisa de Preços">
      <formula>NOT(ISERROR(SEARCH("Pesquisa de Preços",D54)))</formula>
    </cfRule>
  </conditionalFormatting>
  <conditionalFormatting sqref="D34:D35">
    <cfRule type="containsText" dxfId="3139" priority="6588" operator="containsText" text="Pesquisa de Preços">
      <formula>NOT(ISERROR(SEARCH("Pesquisa de Preços",D34)))</formula>
    </cfRule>
  </conditionalFormatting>
  <conditionalFormatting sqref="D99:D100">
    <cfRule type="containsText" dxfId="3138" priority="6586" operator="containsText" text="Pesquisa de Preços">
      <formula>NOT(ISERROR(SEARCH("Pesquisa de Preços",D99)))</formula>
    </cfRule>
  </conditionalFormatting>
  <conditionalFormatting sqref="D29">
    <cfRule type="containsText" dxfId="3137" priority="6587" operator="containsText" text="Pesquisa de Preços">
      <formula>NOT(ISERROR(SEARCH("Pesquisa de Preços",D29)))</formula>
    </cfRule>
  </conditionalFormatting>
  <conditionalFormatting sqref="D146:D147">
    <cfRule type="containsText" dxfId="3136" priority="6584" operator="containsText" text="Pesquisa de Preços">
      <formula>NOT(ISERROR(SEARCH("Pesquisa de Preços",D146)))</formula>
    </cfRule>
  </conditionalFormatting>
  <conditionalFormatting sqref="D101">
    <cfRule type="containsText" dxfId="3135" priority="6585" operator="containsText" text="Pesquisa de Preços">
      <formula>NOT(ISERROR(SEARCH("Pesquisa de Preços",D101)))</formula>
    </cfRule>
  </conditionalFormatting>
  <conditionalFormatting sqref="D181">
    <cfRule type="containsText" dxfId="3134" priority="6579" operator="containsText" text="Pesquisa de Preços">
      <formula>NOT(ISERROR(SEARCH("Pesquisa de Preços",D181)))</formula>
    </cfRule>
  </conditionalFormatting>
  <conditionalFormatting sqref="D24">
    <cfRule type="containsText" dxfId="3133" priority="6581" operator="containsText" text="Pesquisa de Preços">
      <formula>NOT(ISERROR(SEARCH("Pesquisa de Preços",D24)))</formula>
    </cfRule>
  </conditionalFormatting>
  <conditionalFormatting sqref="D148">
    <cfRule type="containsText" dxfId="3132" priority="6583" operator="containsText" text="Pesquisa de Preços">
      <formula>NOT(ISERROR(SEARCH("Pesquisa de Preços",D148)))</formula>
    </cfRule>
  </conditionalFormatting>
  <conditionalFormatting sqref="D44:D46">
    <cfRule type="containsText" dxfId="3131" priority="6582" operator="containsText" text="Pesquisa de Preços">
      <formula>NOT(ISERROR(SEARCH("Pesquisa de Preços",D44)))</formula>
    </cfRule>
  </conditionalFormatting>
  <conditionalFormatting sqref="D118">
    <cfRule type="containsText" dxfId="3130" priority="6578" operator="containsText" text="Pesquisa de Preços">
      <formula>NOT(ISERROR(SEARCH("Pesquisa de Preços",D118)))</formula>
    </cfRule>
  </conditionalFormatting>
  <conditionalFormatting sqref="D39:D41">
    <cfRule type="containsText" dxfId="3129" priority="6580" operator="containsText" text="Pesquisa de Preços">
      <formula>NOT(ISERROR(SEARCH("Pesquisa de Preços",D39)))</formula>
    </cfRule>
  </conditionalFormatting>
  <conditionalFormatting sqref="D678">
    <cfRule type="containsText" dxfId="3128" priority="6484" operator="containsText" text="Pesquisa de Preços">
      <formula>NOT(ISERROR(SEARCH("Pesquisa de Preços",D678)))</formula>
    </cfRule>
  </conditionalFormatting>
  <conditionalFormatting sqref="D670">
    <cfRule type="containsText" dxfId="3127" priority="6483" operator="containsText" text="Pesquisa de Preços">
      <formula>NOT(ISERROR(SEARCH("Pesquisa de Preços",D670)))</formula>
    </cfRule>
  </conditionalFormatting>
  <conditionalFormatting sqref="D177:D178">
    <cfRule type="containsText" dxfId="3126" priority="6577" operator="containsText" text="Pesquisa de Preços">
      <formula>NOT(ISERROR(SEARCH("Pesquisa de Preços",D177)))</formula>
    </cfRule>
  </conditionalFormatting>
  <conditionalFormatting sqref="D221:D222">
    <cfRule type="containsText" dxfId="3125" priority="6576" operator="containsText" text="Pesquisa de Preços">
      <formula>NOT(ISERROR(SEARCH("Pesquisa de Preços",D221)))</formula>
    </cfRule>
  </conditionalFormatting>
  <conditionalFormatting sqref="D688:D689 D695:D696">
    <cfRule type="containsText" dxfId="3124" priority="6482" operator="containsText" text="Pesquisa de Preços">
      <formula>NOT(ISERROR(SEARCH("Pesquisa de Preços",D688)))</formula>
    </cfRule>
  </conditionalFormatting>
  <conditionalFormatting sqref="D223">
    <cfRule type="containsText" dxfId="3123" priority="6575" operator="containsText" text="Pesquisa de Preços">
      <formula>NOT(ISERROR(SEARCH("Pesquisa de Preços",D223)))</formula>
    </cfRule>
  </conditionalFormatting>
  <conditionalFormatting sqref="D128">
    <cfRule type="containsText" dxfId="3122" priority="6574" operator="containsText" text="Pesquisa de Preços">
      <formula>NOT(ISERROR(SEARCH("Pesquisa de Preços",D128)))</formula>
    </cfRule>
  </conditionalFormatting>
  <conditionalFormatting sqref="D716">
    <cfRule type="containsText" dxfId="3121" priority="6480" operator="containsText" text="Pesquisa de Preços">
      <formula>NOT(ISERROR(SEARCH("Pesquisa de Preços",D716)))</formula>
    </cfRule>
  </conditionalFormatting>
  <conditionalFormatting sqref="D168:D169">
    <cfRule type="containsText" dxfId="3120" priority="6573" operator="containsText" text="Pesquisa de Preços">
      <formula>NOT(ISERROR(SEARCH("Pesquisa de Preços",D168)))</formula>
    </cfRule>
  </conditionalFormatting>
  <conditionalFormatting sqref="D732">
    <cfRule type="containsText" dxfId="3119" priority="6479" operator="containsText" text="Pesquisa de Preços">
      <formula>NOT(ISERROR(SEARCH("Pesquisa de Preços",D732)))</formula>
    </cfRule>
  </conditionalFormatting>
  <conditionalFormatting sqref="D170">
    <cfRule type="containsText" dxfId="3118" priority="6572" operator="containsText" text="Pesquisa de Preços">
      <formula>NOT(ISERROR(SEARCH("Pesquisa de Preços",D170)))</formula>
    </cfRule>
  </conditionalFormatting>
  <conditionalFormatting sqref="D84">
    <cfRule type="containsText" dxfId="3117" priority="6571" operator="containsText" text="Pesquisa de Preços">
      <formula>NOT(ISERROR(SEARCH("Pesquisa de Preços",D84)))</formula>
    </cfRule>
  </conditionalFormatting>
  <conditionalFormatting sqref="D113">
    <cfRule type="containsText" dxfId="3116" priority="6570" operator="containsText" text="Pesquisa de Preços">
      <formula>NOT(ISERROR(SEARCH("Pesquisa de Preços",D113)))</formula>
    </cfRule>
  </conditionalFormatting>
  <conditionalFormatting sqref="D212:D213">
    <cfRule type="containsText" dxfId="3115" priority="6569" operator="containsText" text="Pesquisa de Preços">
      <formula>NOT(ISERROR(SEARCH("Pesquisa de Preços",D212)))</formula>
    </cfRule>
  </conditionalFormatting>
  <conditionalFormatting sqref="D203">
    <cfRule type="containsText" dxfId="3114" priority="6568" operator="containsText" text="Pesquisa de Preços">
      <formula>NOT(ISERROR(SEARCH("Pesquisa de Preços",D203)))</formula>
    </cfRule>
  </conditionalFormatting>
  <conditionalFormatting sqref="D199:D200">
    <cfRule type="containsText" dxfId="3113" priority="6566" operator="containsText" text="Pesquisa de Preços">
      <formula>NOT(ISERROR(SEARCH("Pesquisa de Preços",D199)))</formula>
    </cfRule>
  </conditionalFormatting>
  <conditionalFormatting sqref="D204:D205">
    <cfRule type="containsText" dxfId="3112" priority="6567" operator="containsText" text="Pesquisa de Preços">
      <formula>NOT(ISERROR(SEARCH("Pesquisa de Preços",D204)))</formula>
    </cfRule>
  </conditionalFormatting>
  <conditionalFormatting sqref="D71:D72 D76:D77">
    <cfRule type="containsText" dxfId="3111" priority="6565" operator="containsText" text="Pesquisa de Preços">
      <formula>NOT(ISERROR(SEARCH("Pesquisa de Preços",D71)))</formula>
    </cfRule>
  </conditionalFormatting>
  <conditionalFormatting sqref="D73:D75">
    <cfRule type="containsText" dxfId="3110" priority="6564" operator="containsText" text="Pesquisa de Preços">
      <formula>NOT(ISERROR(SEARCH("Pesquisa de Preços",D73)))</formula>
    </cfRule>
  </conditionalFormatting>
  <conditionalFormatting sqref="D137:D138">
    <cfRule type="containsText" dxfId="3109" priority="6563" operator="containsText" text="Pesquisa de Preços">
      <formula>NOT(ISERROR(SEARCH("Pesquisa de Preços",D137)))</formula>
    </cfRule>
  </conditionalFormatting>
  <conditionalFormatting sqref="D141:D142">
    <cfRule type="containsText" dxfId="3108" priority="6562" operator="containsText" text="Pesquisa de Preços">
      <formula>NOT(ISERROR(SEARCH("Pesquisa de Preços",D141)))</formula>
    </cfRule>
  </conditionalFormatting>
  <conditionalFormatting sqref="D792 D794:D803">
    <cfRule type="containsText" dxfId="3107" priority="6476" operator="containsText" text="Pesquisa de Preços">
      <formula>NOT(ISERROR(SEARCH("Pesquisa de Preços",D792)))</formula>
    </cfRule>
  </conditionalFormatting>
  <conditionalFormatting sqref="D156:D158">
    <cfRule type="containsText" dxfId="3106" priority="6561" operator="containsText" text="Pesquisa de Preços">
      <formula>NOT(ISERROR(SEARCH("Pesquisa de Preços",D156)))</formula>
    </cfRule>
  </conditionalFormatting>
  <conditionalFormatting sqref="D834">
    <cfRule type="containsText" dxfId="3105" priority="6475" operator="containsText" text="Pesquisa de Preços">
      <formula>NOT(ISERROR(SEARCH("Pesquisa de Preços",D834)))</formula>
    </cfRule>
  </conditionalFormatting>
  <conditionalFormatting sqref="D94">
    <cfRule type="containsText" dxfId="3104" priority="6560" operator="containsText" text="Pesquisa de Preços">
      <formula>NOT(ISERROR(SEARCH("Pesquisa de Preços",D94)))</formula>
    </cfRule>
  </conditionalFormatting>
  <conditionalFormatting sqref="D816:D817">
    <cfRule type="containsText" dxfId="3103" priority="6474" operator="containsText" text="Pesquisa de Preços">
      <formula>NOT(ISERROR(SEARCH("Pesquisa de Preços",D816)))</formula>
    </cfRule>
  </conditionalFormatting>
  <conditionalFormatting sqref="D49:D50">
    <cfRule type="containsText" dxfId="3102" priority="6559" operator="containsText" text="Pesquisa de Preços">
      <formula>NOT(ISERROR(SEARCH("Pesquisa de Preços",D49)))</formula>
    </cfRule>
  </conditionalFormatting>
  <conditionalFormatting sqref="D51">
    <cfRule type="containsText" dxfId="3101" priority="6558" operator="containsText" text="Pesquisa de Preços">
      <formula>NOT(ISERROR(SEARCH("Pesquisa de Preços",D51)))</formula>
    </cfRule>
  </conditionalFormatting>
  <conditionalFormatting sqref="D192:D193">
    <cfRule type="containsText" dxfId="3100" priority="6557" operator="containsText" text="Pesquisa de Preços">
      <formula>NOT(ISERROR(SEARCH("Pesquisa de Preços",D192)))</formula>
    </cfRule>
  </conditionalFormatting>
  <conditionalFormatting sqref="D750:D751 D754:D755">
    <cfRule type="containsText" dxfId="3099" priority="6473" operator="containsText" text="Pesquisa de Preços">
      <formula>NOT(ISERROR(SEARCH("Pesquisa de Preços",D750)))</formula>
    </cfRule>
  </conditionalFormatting>
  <conditionalFormatting sqref="D194">
    <cfRule type="containsText" dxfId="3098" priority="6556" operator="containsText" text="Pesquisa de Preços">
      <formula>NOT(ISERROR(SEARCH("Pesquisa de Preços",D194)))</formula>
    </cfRule>
  </conditionalFormatting>
  <conditionalFormatting sqref="D216">
    <cfRule type="containsText" dxfId="3097" priority="6555" operator="containsText" text="Pesquisa de Preços">
      <formula>NOT(ISERROR(SEARCH("Pesquisa de Preços",D216)))</formula>
    </cfRule>
  </conditionalFormatting>
  <conditionalFormatting sqref="D218">
    <cfRule type="containsText" dxfId="3096" priority="6554" operator="containsText" text="Pesquisa de Preços">
      <formula>NOT(ISERROR(SEARCH("Pesquisa de Preços",D218)))</formula>
    </cfRule>
  </conditionalFormatting>
  <conditionalFormatting sqref="D123">
    <cfRule type="containsText" dxfId="3095" priority="6553" operator="containsText" text="Pesquisa de Preços">
      <formula>NOT(ISERROR(SEARCH("Pesquisa de Preços",D123)))</formula>
    </cfRule>
  </conditionalFormatting>
  <conditionalFormatting sqref="D757:D758">
    <cfRule type="containsText" dxfId="3094" priority="6471" operator="containsText" text="Pesquisa de Preços">
      <formula>NOT(ISERROR(SEARCH("Pesquisa de Preços",D757)))</formula>
    </cfRule>
  </conditionalFormatting>
  <conditionalFormatting sqref="D125">
    <cfRule type="containsText" dxfId="3093" priority="6552" operator="containsText" text="Pesquisa de Preços">
      <formula>NOT(ISERROR(SEARCH("Pesquisa de Preços",D125)))</formula>
    </cfRule>
  </conditionalFormatting>
  <conditionalFormatting sqref="D108:D109">
    <cfRule type="containsText" dxfId="3092" priority="6551" operator="containsText" text="Pesquisa de Preços">
      <formula>NOT(ISERROR(SEARCH("Pesquisa de Preços",D108)))</formula>
    </cfRule>
  </conditionalFormatting>
  <conditionalFormatting sqref="D825 D827">
    <cfRule type="containsText" dxfId="3091" priority="6469" operator="containsText" text="Pesquisa de Preços">
      <formula>NOT(ISERROR(SEARCH("Pesquisa de Preços",D825)))</formula>
    </cfRule>
  </conditionalFormatting>
  <conditionalFormatting sqref="D110">
    <cfRule type="containsText" dxfId="3090" priority="6550" operator="containsText" text="Pesquisa de Preços">
      <formula>NOT(ISERROR(SEARCH("Pesquisa de Preços",D110)))</formula>
    </cfRule>
  </conditionalFormatting>
  <conditionalFormatting sqref="D133">
    <cfRule type="containsText" dxfId="3089" priority="6549" operator="containsText" text="Pesquisa de Preços">
      <formula>NOT(ISERROR(SEARCH("Pesquisa de Preços",D133)))</formula>
    </cfRule>
  </conditionalFormatting>
  <conditionalFormatting sqref="D829">
    <cfRule type="containsText" dxfId="3088" priority="6468" operator="containsText" text="Pesquisa de Preços">
      <formula>NOT(ISERROR(SEARCH("Pesquisa de Preços",D829)))</formula>
    </cfRule>
  </conditionalFormatting>
  <conditionalFormatting sqref="D66">
    <cfRule type="containsText" dxfId="3087" priority="6548" operator="containsText" text="Pesquisa de Preços">
      <formula>NOT(ISERROR(SEARCH("Pesquisa de Preços",D66)))</formula>
    </cfRule>
  </conditionalFormatting>
  <conditionalFormatting sqref="D806">
    <cfRule type="containsText" dxfId="3086" priority="6467" operator="containsText" text="Pesquisa de Preços">
      <formula>NOT(ISERROR(SEARCH("Pesquisa de Preços",D806)))</formula>
    </cfRule>
  </conditionalFormatting>
  <conditionalFormatting sqref="D68">
    <cfRule type="containsText" dxfId="3085" priority="6547" operator="containsText" text="Pesquisa de Preços">
      <formula>NOT(ISERROR(SEARCH("Pesquisa de Preços",D68)))</formula>
    </cfRule>
  </conditionalFormatting>
  <conditionalFormatting sqref="D322">
    <cfRule type="containsText" dxfId="3084" priority="6536" operator="containsText" text="Pesquisa de Preços">
      <formula>NOT(ISERROR(SEARCH("Pesquisa de Preços",D322)))</formula>
    </cfRule>
  </conditionalFormatting>
  <conditionalFormatting sqref="D343">
    <cfRule type="containsText" dxfId="3083" priority="6533" operator="containsText" text="Pesquisa de Preços">
      <formula>NOT(ISERROR(SEARCH("Pesquisa de Preços",D343)))</formula>
    </cfRule>
  </conditionalFormatting>
  <conditionalFormatting sqref="D328:D329">
    <cfRule type="containsText" dxfId="3082" priority="6528" operator="containsText" text="Pesquisa de Preços">
      <formula>NOT(ISERROR(SEARCH("Pesquisa de Preços",D328)))</formula>
    </cfRule>
  </conditionalFormatting>
  <conditionalFormatting sqref="D417 D422">
    <cfRule type="containsText" dxfId="3081" priority="6521" operator="containsText" text="Pesquisa de Preços">
      <formula>NOT(ISERROR(SEARCH("Pesquisa de Preços",D417)))</formula>
    </cfRule>
  </conditionalFormatting>
  <conditionalFormatting sqref="D248">
    <cfRule type="containsText" dxfId="3080" priority="6546" operator="containsText" text="Pesquisa de Preços">
      <formula>NOT(ISERROR(SEARCH("Pesquisa de Preços",D248)))</formula>
    </cfRule>
  </conditionalFormatting>
  <conditionalFormatting sqref="D250:D251">
    <cfRule type="containsText" dxfId="3079" priority="6545" operator="containsText" text="Pesquisa de Preços">
      <formula>NOT(ISERROR(SEARCH("Pesquisa de Preços",D250)))</formula>
    </cfRule>
  </conditionalFormatting>
  <conditionalFormatting sqref="D1094:D1095">
    <cfRule type="containsText" dxfId="3078" priority="6431" operator="containsText" text="Pesquisa de Preços">
      <formula>NOT(ISERROR(SEARCH("Pesquisa de Preços",D1094)))</formula>
    </cfRule>
  </conditionalFormatting>
  <conditionalFormatting sqref="D252:D257 D259:D262">
    <cfRule type="containsText" dxfId="3077" priority="6544" operator="containsText" text="Pesquisa de Preços">
      <formula>NOT(ISERROR(SEARCH("Pesquisa de Preços",D252)))</formula>
    </cfRule>
  </conditionalFormatting>
  <conditionalFormatting sqref="D265:D266">
    <cfRule type="containsText" dxfId="3076" priority="6543" operator="containsText" text="Pesquisa de Preços">
      <formula>NOT(ISERROR(SEARCH("Pesquisa de Preços",D265)))</formula>
    </cfRule>
  </conditionalFormatting>
  <conditionalFormatting sqref="D278:D279 D283">
    <cfRule type="containsText" dxfId="3075" priority="6542" operator="containsText" text="Pesquisa de Preços">
      <formula>NOT(ISERROR(SEARCH("Pesquisa de Preços",D278)))</formula>
    </cfRule>
  </conditionalFormatting>
  <conditionalFormatting sqref="D280:D281">
    <cfRule type="containsText" dxfId="3074" priority="6541" operator="containsText" text="Pesquisa de Preços">
      <formula>NOT(ISERROR(SEARCH("Pesquisa de Preços",D280)))</formula>
    </cfRule>
  </conditionalFormatting>
  <conditionalFormatting sqref="D285:D286 D290">
    <cfRule type="containsText" dxfId="3073" priority="6540" operator="containsText" text="Pesquisa de Preços">
      <formula>NOT(ISERROR(SEARCH("Pesquisa de Preços",D285)))</formula>
    </cfRule>
  </conditionalFormatting>
  <conditionalFormatting sqref="D287:D288">
    <cfRule type="containsText" dxfId="3072" priority="6539" operator="containsText" text="Pesquisa de Preços">
      <formula>NOT(ISERROR(SEARCH("Pesquisa de Preços",D287)))</formula>
    </cfRule>
  </conditionalFormatting>
  <conditionalFormatting sqref="D270:D271 D275:D276">
    <cfRule type="containsText" dxfId="3071" priority="6538" operator="containsText" text="Pesquisa de Preços">
      <formula>NOT(ISERROR(SEARCH("Pesquisa de Preços",D270)))</formula>
    </cfRule>
  </conditionalFormatting>
  <conditionalFormatting sqref="D272:D273">
    <cfRule type="containsText" dxfId="3070" priority="6537" operator="containsText" text="Pesquisa de Preços">
      <formula>NOT(ISERROR(SEARCH("Pesquisa de Preços",D272)))</formula>
    </cfRule>
  </conditionalFormatting>
  <conditionalFormatting sqref="D533 D537">
    <cfRule type="containsText" dxfId="3069" priority="6502" operator="containsText" text="Pesquisa de Preços">
      <formula>NOT(ISERROR(SEARCH("Pesquisa de Preços",D533)))</formula>
    </cfRule>
  </conditionalFormatting>
  <conditionalFormatting sqref="D307">
    <cfRule type="containsText" dxfId="3068" priority="6535" operator="containsText" text="Pesquisa de Preços">
      <formula>NOT(ISERROR(SEARCH("Pesquisa de Preços",D307)))</formula>
    </cfRule>
  </conditionalFormatting>
  <conditionalFormatting sqref="D313:D315">
    <cfRule type="containsText" dxfId="3067" priority="6534" operator="containsText" text="Pesquisa de Preços">
      <formula>NOT(ISERROR(SEARCH("Pesquisa de Preços",D313)))</formula>
    </cfRule>
  </conditionalFormatting>
  <conditionalFormatting sqref="D353">
    <cfRule type="containsText" dxfId="3066" priority="6532" operator="containsText" text="Pesquisa de Preços">
      <formula>NOT(ISERROR(SEARCH("Pesquisa de Preços",D353)))</formula>
    </cfRule>
  </conditionalFormatting>
  <conditionalFormatting sqref="D356:D359">
    <cfRule type="containsText" dxfId="3065" priority="6531" operator="containsText" text="Pesquisa de Preços">
      <formula>NOT(ISERROR(SEARCH("Pesquisa de Preços",D356)))</formula>
    </cfRule>
  </conditionalFormatting>
  <conditionalFormatting sqref="D292">
    <cfRule type="containsText" dxfId="3064" priority="6530" operator="containsText" text="Pesquisa de Preços">
      <formula>NOT(ISERROR(SEARCH("Pesquisa de Preços",D292)))</formula>
    </cfRule>
  </conditionalFormatting>
  <conditionalFormatting sqref="D299:D300">
    <cfRule type="containsText" dxfId="3063" priority="6529" operator="containsText" text="Pesquisa de Preços">
      <formula>NOT(ISERROR(SEARCH("Pesquisa de Preços",D299)))</formula>
    </cfRule>
  </conditionalFormatting>
  <conditionalFormatting sqref="D330:D340">
    <cfRule type="containsText" dxfId="3062" priority="6527" operator="containsText" text="Pesquisa de Preços">
      <formula>NOT(ISERROR(SEARCH("Pesquisa de Preços",D330)))</formula>
    </cfRule>
  </conditionalFormatting>
  <conditionalFormatting sqref="D367:D368 D370:D371">
    <cfRule type="containsText" dxfId="3061" priority="6526" operator="containsText" text="Pesquisa de Preços">
      <formula>NOT(ISERROR(SEARCH("Pesquisa de Preços",D367)))</formula>
    </cfRule>
  </conditionalFormatting>
  <conditionalFormatting sqref="D369">
    <cfRule type="containsText" dxfId="3060" priority="6525" operator="containsText" text="Pesquisa de Preços">
      <formula>NOT(ISERROR(SEARCH("Pesquisa de Preços",D369)))</formula>
    </cfRule>
  </conditionalFormatting>
  <conditionalFormatting sqref="D373 D379:D380">
    <cfRule type="containsText" dxfId="3059" priority="6524" operator="containsText" text="Pesquisa de Preços">
      <formula>NOT(ISERROR(SEARCH("Pesquisa de Preços",D373)))</formula>
    </cfRule>
  </conditionalFormatting>
  <conditionalFormatting sqref="D375:D378">
    <cfRule type="containsText" dxfId="3058" priority="6523" operator="containsText" text="Pesquisa de Preços">
      <formula>NOT(ISERROR(SEARCH("Pesquisa de Preços",D375)))</formula>
    </cfRule>
  </conditionalFormatting>
  <conditionalFormatting sqref="D403">
    <cfRule type="containsText" dxfId="3057" priority="6522" operator="containsText" text="Pesquisa de Preços">
      <formula>NOT(ISERROR(SEARCH("Pesquisa de Preços",D403)))</formula>
    </cfRule>
  </conditionalFormatting>
  <conditionalFormatting sqref="D442:D443 D445:D446">
    <cfRule type="containsText" dxfId="3056" priority="6520" operator="containsText" text="Pesquisa de Preços">
      <formula>NOT(ISERROR(SEARCH("Pesquisa de Preços",D442)))</formula>
    </cfRule>
  </conditionalFormatting>
  <conditionalFormatting sqref="D444">
    <cfRule type="containsText" dxfId="3055" priority="6519" operator="containsText" text="Pesquisa de Preços">
      <formula>NOT(ISERROR(SEARCH("Pesquisa de Preços",D444)))</formula>
    </cfRule>
  </conditionalFormatting>
  <conditionalFormatting sqref="D436:D437 D439:D440">
    <cfRule type="containsText" dxfId="3054" priority="6518" operator="containsText" text="Pesquisa de Preços">
      <formula>NOT(ISERROR(SEARCH("Pesquisa de Preços",D436)))</formula>
    </cfRule>
  </conditionalFormatting>
  <conditionalFormatting sqref="D438">
    <cfRule type="containsText" dxfId="3053" priority="6517" operator="containsText" text="Pesquisa de Preços">
      <formula>NOT(ISERROR(SEARCH("Pesquisa de Preços",D438)))</formula>
    </cfRule>
  </conditionalFormatting>
  <conditionalFormatting sqref="D456:D457 D460:D464">
    <cfRule type="containsText" dxfId="3052" priority="6516" operator="containsText" text="Pesquisa de Preços">
      <formula>NOT(ISERROR(SEARCH("Pesquisa de Preços",D456)))</formula>
    </cfRule>
  </conditionalFormatting>
  <conditionalFormatting sqref="D459">
    <cfRule type="containsText" dxfId="3051" priority="6515" operator="containsText" text="Pesquisa de Preços">
      <formula>NOT(ISERROR(SEARCH("Pesquisa de Preços",D459)))</formula>
    </cfRule>
  </conditionalFormatting>
  <conditionalFormatting sqref="D466:D467 D470:D471">
    <cfRule type="containsText" dxfId="3050" priority="6514" operator="containsText" text="Pesquisa de Preços">
      <formula>NOT(ISERROR(SEARCH("Pesquisa de Preços",D466)))</formula>
    </cfRule>
  </conditionalFormatting>
  <conditionalFormatting sqref="D469">
    <cfRule type="containsText" dxfId="3049" priority="6513" operator="containsText" text="Pesquisa de Preços">
      <formula>NOT(ISERROR(SEARCH("Pesquisa de Preços",D469)))</formula>
    </cfRule>
  </conditionalFormatting>
  <conditionalFormatting sqref="D473 D483">
    <cfRule type="containsText" dxfId="3048" priority="6512" operator="containsText" text="Pesquisa de Preços">
      <formula>NOT(ISERROR(SEARCH("Pesquisa de Preços",D473)))</formula>
    </cfRule>
  </conditionalFormatting>
  <conditionalFormatting sqref="D448 D452 D454">
    <cfRule type="containsText" dxfId="3047" priority="6511" operator="containsText" text="Pesquisa de Preços">
      <formula>NOT(ISERROR(SEARCH("Pesquisa de Preços",D448)))</formula>
    </cfRule>
  </conditionalFormatting>
  <conditionalFormatting sqref="D485:D486 D489">
    <cfRule type="containsText" dxfId="3046" priority="6510" operator="containsText" text="Pesquisa de Preços">
      <formula>NOT(ISERROR(SEARCH("Pesquisa de Preços",D485)))</formula>
    </cfRule>
  </conditionalFormatting>
  <conditionalFormatting sqref="D487">
    <cfRule type="containsText" dxfId="3045" priority="6509" operator="containsText" text="Pesquisa de Preços">
      <formula>NOT(ISERROR(SEARCH("Pesquisa de Preços",D487)))</formula>
    </cfRule>
  </conditionalFormatting>
  <conditionalFormatting sqref="D506:D507 D510:D511">
    <cfRule type="containsText" dxfId="3044" priority="6508" operator="containsText" text="Pesquisa de Preços">
      <formula>NOT(ISERROR(SEARCH("Pesquisa de Preços",D506)))</formula>
    </cfRule>
  </conditionalFormatting>
  <conditionalFormatting sqref="D508:D509">
    <cfRule type="containsText" dxfId="3043" priority="6507" operator="containsText" text="Pesquisa de Preços">
      <formula>NOT(ISERROR(SEARCH("Pesquisa de Preços",D508)))</formula>
    </cfRule>
  </conditionalFormatting>
  <conditionalFormatting sqref="D503:D504 D499:D500">
    <cfRule type="containsText" dxfId="3042" priority="6506" operator="containsText" text="Pesquisa de Preços">
      <formula>NOT(ISERROR(SEARCH("Pesquisa de Preços",D499)))</formula>
    </cfRule>
  </conditionalFormatting>
  <conditionalFormatting sqref="D501:D502">
    <cfRule type="containsText" dxfId="3041" priority="6505" operator="containsText" text="Pesquisa de Preços">
      <formula>NOT(ISERROR(SEARCH("Pesquisa de Preços",D501)))</formula>
    </cfRule>
  </conditionalFormatting>
  <conditionalFormatting sqref="D513:D514 D517">
    <cfRule type="containsText" dxfId="3040" priority="6504" operator="containsText" text="Pesquisa de Preços">
      <formula>NOT(ISERROR(SEARCH("Pesquisa de Preços",D513)))</formula>
    </cfRule>
  </conditionalFormatting>
  <conditionalFormatting sqref="D526 D531">
    <cfRule type="containsText" dxfId="3039" priority="6499" operator="containsText" text="Pesquisa de Preços">
      <formula>NOT(ISERROR(SEARCH("Pesquisa de Preços",D526)))</formula>
    </cfRule>
  </conditionalFormatting>
  <conditionalFormatting sqref="D519 D524">
    <cfRule type="containsText" dxfId="3038" priority="6497" operator="containsText" text="Pesquisa de Preços">
      <formula>NOT(ISERROR(SEARCH("Pesquisa de Preços",D519)))</formula>
    </cfRule>
  </conditionalFormatting>
  <conditionalFormatting sqref="D547:D548 D553">
    <cfRule type="containsText" dxfId="3037" priority="6496" operator="containsText" text="Pesquisa de Preços">
      <formula>NOT(ISERROR(SEARCH("Pesquisa de Preços",D547)))</formula>
    </cfRule>
  </conditionalFormatting>
  <conditionalFormatting sqref="D549:D551">
    <cfRule type="containsText" dxfId="3036" priority="6495" operator="containsText" text="Pesquisa de Preços">
      <formula>NOT(ISERROR(SEARCH("Pesquisa de Preços",D549)))</formula>
    </cfRule>
  </conditionalFormatting>
  <conditionalFormatting sqref="D555:D556 D560:D561">
    <cfRule type="containsText" dxfId="3035" priority="6494" operator="containsText" text="Pesquisa de Preços">
      <formula>NOT(ISERROR(SEARCH("Pesquisa de Preços",D555)))</formula>
    </cfRule>
  </conditionalFormatting>
  <conditionalFormatting sqref="D558:D559">
    <cfRule type="containsText" dxfId="3034" priority="6493" operator="containsText" text="Pesquisa de Preços">
      <formula>NOT(ISERROR(SEARCH("Pesquisa de Preços",D558)))</formula>
    </cfRule>
  </conditionalFormatting>
  <conditionalFormatting sqref="D539:D540 D544:D545">
    <cfRule type="containsText" dxfId="3033" priority="6492" operator="containsText" text="Pesquisa de Preços">
      <formula>NOT(ISERROR(SEARCH("Pesquisa de Preços",D539)))</formula>
    </cfRule>
  </conditionalFormatting>
  <conditionalFormatting sqref="D541:D543">
    <cfRule type="containsText" dxfId="3032" priority="6491" operator="containsText" text="Pesquisa de Preços">
      <formula>NOT(ISERROR(SEARCH("Pesquisa de Preços",D541)))</formula>
    </cfRule>
  </conditionalFormatting>
  <conditionalFormatting sqref="D563:D564 D568:D569">
    <cfRule type="containsText" dxfId="3031" priority="6490" operator="containsText" text="Pesquisa de Preços">
      <formula>NOT(ISERROR(SEARCH("Pesquisa de Preços",D563)))</formula>
    </cfRule>
  </conditionalFormatting>
  <conditionalFormatting sqref="D565:D567">
    <cfRule type="containsText" dxfId="3030" priority="6489" operator="containsText" text="Pesquisa de Preços">
      <formula>NOT(ISERROR(SEARCH("Pesquisa de Preços",D565)))</formula>
    </cfRule>
  </conditionalFormatting>
  <conditionalFormatting sqref="D571:D572">
    <cfRule type="containsText" dxfId="3029" priority="6488" operator="containsText" text="Pesquisa de Preços">
      <formula>NOT(ISERROR(SEARCH("Pesquisa de Preços",D571)))</formula>
    </cfRule>
  </conditionalFormatting>
  <conditionalFormatting sqref="D581:D582 D585:D588">
    <cfRule type="containsText" dxfId="3028" priority="6487" operator="containsText" text="Pesquisa de Preços">
      <formula>NOT(ISERROR(SEARCH("Pesquisa de Preços",D581)))</formula>
    </cfRule>
  </conditionalFormatting>
  <conditionalFormatting sqref="D583:D584">
    <cfRule type="containsText" dxfId="3027" priority="6486" operator="containsText" text="Pesquisa de Preços">
      <formula>NOT(ISERROR(SEARCH("Pesquisa de Preços",D583)))</formula>
    </cfRule>
  </conditionalFormatting>
  <conditionalFormatting sqref="D623 D628:D629">
    <cfRule type="containsText" dxfId="3026" priority="6485" operator="containsText" text="Pesquisa de Preços">
      <formula>NOT(ISERROR(SEARCH("Pesquisa de Preços",D623)))</formula>
    </cfRule>
  </conditionalFormatting>
  <conditionalFormatting sqref="D759:D765">
    <cfRule type="containsText" dxfId="3025" priority="6470" operator="containsText" text="Pesquisa de Preços">
      <formula>NOT(ISERROR(SEARCH("Pesquisa de Preços",D759)))</formula>
    </cfRule>
  </conditionalFormatting>
  <conditionalFormatting sqref="D690:D692">
    <cfRule type="containsText" dxfId="3024" priority="6481" operator="containsText" text="Pesquisa de Preços">
      <formula>NOT(ISERROR(SEARCH("Pesquisa de Preços",D690)))</formula>
    </cfRule>
  </conditionalFormatting>
  <conditionalFormatting sqref="D725">
    <cfRule type="containsText" dxfId="3023" priority="6478" operator="containsText" text="Pesquisa de Preços">
      <formula>NOT(ISERROR(SEARCH("Pesquisa de Preços",D725)))</formula>
    </cfRule>
  </conditionalFormatting>
  <conditionalFormatting sqref="D768">
    <cfRule type="containsText" dxfId="3022" priority="6465" operator="containsText" text="Pesquisa de Preços">
      <formula>NOT(ISERROR(SEARCH("Pesquisa de Preços",D768)))</formula>
    </cfRule>
  </conditionalFormatting>
  <conditionalFormatting sqref="D746:D747">
    <cfRule type="containsText" dxfId="3021" priority="6477" operator="containsText" text="Pesquisa de Preços">
      <formula>NOT(ISERROR(SEARCH("Pesquisa de Preços",D746)))</formula>
    </cfRule>
  </conditionalFormatting>
  <conditionalFormatting sqref="D752:D753">
    <cfRule type="containsText" dxfId="3020" priority="6472" operator="containsText" text="Pesquisa de Preços">
      <formula>NOT(ISERROR(SEARCH("Pesquisa de Preços",D752)))</formula>
    </cfRule>
  </conditionalFormatting>
  <conditionalFormatting sqref="D949">
    <cfRule type="containsText" dxfId="3019" priority="6452" operator="containsText" text="Pesquisa de Preços">
      <formula>NOT(ISERROR(SEARCH("Pesquisa de Preços",D949)))</formula>
    </cfRule>
  </conditionalFormatting>
  <conditionalFormatting sqref="D820 D823">
    <cfRule type="containsText" dxfId="3018" priority="6466" operator="containsText" text="Pesquisa de Preços">
      <formula>NOT(ISERROR(SEARCH("Pesquisa de Preços",D820)))</formula>
    </cfRule>
  </conditionalFormatting>
  <conditionalFormatting sqref="D985:D989">
    <cfRule type="containsText" dxfId="3017" priority="6448" operator="containsText" text="Pesquisa de Preços">
      <formula>NOT(ISERROR(SEARCH("Pesquisa de Preços",D985)))</formula>
    </cfRule>
  </conditionalFormatting>
  <conditionalFormatting sqref="D185:D186">
    <cfRule type="containsText" dxfId="3016" priority="6464" operator="containsText" text="Pesquisa de Preços">
      <formula>NOT(ISERROR(SEARCH("Pesquisa de Preços",D185)))</formula>
    </cfRule>
  </conditionalFormatting>
  <conditionalFormatting sqref="D1017:D1019">
    <cfRule type="containsText" dxfId="3015" priority="6444" operator="containsText" text="Pesquisa de Preços">
      <formula>NOT(ISERROR(SEARCH("Pesquisa de Preços",D1017)))</formula>
    </cfRule>
  </conditionalFormatting>
  <conditionalFormatting sqref="D187:D189">
    <cfRule type="containsText" dxfId="3014" priority="6463" operator="containsText" text="Pesquisa de Preços">
      <formula>NOT(ISERROR(SEARCH("Pesquisa de Preços",D187)))</formula>
    </cfRule>
  </conditionalFormatting>
  <conditionalFormatting sqref="D841 D844:D845">
    <cfRule type="containsText" dxfId="3013" priority="6462" operator="containsText" text="Pesquisa de Preços">
      <formula>NOT(ISERROR(SEARCH("Pesquisa de Preços",D841)))</formula>
    </cfRule>
  </conditionalFormatting>
  <conditionalFormatting sqref="D843">
    <cfRule type="containsText" dxfId="3012" priority="6461" operator="containsText" text="Pesquisa de Preços">
      <formula>NOT(ISERROR(SEARCH("Pesquisa de Preços",D843)))</formula>
    </cfRule>
  </conditionalFormatting>
  <conditionalFormatting sqref="D915:D920">
    <cfRule type="containsText" dxfId="3011" priority="6460" operator="containsText" text="Pesquisa de Preços">
      <formula>NOT(ISERROR(SEARCH("Pesquisa de Preços",D915)))</formula>
    </cfRule>
  </conditionalFormatting>
  <conditionalFormatting sqref="D940:D945">
    <cfRule type="containsText" dxfId="3010" priority="6459" operator="containsText" text="Pesquisa de Preços">
      <formula>NOT(ISERROR(SEARCH("Pesquisa de Preços",D940)))</formula>
    </cfRule>
  </conditionalFormatting>
  <conditionalFormatting sqref="D931">
    <cfRule type="containsText" dxfId="3009" priority="6458" operator="containsText" text="Pesquisa de Preços">
      <formula>NOT(ISERROR(SEARCH("Pesquisa de Preços",D931)))</formula>
    </cfRule>
  </conditionalFormatting>
  <conditionalFormatting sqref="D924 D929">
    <cfRule type="containsText" dxfId="3008" priority="6457" operator="containsText" text="Pesquisa de Preços">
      <formula>NOT(ISERROR(SEARCH("Pesquisa de Preços",D924)))</formula>
    </cfRule>
  </conditionalFormatting>
  <conditionalFormatting sqref="D970:D971">
    <cfRule type="containsText" dxfId="3007" priority="6455" operator="containsText" text="Pesquisa de Preços">
      <formula>NOT(ISERROR(SEARCH("Pesquisa de Preços",D970)))</formula>
    </cfRule>
  </conditionalFormatting>
  <conditionalFormatting sqref="D968:D969">
    <cfRule type="containsText" dxfId="3006" priority="6456" operator="containsText" text="Pesquisa de Preços">
      <formula>NOT(ISERROR(SEARCH("Pesquisa de Preços",D968)))</formula>
    </cfRule>
  </conditionalFormatting>
  <conditionalFormatting sqref="D961">
    <cfRule type="containsText" dxfId="3005" priority="6454" operator="containsText" text="Pesquisa de Preços">
      <formula>NOT(ISERROR(SEARCH("Pesquisa de Preços",D961)))</formula>
    </cfRule>
  </conditionalFormatting>
  <conditionalFormatting sqref="D955 D959">
    <cfRule type="containsText" dxfId="3004" priority="6453" operator="containsText" text="Pesquisa de Preços">
      <formula>NOT(ISERROR(SEARCH("Pesquisa de Preços",D955)))</formula>
    </cfRule>
  </conditionalFormatting>
  <conditionalFormatting sqref="D975:D976 D979:D980">
    <cfRule type="containsText" dxfId="3003" priority="6451" operator="containsText" text="Pesquisa de Preços">
      <formula>NOT(ISERROR(SEARCH("Pesquisa de Preços",D975)))</formula>
    </cfRule>
  </conditionalFormatting>
  <conditionalFormatting sqref="D977">
    <cfRule type="containsText" dxfId="3002" priority="6450" operator="containsText" text="Pesquisa de Preços">
      <formula>NOT(ISERROR(SEARCH("Pesquisa de Preços",D977)))</formula>
    </cfRule>
  </conditionalFormatting>
  <conditionalFormatting sqref="D982:D983 D990:D991">
    <cfRule type="containsText" dxfId="3001" priority="6449" operator="containsText" text="Pesquisa de Preços">
      <formula>NOT(ISERROR(SEARCH("Pesquisa de Preços",D982)))</formula>
    </cfRule>
  </conditionalFormatting>
  <conditionalFormatting sqref="D993:D994 D1001:D1002">
    <cfRule type="containsText" dxfId="3000" priority="6447" operator="containsText" text="Pesquisa de Preços">
      <formula>NOT(ISERROR(SEARCH("Pesquisa de Preços",D993)))</formula>
    </cfRule>
  </conditionalFormatting>
  <conditionalFormatting sqref="D996:D997 D999:D1000">
    <cfRule type="containsText" dxfId="2999" priority="6446" operator="containsText" text="Pesquisa de Preços">
      <formula>NOT(ISERROR(SEARCH("Pesquisa de Preços",D996)))</formula>
    </cfRule>
  </conditionalFormatting>
  <conditionalFormatting sqref="D1014:D1015 D1020:D1021">
    <cfRule type="containsText" dxfId="2998" priority="6445" operator="containsText" text="Pesquisa de Preços">
      <formula>NOT(ISERROR(SEARCH("Pesquisa de Preços",D1014)))</formula>
    </cfRule>
  </conditionalFormatting>
  <conditionalFormatting sqref="D1004:D1005">
    <cfRule type="containsText" dxfId="2997" priority="6443" operator="containsText" text="Pesquisa de Preços">
      <formula>NOT(ISERROR(SEARCH("Pesquisa de Preços",D1004)))</formula>
    </cfRule>
  </conditionalFormatting>
  <conditionalFormatting sqref="D1009:D1010">
    <cfRule type="containsText" dxfId="2996" priority="6442" operator="containsText" text="Pesquisa de Preços">
      <formula>NOT(ISERROR(SEARCH("Pesquisa de Preços",D1009)))</formula>
    </cfRule>
  </conditionalFormatting>
  <conditionalFormatting sqref="D1028:D1029 D1036">
    <cfRule type="containsText" dxfId="2995" priority="6441" operator="containsText" text="Pesquisa de Preços">
      <formula>NOT(ISERROR(SEARCH("Pesquisa de Preços",D1028)))</formula>
    </cfRule>
  </conditionalFormatting>
  <conditionalFormatting sqref="D1031:D1033">
    <cfRule type="containsText" dxfId="2994" priority="6440" operator="containsText" text="Pesquisa de Preços">
      <formula>NOT(ISERROR(SEARCH("Pesquisa de Preços",D1031)))</formula>
    </cfRule>
  </conditionalFormatting>
  <conditionalFormatting sqref="D1038:D1039 D1044:D1045">
    <cfRule type="containsText" dxfId="2993" priority="6439" operator="containsText" text="Pesquisa de Preços">
      <formula>NOT(ISERROR(SEARCH("Pesquisa de Preços",D1038)))</formula>
    </cfRule>
  </conditionalFormatting>
  <conditionalFormatting sqref="D1023:D1024">
    <cfRule type="containsText" dxfId="2992" priority="6438" operator="containsText" text="Pesquisa de Preços">
      <formula>NOT(ISERROR(SEARCH("Pesquisa de Preços",D1023)))</formula>
    </cfRule>
  </conditionalFormatting>
  <conditionalFormatting sqref="D1025">
    <cfRule type="containsText" dxfId="2991" priority="6437" operator="containsText" text="Pesquisa de Preços">
      <formula>NOT(ISERROR(SEARCH("Pesquisa de Preços",D1025)))</formula>
    </cfRule>
  </conditionalFormatting>
  <conditionalFormatting sqref="D1100:D1101 D1108">
    <cfRule type="containsText" dxfId="2990" priority="6436" operator="containsText" text="Pesquisa de Preços">
      <formula>NOT(ISERROR(SEARCH("Pesquisa de Preços",D1100)))</formula>
    </cfRule>
  </conditionalFormatting>
  <conditionalFormatting sqref="D1047:D1048 D1051:D1052">
    <cfRule type="containsText" dxfId="2989" priority="6435" operator="containsText" text="Pesquisa de Preços">
      <formula>NOT(ISERROR(SEARCH("Pesquisa de Preços",D1047)))</formula>
    </cfRule>
  </conditionalFormatting>
  <conditionalFormatting sqref="D1049:D1050">
    <cfRule type="containsText" dxfId="2988" priority="6434" operator="containsText" text="Pesquisa de Preços">
      <formula>NOT(ISERROR(SEARCH("Pesquisa de Preços",D1049)))</formula>
    </cfRule>
  </conditionalFormatting>
  <conditionalFormatting sqref="D1061:D1062 D1066">
    <cfRule type="containsText" dxfId="2987" priority="6433" operator="containsText" text="Pesquisa de Preços">
      <formula>NOT(ISERROR(SEARCH("Pesquisa de Preços",D1061)))</formula>
    </cfRule>
  </conditionalFormatting>
  <conditionalFormatting sqref="D1092:D1093 D1098">
    <cfRule type="containsText" dxfId="2986" priority="6432" operator="containsText" text="Pesquisa de Preços">
      <formula>NOT(ISERROR(SEARCH("Pesquisa de Preços",D1092)))</formula>
    </cfRule>
  </conditionalFormatting>
  <conditionalFormatting sqref="D1054:D1055">
    <cfRule type="containsText" dxfId="2985" priority="6430" operator="containsText" text="Pesquisa de Preços">
      <formula>NOT(ISERROR(SEARCH("Pesquisa de Preços",D1054)))</formula>
    </cfRule>
  </conditionalFormatting>
  <conditionalFormatting sqref="D1056:D1058">
    <cfRule type="containsText" dxfId="2984" priority="6429" operator="containsText" text="Pesquisa de Preços">
      <formula>NOT(ISERROR(SEARCH("Pesquisa de Preços",D1056)))</formula>
    </cfRule>
  </conditionalFormatting>
  <conditionalFormatting sqref="D1068">
    <cfRule type="containsText" dxfId="2983" priority="6428" operator="containsText" text="Pesquisa de Preços">
      <formula>NOT(ISERROR(SEARCH("Pesquisa de Preços",D1068)))</formula>
    </cfRule>
  </conditionalFormatting>
  <conditionalFormatting sqref="D1084 D1090">
    <cfRule type="containsText" dxfId="2982" priority="6427" operator="containsText" text="Pesquisa de Preços">
      <formula>NOT(ISERROR(SEARCH("Pesquisa de Preços",D1084)))</formula>
    </cfRule>
  </conditionalFormatting>
  <conditionalFormatting sqref="D1075 D1082">
    <cfRule type="containsText" dxfId="2981" priority="6426" operator="containsText" text="Pesquisa de Preços">
      <formula>NOT(ISERROR(SEARCH("Pesquisa de Preços",D1075)))</formula>
    </cfRule>
  </conditionalFormatting>
  <conditionalFormatting sqref="D1123:D1124">
    <cfRule type="containsText" dxfId="2980" priority="6425" operator="containsText" text="Pesquisa de Preços">
      <formula>NOT(ISERROR(SEARCH("Pesquisa de Preços",D1123)))</formula>
    </cfRule>
  </conditionalFormatting>
  <conditionalFormatting sqref="D1118:D1119">
    <cfRule type="containsText" dxfId="2979" priority="6424" operator="containsText" text="Pesquisa de Preços">
      <formula>NOT(ISERROR(SEARCH("Pesquisa de Preços",D1118)))</formula>
    </cfRule>
  </conditionalFormatting>
  <conditionalFormatting sqref="D1245">
    <cfRule type="containsText" dxfId="2978" priority="6423" operator="containsText" text="Pesquisa de Preços">
      <formula>NOT(ISERROR(SEARCH("Pesquisa de Preços",D1245)))</formula>
    </cfRule>
  </conditionalFormatting>
  <conditionalFormatting sqref="D1235:D1236 D1239">
    <cfRule type="containsText" dxfId="2977" priority="6422" operator="containsText" text="Pesquisa de Preços">
      <formula>NOT(ISERROR(SEARCH("Pesquisa de Preços",D1235)))</formula>
    </cfRule>
  </conditionalFormatting>
  <conditionalFormatting sqref="D1229:D1230 D1233">
    <cfRule type="containsText" dxfId="2976" priority="6421" operator="containsText" text="Pesquisa de Preços">
      <formula>NOT(ISERROR(SEARCH("Pesquisa de Preços",D1229)))</formula>
    </cfRule>
  </conditionalFormatting>
  <conditionalFormatting sqref="D1223:D1224 D1227">
    <cfRule type="containsText" dxfId="2975" priority="6420" operator="containsText" text="Pesquisa de Preços">
      <formula>NOT(ISERROR(SEARCH("Pesquisa de Preços",D1223)))</formula>
    </cfRule>
  </conditionalFormatting>
  <conditionalFormatting sqref="D1139:D1140 D1143:D1144">
    <cfRule type="containsText" dxfId="2974" priority="6419" operator="containsText" text="Pesquisa de Preços">
      <formula>NOT(ISERROR(SEARCH("Pesquisa de Preços",D1139)))</formula>
    </cfRule>
  </conditionalFormatting>
  <conditionalFormatting sqref="D1128:D1129 D1131:D1132">
    <cfRule type="containsText" dxfId="2973" priority="6418" operator="containsText" text="Pesquisa de Preços">
      <formula>NOT(ISERROR(SEARCH("Pesquisa de Preços",D1128)))</formula>
    </cfRule>
  </conditionalFormatting>
  <conditionalFormatting sqref="D1261 D1266">
    <cfRule type="containsText" dxfId="2972" priority="6417" operator="containsText" text="Pesquisa de Preços">
      <formula>NOT(ISERROR(SEARCH("Pesquisa de Preços",D1261)))</formula>
    </cfRule>
  </conditionalFormatting>
  <conditionalFormatting sqref="D1247:D1248 D1251:D1252">
    <cfRule type="containsText" dxfId="2971" priority="6416" operator="containsText" text="Pesquisa de Preços">
      <formula>NOT(ISERROR(SEARCH("Pesquisa de Preços",D1247)))</formula>
    </cfRule>
  </conditionalFormatting>
  <conditionalFormatting sqref="D1153:D1154 D1157:D1158">
    <cfRule type="containsText" dxfId="2970" priority="6415" operator="containsText" text="Pesquisa de Preços">
      <formula>NOT(ISERROR(SEARCH("Pesquisa de Preços",D1153)))</formula>
    </cfRule>
  </conditionalFormatting>
  <conditionalFormatting sqref="D1188:D1189 D1192:D1193">
    <cfRule type="containsText" dxfId="2969" priority="6414" operator="containsText" text="Pesquisa de Preços">
      <formula>NOT(ISERROR(SEARCH("Pesquisa de Preços",D1188)))</formula>
    </cfRule>
  </conditionalFormatting>
  <conditionalFormatting sqref="D1195:D1196 D1199:D1200">
    <cfRule type="containsText" dxfId="2968" priority="6413" operator="containsText" text="Pesquisa de Preços">
      <formula>NOT(ISERROR(SEARCH("Pesquisa de Preços",D1195)))</formula>
    </cfRule>
  </conditionalFormatting>
  <conditionalFormatting sqref="D1202:D1203 D1206:D1207">
    <cfRule type="containsText" dxfId="2967" priority="6412" operator="containsText" text="Pesquisa de Preços">
      <formula>NOT(ISERROR(SEARCH("Pesquisa de Preços",D1202)))</formula>
    </cfRule>
  </conditionalFormatting>
  <conditionalFormatting sqref="D1181:D1182 D1185:D1186">
    <cfRule type="containsText" dxfId="2966" priority="6411" operator="containsText" text="Pesquisa de Preços">
      <formula>NOT(ISERROR(SEARCH("Pesquisa de Preços",D1181)))</formula>
    </cfRule>
  </conditionalFormatting>
  <conditionalFormatting sqref="D1146:D1147 D1151">
    <cfRule type="containsText" dxfId="2965" priority="6410" operator="containsText" text="Pesquisa de Preços">
      <formula>NOT(ISERROR(SEARCH("Pesquisa de Preços",D1146)))</formula>
    </cfRule>
  </conditionalFormatting>
  <conditionalFormatting sqref="D1149">
    <cfRule type="containsText" dxfId="2964" priority="6409" operator="containsText" text="Pesquisa de Preços">
      <formula>NOT(ISERROR(SEARCH("Pesquisa de Preços",D1149)))</formula>
    </cfRule>
  </conditionalFormatting>
  <conditionalFormatting sqref="D1167:D1168 D1171:D1172">
    <cfRule type="containsText" dxfId="2963" priority="6408" operator="containsText" text="Pesquisa de Preços">
      <formula>NOT(ISERROR(SEARCH("Pesquisa de Preços",D1167)))</formula>
    </cfRule>
  </conditionalFormatting>
  <conditionalFormatting sqref="D1174 D1179">
    <cfRule type="containsText" dxfId="2962" priority="6407" operator="containsText" text="Pesquisa de Preços">
      <formula>NOT(ISERROR(SEARCH("Pesquisa de Preços",D1174)))</formula>
    </cfRule>
  </conditionalFormatting>
  <conditionalFormatting sqref="D1209:D1210 D1214">
    <cfRule type="containsText" dxfId="2961" priority="6406" operator="containsText" text="Pesquisa de Preços">
      <formula>NOT(ISERROR(SEARCH("Pesquisa de Preços",D1209)))</formula>
    </cfRule>
  </conditionalFormatting>
  <conditionalFormatting sqref="D1134">
    <cfRule type="containsText" dxfId="2960" priority="6405" operator="containsText" text="Pesquisa de Preços">
      <formula>NOT(ISERROR(SEARCH("Pesquisa de Preços",D1134)))</formula>
    </cfRule>
  </conditionalFormatting>
  <conditionalFormatting sqref="D1268:D1269 D1271:D1272">
    <cfRule type="containsText" dxfId="2959" priority="6404" operator="containsText" text="Pesquisa de Preços">
      <formula>NOT(ISERROR(SEARCH("Pesquisa de Preços",D1268)))</formula>
    </cfRule>
  </conditionalFormatting>
  <conditionalFormatting sqref="D1270">
    <cfRule type="containsText" dxfId="2958" priority="6403" operator="containsText" text="Pesquisa de Preços">
      <formula>NOT(ISERROR(SEARCH("Pesquisa de Preços",D1270)))</formula>
    </cfRule>
  </conditionalFormatting>
  <conditionalFormatting sqref="D1302:D1303 D1307:D1308">
    <cfRule type="containsText" dxfId="2957" priority="6402" operator="containsText" text="Pesquisa de Preços">
      <formula>NOT(ISERROR(SEARCH("Pesquisa de Preços",D1302)))</formula>
    </cfRule>
  </conditionalFormatting>
  <conditionalFormatting sqref="D1304:D1305">
    <cfRule type="containsText" dxfId="2956" priority="6401" operator="containsText" text="Pesquisa de Preços">
      <formula>NOT(ISERROR(SEARCH("Pesquisa de Preços",D1304)))</formula>
    </cfRule>
  </conditionalFormatting>
  <conditionalFormatting sqref="D1310 D1316:D1317">
    <cfRule type="containsText" dxfId="2955" priority="6400" operator="containsText" text="Pesquisa de Preços">
      <formula>NOT(ISERROR(SEARCH("Pesquisa de Preços",D1310)))</formula>
    </cfRule>
  </conditionalFormatting>
  <conditionalFormatting sqref="D1400:D1401 D1404:D1405">
    <cfRule type="containsText" dxfId="2954" priority="6384" operator="containsText" text="Pesquisa de Preços">
      <formula>NOT(ISERROR(SEARCH("Pesquisa de Preços",D1400)))</formula>
    </cfRule>
  </conditionalFormatting>
  <conditionalFormatting sqref="D1274:D1275">
    <cfRule type="containsText" dxfId="2953" priority="6399" operator="containsText" text="Pesquisa de Preços">
      <formula>NOT(ISERROR(SEARCH("Pesquisa de Preços",D1274)))</formula>
    </cfRule>
  </conditionalFormatting>
  <conditionalFormatting sqref="D1276:D1278">
    <cfRule type="containsText" dxfId="2952" priority="6398" operator="containsText" text="Pesquisa de Preços">
      <formula>NOT(ISERROR(SEARCH("Pesquisa de Preços",D1276)))</formula>
    </cfRule>
  </conditionalFormatting>
  <conditionalFormatting sqref="D1281:D1282 D1286">
    <cfRule type="containsText" dxfId="2951" priority="6397" operator="containsText" text="Pesquisa de Preços">
      <formula>NOT(ISERROR(SEARCH("Pesquisa de Preços",D1281)))</formula>
    </cfRule>
  </conditionalFormatting>
  <conditionalFormatting sqref="D1288:D1289 D1293">
    <cfRule type="containsText" dxfId="2950" priority="6396" operator="containsText" text="Pesquisa de Preços">
      <formula>NOT(ISERROR(SEARCH("Pesquisa de Preços",D1288)))</formula>
    </cfRule>
  </conditionalFormatting>
  <conditionalFormatting sqref="D1295 D1298 D1300">
    <cfRule type="containsText" dxfId="2949" priority="6395" operator="containsText" text="Pesquisa de Preços">
      <formula>NOT(ISERROR(SEARCH("Pesquisa de Preços",D1295)))</formula>
    </cfRule>
  </conditionalFormatting>
  <conditionalFormatting sqref="D1377">
    <cfRule type="containsText" dxfId="2948" priority="6377" operator="containsText" text="Pesquisa de Preços">
      <formula>NOT(ISERROR(SEARCH("Pesquisa de Preços",D1377)))</formula>
    </cfRule>
  </conditionalFormatting>
  <conditionalFormatting sqref="D1331:D1332">
    <cfRule type="containsText" dxfId="2947" priority="6393" operator="containsText" text="Pesquisa de Preços">
      <formula>NOT(ISERROR(SEARCH("Pesquisa de Preços",D1331)))</formula>
    </cfRule>
  </conditionalFormatting>
  <conditionalFormatting sqref="D1337:D1338">
    <cfRule type="containsText" dxfId="2946" priority="6394" operator="containsText" text="Pesquisa de Preços">
      <formula>NOT(ISERROR(SEARCH("Pesquisa de Preços",D1337)))</formula>
    </cfRule>
  </conditionalFormatting>
  <conditionalFormatting sqref="D1319:D1320">
    <cfRule type="containsText" dxfId="2945" priority="6391" operator="containsText" text="Pesquisa de Preços">
      <formula>NOT(ISERROR(SEARCH("Pesquisa de Preços",D1319)))</formula>
    </cfRule>
  </conditionalFormatting>
  <conditionalFormatting sqref="D1325:D1326">
    <cfRule type="containsText" dxfId="2944" priority="6392" operator="containsText" text="Pesquisa de Preços">
      <formula>NOT(ISERROR(SEARCH("Pesquisa de Preços",D1325)))</formula>
    </cfRule>
  </conditionalFormatting>
  <conditionalFormatting sqref="D1343:D1344 D1347:D1348">
    <cfRule type="containsText" dxfId="2943" priority="6390" operator="containsText" text="Pesquisa de Preços">
      <formula>NOT(ISERROR(SEARCH("Pesquisa de Preços",D1343)))</formula>
    </cfRule>
  </conditionalFormatting>
  <conditionalFormatting sqref="D1516">
    <cfRule type="containsText" dxfId="2942" priority="6369" operator="containsText" text="Pesquisa de Preços">
      <formula>NOT(ISERROR(SEARCH("Pesquisa de Preços",D1516)))</formula>
    </cfRule>
  </conditionalFormatting>
  <conditionalFormatting sqref="D1345:D1346">
    <cfRule type="containsText" dxfId="2941" priority="6389" operator="containsText" text="Pesquisa de Preços">
      <formula>NOT(ISERROR(SEARCH("Pesquisa de Preços",D1345)))</formula>
    </cfRule>
  </conditionalFormatting>
  <conditionalFormatting sqref="D1356:D1357 D1360:D1361">
    <cfRule type="containsText" dxfId="2940" priority="6388" operator="containsText" text="Pesquisa de Preços">
      <formula>NOT(ISERROR(SEARCH("Pesquisa de Preços",D1356)))</formula>
    </cfRule>
  </conditionalFormatting>
  <conditionalFormatting sqref="D1522">
    <cfRule type="containsText" dxfId="2939" priority="6370" operator="containsText" text="Pesquisa de Preços">
      <formula>NOT(ISERROR(SEARCH("Pesquisa de Preços",D1522)))</formula>
    </cfRule>
  </conditionalFormatting>
  <conditionalFormatting sqref="D1358:D1359">
    <cfRule type="containsText" dxfId="2938" priority="6387" operator="containsText" text="Pesquisa de Preços">
      <formula>NOT(ISERROR(SEARCH("Pesquisa de Preços",D1358)))</formula>
    </cfRule>
  </conditionalFormatting>
  <conditionalFormatting sqref="D1350 D1353:D1354">
    <cfRule type="containsText" dxfId="2937" priority="6386" operator="containsText" text="Pesquisa de Preços">
      <formula>NOT(ISERROR(SEARCH("Pesquisa de Preços",D1350)))</formula>
    </cfRule>
  </conditionalFormatting>
  <conditionalFormatting sqref="D1363 D1366:D1367">
    <cfRule type="containsText" dxfId="2936" priority="6385" operator="containsText" text="Pesquisa de Preços">
      <formula>NOT(ISERROR(SEARCH("Pesquisa de Preços",D1363)))</formula>
    </cfRule>
  </conditionalFormatting>
  <conditionalFormatting sqref="D1402:D1403">
    <cfRule type="containsText" dxfId="2935" priority="6383" operator="containsText" text="Pesquisa de Preços">
      <formula>NOT(ISERROR(SEARCH("Pesquisa de Preços",D1402)))</formula>
    </cfRule>
  </conditionalFormatting>
  <conditionalFormatting sqref="D1391:D1392 D1388:D1389">
    <cfRule type="containsText" dxfId="2934" priority="6382" operator="containsText" text="Pesquisa de Preços">
      <formula>NOT(ISERROR(SEARCH("Pesquisa de Preços",D1388)))</formula>
    </cfRule>
  </conditionalFormatting>
  <conditionalFormatting sqref="D1390">
    <cfRule type="containsText" dxfId="2933" priority="6381" operator="containsText" text="Pesquisa de Preços">
      <formula>NOT(ISERROR(SEARCH("Pesquisa de Preços",D1390)))</formula>
    </cfRule>
  </conditionalFormatting>
  <conditionalFormatting sqref="D1369:D1370 D1372:D1373">
    <cfRule type="containsText" dxfId="2932" priority="6380" operator="containsText" text="Pesquisa de Preços">
      <formula>NOT(ISERROR(SEARCH("Pesquisa de Preços",D1369)))</formula>
    </cfRule>
  </conditionalFormatting>
  <conditionalFormatting sqref="D1371">
    <cfRule type="containsText" dxfId="2931" priority="6379" operator="containsText" text="Pesquisa de Preços">
      <formula>NOT(ISERROR(SEARCH("Pesquisa de Preços",D1371)))</formula>
    </cfRule>
  </conditionalFormatting>
  <conditionalFormatting sqref="D1375:D1376 D1380">
    <cfRule type="containsText" dxfId="2930" priority="6378" operator="containsText" text="Pesquisa de Preços">
      <formula>NOT(ISERROR(SEARCH("Pesquisa de Preços",D1375)))</formula>
    </cfRule>
  </conditionalFormatting>
  <conditionalFormatting sqref="D1382 D1385:D1386">
    <cfRule type="containsText" dxfId="2929" priority="6376" operator="containsText" text="Pesquisa de Preços">
      <formula>NOT(ISERROR(SEARCH("Pesquisa de Preços",D1382)))</formula>
    </cfRule>
  </conditionalFormatting>
  <conditionalFormatting sqref="D1407 D1420">
    <cfRule type="containsText" dxfId="2928" priority="6362" operator="containsText" text="Pesquisa de Preços">
      <formula>NOT(ISERROR(SEARCH("Pesquisa de Preços",D1407)))</formula>
    </cfRule>
  </conditionalFormatting>
  <conditionalFormatting sqref="D1549:D1550">
    <cfRule type="containsText" dxfId="2927" priority="6375" operator="containsText" text="Pesquisa de Preços">
      <formula>NOT(ISERROR(SEARCH("Pesquisa de Preços",D1549)))</formula>
    </cfRule>
  </conditionalFormatting>
  <conditionalFormatting sqref="D1551 D1553">
    <cfRule type="containsText" dxfId="2926" priority="6374" operator="containsText" text="Pesquisa de Preços">
      <formula>NOT(ISERROR(SEARCH("Pesquisa de Preços",D1551)))</formula>
    </cfRule>
  </conditionalFormatting>
  <conditionalFormatting sqref="D1542:D1543">
    <cfRule type="containsText" dxfId="2925" priority="6373" operator="containsText" text="Pesquisa de Preços">
      <formula>NOT(ISERROR(SEARCH("Pesquisa de Preços",D1542)))</formula>
    </cfRule>
  </conditionalFormatting>
  <conditionalFormatting sqref="D1536 D1540">
    <cfRule type="containsText" dxfId="2924" priority="6372" operator="containsText" text="Pesquisa de Preços">
      <formula>NOT(ISERROR(SEARCH("Pesquisa de Preços",D1536)))</formula>
    </cfRule>
  </conditionalFormatting>
  <conditionalFormatting sqref="D1524">
    <cfRule type="containsText" dxfId="2923" priority="6371" operator="containsText" text="Pesquisa de Preços">
      <formula>NOT(ISERROR(SEARCH("Pesquisa de Preços",D1524)))</formula>
    </cfRule>
  </conditionalFormatting>
  <conditionalFormatting sqref="D1556:D1557 D1560:D1561">
    <cfRule type="containsText" dxfId="2922" priority="6365" operator="containsText" text="Pesquisa de Preços">
      <formula>NOT(ISERROR(SEARCH("Pesquisa de Preços",D1556)))</formula>
    </cfRule>
  </conditionalFormatting>
  <conditionalFormatting sqref="D1495">
    <cfRule type="containsText" dxfId="2921" priority="6357" operator="containsText" text="Pesquisa de Preços">
      <formula>NOT(ISERROR(SEARCH("Pesquisa de Preços",D1495)))</formula>
    </cfRule>
  </conditionalFormatting>
  <conditionalFormatting sqref="D1497 D1510">
    <cfRule type="containsText" dxfId="2920" priority="6363" operator="containsText" text="Pesquisa de Preços">
      <formula>NOT(ISERROR(SEARCH("Pesquisa de Preços",D1497)))</formula>
    </cfRule>
  </conditionalFormatting>
  <conditionalFormatting sqref="D1534">
    <cfRule type="containsText" dxfId="2919" priority="6368" operator="containsText" text="Pesquisa de Preços">
      <formula>NOT(ISERROR(SEARCH("Pesquisa de Preços",D1534)))</formula>
    </cfRule>
  </conditionalFormatting>
  <conditionalFormatting sqref="D1563:D1564 D1567:D1568">
    <cfRule type="containsText" dxfId="2918" priority="6367" operator="containsText" text="Pesquisa de Preços">
      <formula>NOT(ISERROR(SEARCH("Pesquisa de Preços",D1563)))</formula>
    </cfRule>
  </conditionalFormatting>
  <conditionalFormatting sqref="D1566">
    <cfRule type="containsText" dxfId="2917" priority="6366" operator="containsText" text="Pesquisa de Preços">
      <formula>NOT(ISERROR(SEARCH("Pesquisa de Preços",D1566)))</formula>
    </cfRule>
  </conditionalFormatting>
  <conditionalFormatting sqref="D1558:D1559">
    <cfRule type="containsText" dxfId="2916" priority="6364" operator="containsText" text="Pesquisa de Preços">
      <formula>NOT(ISERROR(SEARCH("Pesquisa de Preços",D1558)))</formula>
    </cfRule>
  </conditionalFormatting>
  <conditionalFormatting sqref="D1603 D1607:D1608">
    <cfRule type="containsText" dxfId="2915" priority="6340" operator="containsText" text="Pesquisa de Preços">
      <formula>NOT(ISERROR(SEARCH("Pesquisa de Preços",D1603)))</formula>
    </cfRule>
  </conditionalFormatting>
  <conditionalFormatting sqref="D1437 D1450">
    <cfRule type="containsText" dxfId="2914" priority="6361" operator="containsText" text="Pesquisa de Preços">
      <formula>NOT(ISERROR(SEARCH("Pesquisa de Preços",D1437)))</formula>
    </cfRule>
  </conditionalFormatting>
  <conditionalFormatting sqref="D1621 D1625">
    <cfRule type="containsText" dxfId="2913" priority="6346" operator="containsText" text="Pesquisa de Preços">
      <formula>NOT(ISERROR(SEARCH("Pesquisa de Preços",D1621)))</formula>
    </cfRule>
  </conditionalFormatting>
  <conditionalFormatting sqref="D1422 D1435">
    <cfRule type="containsText" dxfId="2912" priority="6360" operator="containsText" text="Pesquisa de Preços">
      <formula>NOT(ISERROR(SEARCH("Pesquisa de Preços",D1422)))</formula>
    </cfRule>
  </conditionalFormatting>
  <conditionalFormatting sqref="D1467 D1480">
    <cfRule type="containsText" dxfId="2911" priority="6359" operator="containsText" text="Pesquisa de Preços">
      <formula>NOT(ISERROR(SEARCH("Pesquisa de Preços",D1467)))</formula>
    </cfRule>
  </conditionalFormatting>
  <conditionalFormatting sqref="D1684 D1687:D1689">
    <cfRule type="containsText" dxfId="2910" priority="6347" operator="containsText" text="Pesquisa de Preços">
      <formula>NOT(ISERROR(SEARCH("Pesquisa de Preços",D1684)))</formula>
    </cfRule>
  </conditionalFormatting>
  <conditionalFormatting sqref="D1465">
    <cfRule type="containsText" dxfId="2909" priority="6358" operator="containsText" text="Pesquisa de Preços">
      <formula>NOT(ISERROR(SEARCH("Pesquisa de Preços",D1465)))</formula>
    </cfRule>
  </conditionalFormatting>
  <conditionalFormatting sqref="D1585 D1589">
    <cfRule type="containsText" dxfId="2908" priority="6352" operator="containsText" text="Pesquisa de Preços">
      <formula>NOT(ISERROR(SEARCH("Pesquisa de Preços",D1585)))</formula>
    </cfRule>
  </conditionalFormatting>
  <conditionalFormatting sqref="D1570:D1571 D1582:D1583">
    <cfRule type="containsText" dxfId="2907" priority="6356" operator="containsText" text="Pesquisa de Preços">
      <formula>NOT(ISERROR(SEARCH("Pesquisa de Preços",D1570)))</formula>
    </cfRule>
  </conditionalFormatting>
  <conditionalFormatting sqref="D1572:D1579 D1581">
    <cfRule type="containsText" dxfId="2906" priority="6355" operator="containsText" text="Pesquisa de Preços">
      <formula>NOT(ISERROR(SEARCH("Pesquisa de Preços",D1572)))</formula>
    </cfRule>
  </conditionalFormatting>
  <conditionalFormatting sqref="D1394:D1395 D1397:D1398">
    <cfRule type="containsText" dxfId="2905" priority="6354" operator="containsText" text="Pesquisa de Preços">
      <formula>NOT(ISERROR(SEARCH("Pesquisa de Preços",D1394)))</formula>
    </cfRule>
  </conditionalFormatting>
  <conditionalFormatting sqref="D1396">
    <cfRule type="containsText" dxfId="2904" priority="6353" operator="containsText" text="Pesquisa de Preços">
      <formula>NOT(ISERROR(SEARCH("Pesquisa de Preços",D1396)))</formula>
    </cfRule>
  </conditionalFormatting>
  <conditionalFormatting sqref="D1627 D1629:D1630">
    <cfRule type="containsText" dxfId="2903" priority="6343" operator="containsText" text="Pesquisa de Preços">
      <formula>NOT(ISERROR(SEARCH("Pesquisa de Preços",D1627)))</formula>
    </cfRule>
  </conditionalFormatting>
  <conditionalFormatting sqref="D1591 D1595">
    <cfRule type="containsText" dxfId="2902" priority="6351" operator="containsText" text="Pesquisa de Preços">
      <formula>NOT(ISERROR(SEARCH("Pesquisa de Preços",D1591)))</formula>
    </cfRule>
  </conditionalFormatting>
  <conditionalFormatting sqref="D1601">
    <cfRule type="containsText" dxfId="2901" priority="6350" operator="containsText" text="Pesquisa de Preços">
      <formula>NOT(ISERROR(SEARCH("Pesquisa de Preços",D1601)))</formula>
    </cfRule>
  </conditionalFormatting>
  <conditionalFormatting sqref="D1638:D1639">
    <cfRule type="containsText" dxfId="2900" priority="6349" operator="containsText" text="Pesquisa de Preços">
      <formula>NOT(ISERROR(SEARCH("Pesquisa de Preços",D1638)))</formula>
    </cfRule>
  </conditionalFormatting>
  <conditionalFormatting sqref="D1640:D1641">
    <cfRule type="containsText" dxfId="2899" priority="6348" operator="containsText" text="Pesquisa de Preços">
      <formula>NOT(ISERROR(SEARCH("Pesquisa de Preços",D1640)))</formula>
    </cfRule>
  </conditionalFormatting>
  <conditionalFormatting sqref="D1615 D1619">
    <cfRule type="containsText" dxfId="2898" priority="6345" operator="containsText" text="Pesquisa de Preços">
      <formula>NOT(ISERROR(SEARCH("Pesquisa de Preços",D1615)))</formula>
    </cfRule>
  </conditionalFormatting>
  <conditionalFormatting sqref="D1610 D1612:D1613">
    <cfRule type="containsText" dxfId="2897" priority="6344" operator="containsText" text="Pesquisa de Preços">
      <formula>NOT(ISERROR(SEARCH("Pesquisa de Preços",D1610)))</formula>
    </cfRule>
  </conditionalFormatting>
  <conditionalFormatting sqref="D1632 D1635:D1636">
    <cfRule type="containsText" dxfId="2896" priority="6342" operator="containsText" text="Pesquisa de Preços">
      <formula>NOT(ISERROR(SEARCH("Pesquisa de Preços",D1632)))</formula>
    </cfRule>
  </conditionalFormatting>
  <conditionalFormatting sqref="D1735:D1736 D1727:D1729">
    <cfRule type="containsText" dxfId="2895" priority="6334" operator="containsText" text="Pesquisa de Preços">
      <formula>NOT(ISERROR(SEARCH("Pesquisa de Preços",D1727)))</formula>
    </cfRule>
  </conditionalFormatting>
  <conditionalFormatting sqref="D1677 D1681:D1682">
    <cfRule type="containsText" dxfId="2894" priority="6341" operator="containsText" text="Pesquisa de Preços">
      <formula>NOT(ISERROR(SEARCH("Pesquisa de Preços",D1677)))</formula>
    </cfRule>
  </conditionalFormatting>
  <conditionalFormatting sqref="D1671 D1674:D1675">
    <cfRule type="containsText" dxfId="2893" priority="6339" operator="containsText" text="Pesquisa de Preços">
      <formula>NOT(ISERROR(SEARCH("Pesquisa de Preços",D1671)))</formula>
    </cfRule>
  </conditionalFormatting>
  <conditionalFormatting sqref="D1666 D1668:D1669">
    <cfRule type="containsText" dxfId="2892" priority="6338" operator="containsText" text="Pesquisa de Preços">
      <formula>NOT(ISERROR(SEARCH("Pesquisa de Preços",D1666)))</formula>
    </cfRule>
  </conditionalFormatting>
  <conditionalFormatting sqref="D1716:D1717 D1724:D1725">
    <cfRule type="containsText" dxfId="2891" priority="6331" operator="containsText" text="Pesquisa de Preços">
      <formula>NOT(ISERROR(SEARCH("Pesquisa de Preços",D1716)))</formula>
    </cfRule>
  </conditionalFormatting>
  <conditionalFormatting sqref="D1661">
    <cfRule type="containsText" dxfId="2890" priority="6336" operator="containsText" text="Pesquisa de Preços">
      <formula>NOT(ISERROR(SEARCH("Pesquisa de Preços",D1661)))</formula>
    </cfRule>
  </conditionalFormatting>
  <conditionalFormatting sqref="D1656">
    <cfRule type="containsText" dxfId="2889" priority="6337" operator="containsText" text="Pesquisa de Preços">
      <formula>NOT(ISERROR(SEARCH("Pesquisa de Preços",D1656)))</formula>
    </cfRule>
  </conditionalFormatting>
  <conditionalFormatting sqref="D1650 D1653:D1654">
    <cfRule type="containsText" dxfId="2888" priority="6335" operator="containsText" text="Pesquisa de Preços">
      <formula>NOT(ISERROR(SEARCH("Pesquisa de Preços",D1650)))</formula>
    </cfRule>
  </conditionalFormatting>
  <conditionalFormatting sqref="D1746:D1747 D1738:D1739">
    <cfRule type="containsText" dxfId="2887" priority="6333" operator="containsText" text="Pesquisa de Preços">
      <formula>NOT(ISERROR(SEARCH("Pesquisa de Preços",D1738)))</formula>
    </cfRule>
  </conditionalFormatting>
  <conditionalFormatting sqref="D1705:D1706 D1714">
    <cfRule type="containsText" dxfId="2886" priority="6332" operator="containsText" text="Pesquisa de Preços">
      <formula>NOT(ISERROR(SEARCH("Pesquisa de Preços",D1705)))</formula>
    </cfRule>
  </conditionalFormatting>
  <conditionalFormatting sqref="D1691:D1692 D1694:D1695">
    <cfRule type="containsText" dxfId="2885" priority="6330" operator="containsText" text="Pesquisa de Preços">
      <formula>NOT(ISERROR(SEARCH("Pesquisa de Preços",D1691)))</formula>
    </cfRule>
  </conditionalFormatting>
  <conditionalFormatting sqref="D1697">
    <cfRule type="containsText" dxfId="2884" priority="6329" operator="containsText" text="Pesquisa de Preços">
      <formula>NOT(ISERROR(SEARCH("Pesquisa de Preços",D1697)))</formula>
    </cfRule>
  </conditionalFormatting>
  <conditionalFormatting sqref="D1700:D1701">
    <cfRule type="containsText" dxfId="2883" priority="6328" operator="containsText" text="Pesquisa de Preços">
      <formula>NOT(ISERROR(SEARCH("Pesquisa de Preços",D1700)))</formula>
    </cfRule>
  </conditionalFormatting>
  <conditionalFormatting sqref="D1810">
    <cfRule type="containsText" dxfId="2882" priority="6327" operator="containsText" text="Pesquisa de Preços">
      <formula>NOT(ISERROR(SEARCH("Pesquisa de Preços",D1810)))</formula>
    </cfRule>
  </conditionalFormatting>
  <conditionalFormatting sqref="D1836">
    <cfRule type="containsText" dxfId="2881" priority="6321" operator="containsText" text="Pesquisa de Preços">
      <formula>NOT(ISERROR(SEARCH("Pesquisa de Preços",D1836)))</formula>
    </cfRule>
  </conditionalFormatting>
  <conditionalFormatting sqref="D1805">
    <cfRule type="containsText" dxfId="2880" priority="6326" operator="containsText" text="Pesquisa de Preços">
      <formula>NOT(ISERROR(SEARCH("Pesquisa de Preços",D1805)))</formula>
    </cfRule>
  </conditionalFormatting>
  <conditionalFormatting sqref="D1815 D1818:D1819">
    <cfRule type="containsText" dxfId="2879" priority="6325" operator="containsText" text="Pesquisa de Preços">
      <formula>NOT(ISERROR(SEARCH("Pesquisa de Preços",D1815)))</formula>
    </cfRule>
  </conditionalFormatting>
  <conditionalFormatting sqref="D1817">
    <cfRule type="containsText" dxfId="2878" priority="6324" operator="containsText" text="Pesquisa de Preços">
      <formula>NOT(ISERROR(SEARCH("Pesquisa de Preços",D1817)))</formula>
    </cfRule>
  </conditionalFormatting>
  <conditionalFormatting sqref="D1821 D1824:D1825">
    <cfRule type="containsText" dxfId="2877" priority="6323" operator="containsText" text="Pesquisa de Preços">
      <formula>NOT(ISERROR(SEARCH("Pesquisa de Preços",D1821)))</formula>
    </cfRule>
  </conditionalFormatting>
  <conditionalFormatting sqref="D1834:D1835 D1837:D1838">
    <cfRule type="containsText" dxfId="2876" priority="6322" operator="containsText" text="Pesquisa de Preços">
      <formula>NOT(ISERROR(SEARCH("Pesquisa de Preços",D1834)))</formula>
    </cfRule>
  </conditionalFormatting>
  <conditionalFormatting sqref="D1840:D1841 D1843:D1844">
    <cfRule type="containsText" dxfId="2875" priority="6320" operator="containsText" text="Pesquisa de Preços">
      <formula>NOT(ISERROR(SEARCH("Pesquisa de Preços",D1840)))</formula>
    </cfRule>
  </conditionalFormatting>
  <conditionalFormatting sqref="D1848">
    <cfRule type="containsText" dxfId="2874" priority="6316" operator="containsText" text="Pesquisa de Preços">
      <formula>NOT(ISERROR(SEARCH("Pesquisa de Preços",D1848)))</formula>
    </cfRule>
  </conditionalFormatting>
  <conditionalFormatting sqref="D1842">
    <cfRule type="containsText" dxfId="2873" priority="6319" operator="containsText" text="Pesquisa de Preços">
      <formula>NOT(ISERROR(SEARCH("Pesquisa de Preços",D1842)))</formula>
    </cfRule>
  </conditionalFormatting>
  <conditionalFormatting sqref="D1827:D1828 D1832">
    <cfRule type="containsText" dxfId="2872" priority="6318" operator="containsText" text="Pesquisa de Preços">
      <formula>NOT(ISERROR(SEARCH("Pesquisa de Preços",D1827)))</formula>
    </cfRule>
  </conditionalFormatting>
  <conditionalFormatting sqref="D1890">
    <cfRule type="containsText" dxfId="2871" priority="6313" operator="containsText" text="Pesquisa de Preços">
      <formula>NOT(ISERROR(SEARCH("Pesquisa de Preços",D1890)))</formula>
    </cfRule>
  </conditionalFormatting>
  <conditionalFormatting sqref="D1846:D1847 D1849:D1850">
    <cfRule type="containsText" dxfId="2870" priority="6317" operator="containsText" text="Pesquisa de Preços">
      <formula>NOT(ISERROR(SEARCH("Pesquisa de Preços",D1846)))</formula>
    </cfRule>
  </conditionalFormatting>
  <conditionalFormatting sqref="D1852 D1856">
    <cfRule type="containsText" dxfId="2869" priority="6315" operator="containsText" text="Pesquisa de Preços">
      <formula>NOT(ISERROR(SEARCH("Pesquisa de Preços",D1852)))</formula>
    </cfRule>
  </conditionalFormatting>
  <conditionalFormatting sqref="D1888:D1889 D1891:D1892">
    <cfRule type="containsText" dxfId="2868" priority="6314" operator="containsText" text="Pesquisa de Preços">
      <formula>NOT(ISERROR(SEARCH("Pesquisa de Preços",D1888)))</formula>
    </cfRule>
  </conditionalFormatting>
  <conditionalFormatting sqref="D1864:D1865 D1867:D1868">
    <cfRule type="containsText" dxfId="2867" priority="6312" operator="containsText" text="Pesquisa de Preços">
      <formula>NOT(ISERROR(SEARCH("Pesquisa de Preços",D1864)))</formula>
    </cfRule>
  </conditionalFormatting>
  <conditionalFormatting sqref="D1866">
    <cfRule type="containsText" dxfId="2866" priority="6311" operator="containsText" text="Pesquisa de Preços">
      <formula>NOT(ISERROR(SEARCH("Pesquisa de Preços",D1866)))</formula>
    </cfRule>
  </conditionalFormatting>
  <conditionalFormatting sqref="D1882 D1886">
    <cfRule type="containsText" dxfId="2865" priority="6310" operator="containsText" text="Pesquisa de Preços">
      <formula>NOT(ISERROR(SEARCH("Pesquisa de Preços",D1882)))</formula>
    </cfRule>
  </conditionalFormatting>
  <conditionalFormatting sqref="D1858:D1859 D1861:D1862">
    <cfRule type="containsText" dxfId="2864" priority="6309" operator="containsText" text="Pesquisa de Preços">
      <formula>NOT(ISERROR(SEARCH("Pesquisa de Preços",D1858)))</formula>
    </cfRule>
  </conditionalFormatting>
  <conditionalFormatting sqref="D1860">
    <cfRule type="containsText" dxfId="2863" priority="6308" operator="containsText" text="Pesquisa de Preços">
      <formula>NOT(ISERROR(SEARCH("Pesquisa de Preços",D1860)))</formula>
    </cfRule>
  </conditionalFormatting>
  <conditionalFormatting sqref="D1870:D1871 D1873:D1874">
    <cfRule type="containsText" dxfId="2862" priority="6307" operator="containsText" text="Pesquisa de Preços">
      <formula>NOT(ISERROR(SEARCH("Pesquisa de Preços",D1870)))</formula>
    </cfRule>
  </conditionalFormatting>
  <conditionalFormatting sqref="D1896">
    <cfRule type="containsText" dxfId="2861" priority="6303" operator="containsText" text="Pesquisa de Preços">
      <formula>NOT(ISERROR(SEARCH("Pesquisa de Preços",D1896)))</formula>
    </cfRule>
  </conditionalFormatting>
  <conditionalFormatting sqref="D1872">
    <cfRule type="containsText" dxfId="2860" priority="6306" operator="containsText" text="Pesquisa de Preços">
      <formula>NOT(ISERROR(SEARCH("Pesquisa de Preços",D1872)))</formula>
    </cfRule>
  </conditionalFormatting>
  <conditionalFormatting sqref="D1876 D1880">
    <cfRule type="containsText" dxfId="2859" priority="6305" operator="containsText" text="Pesquisa de Preços">
      <formula>NOT(ISERROR(SEARCH("Pesquisa de Preços",D1876)))</formula>
    </cfRule>
  </conditionalFormatting>
  <conditionalFormatting sqref="D1921 D1924:D1925">
    <cfRule type="containsText" dxfId="2858" priority="6297" operator="containsText" text="Pesquisa de Preços">
      <formula>NOT(ISERROR(SEARCH("Pesquisa de Preços",D1921)))</formula>
    </cfRule>
  </conditionalFormatting>
  <conditionalFormatting sqref="D1894:D1895 D1897:D1898">
    <cfRule type="containsText" dxfId="2857" priority="6304" operator="containsText" text="Pesquisa de Preços">
      <formula>NOT(ISERROR(SEARCH("Pesquisa de Preços",D1894)))</formula>
    </cfRule>
  </conditionalFormatting>
  <conditionalFormatting sqref="D1902">
    <cfRule type="containsText" dxfId="2856" priority="6301" operator="containsText" text="Pesquisa de Preços">
      <formula>NOT(ISERROR(SEARCH("Pesquisa de Preços",D1902)))</formula>
    </cfRule>
  </conditionalFormatting>
  <conditionalFormatting sqref="D1900:D1901 D1903:D1904">
    <cfRule type="containsText" dxfId="2855" priority="6302" operator="containsText" text="Pesquisa de Preços">
      <formula>NOT(ISERROR(SEARCH("Pesquisa de Preços",D1900)))</formula>
    </cfRule>
  </conditionalFormatting>
  <conditionalFormatting sqref="D1906">
    <cfRule type="containsText" dxfId="2854" priority="6300" operator="containsText" text="Pesquisa de Preços">
      <formula>NOT(ISERROR(SEARCH("Pesquisa de Preços",D1906)))</formula>
    </cfRule>
  </conditionalFormatting>
  <conditionalFormatting sqref="D1916:D1917 D1919">
    <cfRule type="containsText" dxfId="2853" priority="6299" operator="containsText" text="Pesquisa de Preços">
      <formula>NOT(ISERROR(SEARCH("Pesquisa de Preços",D1916)))</formula>
    </cfRule>
  </conditionalFormatting>
  <conditionalFormatting sqref="D1911">
    <cfRule type="containsText" dxfId="2852" priority="6298" operator="containsText" text="Pesquisa de Preços">
      <formula>NOT(ISERROR(SEARCH("Pesquisa de Preços",D1911)))</formula>
    </cfRule>
  </conditionalFormatting>
  <conditionalFormatting sqref="D1944:D1945 D1947:D1948">
    <cfRule type="containsText" dxfId="2851" priority="6296" operator="containsText" text="Pesquisa de Preços">
      <formula>NOT(ISERROR(SEARCH("Pesquisa de Preços",D1944)))</formula>
    </cfRule>
  </conditionalFormatting>
  <conditionalFormatting sqref="D1946">
    <cfRule type="containsText" dxfId="2850" priority="6295" operator="containsText" text="Pesquisa de Preços">
      <formula>NOT(ISERROR(SEARCH("Pesquisa de Preços",D1946)))</formula>
    </cfRule>
  </conditionalFormatting>
  <conditionalFormatting sqref="D1953:D1954">
    <cfRule type="containsText" dxfId="2849" priority="6294" operator="containsText" text="Pesquisa de Preços">
      <formula>NOT(ISERROR(SEARCH("Pesquisa de Preços",D1953)))</formula>
    </cfRule>
  </conditionalFormatting>
  <conditionalFormatting sqref="D1963:D1964 D1968">
    <cfRule type="containsText" dxfId="2848" priority="6291" operator="containsText" text="Pesquisa de Preços">
      <formula>NOT(ISERROR(SEARCH("Pesquisa de Preços",D1963)))</formula>
    </cfRule>
  </conditionalFormatting>
  <conditionalFormatting sqref="D1966">
    <cfRule type="containsText" dxfId="2847" priority="6290" operator="containsText" text="Pesquisa de Preços">
      <formula>NOT(ISERROR(SEARCH("Pesquisa de Preços",D1966)))</formula>
    </cfRule>
  </conditionalFormatting>
  <conditionalFormatting sqref="D1978:D1979 D1983:D1984">
    <cfRule type="containsText" dxfId="2846" priority="6293" operator="containsText" text="Pesquisa de Preços">
      <formula>NOT(ISERROR(SEARCH("Pesquisa de Preços",D1978)))</formula>
    </cfRule>
  </conditionalFormatting>
  <conditionalFormatting sqref="D1970 D1976">
    <cfRule type="containsText" dxfId="2845" priority="6292" operator="containsText" text="Pesquisa de Preços">
      <formula>NOT(ISERROR(SEARCH("Pesquisa de Preços",D1970)))</formula>
    </cfRule>
  </conditionalFormatting>
  <conditionalFormatting sqref="D1956:D1957 D1961">
    <cfRule type="containsText" dxfId="2844" priority="6289" operator="containsText" text="Pesquisa de Preços">
      <formula>NOT(ISERROR(SEARCH("Pesquisa de Preços",D1956)))</formula>
    </cfRule>
  </conditionalFormatting>
  <conditionalFormatting sqref="D1959">
    <cfRule type="containsText" dxfId="2843" priority="6288" operator="containsText" text="Pesquisa de Preços">
      <formula>NOT(ISERROR(SEARCH("Pesquisa de Preços",D1959)))</formula>
    </cfRule>
  </conditionalFormatting>
  <conditionalFormatting sqref="D2007 D2012">
    <cfRule type="containsText" dxfId="2842" priority="6287" operator="containsText" text="Pesquisa de Preços">
      <formula>NOT(ISERROR(SEARCH("Pesquisa de Preços",D2007)))</formula>
    </cfRule>
  </conditionalFormatting>
  <conditionalFormatting sqref="D2002:D2003">
    <cfRule type="containsText" dxfId="2841" priority="6285" operator="containsText" text="Pesquisa de Preços">
      <formula>NOT(ISERROR(SEARCH("Pesquisa de Preços",D2002)))</formula>
    </cfRule>
  </conditionalFormatting>
  <conditionalFormatting sqref="D2000 D2005">
    <cfRule type="containsText" dxfId="2840" priority="6286" operator="containsText" text="Pesquisa de Preços">
      <formula>NOT(ISERROR(SEARCH("Pesquisa de Preços",D2000)))</formula>
    </cfRule>
  </conditionalFormatting>
  <conditionalFormatting sqref="D1995:D1996">
    <cfRule type="containsText" dxfId="2839" priority="6283" operator="containsText" text="Pesquisa de Preços">
      <formula>NOT(ISERROR(SEARCH("Pesquisa de Preços",D1995)))</formula>
    </cfRule>
  </conditionalFormatting>
  <conditionalFormatting sqref="D1993 D1998">
    <cfRule type="containsText" dxfId="2838" priority="6284" operator="containsText" text="Pesquisa de Preços">
      <formula>NOT(ISERROR(SEARCH("Pesquisa de Preços",D1993)))</formula>
    </cfRule>
  </conditionalFormatting>
  <conditionalFormatting sqref="D1986 D1991">
    <cfRule type="containsText" dxfId="2837" priority="6282" operator="containsText" text="Pesquisa de Preços">
      <formula>NOT(ISERROR(SEARCH("Pesquisa de Preços",D1986)))</formula>
    </cfRule>
  </conditionalFormatting>
  <conditionalFormatting sqref="D2132">
    <cfRule type="containsText" dxfId="2836" priority="6281" operator="containsText" text="Pesquisa de Preços">
      <formula>NOT(ISERROR(SEARCH("Pesquisa de Preços",D2132)))</formula>
    </cfRule>
  </conditionalFormatting>
  <conditionalFormatting sqref="D2134:D2135">
    <cfRule type="containsText" dxfId="2835" priority="6280" operator="containsText" text="Pesquisa de Preços">
      <formula>NOT(ISERROR(SEARCH("Pesquisa de Preços",D2134)))</formula>
    </cfRule>
  </conditionalFormatting>
  <conditionalFormatting sqref="D2126">
    <cfRule type="containsText" dxfId="2834" priority="6279" operator="containsText" text="Pesquisa de Preços">
      <formula>NOT(ISERROR(SEARCH("Pesquisa de Preços",D2126)))</formula>
    </cfRule>
  </conditionalFormatting>
  <conditionalFormatting sqref="D2128">
    <cfRule type="containsText" dxfId="2833" priority="6278" operator="containsText" text="Pesquisa de Preços">
      <formula>NOT(ISERROR(SEARCH("Pesquisa de Preços",D2128)))</formula>
    </cfRule>
  </conditionalFormatting>
  <conditionalFormatting sqref="D2120">
    <cfRule type="containsText" dxfId="2832" priority="6277" operator="containsText" text="Pesquisa de Preços">
      <formula>NOT(ISERROR(SEARCH("Pesquisa de Preços",D2120)))</formula>
    </cfRule>
  </conditionalFormatting>
  <conditionalFormatting sqref="D2122">
    <cfRule type="containsText" dxfId="2831" priority="6276" operator="containsText" text="Pesquisa de Preços">
      <formula>NOT(ISERROR(SEARCH("Pesquisa de Preços",D2122)))</formula>
    </cfRule>
  </conditionalFormatting>
  <conditionalFormatting sqref="D2114">
    <cfRule type="containsText" dxfId="2830" priority="6275" operator="containsText" text="Pesquisa de Preços">
      <formula>NOT(ISERROR(SEARCH("Pesquisa de Preços",D2114)))</formula>
    </cfRule>
  </conditionalFormatting>
  <conditionalFormatting sqref="D2116:D2117">
    <cfRule type="containsText" dxfId="2829" priority="6274" operator="containsText" text="Pesquisa de Preços">
      <formula>NOT(ISERROR(SEARCH("Pesquisa de Preços",D2116)))</formula>
    </cfRule>
  </conditionalFormatting>
  <conditionalFormatting sqref="D2146 D2150:D2152">
    <cfRule type="containsText" dxfId="2828" priority="6273" operator="containsText" text="Pesquisa de Preços">
      <formula>NOT(ISERROR(SEARCH("Pesquisa de Preços",D2146)))</formula>
    </cfRule>
  </conditionalFormatting>
  <conditionalFormatting sqref="D2162 D2166:D2168">
    <cfRule type="containsText" dxfId="2827" priority="6272" operator="containsText" text="Pesquisa de Preços">
      <formula>NOT(ISERROR(SEARCH("Pesquisa de Preços",D2162)))</formula>
    </cfRule>
  </conditionalFormatting>
  <conditionalFormatting sqref="D2142:D2144">
    <cfRule type="containsText" dxfId="2826" priority="6271" operator="containsText" text="Pesquisa de Preços">
      <formula>NOT(ISERROR(SEARCH("Pesquisa de Preços",D2142)))</formula>
    </cfRule>
  </conditionalFormatting>
  <conditionalFormatting sqref="D2174:D2176">
    <cfRule type="containsText" dxfId="2825" priority="6270" operator="containsText" text="Pesquisa de Preços">
      <formula>NOT(ISERROR(SEARCH("Pesquisa de Preços",D2174)))</formula>
    </cfRule>
  </conditionalFormatting>
  <conditionalFormatting sqref="D2052 D2056:D2058">
    <cfRule type="containsText" dxfId="2824" priority="6266" operator="containsText" text="Pesquisa de Preços">
      <formula>NOT(ISERROR(SEARCH("Pesquisa de Preços",D2052)))</formula>
    </cfRule>
  </conditionalFormatting>
  <conditionalFormatting sqref="D2158:D2160">
    <cfRule type="containsText" dxfId="2823" priority="6269" operator="containsText" text="Pesquisa de Preços">
      <formula>NOT(ISERROR(SEARCH("Pesquisa de Preços",D2158)))</formula>
    </cfRule>
  </conditionalFormatting>
  <conditionalFormatting sqref="D2182:D2184">
    <cfRule type="containsText" dxfId="2822" priority="6268" operator="containsText" text="Pesquisa de Preços">
      <formula>NOT(ISERROR(SEARCH("Pesquisa de Preços",D2182)))</formula>
    </cfRule>
  </conditionalFormatting>
  <conditionalFormatting sqref="D2236:D2238 D2240">
    <cfRule type="containsText" dxfId="2821" priority="6243" operator="containsText" text="Pesquisa de Preços">
      <formula>NOT(ISERROR(SEARCH("Pesquisa de Preços",D2236)))</formula>
    </cfRule>
  </conditionalFormatting>
  <conditionalFormatting sqref="D2036 D2040:D2042">
    <cfRule type="containsText" dxfId="2820" priority="6267" operator="containsText" text="Pesquisa de Preços">
      <formula>NOT(ISERROR(SEARCH("Pesquisa de Preços",D2036)))</formula>
    </cfRule>
  </conditionalFormatting>
  <conditionalFormatting sqref="D2044 D2048:D2050">
    <cfRule type="containsText" dxfId="2819" priority="6263" operator="containsText" text="Pesquisa de Preços">
      <formula>NOT(ISERROR(SEARCH("Pesquisa de Preços",D2044)))</formula>
    </cfRule>
  </conditionalFormatting>
  <conditionalFormatting sqref="D2329:D2330 D2332:D2333">
    <cfRule type="containsText" dxfId="2818" priority="6238" operator="containsText" text="Pesquisa de Preços">
      <formula>NOT(ISERROR(SEARCH("Pesquisa de Preços",D2329)))</formula>
    </cfRule>
  </conditionalFormatting>
  <conditionalFormatting sqref="D2028 D2032:D2034">
    <cfRule type="containsText" dxfId="2817" priority="6265" operator="containsText" text="Pesquisa de Preços">
      <formula>NOT(ISERROR(SEARCH("Pesquisa de Preços",D2028)))</formula>
    </cfRule>
  </conditionalFormatting>
  <conditionalFormatting sqref="D2060 D2064:D2066">
    <cfRule type="containsText" dxfId="2816" priority="6264" operator="containsText" text="Pesquisa de Preços">
      <formula>NOT(ISERROR(SEARCH("Pesquisa de Preços",D2060)))</formula>
    </cfRule>
  </conditionalFormatting>
  <conditionalFormatting sqref="D2308">
    <cfRule type="containsText" dxfId="2815" priority="6240" operator="containsText" text="Pesquisa de Preços">
      <formula>NOT(ISERROR(SEARCH("Pesquisa de Preços",D2308)))</formula>
    </cfRule>
  </conditionalFormatting>
  <conditionalFormatting sqref="D2325">
    <cfRule type="containsText" dxfId="2814" priority="6235" operator="containsText" text="Pesquisa de Preços">
      <formula>NOT(ISERROR(SEARCH("Pesquisa de Preços",D2325)))</formula>
    </cfRule>
  </conditionalFormatting>
  <conditionalFormatting sqref="D2068 D2072:D2074">
    <cfRule type="containsText" dxfId="2813" priority="6262" operator="containsText" text="Pesquisa de Preços">
      <formula>NOT(ISERROR(SEARCH("Pesquisa de Preços",D2068)))</formula>
    </cfRule>
  </conditionalFormatting>
  <conditionalFormatting sqref="D2247">
    <cfRule type="containsText" dxfId="2812" priority="6250" operator="containsText" text="Pesquisa de Preços">
      <formula>NOT(ISERROR(SEARCH("Pesquisa de Preços",D2247)))</formula>
    </cfRule>
  </conditionalFormatting>
  <conditionalFormatting sqref="D2026">
    <cfRule type="containsText" dxfId="2811" priority="6261" operator="containsText" text="Pesquisa de Preços">
      <formula>NOT(ISERROR(SEARCH("Pesquisa de Preços",D2026)))</formula>
    </cfRule>
  </conditionalFormatting>
  <conditionalFormatting sqref="D2104:D2106">
    <cfRule type="containsText" dxfId="2810" priority="6260" operator="containsText" text="Pesquisa de Preços">
      <formula>NOT(ISERROR(SEARCH("Pesquisa de Preços",D2104)))</formula>
    </cfRule>
  </conditionalFormatting>
  <conditionalFormatting sqref="D2096:D2098">
    <cfRule type="containsText" dxfId="2809" priority="6259" operator="containsText" text="Pesquisa de Preços">
      <formula>NOT(ISERROR(SEARCH("Pesquisa de Preços",D2096)))</formula>
    </cfRule>
  </conditionalFormatting>
  <conditionalFormatting sqref="D2211">
    <cfRule type="containsText" dxfId="2808" priority="6253" operator="containsText" text="Pesquisa de Preços">
      <formula>NOT(ISERROR(SEARCH("Pesquisa de Preços",D2211)))</formula>
    </cfRule>
  </conditionalFormatting>
  <conditionalFormatting sqref="D2090">
    <cfRule type="containsText" dxfId="2807" priority="6258" operator="containsText" text="Pesquisa de Preços">
      <formula>NOT(ISERROR(SEARCH("Pesquisa de Preços",D2090)))</formula>
    </cfRule>
  </conditionalFormatting>
  <conditionalFormatting sqref="D2014:D2015 D2017:D2018">
    <cfRule type="containsText" dxfId="2806" priority="6257" operator="containsText" text="Pesquisa de Preços">
      <formula>NOT(ISERROR(SEARCH("Pesquisa de Preços",D2014)))</formula>
    </cfRule>
  </conditionalFormatting>
  <conditionalFormatting sqref="D2108">
    <cfRule type="containsText" dxfId="2805" priority="6256" operator="containsText" text="Pesquisa de Preços">
      <formula>NOT(ISERROR(SEARCH("Pesquisa de Preços",D2108)))</formula>
    </cfRule>
  </conditionalFormatting>
  <conditionalFormatting sqref="D2202:D2203">
    <cfRule type="containsText" dxfId="2804" priority="6255" operator="containsText" text="Pesquisa de Preços">
      <formula>NOT(ISERROR(SEARCH("Pesquisa de Preços",D2202)))</formula>
    </cfRule>
  </conditionalFormatting>
  <conditionalFormatting sqref="D2207:D2208">
    <cfRule type="containsText" dxfId="2803" priority="6254" operator="containsText" text="Pesquisa de Preços">
      <formula>NOT(ISERROR(SEARCH("Pesquisa de Preços",D2207)))</formula>
    </cfRule>
  </conditionalFormatting>
  <conditionalFormatting sqref="D2227 D2230:D2231">
    <cfRule type="containsText" dxfId="2802" priority="6252" operator="containsText" text="Pesquisa de Preços">
      <formula>NOT(ISERROR(SEARCH("Pesquisa de Preços",D2227)))</formula>
    </cfRule>
  </conditionalFormatting>
  <conditionalFormatting sqref="D2221 D2225">
    <cfRule type="containsText" dxfId="2801" priority="6251" operator="containsText" text="Pesquisa de Preços">
      <formula>NOT(ISERROR(SEARCH("Pesquisa de Preços",D2221)))</formula>
    </cfRule>
  </conditionalFormatting>
  <conditionalFormatting sqref="D2293">
    <cfRule type="containsText" dxfId="2800" priority="6248" operator="containsText" text="Pesquisa de Preços">
      <formula>NOT(ISERROR(SEARCH("Pesquisa de Preços",D2293)))</formula>
    </cfRule>
  </conditionalFormatting>
  <conditionalFormatting sqref="D2250">
    <cfRule type="containsText" dxfId="2799" priority="6249" operator="containsText" text="Pesquisa de Preços">
      <formula>NOT(ISERROR(SEARCH("Pesquisa de Preços",D2250)))</formula>
    </cfRule>
  </conditionalFormatting>
  <conditionalFormatting sqref="D2283">
    <cfRule type="containsText" dxfId="2798" priority="6247" operator="containsText" text="Pesquisa de Preços">
      <formula>NOT(ISERROR(SEARCH("Pesquisa de Preços",D2283)))</formula>
    </cfRule>
  </conditionalFormatting>
  <conditionalFormatting sqref="D2273 D2281">
    <cfRule type="containsText" dxfId="2797" priority="6245" operator="containsText" text="Pesquisa de Preços">
      <formula>NOT(ISERROR(SEARCH("Pesquisa de Preços",D2273)))</formula>
    </cfRule>
  </conditionalFormatting>
  <conditionalFormatting sqref="D2233:D2234">
    <cfRule type="containsText" dxfId="2796" priority="6244" operator="containsText" text="Pesquisa de Preços">
      <formula>NOT(ISERROR(SEARCH("Pesquisa de Preços",D2233)))</formula>
    </cfRule>
  </conditionalFormatting>
  <conditionalFormatting sqref="D2310:D2311">
    <cfRule type="containsText" dxfId="2795" priority="6242" operator="containsText" text="Pesquisa de Preços">
      <formula>NOT(ISERROR(SEARCH("Pesquisa de Preços",D2310)))</formula>
    </cfRule>
  </conditionalFormatting>
  <conditionalFormatting sqref="D2314">
    <cfRule type="containsText" dxfId="2794" priority="6241" operator="containsText" text="Pesquisa de Preços">
      <formula>NOT(ISERROR(SEARCH("Pesquisa de Preços",D2314)))</formula>
    </cfRule>
  </conditionalFormatting>
  <conditionalFormatting sqref="D2341">
    <cfRule type="containsText" dxfId="2793" priority="6239" operator="containsText" text="Pesquisa de Preços">
      <formula>NOT(ISERROR(SEARCH("Pesquisa de Preços",D2341)))</formula>
    </cfRule>
  </conditionalFormatting>
  <conditionalFormatting sqref="D2331">
    <cfRule type="containsText" dxfId="2792" priority="6237" operator="containsText" text="Pesquisa de Preços">
      <formula>NOT(ISERROR(SEARCH("Pesquisa de Preços",D2331)))</formula>
    </cfRule>
  </conditionalFormatting>
  <conditionalFormatting sqref="D2323:D2324 D2326:D2327">
    <cfRule type="containsText" dxfId="2791" priority="6236" operator="containsText" text="Pesquisa de Preços">
      <formula>NOT(ISERROR(SEARCH("Pesquisa de Preços",D2323)))</formula>
    </cfRule>
  </conditionalFormatting>
  <conditionalFormatting sqref="D2335:D2336 D2338:D2339">
    <cfRule type="containsText" dxfId="2790" priority="6234" operator="containsText" text="Pesquisa de Preços">
      <formula>NOT(ISERROR(SEARCH("Pesquisa de Preços",D2335)))</formula>
    </cfRule>
  </conditionalFormatting>
  <conditionalFormatting sqref="D2337">
    <cfRule type="containsText" dxfId="2789" priority="6233" operator="containsText" text="Pesquisa de Preços">
      <formula>NOT(ISERROR(SEARCH("Pesquisa de Preços",D2337)))</formula>
    </cfRule>
  </conditionalFormatting>
  <conditionalFormatting sqref="D2317 D2320:D2321">
    <cfRule type="containsText" dxfId="2788" priority="6232" operator="containsText" text="Pesquisa de Preços">
      <formula>NOT(ISERROR(SEARCH("Pesquisa de Preços",D2317)))</formula>
    </cfRule>
  </conditionalFormatting>
  <conditionalFormatting sqref="D2319">
    <cfRule type="containsText" dxfId="2787" priority="6231" operator="containsText" text="Pesquisa de Preços">
      <formula>NOT(ISERROR(SEARCH("Pesquisa de Preços",D2319)))</formula>
    </cfRule>
  </conditionalFormatting>
  <conditionalFormatting sqref="D2346:D2349">
    <cfRule type="containsText" dxfId="2786" priority="6230" operator="containsText" text="Pesquisa de Preços">
      <formula>NOT(ISERROR(SEARCH("Pesquisa de Preços",D2346)))</formula>
    </cfRule>
  </conditionalFormatting>
  <conditionalFormatting sqref="D2351 D2353:D2354">
    <cfRule type="containsText" dxfId="2785" priority="6229" operator="containsText" text="Pesquisa de Preços">
      <formula>NOT(ISERROR(SEARCH("Pesquisa de Preços",D2351)))</formula>
    </cfRule>
  </conditionalFormatting>
  <conditionalFormatting sqref="D898:D899 D901:D903">
    <cfRule type="containsText" dxfId="2784" priority="6228" operator="containsText" text="Pesquisa de Preços">
      <formula>NOT(ISERROR(SEARCH("Pesquisa de Preços",D898)))</formula>
    </cfRule>
  </conditionalFormatting>
  <conditionalFormatting sqref="D858:D859">
    <cfRule type="containsText" dxfId="2783" priority="6223" operator="containsText" text="Pesquisa de Preços">
      <formula>NOT(ISERROR(SEARCH("Pesquisa de Preços",D858)))</formula>
    </cfRule>
  </conditionalFormatting>
  <conditionalFormatting sqref="D877 D882:D883">
    <cfRule type="containsText" dxfId="2782" priority="6227" operator="containsText" text="Pesquisa de Preços">
      <formula>NOT(ISERROR(SEARCH("Pesquisa de Preços",D877)))</formula>
    </cfRule>
  </conditionalFormatting>
  <conditionalFormatting sqref="D885 D890:D891">
    <cfRule type="containsText" dxfId="2781" priority="6225" operator="containsText" text="Pesquisa de Preços">
      <formula>NOT(ISERROR(SEARCH("Pesquisa de Preços",D885)))</formula>
    </cfRule>
  </conditionalFormatting>
  <conditionalFormatting sqref="D859:D861">
    <cfRule type="containsText" dxfId="2780" priority="6222" operator="containsText" text="Pesquisa de Preços">
      <formula>NOT(ISERROR(SEARCH("Pesquisa de Preços",D859)))</formula>
    </cfRule>
  </conditionalFormatting>
  <conditionalFormatting sqref="D847 D849:D850">
    <cfRule type="containsText" dxfId="2779" priority="6221" operator="containsText" text="Pesquisa de Preços">
      <formula>NOT(ISERROR(SEARCH("Pesquisa de Preços",D847)))</formula>
    </cfRule>
  </conditionalFormatting>
  <conditionalFormatting sqref="D852 D855:D856">
    <cfRule type="containsText" dxfId="2778" priority="6220" operator="containsText" text="Pesquisa de Preços">
      <formula>NOT(ISERROR(SEARCH("Pesquisa de Preços",D852)))</formula>
    </cfRule>
  </conditionalFormatting>
  <conditionalFormatting sqref="D869">
    <cfRule type="containsText" dxfId="2777" priority="6219" operator="containsText" text="Pesquisa de Preços">
      <formula>NOT(ISERROR(SEARCH("Pesquisa de Preços",D869)))</formula>
    </cfRule>
  </conditionalFormatting>
  <conditionalFormatting sqref="D864">
    <cfRule type="containsText" dxfId="2776" priority="6218" operator="containsText" text="Pesquisa de Preços">
      <formula>NOT(ISERROR(SEARCH("Pesquisa de Preços",D864)))</formula>
    </cfRule>
  </conditionalFormatting>
  <conditionalFormatting sqref="D895">
    <cfRule type="containsText" dxfId="2775" priority="6216" operator="containsText" text="Pesquisa de Preços">
      <formula>NOT(ISERROR(SEARCH("Pesquisa de Preços",D895)))</formula>
    </cfRule>
  </conditionalFormatting>
  <conditionalFormatting sqref="D893:D894">
    <cfRule type="containsText" dxfId="2774" priority="6217" operator="containsText" text="Pesquisa de Preços">
      <formula>NOT(ISERROR(SEARCH("Pesquisa de Preços",D893)))</formula>
    </cfRule>
  </conditionalFormatting>
  <conditionalFormatting sqref="D905:D906">
    <cfRule type="containsText" dxfId="2773" priority="6215" operator="containsText" text="Pesquisa de Preços">
      <formula>NOT(ISERROR(SEARCH("Pesquisa de Preços",D905)))</formula>
    </cfRule>
  </conditionalFormatting>
  <conditionalFormatting sqref="D2362:D2363">
    <cfRule type="containsText" dxfId="2772" priority="6214" operator="containsText" text="Pesquisa de Preços">
      <formula>NOT(ISERROR(SEARCH("Pesquisa de Preços",D2362)))</formula>
    </cfRule>
  </conditionalFormatting>
  <conditionalFormatting sqref="D2370 D2373 D2375">
    <cfRule type="containsText" dxfId="2771" priority="6213" operator="containsText" text="Pesquisa de Preços">
      <formula>NOT(ISERROR(SEARCH("Pesquisa de Preços",D2370)))</formula>
    </cfRule>
  </conditionalFormatting>
  <conditionalFormatting sqref="D2356:D2357 D2359:D2360">
    <cfRule type="containsText" dxfId="2770" priority="6212" operator="containsText" text="Pesquisa de Preços">
      <formula>NOT(ISERROR(SEARCH("Pesquisa de Preços",D2356)))</formula>
    </cfRule>
  </conditionalFormatting>
  <conditionalFormatting sqref="D2383 D2387:D2388">
    <cfRule type="containsText" dxfId="2769" priority="6210" operator="containsText" text="Pesquisa de Preços">
      <formula>NOT(ISERROR(SEARCH("Pesquisa de Preços",D2383)))</formula>
    </cfRule>
  </conditionalFormatting>
  <conditionalFormatting sqref="D2358">
    <cfRule type="containsText" dxfId="2768" priority="6211" operator="containsText" text="Pesquisa de Preços">
      <formula>NOT(ISERROR(SEARCH("Pesquisa de Preços",D2358)))</formula>
    </cfRule>
  </conditionalFormatting>
  <conditionalFormatting sqref="D2377">
    <cfRule type="containsText" dxfId="2767" priority="6209" operator="containsText" text="Pesquisa de Preços">
      <formula>NOT(ISERROR(SEARCH("Pesquisa de Preços",D2377)))</formula>
    </cfRule>
  </conditionalFormatting>
  <conditionalFormatting sqref="D1763:D1764 D1767:D1768">
    <cfRule type="containsText" dxfId="2766" priority="6207" operator="containsText" text="Pesquisa de Preços">
      <formula>NOT(ISERROR(SEARCH("Pesquisa de Preços",D1763)))</formula>
    </cfRule>
  </conditionalFormatting>
  <conditionalFormatting sqref="D1765:D1766">
    <cfRule type="containsText" dxfId="2765" priority="6206" operator="containsText" text="Pesquisa de Preços">
      <formula>NOT(ISERROR(SEARCH("Pesquisa de Preços",D1765)))</formula>
    </cfRule>
  </conditionalFormatting>
  <conditionalFormatting sqref="D1777:D1778 D1781:D1782">
    <cfRule type="containsText" dxfId="2764" priority="6204" operator="containsText" text="Pesquisa de Preços">
      <formula>NOT(ISERROR(SEARCH("Pesquisa de Preços",D1777)))</formula>
    </cfRule>
  </conditionalFormatting>
  <conditionalFormatting sqref="D1779:D1780">
    <cfRule type="containsText" dxfId="2763" priority="6203" operator="containsText" text="Pesquisa de Preços">
      <formula>NOT(ISERROR(SEARCH("Pesquisa de Preços",D1779)))</formula>
    </cfRule>
  </conditionalFormatting>
  <conditionalFormatting sqref="D1791:D1792 D1795:D1796">
    <cfRule type="containsText" dxfId="2762" priority="6201" operator="containsText" text="Pesquisa de Preços">
      <formula>NOT(ISERROR(SEARCH("Pesquisa de Preços",D1791)))</formula>
    </cfRule>
  </conditionalFormatting>
  <conditionalFormatting sqref="D1793:D1794">
    <cfRule type="containsText" dxfId="2761" priority="6200" operator="containsText" text="Pesquisa de Preços">
      <formula>NOT(ISERROR(SEARCH("Pesquisa de Preços",D1793)))</formula>
    </cfRule>
  </conditionalFormatting>
  <conditionalFormatting sqref="D1749:D1750 D1753:D1754">
    <cfRule type="containsText" dxfId="2760" priority="6198" operator="containsText" text="Pesquisa de Preços">
      <formula>NOT(ISERROR(SEARCH("Pesquisa de Preços",D1749)))</formula>
    </cfRule>
  </conditionalFormatting>
  <conditionalFormatting sqref="D1751:D1752">
    <cfRule type="containsText" dxfId="2759" priority="6197" operator="containsText" text="Pesquisa de Preços">
      <formula>NOT(ISERROR(SEARCH("Pesquisa de Preços",D1751)))</formula>
    </cfRule>
  </conditionalFormatting>
  <conditionalFormatting sqref="D1756:D1757 D1760:D1761">
    <cfRule type="containsText" dxfId="2758" priority="6195" operator="containsText" text="Pesquisa de Preços">
      <formula>NOT(ISERROR(SEARCH("Pesquisa de Preços",D1756)))</formula>
    </cfRule>
  </conditionalFormatting>
  <conditionalFormatting sqref="D591 D595">
    <cfRule type="containsText" dxfId="2757" priority="6133" operator="containsText" text="Pesquisa de Preços">
      <formula>NOT(ISERROR(SEARCH("Pesquisa de Preços",D591)))</formula>
    </cfRule>
  </conditionalFormatting>
  <conditionalFormatting sqref="D1758:D1759">
    <cfRule type="containsText" dxfId="2756" priority="6194" operator="containsText" text="Pesquisa de Preços">
      <formula>NOT(ISERROR(SEARCH("Pesquisa de Preços",D1758)))</formula>
    </cfRule>
  </conditionalFormatting>
  <conditionalFormatting sqref="D1774:D1775 D1770:D1771">
    <cfRule type="containsText" dxfId="2755" priority="6192" operator="containsText" text="Pesquisa de Preços">
      <formula>NOT(ISERROR(SEARCH("Pesquisa de Preços",D1770)))</formula>
    </cfRule>
  </conditionalFormatting>
  <conditionalFormatting sqref="D1772:D1773">
    <cfRule type="containsText" dxfId="2754" priority="6191" operator="containsText" text="Pesquisa de Preços">
      <formula>NOT(ISERROR(SEARCH("Pesquisa de Preços",D1772)))</formula>
    </cfRule>
  </conditionalFormatting>
  <conditionalFormatting sqref="D1784:D1785 D1788:D1789">
    <cfRule type="containsText" dxfId="2753" priority="6190" operator="containsText" text="Pesquisa de Preços">
      <formula>NOT(ISERROR(SEARCH("Pesquisa de Preços",D1784)))</formula>
    </cfRule>
  </conditionalFormatting>
  <conditionalFormatting sqref="D1786:D1787">
    <cfRule type="containsText" dxfId="2752" priority="6189" operator="containsText" text="Pesquisa de Preços">
      <formula>NOT(ISERROR(SEARCH("Pesquisa de Preços",D1786)))</formula>
    </cfRule>
  </conditionalFormatting>
  <conditionalFormatting sqref="D1175">
    <cfRule type="containsText" dxfId="2751" priority="6188" operator="containsText" text="Pesquisa de Preços">
      <formula>NOT(ISERROR(SEARCH("Pesquisa de Preços",D1175)))</formula>
    </cfRule>
  </conditionalFormatting>
  <conditionalFormatting sqref="D1853 D1855">
    <cfRule type="containsText" dxfId="2750" priority="6187" operator="containsText" text="Pesquisa de Preços">
      <formula>NOT(ISERROR(SEARCH("Pesquisa de Preços",D1853)))</formula>
    </cfRule>
  </conditionalFormatting>
  <conditionalFormatting sqref="D1854">
    <cfRule type="containsText" dxfId="2749" priority="6186" operator="containsText" text="Pesquisa de Preços">
      <formula>NOT(ISERROR(SEARCH("Pesquisa de Preços",D1854)))</formula>
    </cfRule>
  </conditionalFormatting>
  <conditionalFormatting sqref="D1975">
    <cfRule type="containsText" dxfId="2748" priority="6185" operator="containsText" text="Pesquisa de Preços">
      <formula>NOT(ISERROR(SEARCH("Pesquisa de Preços",D1975)))</formula>
    </cfRule>
  </conditionalFormatting>
  <conditionalFormatting sqref="D2009:D2010">
    <cfRule type="containsText" dxfId="2747" priority="6184" operator="containsText" text="Pesquisa de Preços">
      <formula>NOT(ISERROR(SEARCH("Pesquisa de Preços",D2009)))</formula>
    </cfRule>
  </conditionalFormatting>
  <conditionalFormatting sqref="D1988:D1989">
    <cfRule type="containsText" dxfId="2746" priority="6183" operator="containsText" text="Pesquisa de Preços">
      <formula>NOT(ISERROR(SEARCH("Pesquisa de Preços",D1988)))</formula>
    </cfRule>
  </conditionalFormatting>
  <conditionalFormatting sqref="D2088:D2089">
    <cfRule type="containsText" dxfId="2745" priority="6182" operator="containsText" text="Pesquisa de Preços">
      <formula>NOT(ISERROR(SEARCH("Pesquisa de Preços",D2088)))</formula>
    </cfRule>
  </conditionalFormatting>
  <conditionalFormatting sqref="D2024:D2025">
    <cfRule type="containsText" dxfId="2744" priority="6181" operator="containsText" text="Pesquisa de Preços">
      <formula>NOT(ISERROR(SEARCH("Pesquisa de Preços",D2024)))</formula>
    </cfRule>
  </conditionalFormatting>
  <conditionalFormatting sqref="D830">
    <cfRule type="containsText" dxfId="2743" priority="6108" operator="containsText" text="Pesquisa de Preços">
      <formula>NOT(ISERROR(SEARCH("Pesquisa de Preços",D830)))</formula>
    </cfRule>
  </conditionalFormatting>
  <conditionalFormatting sqref="D831">
    <cfRule type="containsText" dxfId="2742" priority="6107" operator="containsText" text="Pesquisa de Preços">
      <formula>NOT(ISERROR(SEARCH("Pesquisa de Preços",D831)))</formula>
    </cfRule>
  </conditionalFormatting>
  <conditionalFormatting sqref="D1296">
    <cfRule type="containsText" dxfId="2741" priority="6103" operator="containsText" text="Pesquisa de Preços">
      <formula>NOT(ISERROR(SEARCH("Pesquisa de Preços",D1296)))</formula>
    </cfRule>
  </conditionalFormatting>
  <conditionalFormatting sqref="D1162">
    <cfRule type="containsText" dxfId="2740" priority="6100" operator="containsText" text="Pesquisa de Preços">
      <formula>NOT(ISERROR(SEARCH("Pesquisa de Preços",D1162)))</formula>
    </cfRule>
  </conditionalFormatting>
  <conditionalFormatting sqref="D1351">
    <cfRule type="containsText" dxfId="2739" priority="6102" operator="containsText" text="Pesquisa de Preços">
      <formula>NOT(ISERROR(SEARCH("Pesquisa de Preços",D1351)))</formula>
    </cfRule>
  </conditionalFormatting>
  <conditionalFormatting sqref="D1383">
    <cfRule type="containsText" dxfId="2738" priority="6096" operator="containsText" text="Pesquisa de Preços">
      <formula>NOT(ISERROR(SEARCH("Pesquisa de Preços",D1383)))</formula>
    </cfRule>
  </conditionalFormatting>
  <conditionalFormatting sqref="D208">
    <cfRule type="containsText" dxfId="2737" priority="6097" operator="containsText" text="Pesquisa de Preços">
      <formula>NOT(ISERROR(SEARCH("Pesquisa de Preços",D208)))</formula>
    </cfRule>
  </conditionalFormatting>
  <conditionalFormatting sqref="D1628">
    <cfRule type="containsText" dxfId="2736" priority="6093" operator="containsText" text="Pesquisa de Preços">
      <formula>NOT(ISERROR(SEARCH("Pesquisa de Preços",D1628)))</formula>
    </cfRule>
  </conditionalFormatting>
  <conditionalFormatting sqref="D1678">
    <cfRule type="containsText" dxfId="2735" priority="6092" operator="containsText" text="Pesquisa de Preços">
      <formula>NOT(ISERROR(SEARCH("Pesquisa de Preços",D1678)))</formula>
    </cfRule>
  </conditionalFormatting>
  <conditionalFormatting sqref="D1679">
    <cfRule type="containsText" dxfId="2734" priority="6091" operator="containsText" text="Pesquisa de Preços">
      <formula>NOT(ISERROR(SEARCH("Pesquisa de Preços",D1679)))</formula>
    </cfRule>
  </conditionalFormatting>
  <conditionalFormatting sqref="D1605">
    <cfRule type="containsText" dxfId="2733" priority="6089" operator="containsText" text="Pesquisa de Preços">
      <formula>NOT(ISERROR(SEARCH("Pesquisa de Preços",D1605)))</formula>
    </cfRule>
  </conditionalFormatting>
  <conditionalFormatting sqref="D1680">
    <cfRule type="containsText" dxfId="2732" priority="6087" operator="containsText" text="Pesquisa de Preços">
      <formula>NOT(ISERROR(SEARCH("Pesquisa de Preços",D1680)))</formula>
    </cfRule>
  </conditionalFormatting>
  <conditionalFormatting sqref="D821">
    <cfRule type="containsText" dxfId="2731" priority="6180" operator="containsText" text="Pesquisa de Preços">
      <formula>NOT(ISERROR(SEARCH("Pesquisa de Preços",D821)))</formula>
    </cfRule>
  </conditionalFormatting>
  <conditionalFormatting sqref="D822">
    <cfRule type="containsText" dxfId="2730" priority="6179" operator="containsText" text="Pesquisa de Preços">
      <formula>NOT(ISERROR(SEARCH("Pesquisa de Preços",D822)))</formula>
    </cfRule>
  </conditionalFormatting>
  <conditionalFormatting sqref="D55">
    <cfRule type="containsText" dxfId="2729" priority="6162" operator="containsText" text="Pesquisa de Preços">
      <formula>NOT(ISERROR(SEARCH("Pesquisa de Preços",D55)))</formula>
    </cfRule>
  </conditionalFormatting>
  <conditionalFormatting sqref="D451">
    <cfRule type="containsText" dxfId="2728" priority="6178" operator="containsText" text="Pesquisa de Preços">
      <formula>NOT(ISERROR(SEARCH("Pesquisa de Preços",D451)))</formula>
    </cfRule>
  </conditionalFormatting>
  <conditionalFormatting sqref="D450">
    <cfRule type="containsText" dxfId="2727" priority="6177" operator="containsText" text="Pesquisa de Preços">
      <formula>NOT(ISERROR(SEARCH("Pesquisa de Preços",D450)))</formula>
    </cfRule>
  </conditionalFormatting>
  <conditionalFormatting sqref="D449">
    <cfRule type="containsText" dxfId="2726" priority="6176" operator="containsText" text="Pesquisa de Preços">
      <formula>NOT(ISERROR(SEARCH("Pesquisa de Preços",D449)))</formula>
    </cfRule>
  </conditionalFormatting>
  <conditionalFormatting sqref="D207">
    <cfRule type="containsText" dxfId="2725" priority="6175" operator="containsText" text="Pesquisa de Preços">
      <formula>NOT(ISERROR(SEARCH("Pesquisa de Preços",D207)))</formula>
    </cfRule>
  </conditionalFormatting>
  <conditionalFormatting sqref="D104:D105">
    <cfRule type="containsText" dxfId="2724" priority="6174" operator="containsText" text="Pesquisa de Preços">
      <formula>NOT(ISERROR(SEARCH("Pesquisa de Preços",D104)))</formula>
    </cfRule>
  </conditionalFormatting>
  <conditionalFormatting sqref="D424:D425">
    <cfRule type="containsText" dxfId="2723" priority="6173" operator="containsText" text="Pesquisa de Preços">
      <formula>NOT(ISERROR(SEARCH("Pesquisa de Preços",D424)))</formula>
    </cfRule>
  </conditionalFormatting>
  <conditionalFormatting sqref="D426:D428">
    <cfRule type="containsText" dxfId="2722" priority="6172" operator="containsText" text="Pesquisa de Preços">
      <formula>NOT(ISERROR(SEARCH("Pesquisa de Preços",D426)))</formula>
    </cfRule>
  </conditionalFormatting>
  <conditionalFormatting sqref="D617 D621">
    <cfRule type="containsText" dxfId="2721" priority="6171" operator="containsText" text="Pesquisa de Preços">
      <formula>NOT(ISERROR(SEARCH("Pesquisa de Preços",D617)))</formula>
    </cfRule>
  </conditionalFormatting>
  <conditionalFormatting sqref="D590 D596">
    <cfRule type="containsText" dxfId="2720" priority="6169" operator="containsText" text="Pesquisa de Preços">
      <formula>NOT(ISERROR(SEARCH("Pesquisa de Preços",D590)))</formula>
    </cfRule>
  </conditionalFormatting>
  <conditionalFormatting sqref="D639:D640 D643:D644">
    <cfRule type="containsText" dxfId="2719" priority="6167" operator="containsText" text="Pesquisa de Preços">
      <formula>NOT(ISERROR(SEARCH("Pesquisa de Preços",D639)))</formula>
    </cfRule>
  </conditionalFormatting>
  <conditionalFormatting sqref="D642">
    <cfRule type="containsText" dxfId="2718" priority="6166" operator="containsText" text="Pesquisa de Preços">
      <formula>NOT(ISERROR(SEARCH("Pesquisa de Preços",D642)))</formula>
    </cfRule>
  </conditionalFormatting>
  <conditionalFormatting sqref="D1712">
    <cfRule type="containsText" dxfId="2717" priority="6073" operator="containsText" text="Pesquisa de Preços">
      <formula>NOT(ISERROR(SEARCH("Pesquisa de Preços",D1712)))</formula>
    </cfRule>
  </conditionalFormatting>
  <conditionalFormatting sqref="D227">
    <cfRule type="containsText" dxfId="2716" priority="6165" operator="containsText" text="Pesquisa de Preços">
      <formula>NOT(ISERROR(SEARCH("Pesquisa de Preços",D227)))</formula>
    </cfRule>
  </conditionalFormatting>
  <conditionalFormatting sqref="D153">
    <cfRule type="containsText" dxfId="2715" priority="6164" operator="containsText" text="Pesquisa de Preços">
      <formula>NOT(ISERROR(SEARCH("Pesquisa de Preços",D153)))</formula>
    </cfRule>
  </conditionalFormatting>
  <conditionalFormatting sqref="D165">
    <cfRule type="containsText" dxfId="2714" priority="6163" operator="containsText" text="Pesquisa de Preços">
      <formula>NOT(ISERROR(SEARCH("Pesquisa de Preços",D165)))</formula>
    </cfRule>
  </conditionalFormatting>
  <conditionalFormatting sqref="D56:D58">
    <cfRule type="containsText" dxfId="2713" priority="6161" operator="containsText" text="Pesquisa de Preços">
      <formula>NOT(ISERROR(SEARCH("Pesquisa de Preços",D56)))</formula>
    </cfRule>
  </conditionalFormatting>
  <conditionalFormatting sqref="D30:D31">
    <cfRule type="containsText" dxfId="2712" priority="6160" operator="containsText" text="Pesquisa de Preços">
      <formula>NOT(ISERROR(SEARCH("Pesquisa de Preços",D30)))</formula>
    </cfRule>
  </conditionalFormatting>
  <conditionalFormatting sqref="D25:D26">
    <cfRule type="containsText" dxfId="2711" priority="6159" operator="containsText" text="Pesquisa de Preços">
      <formula>NOT(ISERROR(SEARCH("Pesquisa de Preços",D25)))</formula>
    </cfRule>
  </conditionalFormatting>
  <conditionalFormatting sqref="D182">
    <cfRule type="containsText" dxfId="2710" priority="6158" operator="containsText" text="Pesquisa de Preços">
      <formula>NOT(ISERROR(SEARCH("Pesquisa de Preços",D182)))</formula>
    </cfRule>
  </conditionalFormatting>
  <conditionalFormatting sqref="D129:D130">
    <cfRule type="containsText" dxfId="2709" priority="6157" operator="containsText" text="Pesquisa de Preços">
      <formula>NOT(ISERROR(SEARCH("Pesquisa de Preços",D129)))</formula>
    </cfRule>
  </conditionalFormatting>
  <conditionalFormatting sqref="D1913">
    <cfRule type="containsText" dxfId="2708" priority="6065" operator="containsText" text="Pesquisa de Preços">
      <formula>NOT(ISERROR(SEARCH("Pesquisa de Preços",D1913)))</formula>
    </cfRule>
  </conditionalFormatting>
  <conditionalFormatting sqref="D85">
    <cfRule type="containsText" dxfId="2707" priority="6156" operator="containsText" text="Pesquisa de Preços">
      <formula>NOT(ISERROR(SEARCH("Pesquisa de Preços",D85)))</formula>
    </cfRule>
  </conditionalFormatting>
  <conditionalFormatting sqref="D86">
    <cfRule type="containsText" dxfId="2706" priority="6155" operator="containsText" text="Pesquisa de Preços">
      <formula>NOT(ISERROR(SEARCH("Pesquisa de Preços",D86)))</formula>
    </cfRule>
  </conditionalFormatting>
  <conditionalFormatting sqref="D62">
    <cfRule type="containsText" dxfId="2705" priority="6154" operator="containsText" text="Pesquisa de Preços">
      <formula>NOT(ISERROR(SEARCH("Pesquisa de Preços",D62)))</formula>
    </cfRule>
  </conditionalFormatting>
  <conditionalFormatting sqref="D63">
    <cfRule type="containsText" dxfId="2704" priority="6153" operator="containsText" text="Pesquisa de Preços">
      <formula>NOT(ISERROR(SEARCH("Pesquisa de Preços",D63)))</formula>
    </cfRule>
  </conditionalFormatting>
  <conditionalFormatting sqref="D2342">
    <cfRule type="containsText" dxfId="2703" priority="6062" operator="containsText" text="Pesquisa de Preços">
      <formula>NOT(ISERROR(SEARCH("Pesquisa de Preços",D2342)))</formula>
    </cfRule>
  </conditionalFormatting>
  <conditionalFormatting sqref="D312">
    <cfRule type="containsText" dxfId="2702" priority="6152" operator="containsText" text="Pesquisa de Preços">
      <formula>NOT(ISERROR(SEARCH("Pesquisa de Preços",D312)))</formula>
    </cfRule>
  </conditionalFormatting>
  <conditionalFormatting sqref="D298">
    <cfRule type="containsText" dxfId="2701" priority="6150" operator="containsText" text="Pesquisa de Preços">
      <formula>NOT(ISERROR(SEARCH("Pesquisa de Preços",D298)))</formula>
    </cfRule>
  </conditionalFormatting>
  <conditionalFormatting sqref="D458">
    <cfRule type="containsText" dxfId="2700" priority="6149" operator="containsText" text="Pesquisa de Preços">
      <formula>NOT(ISERROR(SEARCH("Pesquisa de Preços",D458)))</formula>
    </cfRule>
  </conditionalFormatting>
  <conditionalFormatting sqref="D468">
    <cfRule type="containsText" dxfId="2699" priority="6148" operator="containsText" text="Pesquisa de Preços">
      <formula>NOT(ISERROR(SEARCH("Pesquisa de Preços",D468)))</formula>
    </cfRule>
  </conditionalFormatting>
  <conditionalFormatting sqref="D624">
    <cfRule type="containsText" dxfId="2698" priority="6147" operator="containsText" text="Pesquisa de Preços">
      <formula>NOT(ISERROR(SEARCH("Pesquisa de Preços",D624)))</formula>
    </cfRule>
  </conditionalFormatting>
  <conditionalFormatting sqref="D625:D627">
    <cfRule type="containsText" dxfId="2697" priority="6146" operator="containsText" text="Pesquisa de Preços">
      <formula>NOT(ISERROR(SEARCH("Pesquisa de Preços",D625)))</formula>
    </cfRule>
  </conditionalFormatting>
  <conditionalFormatting sqref="D734:D735">
    <cfRule type="containsText" dxfId="2696" priority="6145" operator="containsText" text="Pesquisa de Preços">
      <formula>NOT(ISERROR(SEARCH("Pesquisa de Preços",D734)))</formula>
    </cfRule>
  </conditionalFormatting>
  <conditionalFormatting sqref="D733">
    <cfRule type="containsText" dxfId="2695" priority="6144" operator="containsText" text="Pesquisa de Preços">
      <formula>NOT(ISERROR(SEARCH("Pesquisa de Preços",D733)))</formula>
    </cfRule>
  </conditionalFormatting>
  <conditionalFormatting sqref="D998">
    <cfRule type="containsText" dxfId="2694" priority="6143" operator="containsText" text="Pesquisa de Preços">
      <formula>NOT(ISERROR(SEARCH("Pesquisa de Preços",D998)))</formula>
    </cfRule>
  </conditionalFormatting>
  <conditionalFormatting sqref="D608 D615">
    <cfRule type="containsText" dxfId="2693" priority="6127" operator="containsText" text="Pesquisa de Preços">
      <formula>NOT(ISERROR(SEARCH("Pesquisa de Preços",D608)))</formula>
    </cfRule>
  </conditionalFormatting>
  <conditionalFormatting sqref="D738">
    <cfRule type="containsText" dxfId="2692" priority="6123" operator="containsText" text="Pesquisa de Preços">
      <formula>NOT(ISERROR(SEARCH("Pesquisa de Preços",D738)))</formula>
    </cfRule>
  </conditionalFormatting>
  <conditionalFormatting sqref="D592:D594">
    <cfRule type="containsText" dxfId="2691" priority="6132" operator="containsText" text="Pesquisa de Preços">
      <formula>NOT(ISERROR(SEARCH("Pesquisa de Preços",D592)))</formula>
    </cfRule>
  </conditionalFormatting>
  <conditionalFormatting sqref="D1617:D1618">
    <cfRule type="containsText" dxfId="2690" priority="6138" operator="containsText" text="Pesquisa de Preços">
      <formula>NOT(ISERROR(SEARCH("Pesquisa de Preços",D1617)))</formula>
    </cfRule>
  </conditionalFormatting>
  <conditionalFormatting sqref="D1593">
    <cfRule type="containsText" dxfId="2689" priority="6142" operator="containsText" text="Pesquisa de Preços">
      <formula>NOT(ISERROR(SEARCH("Pesquisa de Preços",D1593)))</formula>
    </cfRule>
  </conditionalFormatting>
  <conditionalFormatting sqref="D1622">
    <cfRule type="containsText" dxfId="2688" priority="6141" operator="containsText" text="Pesquisa de Preços">
      <formula>NOT(ISERROR(SEARCH("Pesquisa de Preços",D1622)))</formula>
    </cfRule>
  </conditionalFormatting>
  <conditionalFormatting sqref="D1623:D1624">
    <cfRule type="containsText" dxfId="2687" priority="6140" operator="containsText" text="Pesquisa de Preços">
      <formula>NOT(ISERROR(SEARCH("Pesquisa de Preços",D1623)))</formula>
    </cfRule>
  </conditionalFormatting>
  <conditionalFormatting sqref="D1616">
    <cfRule type="containsText" dxfId="2686" priority="6139" operator="containsText" text="Pesquisa de Preços">
      <formula>NOT(ISERROR(SEARCH("Pesquisa de Preços",D1616)))</formula>
    </cfRule>
  </conditionalFormatting>
  <conditionalFormatting sqref="D1883 D1885">
    <cfRule type="containsText" dxfId="2685" priority="6137" operator="containsText" text="Pesquisa de Preços">
      <formula>NOT(ISERROR(SEARCH("Pesquisa de Preços",D1883)))</formula>
    </cfRule>
  </conditionalFormatting>
  <conditionalFormatting sqref="D1884">
    <cfRule type="containsText" dxfId="2684" priority="6136" operator="containsText" text="Pesquisa de Preços">
      <formula>NOT(ISERROR(SEARCH("Pesquisa de Preços",D1884)))</formula>
    </cfRule>
  </conditionalFormatting>
  <conditionalFormatting sqref="D1877 D1879">
    <cfRule type="containsText" dxfId="2683" priority="6135" operator="containsText" text="Pesquisa de Preços">
      <formula>NOT(ISERROR(SEARCH("Pesquisa de Preços",D1877)))</formula>
    </cfRule>
  </conditionalFormatting>
  <conditionalFormatting sqref="D1878">
    <cfRule type="containsText" dxfId="2682" priority="6134" operator="containsText" text="Pesquisa de Preços">
      <formula>NOT(ISERROR(SEARCH("Pesquisa de Preços",D1878)))</formula>
    </cfRule>
  </conditionalFormatting>
  <conditionalFormatting sqref="D383:D393">
    <cfRule type="containsText" dxfId="2681" priority="6130" operator="containsText" text="Pesquisa de Preços">
      <formula>NOT(ISERROR(SEARCH("Pesquisa de Preços",D383)))</formula>
    </cfRule>
  </conditionalFormatting>
  <conditionalFormatting sqref="D382">
    <cfRule type="containsText" dxfId="2680" priority="6131" operator="containsText" text="Pesquisa de Preços">
      <formula>NOT(ISERROR(SEARCH("Pesquisa de Preços",D382)))</formula>
    </cfRule>
  </conditionalFormatting>
  <conditionalFormatting sqref="D1072:D1073">
    <cfRule type="containsText" dxfId="2679" priority="6031" operator="containsText" text="Pesquisa de Preços">
      <formula>NOT(ISERROR(SEARCH("Pesquisa de Preços",D1072)))</formula>
    </cfRule>
  </conditionalFormatting>
  <conditionalFormatting sqref="D606">
    <cfRule type="containsText" dxfId="2678" priority="6129" operator="containsText" text="Pesquisa de Preços">
      <formula>NOT(ISERROR(SEARCH("Pesquisa de Preços",D606)))</formula>
    </cfRule>
  </conditionalFormatting>
  <conditionalFormatting sqref="D598">
    <cfRule type="containsText" dxfId="2677" priority="6128" operator="containsText" text="Pesquisa de Preços">
      <formula>NOT(ISERROR(SEARCH("Pesquisa de Preços",D598)))</formula>
    </cfRule>
  </conditionalFormatting>
  <conditionalFormatting sqref="D1085:D1087 D1089">
    <cfRule type="containsText" dxfId="2676" priority="6030" operator="containsText" text="Pesquisa de Preços">
      <formula>NOT(ISERROR(SEARCH("Pesquisa de Preços",D1085)))</formula>
    </cfRule>
  </conditionalFormatting>
  <conditionalFormatting sqref="D599">
    <cfRule type="containsText" dxfId="2675" priority="6126" operator="containsText" text="Pesquisa de Preços">
      <formula>NOT(ISERROR(SEARCH("Pesquisa de Preços",D599)))</formula>
    </cfRule>
  </conditionalFormatting>
  <conditionalFormatting sqref="D609">
    <cfRule type="containsText" dxfId="2674" priority="6125" operator="containsText" text="Pesquisa de Preços">
      <formula>NOT(ISERROR(SEARCH("Pesquisa de Preços",D609)))</formula>
    </cfRule>
  </conditionalFormatting>
  <conditionalFormatting sqref="D632">
    <cfRule type="containsText" dxfId="2673" priority="6120" operator="containsText" text="Pesquisa de Preços">
      <formula>NOT(ISERROR(SEARCH("Pesquisa de Preços",D632)))</formula>
    </cfRule>
  </conditionalFormatting>
  <conditionalFormatting sqref="D631 D636:D637">
    <cfRule type="containsText" dxfId="2672" priority="6121" operator="containsText" text="Pesquisa de Preços">
      <formula>NOT(ISERROR(SEARCH("Pesquisa de Preços",D631)))</formula>
    </cfRule>
  </conditionalFormatting>
  <conditionalFormatting sqref="D1254 D1258:D1259">
    <cfRule type="containsText" dxfId="2671" priority="6117" operator="containsText" text="Pesquisa de Preços">
      <formula>NOT(ISERROR(SEARCH("Pesquisa de Preços",D1254)))</formula>
    </cfRule>
  </conditionalFormatting>
  <conditionalFormatting sqref="D633:D635">
    <cfRule type="containsText" dxfId="2670" priority="6119" operator="containsText" text="Pesquisa de Preços">
      <formula>NOT(ISERROR(SEARCH("Pesquisa de Preços",D633)))</formula>
    </cfRule>
  </conditionalFormatting>
  <conditionalFormatting sqref="D1256">
    <cfRule type="containsText" dxfId="2669" priority="6116" operator="containsText" text="Pesquisa de Preços">
      <formula>NOT(ISERROR(SEARCH("Pesquisa de Preços",D1256)))</formula>
    </cfRule>
  </conditionalFormatting>
  <conditionalFormatting sqref="D1160 D1164:D1165">
    <cfRule type="containsText" dxfId="2668" priority="6114" operator="containsText" text="Pesquisa de Preços">
      <formula>NOT(ISERROR(SEARCH("Pesquisa de Preços",D1160)))</formula>
    </cfRule>
  </conditionalFormatting>
  <conditionalFormatting sqref="D1216 D1220:D1221">
    <cfRule type="containsText" dxfId="2667" priority="6112" operator="containsText" text="Pesquisa de Preços">
      <formula>NOT(ISERROR(SEARCH("Pesquisa de Preços",D1216)))</formula>
    </cfRule>
  </conditionalFormatting>
  <conditionalFormatting sqref="D1219">
    <cfRule type="containsText" dxfId="2666" priority="6111" operator="containsText" text="Pesquisa de Preços">
      <formula>NOT(ISERROR(SEARCH("Pesquisa de Preços",D1219)))</formula>
    </cfRule>
  </conditionalFormatting>
  <conditionalFormatting sqref="D671">
    <cfRule type="containsText" dxfId="2665" priority="6110" operator="containsText" text="Pesquisa de Preços">
      <formula>NOT(ISERROR(SEARCH("Pesquisa de Preços",D671)))</formula>
    </cfRule>
  </conditionalFormatting>
  <conditionalFormatting sqref="D739">
    <cfRule type="containsText" dxfId="2664" priority="6109" operator="containsText" text="Pesquisa de Preços">
      <formula>NOT(ISERROR(SEARCH("Pesquisa de Preços",D739)))</formula>
    </cfRule>
  </conditionalFormatting>
  <conditionalFormatting sqref="D866:D867">
    <cfRule type="containsText" dxfId="2663" priority="6106" operator="containsText" text="Pesquisa de Preços">
      <formula>NOT(ISERROR(SEARCH("Pesquisa de Preços",D866)))</formula>
    </cfRule>
  </conditionalFormatting>
  <conditionalFormatting sqref="D1297">
    <cfRule type="containsText" dxfId="2662" priority="6104" operator="containsText" text="Pesquisa de Preços">
      <formula>NOT(ISERROR(SEARCH("Pesquisa de Preços",D1297)))</formula>
    </cfRule>
  </conditionalFormatting>
  <conditionalFormatting sqref="D1352">
    <cfRule type="containsText" dxfId="2661" priority="6101" operator="containsText" text="Pesquisa de Preços">
      <formula>NOT(ISERROR(SEARCH("Pesquisa de Preços",D1352)))</formula>
    </cfRule>
  </conditionalFormatting>
  <conditionalFormatting sqref="D1512">
    <cfRule type="containsText" dxfId="2660" priority="6029" operator="containsText" text="Pesquisa de Preços">
      <formula>NOT(ISERROR(SEARCH("Pesquisa de Preços",D1512)))</formula>
    </cfRule>
  </conditionalFormatting>
  <conditionalFormatting sqref="D209">
    <cfRule type="containsText" dxfId="2659" priority="6098" operator="containsText" text="Pesquisa de Preços">
      <formula>NOT(ISERROR(SEARCH("Pesquisa de Preços",D209)))</formula>
    </cfRule>
  </conditionalFormatting>
  <conditionalFormatting sqref="D1611">
    <cfRule type="containsText" dxfId="2658" priority="6094" operator="containsText" text="Pesquisa de Preços">
      <formula>NOT(ISERROR(SEARCH("Pesquisa de Preços",D1611)))</formula>
    </cfRule>
  </conditionalFormatting>
  <conditionalFormatting sqref="D1604">
    <cfRule type="containsText" dxfId="2657" priority="6090" operator="containsText" text="Pesquisa de Preços">
      <formula>NOT(ISERROR(SEARCH("Pesquisa de Preços",D1604)))</formula>
    </cfRule>
  </conditionalFormatting>
  <conditionalFormatting sqref="D1667">
    <cfRule type="containsText" dxfId="2656" priority="6088" operator="containsText" text="Pesquisa de Preços">
      <formula>NOT(ISERROR(SEARCH("Pesquisa de Preços",D1667)))</formula>
    </cfRule>
  </conditionalFormatting>
  <conditionalFormatting sqref="D1606">
    <cfRule type="containsText" dxfId="2655" priority="6086" operator="containsText" text="Pesquisa de Preços">
      <formula>NOT(ISERROR(SEARCH("Pesquisa de Preços",D1606)))</formula>
    </cfRule>
  </conditionalFormatting>
  <conditionalFormatting sqref="D143">
    <cfRule type="containsText" dxfId="2654" priority="6085" operator="containsText" text="Pesquisa de Preços">
      <formula>NOT(ISERROR(SEARCH("Pesquisa de Preços",D143)))</formula>
    </cfRule>
  </conditionalFormatting>
  <conditionalFormatting sqref="D803">
    <cfRule type="containsText" dxfId="2653" priority="6084" operator="containsText" text="Pesquisa de Preços">
      <formula>NOT(ISERROR(SEARCH("Pesquisa de Preços",D803)))</formula>
    </cfRule>
  </conditionalFormatting>
  <conditionalFormatting sqref="D1006">
    <cfRule type="containsText" dxfId="2652" priority="6083" operator="containsText" text="Pesquisa de Preços">
      <formula>NOT(ISERROR(SEARCH("Pesquisa de Preços",D1006)))</formula>
    </cfRule>
  </conditionalFormatting>
  <conditionalFormatting sqref="D1011">
    <cfRule type="containsText" dxfId="2651" priority="6082" operator="containsText" text="Pesquisa de Preços">
      <formula>NOT(ISERROR(SEARCH("Pesquisa de Preços",D1011)))</formula>
    </cfRule>
  </conditionalFormatting>
  <conditionalFormatting sqref="D90">
    <cfRule type="containsText" dxfId="2650" priority="6081" operator="containsText" text="Pesquisa de Preços">
      <formula>NOT(ISERROR(SEARCH("Pesquisa de Preços",D90)))</formula>
    </cfRule>
  </conditionalFormatting>
  <conditionalFormatting sqref="D91">
    <cfRule type="containsText" dxfId="2649" priority="6080" operator="containsText" text="Pesquisa de Preços">
      <formula>NOT(ISERROR(SEARCH("Pesquisa de Preços",D91)))</formula>
    </cfRule>
  </conditionalFormatting>
  <conditionalFormatting sqref="D1460">
    <cfRule type="containsText" dxfId="2648" priority="6028" operator="containsText" text="Pesquisa de Preços">
      <formula>NOT(ISERROR(SEARCH("Pesquisa de Preços",D1460)))</formula>
    </cfRule>
  </conditionalFormatting>
  <conditionalFormatting sqref="D114">
    <cfRule type="containsText" dxfId="2647" priority="6079" operator="containsText" text="Pesquisa de Preços">
      <formula>NOT(ISERROR(SEARCH("Pesquisa de Preços",D114)))</formula>
    </cfRule>
  </conditionalFormatting>
  <conditionalFormatting sqref="D115">
    <cfRule type="containsText" dxfId="2646" priority="6078" operator="containsText" text="Pesquisa de Preços">
      <formula>NOT(ISERROR(SEARCH("Pesquisa de Preços",D115)))</formula>
    </cfRule>
  </conditionalFormatting>
  <conditionalFormatting sqref="D1483">
    <cfRule type="containsText" dxfId="2645" priority="6027" operator="containsText" text="Pesquisa de Preços">
      <formula>NOT(ISERROR(SEARCH("Pesquisa de Preços",D1483)))</formula>
    </cfRule>
  </conditionalFormatting>
  <conditionalFormatting sqref="D1685:D1686">
    <cfRule type="containsText" dxfId="2644" priority="6077" operator="containsText" text="Pesquisa de Preços">
      <formula>NOT(ISERROR(SEARCH("Pesquisa de Preços",D1685)))</formula>
    </cfRule>
  </conditionalFormatting>
  <conditionalFormatting sqref="D1651">
    <cfRule type="containsText" dxfId="2643" priority="6076" operator="containsText" text="Pesquisa de Preços">
      <formula>NOT(ISERROR(SEARCH("Pesquisa de Preços",D1651)))</formula>
    </cfRule>
  </conditionalFormatting>
  <conditionalFormatting sqref="D1734">
    <cfRule type="containsText" dxfId="2642" priority="6075" operator="containsText" text="Pesquisa de Preços">
      <formula>NOT(ISERROR(SEARCH("Pesquisa de Preços",D1734)))</formula>
    </cfRule>
  </conditionalFormatting>
  <conditionalFormatting sqref="D1713">
    <cfRule type="containsText" dxfId="2641" priority="6074" operator="containsText" text="Pesquisa de Preços">
      <formula>NOT(ISERROR(SEARCH("Pesquisa de Preços",D1713)))</formula>
    </cfRule>
  </conditionalFormatting>
  <conditionalFormatting sqref="D1698">
    <cfRule type="containsText" dxfId="2640" priority="6072" operator="containsText" text="Pesquisa de Preços">
      <formula>NOT(ISERROR(SEARCH("Pesquisa de Preços",D1698)))</formula>
    </cfRule>
  </conditionalFormatting>
  <conditionalFormatting sqref="D1699">
    <cfRule type="containsText" dxfId="2639" priority="6071" operator="containsText" text="Pesquisa de Preços">
      <formula>NOT(ISERROR(SEARCH("Pesquisa de Preços",D1699)))</formula>
    </cfRule>
  </conditionalFormatting>
  <conditionalFormatting sqref="D1816">
    <cfRule type="containsText" dxfId="2638" priority="6070" operator="containsText" text="Pesquisa de Preços">
      <formula>NOT(ISERROR(SEARCH("Pesquisa de Preços",D1816)))</formula>
    </cfRule>
  </conditionalFormatting>
  <conditionalFormatting sqref="D1823">
    <cfRule type="containsText" dxfId="2637" priority="6069" operator="containsText" text="Pesquisa de Preços">
      <formula>NOT(ISERROR(SEARCH("Pesquisa de Preços",D1823)))</formula>
    </cfRule>
  </conditionalFormatting>
  <conditionalFormatting sqref="D1822">
    <cfRule type="containsText" dxfId="2636" priority="6068" operator="containsText" text="Pesquisa de Preços">
      <formula>NOT(ISERROR(SEARCH("Pesquisa de Preços",D1822)))</formula>
    </cfRule>
  </conditionalFormatting>
  <conditionalFormatting sqref="D1830">
    <cfRule type="containsText" dxfId="2635" priority="6067" operator="containsText" text="Pesquisa de Preços">
      <formula>NOT(ISERROR(SEARCH("Pesquisa de Preços",D1830)))</formula>
    </cfRule>
  </conditionalFormatting>
  <conditionalFormatting sqref="D1829">
    <cfRule type="containsText" dxfId="2634" priority="6066" operator="containsText" text="Pesquisa de Preços">
      <formula>NOT(ISERROR(SEARCH("Pesquisa de Preços",D1829)))</formula>
    </cfRule>
  </conditionalFormatting>
  <conditionalFormatting sqref="D1912">
    <cfRule type="containsText" dxfId="2633" priority="6064" operator="containsText" text="Pesquisa de Preços">
      <formula>NOT(ISERROR(SEARCH("Pesquisa de Preços",D1912)))</formula>
    </cfRule>
  </conditionalFormatting>
  <conditionalFormatting sqref="D842">
    <cfRule type="containsText" dxfId="2632" priority="6063" operator="containsText" text="Pesquisa de Preços">
      <formula>NOT(ISERROR(SEARCH("Pesquisa de Preços",D842)))</formula>
    </cfRule>
  </conditionalFormatting>
  <conditionalFormatting sqref="D2379">
    <cfRule type="containsText" dxfId="2631" priority="6061" operator="containsText" text="Pesquisa de Preços">
      <formula>NOT(ISERROR(SEARCH("Pesquisa de Preços",D2379)))</formula>
    </cfRule>
  </conditionalFormatting>
  <conditionalFormatting sqref="D2378">
    <cfRule type="containsText" dxfId="2630" priority="6060" operator="containsText" text="Pesquisa de Preços">
      <formula>NOT(ISERROR(SEARCH("Pesquisa de Preços",D2378)))</formula>
    </cfRule>
  </conditionalFormatting>
  <conditionalFormatting sqref="D2249">
    <cfRule type="containsText" dxfId="2629" priority="6059" operator="containsText" text="Pesquisa de Preços">
      <formula>NOT(ISERROR(SEARCH("Pesquisa de Preços",D2249)))</formula>
    </cfRule>
  </conditionalFormatting>
  <conditionalFormatting sqref="D2248">
    <cfRule type="containsText" dxfId="2628" priority="6058" operator="containsText" text="Pesquisa de Preços">
      <formula>NOT(ISERROR(SEARCH("Pesquisa de Preços",D2248)))</formula>
    </cfRule>
  </conditionalFormatting>
  <conditionalFormatting sqref="D2371">
    <cfRule type="containsText" dxfId="2627" priority="6057" operator="containsText" text="Pesquisa de Preços">
      <formula>NOT(ISERROR(SEARCH("Pesquisa de Preços",D2371)))</formula>
    </cfRule>
  </conditionalFormatting>
  <conditionalFormatting sqref="D2372">
    <cfRule type="containsText" dxfId="2626" priority="6056" operator="containsText" text="Pesquisa de Preços">
      <formula>NOT(ISERROR(SEARCH("Pesquisa de Preços",D2372)))</formula>
    </cfRule>
  </conditionalFormatting>
  <conditionalFormatting sqref="D134">
    <cfRule type="containsText" dxfId="2625" priority="6055" operator="containsText" text="Pesquisa de Preços">
      <formula>NOT(ISERROR(SEARCH("Pesquisa de Preços",D134)))</formula>
    </cfRule>
  </conditionalFormatting>
  <conditionalFormatting sqref="D1633">
    <cfRule type="containsText" dxfId="2624" priority="6054" operator="containsText" text="Pesquisa de Preços">
      <formula>NOT(ISERROR(SEARCH("Pesquisa de Preços",D1633)))</formula>
    </cfRule>
  </conditionalFormatting>
  <conditionalFormatting sqref="D1634">
    <cfRule type="containsText" dxfId="2623" priority="6053" operator="containsText" text="Pesquisa de Preços">
      <formula>NOT(ISERROR(SEARCH("Pesquisa de Preços",D1634)))</formula>
    </cfRule>
  </conditionalFormatting>
  <conditionalFormatting sqref="D1952">
    <cfRule type="containsText" dxfId="2622" priority="6026" operator="containsText" text="Pesquisa de Preços">
      <formula>NOT(ISERROR(SEARCH("Pesquisa de Preços",D1952)))</formula>
    </cfRule>
  </conditionalFormatting>
  <conditionalFormatting sqref="D81">
    <cfRule type="containsText" dxfId="2621" priority="6052" operator="containsText" text="Pesquisa de Preços">
      <formula>NOT(ISERROR(SEARCH("Pesquisa de Preços",D81)))</formula>
    </cfRule>
  </conditionalFormatting>
  <conditionalFormatting sqref="D1136">
    <cfRule type="containsText" dxfId="2620" priority="6051" operator="containsText" text="Pesquisa de Preços">
      <formula>NOT(ISERROR(SEARCH("Pesquisa de Preços",D1136)))</formula>
    </cfRule>
  </conditionalFormatting>
  <conditionalFormatting sqref="D404:D414">
    <cfRule type="containsText" dxfId="2619" priority="6050" operator="containsText" text="Pesquisa de Preços">
      <formula>NOT(ISERROR(SEARCH("Pesquisa de Preços",D404)))</formula>
    </cfRule>
  </conditionalFormatting>
  <conditionalFormatting sqref="D418">
    <cfRule type="containsText" dxfId="2618" priority="6049" operator="containsText" text="Pesquisa de Preços">
      <formula>NOT(ISERROR(SEARCH("Pesquisa de Preços",D418)))</formula>
    </cfRule>
  </conditionalFormatting>
  <conditionalFormatting sqref="D419">
    <cfRule type="containsText" dxfId="2617" priority="6048" operator="containsText" text="Pesquisa de Preços">
      <formula>NOT(ISERROR(SEARCH("Pesquisa de Preços",D419)))</formula>
    </cfRule>
  </conditionalFormatting>
  <conditionalFormatting sqref="D418">
    <cfRule type="containsText" dxfId="2616" priority="6047" operator="containsText" text="Pesquisa de Preços">
      <formula>NOT(ISERROR(SEARCH("Pesquisa de Preços",D418)))</formula>
    </cfRule>
  </conditionalFormatting>
  <conditionalFormatting sqref="D419">
    <cfRule type="containsText" dxfId="2615" priority="6046" operator="containsText" text="Pesquisa de Preços">
      <formula>NOT(ISERROR(SEARCH("Pesquisa de Preços",D419)))</formula>
    </cfRule>
  </conditionalFormatting>
  <conditionalFormatting sqref="D420:D421">
    <cfRule type="containsText" dxfId="2614" priority="6045" operator="containsText" text="Pesquisa de Preços">
      <formula>NOT(ISERROR(SEARCH("Pesquisa de Preços",D420)))</formula>
    </cfRule>
  </conditionalFormatting>
  <conditionalFormatting sqref="D196">
    <cfRule type="containsText" dxfId="2613" priority="6044" operator="containsText" text="Pesquisa de Preços">
      <formula>NOT(ISERROR(SEARCH("Pesquisa de Preços",D196)))</formula>
    </cfRule>
  </conditionalFormatting>
  <conditionalFormatting sqref="D835:D839">
    <cfRule type="containsText" dxfId="2612" priority="6043" operator="containsText" text="Pesquisa de Preços">
      <formula>NOT(ISERROR(SEARCH("Pesquisa de Preços",D835)))</formula>
    </cfRule>
  </conditionalFormatting>
  <conditionalFormatting sqref="D835:D839">
    <cfRule type="containsText" dxfId="2611" priority="6042" operator="containsText" text="Pesquisa de Preços">
      <formula>NOT(ISERROR(SEARCH("Pesquisa de Preços",D835)))</formula>
    </cfRule>
  </conditionalFormatting>
  <conditionalFormatting sqref="D1922">
    <cfRule type="containsText" dxfId="2610" priority="6041" operator="containsText" text="Pesquisa de Preços">
      <formula>NOT(ISERROR(SEARCH("Pesquisa de Preços",D1922)))</formula>
    </cfRule>
  </conditionalFormatting>
  <conditionalFormatting sqref="D1923">
    <cfRule type="containsText" dxfId="2609" priority="6040" operator="containsText" text="Pesquisa de Preços">
      <formula>NOT(ISERROR(SEARCH("Pesquisa de Preços",D1923)))</formula>
    </cfRule>
  </conditionalFormatting>
  <conditionalFormatting sqref="D813">
    <cfRule type="containsText" dxfId="2608" priority="6039" operator="containsText" text="Pesquisa de Preços">
      <formula>NOT(ISERROR(SEARCH("Pesquisa de Preços",D813)))</formula>
    </cfRule>
  </conditionalFormatting>
  <conditionalFormatting sqref="D770">
    <cfRule type="containsText" dxfId="2607" priority="6038" operator="containsText" text="Pesquisa de Preços">
      <formula>NOT(ISERROR(SEARCH("Pesquisa de Preços",D770)))</formula>
    </cfRule>
  </conditionalFormatting>
  <conditionalFormatting sqref="D769">
    <cfRule type="containsText" dxfId="2606" priority="6037" operator="containsText" text="Pesquisa de Preços">
      <formula>NOT(ISERROR(SEARCH("Pesquisa de Preços",D769)))</formula>
    </cfRule>
  </conditionalFormatting>
  <conditionalFormatting sqref="D853">
    <cfRule type="containsText" dxfId="2605" priority="6036" operator="containsText" text="Pesquisa de Preços">
      <formula>NOT(ISERROR(SEARCH("Pesquisa de Preços",D853)))</formula>
    </cfRule>
  </conditionalFormatting>
  <conditionalFormatting sqref="D870">
    <cfRule type="containsText" dxfId="2604" priority="6035" operator="containsText" text="Pesquisa de Preços">
      <formula>NOT(ISERROR(SEARCH("Pesquisa de Preços",D870)))</formula>
    </cfRule>
  </conditionalFormatting>
  <conditionalFormatting sqref="D872:D873">
    <cfRule type="containsText" dxfId="2603" priority="6034" operator="containsText" text="Pesquisa de Preços">
      <formula>NOT(ISERROR(SEARCH("Pesquisa de Preços",D872)))</formula>
    </cfRule>
  </conditionalFormatting>
  <conditionalFormatting sqref="D848">
    <cfRule type="containsText" dxfId="2602" priority="6033" operator="containsText" text="Pesquisa de Preços">
      <formula>NOT(ISERROR(SEARCH("Pesquisa de Preços",D848)))</formula>
    </cfRule>
  </conditionalFormatting>
  <conditionalFormatting sqref="G2946">
    <cfRule type="notContainsText" dxfId="2601" priority="6025" operator="notContains" text="Sinapi">
      <formula>ISERROR(SEARCH("Sinapi",G2946))</formula>
    </cfRule>
  </conditionalFormatting>
  <conditionalFormatting sqref="G2951">
    <cfRule type="notContainsText" dxfId="2600" priority="6024" operator="notContains" text="Sinapi">
      <formula>ISERROR(SEARCH("Sinapi",G2951))</formula>
    </cfRule>
  </conditionalFormatting>
  <conditionalFormatting sqref="G2956">
    <cfRule type="notContainsText" dxfId="2599" priority="6023" operator="notContains" text="Sinapi">
      <formula>ISERROR(SEARCH("Sinapi",G2956))</formula>
    </cfRule>
  </conditionalFormatting>
  <conditionalFormatting sqref="G2961">
    <cfRule type="notContainsText" dxfId="2598" priority="6022" operator="notContains" text="Sinapi">
      <formula>ISERROR(SEARCH("Sinapi",G2961))</formula>
    </cfRule>
  </conditionalFormatting>
  <conditionalFormatting sqref="G2966">
    <cfRule type="notContainsText" dxfId="2597" priority="6021" operator="notContains" text="Sinapi">
      <formula>ISERROR(SEARCH("Sinapi",G2966))</formula>
    </cfRule>
  </conditionalFormatting>
  <conditionalFormatting sqref="G2971">
    <cfRule type="notContainsText" dxfId="2596" priority="6020" operator="notContains" text="Sinapi">
      <formula>ISERROR(SEARCH("Sinapi",G2971))</formula>
    </cfRule>
  </conditionalFormatting>
  <conditionalFormatting sqref="G2976">
    <cfRule type="notContainsText" dxfId="2595" priority="6019" operator="notContains" text="Sinapi">
      <formula>ISERROR(SEARCH("Sinapi",G2976))</formula>
    </cfRule>
  </conditionalFormatting>
  <conditionalFormatting sqref="G2981">
    <cfRule type="notContainsText" dxfId="2594" priority="6018" operator="notContains" text="Sinapi">
      <formula>ISERROR(SEARCH("Sinapi",G2981))</formula>
    </cfRule>
  </conditionalFormatting>
  <conditionalFormatting sqref="G3001">
    <cfRule type="notContainsText" dxfId="2593" priority="6016" operator="notContains" text="Sinapi">
      <formula>ISERROR(SEARCH("Sinapi",G3001))</formula>
    </cfRule>
  </conditionalFormatting>
  <conditionalFormatting sqref="G2996">
    <cfRule type="notContainsText" dxfId="2592" priority="6017" operator="notContains" text="Sinapi">
      <formula>ISERROR(SEARCH("Sinapi",G2996))</formula>
    </cfRule>
  </conditionalFormatting>
  <conditionalFormatting sqref="G3006">
    <cfRule type="notContainsText" dxfId="2591" priority="6015" operator="notContains" text="Sinapi">
      <formula>ISERROR(SEARCH("Sinapi",G3006))</formula>
    </cfRule>
  </conditionalFormatting>
  <conditionalFormatting sqref="G3011">
    <cfRule type="notContainsText" dxfId="2590" priority="6014" operator="notContains" text="Sinapi">
      <formula>ISERROR(SEARCH("Sinapi",G3011))</formula>
    </cfRule>
  </conditionalFormatting>
  <conditionalFormatting sqref="G3016">
    <cfRule type="notContainsText" dxfId="2589" priority="6013" operator="notContains" text="Sinapi">
      <formula>ISERROR(SEARCH("Sinapi",G3016))</formula>
    </cfRule>
  </conditionalFormatting>
  <conditionalFormatting sqref="G3021">
    <cfRule type="notContainsText" dxfId="2588" priority="6012" operator="notContains" text="Sinapi">
      <formula>ISERROR(SEARCH("Sinapi",G3021))</formula>
    </cfRule>
  </conditionalFormatting>
  <conditionalFormatting sqref="G3026">
    <cfRule type="notContainsText" dxfId="2587" priority="6011" operator="notContains" text="Sinapi">
      <formula>ISERROR(SEARCH("Sinapi",G3026))</formula>
    </cfRule>
  </conditionalFormatting>
  <conditionalFormatting sqref="G3031">
    <cfRule type="notContainsText" dxfId="2586" priority="6010" operator="notContains" text="Sinapi">
      <formula>ISERROR(SEARCH("Sinapi",G3031))</formula>
    </cfRule>
  </conditionalFormatting>
  <conditionalFormatting sqref="G3036">
    <cfRule type="notContainsText" dxfId="2585" priority="6009" operator="notContains" text="Sinapi">
      <formula>ISERROR(SEARCH("Sinapi",G3036))</formula>
    </cfRule>
  </conditionalFormatting>
  <conditionalFormatting sqref="G3049">
    <cfRule type="notContainsText" dxfId="2584" priority="6008" operator="notContains" text="Sinapi">
      <formula>ISERROR(SEARCH("Sinapi",G3049))</formula>
    </cfRule>
  </conditionalFormatting>
  <conditionalFormatting sqref="G3074">
    <cfRule type="notContainsText" dxfId="2583" priority="6007" operator="notContains" text="Sinapi">
      <formula>ISERROR(SEARCH("Sinapi",G3074))</formula>
    </cfRule>
  </conditionalFormatting>
  <conditionalFormatting sqref="G3087">
    <cfRule type="notContainsText" dxfId="2582" priority="6006" operator="notContains" text="Sinapi">
      <formula>ISERROR(SEARCH("Sinapi",G3087))</formula>
    </cfRule>
  </conditionalFormatting>
  <conditionalFormatting sqref="G3092">
    <cfRule type="notContainsText" dxfId="2581" priority="6005" operator="notContains" text="Sinapi">
      <formula>ISERROR(SEARCH("Sinapi",G3092))</formula>
    </cfRule>
  </conditionalFormatting>
  <conditionalFormatting sqref="G3097">
    <cfRule type="notContainsText" dxfId="2580" priority="6004" operator="notContains" text="Sinapi">
      <formula>ISERROR(SEARCH("Sinapi",G3097))</formula>
    </cfRule>
  </conditionalFormatting>
  <conditionalFormatting sqref="G3102">
    <cfRule type="notContainsText" dxfId="2579" priority="6003" operator="notContains" text="Sinapi">
      <formula>ISERROR(SEARCH("Sinapi",G3102))</formula>
    </cfRule>
  </conditionalFormatting>
  <conditionalFormatting sqref="G3107">
    <cfRule type="notContainsText" dxfId="2578" priority="6002" operator="notContains" text="Sinapi">
      <formula>ISERROR(SEARCH("Sinapi",G3107))</formula>
    </cfRule>
  </conditionalFormatting>
  <conditionalFormatting sqref="G3112">
    <cfRule type="notContainsText" dxfId="2577" priority="6001" operator="notContains" text="Sinapi">
      <formula>ISERROR(SEARCH("Sinapi",G3112))</formula>
    </cfRule>
  </conditionalFormatting>
  <conditionalFormatting sqref="G3117">
    <cfRule type="notContainsText" dxfId="2576" priority="6000" operator="notContains" text="Sinapi">
      <formula>ISERROR(SEARCH("Sinapi",G3117))</formula>
    </cfRule>
  </conditionalFormatting>
  <conditionalFormatting sqref="G3122">
    <cfRule type="notContainsText" dxfId="2575" priority="5999" operator="notContains" text="Sinapi">
      <formula>ISERROR(SEARCH("Sinapi",G3122))</formula>
    </cfRule>
  </conditionalFormatting>
  <conditionalFormatting sqref="G3127">
    <cfRule type="notContainsText" dxfId="2574" priority="5998" operator="notContains" text="Sinapi">
      <formula>ISERROR(SEARCH("Sinapi",G3127))</formula>
    </cfRule>
  </conditionalFormatting>
  <conditionalFormatting sqref="G3167">
    <cfRule type="notContainsText" dxfId="2573" priority="5997" operator="notContains" text="Sinapi">
      <formula>ISERROR(SEARCH("Sinapi",G3167))</formula>
    </cfRule>
  </conditionalFormatting>
  <conditionalFormatting sqref="G3350">
    <cfRule type="notContainsText" dxfId="2572" priority="5996" operator="notContains" text="Sinapi">
      <formula>ISERROR(SEARCH("Sinapi",G3350))</formula>
    </cfRule>
  </conditionalFormatting>
  <conditionalFormatting sqref="G3369">
    <cfRule type="notContainsText" dxfId="2571" priority="5995" operator="notContains" text="Sinapi">
      <formula>ISERROR(SEARCH("Sinapi",G3369))</formula>
    </cfRule>
  </conditionalFormatting>
  <conditionalFormatting sqref="G3380">
    <cfRule type="notContainsText" dxfId="2570" priority="5994" operator="notContains" text="Sinapi">
      <formula>ISERROR(SEARCH("Sinapi",G3380))</formula>
    </cfRule>
  </conditionalFormatting>
  <conditionalFormatting sqref="G3384">
    <cfRule type="notContainsText" dxfId="2569" priority="5993" operator="notContains" text="Sinapi">
      <formula>ISERROR(SEARCH("Sinapi",G3384))</formula>
    </cfRule>
  </conditionalFormatting>
  <conditionalFormatting sqref="D173:D174">
    <cfRule type="containsText" dxfId="2568" priority="5972" operator="containsText" text="Pesquisa de Preços">
      <formula>NOT(ISERROR(SEARCH("Pesquisa de Preços",D173)))</formula>
    </cfRule>
  </conditionalFormatting>
  <conditionalFormatting sqref="G3062">
    <cfRule type="notContainsText" dxfId="2567" priority="5971" operator="notContains" text="Sinapi">
      <formula>ISERROR(SEARCH("Sinapi",G3062))</formula>
    </cfRule>
  </conditionalFormatting>
  <conditionalFormatting sqref="E18 E3383 E263 E2406">
    <cfRule type="containsText" dxfId="2566" priority="5962" operator="containsText" text="Pesquisa de Preços">
      <formula>NOT(ISERROR(SEARCH("Pesquisa de Preços",E18)))</formula>
    </cfRule>
  </conditionalFormatting>
  <conditionalFormatting sqref="E9">
    <cfRule type="containsText" dxfId="2565" priority="5961" operator="containsText" text="Pesquisa de Preços">
      <formula>NOT(ISERROR(SEARCH("Pesquisa de Preços",E9)))</formula>
    </cfRule>
  </conditionalFormatting>
  <conditionalFormatting sqref="E7">
    <cfRule type="containsText" dxfId="2564" priority="5960" operator="containsText" text="Pesquisa de Preços">
      <formula>NOT(ISERROR(SEARCH("Pesquisa de Preços",E7)))</formula>
    </cfRule>
  </conditionalFormatting>
  <conditionalFormatting sqref="E6">
    <cfRule type="containsText" dxfId="2563" priority="5959" operator="containsText" text="Pesquisa de Preços">
      <formula>NOT(ISERROR(SEARCH("Pesquisa de Preços",E6)))</formula>
    </cfRule>
  </conditionalFormatting>
  <conditionalFormatting sqref="E8">
    <cfRule type="containsText" dxfId="2562" priority="5958" operator="containsText" text="Pesquisa de Preços">
      <formula>NOT(ISERROR(SEARCH("Pesquisa de Preços",E8)))</formula>
    </cfRule>
  </conditionalFormatting>
  <conditionalFormatting sqref="E15">
    <cfRule type="containsText" dxfId="2561" priority="5957" operator="containsText" text="Pesquisa de Preços">
      <formula>NOT(ISERROR(SEARCH("Pesquisa de Preços",E15)))</formula>
    </cfRule>
  </conditionalFormatting>
  <conditionalFormatting sqref="E14">
    <cfRule type="containsText" dxfId="2560" priority="5956" operator="containsText" text="Pesquisa de Preços">
      <formula>NOT(ISERROR(SEARCH("Pesquisa de Preços",E14)))</formula>
    </cfRule>
  </conditionalFormatting>
  <conditionalFormatting sqref="E16">
    <cfRule type="containsText" dxfId="2559" priority="5955" operator="containsText" text="Pesquisa de Preços">
      <formula>NOT(ISERROR(SEARCH("Pesquisa de Preços",E16)))</formula>
    </cfRule>
  </conditionalFormatting>
  <conditionalFormatting sqref="E12">
    <cfRule type="containsText" dxfId="2558" priority="5954" operator="containsText" text="Pesquisa de Preços">
      <formula>NOT(ISERROR(SEARCH("Pesquisa de Preços",E12)))</formula>
    </cfRule>
  </conditionalFormatting>
  <conditionalFormatting sqref="E10">
    <cfRule type="containsText" dxfId="2557" priority="5951" operator="containsText" text="Pesquisa de Preços">
      <formula>NOT(ISERROR(SEARCH("Pesquisa de Preços",E10)))</formula>
    </cfRule>
  </conditionalFormatting>
  <conditionalFormatting sqref="E13">
    <cfRule type="containsText" dxfId="2556" priority="5953" operator="containsText" text="Pesquisa de Preços">
      <formula>NOT(ISERROR(SEARCH("Pesquisa de Preços",E13)))</formula>
    </cfRule>
  </conditionalFormatting>
  <conditionalFormatting sqref="E11">
    <cfRule type="containsText" dxfId="2555" priority="5952" operator="containsText" text="Pesquisa de Preços">
      <formula>NOT(ISERROR(SEARCH("Pesquisa de Preços",E11)))</formula>
    </cfRule>
  </conditionalFormatting>
  <conditionalFormatting sqref="E226">
    <cfRule type="containsText" dxfId="2554" priority="5949" operator="containsText" text="Pesquisa de Preços">
      <formula>NOT(ISERROR(SEARCH("Pesquisa de Preços",E226)))</formula>
    </cfRule>
  </conditionalFormatting>
  <conditionalFormatting sqref="E228">
    <cfRule type="containsText" dxfId="2553" priority="5950" operator="containsText" text="Pesquisa de Preços">
      <formula>NOT(ISERROR(SEARCH("Pesquisa de Preços",E228)))</formula>
    </cfRule>
  </conditionalFormatting>
  <conditionalFormatting sqref="E225">
    <cfRule type="containsText" dxfId="2552" priority="5948" operator="containsText" text="Pesquisa de Preços">
      <formula>NOT(ISERROR(SEARCH("Pesquisa de Preços",E225)))</formula>
    </cfRule>
  </conditionalFormatting>
  <conditionalFormatting sqref="E515">
    <cfRule type="containsText" dxfId="2551" priority="5794" operator="containsText" text="Pesquisa de Preços">
      <formula>NOT(ISERROR(SEARCH("Pesquisa de Preços",E515)))</formula>
    </cfRule>
  </conditionalFormatting>
  <conditionalFormatting sqref="E151">
    <cfRule type="containsText" dxfId="2550" priority="5943" operator="containsText" text="Pesquisa de Preços">
      <formula>NOT(ISERROR(SEARCH("Pesquisa de Preços",E151)))</formula>
    </cfRule>
  </conditionalFormatting>
  <conditionalFormatting sqref="E491:E497">
    <cfRule type="containsText" dxfId="2549" priority="5790" operator="containsText" text="Pesquisa de Preços">
      <formula>NOT(ISERROR(SEARCH("Pesquisa de Preços",E491)))</formula>
    </cfRule>
  </conditionalFormatting>
  <conditionalFormatting sqref="E150">
    <cfRule type="containsText" dxfId="2548" priority="5942" operator="containsText" text="Pesquisa de Preços">
      <formula>NOT(ISERROR(SEARCH("Pesquisa de Preços",E150)))</formula>
    </cfRule>
  </conditionalFormatting>
  <conditionalFormatting sqref="E79">
    <cfRule type="containsText" dxfId="2547" priority="5945" operator="containsText" text="Pesquisa de Preços">
      <formula>NOT(ISERROR(SEARCH("Pesquisa de Preços",E79)))</formula>
    </cfRule>
  </conditionalFormatting>
  <conditionalFormatting sqref="E163">
    <cfRule type="containsText" dxfId="2546" priority="5941" operator="containsText" text="Pesquisa de Preços">
      <formula>NOT(ISERROR(SEARCH("Pesquisa de Preços",E163)))</formula>
    </cfRule>
  </conditionalFormatting>
  <conditionalFormatting sqref="E80">
    <cfRule type="containsText" dxfId="2545" priority="5947" operator="containsText" text="Pesquisa de Preços">
      <formula>NOT(ISERROR(SEARCH("Pesquisa de Preços",E80)))</formula>
    </cfRule>
  </conditionalFormatting>
  <conditionalFormatting sqref="E78">
    <cfRule type="containsText" dxfId="2544" priority="5944" operator="containsText" text="Pesquisa de Preços">
      <formula>NOT(ISERROR(SEARCH("Pesquisa de Preços",E78)))</formula>
    </cfRule>
  </conditionalFormatting>
  <conditionalFormatting sqref="E82">
    <cfRule type="containsText" dxfId="2543" priority="5946" operator="containsText" text="Pesquisa de Preços">
      <formula>NOT(ISERROR(SEARCH("Pesquisa de Preços",E82)))</formula>
    </cfRule>
  </conditionalFormatting>
  <conditionalFormatting sqref="E546">
    <cfRule type="containsText" dxfId="2542" priority="5782" operator="containsText" text="Pesquisa de Preços">
      <formula>NOT(ISERROR(SEARCH("Pesquisa de Preços",E546)))</formula>
    </cfRule>
  </conditionalFormatting>
  <conditionalFormatting sqref="E88">
    <cfRule type="containsText" dxfId="2541" priority="5938" operator="containsText" text="Pesquisa de Preços">
      <formula>NOT(ISERROR(SEARCH("Pesquisa de Preços",E88)))</formula>
    </cfRule>
  </conditionalFormatting>
  <conditionalFormatting sqref="E162">
    <cfRule type="containsText" dxfId="2540" priority="5940" operator="containsText" text="Pesquisa de Preços">
      <formula>NOT(ISERROR(SEARCH("Pesquisa de Preços",E162)))</formula>
    </cfRule>
  </conditionalFormatting>
  <conditionalFormatting sqref="E554">
    <cfRule type="containsText" dxfId="2539" priority="5779" operator="containsText" text="Pesquisa de Preços">
      <formula>NOT(ISERROR(SEARCH("Pesquisa de Preços",E554)))</formula>
    </cfRule>
  </conditionalFormatting>
  <conditionalFormatting sqref="E89">
    <cfRule type="containsText" dxfId="2538" priority="5939" operator="containsText" text="Pesquisa de Preços">
      <formula>NOT(ISERROR(SEARCH("Pesquisa de Preços",E89)))</formula>
    </cfRule>
  </conditionalFormatting>
  <conditionalFormatting sqref="E61">
    <cfRule type="containsText" dxfId="2537" priority="5937" operator="containsText" text="Pesquisa de Preços">
      <formula>NOT(ISERROR(SEARCH("Pesquisa de Preços",E61)))</formula>
    </cfRule>
  </conditionalFormatting>
  <conditionalFormatting sqref="E570">
    <cfRule type="containsText" dxfId="2536" priority="5770" operator="containsText" text="Pesquisa de Preços">
      <formula>NOT(ISERROR(SEARCH("Pesquisa de Preços",E570)))</formula>
    </cfRule>
  </conditionalFormatting>
  <conditionalFormatting sqref="E60">
    <cfRule type="containsText" dxfId="2535" priority="5936" operator="containsText" text="Pesquisa de Preços">
      <formula>NOT(ISERROR(SEARCH("Pesquisa de Preços",E60)))</formula>
    </cfRule>
  </conditionalFormatting>
  <conditionalFormatting sqref="E54">
    <cfRule type="containsText" dxfId="2534" priority="5935" operator="containsText" text="Pesquisa de Preços">
      <formula>NOT(ISERROR(SEARCH("Pesquisa de Preços",E54)))</formula>
    </cfRule>
  </conditionalFormatting>
  <conditionalFormatting sqref="E33">
    <cfRule type="containsText" dxfId="2533" priority="5932" operator="containsText" text="Pesquisa de Preços">
      <formula>NOT(ISERROR(SEARCH("Pesquisa de Preços",E33)))</formula>
    </cfRule>
  </conditionalFormatting>
  <conditionalFormatting sqref="E53">
    <cfRule type="containsText" dxfId="2532" priority="5934" operator="containsText" text="Pesquisa de Preços">
      <formula>NOT(ISERROR(SEARCH("Pesquisa de Preços",E53)))</formula>
    </cfRule>
  </conditionalFormatting>
  <conditionalFormatting sqref="E580">
    <cfRule type="containsText" dxfId="2531" priority="5768" operator="containsText" text="Pesquisa de Preços">
      <formula>NOT(ISERROR(SEARCH("Pesquisa de Preços",E580)))</formula>
    </cfRule>
  </conditionalFormatting>
  <conditionalFormatting sqref="E34:E35">
    <cfRule type="containsText" dxfId="2530" priority="5933" operator="containsText" text="Pesquisa de Preços">
      <formula>NOT(ISERROR(SEARCH("Pesquisa de Preços",E34)))</formula>
    </cfRule>
  </conditionalFormatting>
  <conditionalFormatting sqref="E99:E100">
    <cfRule type="containsText" dxfId="2529" priority="5929" operator="containsText" text="Pesquisa de Preços">
      <formula>NOT(ISERROR(SEARCH("Pesquisa de Preços",E99)))</formula>
    </cfRule>
  </conditionalFormatting>
  <conditionalFormatting sqref="E29">
    <cfRule type="containsText" dxfId="2528" priority="5931" operator="containsText" text="Pesquisa de Preços">
      <formula>NOT(ISERROR(SEARCH("Pesquisa de Preços",E29)))</formula>
    </cfRule>
  </conditionalFormatting>
  <conditionalFormatting sqref="E28">
    <cfRule type="containsText" dxfId="2527" priority="5930" operator="containsText" text="Pesquisa de Preços">
      <formula>NOT(ISERROR(SEARCH("Pesquisa de Preços",E28)))</formula>
    </cfRule>
  </conditionalFormatting>
  <conditionalFormatting sqref="E146:E147">
    <cfRule type="containsText" dxfId="2526" priority="5926" operator="containsText" text="Pesquisa de Preços">
      <formula>NOT(ISERROR(SEARCH("Pesquisa de Preços",E146)))</formula>
    </cfRule>
  </conditionalFormatting>
  <conditionalFormatting sqref="E43">
    <cfRule type="containsText" dxfId="2525" priority="5922" operator="containsText" text="Pesquisa de Preços">
      <formula>NOT(ISERROR(SEARCH("Pesquisa de Preços",E43)))</formula>
    </cfRule>
  </conditionalFormatting>
  <conditionalFormatting sqref="E98">
    <cfRule type="containsText" dxfId="2524" priority="5928" operator="containsText" text="Pesquisa de Preços">
      <formula>NOT(ISERROR(SEARCH("Pesquisa de Preços",E98)))</formula>
    </cfRule>
  </conditionalFormatting>
  <conditionalFormatting sqref="E101">
    <cfRule type="containsText" dxfId="2523" priority="5927" operator="containsText" text="Pesquisa de Preços">
      <formula>NOT(ISERROR(SEARCH("Pesquisa de Preços",E101)))</formula>
    </cfRule>
  </conditionalFormatting>
  <conditionalFormatting sqref="E181">
    <cfRule type="containsText" dxfId="2522" priority="5917" operator="containsText" text="Pesquisa de Preços">
      <formula>NOT(ISERROR(SEARCH("Pesquisa de Preços",E181)))</formula>
    </cfRule>
  </conditionalFormatting>
  <conditionalFormatting sqref="E145">
    <cfRule type="containsText" dxfId="2521" priority="5925" operator="containsText" text="Pesquisa de Preços">
      <formula>NOT(ISERROR(SEARCH("Pesquisa de Preços",E145)))</formula>
    </cfRule>
  </conditionalFormatting>
  <conditionalFormatting sqref="E24">
    <cfRule type="containsText" dxfId="2520" priority="5921" operator="containsText" text="Pesquisa de Preços">
      <formula>NOT(ISERROR(SEARCH("Pesquisa de Preços",E24)))</formula>
    </cfRule>
  </conditionalFormatting>
  <conditionalFormatting sqref="E148">
    <cfRule type="containsText" dxfId="2519" priority="5924" operator="containsText" text="Pesquisa de Preços">
      <formula>NOT(ISERROR(SEARCH("Pesquisa de Preços",E148)))</formula>
    </cfRule>
  </conditionalFormatting>
  <conditionalFormatting sqref="E44">
    <cfRule type="containsText" dxfId="2518" priority="5923" operator="containsText" text="Pesquisa de Preços">
      <formula>NOT(ISERROR(SEARCH("Pesquisa de Preços",E44)))</formula>
    </cfRule>
  </conditionalFormatting>
  <conditionalFormatting sqref="E23">
    <cfRule type="containsText" dxfId="2517" priority="5920" operator="containsText" text="Pesquisa de Preços">
      <formula>NOT(ISERROR(SEARCH("Pesquisa de Preços",E23)))</formula>
    </cfRule>
  </conditionalFormatting>
  <conditionalFormatting sqref="E118">
    <cfRule type="containsText" dxfId="2516" priority="5915" operator="containsText" text="Pesquisa de Preços">
      <formula>NOT(ISERROR(SEARCH("Pesquisa de Preços",E118)))</formula>
    </cfRule>
  </conditionalFormatting>
  <conditionalFormatting sqref="E180">
    <cfRule type="containsText" dxfId="2515" priority="5916" operator="containsText" text="Pesquisa de Preços">
      <formula>NOT(ISERROR(SEARCH("Pesquisa de Preços",E180)))</formula>
    </cfRule>
  </conditionalFormatting>
  <conditionalFormatting sqref="E39:E41">
    <cfRule type="containsText" dxfId="2514" priority="5919" operator="containsText" text="Pesquisa de Preços">
      <formula>NOT(ISERROR(SEARCH("Pesquisa de Preços",E39)))</formula>
    </cfRule>
  </conditionalFormatting>
  <conditionalFormatting sqref="E38">
    <cfRule type="containsText" dxfId="2513" priority="5918" operator="containsText" text="Pesquisa de Preços">
      <formula>NOT(ISERROR(SEARCH("Pesquisa de Preços",E38)))</formula>
    </cfRule>
  </conditionalFormatting>
  <conditionalFormatting sqref="E117">
    <cfRule type="containsText" dxfId="2512" priority="5914" operator="containsText" text="Pesquisa de Preços">
      <formula>NOT(ISERROR(SEARCH("Pesquisa de Preços",E117)))</formula>
    </cfRule>
  </conditionalFormatting>
  <conditionalFormatting sqref="E678">
    <cfRule type="containsText" dxfId="2511" priority="5764" operator="containsText" text="Pesquisa de Preços">
      <formula>NOT(ISERROR(SEARCH("Pesquisa de Preços",E678)))</formula>
    </cfRule>
  </conditionalFormatting>
  <conditionalFormatting sqref="E670">
    <cfRule type="containsText" dxfId="2510" priority="5762" operator="containsText" text="Pesquisa de Preços">
      <formula>NOT(ISERROR(SEARCH("Pesquisa de Preços",E670)))</formula>
    </cfRule>
  </conditionalFormatting>
  <conditionalFormatting sqref="E176">
    <cfRule type="containsText" dxfId="2509" priority="5912" operator="containsText" text="Pesquisa de Preços">
      <formula>NOT(ISERROR(SEARCH("Pesquisa de Preços",E176)))</formula>
    </cfRule>
  </conditionalFormatting>
  <conditionalFormatting sqref="E177:E178">
    <cfRule type="containsText" dxfId="2508" priority="5913" operator="containsText" text="Pesquisa de Preços">
      <formula>NOT(ISERROR(SEARCH("Pesquisa de Preços",E177)))</formula>
    </cfRule>
  </conditionalFormatting>
  <conditionalFormatting sqref="E220">
    <cfRule type="containsText" dxfId="2507" priority="5910" operator="containsText" text="Pesquisa de Preços">
      <formula>NOT(ISERROR(SEARCH("Pesquisa de Preços",E220)))</formula>
    </cfRule>
  </conditionalFormatting>
  <conditionalFormatting sqref="E221:E222">
    <cfRule type="containsText" dxfId="2506" priority="5911" operator="containsText" text="Pesquisa de Preços">
      <formula>NOT(ISERROR(SEARCH("Pesquisa de Preços",E221)))</formula>
    </cfRule>
  </conditionalFormatting>
  <conditionalFormatting sqref="E127">
    <cfRule type="containsText" dxfId="2505" priority="5907" operator="containsText" text="Pesquisa de Preços">
      <formula>NOT(ISERROR(SEARCH("Pesquisa de Preços",E127)))</formula>
    </cfRule>
  </conditionalFormatting>
  <conditionalFormatting sqref="E688:E689 E695:E696">
    <cfRule type="containsText" dxfId="2504" priority="5760" operator="containsText" text="Pesquisa de Preços">
      <formula>NOT(ISERROR(SEARCH("Pesquisa de Preços",E688)))</formula>
    </cfRule>
  </conditionalFormatting>
  <conditionalFormatting sqref="E223">
    <cfRule type="containsText" dxfId="2503" priority="5909" operator="containsText" text="Pesquisa de Preços">
      <formula>NOT(ISERROR(SEARCH("Pesquisa de Preços",E223)))</formula>
    </cfRule>
  </conditionalFormatting>
  <conditionalFormatting sqref="E128">
    <cfRule type="containsText" dxfId="2502" priority="5908" operator="containsText" text="Pesquisa de Preços">
      <formula>NOT(ISERROR(SEARCH("Pesquisa de Preços",E128)))</formula>
    </cfRule>
  </conditionalFormatting>
  <conditionalFormatting sqref="E716">
    <cfRule type="containsText" dxfId="2501" priority="5757" operator="containsText" text="Pesquisa de Preços">
      <formula>NOT(ISERROR(SEARCH("Pesquisa de Preços",E716)))</formula>
    </cfRule>
  </conditionalFormatting>
  <conditionalFormatting sqref="E168:E169">
    <cfRule type="containsText" dxfId="2500" priority="5906" operator="containsText" text="Pesquisa de Preços">
      <formula>NOT(ISERROR(SEARCH("Pesquisa de Preços",E168)))</formula>
    </cfRule>
  </conditionalFormatting>
  <conditionalFormatting sqref="E167">
    <cfRule type="containsText" dxfId="2499" priority="5905" operator="containsText" text="Pesquisa de Preços">
      <formula>NOT(ISERROR(SEARCH("Pesquisa de Preços",E167)))</formula>
    </cfRule>
  </conditionalFormatting>
  <conditionalFormatting sqref="E732">
    <cfRule type="containsText" dxfId="2498" priority="5755" operator="containsText" text="Pesquisa de Preços">
      <formula>NOT(ISERROR(SEARCH("Pesquisa de Preços",E732)))</formula>
    </cfRule>
  </conditionalFormatting>
  <conditionalFormatting sqref="E170">
    <cfRule type="containsText" dxfId="2497" priority="5904" operator="containsText" text="Pesquisa de Preços">
      <formula>NOT(ISERROR(SEARCH("Pesquisa de Preços",E170)))</formula>
    </cfRule>
  </conditionalFormatting>
  <conditionalFormatting sqref="E84">
    <cfRule type="containsText" dxfId="2496" priority="5903" operator="containsText" text="Pesquisa de Preços">
      <formula>NOT(ISERROR(SEARCH("Pesquisa de Preços",E84)))</formula>
    </cfRule>
  </conditionalFormatting>
  <conditionalFormatting sqref="E83">
    <cfRule type="containsText" dxfId="2495" priority="5902" operator="containsText" text="Pesquisa de Preços">
      <formula>NOT(ISERROR(SEARCH("Pesquisa de Preços",E83)))</formula>
    </cfRule>
  </conditionalFormatting>
  <conditionalFormatting sqref="E113">
    <cfRule type="containsText" dxfId="2494" priority="5901" operator="containsText" text="Pesquisa de Preços">
      <formula>NOT(ISERROR(SEARCH("Pesquisa de Preços",E113)))</formula>
    </cfRule>
  </conditionalFormatting>
  <conditionalFormatting sqref="E212:E213">
    <cfRule type="containsText" dxfId="2493" priority="5899" operator="containsText" text="Pesquisa de Preços">
      <formula>NOT(ISERROR(SEARCH("Pesquisa de Preços",E212)))</formula>
    </cfRule>
  </conditionalFormatting>
  <conditionalFormatting sqref="E112">
    <cfRule type="containsText" dxfId="2492" priority="5900" operator="containsText" text="Pesquisa de Preços">
      <formula>NOT(ISERROR(SEARCH("Pesquisa de Preços",E112)))</formula>
    </cfRule>
  </conditionalFormatting>
  <conditionalFormatting sqref="E202">
    <cfRule type="containsText" dxfId="2491" priority="5896" operator="containsText" text="Pesquisa de Preços">
      <formula>NOT(ISERROR(SEARCH("Pesquisa de Preços",E202)))</formula>
    </cfRule>
  </conditionalFormatting>
  <conditionalFormatting sqref="E211">
    <cfRule type="containsText" dxfId="2490" priority="5898" operator="containsText" text="Pesquisa de Preços">
      <formula>NOT(ISERROR(SEARCH("Pesquisa de Preços",E211)))</formula>
    </cfRule>
  </conditionalFormatting>
  <conditionalFormatting sqref="E203">
    <cfRule type="containsText" dxfId="2489" priority="5897" operator="containsText" text="Pesquisa de Preços">
      <formula>NOT(ISERROR(SEARCH("Pesquisa de Preços",E203)))</formula>
    </cfRule>
  </conditionalFormatting>
  <conditionalFormatting sqref="E199:E200">
    <cfRule type="containsText" dxfId="2488" priority="5894" operator="containsText" text="Pesquisa de Preços">
      <formula>NOT(ISERROR(SEARCH("Pesquisa de Preços",E199)))</formula>
    </cfRule>
  </conditionalFormatting>
  <conditionalFormatting sqref="E204:E205">
    <cfRule type="containsText" dxfId="2487" priority="5895" operator="containsText" text="Pesquisa de Preços">
      <formula>NOT(ISERROR(SEARCH("Pesquisa de Preços",E204)))</formula>
    </cfRule>
  </conditionalFormatting>
  <conditionalFormatting sqref="E198">
    <cfRule type="containsText" dxfId="2486" priority="5893" operator="containsText" text="Pesquisa de Preços">
      <formula>NOT(ISERROR(SEARCH("Pesquisa de Preços",E198)))</formula>
    </cfRule>
  </conditionalFormatting>
  <conditionalFormatting sqref="E71:E72 E76:E77">
    <cfRule type="containsText" dxfId="2485" priority="5892" operator="containsText" text="Pesquisa de Preços">
      <formula>NOT(ISERROR(SEARCH("Pesquisa de Preços",E71)))</formula>
    </cfRule>
  </conditionalFormatting>
  <conditionalFormatting sqref="E70">
    <cfRule type="containsText" dxfId="2484" priority="5891" operator="containsText" text="Pesquisa de Preços">
      <formula>NOT(ISERROR(SEARCH("Pesquisa de Preços",E70)))</formula>
    </cfRule>
  </conditionalFormatting>
  <conditionalFormatting sqref="E73:E75">
    <cfRule type="containsText" dxfId="2483" priority="5890" operator="containsText" text="Pesquisa de Preços">
      <formula>NOT(ISERROR(SEARCH("Pesquisa de Preços",E73)))</formula>
    </cfRule>
  </conditionalFormatting>
  <conditionalFormatting sqref="E137:E138">
    <cfRule type="containsText" dxfId="2482" priority="5889" operator="containsText" text="Pesquisa de Preços">
      <formula>NOT(ISERROR(SEARCH("Pesquisa de Preços",E137)))</formula>
    </cfRule>
  </conditionalFormatting>
  <conditionalFormatting sqref="E136">
    <cfRule type="containsText" dxfId="2481" priority="5888" operator="containsText" text="Pesquisa de Preços">
      <formula>NOT(ISERROR(SEARCH("Pesquisa de Preços",E136)))</formula>
    </cfRule>
  </conditionalFormatting>
  <conditionalFormatting sqref="E141:E142">
    <cfRule type="containsText" dxfId="2480" priority="5887" operator="containsText" text="Pesquisa de Preços">
      <formula>NOT(ISERROR(SEARCH("Pesquisa de Preços",E141)))</formula>
    </cfRule>
  </conditionalFormatting>
  <conditionalFormatting sqref="E140">
    <cfRule type="containsText" dxfId="2479" priority="5886" operator="containsText" text="Pesquisa de Preços">
      <formula>NOT(ISERROR(SEARCH("Pesquisa de Preços",E140)))</formula>
    </cfRule>
  </conditionalFormatting>
  <conditionalFormatting sqref="E792 E794:E803">
    <cfRule type="containsText" dxfId="2478" priority="5749" operator="containsText" text="Pesquisa de Preços">
      <formula>NOT(ISERROR(SEARCH("Pesquisa de Preços",E792)))</formula>
    </cfRule>
  </conditionalFormatting>
  <conditionalFormatting sqref="E156:E158">
    <cfRule type="containsText" dxfId="2477" priority="5885" operator="containsText" text="Pesquisa de Preços">
      <formula>NOT(ISERROR(SEARCH("Pesquisa de Preços",E156)))</formula>
    </cfRule>
  </conditionalFormatting>
  <conditionalFormatting sqref="E155">
    <cfRule type="containsText" dxfId="2476" priority="5884" operator="containsText" text="Pesquisa de Preços">
      <formula>NOT(ISERROR(SEARCH("Pesquisa de Preços",E155)))</formula>
    </cfRule>
  </conditionalFormatting>
  <conditionalFormatting sqref="E834">
    <cfRule type="containsText" dxfId="2475" priority="5747" operator="containsText" text="Pesquisa de Preços">
      <formula>NOT(ISERROR(SEARCH("Pesquisa de Preços",E834)))</formula>
    </cfRule>
  </conditionalFormatting>
  <conditionalFormatting sqref="E94">
    <cfRule type="containsText" dxfId="2474" priority="5883" operator="containsText" text="Pesquisa de Preços">
      <formula>NOT(ISERROR(SEARCH("Pesquisa de Preços",E94)))</formula>
    </cfRule>
  </conditionalFormatting>
  <conditionalFormatting sqref="E93">
    <cfRule type="containsText" dxfId="2473" priority="5882" operator="containsText" text="Pesquisa de Preços">
      <formula>NOT(ISERROR(SEARCH("Pesquisa de Preços",E93)))</formula>
    </cfRule>
  </conditionalFormatting>
  <conditionalFormatting sqref="E816:E817">
    <cfRule type="containsText" dxfId="2472" priority="5745" operator="containsText" text="Pesquisa de Preços">
      <formula>NOT(ISERROR(SEARCH("Pesquisa de Preços",E816)))</formula>
    </cfRule>
  </conditionalFormatting>
  <conditionalFormatting sqref="E49:E50">
    <cfRule type="containsText" dxfId="2471" priority="5881" operator="containsText" text="Pesquisa de Preços">
      <formula>NOT(ISERROR(SEARCH("Pesquisa de Preços",E49)))</formula>
    </cfRule>
  </conditionalFormatting>
  <conditionalFormatting sqref="E48">
    <cfRule type="containsText" dxfId="2470" priority="5880" operator="containsText" text="Pesquisa de Preços">
      <formula>NOT(ISERROR(SEARCH("Pesquisa de Preços",E48)))</formula>
    </cfRule>
  </conditionalFormatting>
  <conditionalFormatting sqref="E51">
    <cfRule type="containsText" dxfId="2469" priority="5879" operator="containsText" text="Pesquisa de Preços">
      <formula>NOT(ISERROR(SEARCH("Pesquisa de Preços",E51)))</formula>
    </cfRule>
  </conditionalFormatting>
  <conditionalFormatting sqref="E192:E193">
    <cfRule type="containsText" dxfId="2468" priority="5878" operator="containsText" text="Pesquisa de Preços">
      <formula>NOT(ISERROR(SEARCH("Pesquisa de Preços",E192)))</formula>
    </cfRule>
  </conditionalFormatting>
  <conditionalFormatting sqref="E191">
    <cfRule type="containsText" dxfId="2467" priority="5877" operator="containsText" text="Pesquisa de Preços">
      <formula>NOT(ISERROR(SEARCH("Pesquisa de Preços",E191)))</formula>
    </cfRule>
  </conditionalFormatting>
  <conditionalFormatting sqref="E750:E751 E754:E755">
    <cfRule type="containsText" dxfId="2466" priority="5743" operator="containsText" text="Pesquisa de Preços">
      <formula>NOT(ISERROR(SEARCH("Pesquisa de Preços",E750)))</formula>
    </cfRule>
  </conditionalFormatting>
  <conditionalFormatting sqref="E194">
    <cfRule type="containsText" dxfId="2465" priority="5876" operator="containsText" text="Pesquisa de Preços">
      <formula>NOT(ISERROR(SEARCH("Pesquisa de Preços",E194)))</formula>
    </cfRule>
  </conditionalFormatting>
  <conditionalFormatting sqref="E216:E217">
    <cfRule type="containsText" dxfId="2464" priority="5875" operator="containsText" text="Pesquisa de Preços">
      <formula>NOT(ISERROR(SEARCH("Pesquisa de Preços",E216)))</formula>
    </cfRule>
  </conditionalFormatting>
  <conditionalFormatting sqref="E215">
    <cfRule type="containsText" dxfId="2463" priority="5874" operator="containsText" text="Pesquisa de Preços">
      <formula>NOT(ISERROR(SEARCH("Pesquisa de Preços",E215)))</formula>
    </cfRule>
  </conditionalFormatting>
  <conditionalFormatting sqref="E218">
    <cfRule type="containsText" dxfId="2462" priority="5873" operator="containsText" text="Pesquisa de Preços">
      <formula>NOT(ISERROR(SEARCH("Pesquisa de Preços",E218)))</formula>
    </cfRule>
  </conditionalFormatting>
  <conditionalFormatting sqref="E123:E124">
    <cfRule type="containsText" dxfId="2461" priority="5872" operator="containsText" text="Pesquisa de Preços">
      <formula>NOT(ISERROR(SEARCH("Pesquisa de Preços",E123)))</formula>
    </cfRule>
  </conditionalFormatting>
  <conditionalFormatting sqref="E122">
    <cfRule type="containsText" dxfId="2460" priority="5871" operator="containsText" text="Pesquisa de Preços">
      <formula>NOT(ISERROR(SEARCH("Pesquisa de Preços",E122)))</formula>
    </cfRule>
  </conditionalFormatting>
  <conditionalFormatting sqref="E757:E758">
    <cfRule type="containsText" dxfId="2459" priority="5740" operator="containsText" text="Pesquisa de Preços">
      <formula>NOT(ISERROR(SEARCH("Pesquisa de Preços",E757)))</formula>
    </cfRule>
  </conditionalFormatting>
  <conditionalFormatting sqref="E125">
    <cfRule type="containsText" dxfId="2458" priority="5870" operator="containsText" text="Pesquisa de Preços">
      <formula>NOT(ISERROR(SEARCH("Pesquisa de Preços",E125)))</formula>
    </cfRule>
  </conditionalFormatting>
  <conditionalFormatting sqref="E108:E109">
    <cfRule type="containsText" dxfId="2457" priority="5869" operator="containsText" text="Pesquisa de Preços">
      <formula>NOT(ISERROR(SEARCH("Pesquisa de Preços",E108)))</formula>
    </cfRule>
  </conditionalFormatting>
  <conditionalFormatting sqref="E107">
    <cfRule type="containsText" dxfId="2456" priority="5868" operator="containsText" text="Pesquisa de Preços">
      <formula>NOT(ISERROR(SEARCH("Pesquisa de Preços",E107)))</formula>
    </cfRule>
  </conditionalFormatting>
  <conditionalFormatting sqref="E825 E827">
    <cfRule type="containsText" dxfId="2455" priority="5737" operator="containsText" text="Pesquisa de Preços">
      <formula>NOT(ISERROR(SEARCH("Pesquisa de Preços",E825)))</formula>
    </cfRule>
  </conditionalFormatting>
  <conditionalFormatting sqref="E110">
    <cfRule type="containsText" dxfId="2454" priority="5867" operator="containsText" text="Pesquisa de Preços">
      <formula>NOT(ISERROR(SEARCH("Pesquisa de Preços",E110)))</formula>
    </cfRule>
  </conditionalFormatting>
  <conditionalFormatting sqref="E133">
    <cfRule type="containsText" dxfId="2453" priority="5866" operator="containsText" text="Pesquisa de Preços">
      <formula>NOT(ISERROR(SEARCH("Pesquisa de Preços",E133)))</formula>
    </cfRule>
  </conditionalFormatting>
  <conditionalFormatting sqref="E132">
    <cfRule type="containsText" dxfId="2452" priority="5865" operator="containsText" text="Pesquisa de Preços">
      <formula>NOT(ISERROR(SEARCH("Pesquisa de Preços",E132)))</formula>
    </cfRule>
  </conditionalFormatting>
  <conditionalFormatting sqref="E829">
    <cfRule type="containsText" dxfId="2451" priority="5735" operator="containsText" text="Pesquisa de Preços">
      <formula>NOT(ISERROR(SEARCH("Pesquisa de Preços",E829)))</formula>
    </cfRule>
  </conditionalFormatting>
  <conditionalFormatting sqref="E66:E67">
    <cfRule type="containsText" dxfId="2450" priority="5864" operator="containsText" text="Pesquisa de Preços">
      <formula>NOT(ISERROR(SEARCH("Pesquisa de Preços",E66)))</formula>
    </cfRule>
  </conditionalFormatting>
  <conditionalFormatting sqref="E65">
    <cfRule type="containsText" dxfId="2449" priority="5863" operator="containsText" text="Pesquisa de Preços">
      <formula>NOT(ISERROR(SEARCH("Pesquisa de Preços",E65)))</formula>
    </cfRule>
  </conditionalFormatting>
  <conditionalFormatting sqref="E806">
    <cfRule type="containsText" dxfId="2448" priority="5733" operator="containsText" text="Pesquisa de Preços">
      <formula>NOT(ISERROR(SEARCH("Pesquisa de Preços",E806)))</formula>
    </cfRule>
  </conditionalFormatting>
  <conditionalFormatting sqref="E68">
    <cfRule type="containsText" dxfId="2447" priority="5862" operator="containsText" text="Pesquisa de Preços">
      <formula>NOT(ISERROR(SEARCH("Pesquisa de Preços",E68)))</formula>
    </cfRule>
  </conditionalFormatting>
  <conditionalFormatting sqref="E284">
    <cfRule type="containsText" dxfId="2446" priority="5851" operator="containsText" text="Pesquisa de Preços">
      <formula>NOT(ISERROR(SEARCH("Pesquisa de Preços",E284)))</formula>
    </cfRule>
  </conditionalFormatting>
  <conditionalFormatting sqref="E269">
    <cfRule type="containsText" dxfId="2445" priority="5848" operator="containsText" text="Pesquisa de Preços">
      <formula>NOT(ISERROR(SEARCH("Pesquisa de Preços",E269)))</formula>
    </cfRule>
  </conditionalFormatting>
  <conditionalFormatting sqref="E322">
    <cfRule type="containsText" dxfId="2444" priority="5846" operator="containsText" text="Pesquisa de Preços">
      <formula>NOT(ISERROR(SEARCH("Pesquisa de Preços",E322)))</formula>
    </cfRule>
  </conditionalFormatting>
  <conditionalFormatting sqref="E306">
    <cfRule type="containsText" dxfId="2443" priority="5843" operator="containsText" text="Pesquisa de Preços">
      <formula>NOT(ISERROR(SEARCH("Pesquisa de Preços",E306)))</formula>
    </cfRule>
  </conditionalFormatting>
  <conditionalFormatting sqref="E343:E344">
    <cfRule type="containsText" dxfId="2442" priority="5841" operator="containsText" text="Pesquisa de Preços">
      <formula>NOT(ISERROR(SEARCH("Pesquisa de Preços",E343)))</formula>
    </cfRule>
  </conditionalFormatting>
  <conditionalFormatting sqref="E291">
    <cfRule type="containsText" dxfId="2441" priority="5835" operator="containsText" text="Pesquisa de Preços">
      <formula>NOT(ISERROR(SEARCH("Pesquisa de Preços",E291)))</formula>
    </cfRule>
  </conditionalFormatting>
  <conditionalFormatting sqref="E328:E329">
    <cfRule type="containsText" dxfId="2440" priority="5833" operator="containsText" text="Pesquisa de Preços">
      <formula>NOT(ISERROR(SEARCH("Pesquisa de Preços",E328)))</formula>
    </cfRule>
  </conditionalFormatting>
  <conditionalFormatting sqref="E402">
    <cfRule type="containsText" dxfId="2439" priority="5823" operator="containsText" text="Pesquisa de Preços">
      <formula>NOT(ISERROR(SEARCH("Pesquisa de Preços",E402)))</formula>
    </cfRule>
  </conditionalFormatting>
  <conditionalFormatting sqref="E417 E422">
    <cfRule type="containsText" dxfId="2438" priority="5822" operator="containsText" text="Pesquisa de Preços">
      <formula>NOT(ISERROR(SEARCH("Pesquisa de Preços",E417)))</formula>
    </cfRule>
  </conditionalFormatting>
  <conditionalFormatting sqref="E435">
    <cfRule type="containsText" dxfId="2437" priority="5816" operator="containsText" text="Pesquisa de Preços">
      <formula>NOT(ISERROR(SEARCH("Pesquisa de Preços",E435)))</formula>
    </cfRule>
  </conditionalFormatting>
  <conditionalFormatting sqref="E248">
    <cfRule type="containsText" dxfId="2436" priority="5861" operator="containsText" text="Pesquisa de Preços">
      <formula>NOT(ISERROR(SEARCH("Pesquisa de Preços",E248)))</formula>
    </cfRule>
  </conditionalFormatting>
  <conditionalFormatting sqref="E250:E251">
    <cfRule type="containsText" dxfId="2435" priority="5860" operator="containsText" text="Pesquisa de Preços">
      <formula>NOT(ISERROR(SEARCH("Pesquisa de Preços",E250)))</formula>
    </cfRule>
  </conditionalFormatting>
  <conditionalFormatting sqref="E249">
    <cfRule type="containsText" dxfId="2434" priority="5859" operator="containsText" text="Pesquisa de Preços">
      <formula>NOT(ISERROR(SEARCH("Pesquisa de Preços",E249)))</formula>
    </cfRule>
  </conditionalFormatting>
  <conditionalFormatting sqref="E1094:E1096">
    <cfRule type="containsText" dxfId="2433" priority="5671" operator="containsText" text="Pesquisa de Preços">
      <formula>NOT(ISERROR(SEARCH("Pesquisa de Preços",E1094)))</formula>
    </cfRule>
  </conditionalFormatting>
  <conditionalFormatting sqref="E252:E262">
    <cfRule type="containsText" dxfId="2432" priority="5858" operator="containsText" text="Pesquisa de Preços">
      <formula>NOT(ISERROR(SEARCH("Pesquisa de Preços",E252)))</formula>
    </cfRule>
  </conditionalFormatting>
  <conditionalFormatting sqref="E265:E266">
    <cfRule type="containsText" dxfId="2431" priority="5857" operator="containsText" text="Pesquisa de Preços">
      <formula>NOT(ISERROR(SEARCH("Pesquisa de Preços",E265)))</formula>
    </cfRule>
  </conditionalFormatting>
  <conditionalFormatting sqref="E264">
    <cfRule type="containsText" dxfId="2430" priority="5856" operator="containsText" text="Pesquisa de Preços">
      <formula>NOT(ISERROR(SEARCH("Pesquisa de Preços",E264)))</formula>
    </cfRule>
  </conditionalFormatting>
  <conditionalFormatting sqref="E278:E279 E282:E283">
    <cfRule type="containsText" dxfId="2429" priority="5855" operator="containsText" text="Pesquisa de Preços">
      <formula>NOT(ISERROR(SEARCH("Pesquisa de Preços",E278)))</formula>
    </cfRule>
  </conditionalFormatting>
  <conditionalFormatting sqref="E277">
    <cfRule type="containsText" dxfId="2428" priority="5854" operator="containsText" text="Pesquisa de Preços">
      <formula>NOT(ISERROR(SEARCH("Pesquisa de Preços",E277)))</formula>
    </cfRule>
  </conditionalFormatting>
  <conditionalFormatting sqref="E280:E281">
    <cfRule type="containsText" dxfId="2427" priority="5853" operator="containsText" text="Pesquisa de Preços">
      <formula>NOT(ISERROR(SEARCH("Pesquisa de Preços",E280)))</formula>
    </cfRule>
  </conditionalFormatting>
  <conditionalFormatting sqref="E285:E286 E289:E290">
    <cfRule type="containsText" dxfId="2426" priority="5852" operator="containsText" text="Pesquisa de Preços">
      <formula>NOT(ISERROR(SEARCH("Pesquisa de Preços",E285)))</formula>
    </cfRule>
  </conditionalFormatting>
  <conditionalFormatting sqref="E287:E288">
    <cfRule type="containsText" dxfId="2425" priority="5850" operator="containsText" text="Pesquisa de Preços">
      <formula>NOT(ISERROR(SEARCH("Pesquisa de Preços",E287)))</formula>
    </cfRule>
  </conditionalFormatting>
  <conditionalFormatting sqref="E270:E271 E275:E276">
    <cfRule type="containsText" dxfId="2424" priority="5849" operator="containsText" text="Pesquisa de Preços">
      <formula>NOT(ISERROR(SEARCH("Pesquisa de Preços",E270)))</formula>
    </cfRule>
  </conditionalFormatting>
  <conditionalFormatting sqref="E272:E274">
    <cfRule type="containsText" dxfId="2423" priority="5847" operator="containsText" text="Pesquisa de Preços">
      <formula>NOT(ISERROR(SEARCH("Pesquisa de Preços",E272)))</formula>
    </cfRule>
  </conditionalFormatting>
  <conditionalFormatting sqref="E321">
    <cfRule type="containsText" dxfId="2422" priority="5845" operator="containsText" text="Pesquisa de Preços">
      <formula>NOT(ISERROR(SEARCH("Pesquisa de Preços",E321)))</formula>
    </cfRule>
  </conditionalFormatting>
  <conditionalFormatting sqref="E533:E534 E536:E537">
    <cfRule type="containsText" dxfId="2421" priority="5793" operator="containsText" text="Pesquisa de Preços">
      <formula>NOT(ISERROR(SEARCH("Pesquisa de Preços",E533)))</formula>
    </cfRule>
  </conditionalFormatting>
  <conditionalFormatting sqref="E307">
    <cfRule type="containsText" dxfId="2420" priority="5844" operator="containsText" text="Pesquisa de Preços">
      <formula>NOT(ISERROR(SEARCH("Pesquisa de Preços",E307)))</formula>
    </cfRule>
  </conditionalFormatting>
  <conditionalFormatting sqref="E313:E315">
    <cfRule type="containsText" dxfId="2419" priority="5842" operator="containsText" text="Pesquisa de Preços">
      <formula>NOT(ISERROR(SEARCH("Pesquisa de Preços",E313)))</formula>
    </cfRule>
  </conditionalFormatting>
  <conditionalFormatting sqref="E342">
    <cfRule type="containsText" dxfId="2418" priority="5840" operator="containsText" text="Pesquisa de Preços">
      <formula>NOT(ISERROR(SEARCH("Pesquisa de Preços",E342)))</formula>
    </cfRule>
  </conditionalFormatting>
  <conditionalFormatting sqref="E1287">
    <cfRule type="containsText" dxfId="2417" priority="5595" operator="containsText" text="Pesquisa de Preços">
      <formula>NOT(ISERROR(SEARCH("Pesquisa de Preços",E1287)))</formula>
    </cfRule>
  </conditionalFormatting>
  <conditionalFormatting sqref="E353">
    <cfRule type="containsText" dxfId="2416" priority="5839" operator="containsText" text="Pesquisa de Preços">
      <formula>NOT(ISERROR(SEARCH("Pesquisa de Preços",E353)))</formula>
    </cfRule>
  </conditionalFormatting>
  <conditionalFormatting sqref="E352">
    <cfRule type="containsText" dxfId="2415" priority="5838" operator="containsText" text="Pesquisa de Preços">
      <formula>NOT(ISERROR(SEARCH("Pesquisa de Preços",E352)))</formula>
    </cfRule>
  </conditionalFormatting>
  <conditionalFormatting sqref="E356:E359">
    <cfRule type="containsText" dxfId="2414" priority="5837" operator="containsText" text="Pesquisa de Preços">
      <formula>NOT(ISERROR(SEARCH("Pesquisa de Preços",E356)))</formula>
    </cfRule>
  </conditionalFormatting>
  <conditionalFormatting sqref="E292:E293">
    <cfRule type="containsText" dxfId="2413" priority="5836" operator="containsText" text="Pesquisa de Preços">
      <formula>NOT(ISERROR(SEARCH("Pesquisa de Preços",E292)))</formula>
    </cfRule>
  </conditionalFormatting>
  <conditionalFormatting sqref="E299:E300">
    <cfRule type="containsText" dxfId="2412" priority="5834" operator="containsText" text="Pesquisa de Preços">
      <formula>NOT(ISERROR(SEARCH("Pesquisa de Preços",E299)))</formula>
    </cfRule>
  </conditionalFormatting>
  <conditionalFormatting sqref="E327">
    <cfRule type="containsText" dxfId="2411" priority="5832" operator="containsText" text="Pesquisa de Preços">
      <formula>NOT(ISERROR(SEARCH("Pesquisa de Preços",E327)))</formula>
    </cfRule>
  </conditionalFormatting>
  <conditionalFormatting sqref="E330:E340">
    <cfRule type="containsText" dxfId="2410" priority="5831" operator="containsText" text="Pesquisa de Preços">
      <formula>NOT(ISERROR(SEARCH("Pesquisa de Preços",E330)))</formula>
    </cfRule>
  </conditionalFormatting>
  <conditionalFormatting sqref="E367:E368 E370:E371">
    <cfRule type="containsText" dxfId="2409" priority="5830" operator="containsText" text="Pesquisa de Preços">
      <formula>NOT(ISERROR(SEARCH("Pesquisa de Preços",E367)))</formula>
    </cfRule>
  </conditionalFormatting>
  <conditionalFormatting sqref="E366">
    <cfRule type="containsText" dxfId="2408" priority="5829" operator="containsText" text="Pesquisa de Preços">
      <formula>NOT(ISERROR(SEARCH("Pesquisa de Preços",E366)))</formula>
    </cfRule>
  </conditionalFormatting>
  <conditionalFormatting sqref="E369">
    <cfRule type="containsText" dxfId="2407" priority="5828" operator="containsText" text="Pesquisa de Preços">
      <formula>NOT(ISERROR(SEARCH("Pesquisa de Preços",E369)))</formula>
    </cfRule>
  </conditionalFormatting>
  <conditionalFormatting sqref="E373:E374 E379:E380">
    <cfRule type="containsText" dxfId="2406" priority="5827" operator="containsText" text="Pesquisa de Preços">
      <formula>NOT(ISERROR(SEARCH("Pesquisa de Preços",E373)))</formula>
    </cfRule>
  </conditionalFormatting>
  <conditionalFormatting sqref="E372">
    <cfRule type="containsText" dxfId="2405" priority="5826" operator="containsText" text="Pesquisa de Preços">
      <formula>NOT(ISERROR(SEARCH("Pesquisa de Preços",E372)))</formula>
    </cfRule>
  </conditionalFormatting>
  <conditionalFormatting sqref="E375:E378">
    <cfRule type="containsText" dxfId="2404" priority="5825" operator="containsText" text="Pesquisa de Preços">
      <formula>NOT(ISERROR(SEARCH("Pesquisa de Preços",E375)))</formula>
    </cfRule>
  </conditionalFormatting>
  <conditionalFormatting sqref="E403">
    <cfRule type="containsText" dxfId="2403" priority="5824" operator="containsText" text="Pesquisa de Preços">
      <formula>NOT(ISERROR(SEARCH("Pesquisa de Preços",E403)))</formula>
    </cfRule>
  </conditionalFormatting>
  <conditionalFormatting sqref="E416">
    <cfRule type="containsText" dxfId="2402" priority="5821" operator="containsText" text="Pesquisa de Preços">
      <formula>NOT(ISERROR(SEARCH("Pesquisa de Preços",E416)))</formula>
    </cfRule>
  </conditionalFormatting>
  <conditionalFormatting sqref="E442:E443 E445:E446">
    <cfRule type="containsText" dxfId="2401" priority="5820" operator="containsText" text="Pesquisa de Preços">
      <formula>NOT(ISERROR(SEARCH("Pesquisa de Preços",E442)))</formula>
    </cfRule>
  </conditionalFormatting>
  <conditionalFormatting sqref="E441">
    <cfRule type="containsText" dxfId="2400" priority="5819" operator="containsText" text="Pesquisa de Preços">
      <formula>NOT(ISERROR(SEARCH("Pesquisa de Preços",E441)))</formula>
    </cfRule>
  </conditionalFormatting>
  <conditionalFormatting sqref="E444">
    <cfRule type="containsText" dxfId="2399" priority="5818" operator="containsText" text="Pesquisa de Preços">
      <formula>NOT(ISERROR(SEARCH("Pesquisa de Preços",E444)))</formula>
    </cfRule>
  </conditionalFormatting>
  <conditionalFormatting sqref="E436:E437 E439:E440">
    <cfRule type="containsText" dxfId="2398" priority="5817" operator="containsText" text="Pesquisa de Preços">
      <formula>NOT(ISERROR(SEARCH("Pesquisa de Preços",E436)))</formula>
    </cfRule>
  </conditionalFormatting>
  <conditionalFormatting sqref="E438">
    <cfRule type="containsText" dxfId="2397" priority="5815" operator="containsText" text="Pesquisa de Preços">
      <formula>NOT(ISERROR(SEARCH("Pesquisa de Preços",E438)))</formula>
    </cfRule>
  </conditionalFormatting>
  <conditionalFormatting sqref="E456:E457 E460:E464">
    <cfRule type="containsText" dxfId="2396" priority="5814" operator="containsText" text="Pesquisa de Preços">
      <formula>NOT(ISERROR(SEARCH("Pesquisa de Preços",E456)))</formula>
    </cfRule>
  </conditionalFormatting>
  <conditionalFormatting sqref="E455">
    <cfRule type="containsText" dxfId="2395" priority="5813" operator="containsText" text="Pesquisa de Preços">
      <formula>NOT(ISERROR(SEARCH("Pesquisa de Preços",E455)))</formula>
    </cfRule>
  </conditionalFormatting>
  <conditionalFormatting sqref="E459">
    <cfRule type="containsText" dxfId="2394" priority="5812" operator="containsText" text="Pesquisa de Preços">
      <formula>NOT(ISERROR(SEARCH("Pesquisa de Preços",E459)))</formula>
    </cfRule>
  </conditionalFormatting>
  <conditionalFormatting sqref="E466:E467 E470:E471">
    <cfRule type="containsText" dxfId="2393" priority="5811" operator="containsText" text="Pesquisa de Preços">
      <formula>NOT(ISERROR(SEARCH("Pesquisa de Preços",E466)))</formula>
    </cfRule>
  </conditionalFormatting>
  <conditionalFormatting sqref="E465">
    <cfRule type="containsText" dxfId="2392" priority="5810" operator="containsText" text="Pesquisa de Preços">
      <formula>NOT(ISERROR(SEARCH("Pesquisa de Preços",E465)))</formula>
    </cfRule>
  </conditionalFormatting>
  <conditionalFormatting sqref="E469">
    <cfRule type="containsText" dxfId="2391" priority="5809" operator="containsText" text="Pesquisa de Preços">
      <formula>NOT(ISERROR(SEARCH("Pesquisa de Preços",E469)))</formula>
    </cfRule>
  </conditionalFormatting>
  <conditionalFormatting sqref="E473 E483">
    <cfRule type="containsText" dxfId="2390" priority="5808" operator="containsText" text="Pesquisa de Preços">
      <formula>NOT(ISERROR(SEARCH("Pesquisa de Preços",E473)))</formula>
    </cfRule>
  </conditionalFormatting>
  <conditionalFormatting sqref="E472">
    <cfRule type="containsText" dxfId="2389" priority="5807" operator="containsText" text="Pesquisa de Preços">
      <formula>NOT(ISERROR(SEARCH("Pesquisa de Preços",E472)))</formula>
    </cfRule>
  </conditionalFormatting>
  <conditionalFormatting sqref="E448 E452 E454">
    <cfRule type="containsText" dxfId="2388" priority="5806" operator="containsText" text="Pesquisa de Preços">
      <formula>NOT(ISERROR(SEARCH("Pesquisa de Preços",E448)))</formula>
    </cfRule>
  </conditionalFormatting>
  <conditionalFormatting sqref="E447">
    <cfRule type="containsText" dxfId="2387" priority="5805" operator="containsText" text="Pesquisa de Preços">
      <formula>NOT(ISERROR(SEARCH("Pesquisa de Preços",E447)))</formula>
    </cfRule>
  </conditionalFormatting>
  <conditionalFormatting sqref="E485:E486 E488:E489">
    <cfRule type="containsText" dxfId="2386" priority="5804" operator="containsText" text="Pesquisa de Preços">
      <formula>NOT(ISERROR(SEARCH("Pesquisa de Preços",E485)))</formula>
    </cfRule>
  </conditionalFormatting>
  <conditionalFormatting sqref="E484">
    <cfRule type="containsText" dxfId="2385" priority="5803" operator="containsText" text="Pesquisa de Preços">
      <formula>NOT(ISERROR(SEARCH("Pesquisa de Preços",E484)))</formula>
    </cfRule>
  </conditionalFormatting>
  <conditionalFormatting sqref="E487">
    <cfRule type="containsText" dxfId="2384" priority="5802" operator="containsText" text="Pesquisa de Preços">
      <formula>NOT(ISERROR(SEARCH("Pesquisa de Preços",E487)))</formula>
    </cfRule>
  </conditionalFormatting>
  <conditionalFormatting sqref="E506:E507 E510:E511">
    <cfRule type="containsText" dxfId="2383" priority="5801" operator="containsText" text="Pesquisa de Preços">
      <formula>NOT(ISERROR(SEARCH("Pesquisa de Preços",E506)))</formula>
    </cfRule>
  </conditionalFormatting>
  <conditionalFormatting sqref="E505">
    <cfRule type="containsText" dxfId="2382" priority="5800" operator="containsText" text="Pesquisa de Preços">
      <formula>NOT(ISERROR(SEARCH("Pesquisa de Preços",E505)))</formula>
    </cfRule>
  </conditionalFormatting>
  <conditionalFormatting sqref="E1267">
    <cfRule type="containsText" dxfId="2381" priority="5608" operator="containsText" text="Pesquisa de Preços">
      <formula>NOT(ISERROR(SEARCH("Pesquisa de Preços",E1267)))</formula>
    </cfRule>
  </conditionalFormatting>
  <conditionalFormatting sqref="E508:E509">
    <cfRule type="containsText" dxfId="2380" priority="5799" operator="containsText" text="Pesquisa de Preços">
      <formula>NOT(ISERROR(SEARCH("Pesquisa de Preços",E508)))</formula>
    </cfRule>
  </conditionalFormatting>
  <conditionalFormatting sqref="E499 E504">
    <cfRule type="containsText" dxfId="2379" priority="5798" operator="containsText" text="Pesquisa de Preços">
      <formula>NOT(ISERROR(SEARCH("Pesquisa de Preços",E499)))</formula>
    </cfRule>
  </conditionalFormatting>
  <conditionalFormatting sqref="E498">
    <cfRule type="containsText" dxfId="2378" priority="5797" operator="containsText" text="Pesquisa de Preços">
      <formula>NOT(ISERROR(SEARCH("Pesquisa de Preços",E498)))</formula>
    </cfRule>
  </conditionalFormatting>
  <conditionalFormatting sqref="E1301">
    <cfRule type="containsText" dxfId="2377" priority="5605" operator="containsText" text="Pesquisa de Preços">
      <formula>NOT(ISERROR(SEARCH("Pesquisa de Preços",E1301)))</formula>
    </cfRule>
  </conditionalFormatting>
  <conditionalFormatting sqref="E513:E514 E516:E517">
    <cfRule type="containsText" dxfId="2376" priority="5796" operator="containsText" text="Pesquisa de Preços">
      <formula>NOT(ISERROR(SEARCH("Pesquisa de Preços",E513)))</formula>
    </cfRule>
  </conditionalFormatting>
  <conditionalFormatting sqref="E512">
    <cfRule type="containsText" dxfId="2375" priority="5795" operator="containsText" text="Pesquisa de Preços">
      <formula>NOT(ISERROR(SEARCH("Pesquisa de Preços",E512)))</formula>
    </cfRule>
  </conditionalFormatting>
  <conditionalFormatting sqref="E1309">
    <cfRule type="containsText" dxfId="2374" priority="5602" operator="containsText" text="Pesquisa de Preços">
      <formula>NOT(ISERROR(SEARCH("Pesquisa de Preços",E1309)))</formula>
    </cfRule>
  </conditionalFormatting>
  <conditionalFormatting sqref="E532">
    <cfRule type="containsText" dxfId="2373" priority="5792" operator="containsText" text="Pesquisa de Preços">
      <formula>NOT(ISERROR(SEARCH("Pesquisa de Preços",E532)))</formula>
    </cfRule>
  </conditionalFormatting>
  <conditionalFormatting sqref="E1273">
    <cfRule type="containsText" dxfId="2372" priority="5600" operator="containsText" text="Pesquisa de Preços">
      <formula>NOT(ISERROR(SEARCH("Pesquisa de Preços",E1273)))</formula>
    </cfRule>
  </conditionalFormatting>
  <conditionalFormatting sqref="E535">
    <cfRule type="containsText" dxfId="2371" priority="5791" operator="containsText" text="Pesquisa de Preços">
      <formula>NOT(ISERROR(SEARCH("Pesquisa de Preços",E535)))</formula>
    </cfRule>
  </conditionalFormatting>
  <conditionalFormatting sqref="E490">
    <cfRule type="containsText" dxfId="2370" priority="5789" operator="containsText" text="Pesquisa de Preços">
      <formula>NOT(ISERROR(SEARCH("Pesquisa de Preços",E490)))</formula>
    </cfRule>
  </conditionalFormatting>
  <conditionalFormatting sqref="E1280">
    <cfRule type="containsText" dxfId="2369" priority="5597" operator="containsText" text="Pesquisa de Preços">
      <formula>NOT(ISERROR(SEARCH("Pesquisa de Preços",E1280)))</formula>
    </cfRule>
  </conditionalFormatting>
  <conditionalFormatting sqref="E526:E531">
    <cfRule type="containsText" dxfId="2368" priority="5788" operator="containsText" text="Pesquisa de Preços">
      <formula>NOT(ISERROR(SEARCH("Pesquisa de Preços",E526)))</formula>
    </cfRule>
  </conditionalFormatting>
  <conditionalFormatting sqref="E525">
    <cfRule type="containsText" dxfId="2367" priority="5787" operator="containsText" text="Pesquisa de Preços">
      <formula>NOT(ISERROR(SEARCH("Pesquisa de Preços",E525)))</formula>
    </cfRule>
  </conditionalFormatting>
  <conditionalFormatting sqref="E519 E524">
    <cfRule type="containsText" dxfId="2366" priority="5785" operator="containsText" text="Pesquisa de Preços">
      <formula>NOT(ISERROR(SEARCH("Pesquisa de Preços",E519)))</formula>
    </cfRule>
  </conditionalFormatting>
  <conditionalFormatting sqref="E518">
    <cfRule type="containsText" dxfId="2365" priority="5784" operator="containsText" text="Pesquisa de Preços">
      <formula>NOT(ISERROR(SEARCH("Pesquisa de Preços",E518)))</formula>
    </cfRule>
  </conditionalFormatting>
  <conditionalFormatting sqref="E1294">
    <cfRule type="containsText" dxfId="2364" priority="5593" operator="containsText" text="Pesquisa de Preços">
      <formula>NOT(ISERROR(SEARCH("Pesquisa de Preços",E1294)))</formula>
    </cfRule>
  </conditionalFormatting>
  <conditionalFormatting sqref="E547:E548 E552:E553">
    <cfRule type="containsText" dxfId="2363" priority="5783" operator="containsText" text="Pesquisa de Preços">
      <formula>NOT(ISERROR(SEARCH("Pesquisa de Preços",E547)))</formula>
    </cfRule>
  </conditionalFormatting>
  <conditionalFormatting sqref="E1336">
    <cfRule type="containsText" dxfId="2362" priority="5591" operator="containsText" text="Pesquisa de Preços">
      <formula>NOT(ISERROR(SEARCH("Pesquisa de Preços",E1336)))</formula>
    </cfRule>
  </conditionalFormatting>
  <conditionalFormatting sqref="E549:E551">
    <cfRule type="containsText" dxfId="2361" priority="5781" operator="containsText" text="Pesquisa de Preços">
      <formula>NOT(ISERROR(SEARCH("Pesquisa de Preços",E549)))</formula>
    </cfRule>
  </conditionalFormatting>
  <conditionalFormatting sqref="E555:E556 E560:E561">
    <cfRule type="containsText" dxfId="2360" priority="5780" operator="containsText" text="Pesquisa de Preços">
      <formula>NOT(ISERROR(SEARCH("Pesquisa de Preços",E555)))</formula>
    </cfRule>
  </conditionalFormatting>
  <conditionalFormatting sqref="E1330">
    <cfRule type="containsText" dxfId="2359" priority="5589" operator="containsText" text="Pesquisa de Preços">
      <formula>NOT(ISERROR(SEARCH("Pesquisa de Preços",E1330)))</formula>
    </cfRule>
  </conditionalFormatting>
  <conditionalFormatting sqref="E557:E559">
    <cfRule type="containsText" dxfId="2358" priority="5778" operator="containsText" text="Pesquisa de Preços">
      <formula>NOT(ISERROR(SEARCH("Pesquisa de Preços",E557)))</formula>
    </cfRule>
  </conditionalFormatting>
  <conditionalFormatting sqref="E539:E540 E544:E545">
    <cfRule type="containsText" dxfId="2357" priority="5777" operator="containsText" text="Pesquisa de Preços">
      <formula>NOT(ISERROR(SEARCH("Pesquisa de Preços",E539)))</formula>
    </cfRule>
  </conditionalFormatting>
  <conditionalFormatting sqref="E538">
    <cfRule type="containsText" dxfId="2356" priority="5776" operator="containsText" text="Pesquisa de Preços">
      <formula>NOT(ISERROR(SEARCH("Pesquisa de Preços",E538)))</formula>
    </cfRule>
  </conditionalFormatting>
  <conditionalFormatting sqref="E1324">
    <cfRule type="containsText" dxfId="2355" priority="5587" operator="containsText" text="Pesquisa de Preços">
      <formula>NOT(ISERROR(SEARCH("Pesquisa de Preços",E1324)))</formula>
    </cfRule>
  </conditionalFormatting>
  <conditionalFormatting sqref="E541:E543">
    <cfRule type="containsText" dxfId="2354" priority="5775" operator="containsText" text="Pesquisa de Preços">
      <formula>NOT(ISERROR(SEARCH("Pesquisa de Preços",E541)))</formula>
    </cfRule>
  </conditionalFormatting>
  <conditionalFormatting sqref="E563:E564 E568:E569">
    <cfRule type="containsText" dxfId="2353" priority="5774" operator="containsText" text="Pesquisa de Preços">
      <formula>NOT(ISERROR(SEARCH("Pesquisa de Preços",E563)))</formula>
    </cfRule>
  </conditionalFormatting>
  <conditionalFormatting sqref="E562">
    <cfRule type="containsText" dxfId="2352" priority="5773" operator="containsText" text="Pesquisa de Preços">
      <formula>NOT(ISERROR(SEARCH("Pesquisa de Preços",E562)))</formula>
    </cfRule>
  </conditionalFormatting>
  <conditionalFormatting sqref="E1318">
    <cfRule type="containsText" dxfId="2351" priority="5585" operator="containsText" text="Pesquisa de Preços">
      <formula>NOT(ISERROR(SEARCH("Pesquisa de Preços",E1318)))</formula>
    </cfRule>
  </conditionalFormatting>
  <conditionalFormatting sqref="E565:E567">
    <cfRule type="containsText" dxfId="2350" priority="5772" operator="containsText" text="Pesquisa de Preços">
      <formula>NOT(ISERROR(SEARCH("Pesquisa de Preços",E565)))</formula>
    </cfRule>
  </conditionalFormatting>
  <conditionalFormatting sqref="E571:E572">
    <cfRule type="containsText" dxfId="2349" priority="5771" operator="containsText" text="Pesquisa de Preços">
      <formula>NOT(ISERROR(SEARCH("Pesquisa de Preços",E571)))</formula>
    </cfRule>
  </conditionalFormatting>
  <conditionalFormatting sqref="E1342">
    <cfRule type="containsText" dxfId="2348" priority="5583" operator="containsText" text="Pesquisa de Preços">
      <formula>NOT(ISERROR(SEARCH("Pesquisa de Preços",E1342)))</formula>
    </cfRule>
  </conditionalFormatting>
  <conditionalFormatting sqref="E581:E582 E585:E588">
    <cfRule type="containsText" dxfId="2347" priority="5769" operator="containsText" text="Pesquisa de Preços">
      <formula>NOT(ISERROR(SEARCH("Pesquisa de Preços",E581)))</formula>
    </cfRule>
  </conditionalFormatting>
  <conditionalFormatting sqref="E1355">
    <cfRule type="containsText" dxfId="2346" priority="5580" operator="containsText" text="Pesquisa de Preços">
      <formula>NOT(ISERROR(SEARCH("Pesquisa de Preços",E1355)))</formula>
    </cfRule>
  </conditionalFormatting>
  <conditionalFormatting sqref="E583:E584">
    <cfRule type="containsText" dxfId="2345" priority="5767" operator="containsText" text="Pesquisa de Preços">
      <formula>NOT(ISERROR(SEARCH("Pesquisa de Preços",E583)))</formula>
    </cfRule>
  </conditionalFormatting>
  <conditionalFormatting sqref="E623 E628:E629">
    <cfRule type="containsText" dxfId="2344" priority="5766" operator="containsText" text="Pesquisa de Preços">
      <formula>NOT(ISERROR(SEARCH("Pesquisa de Preços",E623)))</formula>
    </cfRule>
  </conditionalFormatting>
  <conditionalFormatting sqref="E622">
    <cfRule type="containsText" dxfId="2343" priority="5765" operator="containsText" text="Pesquisa de Preços">
      <formula>NOT(ISERROR(SEARCH("Pesquisa de Preços",E622)))</formula>
    </cfRule>
  </conditionalFormatting>
  <conditionalFormatting sqref="E1349">
    <cfRule type="containsText" dxfId="2342" priority="5577" operator="containsText" text="Pesquisa de Preços">
      <formula>NOT(ISERROR(SEARCH("Pesquisa de Preços",E1349)))</formula>
    </cfRule>
  </conditionalFormatting>
  <conditionalFormatting sqref="E1466">
    <cfRule type="containsText" dxfId="2341" priority="5540" operator="containsText" text="Pesquisa de Preços">
      <formula>NOT(ISERROR(SEARCH("Pesquisa de Preços",E1466)))</formula>
    </cfRule>
  </conditionalFormatting>
  <conditionalFormatting sqref="E833">
    <cfRule type="containsText" dxfId="2340" priority="5746" operator="containsText" text="Pesquisa de Preços">
      <formula>NOT(ISERROR(SEARCH("Pesquisa de Preços",E833)))</formula>
    </cfRule>
  </conditionalFormatting>
  <conditionalFormatting sqref="E1569">
    <cfRule type="containsText" dxfId="2339" priority="5536" operator="containsText" text="Pesquisa de Preços">
      <formula>NOT(ISERROR(SEARCH("Pesquisa de Preços",E1569)))</formula>
    </cfRule>
  </conditionalFormatting>
  <conditionalFormatting sqref="E749">
    <cfRule type="containsText" dxfId="2338" priority="5742" operator="containsText" text="Pesquisa de Preços">
      <formula>NOT(ISERROR(SEARCH("Pesquisa de Preços",E749)))</formula>
    </cfRule>
  </conditionalFormatting>
  <conditionalFormatting sqref="E677">
    <cfRule type="containsText" dxfId="2337" priority="5763" operator="containsText" text="Pesquisa de Preços">
      <formula>NOT(ISERROR(SEARCH("Pesquisa de Preços",E677)))</formula>
    </cfRule>
  </conditionalFormatting>
  <conditionalFormatting sqref="E669">
    <cfRule type="containsText" dxfId="2336" priority="5761" operator="containsText" text="Pesquisa de Preços">
      <formula>NOT(ISERROR(SEARCH("Pesquisa de Preços",E669)))</formula>
    </cfRule>
  </conditionalFormatting>
  <conditionalFormatting sqref="E715">
    <cfRule type="containsText" dxfId="2335" priority="5756" operator="containsText" text="Pesquisa de Preços">
      <formula>NOT(ISERROR(SEARCH("Pesquisa de Preços",E715)))</formula>
    </cfRule>
  </conditionalFormatting>
  <conditionalFormatting sqref="E687">
    <cfRule type="containsText" dxfId="2334" priority="5759" operator="containsText" text="Pesquisa de Preços">
      <formula>NOT(ISERROR(SEARCH("Pesquisa de Preços",E687)))</formula>
    </cfRule>
  </conditionalFormatting>
  <conditionalFormatting sqref="E759:E765">
    <cfRule type="containsText" dxfId="2333" priority="5738" operator="containsText" text="Pesquisa de Preços">
      <formula>NOT(ISERROR(SEARCH("Pesquisa de Preços",E759)))</formula>
    </cfRule>
  </conditionalFormatting>
  <conditionalFormatting sqref="E690:E692">
    <cfRule type="containsText" dxfId="2332" priority="5758" operator="containsText" text="Pesquisa de Preços">
      <formula>NOT(ISERROR(SEARCH("Pesquisa de Preços",E690)))</formula>
    </cfRule>
  </conditionalFormatting>
  <conditionalFormatting sqref="E725">
    <cfRule type="containsText" dxfId="2331" priority="5753" operator="containsText" text="Pesquisa de Preços">
      <formula>NOT(ISERROR(SEARCH("Pesquisa de Preços",E725)))</formula>
    </cfRule>
  </conditionalFormatting>
  <conditionalFormatting sqref="E731">
    <cfRule type="containsText" dxfId="2330" priority="5754" operator="containsText" text="Pesquisa de Preços">
      <formula>NOT(ISERROR(SEARCH("Pesquisa de Preços",E731)))</formula>
    </cfRule>
  </conditionalFormatting>
  <conditionalFormatting sqref="E828">
    <cfRule type="containsText" dxfId="2329" priority="5734" operator="containsText" text="Pesquisa de Preços">
      <formula>NOT(ISERROR(SEARCH("Pesquisa de Preços",E828)))</formula>
    </cfRule>
  </conditionalFormatting>
  <conditionalFormatting sqref="E724">
    <cfRule type="containsText" dxfId="2328" priority="5752" operator="containsText" text="Pesquisa de Preços">
      <formula>NOT(ISERROR(SEARCH("Pesquisa de Preços",E724)))</formula>
    </cfRule>
  </conditionalFormatting>
  <conditionalFormatting sqref="E768">
    <cfRule type="containsText" dxfId="2327" priority="5729" operator="containsText" text="Pesquisa de Preços">
      <formula>NOT(ISERROR(SEARCH("Pesquisa de Preços",E768)))</formula>
    </cfRule>
  </conditionalFormatting>
  <conditionalFormatting sqref="E840">
    <cfRule type="containsText" dxfId="2326" priority="5723" operator="containsText" text="Pesquisa de Preços">
      <formula>NOT(ISERROR(SEARCH("Pesquisa de Preços",E840)))</formula>
    </cfRule>
  </conditionalFormatting>
  <conditionalFormatting sqref="E746:E747">
    <cfRule type="containsText" dxfId="2325" priority="5751" operator="containsText" text="Pesquisa de Preços">
      <formula>NOT(ISERROR(SEARCH("Pesquisa de Preços",E746)))</formula>
    </cfRule>
  </conditionalFormatting>
  <conditionalFormatting sqref="E745">
    <cfRule type="containsText" dxfId="2324" priority="5750" operator="containsText" text="Pesquisa de Preços">
      <formula>NOT(ISERROR(SEARCH("Pesquisa de Preços",E745)))</formula>
    </cfRule>
  </conditionalFormatting>
  <conditionalFormatting sqref="E1421">
    <cfRule type="containsText" dxfId="2323" priority="5542" operator="containsText" text="Pesquisa de Preços">
      <formula>NOT(ISERROR(SEARCH("Pesquisa de Preços",E1421)))</formula>
    </cfRule>
  </conditionalFormatting>
  <conditionalFormatting sqref="E791">
    <cfRule type="containsText" dxfId="2322" priority="5748" operator="containsText" text="Pesquisa de Preços">
      <formula>NOT(ISERROR(SEARCH("Pesquisa de Preços",E791)))</formula>
    </cfRule>
  </conditionalFormatting>
  <conditionalFormatting sqref="E815">
    <cfRule type="containsText" dxfId="2321" priority="5744" operator="containsText" text="Pesquisa de Preços">
      <formula>NOT(ISERROR(SEARCH("Pesquisa de Preços",E815)))</formula>
    </cfRule>
  </conditionalFormatting>
  <conditionalFormatting sqref="E752:E753">
    <cfRule type="containsText" dxfId="2320" priority="5741" operator="containsText" text="Pesquisa de Preços">
      <formula>NOT(ISERROR(SEARCH("Pesquisa de Preços",E752)))</formula>
    </cfRule>
  </conditionalFormatting>
  <conditionalFormatting sqref="E756">
    <cfRule type="containsText" dxfId="2319" priority="5739" operator="containsText" text="Pesquisa de Preços">
      <formula>NOT(ISERROR(SEARCH("Pesquisa de Preços",E756)))</formula>
    </cfRule>
  </conditionalFormatting>
  <conditionalFormatting sqref="E949">
    <cfRule type="containsText" dxfId="2318" priority="5706" operator="containsText" text="Pesquisa de Preços">
      <formula>NOT(ISERROR(SEARCH("Pesquisa de Preços",E949)))</formula>
    </cfRule>
  </conditionalFormatting>
  <conditionalFormatting sqref="E824">
    <cfRule type="containsText" dxfId="2317" priority="5736" operator="containsText" text="Pesquisa de Preços">
      <formula>NOT(ISERROR(SEARCH("Pesquisa de Preços",E824)))</formula>
    </cfRule>
  </conditionalFormatting>
  <conditionalFormatting sqref="E1660">
    <cfRule type="containsText" dxfId="2316" priority="5500" operator="containsText" text="Pesquisa de Preços">
      <formula>NOT(ISERROR(SEARCH("Pesquisa de Preços",E1660)))</formula>
    </cfRule>
  </conditionalFormatting>
  <conditionalFormatting sqref="E805">
    <cfRule type="containsText" dxfId="2315" priority="5732" operator="containsText" text="Pesquisa de Preços">
      <formula>NOT(ISERROR(SEARCH("Pesquisa de Preços",E805)))</formula>
    </cfRule>
  </conditionalFormatting>
  <conditionalFormatting sqref="E981">
    <cfRule type="containsText" dxfId="2314" priority="5700" operator="containsText" text="Pesquisa de Preços">
      <formula>NOT(ISERROR(SEARCH("Pesquisa de Preços",E981)))</formula>
    </cfRule>
  </conditionalFormatting>
  <conditionalFormatting sqref="E820 E823">
    <cfRule type="containsText" dxfId="2313" priority="5731" operator="containsText" text="Pesquisa de Preços">
      <formula>NOT(ISERROR(SEARCH("Pesquisa de Preços",E820)))</formula>
    </cfRule>
  </conditionalFormatting>
  <conditionalFormatting sqref="E819">
    <cfRule type="containsText" dxfId="2312" priority="5730" operator="containsText" text="Pesquisa de Preços">
      <formula>NOT(ISERROR(SEARCH("Pesquisa de Preços",E819)))</formula>
    </cfRule>
  </conditionalFormatting>
  <conditionalFormatting sqref="E984:E989">
    <cfRule type="containsText" dxfId="2311" priority="5699" operator="containsText" text="Pesquisa de Preços">
      <formula>NOT(ISERROR(SEARCH("Pesquisa de Preços",E984)))</formula>
    </cfRule>
  </conditionalFormatting>
  <conditionalFormatting sqref="E767">
    <cfRule type="containsText" dxfId="2310" priority="5728" operator="containsText" text="Pesquisa de Preços">
      <formula>NOT(ISERROR(SEARCH("Pesquisa de Preços",E767)))</formula>
    </cfRule>
  </conditionalFormatting>
  <conditionalFormatting sqref="E1013">
    <cfRule type="containsText" dxfId="2309" priority="5694" operator="containsText" text="Pesquisa de Preços">
      <formula>NOT(ISERROR(SEARCH("Pesquisa de Preços",E1013)))</formula>
    </cfRule>
  </conditionalFormatting>
  <conditionalFormatting sqref="E185:E186">
    <cfRule type="containsText" dxfId="2308" priority="5727" operator="containsText" text="Pesquisa de Preços">
      <formula>NOT(ISERROR(SEARCH("Pesquisa de Preços",E185)))</formula>
    </cfRule>
  </conditionalFormatting>
  <conditionalFormatting sqref="E184">
    <cfRule type="containsText" dxfId="2307" priority="5726" operator="containsText" text="Pesquisa de Preços">
      <formula>NOT(ISERROR(SEARCH("Pesquisa de Preços",E184)))</formula>
    </cfRule>
  </conditionalFormatting>
  <conditionalFormatting sqref="E1016:E1019">
    <cfRule type="containsText" dxfId="2306" priority="5693" operator="containsText" text="Pesquisa de Preços">
      <formula>NOT(ISERROR(SEARCH("Pesquisa de Preços",E1016)))</formula>
    </cfRule>
  </conditionalFormatting>
  <conditionalFormatting sqref="E187:E189">
    <cfRule type="containsText" dxfId="2305" priority="5725" operator="containsText" text="Pesquisa de Preços">
      <formula>NOT(ISERROR(SEARCH("Pesquisa de Preços",E187)))</formula>
    </cfRule>
  </conditionalFormatting>
  <conditionalFormatting sqref="E841 E844:E845">
    <cfRule type="containsText" dxfId="2304" priority="5724" operator="containsText" text="Pesquisa de Preços">
      <formula>NOT(ISERROR(SEARCH("Pesquisa de Preços",E841)))</formula>
    </cfRule>
  </conditionalFormatting>
  <conditionalFormatting sqref="E1704">
    <cfRule type="containsText" dxfId="2303" priority="5492" operator="containsText" text="Pesquisa de Preços">
      <formula>NOT(ISERROR(SEARCH("Pesquisa de Preços",E1704)))</formula>
    </cfRule>
  </conditionalFormatting>
  <conditionalFormatting sqref="E843">
    <cfRule type="containsText" dxfId="2302" priority="5722" operator="containsText" text="Pesquisa de Preços">
      <formula>NOT(ISERROR(SEARCH("Pesquisa de Preços",E843)))</formula>
    </cfRule>
  </conditionalFormatting>
  <conditionalFormatting sqref="E915:E921">
    <cfRule type="containsText" dxfId="2301" priority="5721" operator="containsText" text="Pesquisa de Preços">
      <formula>NOT(ISERROR(SEARCH("Pesquisa de Preços",E915)))</formula>
    </cfRule>
  </conditionalFormatting>
  <conditionalFormatting sqref="E914">
    <cfRule type="containsText" dxfId="2300" priority="5720" operator="containsText" text="Pesquisa de Preços">
      <formula>NOT(ISERROR(SEARCH("Pesquisa de Preços",E914)))</formula>
    </cfRule>
  </conditionalFormatting>
  <conditionalFormatting sqref="E940:E946">
    <cfRule type="containsText" dxfId="2299" priority="5719" operator="containsText" text="Pesquisa de Preços">
      <formula>NOT(ISERROR(SEARCH("Pesquisa de Preços",E940)))</formula>
    </cfRule>
  </conditionalFormatting>
  <conditionalFormatting sqref="E939">
    <cfRule type="containsText" dxfId="2298" priority="5718" operator="containsText" text="Pesquisa de Preços">
      <formula>NOT(ISERROR(SEARCH("Pesquisa de Preços",E939)))</formula>
    </cfRule>
  </conditionalFormatting>
  <conditionalFormatting sqref="E1626">
    <cfRule type="containsText" dxfId="2297" priority="5514" operator="containsText" text="Pesquisa de Preços">
      <formula>NOT(ISERROR(SEARCH("Pesquisa de Preços",E1626)))</formula>
    </cfRule>
  </conditionalFormatting>
  <conditionalFormatting sqref="E931">
    <cfRule type="containsText" dxfId="2296" priority="5717" operator="containsText" text="Pesquisa de Preços">
      <formula>NOT(ISERROR(SEARCH("Pesquisa de Preços",E931)))</formula>
    </cfRule>
  </conditionalFormatting>
  <conditionalFormatting sqref="E930">
    <cfRule type="containsText" dxfId="2295" priority="5716" operator="containsText" text="Pesquisa de Preços">
      <formula>NOT(ISERROR(SEARCH("Pesquisa de Preços",E930)))</formula>
    </cfRule>
  </conditionalFormatting>
  <conditionalFormatting sqref="E1631">
    <cfRule type="containsText" dxfId="2294" priority="5512" operator="containsText" text="Pesquisa de Preços">
      <formula>NOT(ISERROR(SEARCH("Pesquisa de Preços",E1631)))</formula>
    </cfRule>
  </conditionalFormatting>
  <conditionalFormatting sqref="E923">
    <cfRule type="containsText" dxfId="2293" priority="5714" operator="containsText" text="Pesquisa de Preços">
      <formula>NOT(ISERROR(SEARCH("Pesquisa de Preços",E923)))</formula>
    </cfRule>
  </conditionalFormatting>
  <conditionalFormatting sqref="E924 E929">
    <cfRule type="containsText" dxfId="2292" priority="5715" operator="containsText" text="Pesquisa de Preços">
      <formula>NOT(ISERROR(SEARCH("Pesquisa de Preços",E924)))</formula>
    </cfRule>
  </conditionalFormatting>
  <conditionalFormatting sqref="E1602">
    <cfRule type="containsText" dxfId="2291" priority="5508" operator="containsText" text="Pesquisa de Preços">
      <formula>NOT(ISERROR(SEARCH("Pesquisa de Preços",E1602)))</formula>
    </cfRule>
  </conditionalFormatting>
  <conditionalFormatting sqref="E970:E972">
    <cfRule type="containsText" dxfId="2290" priority="5711" operator="containsText" text="Pesquisa de Preços">
      <formula>NOT(ISERROR(SEARCH("Pesquisa de Preços",E970)))</formula>
    </cfRule>
  </conditionalFormatting>
  <conditionalFormatting sqref="E968:E969">
    <cfRule type="containsText" dxfId="2289" priority="5713" operator="containsText" text="Pesquisa de Preços">
      <formula>NOT(ISERROR(SEARCH("Pesquisa de Preços",E968)))</formula>
    </cfRule>
  </conditionalFormatting>
  <conditionalFormatting sqref="E967">
    <cfRule type="containsText" dxfId="2288" priority="5712" operator="containsText" text="Pesquisa de Preços">
      <formula>NOT(ISERROR(SEARCH("Pesquisa de Preços",E967)))</formula>
    </cfRule>
  </conditionalFormatting>
  <conditionalFormatting sqref="E961">
    <cfRule type="containsText" dxfId="2287" priority="5710" operator="containsText" text="Pesquisa de Preços">
      <formula>NOT(ISERROR(SEARCH("Pesquisa de Preços",E961)))</formula>
    </cfRule>
  </conditionalFormatting>
  <conditionalFormatting sqref="E960">
    <cfRule type="containsText" dxfId="2286" priority="5709" operator="containsText" text="Pesquisa de Preços">
      <formula>NOT(ISERROR(SEARCH("Pesquisa de Preços",E960)))</formula>
    </cfRule>
  </conditionalFormatting>
  <conditionalFormatting sqref="E955 E959">
    <cfRule type="containsText" dxfId="2285" priority="5708" operator="containsText" text="Pesquisa de Preços">
      <formula>NOT(ISERROR(SEARCH("Pesquisa de Preços",E955)))</formula>
    </cfRule>
  </conditionalFormatting>
  <conditionalFormatting sqref="E954">
    <cfRule type="containsText" dxfId="2284" priority="5707" operator="containsText" text="Pesquisa de Preços">
      <formula>NOT(ISERROR(SEARCH("Pesquisa de Preços",E954)))</formula>
    </cfRule>
  </conditionalFormatting>
  <conditionalFormatting sqref="E1060">
    <cfRule type="containsText" dxfId="2283" priority="5674" operator="containsText" text="Pesquisa de Preços">
      <formula>NOT(ISERROR(SEARCH("Pesquisa de Preços",E1060)))</formula>
    </cfRule>
  </conditionalFormatting>
  <conditionalFormatting sqref="E974">
    <cfRule type="containsText" dxfId="2282" priority="5703" operator="containsText" text="Pesquisa de Preços">
      <formula>NOT(ISERROR(SEARCH("Pesquisa de Preços",E974)))</formula>
    </cfRule>
  </conditionalFormatting>
  <conditionalFormatting sqref="E948">
    <cfRule type="containsText" dxfId="2281" priority="5705" operator="containsText" text="Pesquisa de Preços">
      <formula>NOT(ISERROR(SEARCH("Pesquisa de Preços",E948)))</formula>
    </cfRule>
  </conditionalFormatting>
  <conditionalFormatting sqref="E975:E976 E979:E980">
    <cfRule type="containsText" dxfId="2280" priority="5704" operator="containsText" text="Pesquisa de Preços">
      <formula>NOT(ISERROR(SEARCH("Pesquisa de Preços",E975)))</formula>
    </cfRule>
  </conditionalFormatting>
  <conditionalFormatting sqref="E977:E978">
    <cfRule type="containsText" dxfId="2279" priority="5702" operator="containsText" text="Pesquisa de Preços">
      <formula>NOT(ISERROR(SEARCH("Pesquisa de Preços",E977)))</formula>
    </cfRule>
  </conditionalFormatting>
  <conditionalFormatting sqref="E982:E983 E990:E991">
    <cfRule type="containsText" dxfId="2278" priority="5701" operator="containsText" text="Pesquisa de Preços">
      <formula>NOT(ISERROR(SEARCH("Pesquisa de Preços",E982)))</formula>
    </cfRule>
  </conditionalFormatting>
  <conditionalFormatting sqref="E1649">
    <cfRule type="containsText" dxfId="2277" priority="5498" operator="containsText" text="Pesquisa de Preços">
      <formula>NOT(ISERROR(SEARCH("Pesquisa de Preços",E1649)))</formula>
    </cfRule>
  </conditionalFormatting>
  <conditionalFormatting sqref="E993:E994 E1001:E1002">
    <cfRule type="containsText" dxfId="2276" priority="5698" operator="containsText" text="Pesquisa de Preços">
      <formula>NOT(ISERROR(SEARCH("Pesquisa de Preços",E993)))</formula>
    </cfRule>
  </conditionalFormatting>
  <conditionalFormatting sqref="E992">
    <cfRule type="containsText" dxfId="2275" priority="5697" operator="containsText" text="Pesquisa de Preços">
      <formula>NOT(ISERROR(SEARCH("Pesquisa de Preços",E992)))</formula>
    </cfRule>
  </conditionalFormatting>
  <conditionalFormatting sqref="E1726">
    <cfRule type="containsText" dxfId="2274" priority="5496" operator="containsText" text="Pesquisa de Preços">
      <formula>NOT(ISERROR(SEARCH("Pesquisa de Preços",E1726)))</formula>
    </cfRule>
  </conditionalFormatting>
  <conditionalFormatting sqref="E999:E1000 E995:E997">
    <cfRule type="containsText" dxfId="2273" priority="5696" operator="containsText" text="Pesquisa de Preços">
      <formula>NOT(ISERROR(SEARCH("Pesquisa de Preços",E995)))</formula>
    </cfRule>
  </conditionalFormatting>
  <conditionalFormatting sqref="E1014:E1015 E1020:E1021">
    <cfRule type="containsText" dxfId="2272" priority="5695" operator="containsText" text="Pesquisa de Preços">
      <formula>NOT(ISERROR(SEARCH("Pesquisa de Preços",E1014)))</formula>
    </cfRule>
  </conditionalFormatting>
  <conditionalFormatting sqref="E1737">
    <cfRule type="containsText" dxfId="2271" priority="5494" operator="containsText" text="Pesquisa de Preços">
      <formula>NOT(ISERROR(SEARCH("Pesquisa de Preços",E1737)))</formula>
    </cfRule>
  </conditionalFormatting>
  <conditionalFormatting sqref="E1004:E1005">
    <cfRule type="containsText" dxfId="2270" priority="5692" operator="containsText" text="Pesquisa de Preços">
      <formula>NOT(ISERROR(SEARCH("Pesquisa de Preços",E1004)))</formula>
    </cfRule>
  </conditionalFormatting>
  <conditionalFormatting sqref="E1003">
    <cfRule type="containsText" dxfId="2269" priority="5691" operator="containsText" text="Pesquisa de Preços">
      <formula>NOT(ISERROR(SEARCH("Pesquisa de Preços",E1003)))</formula>
    </cfRule>
  </conditionalFormatting>
  <conditionalFormatting sqref="E1008">
    <cfRule type="containsText" dxfId="2268" priority="5689" operator="containsText" text="Pesquisa de Preços">
      <formula>NOT(ISERROR(SEARCH("Pesquisa de Preços",E1008)))</formula>
    </cfRule>
  </conditionalFormatting>
  <conditionalFormatting sqref="E1009:E1010">
    <cfRule type="containsText" dxfId="2267" priority="5690" operator="containsText" text="Pesquisa de Preços">
      <formula>NOT(ISERROR(SEARCH("Pesquisa de Preços",E1009)))</formula>
    </cfRule>
  </conditionalFormatting>
  <conditionalFormatting sqref="E1715">
    <cfRule type="containsText" dxfId="2266" priority="5490" operator="containsText" text="Pesquisa de Preços">
      <formula>NOT(ISERROR(SEARCH("Pesquisa de Preços",E1715)))</formula>
    </cfRule>
  </conditionalFormatting>
  <conditionalFormatting sqref="E1027">
    <cfRule type="containsText" dxfId="2265" priority="5687" operator="containsText" text="Pesquisa de Preços">
      <formula>NOT(ISERROR(SEARCH("Pesquisa de Preços",E1027)))</formula>
    </cfRule>
  </conditionalFormatting>
  <conditionalFormatting sqref="E1028:E1029 E1036">
    <cfRule type="containsText" dxfId="2264" priority="5688" operator="containsText" text="Pesquisa de Preços">
      <formula>NOT(ISERROR(SEARCH("Pesquisa de Preços",E1028)))</formula>
    </cfRule>
  </conditionalFormatting>
  <conditionalFormatting sqref="E1690">
    <cfRule type="containsText" dxfId="2263" priority="5488" operator="containsText" text="Pesquisa de Preços">
      <formula>NOT(ISERROR(SEARCH("Pesquisa de Preços",E1690)))</formula>
    </cfRule>
  </conditionalFormatting>
  <conditionalFormatting sqref="E1031:E1034">
    <cfRule type="containsText" dxfId="2262" priority="5686" operator="containsText" text="Pesquisa de Preços">
      <formula>NOT(ISERROR(SEARCH("Pesquisa de Preços",E1031)))</formula>
    </cfRule>
  </conditionalFormatting>
  <conditionalFormatting sqref="E1038:E1039 E1045">
    <cfRule type="containsText" dxfId="2261" priority="5685" operator="containsText" text="Pesquisa de Preços">
      <formula>NOT(ISERROR(SEARCH("Pesquisa de Preços",E1038)))</formula>
    </cfRule>
  </conditionalFormatting>
  <conditionalFormatting sqref="E1037">
    <cfRule type="containsText" dxfId="2260" priority="5684" operator="containsText" text="Pesquisa de Preços">
      <formula>NOT(ISERROR(SEARCH("Pesquisa de Preços",E1037)))</formula>
    </cfRule>
  </conditionalFormatting>
  <conditionalFormatting sqref="E1696">
    <cfRule type="containsText" dxfId="2259" priority="5486" operator="containsText" text="Pesquisa de Preços">
      <formula>NOT(ISERROR(SEARCH("Pesquisa de Preços",E1696)))</formula>
    </cfRule>
  </conditionalFormatting>
  <conditionalFormatting sqref="E1023:E1024">
    <cfRule type="containsText" dxfId="2258" priority="5683" operator="containsText" text="Pesquisa de Preços">
      <formula>NOT(ISERROR(SEARCH("Pesquisa de Preços",E1023)))</formula>
    </cfRule>
  </conditionalFormatting>
  <conditionalFormatting sqref="E1022">
    <cfRule type="containsText" dxfId="2257" priority="5682" operator="containsText" text="Pesquisa de Preços">
      <formula>NOT(ISERROR(SEARCH("Pesquisa de Preços",E1022)))</formula>
    </cfRule>
  </conditionalFormatting>
  <conditionalFormatting sqref="E1025">
    <cfRule type="containsText" dxfId="2256" priority="5681" operator="containsText" text="Pesquisa de Preços">
      <formula>NOT(ISERROR(SEARCH("Pesquisa de Preços",E1025)))</formula>
    </cfRule>
  </conditionalFormatting>
  <conditionalFormatting sqref="E1100:E1101">
    <cfRule type="containsText" dxfId="2255" priority="5680" operator="containsText" text="Pesquisa de Preços">
      <formula>NOT(ISERROR(SEARCH("Pesquisa de Preços",E1100)))</formula>
    </cfRule>
  </conditionalFormatting>
  <conditionalFormatting sqref="E1099">
    <cfRule type="containsText" dxfId="2254" priority="5679" operator="containsText" text="Pesquisa de Preços">
      <formula>NOT(ISERROR(SEARCH("Pesquisa de Preços",E1099)))</formula>
    </cfRule>
  </conditionalFormatting>
  <conditionalFormatting sqref="E1047:E1048 E1051:E1052">
    <cfRule type="containsText" dxfId="2253" priority="5678" operator="containsText" text="Pesquisa de Preços">
      <formula>NOT(ISERROR(SEARCH("Pesquisa de Preços",E1047)))</formula>
    </cfRule>
  </conditionalFormatting>
  <conditionalFormatting sqref="E1046">
    <cfRule type="containsText" dxfId="2252" priority="5677" operator="containsText" text="Pesquisa de Preços">
      <formula>NOT(ISERROR(SEARCH("Pesquisa de Preços",E1046)))</formula>
    </cfRule>
  </conditionalFormatting>
  <conditionalFormatting sqref="E1049:E1050">
    <cfRule type="containsText" dxfId="2251" priority="5676" operator="containsText" text="Pesquisa de Preços">
      <formula>NOT(ISERROR(SEARCH("Pesquisa de Preços",E1049)))</formula>
    </cfRule>
  </conditionalFormatting>
  <conditionalFormatting sqref="E1061:E1062 E1066">
    <cfRule type="containsText" dxfId="2250" priority="5675" operator="containsText" text="Pesquisa de Preços">
      <formula>NOT(ISERROR(SEARCH("Pesquisa de Preços",E1061)))</formula>
    </cfRule>
  </conditionalFormatting>
  <conditionalFormatting sqref="E1092:E1093 E1098">
    <cfRule type="containsText" dxfId="2249" priority="5673" operator="containsText" text="Pesquisa de Preços">
      <formula>NOT(ISERROR(SEARCH("Pesquisa de Preços",E1092)))</formula>
    </cfRule>
  </conditionalFormatting>
  <conditionalFormatting sqref="E1091">
    <cfRule type="containsText" dxfId="2248" priority="5672" operator="containsText" text="Pesquisa de Preços">
      <formula>NOT(ISERROR(SEARCH("Pesquisa de Preços",E1091)))</formula>
    </cfRule>
  </conditionalFormatting>
  <conditionalFormatting sqref="E1054:E1055">
    <cfRule type="containsText" dxfId="2247" priority="5670" operator="containsText" text="Pesquisa de Preços">
      <formula>NOT(ISERROR(SEARCH("Pesquisa de Preços",E1054)))</formula>
    </cfRule>
  </conditionalFormatting>
  <conditionalFormatting sqref="E1053">
    <cfRule type="containsText" dxfId="2246" priority="5669" operator="containsText" text="Pesquisa de Preços">
      <formula>NOT(ISERROR(SEARCH("Pesquisa de Preços",E1053)))</formula>
    </cfRule>
  </conditionalFormatting>
  <conditionalFormatting sqref="E1056:E1058">
    <cfRule type="containsText" dxfId="2245" priority="5668" operator="containsText" text="Pesquisa de Preços">
      <formula>NOT(ISERROR(SEARCH("Pesquisa de Preços",E1056)))</formula>
    </cfRule>
  </conditionalFormatting>
  <conditionalFormatting sqref="E1068">
    <cfRule type="containsText" dxfId="2244" priority="5667" operator="containsText" text="Pesquisa de Preços">
      <formula>NOT(ISERROR(SEARCH("Pesquisa de Preços",E1068)))</formula>
    </cfRule>
  </conditionalFormatting>
  <conditionalFormatting sqref="E1067">
    <cfRule type="containsText" dxfId="2243" priority="5666" operator="containsText" text="Pesquisa de Preços">
      <formula>NOT(ISERROR(SEARCH("Pesquisa de Preços",E1067)))</formula>
    </cfRule>
  </conditionalFormatting>
  <conditionalFormatting sqref="E1084 E1090">
    <cfRule type="containsText" dxfId="2242" priority="5665" operator="containsText" text="Pesquisa de Preços">
      <formula>NOT(ISERROR(SEARCH("Pesquisa de Preços",E1084)))</formula>
    </cfRule>
  </conditionalFormatting>
  <conditionalFormatting sqref="E1083">
    <cfRule type="containsText" dxfId="2241" priority="5664" operator="containsText" text="Pesquisa de Preços">
      <formula>NOT(ISERROR(SEARCH("Pesquisa de Preços",E1083)))</formula>
    </cfRule>
  </conditionalFormatting>
  <conditionalFormatting sqref="E1075 E1082">
    <cfRule type="containsText" dxfId="2240" priority="5663" operator="containsText" text="Pesquisa de Preços">
      <formula>NOT(ISERROR(SEARCH("Pesquisa de Preços",E1075)))</formula>
    </cfRule>
  </conditionalFormatting>
  <conditionalFormatting sqref="E1074">
    <cfRule type="containsText" dxfId="2239" priority="5662" operator="containsText" text="Pesquisa de Preços">
      <formula>NOT(ISERROR(SEARCH("Pesquisa de Preços",E1074)))</formula>
    </cfRule>
  </conditionalFormatting>
  <conditionalFormatting sqref="E1123:E1124">
    <cfRule type="containsText" dxfId="2238" priority="5661" operator="containsText" text="Pesquisa de Preços">
      <formula>NOT(ISERROR(SEARCH("Pesquisa de Preços",E1123)))</formula>
    </cfRule>
  </conditionalFormatting>
  <conditionalFormatting sqref="E1122">
    <cfRule type="containsText" dxfId="2237" priority="5660" operator="containsText" text="Pesquisa de Preços">
      <formula>NOT(ISERROR(SEARCH("Pesquisa de Preços",E1122)))</formula>
    </cfRule>
  </conditionalFormatting>
  <conditionalFormatting sqref="E1125">
    <cfRule type="containsText" dxfId="2236" priority="5659" operator="containsText" text="Pesquisa de Preços">
      <formula>NOT(ISERROR(SEARCH("Pesquisa de Preços",E1125)))</formula>
    </cfRule>
  </conditionalFormatting>
  <conditionalFormatting sqref="E1118:E1119">
    <cfRule type="containsText" dxfId="2235" priority="5658" operator="containsText" text="Pesquisa de Preços">
      <formula>NOT(ISERROR(SEARCH("Pesquisa de Preços",E1118)))</formula>
    </cfRule>
  </conditionalFormatting>
  <conditionalFormatting sqref="E1117">
    <cfRule type="containsText" dxfId="2234" priority="5657" operator="containsText" text="Pesquisa de Preços">
      <formula>NOT(ISERROR(SEARCH("Pesquisa de Preços",E1117)))</formula>
    </cfRule>
  </conditionalFormatting>
  <conditionalFormatting sqref="E1833">
    <cfRule type="containsText" dxfId="2233" priority="5475" operator="containsText" text="Pesquisa de Preços">
      <formula>NOT(ISERROR(SEARCH("Pesquisa de Preços",E1833)))</formula>
    </cfRule>
  </conditionalFormatting>
  <conditionalFormatting sqref="E1245">
    <cfRule type="containsText" dxfId="2232" priority="5656" operator="containsText" text="Pesquisa de Preços">
      <formula>NOT(ISERROR(SEARCH("Pesquisa de Preços",E1245)))</formula>
    </cfRule>
  </conditionalFormatting>
  <conditionalFormatting sqref="E1228">
    <cfRule type="containsText" dxfId="2231" priority="5651" operator="containsText" text="Pesquisa de Preços">
      <formula>NOT(ISERROR(SEARCH("Pesquisa de Preços",E1228)))</formula>
    </cfRule>
  </conditionalFormatting>
  <conditionalFormatting sqref="E1839">
    <cfRule type="containsText" dxfId="2230" priority="5472" operator="containsText" text="Pesquisa de Preços">
      <formula>NOT(ISERROR(SEARCH("Pesquisa de Preços",E1839)))</formula>
    </cfRule>
  </conditionalFormatting>
  <conditionalFormatting sqref="E1239">
    <cfRule type="containsText" dxfId="2229" priority="5654" operator="containsText" text="Pesquisa de Preços">
      <formula>NOT(ISERROR(SEARCH("Pesquisa de Preços",E1239)))</formula>
    </cfRule>
  </conditionalFormatting>
  <conditionalFormatting sqref="E1138">
    <cfRule type="containsText" dxfId="2228" priority="5647" operator="containsText" text="Pesquisa de Preços">
      <formula>NOT(ISERROR(SEARCH("Pesquisa de Preços",E1138)))</formula>
    </cfRule>
  </conditionalFormatting>
  <conditionalFormatting sqref="E1826">
    <cfRule type="containsText" dxfId="2227" priority="5469" operator="containsText" text="Pesquisa de Preços">
      <formula>NOT(ISERROR(SEARCH("Pesquisa de Preços",E1826)))</formula>
    </cfRule>
  </conditionalFormatting>
  <conditionalFormatting sqref="E1229:E1230 E1233">
    <cfRule type="containsText" dxfId="2226" priority="5652" operator="containsText" text="Pesquisa de Preços">
      <formula>NOT(ISERROR(SEARCH("Pesquisa de Preços",E1229)))</formula>
    </cfRule>
  </conditionalFormatting>
  <conditionalFormatting sqref="E1845">
    <cfRule type="containsText" dxfId="2225" priority="5467" operator="containsText" text="Pesquisa de Preços">
      <formula>NOT(ISERROR(SEARCH("Pesquisa de Preços",E1845)))</formula>
    </cfRule>
  </conditionalFormatting>
  <conditionalFormatting sqref="E1223:E1224 E1227">
    <cfRule type="containsText" dxfId="2224" priority="5650" operator="containsText" text="Pesquisa de Preços">
      <formula>NOT(ISERROR(SEARCH("Pesquisa de Preços",E1223)))</formula>
    </cfRule>
  </conditionalFormatting>
  <conditionalFormatting sqref="E1222">
    <cfRule type="containsText" dxfId="2223" priority="5649" operator="containsText" text="Pesquisa de Preços">
      <formula>NOT(ISERROR(SEARCH("Pesquisa de Preços",E1222)))</formula>
    </cfRule>
  </conditionalFormatting>
  <conditionalFormatting sqref="E1139:E1140 E1143:E1144">
    <cfRule type="containsText" dxfId="2222" priority="5648" operator="containsText" text="Pesquisa de Preços">
      <formula>NOT(ISERROR(SEARCH("Pesquisa de Preços",E1139)))</formula>
    </cfRule>
  </conditionalFormatting>
  <conditionalFormatting sqref="E1141:E1142">
    <cfRule type="containsText" dxfId="2221" priority="5646" operator="containsText" text="Pesquisa de Preços">
      <formula>NOT(ISERROR(SEARCH("Pesquisa de Preços",E1141)))</formula>
    </cfRule>
  </conditionalFormatting>
  <conditionalFormatting sqref="E1128:E1129 E1131:E1132">
    <cfRule type="containsText" dxfId="2220" priority="5645" operator="containsText" text="Pesquisa de Preços">
      <formula>NOT(ISERROR(SEARCH("Pesquisa de Preços",E1128)))</formula>
    </cfRule>
  </conditionalFormatting>
  <conditionalFormatting sqref="E1127">
    <cfRule type="containsText" dxfId="2219" priority="5644" operator="containsText" text="Pesquisa de Preços">
      <formula>NOT(ISERROR(SEARCH("Pesquisa de Preços",E1127)))</formula>
    </cfRule>
  </conditionalFormatting>
  <conditionalFormatting sqref="E1130">
    <cfRule type="containsText" dxfId="2218" priority="5643" operator="containsText" text="Pesquisa de Preços">
      <formula>NOT(ISERROR(SEARCH("Pesquisa de Preços",E1130)))</formula>
    </cfRule>
  </conditionalFormatting>
  <conditionalFormatting sqref="E1261 E1266">
    <cfRule type="containsText" dxfId="2217" priority="5642" operator="containsText" text="Pesquisa de Preços">
      <formula>NOT(ISERROR(SEARCH("Pesquisa de Preços",E1261)))</formula>
    </cfRule>
  </conditionalFormatting>
  <conditionalFormatting sqref="E1260">
    <cfRule type="containsText" dxfId="2216" priority="5641" operator="containsText" text="Pesquisa de Preços">
      <formula>NOT(ISERROR(SEARCH("Pesquisa de Preços",E1260)))</formula>
    </cfRule>
  </conditionalFormatting>
  <conditionalFormatting sqref="E1249:E1250">
    <cfRule type="containsText" dxfId="2215" priority="5638" operator="containsText" text="Pesquisa de Preços">
      <formula>NOT(ISERROR(SEARCH("Pesquisa de Preços",E1249)))</formula>
    </cfRule>
  </conditionalFormatting>
  <conditionalFormatting sqref="E1247:E1248 E1251:E1252">
    <cfRule type="containsText" dxfId="2214" priority="5640" operator="containsText" text="Pesquisa de Preços">
      <formula>NOT(ISERROR(SEARCH("Pesquisa de Preços",E1247)))</formula>
    </cfRule>
  </conditionalFormatting>
  <conditionalFormatting sqref="E1246">
    <cfRule type="containsText" dxfId="2213" priority="5639" operator="containsText" text="Pesquisa de Preços">
      <formula>NOT(ISERROR(SEARCH("Pesquisa de Preços",E1246)))</formula>
    </cfRule>
  </conditionalFormatting>
  <conditionalFormatting sqref="E1153:E1154 E1157:E1158">
    <cfRule type="containsText" dxfId="2212" priority="5637" operator="containsText" text="Pesquisa de Preços">
      <formula>NOT(ISERROR(SEARCH("Pesquisa de Preços",E1153)))</formula>
    </cfRule>
  </conditionalFormatting>
  <conditionalFormatting sqref="E1152">
    <cfRule type="containsText" dxfId="2211" priority="5636" operator="containsText" text="Pesquisa de Preços">
      <formula>NOT(ISERROR(SEARCH("Pesquisa de Preços",E1152)))</formula>
    </cfRule>
  </conditionalFormatting>
  <conditionalFormatting sqref="E1155:E1156">
    <cfRule type="containsText" dxfId="2210" priority="5635" operator="containsText" text="Pesquisa de Preços">
      <formula>NOT(ISERROR(SEARCH("Pesquisa de Preços",E1155)))</formula>
    </cfRule>
  </conditionalFormatting>
  <conditionalFormatting sqref="E1188:E1189 E1193">
    <cfRule type="containsText" dxfId="2209" priority="5634" operator="containsText" text="Pesquisa de Preços">
      <formula>NOT(ISERROR(SEARCH("Pesquisa de Preços",E1188)))</formula>
    </cfRule>
  </conditionalFormatting>
  <conditionalFormatting sqref="E1187">
    <cfRule type="containsText" dxfId="2208" priority="5633" operator="containsText" text="Pesquisa de Preços">
      <formula>NOT(ISERROR(SEARCH("Pesquisa de Preços",E1187)))</formula>
    </cfRule>
  </conditionalFormatting>
  <conditionalFormatting sqref="E1195:E1196 E1200">
    <cfRule type="containsText" dxfId="2207" priority="5631" operator="containsText" text="Pesquisa de Preços">
      <formula>NOT(ISERROR(SEARCH("Pesquisa de Preços",E1195)))</formula>
    </cfRule>
  </conditionalFormatting>
  <conditionalFormatting sqref="E1194">
    <cfRule type="containsText" dxfId="2206" priority="5630" operator="containsText" text="Pesquisa de Preços">
      <formula>NOT(ISERROR(SEARCH("Pesquisa de Preços",E1194)))</formula>
    </cfRule>
  </conditionalFormatting>
  <conditionalFormatting sqref="E1893">
    <cfRule type="containsText" dxfId="2205" priority="5457" operator="containsText" text="Pesquisa de Preços">
      <formula>NOT(ISERROR(SEARCH("Pesquisa de Preços",E1893)))</formula>
    </cfRule>
  </conditionalFormatting>
  <conditionalFormatting sqref="E1202:E1203 E1207">
    <cfRule type="containsText" dxfId="2204" priority="5628" operator="containsText" text="Pesquisa de Preços">
      <formula>NOT(ISERROR(SEARCH("Pesquisa de Preços",E1202)))</formula>
    </cfRule>
  </conditionalFormatting>
  <conditionalFormatting sqref="E1201">
    <cfRule type="containsText" dxfId="2203" priority="5627" operator="containsText" text="Pesquisa de Preços">
      <formula>NOT(ISERROR(SEARCH("Pesquisa de Preços",E1201)))</formula>
    </cfRule>
  </conditionalFormatting>
  <conditionalFormatting sqref="E1899">
    <cfRule type="containsText" dxfId="2202" priority="5454" operator="containsText" text="Pesquisa de Preços">
      <formula>NOT(ISERROR(SEARCH("Pesquisa de Preços",E1899)))</formula>
    </cfRule>
  </conditionalFormatting>
  <conditionalFormatting sqref="E1181:E1182 E1185:E1186">
    <cfRule type="containsText" dxfId="2201" priority="5625" operator="containsText" text="Pesquisa de Preços">
      <formula>NOT(ISERROR(SEARCH("Pesquisa de Preços",E1181)))</formula>
    </cfRule>
  </conditionalFormatting>
  <conditionalFormatting sqref="E1180">
    <cfRule type="containsText" dxfId="2200" priority="5624" operator="containsText" text="Pesquisa de Preços">
      <formula>NOT(ISERROR(SEARCH("Pesquisa de Preços",E1180)))</formula>
    </cfRule>
  </conditionalFormatting>
  <conditionalFormatting sqref="E1183:E1184">
    <cfRule type="containsText" dxfId="2199" priority="5623" operator="containsText" text="Pesquisa de Preços">
      <formula>NOT(ISERROR(SEARCH("Pesquisa de Preços",E1183)))</formula>
    </cfRule>
  </conditionalFormatting>
  <conditionalFormatting sqref="E1146:E1147 E1150:E1151">
    <cfRule type="containsText" dxfId="2198" priority="5622" operator="containsText" text="Pesquisa de Preços">
      <formula>NOT(ISERROR(SEARCH("Pesquisa de Preços",E1146)))</formula>
    </cfRule>
  </conditionalFormatting>
  <conditionalFormatting sqref="E1145">
    <cfRule type="containsText" dxfId="2197" priority="5621" operator="containsText" text="Pesquisa de Preços">
      <formula>NOT(ISERROR(SEARCH("Pesquisa de Preços",E1145)))</formula>
    </cfRule>
  </conditionalFormatting>
  <conditionalFormatting sqref="E1915">
    <cfRule type="containsText" dxfId="2196" priority="5451" operator="containsText" text="Pesquisa de Preços">
      <formula>NOT(ISERROR(SEARCH("Pesquisa de Preços",E1915)))</formula>
    </cfRule>
  </conditionalFormatting>
  <conditionalFormatting sqref="E1148:E1149">
    <cfRule type="containsText" dxfId="2195" priority="5620" operator="containsText" text="Pesquisa de Preços">
      <formula>NOT(ISERROR(SEARCH("Pesquisa de Preços",E1148)))</formula>
    </cfRule>
  </conditionalFormatting>
  <conditionalFormatting sqref="E1167:E1168 E1171:E1172">
    <cfRule type="containsText" dxfId="2194" priority="5619" operator="containsText" text="Pesquisa de Preços">
      <formula>NOT(ISERROR(SEARCH("Pesquisa de Preços",E1167)))</formula>
    </cfRule>
  </conditionalFormatting>
  <conditionalFormatting sqref="E1166">
    <cfRule type="containsText" dxfId="2193" priority="5618" operator="containsText" text="Pesquisa de Preços">
      <formula>NOT(ISERROR(SEARCH("Pesquisa de Preços",E1166)))</formula>
    </cfRule>
  </conditionalFormatting>
  <conditionalFormatting sqref="E1910">
    <cfRule type="containsText" dxfId="2192" priority="5449" operator="containsText" text="Pesquisa de Preços">
      <formula>NOT(ISERROR(SEARCH("Pesquisa de Preços",E1910)))</formula>
    </cfRule>
  </conditionalFormatting>
  <conditionalFormatting sqref="E1169:E1170">
    <cfRule type="containsText" dxfId="2191" priority="5617" operator="containsText" text="Pesquisa de Preços">
      <formula>NOT(ISERROR(SEARCH("Pesquisa de Preços",E1169)))</formula>
    </cfRule>
  </conditionalFormatting>
  <conditionalFormatting sqref="E1174 E1179">
    <cfRule type="containsText" dxfId="2190" priority="5616" operator="containsText" text="Pesquisa de Preços">
      <formula>NOT(ISERROR(SEARCH("Pesquisa de Preços",E1174)))</formula>
    </cfRule>
  </conditionalFormatting>
  <conditionalFormatting sqref="E1173">
    <cfRule type="containsText" dxfId="2189" priority="5615" operator="containsText" text="Pesquisa de Preços">
      <formula>NOT(ISERROR(SEARCH("Pesquisa de Preços",E1173)))</formula>
    </cfRule>
  </conditionalFormatting>
  <conditionalFormatting sqref="E1920">
    <cfRule type="containsText" dxfId="2188" priority="5447" operator="containsText" text="Pesquisa de Preços">
      <formula>NOT(ISERROR(SEARCH("Pesquisa de Preços",E1920)))</formula>
    </cfRule>
  </conditionalFormatting>
  <conditionalFormatting sqref="E1208">
    <cfRule type="containsText" dxfId="2187" priority="5613" operator="containsText" text="Pesquisa de Preços">
      <formula>NOT(ISERROR(SEARCH("Pesquisa de Preços",E1208)))</formula>
    </cfRule>
  </conditionalFormatting>
  <conditionalFormatting sqref="E1209:E1210 E1214">
    <cfRule type="containsText" dxfId="2186" priority="5614" operator="containsText" text="Pesquisa de Preços">
      <formula>NOT(ISERROR(SEARCH("Pesquisa de Preços",E1209)))</formula>
    </cfRule>
  </conditionalFormatting>
  <conditionalFormatting sqref="E1943">
    <cfRule type="containsText" dxfId="2185" priority="5445" operator="containsText" text="Pesquisa de Preços">
      <formula>NOT(ISERROR(SEARCH("Pesquisa de Preços",E1943)))</formula>
    </cfRule>
  </conditionalFormatting>
  <conditionalFormatting sqref="E1211:E1212">
    <cfRule type="containsText" dxfId="2184" priority="5612" operator="containsText" text="Pesquisa de Preços">
      <formula>NOT(ISERROR(SEARCH("Pesquisa de Preços",E1211)))</formula>
    </cfRule>
  </conditionalFormatting>
  <conditionalFormatting sqref="E1134">
    <cfRule type="containsText" dxfId="2183" priority="5611" operator="containsText" text="Pesquisa de Preços">
      <formula>NOT(ISERROR(SEARCH("Pesquisa de Preços",E1134)))</formula>
    </cfRule>
  </conditionalFormatting>
  <conditionalFormatting sqref="E1133">
    <cfRule type="containsText" dxfId="2182" priority="5610" operator="containsText" text="Pesquisa de Preços">
      <formula>NOT(ISERROR(SEARCH("Pesquisa de Preços",E1133)))</formula>
    </cfRule>
  </conditionalFormatting>
  <conditionalFormatting sqref="E1268:E1269 E1271:E1272">
    <cfRule type="containsText" dxfId="2181" priority="5609" operator="containsText" text="Pesquisa de Preços">
      <formula>NOT(ISERROR(SEARCH("Pesquisa de Preços",E1268)))</formula>
    </cfRule>
  </conditionalFormatting>
  <conditionalFormatting sqref="E1270">
    <cfRule type="containsText" dxfId="2180" priority="5607" operator="containsText" text="Pesquisa de Preços">
      <formula>NOT(ISERROR(SEARCH("Pesquisa de Preços",E1270)))</formula>
    </cfRule>
  </conditionalFormatting>
  <conditionalFormatting sqref="E1302:E1303 E1307:E1308">
    <cfRule type="containsText" dxfId="2179" priority="5606" operator="containsText" text="Pesquisa de Preços">
      <formula>NOT(ISERROR(SEARCH("Pesquisa de Preços",E1302)))</formula>
    </cfRule>
  </conditionalFormatting>
  <conditionalFormatting sqref="E1304:E1306">
    <cfRule type="containsText" dxfId="2178" priority="5604" operator="containsText" text="Pesquisa de Preços">
      <formula>NOT(ISERROR(SEARCH("Pesquisa de Preços",E1304)))</formula>
    </cfRule>
  </conditionalFormatting>
  <conditionalFormatting sqref="E1310 E1316:E1317">
    <cfRule type="containsText" dxfId="2177" priority="5603" operator="containsText" text="Pesquisa de Preços">
      <formula>NOT(ISERROR(SEARCH("Pesquisa de Preços",E1310)))</formula>
    </cfRule>
  </conditionalFormatting>
  <conditionalFormatting sqref="E1400:E1401 E1404:E1405">
    <cfRule type="containsText" dxfId="2176" priority="5574" operator="containsText" text="Pesquisa de Preços">
      <formula>NOT(ISERROR(SEARCH("Pesquisa de Preços",E1400)))</formula>
    </cfRule>
  </conditionalFormatting>
  <conditionalFormatting sqref="E1274:E1275">
    <cfRule type="containsText" dxfId="2175" priority="5601" operator="containsText" text="Pesquisa de Preços">
      <formula>NOT(ISERROR(SEARCH("Pesquisa de Preços",E1274)))</formula>
    </cfRule>
  </conditionalFormatting>
  <conditionalFormatting sqref="E1276:E1278">
    <cfRule type="containsText" dxfId="2174" priority="5599" operator="containsText" text="Pesquisa de Preços">
      <formula>NOT(ISERROR(SEARCH("Pesquisa de Preços",E1276)))</formula>
    </cfRule>
  </conditionalFormatting>
  <conditionalFormatting sqref="E1281:E1282 E1286">
    <cfRule type="containsText" dxfId="2173" priority="5598" operator="containsText" text="Pesquisa de Preços">
      <formula>NOT(ISERROR(SEARCH("Pesquisa de Preços",E1281)))</formula>
    </cfRule>
  </conditionalFormatting>
  <conditionalFormatting sqref="E1969">
    <cfRule type="containsText" dxfId="2172" priority="5438" operator="containsText" text="Pesquisa de Preços">
      <formula>NOT(ISERROR(SEARCH("Pesquisa de Preços",E1969)))</formula>
    </cfRule>
  </conditionalFormatting>
  <conditionalFormatting sqref="E1288:E1289 E1293">
    <cfRule type="containsText" dxfId="2171" priority="5596" operator="containsText" text="Pesquisa de Preços">
      <formula>NOT(ISERROR(SEARCH("Pesquisa de Preços",E1288)))</formula>
    </cfRule>
  </conditionalFormatting>
  <conditionalFormatting sqref="E1962">
    <cfRule type="containsText" dxfId="2170" priority="5436" operator="containsText" text="Pesquisa de Preços">
      <formula>NOT(ISERROR(SEARCH("Pesquisa de Preços",E1962)))</formula>
    </cfRule>
  </conditionalFormatting>
  <conditionalFormatting sqref="E1295 E1298 E1300">
    <cfRule type="containsText" dxfId="2169" priority="5594" operator="containsText" text="Pesquisa de Preços">
      <formula>NOT(ISERROR(SEARCH("Pesquisa de Preços",E1295)))</formula>
    </cfRule>
  </conditionalFormatting>
  <conditionalFormatting sqref="E1331:E1332">
    <cfRule type="containsText" dxfId="2168" priority="5590" operator="containsText" text="Pesquisa de Preços">
      <formula>NOT(ISERROR(SEARCH("Pesquisa de Preços",E1331)))</formula>
    </cfRule>
  </conditionalFormatting>
  <conditionalFormatting sqref="E1337:E1338">
    <cfRule type="containsText" dxfId="2167" priority="5592" operator="containsText" text="Pesquisa de Preços">
      <formula>NOT(ISERROR(SEARCH("Pesquisa de Preços",E1337)))</formula>
    </cfRule>
  </conditionalFormatting>
  <conditionalFormatting sqref="E2006">
    <cfRule type="containsText" dxfId="2166" priority="5430" operator="containsText" text="Pesquisa de Preços">
      <formula>NOT(ISERROR(SEARCH("Pesquisa de Preços",E2006)))</formula>
    </cfRule>
  </conditionalFormatting>
  <conditionalFormatting sqref="E1319:E1320">
    <cfRule type="containsText" dxfId="2165" priority="5586" operator="containsText" text="Pesquisa de Preços">
      <formula>NOT(ISERROR(SEARCH("Pesquisa de Preços",E1319)))</formula>
    </cfRule>
  </conditionalFormatting>
  <conditionalFormatting sqref="E1999">
    <cfRule type="containsText" dxfId="2164" priority="5428" operator="containsText" text="Pesquisa de Preços">
      <formula>NOT(ISERROR(SEARCH("Pesquisa de Preços",E1999)))</formula>
    </cfRule>
  </conditionalFormatting>
  <conditionalFormatting sqref="E1325:E1326">
    <cfRule type="containsText" dxfId="2163" priority="5588" operator="containsText" text="Pesquisa de Preços">
      <formula>NOT(ISERROR(SEARCH("Pesquisa de Preços",E1325)))</formula>
    </cfRule>
  </conditionalFormatting>
  <conditionalFormatting sqref="E1992">
    <cfRule type="containsText" dxfId="2162" priority="5425" operator="containsText" text="Pesquisa de Preços">
      <formula>NOT(ISERROR(SEARCH("Pesquisa de Preços",E1992)))</formula>
    </cfRule>
  </conditionalFormatting>
  <conditionalFormatting sqref="E1985">
    <cfRule type="containsText" dxfId="2161" priority="5422" operator="containsText" text="Pesquisa de Preços">
      <formula>NOT(ISERROR(SEARCH("Pesquisa de Preços",E1985)))</formula>
    </cfRule>
  </conditionalFormatting>
  <conditionalFormatting sqref="E1343:E1344 E1347:E1348">
    <cfRule type="containsText" dxfId="2160" priority="5584" operator="containsText" text="Pesquisa de Preços">
      <formula>NOT(ISERROR(SEARCH("Pesquisa de Preços",E1343)))</formula>
    </cfRule>
  </conditionalFormatting>
  <conditionalFormatting sqref="E1516">
    <cfRule type="containsText" dxfId="2159" priority="5557" operator="containsText" text="Pesquisa de Preços">
      <formula>NOT(ISERROR(SEARCH("Pesquisa de Preços",E1516)))</formula>
    </cfRule>
  </conditionalFormatting>
  <conditionalFormatting sqref="E1345:E1346">
    <cfRule type="containsText" dxfId="2158" priority="5582" operator="containsText" text="Pesquisa de Preços">
      <formula>NOT(ISERROR(SEARCH("Pesquisa de Preços",E1345)))</formula>
    </cfRule>
  </conditionalFormatting>
  <conditionalFormatting sqref="E1356:E1357 E1360:E1361">
    <cfRule type="containsText" dxfId="2157" priority="5581" operator="containsText" text="Pesquisa de Preços">
      <formula>NOT(ISERROR(SEARCH("Pesquisa de Preços",E1356)))</formula>
    </cfRule>
  </conditionalFormatting>
  <conditionalFormatting sqref="E1522">
    <cfRule type="containsText" dxfId="2156" priority="5558" operator="containsText" text="Pesquisa de Preços">
      <formula>NOT(ISERROR(SEARCH("Pesquisa de Preços",E1522)))</formula>
    </cfRule>
  </conditionalFormatting>
  <conditionalFormatting sqref="E1358:E1359">
    <cfRule type="containsText" dxfId="2155" priority="5579" operator="containsText" text="Pesquisa de Preços">
      <formula>NOT(ISERROR(SEARCH("Pesquisa de Preços",E1358)))</formula>
    </cfRule>
  </conditionalFormatting>
  <conditionalFormatting sqref="E1350 E1353:E1354">
    <cfRule type="containsText" dxfId="2154" priority="5578" operator="containsText" text="Pesquisa de Preços">
      <formula>NOT(ISERROR(SEARCH("Pesquisa de Preços",E1350)))</formula>
    </cfRule>
  </conditionalFormatting>
  <conditionalFormatting sqref="E1399">
    <cfRule type="containsText" dxfId="2153" priority="5573" operator="containsText" text="Pesquisa de Preços">
      <formula>NOT(ISERROR(SEARCH("Pesquisa de Preços",E1399)))</formula>
    </cfRule>
  </conditionalFormatting>
  <conditionalFormatting sqref="E1363 E1366:E1367">
    <cfRule type="containsText" dxfId="2152" priority="5576" operator="containsText" text="Pesquisa de Preços">
      <formula>NOT(ISERROR(SEARCH("Pesquisa de Preços",E1363)))</formula>
    </cfRule>
  </conditionalFormatting>
  <conditionalFormatting sqref="E1362">
    <cfRule type="containsText" dxfId="2151" priority="5575" operator="containsText" text="Pesquisa de Preços">
      <formula>NOT(ISERROR(SEARCH("Pesquisa de Preços",E1362)))</formula>
    </cfRule>
  </conditionalFormatting>
  <conditionalFormatting sqref="E1402:E1403">
    <cfRule type="containsText" dxfId="2150" priority="5572" operator="containsText" text="Pesquisa de Preços">
      <formula>NOT(ISERROR(SEARCH("Pesquisa de Preços",E1402)))</formula>
    </cfRule>
  </conditionalFormatting>
  <conditionalFormatting sqref="E2161">
    <cfRule type="containsText" dxfId="2149" priority="5411" operator="containsText" text="Pesquisa de Preços">
      <formula>NOT(ISERROR(SEARCH("Pesquisa de Preços",E2161)))</formula>
    </cfRule>
  </conditionalFormatting>
  <conditionalFormatting sqref="E1369:E1370 E1372:E1373">
    <cfRule type="containsText" dxfId="2148" priority="5571" operator="containsText" text="Pesquisa de Preços">
      <formula>NOT(ISERROR(SEARCH("Pesquisa de Preços",E1369)))</formula>
    </cfRule>
  </conditionalFormatting>
  <conditionalFormatting sqref="E1368">
    <cfRule type="containsText" dxfId="2147" priority="5570" operator="containsText" text="Pesquisa de Preços">
      <formula>NOT(ISERROR(SEARCH("Pesquisa de Preços",E1368)))</formula>
    </cfRule>
  </conditionalFormatting>
  <conditionalFormatting sqref="E1380">
    <cfRule type="containsText" dxfId="2146" priority="5569" operator="containsText" text="Pesquisa de Preços">
      <formula>NOT(ISERROR(SEARCH("Pesquisa de Preços",E1380)))</formula>
    </cfRule>
  </conditionalFormatting>
  <conditionalFormatting sqref="E1386">
    <cfRule type="containsText" dxfId="2145" priority="5568" operator="containsText" text="Pesquisa de Preços">
      <formula>NOT(ISERROR(SEARCH("Pesquisa de Preços",E1386)))</formula>
    </cfRule>
  </conditionalFormatting>
  <conditionalFormatting sqref="E1407 E1420">
    <cfRule type="containsText" dxfId="2144" priority="5547" operator="containsText" text="Pesquisa de Preços">
      <formula>NOT(ISERROR(SEARCH("Pesquisa de Preços",E1407)))</formula>
    </cfRule>
  </conditionalFormatting>
  <conditionalFormatting sqref="E1548">
    <cfRule type="containsText" dxfId="2143" priority="5566" operator="containsText" text="Pesquisa de Preços">
      <formula>NOT(ISERROR(SEARCH("Pesquisa de Preços",E1548)))</formula>
    </cfRule>
  </conditionalFormatting>
  <conditionalFormatting sqref="E1549:E1550">
    <cfRule type="containsText" dxfId="2142" priority="5567" operator="containsText" text="Pesquisa de Preços">
      <formula>NOT(ISERROR(SEARCH("Pesquisa de Preços",E1549)))</formula>
    </cfRule>
  </conditionalFormatting>
  <conditionalFormatting sqref="E1551 E1553">
    <cfRule type="containsText" dxfId="2141" priority="5565" operator="containsText" text="Pesquisa de Preços">
      <formula>NOT(ISERROR(SEARCH("Pesquisa de Preços",E1551)))</formula>
    </cfRule>
  </conditionalFormatting>
  <conditionalFormatting sqref="E1542:E1543">
    <cfRule type="containsText" dxfId="2140" priority="5564" operator="containsText" text="Pesquisa de Preços">
      <formula>NOT(ISERROR(SEARCH("Pesquisa de Preços",E1542)))</formula>
    </cfRule>
  </conditionalFormatting>
  <conditionalFormatting sqref="E1541">
    <cfRule type="containsText" dxfId="2139" priority="5563" operator="containsText" text="Pesquisa de Preços">
      <formula>NOT(ISERROR(SEARCH("Pesquisa de Preços",E1541)))</formula>
    </cfRule>
  </conditionalFormatting>
  <conditionalFormatting sqref="E2035">
    <cfRule type="containsText" dxfId="2138" priority="5405" operator="containsText" text="Pesquisa de Preços">
      <formula>NOT(ISERROR(SEARCH("Pesquisa de Preços",E2035)))</formula>
    </cfRule>
  </conditionalFormatting>
  <conditionalFormatting sqref="E1536 E1540">
    <cfRule type="containsText" dxfId="2137" priority="5562" operator="containsText" text="Pesquisa de Preços">
      <formula>NOT(ISERROR(SEARCH("Pesquisa de Preços",E1536)))</formula>
    </cfRule>
  </conditionalFormatting>
  <conditionalFormatting sqref="E1535">
    <cfRule type="containsText" dxfId="2136" priority="5561" operator="containsText" text="Pesquisa de Preços">
      <formula>NOT(ISERROR(SEARCH("Pesquisa de Preços",E1535)))</formula>
    </cfRule>
  </conditionalFormatting>
  <conditionalFormatting sqref="E1524">
    <cfRule type="containsText" dxfId="2135" priority="5560" operator="containsText" text="Pesquisa de Preços">
      <formula>NOT(ISERROR(SEARCH("Pesquisa de Preços",E1524)))</formula>
    </cfRule>
  </conditionalFormatting>
  <conditionalFormatting sqref="E1523">
    <cfRule type="containsText" dxfId="2134" priority="5559" operator="containsText" text="Pesquisa de Preços">
      <formula>NOT(ISERROR(SEARCH("Pesquisa de Preços",E1523)))</formula>
    </cfRule>
  </conditionalFormatting>
  <conditionalFormatting sqref="E1556:E1557 E1560:E1561">
    <cfRule type="containsText" dxfId="2133" priority="5552" operator="containsText" text="Pesquisa de Preços">
      <formula>NOT(ISERROR(SEARCH("Pesquisa de Preços",E1556)))</formula>
    </cfRule>
  </conditionalFormatting>
  <conditionalFormatting sqref="E1495">
    <cfRule type="containsText" dxfId="2132" priority="5538" operator="containsText" text="Pesquisa de Preços">
      <formula>NOT(ISERROR(SEARCH("Pesquisa de Preços",E1495)))</formula>
    </cfRule>
  </conditionalFormatting>
  <conditionalFormatting sqref="E1497 E1510">
    <cfRule type="containsText" dxfId="2131" priority="5549" operator="containsText" text="Pesquisa de Preços">
      <formula>NOT(ISERROR(SEARCH("Pesquisa de Preços",E1497)))</formula>
    </cfRule>
  </conditionalFormatting>
  <conditionalFormatting sqref="E1496">
    <cfRule type="containsText" dxfId="2130" priority="5548" operator="containsText" text="Pesquisa de Preços">
      <formula>NOT(ISERROR(SEARCH("Pesquisa de Preços",E1496)))</formula>
    </cfRule>
  </conditionalFormatting>
  <conditionalFormatting sqref="E1534">
    <cfRule type="containsText" dxfId="2129" priority="5556" operator="containsText" text="Pesquisa de Preços">
      <formula>NOT(ISERROR(SEARCH("Pesquisa de Preços",E1534)))</formula>
    </cfRule>
  </conditionalFormatting>
  <conditionalFormatting sqref="E1563:E1564 E1567:E1568">
    <cfRule type="containsText" dxfId="2128" priority="5555" operator="containsText" text="Pesquisa de Preços">
      <formula>NOT(ISERROR(SEARCH("Pesquisa de Preços",E1563)))</formula>
    </cfRule>
  </conditionalFormatting>
  <conditionalFormatting sqref="E1562">
    <cfRule type="containsText" dxfId="2127" priority="5554" operator="containsText" text="Pesquisa de Preços">
      <formula>NOT(ISERROR(SEARCH("Pesquisa de Preços",E1562)))</formula>
    </cfRule>
  </conditionalFormatting>
  <conditionalFormatting sqref="E1566">
    <cfRule type="containsText" dxfId="2126" priority="5553" operator="containsText" text="Pesquisa de Preços">
      <formula>NOT(ISERROR(SEARCH("Pesquisa de Preços",E1566)))</formula>
    </cfRule>
  </conditionalFormatting>
  <conditionalFormatting sqref="E1555">
    <cfRule type="containsText" dxfId="2125" priority="5551" operator="containsText" text="Pesquisa de Preços">
      <formula>NOT(ISERROR(SEARCH("Pesquisa de Preços",E1555)))</formula>
    </cfRule>
  </conditionalFormatting>
  <conditionalFormatting sqref="E1558:E1559">
    <cfRule type="containsText" dxfId="2124" priority="5550" operator="containsText" text="Pesquisa de Preços">
      <formula>NOT(ISERROR(SEARCH("Pesquisa de Preços",E1558)))</formula>
    </cfRule>
  </conditionalFormatting>
  <conditionalFormatting sqref="E1609">
    <cfRule type="containsText" dxfId="2123" priority="5516" operator="containsText" text="Pesquisa de Preços">
      <formula>NOT(ISERROR(SEARCH("Pesquisa de Preços",E1609)))</formula>
    </cfRule>
  </conditionalFormatting>
  <conditionalFormatting sqref="E1406">
    <cfRule type="containsText" dxfId="2122" priority="5546" operator="containsText" text="Pesquisa de Preços">
      <formula>NOT(ISERROR(SEARCH("Pesquisa de Preços",E1406)))</formula>
    </cfRule>
  </conditionalFormatting>
  <conditionalFormatting sqref="E1603 E1607:E1608">
    <cfRule type="containsText" dxfId="2121" priority="5509" operator="containsText" text="Pesquisa de Preços">
      <formula>NOT(ISERROR(SEARCH("Pesquisa de Preços",E1603)))</formula>
    </cfRule>
  </conditionalFormatting>
  <conditionalFormatting sqref="E1437 E1450">
    <cfRule type="containsText" dxfId="2120" priority="5545" operator="containsText" text="Pesquisa de Preços">
      <formula>NOT(ISERROR(SEARCH("Pesquisa de Preços",E1437)))</formula>
    </cfRule>
  </conditionalFormatting>
  <conditionalFormatting sqref="E1436">
    <cfRule type="containsText" dxfId="2119" priority="5544" operator="containsText" text="Pesquisa de Preços">
      <formula>NOT(ISERROR(SEARCH("Pesquisa de Preços",E1436)))</formula>
    </cfRule>
  </conditionalFormatting>
  <conditionalFormatting sqref="E1621 E1625">
    <cfRule type="containsText" dxfId="2118" priority="5521" operator="containsText" text="Pesquisa de Preços">
      <formula>NOT(ISERROR(SEARCH("Pesquisa de Preços",E1621)))</formula>
    </cfRule>
  </conditionalFormatting>
  <conditionalFormatting sqref="E1422 E1435">
    <cfRule type="containsText" dxfId="2117" priority="5543" operator="containsText" text="Pesquisa de Preços">
      <formula>NOT(ISERROR(SEARCH("Pesquisa de Preços",E1422)))</formula>
    </cfRule>
  </conditionalFormatting>
  <conditionalFormatting sqref="E1467 E1480">
    <cfRule type="containsText" dxfId="2116" priority="5541" operator="containsText" text="Pesquisa de Preços">
      <formula>NOT(ISERROR(SEARCH("Pesquisa de Preços",E1467)))</formula>
    </cfRule>
  </conditionalFormatting>
  <conditionalFormatting sqref="E1684 E1687 E1689">
    <cfRule type="containsText" dxfId="2115" priority="5523" operator="containsText" text="Pesquisa de Preços">
      <formula>NOT(ISERROR(SEARCH("Pesquisa de Preços",E1684)))</formula>
    </cfRule>
  </conditionalFormatting>
  <conditionalFormatting sqref="E1465">
    <cfRule type="containsText" dxfId="2114" priority="5539" operator="containsText" text="Pesquisa de Preços">
      <formula>NOT(ISERROR(SEARCH("Pesquisa de Preços",E1465)))</formula>
    </cfRule>
  </conditionalFormatting>
  <conditionalFormatting sqref="E2272">
    <cfRule type="containsText" dxfId="2113" priority="5366" operator="containsText" text="Pesquisa de Preços">
      <formula>NOT(ISERROR(SEARCH("Pesquisa de Preços",E2272)))</formula>
    </cfRule>
  </conditionalFormatting>
  <conditionalFormatting sqref="E1585 E1589">
    <cfRule type="containsText" dxfId="2112" priority="5531" operator="containsText" text="Pesquisa de Preços">
      <formula>NOT(ISERROR(SEARCH("Pesquisa de Preços",E1585)))</formula>
    </cfRule>
  </conditionalFormatting>
  <conditionalFormatting sqref="E1570:E1571 E1582:E1583">
    <cfRule type="containsText" dxfId="2111" priority="5537" operator="containsText" text="Pesquisa de Preços">
      <formula>NOT(ISERROR(SEARCH("Pesquisa de Preços",E1570)))</formula>
    </cfRule>
  </conditionalFormatting>
  <conditionalFormatting sqref="E2206">
    <cfRule type="containsText" dxfId="2110" priority="5382" operator="containsText" text="Pesquisa de Preços">
      <formula>NOT(ISERROR(SEARCH("Pesquisa de Preços",E2206)))</formula>
    </cfRule>
  </conditionalFormatting>
  <conditionalFormatting sqref="E1572:E1581">
    <cfRule type="containsText" dxfId="2109" priority="5535" operator="containsText" text="Pesquisa de Preços">
      <formula>NOT(ISERROR(SEARCH("Pesquisa de Preços",E1572)))</formula>
    </cfRule>
  </conditionalFormatting>
  <conditionalFormatting sqref="E1394:E1395 E1397:E1398">
    <cfRule type="containsText" dxfId="2108" priority="5534" operator="containsText" text="Pesquisa de Preços">
      <formula>NOT(ISERROR(SEARCH("Pesquisa de Preços",E1394)))</formula>
    </cfRule>
  </conditionalFormatting>
  <conditionalFormatting sqref="E1393">
    <cfRule type="containsText" dxfId="2107" priority="5533" operator="containsText" text="Pesquisa de Preços">
      <formula>NOT(ISERROR(SEARCH("Pesquisa de Preços",E1393)))</formula>
    </cfRule>
  </conditionalFormatting>
  <conditionalFormatting sqref="E2226">
    <cfRule type="containsText" dxfId="2106" priority="5378" operator="containsText" text="Pesquisa de Preços">
      <formula>NOT(ISERROR(SEARCH("Pesquisa de Preços",E2226)))</formula>
    </cfRule>
  </conditionalFormatting>
  <conditionalFormatting sqref="E1396">
    <cfRule type="containsText" dxfId="2105" priority="5532" operator="containsText" text="Pesquisa de Preços">
      <formula>NOT(ISERROR(SEARCH("Pesquisa de Preços",E1396)))</formula>
    </cfRule>
  </conditionalFormatting>
  <conditionalFormatting sqref="E1584">
    <cfRule type="containsText" dxfId="2104" priority="5530" operator="containsText" text="Pesquisa de Preços">
      <formula>NOT(ISERROR(SEARCH("Pesquisa de Preços",E1584)))</formula>
    </cfRule>
  </conditionalFormatting>
  <conditionalFormatting sqref="E1627 E1629:E1630">
    <cfRule type="containsText" dxfId="2103" priority="5515" operator="containsText" text="Pesquisa de Preços">
      <formula>NOT(ISERROR(SEARCH("Pesquisa de Preços",E1627)))</formula>
    </cfRule>
  </conditionalFormatting>
  <conditionalFormatting sqref="E1591 E1595">
    <cfRule type="containsText" dxfId="2102" priority="5529" operator="containsText" text="Pesquisa de Preços">
      <formula>NOT(ISERROR(SEARCH("Pesquisa de Preços",E1591)))</formula>
    </cfRule>
  </conditionalFormatting>
  <conditionalFormatting sqref="E1590">
    <cfRule type="containsText" dxfId="2101" priority="5528" operator="containsText" text="Pesquisa de Preços">
      <formula>NOT(ISERROR(SEARCH("Pesquisa de Preços",E1590)))</formula>
    </cfRule>
  </conditionalFormatting>
  <conditionalFormatting sqref="E1637">
    <cfRule type="containsText" dxfId="2100" priority="5525" operator="containsText" text="Pesquisa de Preços">
      <formula>NOT(ISERROR(SEARCH("Pesquisa de Preços",E1637)))</formula>
    </cfRule>
  </conditionalFormatting>
  <conditionalFormatting sqref="E1601">
    <cfRule type="containsText" dxfId="2099" priority="5527" operator="containsText" text="Pesquisa de Preços">
      <formula>NOT(ISERROR(SEARCH("Pesquisa de Preços",E1601)))</formula>
    </cfRule>
  </conditionalFormatting>
  <conditionalFormatting sqref="E1638:E1639">
    <cfRule type="containsText" dxfId="2098" priority="5526" operator="containsText" text="Pesquisa de Preços">
      <formula>NOT(ISERROR(SEARCH("Pesquisa de Preços",E1638)))</formula>
    </cfRule>
  </conditionalFormatting>
  <conditionalFormatting sqref="E2246">
    <cfRule type="containsText" dxfId="2097" priority="5374" operator="containsText" text="Pesquisa de Preços">
      <formula>NOT(ISERROR(SEARCH("Pesquisa de Preços",E2246)))</formula>
    </cfRule>
  </conditionalFormatting>
  <conditionalFormatting sqref="E1640:E1641">
    <cfRule type="containsText" dxfId="2096" priority="5524" operator="containsText" text="Pesquisa de Preços">
      <formula>NOT(ISERROR(SEARCH("Pesquisa de Preços",E1640)))</formula>
    </cfRule>
  </conditionalFormatting>
  <conditionalFormatting sqref="E1683">
    <cfRule type="containsText" dxfId="2095" priority="5522" operator="containsText" text="Pesquisa de Preços">
      <formula>NOT(ISERROR(SEARCH("Pesquisa de Preços",E1683)))</formula>
    </cfRule>
  </conditionalFormatting>
  <conditionalFormatting sqref="E1615 E1619">
    <cfRule type="containsText" dxfId="2094" priority="5519" operator="containsText" text="Pesquisa de Preços">
      <formula>NOT(ISERROR(SEARCH("Pesquisa de Preços",E1615)))</formula>
    </cfRule>
  </conditionalFormatting>
  <conditionalFormatting sqref="E1620">
    <cfRule type="containsText" dxfId="2093" priority="5520" operator="containsText" text="Pesquisa de Preços">
      <formula>NOT(ISERROR(SEARCH("Pesquisa de Preços",E1620)))</formula>
    </cfRule>
  </conditionalFormatting>
  <conditionalFormatting sqref="E1614">
    <cfRule type="containsText" dxfId="2092" priority="5518" operator="containsText" text="Pesquisa de Preços">
      <formula>NOT(ISERROR(SEARCH("Pesquisa de Preços",E1614)))</formula>
    </cfRule>
  </conditionalFormatting>
  <conditionalFormatting sqref="E1610 E1612:E1613">
    <cfRule type="containsText" dxfId="2091" priority="5517" operator="containsText" text="Pesquisa de Preços">
      <formula>NOT(ISERROR(SEARCH("Pesquisa de Preços",E1610)))</formula>
    </cfRule>
  </conditionalFormatting>
  <conditionalFormatting sqref="E1632 E1635:E1636">
    <cfRule type="containsText" dxfId="2090" priority="5513" operator="containsText" text="Pesquisa de Preços">
      <formula>NOT(ISERROR(SEARCH("Pesquisa de Preços",E1632)))</formula>
    </cfRule>
  </conditionalFormatting>
  <conditionalFormatting sqref="E1736 E1727:E1729">
    <cfRule type="containsText" dxfId="2089" priority="5497" operator="containsText" text="Pesquisa de Preços">
      <formula>NOT(ISERROR(SEARCH("Pesquisa de Preços",E1727)))</formula>
    </cfRule>
  </conditionalFormatting>
  <conditionalFormatting sqref="E1677 E1681:E1682">
    <cfRule type="containsText" dxfId="2088" priority="5511" operator="containsText" text="Pesquisa de Preços">
      <formula>NOT(ISERROR(SEARCH("Pesquisa de Preços",E1677)))</formula>
    </cfRule>
  </conditionalFormatting>
  <conditionalFormatting sqref="E1676">
    <cfRule type="containsText" dxfId="2087" priority="5510" operator="containsText" text="Pesquisa de Preços">
      <formula>NOT(ISERROR(SEARCH("Pesquisa de Preços",E1676)))</formula>
    </cfRule>
  </conditionalFormatting>
  <conditionalFormatting sqref="E2350">
    <cfRule type="containsText" dxfId="2086" priority="5343" operator="containsText" text="Pesquisa de Preços">
      <formula>NOT(ISERROR(SEARCH("Pesquisa de Preços",E2350)))</formula>
    </cfRule>
  </conditionalFormatting>
  <conditionalFormatting sqref="E2345">
    <cfRule type="containsText" dxfId="2085" priority="5345" operator="containsText" text="Pesquisa de Preços">
      <formula>NOT(ISERROR(SEARCH("Pesquisa de Preços",E2345)))</formula>
    </cfRule>
  </conditionalFormatting>
  <conditionalFormatting sqref="E1671 E1674:E1675">
    <cfRule type="containsText" dxfId="2084" priority="5507" operator="containsText" text="Pesquisa de Preços">
      <formula>NOT(ISERROR(SEARCH("Pesquisa de Preços",E1671)))</formula>
    </cfRule>
  </conditionalFormatting>
  <conditionalFormatting sqref="E1670">
    <cfRule type="containsText" dxfId="2083" priority="5506" operator="containsText" text="Pesquisa de Preços">
      <formula>NOT(ISERROR(SEARCH("Pesquisa de Preços",E1670)))</formula>
    </cfRule>
  </conditionalFormatting>
  <conditionalFormatting sqref="E1666 E1668:E1669">
    <cfRule type="containsText" dxfId="2082" priority="5505" operator="containsText" text="Pesquisa de Preços">
      <formula>NOT(ISERROR(SEARCH("Pesquisa de Preços",E1666)))</formula>
    </cfRule>
  </conditionalFormatting>
  <conditionalFormatting sqref="E1665">
    <cfRule type="containsText" dxfId="2081" priority="5504" operator="containsText" text="Pesquisa de Preços">
      <formula>NOT(ISERROR(SEARCH("Pesquisa de Preços",E1665)))</formula>
    </cfRule>
  </conditionalFormatting>
  <conditionalFormatting sqref="E1716:E1717 E1725">
    <cfRule type="containsText" dxfId="2080" priority="5491" operator="containsText" text="Pesquisa de Preços">
      <formula>NOT(ISERROR(SEARCH("Pesquisa de Preços",E1716)))</formula>
    </cfRule>
  </conditionalFormatting>
  <conditionalFormatting sqref="E1661">
    <cfRule type="containsText" dxfId="2079" priority="5501" operator="containsText" text="Pesquisa de Preços">
      <formula>NOT(ISERROR(SEARCH("Pesquisa de Preços",E1661)))</formula>
    </cfRule>
  </conditionalFormatting>
  <conditionalFormatting sqref="E1656">
    <cfRule type="containsText" dxfId="2078" priority="5503" operator="containsText" text="Pesquisa de Preços">
      <formula>NOT(ISERROR(SEARCH("Pesquisa de Preços",E1656)))</formula>
    </cfRule>
  </conditionalFormatting>
  <conditionalFormatting sqref="E1655">
    <cfRule type="containsText" dxfId="2077" priority="5502" operator="containsText" text="Pesquisa de Preços">
      <formula>NOT(ISERROR(SEARCH("Pesquisa de Preços",E1655)))</formula>
    </cfRule>
  </conditionalFormatting>
  <conditionalFormatting sqref="E2322">
    <cfRule type="containsText" dxfId="2076" priority="5353" operator="containsText" text="Pesquisa de Preços">
      <formula>NOT(ISERROR(SEARCH("Pesquisa de Preços",E2322)))</formula>
    </cfRule>
  </conditionalFormatting>
  <conditionalFormatting sqref="E2334">
    <cfRule type="containsText" dxfId="2075" priority="5351" operator="containsText" text="Pesquisa de Preços">
      <formula>NOT(ISERROR(SEARCH("Pesquisa de Preços",E2334)))</formula>
    </cfRule>
  </conditionalFormatting>
  <conditionalFormatting sqref="E1650 E1653:E1654">
    <cfRule type="containsText" dxfId="2074" priority="5499" operator="containsText" text="Pesquisa de Preços">
      <formula>NOT(ISERROR(SEARCH("Pesquisa de Preços",E1650)))</formula>
    </cfRule>
  </conditionalFormatting>
  <conditionalFormatting sqref="E1738 E1747">
    <cfRule type="containsText" dxfId="2073" priority="5495" operator="containsText" text="Pesquisa de Preços">
      <formula>NOT(ISERROR(SEARCH("Pesquisa de Preços",E1738)))</formula>
    </cfRule>
  </conditionalFormatting>
  <conditionalFormatting sqref="E1705:E1706 E1714">
    <cfRule type="containsText" dxfId="2072" priority="5493" operator="containsText" text="Pesquisa de Preços">
      <formula>NOT(ISERROR(SEARCH("Pesquisa de Preços",E1705)))</formula>
    </cfRule>
  </conditionalFormatting>
  <conditionalFormatting sqref="E897">
    <cfRule type="containsText" dxfId="2071" priority="5341" operator="containsText" text="Pesquisa de Preços">
      <formula>NOT(ISERROR(SEARCH("Pesquisa de Preços",E897)))</formula>
    </cfRule>
  </conditionalFormatting>
  <conditionalFormatting sqref="E876">
    <cfRule type="containsText" dxfId="2070" priority="5339" operator="containsText" text="Pesquisa de Preços">
      <formula>NOT(ISERROR(SEARCH("Pesquisa de Preços",E876)))</formula>
    </cfRule>
  </conditionalFormatting>
  <conditionalFormatting sqref="E1691:E1692 E1694:E1695">
    <cfRule type="containsText" dxfId="2069" priority="5489" operator="containsText" text="Pesquisa de Preços">
      <formula>NOT(ISERROR(SEARCH("Pesquisa de Preços",E1691)))</formula>
    </cfRule>
  </conditionalFormatting>
  <conditionalFormatting sqref="E851">
    <cfRule type="containsText" dxfId="2068" priority="5328" operator="containsText" text="Pesquisa de Preços">
      <formula>NOT(ISERROR(SEARCH("Pesquisa de Preços",E851)))</formula>
    </cfRule>
  </conditionalFormatting>
  <conditionalFormatting sqref="E1697">
    <cfRule type="containsText" dxfId="2067" priority="5487" operator="containsText" text="Pesquisa de Preços">
      <formula>NOT(ISERROR(SEARCH("Pesquisa de Preços",E1697)))</formula>
    </cfRule>
  </conditionalFormatting>
  <conditionalFormatting sqref="E857">
    <cfRule type="containsText" dxfId="2066" priority="5333" operator="containsText" text="Pesquisa de Preços">
      <formula>NOT(ISERROR(SEARCH("Pesquisa de Preços",E857)))</formula>
    </cfRule>
  </conditionalFormatting>
  <conditionalFormatting sqref="E1700:E1701">
    <cfRule type="containsText" dxfId="2065" priority="5485" operator="containsText" text="Pesquisa de Preços">
      <formula>NOT(ISERROR(SEARCH("Pesquisa de Preços",E1700)))</formula>
    </cfRule>
  </conditionalFormatting>
  <conditionalFormatting sqref="E1810">
    <cfRule type="containsText" dxfId="2064" priority="5484" operator="containsText" text="Pesquisa de Preços">
      <formula>NOT(ISERROR(SEARCH("Pesquisa de Preços",E1810)))</formula>
    </cfRule>
  </conditionalFormatting>
  <conditionalFormatting sqref="E1809">
    <cfRule type="containsText" dxfId="2063" priority="5483" operator="containsText" text="Pesquisa de Preços">
      <formula>NOT(ISERROR(SEARCH("Pesquisa de Preços",E1809)))</formula>
    </cfRule>
  </conditionalFormatting>
  <conditionalFormatting sqref="E1836">
    <cfRule type="containsText" dxfId="2062" priority="5474" operator="containsText" text="Pesquisa de Preços">
      <formula>NOT(ISERROR(SEARCH("Pesquisa de Preços",E1836)))</formula>
    </cfRule>
  </conditionalFormatting>
  <conditionalFormatting sqref="E1805">
    <cfRule type="containsText" dxfId="2061" priority="5482" operator="containsText" text="Pesquisa de Preços">
      <formula>NOT(ISERROR(SEARCH("Pesquisa de Preços",E1805)))</formula>
    </cfRule>
  </conditionalFormatting>
  <conditionalFormatting sqref="E1804">
    <cfRule type="containsText" dxfId="2060" priority="5481" operator="containsText" text="Pesquisa de Preços">
      <formula>NOT(ISERROR(SEARCH("Pesquisa de Preços",E1804)))</formula>
    </cfRule>
  </conditionalFormatting>
  <conditionalFormatting sqref="E1815 E1818:E1819">
    <cfRule type="containsText" dxfId="2059" priority="5480" operator="containsText" text="Pesquisa de Preços">
      <formula>NOT(ISERROR(SEARCH("Pesquisa de Preços",E1815)))</formula>
    </cfRule>
  </conditionalFormatting>
  <conditionalFormatting sqref="E1814">
    <cfRule type="containsText" dxfId="2058" priority="5479" operator="containsText" text="Pesquisa de Preços">
      <formula>NOT(ISERROR(SEARCH("Pesquisa de Preços",E1814)))</formula>
    </cfRule>
  </conditionalFormatting>
  <conditionalFormatting sqref="E1817">
    <cfRule type="containsText" dxfId="2057" priority="5478" operator="containsText" text="Pesquisa de Preços">
      <formula>NOT(ISERROR(SEARCH("Pesquisa de Preços",E1817)))</formula>
    </cfRule>
  </conditionalFormatting>
  <conditionalFormatting sqref="E1825">
    <cfRule type="containsText" dxfId="2056" priority="5477" operator="containsText" text="Pesquisa de Preços">
      <formula>NOT(ISERROR(SEARCH("Pesquisa de Preços",E1825)))</formula>
    </cfRule>
  </conditionalFormatting>
  <conditionalFormatting sqref="E1834:E1835 E1837:E1838">
    <cfRule type="containsText" dxfId="2055" priority="5476" operator="containsText" text="Pesquisa de Preços">
      <formula>NOT(ISERROR(SEARCH("Pesquisa de Preços",E1834)))</formula>
    </cfRule>
  </conditionalFormatting>
  <conditionalFormatting sqref="E1840:E1841 E1843:E1844">
    <cfRule type="containsText" dxfId="2054" priority="5473" operator="containsText" text="Pesquisa de Preços">
      <formula>NOT(ISERROR(SEARCH("Pesquisa de Preços",E1840)))</formula>
    </cfRule>
  </conditionalFormatting>
  <conditionalFormatting sqref="E1848">
    <cfRule type="containsText" dxfId="2053" priority="5466" operator="containsText" text="Pesquisa de Preços">
      <formula>NOT(ISERROR(SEARCH("Pesquisa de Preços",E1848)))</formula>
    </cfRule>
  </conditionalFormatting>
  <conditionalFormatting sqref="E1842">
    <cfRule type="containsText" dxfId="2052" priority="5471" operator="containsText" text="Pesquisa de Preços">
      <formula>NOT(ISERROR(SEARCH("Pesquisa de Preços",E1842)))</formula>
    </cfRule>
  </conditionalFormatting>
  <conditionalFormatting sqref="E1827:E1828 E1832">
    <cfRule type="containsText" dxfId="2051" priority="5470" operator="containsText" text="Pesquisa de Preços">
      <formula>NOT(ISERROR(SEARCH("Pesquisa de Preços",E1827)))</formula>
    </cfRule>
  </conditionalFormatting>
  <conditionalFormatting sqref="E1846:E1847 E1849:E1850">
    <cfRule type="containsText" dxfId="2050" priority="5468" operator="containsText" text="Pesquisa de Preços">
      <formula>NOT(ISERROR(SEARCH("Pesquisa de Preços",E1846)))</formula>
    </cfRule>
  </conditionalFormatting>
  <conditionalFormatting sqref="E2355">
    <cfRule type="containsText" dxfId="2049" priority="5314" operator="containsText" text="Pesquisa de Preços">
      <formula>NOT(ISERROR(SEARCH("Pesquisa de Preços",E2355)))</formula>
    </cfRule>
  </conditionalFormatting>
  <conditionalFormatting sqref="E1856">
    <cfRule type="containsText" dxfId="2048" priority="5465" operator="containsText" text="Pesquisa de Preços">
      <formula>NOT(ISERROR(SEARCH("Pesquisa de Preços",E1856)))</formula>
    </cfRule>
  </conditionalFormatting>
  <conditionalFormatting sqref="E2382">
    <cfRule type="containsText" dxfId="2047" priority="5311" operator="containsText" text="Pesquisa de Preços">
      <formula>NOT(ISERROR(SEARCH("Pesquisa de Preços",E2382)))</formula>
    </cfRule>
  </conditionalFormatting>
  <conditionalFormatting sqref="E1892">
    <cfRule type="containsText" dxfId="2046" priority="5464" operator="containsText" text="Pesquisa de Preços">
      <formula>NOT(ISERROR(SEARCH("Pesquisa de Preços",E1892)))</formula>
    </cfRule>
  </conditionalFormatting>
  <conditionalFormatting sqref="E2376">
    <cfRule type="containsText" dxfId="2045" priority="5309" operator="containsText" text="Pesquisa de Preços">
      <formula>NOT(ISERROR(SEARCH("Pesquisa de Preços",E2376)))</formula>
    </cfRule>
  </conditionalFormatting>
  <conditionalFormatting sqref="E1868">
    <cfRule type="containsText" dxfId="2044" priority="5463" operator="containsText" text="Pesquisa de Preços">
      <formula>NOT(ISERROR(SEARCH("Pesquisa de Preços",E1868)))</formula>
    </cfRule>
  </conditionalFormatting>
  <conditionalFormatting sqref="E1886">
    <cfRule type="containsText" dxfId="2043" priority="5462" operator="containsText" text="Pesquisa de Preços">
      <formula>NOT(ISERROR(SEARCH("Pesquisa de Preços",E1886)))</formula>
    </cfRule>
  </conditionalFormatting>
  <conditionalFormatting sqref="E1862">
    <cfRule type="containsText" dxfId="2042" priority="5461" operator="containsText" text="Pesquisa de Preços">
      <formula>NOT(ISERROR(SEARCH("Pesquisa de Preços",E1862)))</formula>
    </cfRule>
  </conditionalFormatting>
  <conditionalFormatting sqref="E1874">
    <cfRule type="containsText" dxfId="2041" priority="5460" operator="containsText" text="Pesquisa de Preços">
      <formula>NOT(ISERROR(SEARCH("Pesquisa de Preços",E1874)))</formula>
    </cfRule>
  </conditionalFormatting>
  <conditionalFormatting sqref="E1896">
    <cfRule type="containsText" dxfId="2040" priority="5456" operator="containsText" text="Pesquisa de Preços">
      <formula>NOT(ISERROR(SEARCH("Pesquisa de Preços",E1896)))</formula>
    </cfRule>
  </conditionalFormatting>
  <conditionalFormatting sqref="E1880">
    <cfRule type="containsText" dxfId="2039" priority="5459" operator="containsText" text="Pesquisa de Preços">
      <formula>NOT(ISERROR(SEARCH("Pesquisa de Preços",E1880)))</formula>
    </cfRule>
  </conditionalFormatting>
  <conditionalFormatting sqref="E1921 E1924:E1925">
    <cfRule type="containsText" dxfId="2038" priority="5448" operator="containsText" text="Pesquisa de Preços">
      <formula>NOT(ISERROR(SEARCH("Pesquisa de Preços",E1921)))</formula>
    </cfRule>
  </conditionalFormatting>
  <conditionalFormatting sqref="E1894:E1895 E1897:E1898">
    <cfRule type="containsText" dxfId="2037" priority="5458" operator="containsText" text="Pesquisa de Preços">
      <formula>NOT(ISERROR(SEARCH("Pesquisa de Preços",E1894)))</formula>
    </cfRule>
  </conditionalFormatting>
  <conditionalFormatting sqref="E1902">
    <cfRule type="containsText" dxfId="2036" priority="5453" operator="containsText" text="Pesquisa de Preços">
      <formula>NOT(ISERROR(SEARCH("Pesquisa de Preços",E1902)))</formula>
    </cfRule>
  </conditionalFormatting>
  <conditionalFormatting sqref="E1900:E1901 E1903:E1904">
    <cfRule type="containsText" dxfId="2035" priority="5455" operator="containsText" text="Pesquisa de Preços">
      <formula>NOT(ISERROR(SEARCH("Pesquisa de Preços",E1900)))</formula>
    </cfRule>
  </conditionalFormatting>
  <conditionalFormatting sqref="E1916:E1917 E1919">
    <cfRule type="containsText" dxfId="2034" priority="5452" operator="containsText" text="Pesquisa de Preços">
      <formula>NOT(ISERROR(SEARCH("Pesquisa de Preços",E1916)))</formula>
    </cfRule>
  </conditionalFormatting>
  <conditionalFormatting sqref="E1911">
    <cfRule type="containsText" dxfId="2033" priority="5450" operator="containsText" text="Pesquisa de Preços">
      <formula>NOT(ISERROR(SEARCH("Pesquisa de Preços",E1911)))</formula>
    </cfRule>
  </conditionalFormatting>
  <conditionalFormatting sqref="E1944:E1945 E1947:E1948">
    <cfRule type="containsText" dxfId="2032" priority="5446" operator="containsText" text="Pesquisa de Preços">
      <formula>NOT(ISERROR(SEARCH("Pesquisa de Preços",E1944)))</formula>
    </cfRule>
  </conditionalFormatting>
  <conditionalFormatting sqref="E1946">
    <cfRule type="containsText" dxfId="2031" priority="5444" operator="containsText" text="Pesquisa de Preços">
      <formula>NOT(ISERROR(SEARCH("Pesquisa de Preços",E1946)))</formula>
    </cfRule>
  </conditionalFormatting>
  <conditionalFormatting sqref="E1953:E1954">
    <cfRule type="containsText" dxfId="2030" priority="5443" operator="containsText" text="Pesquisa de Preços">
      <formula>NOT(ISERROR(SEARCH("Pesquisa de Preços",E1953)))</formula>
    </cfRule>
  </conditionalFormatting>
  <conditionalFormatting sqref="E1963:E1964 E1967:E1968">
    <cfRule type="containsText" dxfId="2029" priority="5437" operator="containsText" text="Pesquisa de Preços">
      <formula>NOT(ISERROR(SEARCH("Pesquisa de Preços",E1963)))</formula>
    </cfRule>
  </conditionalFormatting>
  <conditionalFormatting sqref="E1965:E1966">
    <cfRule type="containsText" dxfId="2028" priority="5435" operator="containsText" text="Pesquisa de Preços">
      <formula>NOT(ISERROR(SEARCH("Pesquisa de Preços",E1965)))</formula>
    </cfRule>
  </conditionalFormatting>
  <conditionalFormatting sqref="E1978 E1983:E1984">
    <cfRule type="containsText" dxfId="2027" priority="5442" operator="containsText" text="Pesquisa de Preços">
      <formula>NOT(ISERROR(SEARCH("Pesquisa de Preços",E1978)))</formula>
    </cfRule>
  </conditionalFormatting>
  <conditionalFormatting sqref="E1977">
    <cfRule type="containsText" dxfId="2026" priority="5441" operator="containsText" text="Pesquisa de Preços">
      <formula>NOT(ISERROR(SEARCH("Pesquisa de Preços",E1977)))</formula>
    </cfRule>
  </conditionalFormatting>
  <conditionalFormatting sqref="E1970 E1976">
    <cfRule type="containsText" dxfId="2025" priority="5439" operator="containsText" text="Pesquisa de Preços">
      <formula>NOT(ISERROR(SEARCH("Pesquisa de Preços",E1970)))</formula>
    </cfRule>
  </conditionalFormatting>
  <conditionalFormatting sqref="E1955">
    <cfRule type="containsText" dxfId="2024" priority="5433" operator="containsText" text="Pesquisa de Preços">
      <formula>NOT(ISERROR(SEARCH("Pesquisa de Preços",E1955)))</formula>
    </cfRule>
  </conditionalFormatting>
  <conditionalFormatting sqref="E1956:E1957 E1960:E1961">
    <cfRule type="containsText" dxfId="2023" priority="5434" operator="containsText" text="Pesquisa de Preços">
      <formula>NOT(ISERROR(SEARCH("Pesquisa de Preços",E1956)))</formula>
    </cfRule>
  </conditionalFormatting>
  <conditionalFormatting sqref="E1958:E1959">
    <cfRule type="containsText" dxfId="2022" priority="5432" operator="containsText" text="Pesquisa de Preços">
      <formula>NOT(ISERROR(SEARCH("Pesquisa de Preços",E1958)))</formula>
    </cfRule>
  </conditionalFormatting>
  <conditionalFormatting sqref="E2007 E2012">
    <cfRule type="containsText" dxfId="2021" priority="5431" operator="containsText" text="Pesquisa de Preços">
      <formula>NOT(ISERROR(SEARCH("Pesquisa de Preços",E2007)))</formula>
    </cfRule>
  </conditionalFormatting>
  <conditionalFormatting sqref="E2002:E2003">
    <cfRule type="containsText" dxfId="2020" priority="5427" operator="containsText" text="Pesquisa de Preços">
      <formula>NOT(ISERROR(SEARCH("Pesquisa de Preços",E2002)))</formula>
    </cfRule>
  </conditionalFormatting>
  <conditionalFormatting sqref="E2005 E2000:E2001">
    <cfRule type="containsText" dxfId="2019" priority="5429" operator="containsText" text="Pesquisa de Preços">
      <formula>NOT(ISERROR(SEARCH("Pesquisa de Preços",E2000)))</formula>
    </cfRule>
  </conditionalFormatting>
  <conditionalFormatting sqref="E1995:E1996">
    <cfRule type="containsText" dxfId="2018" priority="5424" operator="containsText" text="Pesquisa de Preços">
      <formula>NOT(ISERROR(SEARCH("Pesquisa de Preços",E1995)))</formula>
    </cfRule>
  </conditionalFormatting>
  <conditionalFormatting sqref="E1998 E1993:E1994">
    <cfRule type="containsText" dxfId="2017" priority="5426" operator="containsText" text="Pesquisa de Preços">
      <formula>NOT(ISERROR(SEARCH("Pesquisa de Preços",E1993)))</formula>
    </cfRule>
  </conditionalFormatting>
  <conditionalFormatting sqref="E1986 E1991">
    <cfRule type="containsText" dxfId="2016" priority="5423" operator="containsText" text="Pesquisa de Preços">
      <formula>NOT(ISERROR(SEARCH("Pesquisa de Preços",E1986)))</formula>
    </cfRule>
  </conditionalFormatting>
  <conditionalFormatting sqref="E2131">
    <cfRule type="containsText" dxfId="2015" priority="5420" operator="containsText" text="Pesquisa de Preços">
      <formula>NOT(ISERROR(SEARCH("Pesquisa de Preços",E2131)))</formula>
    </cfRule>
  </conditionalFormatting>
  <conditionalFormatting sqref="E2132:E2133">
    <cfRule type="containsText" dxfId="2014" priority="5421" operator="containsText" text="Pesquisa de Preços">
      <formula>NOT(ISERROR(SEARCH("Pesquisa de Preços",E2132)))</formula>
    </cfRule>
  </conditionalFormatting>
  <conditionalFormatting sqref="E2134:E2135">
    <cfRule type="containsText" dxfId="2013" priority="5419" operator="containsText" text="Pesquisa de Preços">
      <formula>NOT(ISERROR(SEARCH("Pesquisa de Preços",E2134)))</formula>
    </cfRule>
  </conditionalFormatting>
  <conditionalFormatting sqref="E2120:E2121">
    <cfRule type="containsText" dxfId="2012" priority="5418" operator="containsText" text="Pesquisa de Preços">
      <formula>NOT(ISERROR(SEARCH("Pesquisa de Preços",E2120)))</formula>
    </cfRule>
  </conditionalFormatting>
  <conditionalFormatting sqref="E2119">
    <cfRule type="containsText" dxfId="2011" priority="5417" operator="containsText" text="Pesquisa de Preços">
      <formula>NOT(ISERROR(SEARCH("Pesquisa de Preços",E2119)))</formula>
    </cfRule>
  </conditionalFormatting>
  <conditionalFormatting sqref="E2146 E2150:E2152">
    <cfRule type="containsText" dxfId="2010" priority="5415" operator="containsText" text="Pesquisa de Preços">
      <formula>NOT(ISERROR(SEARCH("Pesquisa de Preços",E2146)))</formula>
    </cfRule>
  </conditionalFormatting>
  <conditionalFormatting sqref="E2145">
    <cfRule type="containsText" dxfId="2009" priority="5414" operator="containsText" text="Pesquisa de Preços">
      <formula>NOT(ISERROR(SEARCH("Pesquisa de Preços",E2145)))</formula>
    </cfRule>
  </conditionalFormatting>
  <conditionalFormatting sqref="E2149">
    <cfRule type="containsText" dxfId="2008" priority="5413" operator="containsText" text="Pesquisa de Preços">
      <formula>NOT(ISERROR(SEARCH("Pesquisa de Preços",E2149)))</formula>
    </cfRule>
  </conditionalFormatting>
  <conditionalFormatting sqref="E2162 E2166:E2168">
    <cfRule type="containsText" dxfId="2007" priority="5412" operator="containsText" text="Pesquisa de Preços">
      <formula>NOT(ISERROR(SEARCH("Pesquisa de Preços",E2162)))</formula>
    </cfRule>
  </conditionalFormatting>
  <conditionalFormatting sqref="E2142:E2144">
    <cfRule type="containsText" dxfId="2006" priority="5410" operator="containsText" text="Pesquisa de Preços">
      <formula>NOT(ISERROR(SEARCH("Pesquisa de Preços",E2142)))</formula>
    </cfRule>
  </conditionalFormatting>
  <conditionalFormatting sqref="E2174:E2176">
    <cfRule type="containsText" dxfId="2005" priority="5409" operator="containsText" text="Pesquisa de Preços">
      <formula>NOT(ISERROR(SEARCH("Pesquisa de Preços",E2174)))</formula>
    </cfRule>
  </conditionalFormatting>
  <conditionalFormatting sqref="E2052 E2056:E2058">
    <cfRule type="containsText" dxfId="2004" priority="5404" operator="containsText" text="Pesquisa de Preços">
      <formula>NOT(ISERROR(SEARCH("Pesquisa de Preços",E2052)))</formula>
    </cfRule>
  </conditionalFormatting>
  <conditionalFormatting sqref="E2158:E2160">
    <cfRule type="containsText" dxfId="2003" priority="5408" operator="containsText" text="Pesquisa de Preços">
      <formula>NOT(ISERROR(SEARCH("Pesquisa de Preços",E2158)))</formula>
    </cfRule>
  </conditionalFormatting>
  <conditionalFormatting sqref="E2051">
    <cfRule type="containsText" dxfId="2002" priority="5403" operator="containsText" text="Pesquisa de Preços">
      <formula>NOT(ISERROR(SEARCH("Pesquisa de Preços",E2051)))</formula>
    </cfRule>
  </conditionalFormatting>
  <conditionalFormatting sqref="E2182:E2184">
    <cfRule type="containsText" dxfId="2001" priority="5407" operator="containsText" text="Pesquisa de Preços">
      <formula>NOT(ISERROR(SEARCH("Pesquisa de Preços",E2182)))</formula>
    </cfRule>
  </conditionalFormatting>
  <conditionalFormatting sqref="E2235:E2238 E2240">
    <cfRule type="containsText" dxfId="2000" priority="5363" operator="containsText" text="Pesquisa de Preços">
      <formula>NOT(ISERROR(SEARCH("Pesquisa de Preços",E2235)))</formula>
    </cfRule>
  </conditionalFormatting>
  <conditionalFormatting sqref="E2036 E2040:E2042">
    <cfRule type="containsText" dxfId="1999" priority="5406" operator="containsText" text="Pesquisa de Preços">
      <formula>NOT(ISERROR(SEARCH("Pesquisa de Preços",E2036)))</formula>
    </cfRule>
  </conditionalFormatting>
  <conditionalFormatting sqref="E2044 E2048:E2050">
    <cfRule type="containsText" dxfId="1998" priority="5398" operator="containsText" text="Pesquisa de Preços">
      <formula>NOT(ISERROR(SEARCH("Pesquisa de Preços",E2044)))</formula>
    </cfRule>
  </conditionalFormatting>
  <conditionalFormatting sqref="E2329:E2330 E2333">
    <cfRule type="containsText" dxfId="1997" priority="5356" operator="containsText" text="Pesquisa de Preços">
      <formula>NOT(ISERROR(SEARCH("Pesquisa de Preços",E2329)))</formula>
    </cfRule>
  </conditionalFormatting>
  <conditionalFormatting sqref="E2028 E2032:E2034">
    <cfRule type="containsText" dxfId="1996" priority="5402" operator="containsText" text="Pesquisa de Preços">
      <formula>NOT(ISERROR(SEARCH("Pesquisa de Preços",E2028)))</formula>
    </cfRule>
  </conditionalFormatting>
  <conditionalFormatting sqref="E2027">
    <cfRule type="containsText" dxfId="1995" priority="5401" operator="containsText" text="Pesquisa de Preços">
      <formula>NOT(ISERROR(SEARCH("Pesquisa de Preços",E2027)))</formula>
    </cfRule>
  </conditionalFormatting>
  <conditionalFormatting sqref="E2060 E2064:E2066">
    <cfRule type="containsText" dxfId="1994" priority="5400" operator="containsText" text="Pesquisa de Preços">
      <formula>NOT(ISERROR(SEARCH("Pesquisa de Preços",E2060)))</formula>
    </cfRule>
  </conditionalFormatting>
  <conditionalFormatting sqref="E2059">
    <cfRule type="containsText" dxfId="1993" priority="5399" operator="containsText" text="Pesquisa de Preços">
      <formula>NOT(ISERROR(SEARCH("Pesquisa de Preços",E2059)))</formula>
    </cfRule>
  </conditionalFormatting>
  <conditionalFormatting sqref="E2310:E2311">
    <cfRule type="containsText" dxfId="1992" priority="5362" operator="containsText" text="Pesquisa de Preços">
      <formula>NOT(ISERROR(SEARCH("Pesquisa de Preços",E2310)))</formula>
    </cfRule>
  </conditionalFormatting>
  <conditionalFormatting sqref="E2043">
    <cfRule type="containsText" dxfId="1991" priority="5397" operator="containsText" text="Pesquisa de Preços">
      <formula>NOT(ISERROR(SEARCH("Pesquisa de Preços",E2043)))</formula>
    </cfRule>
  </conditionalFormatting>
  <conditionalFormatting sqref="E2292">
    <cfRule type="containsText" dxfId="1990" priority="5371" operator="containsText" text="Pesquisa de Preços">
      <formula>NOT(ISERROR(SEARCH("Pesquisa de Preços",E2292)))</formula>
    </cfRule>
  </conditionalFormatting>
  <conditionalFormatting sqref="E2068 E2072:E2074">
    <cfRule type="containsText" dxfId="1989" priority="5396" operator="containsText" text="Pesquisa de Preços">
      <formula>NOT(ISERROR(SEARCH("Pesquisa de Preços",E2068)))</formula>
    </cfRule>
  </conditionalFormatting>
  <conditionalFormatting sqref="E2067">
    <cfRule type="containsText" dxfId="1988" priority="5395" operator="containsText" text="Pesquisa de Preços">
      <formula>NOT(ISERROR(SEARCH("Pesquisa de Preços",E2067)))</formula>
    </cfRule>
  </conditionalFormatting>
  <conditionalFormatting sqref="E2247">
    <cfRule type="containsText" dxfId="1987" priority="5375" operator="containsText" text="Pesquisa de Preços">
      <formula>NOT(ISERROR(SEARCH("Pesquisa de Preços",E2247)))</formula>
    </cfRule>
  </conditionalFormatting>
  <conditionalFormatting sqref="E2026">
    <cfRule type="containsText" dxfId="1986" priority="5394" operator="containsText" text="Pesquisa de Preços">
      <formula>NOT(ISERROR(SEARCH("Pesquisa de Preços",E2026)))</formula>
    </cfRule>
  </conditionalFormatting>
  <conditionalFormatting sqref="E2104:E2106">
    <cfRule type="containsText" dxfId="1985" priority="5393" operator="containsText" text="Pesquisa de Preços">
      <formula>NOT(ISERROR(SEARCH("Pesquisa de Preços",E2104)))</formula>
    </cfRule>
  </conditionalFormatting>
  <conditionalFormatting sqref="E2220">
    <cfRule type="containsText" dxfId="1984" priority="5376" operator="containsText" text="Pesquisa de Preços">
      <formula>NOT(ISERROR(SEARCH("Pesquisa de Preços",E2220)))</formula>
    </cfRule>
  </conditionalFormatting>
  <conditionalFormatting sqref="E2096:E2098">
    <cfRule type="containsText" dxfId="1983" priority="5392" operator="containsText" text="Pesquisa de Preços">
      <formula>NOT(ISERROR(SEARCH("Pesquisa de Preços",E2096)))</formula>
    </cfRule>
  </conditionalFormatting>
  <conditionalFormatting sqref="E2211">
    <cfRule type="containsText" dxfId="1982" priority="5381" operator="containsText" text="Pesquisa de Preços">
      <formula>NOT(ISERROR(SEARCH("Pesquisa de Preços",E2211)))</formula>
    </cfRule>
  </conditionalFormatting>
  <conditionalFormatting sqref="E2213">
    <cfRule type="containsText" dxfId="1981" priority="5380" operator="containsText" text="Pesquisa de Preços">
      <formula>NOT(ISERROR(SEARCH("Pesquisa de Preços",E2213)))</formula>
    </cfRule>
  </conditionalFormatting>
  <conditionalFormatting sqref="E2090">
    <cfRule type="containsText" dxfId="1980" priority="5391" operator="containsText" text="Pesquisa de Preços">
      <formula>NOT(ISERROR(SEARCH("Pesquisa de Preços",E2090)))</formula>
    </cfRule>
  </conditionalFormatting>
  <conditionalFormatting sqref="E2016">
    <cfRule type="containsText" dxfId="1979" priority="5388" operator="containsText" text="Pesquisa de Preços">
      <formula>NOT(ISERROR(SEARCH("Pesquisa de Preços",E2016)))</formula>
    </cfRule>
  </conditionalFormatting>
  <conditionalFormatting sqref="E2014:E2015 E2017:E2018">
    <cfRule type="containsText" dxfId="1978" priority="5390" operator="containsText" text="Pesquisa de Preços">
      <formula>NOT(ISERROR(SEARCH("Pesquisa de Preços",E2014)))</formula>
    </cfRule>
  </conditionalFormatting>
  <conditionalFormatting sqref="E2013">
    <cfRule type="containsText" dxfId="1977" priority="5389" operator="containsText" text="Pesquisa de Preços">
      <formula>NOT(ISERROR(SEARCH("Pesquisa de Preços",E2013)))</formula>
    </cfRule>
  </conditionalFormatting>
  <conditionalFormatting sqref="E2108">
    <cfRule type="containsText" dxfId="1976" priority="5387" operator="containsText" text="Pesquisa de Preços">
      <formula>NOT(ISERROR(SEARCH("Pesquisa de Preços",E2108)))</formula>
    </cfRule>
  </conditionalFormatting>
  <conditionalFormatting sqref="E2107">
    <cfRule type="containsText" dxfId="1975" priority="5386" operator="containsText" text="Pesquisa de Preços">
      <formula>NOT(ISERROR(SEARCH("Pesquisa de Preços",E2107)))</formula>
    </cfRule>
  </conditionalFormatting>
  <conditionalFormatting sqref="E2202:E2203">
    <cfRule type="containsText" dxfId="1974" priority="5385" operator="containsText" text="Pesquisa de Preços">
      <formula>NOT(ISERROR(SEARCH("Pesquisa de Preços",E2202)))</formula>
    </cfRule>
  </conditionalFormatting>
  <conditionalFormatting sqref="E2201">
    <cfRule type="containsText" dxfId="1973" priority="5384" operator="containsText" text="Pesquisa de Preços">
      <formula>NOT(ISERROR(SEARCH("Pesquisa de Preços",E2201)))</formula>
    </cfRule>
  </conditionalFormatting>
  <conditionalFormatting sqref="E2207:E2208 E2210">
    <cfRule type="containsText" dxfId="1972" priority="5383" operator="containsText" text="Pesquisa de Preços">
      <formula>NOT(ISERROR(SEARCH("Pesquisa de Preços",E2207)))</formula>
    </cfRule>
  </conditionalFormatting>
  <conditionalFormatting sqref="E2227 E2230:E2231">
    <cfRule type="containsText" dxfId="1971" priority="5379" operator="containsText" text="Pesquisa de Preços">
      <formula>NOT(ISERROR(SEARCH("Pesquisa de Preços",E2227)))</formula>
    </cfRule>
  </conditionalFormatting>
  <conditionalFormatting sqref="E2221 E2225">
    <cfRule type="containsText" dxfId="1970" priority="5377" operator="containsText" text="Pesquisa de Preços">
      <formula>NOT(ISERROR(SEARCH("Pesquisa de Preços",E2221)))</formula>
    </cfRule>
  </conditionalFormatting>
  <conditionalFormatting sqref="E2293">
    <cfRule type="containsText" dxfId="1969" priority="5372" operator="containsText" text="Pesquisa de Preços">
      <formula>NOT(ISERROR(SEARCH("Pesquisa de Preços",E2293)))</formula>
    </cfRule>
  </conditionalFormatting>
  <conditionalFormatting sqref="E2250">
    <cfRule type="containsText" dxfId="1968" priority="5373" operator="containsText" text="Pesquisa de Preços">
      <formula>NOT(ISERROR(SEARCH("Pesquisa de Preços",E2250)))</formula>
    </cfRule>
  </conditionalFormatting>
  <conditionalFormatting sqref="E2282">
    <cfRule type="containsText" dxfId="1967" priority="5369" operator="containsText" text="Pesquisa de Preços">
      <formula>NOT(ISERROR(SEARCH("Pesquisa de Preços",E2282)))</formula>
    </cfRule>
  </conditionalFormatting>
  <conditionalFormatting sqref="E2283">
    <cfRule type="containsText" dxfId="1966" priority="5370" operator="containsText" text="Pesquisa de Preços">
      <formula>NOT(ISERROR(SEARCH("Pesquisa de Preços",E2283)))</formula>
    </cfRule>
  </conditionalFormatting>
  <conditionalFormatting sqref="E2273 E2281">
    <cfRule type="containsText" dxfId="1965" priority="5367" operator="containsText" text="Pesquisa de Preços">
      <formula>NOT(ISERROR(SEARCH("Pesquisa de Preços",E2273)))</formula>
    </cfRule>
  </conditionalFormatting>
  <conditionalFormatting sqref="E2232">
    <cfRule type="containsText" dxfId="1964" priority="5364" operator="containsText" text="Pesquisa de Preços">
      <formula>NOT(ISERROR(SEARCH("Pesquisa de Preços",E2232)))</formula>
    </cfRule>
  </conditionalFormatting>
  <conditionalFormatting sqref="E2233:E2234">
    <cfRule type="containsText" dxfId="1963" priority="5365" operator="containsText" text="Pesquisa de Preços">
      <formula>NOT(ISERROR(SEARCH("Pesquisa de Preços",E2233)))</formula>
    </cfRule>
  </conditionalFormatting>
  <conditionalFormatting sqref="E2309">
    <cfRule type="containsText" dxfId="1962" priority="5361" operator="containsText" text="Pesquisa de Preços">
      <formula>NOT(ISERROR(SEARCH("Pesquisa de Preços",E2309)))</formula>
    </cfRule>
  </conditionalFormatting>
  <conditionalFormatting sqref="E2314">
    <cfRule type="containsText" dxfId="1961" priority="5360" operator="containsText" text="Pesquisa de Preços">
      <formula>NOT(ISERROR(SEARCH("Pesquisa de Preços",E2314)))</formula>
    </cfRule>
  </conditionalFormatting>
  <conditionalFormatting sqref="E2308">
    <cfRule type="containsText" dxfId="1960" priority="5359" operator="containsText" text="Pesquisa de Preços">
      <formula>NOT(ISERROR(SEARCH("Pesquisa de Preços",E2308)))</formula>
    </cfRule>
  </conditionalFormatting>
  <conditionalFormatting sqref="E2341">
    <cfRule type="containsText" dxfId="1959" priority="5358" operator="containsText" text="Pesquisa de Preços">
      <formula>NOT(ISERROR(SEARCH("Pesquisa de Preços",E2341)))</formula>
    </cfRule>
  </conditionalFormatting>
  <conditionalFormatting sqref="E2340">
    <cfRule type="containsText" dxfId="1958" priority="5357" operator="containsText" text="Pesquisa de Preços">
      <formula>NOT(ISERROR(SEARCH("Pesquisa de Preços",E2340)))</formula>
    </cfRule>
  </conditionalFormatting>
  <conditionalFormatting sqref="E2328">
    <cfRule type="containsText" dxfId="1957" priority="5355" operator="containsText" text="Pesquisa de Preços">
      <formula>NOT(ISERROR(SEARCH("Pesquisa de Preços",E2328)))</formula>
    </cfRule>
  </conditionalFormatting>
  <conditionalFormatting sqref="E2323:E2324 E2327">
    <cfRule type="containsText" dxfId="1956" priority="5354" operator="containsText" text="Pesquisa de Preços">
      <formula>NOT(ISERROR(SEARCH("Pesquisa de Preços",E2323)))</formula>
    </cfRule>
  </conditionalFormatting>
  <conditionalFormatting sqref="E2335:E2336 E2338:E2339">
    <cfRule type="containsText" dxfId="1955" priority="5352" operator="containsText" text="Pesquisa de Preços">
      <formula>NOT(ISERROR(SEARCH("Pesquisa de Preços",E2335)))</formula>
    </cfRule>
  </conditionalFormatting>
  <conditionalFormatting sqref="E2337">
    <cfRule type="containsText" dxfId="1954" priority="5350" operator="containsText" text="Pesquisa de Preços">
      <formula>NOT(ISERROR(SEARCH("Pesquisa de Preços",E2337)))</formula>
    </cfRule>
  </conditionalFormatting>
  <conditionalFormatting sqref="E2317 E2320:E2321">
    <cfRule type="containsText" dxfId="1953" priority="5349" operator="containsText" text="Pesquisa de Preços">
      <formula>NOT(ISERROR(SEARCH("Pesquisa de Preços",E2317)))</formula>
    </cfRule>
  </conditionalFormatting>
  <conditionalFormatting sqref="E2316">
    <cfRule type="containsText" dxfId="1952" priority="5348" operator="containsText" text="Pesquisa de Preços">
      <formula>NOT(ISERROR(SEARCH("Pesquisa de Preços",E2316)))</formula>
    </cfRule>
  </conditionalFormatting>
  <conditionalFormatting sqref="E2319">
    <cfRule type="containsText" dxfId="1951" priority="5347" operator="containsText" text="Pesquisa de Preços">
      <formula>NOT(ISERROR(SEARCH("Pesquisa de Preços",E2319)))</formula>
    </cfRule>
  </conditionalFormatting>
  <conditionalFormatting sqref="E2346:E2349">
    <cfRule type="containsText" dxfId="1950" priority="5346" operator="containsText" text="Pesquisa de Preços">
      <formula>NOT(ISERROR(SEARCH("Pesquisa de Preços",E2346)))</formula>
    </cfRule>
  </conditionalFormatting>
  <conditionalFormatting sqref="E2351 E2353:E2354">
    <cfRule type="containsText" dxfId="1949" priority="5344" operator="containsText" text="Pesquisa de Preços">
      <formula>NOT(ISERROR(SEARCH("Pesquisa de Preços",E2351)))</formula>
    </cfRule>
  </conditionalFormatting>
  <conditionalFormatting sqref="E898:E899 E901:E903">
    <cfRule type="containsText" dxfId="1948" priority="5342" operator="containsText" text="Pesquisa de Preços">
      <formula>NOT(ISERROR(SEARCH("Pesquisa de Preços",E898)))</formula>
    </cfRule>
  </conditionalFormatting>
  <conditionalFormatting sqref="E858:E859">
    <cfRule type="containsText" dxfId="1947" priority="5334" operator="containsText" text="Pesquisa de Preços">
      <formula>NOT(ISERROR(SEARCH("Pesquisa de Preços",E858)))</formula>
    </cfRule>
  </conditionalFormatting>
  <conditionalFormatting sqref="E877 E882:E883">
    <cfRule type="containsText" dxfId="1946" priority="5340" operator="containsText" text="Pesquisa de Preços">
      <formula>NOT(ISERROR(SEARCH("Pesquisa de Preços",E877)))</formula>
    </cfRule>
  </conditionalFormatting>
  <conditionalFormatting sqref="E890:E891">
    <cfRule type="containsText" dxfId="1945" priority="5337" operator="containsText" text="Pesquisa de Preços">
      <formula>NOT(ISERROR(SEARCH("Pesquisa de Preços",E890)))</formula>
    </cfRule>
  </conditionalFormatting>
  <conditionalFormatting sqref="E869">
    <cfRule type="containsText" dxfId="1944" priority="5327" operator="containsText" text="Pesquisa de Preços">
      <formula>NOT(ISERROR(SEARCH("Pesquisa de Preços",E869)))</formula>
    </cfRule>
  </conditionalFormatting>
  <conditionalFormatting sqref="E859:E861">
    <cfRule type="containsText" dxfId="1943" priority="5332" operator="containsText" text="Pesquisa de Preços">
      <formula>NOT(ISERROR(SEARCH("Pesquisa de Preços",E859)))</formula>
    </cfRule>
  </conditionalFormatting>
  <conditionalFormatting sqref="E847:E850">
    <cfRule type="containsText" dxfId="1942" priority="5331" operator="containsText" text="Pesquisa de Preços">
      <formula>NOT(ISERROR(SEARCH("Pesquisa de Preços",E847)))</formula>
    </cfRule>
  </conditionalFormatting>
  <conditionalFormatting sqref="E846">
    <cfRule type="containsText" dxfId="1941" priority="5330" operator="containsText" text="Pesquisa de Preços">
      <formula>NOT(ISERROR(SEARCH("Pesquisa de Preços",E846)))</formula>
    </cfRule>
  </conditionalFormatting>
  <conditionalFormatting sqref="E852 E855:E856">
    <cfRule type="containsText" dxfId="1940" priority="5329" operator="containsText" text="Pesquisa de Preços">
      <formula>NOT(ISERROR(SEARCH("Pesquisa de Preços",E852)))</formula>
    </cfRule>
  </conditionalFormatting>
  <conditionalFormatting sqref="E868">
    <cfRule type="containsText" dxfId="1939" priority="5326" operator="containsText" text="Pesquisa de Preços">
      <formula>NOT(ISERROR(SEARCH("Pesquisa de Preços",E868)))</formula>
    </cfRule>
  </conditionalFormatting>
  <conditionalFormatting sqref="E864">
    <cfRule type="containsText" dxfId="1938" priority="5325" operator="containsText" text="Pesquisa de Preços">
      <formula>NOT(ISERROR(SEARCH("Pesquisa de Preços",E864)))</formula>
    </cfRule>
  </conditionalFormatting>
  <conditionalFormatting sqref="E863">
    <cfRule type="containsText" dxfId="1937" priority="5324" operator="containsText" text="Pesquisa de Preços">
      <formula>NOT(ISERROR(SEARCH("Pesquisa de Preços",E863)))</formula>
    </cfRule>
  </conditionalFormatting>
  <conditionalFormatting sqref="E893:E894">
    <cfRule type="containsText" dxfId="1936" priority="5323" operator="containsText" text="Pesquisa de Preços">
      <formula>NOT(ISERROR(SEARCH("Pesquisa de Preços",E893)))</formula>
    </cfRule>
  </conditionalFormatting>
  <conditionalFormatting sqref="E892">
    <cfRule type="containsText" dxfId="1935" priority="5322" operator="containsText" text="Pesquisa de Preços">
      <formula>NOT(ISERROR(SEARCH("Pesquisa de Preços",E892)))</formula>
    </cfRule>
  </conditionalFormatting>
  <conditionalFormatting sqref="E905:E906">
    <cfRule type="containsText" dxfId="1934" priority="5321" operator="containsText" text="Pesquisa de Preços">
      <formula>NOT(ISERROR(SEARCH("Pesquisa de Preços",E905)))</formula>
    </cfRule>
  </conditionalFormatting>
  <conditionalFormatting sqref="E904">
    <cfRule type="containsText" dxfId="1933" priority="5320" operator="containsText" text="Pesquisa de Preços">
      <formula>NOT(ISERROR(SEARCH("Pesquisa de Preços",E904)))</formula>
    </cfRule>
  </conditionalFormatting>
  <conditionalFormatting sqref="E2362:E2363">
    <cfRule type="containsText" dxfId="1932" priority="5319" operator="containsText" text="Pesquisa de Preços">
      <formula>NOT(ISERROR(SEARCH("Pesquisa de Preços",E2362)))</formula>
    </cfRule>
  </conditionalFormatting>
  <conditionalFormatting sqref="E2361">
    <cfRule type="containsText" dxfId="1931" priority="5318" operator="containsText" text="Pesquisa de Preços">
      <formula>NOT(ISERROR(SEARCH("Pesquisa de Preços",E2361)))</formula>
    </cfRule>
  </conditionalFormatting>
  <conditionalFormatting sqref="E2370 E2373 E2375">
    <cfRule type="containsText" dxfId="1930" priority="5317" operator="containsText" text="Pesquisa de Preços">
      <formula>NOT(ISERROR(SEARCH("Pesquisa de Preços",E2370)))</formula>
    </cfRule>
  </conditionalFormatting>
  <conditionalFormatting sqref="E2369">
    <cfRule type="containsText" dxfId="1929" priority="5316" operator="containsText" text="Pesquisa de Preços">
      <formula>NOT(ISERROR(SEARCH("Pesquisa de Preços",E2369)))</formula>
    </cfRule>
  </conditionalFormatting>
  <conditionalFormatting sqref="E2356:E2357 E2359:E2360">
    <cfRule type="containsText" dxfId="1928" priority="5315" operator="containsText" text="Pesquisa de Preços">
      <formula>NOT(ISERROR(SEARCH("Pesquisa de Preços",E2356)))</formula>
    </cfRule>
  </conditionalFormatting>
  <conditionalFormatting sqref="E2383 E2388">
    <cfRule type="containsText" dxfId="1927" priority="5312" operator="containsText" text="Pesquisa de Preços">
      <formula>NOT(ISERROR(SEARCH("Pesquisa de Preços",E2383)))</formula>
    </cfRule>
  </conditionalFormatting>
  <conditionalFormatting sqref="E2358">
    <cfRule type="containsText" dxfId="1926" priority="5313" operator="containsText" text="Pesquisa de Preços">
      <formula>NOT(ISERROR(SEARCH("Pesquisa de Preços",E2358)))</formula>
    </cfRule>
  </conditionalFormatting>
  <conditionalFormatting sqref="E2377">
    <cfRule type="containsText" dxfId="1925" priority="5310" operator="containsText" text="Pesquisa de Preços">
      <formula>NOT(ISERROR(SEARCH("Pesquisa de Preços",E2377)))</formula>
    </cfRule>
  </conditionalFormatting>
  <conditionalFormatting sqref="E1763:E1764 E1767:E1768">
    <cfRule type="containsText" dxfId="1924" priority="5308" operator="containsText" text="Pesquisa de Preços">
      <formula>NOT(ISERROR(SEARCH("Pesquisa de Preços",E1763)))</formula>
    </cfRule>
  </conditionalFormatting>
  <conditionalFormatting sqref="E1762">
    <cfRule type="containsText" dxfId="1923" priority="5307" operator="containsText" text="Pesquisa de Preços">
      <formula>NOT(ISERROR(SEARCH("Pesquisa de Preços",E1762)))</formula>
    </cfRule>
  </conditionalFormatting>
  <conditionalFormatting sqref="E1735">
    <cfRule type="containsText" dxfId="1922" priority="5234" operator="containsText" text="Pesquisa de Preços">
      <formula>NOT(ISERROR(SEARCH("Pesquisa de Preços",E1735)))</formula>
    </cfRule>
  </conditionalFormatting>
  <conditionalFormatting sqref="E1765:E1766">
    <cfRule type="containsText" dxfId="1921" priority="5306" operator="containsText" text="Pesquisa de Preços">
      <formula>NOT(ISERROR(SEARCH("Pesquisa de Preços",E1765)))</formula>
    </cfRule>
  </conditionalFormatting>
  <conditionalFormatting sqref="E1777:E1778 E1781:E1782">
    <cfRule type="containsText" dxfId="1920" priority="5305" operator="containsText" text="Pesquisa de Preços">
      <formula>NOT(ISERROR(SEARCH("Pesquisa de Preços",E1777)))</formula>
    </cfRule>
  </conditionalFormatting>
  <conditionalFormatting sqref="E1776">
    <cfRule type="containsText" dxfId="1919" priority="5304" operator="containsText" text="Pesquisa de Preços">
      <formula>NOT(ISERROR(SEARCH("Pesquisa de Preços",E1776)))</formula>
    </cfRule>
  </conditionalFormatting>
  <conditionalFormatting sqref="E1779:E1780">
    <cfRule type="containsText" dxfId="1918" priority="5303" operator="containsText" text="Pesquisa de Preços">
      <formula>NOT(ISERROR(SEARCH("Pesquisa de Preços",E1779)))</formula>
    </cfRule>
  </conditionalFormatting>
  <conditionalFormatting sqref="E1791:E1792 E1795:E1796">
    <cfRule type="containsText" dxfId="1917" priority="5302" operator="containsText" text="Pesquisa de Preços">
      <formula>NOT(ISERROR(SEARCH("Pesquisa de Preços",E1791)))</formula>
    </cfRule>
  </conditionalFormatting>
  <conditionalFormatting sqref="E1790">
    <cfRule type="containsText" dxfId="1916" priority="5301" operator="containsText" text="Pesquisa de Preços">
      <formula>NOT(ISERROR(SEARCH("Pesquisa de Preços",E1790)))</formula>
    </cfRule>
  </conditionalFormatting>
  <conditionalFormatting sqref="E1793:E1794">
    <cfRule type="containsText" dxfId="1915" priority="5300" operator="containsText" text="Pesquisa de Preços">
      <formula>NOT(ISERROR(SEARCH("Pesquisa de Preços",E1793)))</formula>
    </cfRule>
  </conditionalFormatting>
  <conditionalFormatting sqref="E1749:E1750 E1753:E1754">
    <cfRule type="containsText" dxfId="1914" priority="5299" operator="containsText" text="Pesquisa de Preços">
      <formula>NOT(ISERROR(SEARCH("Pesquisa de Preços",E1749)))</formula>
    </cfRule>
  </conditionalFormatting>
  <conditionalFormatting sqref="E1748">
    <cfRule type="containsText" dxfId="1913" priority="5298" operator="containsText" text="Pesquisa de Preços">
      <formula>NOT(ISERROR(SEARCH("Pesquisa de Preços",E1748)))</formula>
    </cfRule>
  </conditionalFormatting>
  <conditionalFormatting sqref="E1751:E1752">
    <cfRule type="containsText" dxfId="1912" priority="5297" operator="containsText" text="Pesquisa de Preços">
      <formula>NOT(ISERROR(SEARCH("Pesquisa de Preços",E1751)))</formula>
    </cfRule>
  </conditionalFormatting>
  <conditionalFormatting sqref="E1756:E1757 E1760:E1761">
    <cfRule type="containsText" dxfId="1911" priority="5296" operator="containsText" text="Pesquisa de Preços">
      <formula>NOT(ISERROR(SEARCH("Pesquisa de Preços",E1756)))</formula>
    </cfRule>
  </conditionalFormatting>
  <conditionalFormatting sqref="E1755">
    <cfRule type="containsText" dxfId="1910" priority="5295" operator="containsText" text="Pesquisa de Preços">
      <formula>NOT(ISERROR(SEARCH("Pesquisa de Preços",E1755)))</formula>
    </cfRule>
  </conditionalFormatting>
  <conditionalFormatting sqref="E591 E595">
    <cfRule type="containsText" dxfId="1909" priority="5233" operator="containsText" text="Pesquisa de Preços">
      <formula>NOT(ISERROR(SEARCH("Pesquisa de Preços",E591)))</formula>
    </cfRule>
  </conditionalFormatting>
  <conditionalFormatting sqref="E1758:E1759">
    <cfRule type="containsText" dxfId="1908" priority="5294" operator="containsText" text="Pesquisa de Preços">
      <formula>NOT(ISERROR(SEARCH("Pesquisa de Preços",E1758)))</formula>
    </cfRule>
  </conditionalFormatting>
  <conditionalFormatting sqref="E1770 E1775">
    <cfRule type="containsText" dxfId="1907" priority="5293" operator="containsText" text="Pesquisa de Preços">
      <formula>NOT(ISERROR(SEARCH("Pesquisa de Preços",E1770)))</formula>
    </cfRule>
  </conditionalFormatting>
  <conditionalFormatting sqref="E1769">
    <cfRule type="containsText" dxfId="1906" priority="5292" operator="containsText" text="Pesquisa de Preços">
      <formula>NOT(ISERROR(SEARCH("Pesquisa de Preços",E1769)))</formula>
    </cfRule>
  </conditionalFormatting>
  <conditionalFormatting sqref="E381">
    <cfRule type="containsText" dxfId="1905" priority="5230" operator="containsText" text="Pesquisa de Preços">
      <formula>NOT(ISERROR(SEARCH("Pesquisa de Preços",E381)))</formula>
    </cfRule>
  </conditionalFormatting>
  <conditionalFormatting sqref="E1789">
    <cfRule type="containsText" dxfId="1904" priority="5291" operator="containsText" text="Pesquisa de Preços">
      <formula>NOT(ISERROR(SEARCH("Pesquisa de Preços",E1789)))</formula>
    </cfRule>
  </conditionalFormatting>
  <conditionalFormatting sqref="E1175">
    <cfRule type="containsText" dxfId="1903" priority="5290" operator="containsText" text="Pesquisa de Preços">
      <formula>NOT(ISERROR(SEARCH("Pesquisa de Preços",E1175)))</formula>
    </cfRule>
  </conditionalFormatting>
  <conditionalFormatting sqref="E1975">
    <cfRule type="containsText" dxfId="1902" priority="5288" operator="containsText" text="Pesquisa de Preços">
      <formula>NOT(ISERROR(SEARCH("Pesquisa de Preços",E1975)))</formula>
    </cfRule>
  </conditionalFormatting>
  <conditionalFormatting sqref="E2008">
    <cfRule type="containsText" dxfId="1901" priority="5286" operator="containsText" text="Pesquisa de Preços">
      <formula>NOT(ISERROR(SEARCH("Pesquisa de Preços",E2008)))</formula>
    </cfRule>
  </conditionalFormatting>
  <conditionalFormatting sqref="E2009:E2010">
    <cfRule type="containsText" dxfId="1900" priority="5285" operator="containsText" text="Pesquisa de Preços">
      <formula>NOT(ISERROR(SEARCH("Pesquisa de Preços",E2009)))</formula>
    </cfRule>
  </conditionalFormatting>
  <conditionalFormatting sqref="E1987 E1990">
    <cfRule type="containsText" dxfId="1899" priority="5284" operator="containsText" text="Pesquisa de Preços">
      <formula>NOT(ISERROR(SEARCH("Pesquisa de Preços",E1987)))</formula>
    </cfRule>
  </conditionalFormatting>
  <conditionalFormatting sqref="E1988:E1989">
    <cfRule type="containsText" dxfId="1898" priority="5283" operator="containsText" text="Pesquisa de Preços">
      <formula>NOT(ISERROR(SEARCH("Pesquisa de Preços",E1988)))</formula>
    </cfRule>
  </conditionalFormatting>
  <conditionalFormatting sqref="E2088:E2089">
    <cfRule type="containsText" dxfId="1897" priority="5282" operator="containsText" text="Pesquisa de Preços">
      <formula>NOT(ISERROR(SEARCH("Pesquisa de Preços",E2088)))</formula>
    </cfRule>
  </conditionalFormatting>
  <conditionalFormatting sqref="E2024:E2025">
    <cfRule type="containsText" dxfId="1896" priority="5281" operator="containsText" text="Pesquisa de Preços">
      <formula>NOT(ISERROR(SEARCH("Pesquisa de Preços",E2024)))</formula>
    </cfRule>
  </conditionalFormatting>
  <conditionalFormatting sqref="E830">
    <cfRule type="containsText" dxfId="1895" priority="5213" operator="containsText" text="Pesquisa de Preços">
      <formula>NOT(ISERROR(SEARCH("Pesquisa de Preços",E830)))</formula>
    </cfRule>
  </conditionalFormatting>
  <conditionalFormatting sqref="E831">
    <cfRule type="containsText" dxfId="1894" priority="5212" operator="containsText" text="Pesquisa de Preços">
      <formula>NOT(ISERROR(SEARCH("Pesquisa de Preços",E831)))</formula>
    </cfRule>
  </conditionalFormatting>
  <conditionalFormatting sqref="E95:E96">
    <cfRule type="containsText" dxfId="1893" priority="5207" operator="containsText" text="Pesquisa de Preços">
      <formula>NOT(ISERROR(SEARCH("Pesquisa de Preços",E95)))</formula>
    </cfRule>
  </conditionalFormatting>
  <conditionalFormatting sqref="E208">
    <cfRule type="containsText" dxfId="1892" priority="5205" operator="containsText" text="Pesquisa de Preços">
      <formula>NOT(ISERROR(SEARCH("Pesquisa de Preços",E208)))</formula>
    </cfRule>
  </conditionalFormatting>
  <conditionalFormatting sqref="E1628">
    <cfRule type="containsText" dxfId="1891" priority="5203" operator="containsText" text="Pesquisa de Preços">
      <formula>NOT(ISERROR(SEARCH("Pesquisa de Preços",E1628)))</formula>
    </cfRule>
  </conditionalFormatting>
  <conditionalFormatting sqref="E1604">
    <cfRule type="containsText" dxfId="1890" priority="5201" operator="containsText" text="Pesquisa de Preços">
      <formula>NOT(ISERROR(SEARCH("Pesquisa de Preços",E1604)))</formula>
    </cfRule>
  </conditionalFormatting>
  <conditionalFormatting sqref="E1680">
    <cfRule type="containsText" dxfId="1889" priority="5200" operator="containsText" text="Pesquisa de Preços">
      <formula>NOT(ISERROR(SEARCH("Pesquisa de Preços",E1680)))</formula>
    </cfRule>
  </conditionalFormatting>
  <conditionalFormatting sqref="E55">
    <cfRule type="containsText" dxfId="1888" priority="5263" operator="containsText" text="Pesquisa de Preços">
      <formula>NOT(ISERROR(SEARCH("Pesquisa de Preços",E55)))</formula>
    </cfRule>
  </conditionalFormatting>
  <conditionalFormatting sqref="E207">
    <cfRule type="containsText" dxfId="1887" priority="5280" operator="containsText" text="Pesquisa de Preços">
      <formula>NOT(ISERROR(SEARCH("Pesquisa de Preços",E207)))</formula>
    </cfRule>
  </conditionalFormatting>
  <conditionalFormatting sqref="E206">
    <cfRule type="containsText" dxfId="1886" priority="5279" operator="containsText" text="Pesquisa de Preços">
      <formula>NOT(ISERROR(SEARCH("Pesquisa de Preços",E206)))</formula>
    </cfRule>
  </conditionalFormatting>
  <conditionalFormatting sqref="E104:E105">
    <cfRule type="containsText" dxfId="1885" priority="5278" operator="containsText" text="Pesquisa de Preços">
      <formula>NOT(ISERROR(SEARCH("Pesquisa de Preços",E104)))</formula>
    </cfRule>
  </conditionalFormatting>
  <conditionalFormatting sqref="E103">
    <cfRule type="containsText" dxfId="1884" priority="5277" operator="containsText" text="Pesquisa de Preços">
      <formula>NOT(ISERROR(SEARCH("Pesquisa de Preços",E103)))</formula>
    </cfRule>
  </conditionalFormatting>
  <conditionalFormatting sqref="E424:E425">
    <cfRule type="containsText" dxfId="1883" priority="5276" operator="containsText" text="Pesquisa de Preços">
      <formula>NOT(ISERROR(SEARCH("Pesquisa de Preços",E424)))</formula>
    </cfRule>
  </conditionalFormatting>
  <conditionalFormatting sqref="E423">
    <cfRule type="containsText" dxfId="1882" priority="5275" operator="containsText" text="Pesquisa de Preços">
      <formula>NOT(ISERROR(SEARCH("Pesquisa de Preços",E423)))</formula>
    </cfRule>
  </conditionalFormatting>
  <conditionalFormatting sqref="E426:E428">
    <cfRule type="containsText" dxfId="1881" priority="5274" operator="containsText" text="Pesquisa de Preços">
      <formula>NOT(ISERROR(SEARCH("Pesquisa de Preços",E426)))</formula>
    </cfRule>
  </conditionalFormatting>
  <conditionalFormatting sqref="E617 E621">
    <cfRule type="containsText" dxfId="1880" priority="5273" operator="containsText" text="Pesquisa de Preços">
      <formula>NOT(ISERROR(SEARCH("Pesquisa de Preços",E617)))</formula>
    </cfRule>
  </conditionalFormatting>
  <conditionalFormatting sqref="E616">
    <cfRule type="containsText" dxfId="1879" priority="5272" operator="containsText" text="Pesquisa de Preços">
      <formula>NOT(ISERROR(SEARCH("Pesquisa de Preços",E616)))</formula>
    </cfRule>
  </conditionalFormatting>
  <conditionalFormatting sqref="E590 E596">
    <cfRule type="containsText" dxfId="1878" priority="5271" operator="containsText" text="Pesquisa de Preços">
      <formula>NOT(ISERROR(SEARCH("Pesquisa de Preços",E590)))</formula>
    </cfRule>
  </conditionalFormatting>
  <conditionalFormatting sqref="E589">
    <cfRule type="containsText" dxfId="1877" priority="5270" operator="containsText" text="Pesquisa de Preços">
      <formula>NOT(ISERROR(SEARCH("Pesquisa de Preços",E589)))</formula>
    </cfRule>
  </conditionalFormatting>
  <conditionalFormatting sqref="E639:E640 E643:E644">
    <cfRule type="containsText" dxfId="1876" priority="5269" operator="containsText" text="Pesquisa de Preços">
      <formula>NOT(ISERROR(SEARCH("Pesquisa de Preços",E639)))</formula>
    </cfRule>
  </conditionalFormatting>
  <conditionalFormatting sqref="E638">
    <cfRule type="containsText" dxfId="1875" priority="5268" operator="containsText" text="Pesquisa de Preços">
      <formula>NOT(ISERROR(SEARCH("Pesquisa de Preços",E638)))</formula>
    </cfRule>
  </conditionalFormatting>
  <conditionalFormatting sqref="E641:E642">
    <cfRule type="containsText" dxfId="1874" priority="5267" operator="containsText" text="Pesquisa de Preços">
      <formula>NOT(ISERROR(SEARCH("Pesquisa de Preços",E641)))</formula>
    </cfRule>
  </conditionalFormatting>
  <conditionalFormatting sqref="E227">
    <cfRule type="containsText" dxfId="1873" priority="5266" operator="containsText" text="Pesquisa de Preços">
      <formula>NOT(ISERROR(SEARCH("Pesquisa de Preços",E227)))</formula>
    </cfRule>
  </conditionalFormatting>
  <conditionalFormatting sqref="E152:E153">
    <cfRule type="containsText" dxfId="1872" priority="5265" operator="containsText" text="Pesquisa de Preços">
      <formula>NOT(ISERROR(SEARCH("Pesquisa de Preços",E152)))</formula>
    </cfRule>
  </conditionalFormatting>
  <conditionalFormatting sqref="E164:E165">
    <cfRule type="containsText" dxfId="1871" priority="5264" operator="containsText" text="Pesquisa de Preços">
      <formula>NOT(ISERROR(SEARCH("Pesquisa de Preços",E164)))</formula>
    </cfRule>
  </conditionalFormatting>
  <conditionalFormatting sqref="E56:E58">
    <cfRule type="containsText" dxfId="1870" priority="5262" operator="containsText" text="Pesquisa de Preços">
      <formula>NOT(ISERROR(SEARCH("Pesquisa de Preços",E56)))</formula>
    </cfRule>
  </conditionalFormatting>
  <conditionalFormatting sqref="E30:E31">
    <cfRule type="containsText" dxfId="1869" priority="5261" operator="containsText" text="Pesquisa de Preços">
      <formula>NOT(ISERROR(SEARCH("Pesquisa de Preços",E30)))</formula>
    </cfRule>
  </conditionalFormatting>
  <conditionalFormatting sqref="E25:E26">
    <cfRule type="containsText" dxfId="1868" priority="5260" operator="containsText" text="Pesquisa de Preços">
      <formula>NOT(ISERROR(SEARCH("Pesquisa de Preços",E25)))</formula>
    </cfRule>
  </conditionalFormatting>
  <conditionalFormatting sqref="E182">
    <cfRule type="containsText" dxfId="1867" priority="5259" operator="containsText" text="Pesquisa de Preços">
      <formula>NOT(ISERROR(SEARCH("Pesquisa de Preços",E182)))</formula>
    </cfRule>
  </conditionalFormatting>
  <conditionalFormatting sqref="E129:E130">
    <cfRule type="containsText" dxfId="1866" priority="5258" operator="containsText" text="Pesquisa de Preços">
      <formula>NOT(ISERROR(SEARCH("Pesquisa de Preços",E129)))</formula>
    </cfRule>
  </conditionalFormatting>
  <conditionalFormatting sqref="E1913">
    <cfRule type="containsText" dxfId="1865" priority="5183" operator="containsText" text="Pesquisa de Preços">
      <formula>NOT(ISERROR(SEARCH("Pesquisa de Preços",E1913)))</formula>
    </cfRule>
  </conditionalFormatting>
  <conditionalFormatting sqref="E85">
    <cfRule type="containsText" dxfId="1864" priority="5257" operator="containsText" text="Pesquisa de Preços">
      <formula>NOT(ISERROR(SEARCH("Pesquisa de Preços",E85)))</formula>
    </cfRule>
  </conditionalFormatting>
  <conditionalFormatting sqref="E86">
    <cfRule type="containsText" dxfId="1863" priority="5256" operator="containsText" text="Pesquisa de Preços">
      <formula>NOT(ISERROR(SEARCH("Pesquisa de Preços",E86)))</formula>
    </cfRule>
  </conditionalFormatting>
  <conditionalFormatting sqref="E62">
    <cfRule type="containsText" dxfId="1862" priority="5255" operator="containsText" text="Pesquisa de Preços">
      <formula>NOT(ISERROR(SEARCH("Pesquisa de Preços",E62)))</formula>
    </cfRule>
  </conditionalFormatting>
  <conditionalFormatting sqref="E63">
    <cfRule type="containsText" dxfId="1861" priority="5254" operator="containsText" text="Pesquisa de Preços">
      <formula>NOT(ISERROR(SEARCH("Pesquisa de Preços",E63)))</formula>
    </cfRule>
  </conditionalFormatting>
  <conditionalFormatting sqref="E2342">
    <cfRule type="containsText" dxfId="1860" priority="5180" operator="containsText" text="Pesquisa de Preços">
      <formula>NOT(ISERROR(SEARCH("Pesquisa de Preços",E2342)))</formula>
    </cfRule>
  </conditionalFormatting>
  <conditionalFormatting sqref="E45:E46">
    <cfRule type="containsText" dxfId="1859" priority="5253" operator="containsText" text="Pesquisa de Preços">
      <formula>NOT(ISERROR(SEARCH("Pesquisa de Preços",E45)))</formula>
    </cfRule>
  </conditionalFormatting>
  <conditionalFormatting sqref="E312">
    <cfRule type="containsText" dxfId="1858" priority="5252" operator="containsText" text="Pesquisa de Preços">
      <formula>NOT(ISERROR(SEARCH("Pesquisa de Preços",E312)))</formula>
    </cfRule>
  </conditionalFormatting>
  <conditionalFormatting sqref="E298">
    <cfRule type="containsText" dxfId="1857" priority="5251" operator="containsText" text="Pesquisa de Preços">
      <formula>NOT(ISERROR(SEARCH("Pesquisa de Preços",E298)))</formula>
    </cfRule>
  </conditionalFormatting>
  <conditionalFormatting sqref="E458">
    <cfRule type="containsText" dxfId="1856" priority="5250" operator="containsText" text="Pesquisa de Preços">
      <formula>NOT(ISERROR(SEARCH("Pesquisa de Preços",E458)))</formula>
    </cfRule>
  </conditionalFormatting>
  <conditionalFormatting sqref="E501:E502">
    <cfRule type="containsText" dxfId="1855" priority="5247" operator="containsText" text="Pesquisa de Preços">
      <formula>NOT(ISERROR(SEARCH("Pesquisa de Preços",E501)))</formula>
    </cfRule>
  </conditionalFormatting>
  <conditionalFormatting sqref="E468">
    <cfRule type="containsText" dxfId="1854" priority="5249" operator="containsText" text="Pesquisa de Preços">
      <formula>NOT(ISERROR(SEARCH("Pesquisa de Preços",E468)))</formula>
    </cfRule>
  </conditionalFormatting>
  <conditionalFormatting sqref="E500 E503">
    <cfRule type="containsText" dxfId="1853" priority="5248" operator="containsText" text="Pesquisa de Preços">
      <formula>NOT(ISERROR(SEARCH("Pesquisa de Preços",E500)))</formula>
    </cfRule>
  </conditionalFormatting>
  <conditionalFormatting sqref="E624">
    <cfRule type="containsText" dxfId="1852" priority="5246" operator="containsText" text="Pesquisa de Preços">
      <formula>NOT(ISERROR(SEARCH("Pesquisa de Preços",E624)))</formula>
    </cfRule>
  </conditionalFormatting>
  <conditionalFormatting sqref="E625:E627">
    <cfRule type="containsText" dxfId="1851" priority="5245" operator="containsText" text="Pesquisa de Preços">
      <formula>NOT(ISERROR(SEARCH("Pesquisa de Preços",E625)))</formula>
    </cfRule>
  </conditionalFormatting>
  <conditionalFormatting sqref="E998">
    <cfRule type="containsText" dxfId="1850" priority="5244" operator="containsText" text="Pesquisa de Preços">
      <formula>NOT(ISERROR(SEARCH("Pesquisa de Preços",E998)))</formula>
    </cfRule>
  </conditionalFormatting>
  <conditionalFormatting sqref="E615">
    <cfRule type="containsText" dxfId="1849" priority="5228" operator="containsText" text="Pesquisa de Preços">
      <formula>NOT(ISERROR(SEARCH("Pesquisa de Preços",E615)))</formula>
    </cfRule>
  </conditionalFormatting>
  <conditionalFormatting sqref="E738">
    <cfRule type="containsText" dxfId="1848" priority="5227" operator="containsText" text="Pesquisa de Preços">
      <formula>NOT(ISERROR(SEARCH("Pesquisa de Preços",E738)))</formula>
    </cfRule>
  </conditionalFormatting>
  <conditionalFormatting sqref="E1500">
    <cfRule type="containsText" dxfId="1847" priority="5241" operator="containsText" text="Pesquisa de Preços">
      <formula>NOT(ISERROR(SEARCH("Pesquisa de Preços",E1500)))</formula>
    </cfRule>
  </conditionalFormatting>
  <conditionalFormatting sqref="E592:E594">
    <cfRule type="containsText" dxfId="1846" priority="5232" operator="containsText" text="Pesquisa de Preços">
      <formula>NOT(ISERROR(SEARCH("Pesquisa de Preços",E592)))</formula>
    </cfRule>
  </conditionalFormatting>
  <conditionalFormatting sqref="E1617:E1618">
    <cfRule type="containsText" dxfId="1845" priority="5237" operator="containsText" text="Pesquisa de Preços">
      <formula>NOT(ISERROR(SEARCH("Pesquisa de Preços",E1617)))</formula>
    </cfRule>
  </conditionalFormatting>
  <conditionalFormatting sqref="E1622">
    <cfRule type="containsText" dxfId="1844" priority="5240" operator="containsText" text="Pesquisa de Preços">
      <formula>NOT(ISERROR(SEARCH("Pesquisa de Preços",E1622)))</formula>
    </cfRule>
  </conditionalFormatting>
  <conditionalFormatting sqref="E1623:E1624">
    <cfRule type="containsText" dxfId="1843" priority="5239" operator="containsText" text="Pesquisa de Preços">
      <formula>NOT(ISERROR(SEARCH("Pesquisa de Preços",E1623)))</formula>
    </cfRule>
  </conditionalFormatting>
  <conditionalFormatting sqref="E1616">
    <cfRule type="containsText" dxfId="1842" priority="5238" operator="containsText" text="Pesquisa de Preços">
      <formula>NOT(ISERROR(SEARCH("Pesquisa de Preços",E1616)))</formula>
    </cfRule>
  </conditionalFormatting>
  <conditionalFormatting sqref="E1739">
    <cfRule type="containsText" dxfId="1841" priority="5236" operator="containsText" text="Pesquisa de Preços">
      <formula>NOT(ISERROR(SEARCH("Pesquisa de Preços",E1739)))</formula>
    </cfRule>
  </conditionalFormatting>
  <conditionalFormatting sqref="E382">
    <cfRule type="containsText" dxfId="1840" priority="5231" operator="containsText" text="Pesquisa de Preços">
      <formula>NOT(ISERROR(SEARCH("Pesquisa de Preços",E382)))</formula>
    </cfRule>
  </conditionalFormatting>
  <conditionalFormatting sqref="E1072:E1073">
    <cfRule type="containsText" dxfId="1839" priority="5153" operator="containsText" text="Pesquisa de Preços">
      <formula>NOT(ISERROR(SEARCH("Pesquisa de Preços",E1072)))</formula>
    </cfRule>
  </conditionalFormatting>
  <conditionalFormatting sqref="E606">
    <cfRule type="containsText" dxfId="1838" priority="5229" operator="containsText" text="Pesquisa de Preços">
      <formula>NOT(ISERROR(SEARCH("Pesquisa de Preços",E606)))</formula>
    </cfRule>
  </conditionalFormatting>
  <conditionalFormatting sqref="E1085:E1089">
    <cfRule type="containsText" dxfId="1837" priority="5152" operator="containsText" text="Pesquisa de Preços">
      <formula>NOT(ISERROR(SEARCH("Pesquisa de Preços",E1085)))</formula>
    </cfRule>
  </conditionalFormatting>
  <conditionalFormatting sqref="E737">
    <cfRule type="containsText" dxfId="1836" priority="5226" operator="containsText" text="Pesquisa de Preços">
      <formula>NOT(ISERROR(SEARCH("Pesquisa de Preços",E737)))</formula>
    </cfRule>
  </conditionalFormatting>
  <conditionalFormatting sqref="E632">
    <cfRule type="containsText" dxfId="1835" priority="5223" operator="containsText" text="Pesquisa de Preços">
      <formula>NOT(ISERROR(SEARCH("Pesquisa de Preços",E632)))</formula>
    </cfRule>
  </conditionalFormatting>
  <conditionalFormatting sqref="E631 E636:E637">
    <cfRule type="containsText" dxfId="1834" priority="5225" operator="containsText" text="Pesquisa de Preços">
      <formula>NOT(ISERROR(SEARCH("Pesquisa de Preços",E631)))</formula>
    </cfRule>
  </conditionalFormatting>
  <conditionalFormatting sqref="E630">
    <cfRule type="containsText" dxfId="1833" priority="5224" operator="containsText" text="Pesquisa de Preços">
      <formula>NOT(ISERROR(SEARCH("Pesquisa de Preços",E630)))</formula>
    </cfRule>
  </conditionalFormatting>
  <conditionalFormatting sqref="E1258:E1259 E1254:E1255">
    <cfRule type="containsText" dxfId="1832" priority="5221" operator="containsText" text="Pesquisa de Preços">
      <formula>NOT(ISERROR(SEARCH("Pesquisa de Preços",E1254)))</formula>
    </cfRule>
  </conditionalFormatting>
  <conditionalFormatting sqref="E633:E635">
    <cfRule type="containsText" dxfId="1831" priority="5222" operator="containsText" text="Pesquisa de Preços">
      <formula>NOT(ISERROR(SEARCH("Pesquisa de Preços",E633)))</formula>
    </cfRule>
  </conditionalFormatting>
  <conditionalFormatting sqref="E1253">
    <cfRule type="containsText" dxfId="1830" priority="5220" operator="containsText" text="Pesquisa de Preços">
      <formula>NOT(ISERROR(SEARCH("Pesquisa de Preços",E1253)))</formula>
    </cfRule>
  </conditionalFormatting>
  <conditionalFormatting sqref="E1256:E1257">
    <cfRule type="containsText" dxfId="1829" priority="5219" operator="containsText" text="Pesquisa de Preços">
      <formula>NOT(ISERROR(SEARCH("Pesquisa de Preços",E1256)))</formula>
    </cfRule>
  </conditionalFormatting>
  <conditionalFormatting sqref="E1160 E1164:E1165">
    <cfRule type="containsText" dxfId="1828" priority="5218" operator="containsText" text="Pesquisa de Preços">
      <formula>NOT(ISERROR(SEARCH("Pesquisa de Preços",E1160)))</formula>
    </cfRule>
  </conditionalFormatting>
  <conditionalFormatting sqref="E1159">
    <cfRule type="containsText" dxfId="1827" priority="5217" operator="containsText" text="Pesquisa de Preços">
      <formula>NOT(ISERROR(SEARCH("Pesquisa de Preços",E1159)))</formula>
    </cfRule>
  </conditionalFormatting>
  <conditionalFormatting sqref="E1220:E1221 E1216:E1217">
    <cfRule type="containsText" dxfId="1826" priority="5216" operator="containsText" text="Pesquisa de Preços">
      <formula>NOT(ISERROR(SEARCH("Pesquisa de Preços",E1216)))</formula>
    </cfRule>
  </conditionalFormatting>
  <conditionalFormatting sqref="E1215">
    <cfRule type="containsText" dxfId="1825" priority="5215" operator="containsText" text="Pesquisa de Preços">
      <formula>NOT(ISERROR(SEARCH("Pesquisa de Preços",E1215)))</formula>
    </cfRule>
  </conditionalFormatting>
  <conditionalFormatting sqref="E1218:E1219">
    <cfRule type="containsText" dxfId="1824" priority="5214" operator="containsText" text="Pesquisa de Preços">
      <formula>NOT(ISERROR(SEARCH("Pesquisa de Preços",E1218)))</formula>
    </cfRule>
  </conditionalFormatting>
  <conditionalFormatting sqref="E1351">
    <cfRule type="containsText" dxfId="1823" priority="5151" operator="containsText" text="Pesquisa de Preços">
      <formula>NOT(ISERROR(SEARCH("Pesquisa de Preços",E1351)))</formula>
    </cfRule>
  </conditionalFormatting>
  <conditionalFormatting sqref="E866:E867">
    <cfRule type="containsText" dxfId="1822" priority="5211" operator="containsText" text="Pesquisa de Preços">
      <formula>NOT(ISERROR(SEARCH("Pesquisa de Preços",E866)))</formula>
    </cfRule>
  </conditionalFormatting>
  <conditionalFormatting sqref="E1512">
    <cfRule type="containsText" dxfId="1821" priority="5150" operator="containsText" text="Pesquisa de Preços">
      <formula>NOT(ISERROR(SEARCH("Pesquisa de Preços",E1512)))</formula>
    </cfRule>
  </conditionalFormatting>
  <conditionalFormatting sqref="E209">
    <cfRule type="containsText" dxfId="1820" priority="5206" operator="containsText" text="Pesquisa de Preços">
      <formula>NOT(ISERROR(SEARCH("Pesquisa de Preços",E209)))</formula>
    </cfRule>
  </conditionalFormatting>
  <conditionalFormatting sqref="E1611">
    <cfRule type="containsText" dxfId="1819" priority="5204" operator="containsText" text="Pesquisa de Preços">
      <formula>NOT(ISERROR(SEARCH("Pesquisa de Preços",E1611)))</formula>
    </cfRule>
  </conditionalFormatting>
  <conditionalFormatting sqref="E1678">
    <cfRule type="containsText" dxfId="1818" priority="5202" operator="containsText" text="Pesquisa de Preços">
      <formula>NOT(ISERROR(SEARCH("Pesquisa de Preços",E1678)))</formula>
    </cfRule>
  </conditionalFormatting>
  <conditionalFormatting sqref="E1606">
    <cfRule type="containsText" dxfId="1817" priority="5199" operator="containsText" text="Pesquisa de Preços">
      <formula>NOT(ISERROR(SEARCH("Pesquisa de Preços",E1606)))</formula>
    </cfRule>
  </conditionalFormatting>
  <conditionalFormatting sqref="E143">
    <cfRule type="containsText" dxfId="1816" priority="5198" operator="containsText" text="Pesquisa de Preços">
      <formula>NOT(ISERROR(SEARCH("Pesquisa de Preços",E143)))</formula>
    </cfRule>
  </conditionalFormatting>
  <conditionalFormatting sqref="E803">
    <cfRule type="containsText" dxfId="1815" priority="5197" operator="containsText" text="Pesquisa de Preços">
      <formula>NOT(ISERROR(SEARCH("Pesquisa de Preços",E803)))</formula>
    </cfRule>
  </conditionalFormatting>
  <conditionalFormatting sqref="E1006">
    <cfRule type="containsText" dxfId="1814" priority="5196" operator="containsText" text="Pesquisa de Preços">
      <formula>NOT(ISERROR(SEARCH("Pesquisa de Preços",E1006)))</formula>
    </cfRule>
  </conditionalFormatting>
  <conditionalFormatting sqref="E1011">
    <cfRule type="containsText" dxfId="1813" priority="5195" operator="containsText" text="Pesquisa de Preços">
      <formula>NOT(ISERROR(SEARCH("Pesquisa de Preços",E1011)))</formula>
    </cfRule>
  </conditionalFormatting>
  <conditionalFormatting sqref="E114">
    <cfRule type="containsText" dxfId="1812" priority="5194" operator="containsText" text="Pesquisa de Preços">
      <formula>NOT(ISERROR(SEARCH("Pesquisa de Preços",E114)))</formula>
    </cfRule>
  </conditionalFormatting>
  <conditionalFormatting sqref="E115">
    <cfRule type="containsText" dxfId="1811" priority="5193" operator="containsText" text="Pesquisa de Preços">
      <formula>NOT(ISERROR(SEARCH("Pesquisa de Preços",E115)))</formula>
    </cfRule>
  </conditionalFormatting>
  <conditionalFormatting sqref="E1483">
    <cfRule type="containsText" dxfId="1810" priority="5149" operator="containsText" text="Pesquisa de Preços">
      <formula>NOT(ISERROR(SEARCH("Pesquisa de Preços",E1483)))</formula>
    </cfRule>
  </conditionalFormatting>
  <conditionalFormatting sqref="E1685:E1686">
    <cfRule type="containsText" dxfId="1809" priority="5192" operator="containsText" text="Pesquisa de Preços">
      <formula>NOT(ISERROR(SEARCH("Pesquisa de Preços",E1685)))</formula>
    </cfRule>
  </conditionalFormatting>
  <conditionalFormatting sqref="E1651">
    <cfRule type="containsText" dxfId="1808" priority="5191" operator="containsText" text="Pesquisa de Preços">
      <formula>NOT(ISERROR(SEARCH("Pesquisa de Preços",E1651)))</formula>
    </cfRule>
  </conditionalFormatting>
  <conditionalFormatting sqref="E1734">
    <cfRule type="containsText" dxfId="1807" priority="5190" operator="containsText" text="Pesquisa de Preços">
      <formula>NOT(ISERROR(SEARCH("Pesquisa de Preços",E1734)))</formula>
    </cfRule>
  </conditionalFormatting>
  <conditionalFormatting sqref="E1816">
    <cfRule type="containsText" dxfId="1806" priority="5187" operator="containsText" text="Pesquisa de Preços">
      <formula>NOT(ISERROR(SEARCH("Pesquisa de Preços",E1816)))</formula>
    </cfRule>
  </conditionalFormatting>
  <conditionalFormatting sqref="E1830">
    <cfRule type="containsText" dxfId="1805" priority="5186" operator="containsText" text="Pesquisa de Preços">
      <formula>NOT(ISERROR(SEARCH("Pesquisa de Preços",E1830)))</formula>
    </cfRule>
  </conditionalFormatting>
  <conditionalFormatting sqref="E1829">
    <cfRule type="containsText" dxfId="1804" priority="5185" operator="containsText" text="Pesquisa de Preços">
      <formula>NOT(ISERROR(SEARCH("Pesquisa de Preços",E1829)))</formula>
    </cfRule>
  </conditionalFormatting>
  <conditionalFormatting sqref="E1831">
    <cfRule type="containsText" dxfId="1803" priority="5184" operator="containsText" text="Pesquisa de Preços">
      <formula>NOT(ISERROR(SEARCH("Pesquisa de Preços",E1831)))</formula>
    </cfRule>
  </conditionalFormatting>
  <conditionalFormatting sqref="E1912">
    <cfRule type="containsText" dxfId="1802" priority="5182" operator="containsText" text="Pesquisa de Preços">
      <formula>NOT(ISERROR(SEARCH("Pesquisa de Preços",E1912)))</formula>
    </cfRule>
  </conditionalFormatting>
  <conditionalFormatting sqref="E842">
    <cfRule type="containsText" dxfId="1801" priority="5181" operator="containsText" text="Pesquisa de Preços">
      <formula>NOT(ISERROR(SEARCH("Pesquisa de Preços",E842)))</formula>
    </cfRule>
  </conditionalFormatting>
  <conditionalFormatting sqref="E2378">
    <cfRule type="containsText" dxfId="1800" priority="5179" operator="containsText" text="Pesquisa de Preços">
      <formula>NOT(ISERROR(SEARCH("Pesquisa de Preços",E2378)))</formula>
    </cfRule>
  </conditionalFormatting>
  <conditionalFormatting sqref="E2248">
    <cfRule type="containsText" dxfId="1799" priority="5178" operator="containsText" text="Pesquisa de Preços">
      <formula>NOT(ISERROR(SEARCH("Pesquisa de Preços",E2248)))</formula>
    </cfRule>
  </conditionalFormatting>
  <conditionalFormatting sqref="E2249">
    <cfRule type="containsText" dxfId="1798" priority="5177" operator="containsText" text="Pesquisa de Preços">
      <formula>NOT(ISERROR(SEARCH("Pesquisa de Preços",E2249)))</formula>
    </cfRule>
  </conditionalFormatting>
  <conditionalFormatting sqref="E2371">
    <cfRule type="containsText" dxfId="1797" priority="5176" operator="containsText" text="Pesquisa de Preços">
      <formula>NOT(ISERROR(SEARCH("Pesquisa de Preços",E2371)))</formula>
    </cfRule>
  </conditionalFormatting>
  <conditionalFormatting sqref="E134">
    <cfRule type="containsText" dxfId="1796" priority="5175" operator="containsText" text="Pesquisa de Preços">
      <formula>NOT(ISERROR(SEARCH("Pesquisa de Preços",E134)))</formula>
    </cfRule>
  </conditionalFormatting>
  <conditionalFormatting sqref="E1120">
    <cfRule type="containsText" dxfId="1795" priority="5174" operator="containsText" text="Pesquisa de Preços">
      <formula>NOT(ISERROR(SEARCH("Pesquisa de Preços",E1120)))</formula>
    </cfRule>
  </conditionalFormatting>
  <conditionalFormatting sqref="E1634">
    <cfRule type="containsText" dxfId="1794" priority="5173" operator="containsText" text="Pesquisa de Preços">
      <formula>NOT(ISERROR(SEARCH("Pesquisa de Preços",E1634)))</formula>
    </cfRule>
  </conditionalFormatting>
  <conditionalFormatting sqref="E1633">
    <cfRule type="containsText" dxfId="1793" priority="5172" operator="containsText" text="Pesquisa de Preços">
      <formula>NOT(ISERROR(SEARCH("Pesquisa de Preços",E1633)))</formula>
    </cfRule>
  </conditionalFormatting>
  <conditionalFormatting sqref="E323">
    <cfRule type="containsText" dxfId="1792" priority="5171" operator="containsText" text="Pesquisa de Preços">
      <formula>NOT(ISERROR(SEARCH("Pesquisa de Preços",E323)))</formula>
    </cfRule>
  </conditionalFormatting>
  <conditionalFormatting sqref="E1949">
    <cfRule type="containsText" dxfId="1791" priority="5148" operator="containsText" text="Pesquisa de Preços">
      <formula>NOT(ISERROR(SEARCH("Pesquisa de Preços",E1949)))</formula>
    </cfRule>
  </conditionalFormatting>
  <conditionalFormatting sqref="E1952">
    <cfRule type="containsText" dxfId="1790" priority="5147" operator="containsText" text="Pesquisa de Preços">
      <formula>NOT(ISERROR(SEARCH("Pesquisa de Preços",E1952)))</formula>
    </cfRule>
  </conditionalFormatting>
  <conditionalFormatting sqref="E81">
    <cfRule type="containsText" dxfId="1789" priority="5170" operator="containsText" text="Pesquisa de Preços">
      <formula>NOT(ISERROR(SEARCH("Pesquisa de Preços",E81)))</formula>
    </cfRule>
  </conditionalFormatting>
  <conditionalFormatting sqref="E1137">
    <cfRule type="containsText" dxfId="1788" priority="5169" operator="containsText" text="Pesquisa de Preços">
      <formula>NOT(ISERROR(SEARCH("Pesquisa de Preços",E1137)))</formula>
    </cfRule>
  </conditionalFormatting>
  <conditionalFormatting sqref="E1136">
    <cfRule type="containsText" dxfId="1787" priority="5168" operator="containsText" text="Pesquisa de Preços">
      <formula>NOT(ISERROR(SEARCH("Pesquisa de Preços",E1136)))</formula>
    </cfRule>
  </conditionalFormatting>
  <conditionalFormatting sqref="E1135">
    <cfRule type="containsText" dxfId="1786" priority="5167" operator="containsText" text="Pesquisa de Preços">
      <formula>NOT(ISERROR(SEARCH("Pesquisa de Preços",E1135)))</formula>
    </cfRule>
  </conditionalFormatting>
  <conditionalFormatting sqref="E404:E414">
    <cfRule type="containsText" dxfId="1785" priority="5166" operator="containsText" text="Pesquisa de Preços">
      <formula>NOT(ISERROR(SEARCH("Pesquisa de Preços",E404)))</formula>
    </cfRule>
  </conditionalFormatting>
  <conditionalFormatting sqref="E2126:E2127">
    <cfRule type="containsText" dxfId="1784" priority="5146" operator="containsText" text="Pesquisa de Preços">
      <formula>NOT(ISERROR(SEARCH("Pesquisa de Preços",E2126)))</formula>
    </cfRule>
  </conditionalFormatting>
  <conditionalFormatting sqref="E196">
    <cfRule type="containsText" dxfId="1783" priority="5165" operator="containsText" text="Pesquisa de Preços">
      <formula>NOT(ISERROR(SEARCH("Pesquisa de Preços",E196)))</formula>
    </cfRule>
  </conditionalFormatting>
  <conditionalFormatting sqref="E835:E839">
    <cfRule type="containsText" dxfId="1782" priority="5164" operator="containsText" text="Pesquisa de Preços">
      <formula>NOT(ISERROR(SEARCH("Pesquisa de Preços",E835)))</formula>
    </cfRule>
  </conditionalFormatting>
  <conditionalFormatting sqref="E835:E839">
    <cfRule type="containsText" dxfId="1781" priority="5163" operator="containsText" text="Pesquisa de Preços">
      <formula>NOT(ISERROR(SEARCH("Pesquisa de Preços",E835)))</formula>
    </cfRule>
  </conditionalFormatting>
  <conditionalFormatting sqref="E1922">
    <cfRule type="containsText" dxfId="1780" priority="5162" operator="containsText" text="Pesquisa de Preços">
      <formula>NOT(ISERROR(SEARCH("Pesquisa de Preços",E1922)))</formula>
    </cfRule>
  </conditionalFormatting>
  <conditionalFormatting sqref="E1923">
    <cfRule type="containsText" dxfId="1779" priority="5161" operator="containsText" text="Pesquisa de Preços">
      <formula>NOT(ISERROR(SEARCH("Pesquisa de Preços",E1923)))</formula>
    </cfRule>
  </conditionalFormatting>
  <conditionalFormatting sqref="E813">
    <cfRule type="containsText" dxfId="1778" priority="5160" operator="containsText" text="Pesquisa de Preços">
      <formula>NOT(ISERROR(SEARCH("Pesquisa de Preços",E813)))</formula>
    </cfRule>
  </conditionalFormatting>
  <conditionalFormatting sqref="E770">
    <cfRule type="containsText" dxfId="1777" priority="5159" operator="containsText" text="Pesquisa de Preços">
      <formula>NOT(ISERROR(SEARCH("Pesquisa de Preços",E770)))</formula>
    </cfRule>
  </conditionalFormatting>
  <conditionalFormatting sqref="E769">
    <cfRule type="containsText" dxfId="1776" priority="5158" operator="containsText" text="Pesquisa de Preços">
      <formula>NOT(ISERROR(SEARCH("Pesquisa de Preços",E769)))</formula>
    </cfRule>
  </conditionalFormatting>
  <conditionalFormatting sqref="E853">
    <cfRule type="containsText" dxfId="1775" priority="5157" operator="containsText" text="Pesquisa de Preços">
      <formula>NOT(ISERROR(SEARCH("Pesquisa de Preços",E853)))</formula>
    </cfRule>
  </conditionalFormatting>
  <conditionalFormatting sqref="E872:E873">
    <cfRule type="containsText" dxfId="1774" priority="5156" operator="containsText" text="Pesquisa de Preços">
      <formula>NOT(ISERROR(SEARCH("Pesquisa de Preços",E872)))</formula>
    </cfRule>
  </conditionalFormatting>
  <conditionalFormatting sqref="E2153">
    <cfRule type="containsText" dxfId="1773" priority="5145" operator="containsText" text="Pesquisa de Preços">
      <formula>NOT(ISERROR(SEARCH("Pesquisa de Preços",E2153)))</formula>
    </cfRule>
  </conditionalFormatting>
  <conditionalFormatting sqref="E870">
    <cfRule type="containsText" dxfId="1772" priority="5155" operator="containsText" text="Pesquisa de Preços">
      <formula>NOT(ISERROR(SEARCH("Pesquisa de Preços",E870)))</formula>
    </cfRule>
  </conditionalFormatting>
  <conditionalFormatting sqref="E895">
    <cfRule type="containsText" dxfId="1771" priority="5154" operator="containsText" text="Pesquisa de Preços">
      <formula>NOT(ISERROR(SEARCH("Pesquisa de Preços",E895)))</formula>
    </cfRule>
  </conditionalFormatting>
  <conditionalFormatting sqref="E172">
    <cfRule type="containsText" dxfId="1770" priority="5143" operator="containsText" text="Pesquisa de Preços">
      <formula>NOT(ISERROR(SEARCH("Pesquisa de Preços",E172)))</formula>
    </cfRule>
  </conditionalFormatting>
  <conditionalFormatting sqref="E173:E174">
    <cfRule type="containsText" dxfId="1769" priority="5144" operator="containsText" text="Pesquisa de Preços">
      <formula>NOT(ISERROR(SEARCH("Pesquisa de Preços",E173)))</formula>
    </cfRule>
  </conditionalFormatting>
  <conditionalFormatting sqref="D2792">
    <cfRule type="containsText" dxfId="1768" priority="5122" operator="containsText" text="Pesquisa de Preços">
      <formula>NOT(ISERROR(SEARCH("Pesquisa de Preços",D2792)))</formula>
    </cfRule>
  </conditionalFormatting>
  <conditionalFormatting sqref="D2797">
    <cfRule type="containsText" dxfId="1767" priority="5118" operator="containsText" text="Pesquisa de Preços">
      <formula>NOT(ISERROR(SEARCH("Pesquisa de Preços",D2797)))</formula>
    </cfRule>
  </conditionalFormatting>
  <conditionalFormatting sqref="D4784">
    <cfRule type="containsText" dxfId="1766" priority="5096" operator="containsText" text="Pesquisa de Preços">
      <formula>NOT(ISERROR(SEARCH("Pesquisa de Preços",D4784)))</formula>
    </cfRule>
  </conditionalFormatting>
  <conditionalFormatting sqref="D4794">
    <cfRule type="containsText" dxfId="1765" priority="5088" operator="containsText" text="Pesquisa de Preços">
      <formula>NOT(ISERROR(SEARCH("Pesquisa de Preços",D4794)))</formula>
    </cfRule>
  </conditionalFormatting>
  <conditionalFormatting sqref="D4804">
    <cfRule type="containsText" dxfId="1764" priority="5072" operator="containsText" text="Pesquisa de Preços">
      <formula>NOT(ISERROR(SEARCH("Pesquisa de Preços",D4804)))</formula>
    </cfRule>
  </conditionalFormatting>
  <conditionalFormatting sqref="D4809">
    <cfRule type="containsText" dxfId="1763" priority="5042" operator="containsText" text="Pesquisa de Preços">
      <formula>NOT(ISERROR(SEARCH("Pesquisa de Preços",D4809)))</formula>
    </cfRule>
  </conditionalFormatting>
  <conditionalFormatting sqref="D4814">
    <cfRule type="containsText" dxfId="1762" priority="5038" operator="containsText" text="Pesquisa de Preços">
      <formula>NOT(ISERROR(SEARCH("Pesquisa de Preços",D4814)))</formula>
    </cfRule>
  </conditionalFormatting>
  <conditionalFormatting sqref="D4884:D4885 D4892">
    <cfRule type="containsText" dxfId="1761" priority="4985" operator="containsText" text="Pesquisa de Preços">
      <formula>NOT(ISERROR(SEARCH("Pesquisa de Preços",D4884)))</formula>
    </cfRule>
  </conditionalFormatting>
  <conditionalFormatting sqref="D4819">
    <cfRule type="containsText" dxfId="1760" priority="5034" operator="containsText" text="Pesquisa de Preços">
      <formula>NOT(ISERROR(SEARCH("Pesquisa de Preços",D4819)))</formula>
    </cfRule>
  </conditionalFormatting>
  <conditionalFormatting sqref="E4887:E4890">
    <cfRule type="containsText" dxfId="1759" priority="4981" operator="containsText" text="Pesquisa de Preços">
      <formula>NOT(ISERROR(SEARCH("Pesquisa de Preços",E4887)))</formula>
    </cfRule>
  </conditionalFormatting>
  <conditionalFormatting sqref="D4827">
    <cfRule type="containsText" dxfId="1758" priority="5030" operator="containsText" text="Pesquisa de Preços">
      <formula>NOT(ISERROR(SEARCH("Pesquisa de Preços",D4827)))</formula>
    </cfRule>
  </conditionalFormatting>
  <conditionalFormatting sqref="D4893">
    <cfRule type="containsText" dxfId="1757" priority="4977" operator="containsText" text="Pesquisa de Preços">
      <formula>NOT(ISERROR(SEARCH("Pesquisa de Preços",D4893)))</formula>
    </cfRule>
  </conditionalFormatting>
  <conditionalFormatting sqref="D4835">
    <cfRule type="containsText" dxfId="1756" priority="5026" operator="containsText" text="Pesquisa de Preços">
      <formula>NOT(ISERROR(SEARCH("Pesquisa de Preços",D4835)))</formula>
    </cfRule>
  </conditionalFormatting>
  <conditionalFormatting sqref="E4893">
    <cfRule type="containsText" dxfId="1755" priority="4973" operator="containsText" text="Pesquisa de Preços">
      <formula>NOT(ISERROR(SEARCH("Pesquisa de Preços",E4893)))</formula>
    </cfRule>
  </conditionalFormatting>
  <conditionalFormatting sqref="D4843">
    <cfRule type="containsText" dxfId="1754" priority="5022" operator="containsText" text="Pesquisa de Preços">
      <formula>NOT(ISERROR(SEARCH("Pesquisa de Preços",D4843)))</formula>
    </cfRule>
  </conditionalFormatting>
  <conditionalFormatting sqref="E4898:E4899">
    <cfRule type="containsText" dxfId="1753" priority="4969" operator="containsText" text="Pesquisa de Preços">
      <formula>NOT(ISERROR(SEARCH("Pesquisa de Preços",E4898)))</formula>
    </cfRule>
  </conditionalFormatting>
  <conditionalFormatting sqref="D4851">
    <cfRule type="containsText" dxfId="1752" priority="5018" operator="containsText" text="Pesquisa de Preços">
      <formula>NOT(ISERROR(SEARCH("Pesquisa de Preços",D4851)))</formula>
    </cfRule>
  </conditionalFormatting>
  <conditionalFormatting sqref="D4902">
    <cfRule type="containsText" dxfId="1751" priority="4965" operator="containsText" text="Pesquisa de Preços">
      <formula>NOT(ISERROR(SEARCH("Pesquisa de Preços",D4902)))</formula>
    </cfRule>
  </conditionalFormatting>
  <conditionalFormatting sqref="D4859">
    <cfRule type="containsText" dxfId="1750" priority="5014" operator="containsText" text="Pesquisa de Preços">
      <formula>NOT(ISERROR(SEARCH("Pesquisa de Preços",D4859)))</formula>
    </cfRule>
  </conditionalFormatting>
  <conditionalFormatting sqref="D4909">
    <cfRule type="containsText" dxfId="1749" priority="4961" operator="containsText" text="Pesquisa de Preços">
      <formula>NOT(ISERROR(SEARCH("Pesquisa de Preços",D4909)))</formula>
    </cfRule>
  </conditionalFormatting>
  <conditionalFormatting sqref="D4867">
    <cfRule type="containsText" dxfId="1748" priority="5010" operator="containsText" text="Pesquisa de Preços">
      <formula>NOT(ISERROR(SEARCH("Pesquisa de Preços",D4867)))</formula>
    </cfRule>
  </conditionalFormatting>
  <conditionalFormatting sqref="D4875">
    <cfRule type="containsText" dxfId="1747" priority="5006" operator="containsText" text="Pesquisa de Preços">
      <formula>NOT(ISERROR(SEARCH("Pesquisa de Preços",D4875)))</formula>
    </cfRule>
  </conditionalFormatting>
  <conditionalFormatting sqref="D4883">
    <cfRule type="containsText" dxfId="1746" priority="4986" operator="containsText" text="Pesquisa de Preços">
      <formula>NOT(ISERROR(SEARCH("Pesquisa de Preços",D4883)))</formula>
    </cfRule>
  </conditionalFormatting>
  <conditionalFormatting sqref="D4916">
    <cfRule type="containsText" dxfId="1745" priority="4957" operator="containsText" text="Pesquisa de Preços">
      <formula>NOT(ISERROR(SEARCH("Pesquisa de Preços",D4916)))</formula>
    </cfRule>
  </conditionalFormatting>
  <conditionalFormatting sqref="D4887:D4889">
    <cfRule type="containsText" dxfId="1744" priority="4984" operator="containsText" text="Pesquisa de Preços">
      <formula>NOT(ISERROR(SEARCH("Pesquisa de Preços",D4887)))</formula>
    </cfRule>
  </conditionalFormatting>
  <conditionalFormatting sqref="E4883">
    <cfRule type="containsText" dxfId="1743" priority="4982" operator="containsText" text="Pesquisa de Preços">
      <formula>NOT(ISERROR(SEARCH("Pesquisa de Preços",E4883)))</formula>
    </cfRule>
  </conditionalFormatting>
  <conditionalFormatting sqref="E4884:E4885 E4892">
    <cfRule type="containsText" dxfId="1742" priority="4983" operator="containsText" text="Pesquisa de Preços">
      <formula>NOT(ISERROR(SEARCH("Pesquisa de Preços",E4884)))</formula>
    </cfRule>
  </conditionalFormatting>
  <conditionalFormatting sqref="D4894:D4895 D4901">
    <cfRule type="containsText" dxfId="1741" priority="4976" operator="containsText" text="Pesquisa de Preços">
      <formula>NOT(ISERROR(SEARCH("Pesquisa de Preços",D4894)))</formula>
    </cfRule>
  </conditionalFormatting>
  <conditionalFormatting sqref="E4894:E4895 E4901">
    <cfRule type="containsText" dxfId="1740" priority="4974" operator="containsText" text="Pesquisa de Preços">
      <formula>NOT(ISERROR(SEARCH("Pesquisa de Preços",E4894)))</formula>
    </cfRule>
  </conditionalFormatting>
  <conditionalFormatting sqref="E1042">
    <cfRule type="containsText" dxfId="1739" priority="4968" operator="containsText" text="Pesquisa de Preços">
      <formula>NOT(ISERROR(SEARCH("Pesquisa de Preços",E1042)))</formula>
    </cfRule>
  </conditionalFormatting>
  <conditionalFormatting sqref="E1043">
    <cfRule type="containsText" dxfId="1738" priority="4967" operator="containsText" text="Pesquisa de Preços">
      <formula>NOT(ISERROR(SEARCH("Pesquisa de Preços",E1043)))</formula>
    </cfRule>
  </conditionalFormatting>
  <conditionalFormatting sqref="E4964 E4969">
    <cfRule type="containsText" dxfId="1737" priority="4916" operator="containsText" text="Pesquisa de Preços">
      <formula>NOT(ISERROR(SEARCH("Pesquisa de Preços",E4964)))</formula>
    </cfRule>
  </conditionalFormatting>
  <conditionalFormatting sqref="E4943:E4944 E4948">
    <cfRule type="containsText" dxfId="1736" priority="4937" operator="containsText" text="Pesquisa de Preços">
      <formula>NOT(ISERROR(SEARCH("Pesquisa de Preços",E4943)))</formula>
    </cfRule>
  </conditionalFormatting>
  <conditionalFormatting sqref="E4942">
    <cfRule type="containsText" dxfId="1735" priority="4936" operator="containsText" text="Pesquisa de Preços">
      <formula>NOT(ISERROR(SEARCH("Pesquisa de Preços",E4942)))</formula>
    </cfRule>
  </conditionalFormatting>
  <conditionalFormatting sqref="D4943:D4944 D4947:D4948">
    <cfRule type="containsText" dxfId="1734" priority="4938" operator="containsText" text="Pesquisa de Preços">
      <formula>NOT(ISERROR(SEARCH("Pesquisa de Preços",D4943)))</formula>
    </cfRule>
  </conditionalFormatting>
  <conditionalFormatting sqref="D4923">
    <cfRule type="containsText" dxfId="1733" priority="4953" operator="containsText" text="Pesquisa de Preços">
      <formula>NOT(ISERROR(SEARCH("Pesquisa de Preços",D4923)))</formula>
    </cfRule>
  </conditionalFormatting>
  <conditionalFormatting sqref="D4972">
    <cfRule type="containsText" dxfId="1732" priority="4900" operator="containsText" text="Pesquisa de Preços">
      <formula>NOT(ISERROR(SEARCH("Pesquisa de Preços",D4972)))</formula>
    </cfRule>
  </conditionalFormatting>
  <conditionalFormatting sqref="D4930">
    <cfRule type="containsText" dxfId="1731" priority="4949" operator="containsText" text="Pesquisa de Preços">
      <formula>NOT(ISERROR(SEARCH("Pesquisa de Preços",D4930)))</formula>
    </cfRule>
  </conditionalFormatting>
  <conditionalFormatting sqref="E4950:E4951 E4955">
    <cfRule type="containsText" dxfId="1730" priority="4930" operator="containsText" text="Pesquisa de Preços">
      <formula>NOT(ISERROR(SEARCH("Pesquisa de Preços",E4950)))</formula>
    </cfRule>
  </conditionalFormatting>
  <conditionalFormatting sqref="D4937">
    <cfRule type="containsText" dxfId="1729" priority="4945" operator="containsText" text="Pesquisa de Preços">
      <formula>NOT(ISERROR(SEARCH("Pesquisa de Preços",D4937)))</formula>
    </cfRule>
  </conditionalFormatting>
  <conditionalFormatting sqref="D4942">
    <cfRule type="containsText" dxfId="1728" priority="4939" operator="containsText" text="Pesquisa de Preços">
      <formula>NOT(ISERROR(SEARCH("Pesquisa de Preços",D4942)))</formula>
    </cfRule>
  </conditionalFormatting>
  <conditionalFormatting sqref="D4949">
    <cfRule type="containsText" dxfId="1727" priority="4932" operator="containsText" text="Pesquisa de Preços">
      <formula>NOT(ISERROR(SEARCH("Pesquisa de Preços",D4949)))</formula>
    </cfRule>
  </conditionalFormatting>
  <conditionalFormatting sqref="D4964:D4965 D4968:D4969">
    <cfRule type="containsText" dxfId="1726" priority="4917" operator="containsText" text="Pesquisa de Preços">
      <formula>NOT(ISERROR(SEARCH("Pesquisa de Preços",D4964)))</formula>
    </cfRule>
  </conditionalFormatting>
  <conditionalFormatting sqref="D4950:D4951 D4954:D4955">
    <cfRule type="containsText" dxfId="1725" priority="4931" operator="containsText" text="Pesquisa de Preços">
      <formula>NOT(ISERROR(SEARCH("Pesquisa de Preços",D4950)))</formula>
    </cfRule>
  </conditionalFormatting>
  <conditionalFormatting sqref="E4949">
    <cfRule type="containsText" dxfId="1724" priority="4929" operator="containsText" text="Pesquisa de Preços">
      <formula>NOT(ISERROR(SEARCH("Pesquisa de Preços",E4949)))</formula>
    </cfRule>
  </conditionalFormatting>
  <conditionalFormatting sqref="D4957:D4958 D4961:D4962">
    <cfRule type="containsText" dxfId="1723" priority="4924" operator="containsText" text="Pesquisa de Preços">
      <formula>NOT(ISERROR(SEARCH("Pesquisa de Preços",D4957)))</formula>
    </cfRule>
  </conditionalFormatting>
  <conditionalFormatting sqref="D4956">
    <cfRule type="containsText" dxfId="1722" priority="4925" operator="containsText" text="Pesquisa de Preços">
      <formula>NOT(ISERROR(SEARCH("Pesquisa de Preços",D4956)))</formula>
    </cfRule>
  </conditionalFormatting>
  <conditionalFormatting sqref="E4956">
    <cfRule type="containsText" dxfId="1721" priority="4922" operator="containsText" text="Pesquisa de Preços">
      <formula>NOT(ISERROR(SEARCH("Pesquisa de Preços",E4956)))</formula>
    </cfRule>
  </conditionalFormatting>
  <conditionalFormatting sqref="E4957:E4958 E4962">
    <cfRule type="containsText" dxfId="1720" priority="4923" operator="containsText" text="Pesquisa de Preços">
      <formula>NOT(ISERROR(SEARCH("Pesquisa de Preços",E4957)))</formula>
    </cfRule>
  </conditionalFormatting>
  <conditionalFormatting sqref="E5006">
    <cfRule type="containsText" dxfId="1719" priority="4869" operator="containsText" text="Pesquisa de Preços">
      <formula>NOT(ISERROR(SEARCH("Pesquisa de Preços",E5006)))</formula>
    </cfRule>
  </conditionalFormatting>
  <conditionalFormatting sqref="D4963">
    <cfRule type="containsText" dxfId="1718" priority="4918" operator="containsText" text="Pesquisa de Preços">
      <formula>NOT(ISERROR(SEARCH("Pesquisa de Preços",D4963)))</formula>
    </cfRule>
  </conditionalFormatting>
  <conditionalFormatting sqref="E4963">
    <cfRule type="containsText" dxfId="1717" priority="4915" operator="containsText" text="Pesquisa de Preços">
      <formula>NOT(ISERROR(SEARCH("Pesquisa de Preços",E4963)))</formula>
    </cfRule>
  </conditionalFormatting>
  <conditionalFormatting sqref="D4994">
    <cfRule type="containsText" dxfId="1716" priority="4894" operator="containsText" text="Pesquisa de Preços">
      <formula>NOT(ISERROR(SEARCH("Pesquisa de Preços",D4994)))</formula>
    </cfRule>
  </conditionalFormatting>
  <conditionalFormatting sqref="D4970">
    <cfRule type="containsText" dxfId="1715" priority="4909" operator="containsText" text="Pesquisa de Preços">
      <formula>NOT(ISERROR(SEARCH("Pesquisa de Preços",D4970)))</formula>
    </cfRule>
  </conditionalFormatting>
  <conditionalFormatting sqref="D4973">
    <cfRule type="containsText" dxfId="1714" priority="4902" operator="containsText" text="Pesquisa de Preços">
      <formula>NOT(ISERROR(SEARCH("Pesquisa de Preços",D4973)))</formula>
    </cfRule>
  </conditionalFormatting>
  <conditionalFormatting sqref="E5000 E5005">
    <cfRule type="containsText" dxfId="1713" priority="4879" operator="containsText" text="Pesquisa de Preços">
      <formula>NOT(ISERROR(SEARCH("Pesquisa de Preços",E5000)))</formula>
    </cfRule>
  </conditionalFormatting>
  <conditionalFormatting sqref="E4972">
    <cfRule type="containsText" dxfId="1712" priority="4899" operator="containsText" text="Pesquisa de Preços">
      <formula>NOT(ISERROR(SEARCH("Pesquisa de Preços",E4972)))</formula>
    </cfRule>
  </conditionalFormatting>
  <conditionalFormatting sqref="D5000 D5004:D5005">
    <cfRule type="containsText" dxfId="1711" priority="4880" operator="containsText" text="Pesquisa de Preços">
      <formula>NOT(ISERROR(SEARCH("Pesquisa de Preços",D5000)))</formula>
    </cfRule>
  </conditionalFormatting>
  <conditionalFormatting sqref="D4975 D4981 D4987 D4993">
    <cfRule type="containsText" dxfId="1710" priority="4895" operator="containsText" text="Pesquisa de Preços">
      <formula>NOT(ISERROR(SEARCH("Pesquisa de Preços",D4975)))</formula>
    </cfRule>
  </conditionalFormatting>
  <conditionalFormatting sqref="D4996:D4997">
    <cfRule type="containsText" dxfId="1709" priority="4893" operator="containsText" text="Pesquisa de Preços">
      <formula>NOT(ISERROR(SEARCH("Pesquisa de Preços",D4996)))</formula>
    </cfRule>
  </conditionalFormatting>
  <conditionalFormatting sqref="E4988 E4992">
    <cfRule type="containsText" dxfId="1708" priority="4888" operator="containsText" text="Pesquisa de Preços">
      <formula>NOT(ISERROR(SEARCH("Pesquisa de Preços",E4988)))</formula>
    </cfRule>
  </conditionalFormatting>
  <conditionalFormatting sqref="D4988 D4992">
    <cfRule type="containsText" dxfId="1707" priority="4892" operator="containsText" text="Pesquisa de Preços">
      <formula>NOT(ISERROR(SEARCH("Pesquisa de Preços",D4988)))</formula>
    </cfRule>
  </conditionalFormatting>
  <conditionalFormatting sqref="E4987">
    <cfRule type="containsText" dxfId="1706" priority="4887" operator="containsText" text="Pesquisa de Preços">
      <formula>NOT(ISERROR(SEARCH("Pesquisa de Preços",E4987)))</formula>
    </cfRule>
  </conditionalFormatting>
  <conditionalFormatting sqref="E4996:E4997">
    <cfRule type="containsText" dxfId="1705" priority="4889" operator="containsText" text="Pesquisa de Preços">
      <formula>NOT(ISERROR(SEARCH("Pesquisa de Preços",E4996)))</formula>
    </cfRule>
  </conditionalFormatting>
  <conditionalFormatting sqref="E4993">
    <cfRule type="containsText" dxfId="1704" priority="4890" operator="containsText" text="Pesquisa de Preços">
      <formula>NOT(ISERROR(SEARCH("Pesquisa de Preços",E4993)))</formula>
    </cfRule>
  </conditionalFormatting>
  <conditionalFormatting sqref="E4994">
    <cfRule type="containsText" dxfId="1703" priority="4891" operator="containsText" text="Pesquisa de Preços">
      <formula>NOT(ISERROR(SEARCH("Pesquisa de Preços",E4994)))</formula>
    </cfRule>
  </conditionalFormatting>
  <conditionalFormatting sqref="D4999">
    <cfRule type="containsText" dxfId="1702" priority="4881" operator="containsText" text="Pesquisa de Preços">
      <formula>NOT(ISERROR(SEARCH("Pesquisa de Preços",D4999)))</formula>
    </cfRule>
  </conditionalFormatting>
  <conditionalFormatting sqref="E4999">
    <cfRule type="containsText" dxfId="1701" priority="4878" operator="containsText" text="Pesquisa de Preços">
      <formula>NOT(ISERROR(SEARCH("Pesquisa de Preços",E4999)))</formula>
    </cfRule>
  </conditionalFormatting>
  <conditionalFormatting sqref="E5019">
    <cfRule type="containsText" dxfId="1700" priority="4851" operator="containsText" text="Pesquisa de Preços">
      <formula>NOT(ISERROR(SEARCH("Pesquisa de Preços",E5019)))</formula>
    </cfRule>
  </conditionalFormatting>
  <conditionalFormatting sqref="D5006">
    <cfRule type="containsText" dxfId="1699" priority="4872" operator="containsText" text="Pesquisa de Preços">
      <formula>NOT(ISERROR(SEARCH("Pesquisa de Preços",D5006)))</formula>
    </cfRule>
  </conditionalFormatting>
  <conditionalFormatting sqref="D5007">
    <cfRule type="containsText" dxfId="1698" priority="4871" operator="containsText" text="Pesquisa de Preços">
      <formula>NOT(ISERROR(SEARCH("Pesquisa de Preços",D5007)))</formula>
    </cfRule>
  </conditionalFormatting>
  <conditionalFormatting sqref="E5007:E5008 E5010">
    <cfRule type="containsText" dxfId="1697" priority="4870" operator="containsText" text="Pesquisa de Preços">
      <formula>NOT(ISERROR(SEARCH("Pesquisa de Preços",E5007)))</formula>
    </cfRule>
  </conditionalFormatting>
  <conditionalFormatting sqref="D5002">
    <cfRule type="containsText" dxfId="1696" priority="4842" operator="containsText" text="Pesquisa de Preços">
      <formula>NOT(ISERROR(SEARCH("Pesquisa de Preços",D5002)))</formula>
    </cfRule>
  </conditionalFormatting>
  <conditionalFormatting sqref="D5019">
    <cfRule type="containsText" dxfId="1695" priority="4854" operator="containsText" text="Pesquisa de Preços">
      <formula>NOT(ISERROR(SEARCH("Pesquisa de Preços",D5019)))</formula>
    </cfRule>
  </conditionalFormatting>
  <conditionalFormatting sqref="D5020">
    <cfRule type="containsText" dxfId="1694" priority="4853" operator="containsText" text="Pesquisa de Preços">
      <formula>NOT(ISERROR(SEARCH("Pesquisa de Preços",D5020)))</formula>
    </cfRule>
  </conditionalFormatting>
  <conditionalFormatting sqref="E5020:E5021 E5024">
    <cfRule type="containsText" dxfId="1693" priority="4852" operator="containsText" text="Pesquisa de Preços">
      <formula>NOT(ISERROR(SEARCH("Pesquisa de Preços",E5020)))</formula>
    </cfRule>
  </conditionalFormatting>
  <conditionalFormatting sqref="D5011">
    <cfRule type="containsText" dxfId="1692" priority="4847" operator="containsText" text="Pesquisa de Preços">
      <formula>NOT(ISERROR(SEARCH("Pesquisa de Preços",D5011)))</formula>
    </cfRule>
  </conditionalFormatting>
  <conditionalFormatting sqref="D5028">
    <cfRule type="containsText" dxfId="1691" priority="4841" operator="containsText" text="Pesquisa de Preços">
      <formula>NOT(ISERROR(SEARCH("Pesquisa de Preços",D5028)))</formula>
    </cfRule>
  </conditionalFormatting>
  <conditionalFormatting sqref="D5025">
    <cfRule type="containsText" dxfId="1690" priority="4836" operator="containsText" text="Pesquisa de Preços">
      <formula>NOT(ISERROR(SEARCH("Pesquisa de Preços",D5025)))</formula>
    </cfRule>
  </conditionalFormatting>
  <conditionalFormatting sqref="D5026">
    <cfRule type="containsText" dxfId="1689" priority="4835" operator="containsText" text="Pesquisa de Preços">
      <formula>NOT(ISERROR(SEARCH("Pesquisa de Preços",D5026)))</formula>
    </cfRule>
  </conditionalFormatting>
  <conditionalFormatting sqref="E5025">
    <cfRule type="containsText" dxfId="1688" priority="4833" operator="containsText" text="Pesquisa de Preços">
      <formula>NOT(ISERROR(SEARCH("Pesquisa de Preços",E5025)))</formula>
    </cfRule>
  </conditionalFormatting>
  <conditionalFormatting sqref="E5026:E5028">
    <cfRule type="containsText" dxfId="1687" priority="4834" operator="containsText" text="Pesquisa de Preços">
      <formula>NOT(ISERROR(SEARCH("Pesquisa de Preços",E5026)))</formula>
    </cfRule>
  </conditionalFormatting>
  <conditionalFormatting sqref="D5034">
    <cfRule type="containsText" dxfId="1686" priority="4830" operator="containsText" text="Pesquisa de Preços">
      <formula>NOT(ISERROR(SEARCH("Pesquisa de Preços",D5034)))</formula>
    </cfRule>
  </conditionalFormatting>
  <conditionalFormatting sqref="D5029">
    <cfRule type="containsText" dxfId="1685" priority="4825" operator="containsText" text="Pesquisa de Preços">
      <formula>NOT(ISERROR(SEARCH("Pesquisa de Preços",D5029)))</formula>
    </cfRule>
  </conditionalFormatting>
  <conditionalFormatting sqref="D5030:D5031">
    <cfRule type="containsText" dxfId="1684" priority="4824" operator="containsText" text="Pesquisa de Preços">
      <formula>NOT(ISERROR(SEARCH("Pesquisa de Preços",D5030)))</formula>
    </cfRule>
  </conditionalFormatting>
  <conditionalFormatting sqref="E5029">
    <cfRule type="containsText" dxfId="1683" priority="4822" operator="containsText" text="Pesquisa de Preços">
      <formula>NOT(ISERROR(SEARCH("Pesquisa de Preços",E5029)))</formula>
    </cfRule>
  </conditionalFormatting>
  <conditionalFormatting sqref="E5030:E5031 E5034">
    <cfRule type="containsText" dxfId="1682" priority="4823" operator="containsText" text="Pesquisa de Preços">
      <formula>NOT(ISERROR(SEARCH("Pesquisa de Preços",E5030)))</formula>
    </cfRule>
  </conditionalFormatting>
  <conditionalFormatting sqref="E5035">
    <cfRule type="containsText" dxfId="1681" priority="4800" operator="containsText" text="Pesquisa de Preços">
      <formula>NOT(ISERROR(SEARCH("Pesquisa de Preços",E5035)))</formula>
    </cfRule>
  </conditionalFormatting>
  <conditionalFormatting sqref="D5041">
    <cfRule type="containsText" dxfId="1680" priority="4794" operator="containsText" text="Pesquisa de Preços">
      <formula>NOT(ISERROR(SEARCH("Pesquisa de Preços",D5041)))</formula>
    </cfRule>
  </conditionalFormatting>
  <conditionalFormatting sqref="E5042:E5043 E5048">
    <cfRule type="containsText" dxfId="1679" priority="4792" operator="containsText" text="Pesquisa de Preços">
      <formula>NOT(ISERROR(SEARCH("Pesquisa de Preços",E5042)))</formula>
    </cfRule>
  </conditionalFormatting>
  <conditionalFormatting sqref="D5042:D5043 D5048">
    <cfRule type="containsText" dxfId="1678" priority="4793" operator="containsText" text="Pesquisa de Preços">
      <formula>NOT(ISERROR(SEARCH("Pesquisa de Preços",D5042)))</formula>
    </cfRule>
  </conditionalFormatting>
  <conditionalFormatting sqref="D5040">
    <cfRule type="containsText" dxfId="1677" priority="4808" operator="containsText" text="Pesquisa de Preços">
      <formula>NOT(ISERROR(SEARCH("Pesquisa de Preços",D5040)))</formula>
    </cfRule>
  </conditionalFormatting>
  <conditionalFormatting sqref="D5035">
    <cfRule type="containsText" dxfId="1676" priority="4803" operator="containsText" text="Pesquisa de Preços">
      <formula>NOT(ISERROR(SEARCH("Pesquisa de Preços",D5035)))</formula>
    </cfRule>
  </conditionalFormatting>
  <conditionalFormatting sqref="D5036:D5037">
    <cfRule type="containsText" dxfId="1675" priority="4802" operator="containsText" text="Pesquisa de Preços">
      <formula>NOT(ISERROR(SEARCH("Pesquisa de Preços",D5036)))</formula>
    </cfRule>
  </conditionalFormatting>
  <conditionalFormatting sqref="E5036:E5037 E5040">
    <cfRule type="containsText" dxfId="1674" priority="4801" operator="containsText" text="Pesquisa de Preços">
      <formula>NOT(ISERROR(SEARCH("Pesquisa de Preços",E5036)))</formula>
    </cfRule>
  </conditionalFormatting>
  <conditionalFormatting sqref="D5045:D5046 D5043:E5043 D5045:E5045">
    <cfRule type="containsText" dxfId="1673" priority="4797" operator="containsText" text="Pesquisa de Preços">
      <formula>NOT(ISERROR(SEARCH("Pesquisa de Preços",D5043)))</formula>
    </cfRule>
  </conditionalFormatting>
  <conditionalFormatting sqref="E5041">
    <cfRule type="containsText" dxfId="1672" priority="4791" operator="containsText" text="Pesquisa de Preços">
      <formula>NOT(ISERROR(SEARCH("Pesquisa de Preços",E5041)))</formula>
    </cfRule>
  </conditionalFormatting>
  <conditionalFormatting sqref="E5045:E5047">
    <cfRule type="containsText" dxfId="1671" priority="4790" operator="containsText" text="Pesquisa de Preços">
      <formula>NOT(ISERROR(SEARCH("Pesquisa de Preços",E5045)))</formula>
    </cfRule>
  </conditionalFormatting>
  <conditionalFormatting sqref="E5053">
    <cfRule type="containsText" dxfId="1670" priority="4773" operator="containsText" text="Pesquisa de Preços">
      <formula>NOT(ISERROR(SEARCH("Pesquisa de Preços",E5053)))</formula>
    </cfRule>
  </conditionalFormatting>
  <conditionalFormatting sqref="D5049">
    <cfRule type="containsText" dxfId="1669" priority="4785" operator="containsText" text="Pesquisa de Preços">
      <formula>NOT(ISERROR(SEARCH("Pesquisa de Preços",D5049)))</formula>
    </cfRule>
  </conditionalFormatting>
  <conditionalFormatting sqref="E5050 E5055">
    <cfRule type="containsText" dxfId="1668" priority="4783" operator="containsText" text="Pesquisa de Preços">
      <formula>NOT(ISERROR(SEARCH("Pesquisa de Preços",E5050)))</formula>
    </cfRule>
  </conditionalFormatting>
  <conditionalFormatting sqref="D5050 D5055">
    <cfRule type="containsText" dxfId="1667" priority="4784" operator="containsText" text="Pesquisa de Preços">
      <formula>NOT(ISERROR(SEARCH("Pesquisa de Preços",D5050)))</formula>
    </cfRule>
  </conditionalFormatting>
  <conditionalFormatting sqref="E5072:E5073">
    <cfRule type="containsText" dxfId="1666" priority="4732" operator="containsText" text="Pesquisa de Preços">
      <formula>NOT(ISERROR(SEARCH("Pesquisa de Preços",E5072)))</formula>
    </cfRule>
  </conditionalFormatting>
  <conditionalFormatting sqref="E5049">
    <cfRule type="containsText" dxfId="1665" priority="4782" operator="containsText" text="Pesquisa de Preços">
      <formula>NOT(ISERROR(SEARCH("Pesquisa de Preços",E5049)))</formula>
    </cfRule>
  </conditionalFormatting>
  <conditionalFormatting sqref="E5054">
    <cfRule type="containsText" dxfId="1664" priority="4781" operator="containsText" text="Pesquisa de Preços">
      <formula>NOT(ISERROR(SEARCH("Pesquisa de Preços",E5054)))</formula>
    </cfRule>
  </conditionalFormatting>
  <conditionalFormatting sqref="D5053">
    <cfRule type="containsText" dxfId="1663" priority="4774" operator="containsText" text="Pesquisa de Preços">
      <formula>NOT(ISERROR(SEARCH("Pesquisa de Preços",D5053)))</formula>
    </cfRule>
  </conditionalFormatting>
  <conditionalFormatting sqref="D5063">
    <cfRule type="containsText" dxfId="1662" priority="4767" operator="containsText" text="Pesquisa de Preços">
      <formula>NOT(ISERROR(SEARCH("Pesquisa de Preços",D5063)))</formula>
    </cfRule>
  </conditionalFormatting>
  <conditionalFormatting sqref="D5056">
    <cfRule type="containsText" dxfId="1661" priority="4771" operator="containsText" text="Pesquisa de Preços">
      <formula>NOT(ISERROR(SEARCH("Pesquisa de Preços",D5056)))</formula>
    </cfRule>
  </conditionalFormatting>
  <conditionalFormatting sqref="D5068">
    <cfRule type="containsText" dxfId="1660" priority="4762" operator="containsText" text="Pesquisa de Preços">
      <formula>NOT(ISERROR(SEARCH("Pesquisa de Preços",D5068)))</formula>
    </cfRule>
  </conditionalFormatting>
  <conditionalFormatting sqref="D5066">
    <cfRule type="containsText" dxfId="1659" priority="4759" operator="containsText" text="Pesquisa de Preços">
      <formula>NOT(ISERROR(SEARCH("Pesquisa de Preços",D5066)))</formula>
    </cfRule>
  </conditionalFormatting>
  <conditionalFormatting sqref="D1328">
    <cfRule type="containsText" dxfId="1658" priority="4755" operator="containsText" text="Pesquisa de Preços">
      <formula>NOT(ISERROR(SEARCH("Pesquisa de Preços",D1328)))</formula>
    </cfRule>
  </conditionalFormatting>
  <conditionalFormatting sqref="E1328">
    <cfRule type="containsText" dxfId="1657" priority="4754" operator="containsText" text="Pesquisa de Preços">
      <formula>NOT(ISERROR(SEARCH("Pesquisa de Preços",E1328)))</formula>
    </cfRule>
  </conditionalFormatting>
  <conditionalFormatting sqref="E1327">
    <cfRule type="containsText" dxfId="1656" priority="4753" operator="containsText" text="Pesquisa de Preços">
      <formula>NOT(ISERROR(SEARCH("Pesquisa de Preços",E1327)))</formula>
    </cfRule>
  </conditionalFormatting>
  <conditionalFormatting sqref="D1334">
    <cfRule type="containsText" dxfId="1655" priority="4749" operator="containsText" text="Pesquisa de Preços">
      <formula>NOT(ISERROR(SEARCH("Pesquisa de Preços",D1334)))</formula>
    </cfRule>
  </conditionalFormatting>
  <conditionalFormatting sqref="E1334">
    <cfRule type="containsText" dxfId="1654" priority="4748" operator="containsText" text="Pesquisa de Preços">
      <formula>NOT(ISERROR(SEARCH("Pesquisa de Preços",E1334)))</formula>
    </cfRule>
  </conditionalFormatting>
  <conditionalFormatting sqref="E1333">
    <cfRule type="containsText" dxfId="1653" priority="4747" operator="containsText" text="Pesquisa de Preços">
      <formula>NOT(ISERROR(SEARCH("Pesquisa de Preços",E1333)))</formula>
    </cfRule>
  </conditionalFormatting>
  <conditionalFormatting sqref="D1340">
    <cfRule type="containsText" dxfId="1652" priority="4743" operator="containsText" text="Pesquisa de Preços">
      <formula>NOT(ISERROR(SEARCH("Pesquisa de Preços",D1340)))</formula>
    </cfRule>
  </conditionalFormatting>
  <conditionalFormatting sqref="E1340">
    <cfRule type="containsText" dxfId="1651" priority="4742" operator="containsText" text="Pesquisa de Preços">
      <formula>NOT(ISERROR(SEARCH("Pesquisa de Preços",E1340)))</formula>
    </cfRule>
  </conditionalFormatting>
  <conditionalFormatting sqref="E1339">
    <cfRule type="containsText" dxfId="1650" priority="4741" operator="containsText" text="Pesquisa de Preços">
      <formula>NOT(ISERROR(SEARCH("Pesquisa de Preços",E1339)))</formula>
    </cfRule>
  </conditionalFormatting>
  <conditionalFormatting sqref="D5071 D5077">
    <cfRule type="containsText" dxfId="1649" priority="4737" operator="containsText" text="Pesquisa de Preços">
      <formula>NOT(ISERROR(SEARCH("Pesquisa de Preços",D5071)))</formula>
    </cfRule>
  </conditionalFormatting>
  <conditionalFormatting sqref="D5072:D5073">
    <cfRule type="containsText" dxfId="1648" priority="4735" operator="containsText" text="Pesquisa de Preços">
      <formula>NOT(ISERROR(SEARCH("Pesquisa de Preços",D5072)))</formula>
    </cfRule>
  </conditionalFormatting>
  <conditionalFormatting sqref="D5078:D5079">
    <cfRule type="containsText" dxfId="1647" priority="4736" operator="containsText" text="Pesquisa de Preços">
      <formula>NOT(ISERROR(SEARCH("Pesquisa de Preços",D5078)))</formula>
    </cfRule>
  </conditionalFormatting>
  <conditionalFormatting sqref="E5077">
    <cfRule type="containsText" dxfId="1646" priority="4733" operator="containsText" text="Pesquisa de Preços">
      <formula>NOT(ISERROR(SEARCH("Pesquisa de Preços",E5077)))</formula>
    </cfRule>
  </conditionalFormatting>
  <conditionalFormatting sqref="E5071">
    <cfRule type="containsText" dxfId="1645" priority="4731" operator="containsText" text="Pesquisa de Preços">
      <formula>NOT(ISERROR(SEARCH("Pesquisa de Preços",E5071)))</formula>
    </cfRule>
  </conditionalFormatting>
  <conditionalFormatting sqref="E5078:E5079">
    <cfRule type="containsText" dxfId="1644" priority="4734" operator="containsText" text="Pesquisa de Preços">
      <formula>NOT(ISERROR(SEARCH("Pesquisa de Preços",E5078)))</formula>
    </cfRule>
  </conditionalFormatting>
  <conditionalFormatting sqref="D5081">
    <cfRule type="containsText" dxfId="1643" priority="4727" operator="containsText" text="Pesquisa de Preços">
      <formula>NOT(ISERROR(SEARCH("Pesquisa de Preços",D5081)))</formula>
    </cfRule>
  </conditionalFormatting>
  <conditionalFormatting sqref="E5081">
    <cfRule type="containsText" dxfId="1642" priority="4726" operator="containsText" text="Pesquisa de Preços">
      <formula>NOT(ISERROR(SEARCH("Pesquisa de Preços",E5081)))</formula>
    </cfRule>
  </conditionalFormatting>
  <conditionalFormatting sqref="E5080">
    <cfRule type="containsText" dxfId="1641" priority="4725" operator="containsText" text="Pesquisa de Preços">
      <formula>NOT(ISERROR(SEARCH("Pesquisa de Preços",E5080)))</formula>
    </cfRule>
  </conditionalFormatting>
  <conditionalFormatting sqref="D5075">
    <cfRule type="containsText" dxfId="1640" priority="4721" operator="containsText" text="Pesquisa de Preços">
      <formula>NOT(ISERROR(SEARCH("Pesquisa de Preços",D5075)))</formula>
    </cfRule>
  </conditionalFormatting>
  <conditionalFormatting sqref="E5075">
    <cfRule type="containsText" dxfId="1639" priority="4720" operator="containsText" text="Pesquisa de Preços">
      <formula>NOT(ISERROR(SEARCH("Pesquisa de Preços",E5075)))</formula>
    </cfRule>
  </conditionalFormatting>
  <conditionalFormatting sqref="E5074">
    <cfRule type="containsText" dxfId="1638" priority="4719" operator="containsText" text="Pesquisa de Preços">
      <formula>NOT(ISERROR(SEARCH("Pesquisa de Preços",E5074)))</formula>
    </cfRule>
  </conditionalFormatting>
  <conditionalFormatting sqref="D5083">
    <cfRule type="containsText" dxfId="1637" priority="4715" operator="containsText" text="Pesquisa de Preços">
      <formula>NOT(ISERROR(SEARCH("Pesquisa de Preços",D5083)))</formula>
    </cfRule>
  </conditionalFormatting>
  <conditionalFormatting sqref="D5084 D5088">
    <cfRule type="containsText" dxfId="1636" priority="4714" operator="containsText" text="Pesquisa de Preços">
      <formula>NOT(ISERROR(SEARCH("Pesquisa de Preços",D5084)))</formula>
    </cfRule>
  </conditionalFormatting>
  <conditionalFormatting sqref="D5085">
    <cfRule type="containsText" dxfId="1635" priority="4713" operator="containsText" text="Pesquisa de Preços">
      <formula>NOT(ISERROR(SEARCH("Pesquisa de Preços",D5085)))</formula>
    </cfRule>
  </conditionalFormatting>
  <conditionalFormatting sqref="D5086:D5087">
    <cfRule type="containsText" dxfId="1634" priority="4712" operator="containsText" text="Pesquisa de Preços">
      <formula>NOT(ISERROR(SEARCH("Pesquisa de Preços",D5086)))</formula>
    </cfRule>
  </conditionalFormatting>
  <conditionalFormatting sqref="E5084 E5088">
    <cfRule type="containsText" dxfId="1633" priority="4711" operator="containsText" text="Pesquisa de Preços">
      <formula>NOT(ISERROR(SEARCH("Pesquisa de Preços",E5084)))</formula>
    </cfRule>
  </conditionalFormatting>
  <conditionalFormatting sqref="E5083">
    <cfRule type="containsText" dxfId="1632" priority="4710" operator="containsText" text="Pesquisa de Preços">
      <formula>NOT(ISERROR(SEARCH("Pesquisa de Preços",E5083)))</formula>
    </cfRule>
  </conditionalFormatting>
  <conditionalFormatting sqref="E5085">
    <cfRule type="containsText" dxfId="1631" priority="4709" operator="containsText" text="Pesquisa de Preços">
      <formula>NOT(ISERROR(SEARCH("Pesquisa de Preços",E5085)))</formula>
    </cfRule>
  </conditionalFormatting>
  <conditionalFormatting sqref="E5086:E5087">
    <cfRule type="containsText" dxfId="1630" priority="4708" operator="containsText" text="Pesquisa de Preços">
      <formula>NOT(ISERROR(SEARCH("Pesquisa de Preços",E5086)))</formula>
    </cfRule>
  </conditionalFormatting>
  <conditionalFormatting sqref="D5089">
    <cfRule type="containsText" dxfId="1629" priority="4704" operator="containsText" text="Pesquisa de Preços">
      <formula>NOT(ISERROR(SEARCH("Pesquisa de Preços",D5089)))</formula>
    </cfRule>
  </conditionalFormatting>
  <conditionalFormatting sqref="D5090 D5094">
    <cfRule type="containsText" dxfId="1628" priority="4703" operator="containsText" text="Pesquisa de Preços">
      <formula>NOT(ISERROR(SEARCH("Pesquisa de Preços",D5090)))</formula>
    </cfRule>
  </conditionalFormatting>
  <conditionalFormatting sqref="D5091">
    <cfRule type="containsText" dxfId="1627" priority="4702" operator="containsText" text="Pesquisa de Preços">
      <formula>NOT(ISERROR(SEARCH("Pesquisa de Preços",D5091)))</formula>
    </cfRule>
  </conditionalFormatting>
  <conditionalFormatting sqref="D5092:D5093">
    <cfRule type="containsText" dxfId="1626" priority="4701" operator="containsText" text="Pesquisa de Preços">
      <formula>NOT(ISERROR(SEARCH("Pesquisa de Preços",D5092)))</formula>
    </cfRule>
  </conditionalFormatting>
  <conditionalFormatting sqref="E5090 E5094">
    <cfRule type="containsText" dxfId="1625" priority="4700" operator="containsText" text="Pesquisa de Preços">
      <formula>NOT(ISERROR(SEARCH("Pesquisa de Preços",E5090)))</formula>
    </cfRule>
  </conditionalFormatting>
  <conditionalFormatting sqref="E5089">
    <cfRule type="containsText" dxfId="1624" priority="4699" operator="containsText" text="Pesquisa de Preços">
      <formula>NOT(ISERROR(SEARCH("Pesquisa de Preços",E5089)))</formula>
    </cfRule>
  </conditionalFormatting>
  <conditionalFormatting sqref="E5091">
    <cfRule type="containsText" dxfId="1623" priority="4698" operator="containsText" text="Pesquisa de Preços">
      <formula>NOT(ISERROR(SEARCH("Pesquisa de Preços",E5091)))</formula>
    </cfRule>
  </conditionalFormatting>
  <conditionalFormatting sqref="E5092:E5093">
    <cfRule type="containsText" dxfId="1622" priority="4697" operator="containsText" text="Pesquisa de Preços">
      <formula>NOT(ISERROR(SEARCH("Pesquisa de Preços",E5092)))</formula>
    </cfRule>
  </conditionalFormatting>
  <conditionalFormatting sqref="E5096:E5097 E5101">
    <cfRule type="containsText" dxfId="1621" priority="4689" operator="containsText" text="Pesquisa de Preços">
      <formula>NOT(ISERROR(SEARCH("Pesquisa de Preços",E5096)))</formula>
    </cfRule>
  </conditionalFormatting>
  <conditionalFormatting sqref="E5095">
    <cfRule type="containsText" dxfId="1620" priority="4688" operator="containsText" text="Pesquisa de Preços">
      <formula>NOT(ISERROR(SEARCH("Pesquisa de Preços",E5095)))</formula>
    </cfRule>
  </conditionalFormatting>
  <conditionalFormatting sqref="D5096:D5097 D5100:D5101">
    <cfRule type="containsText" dxfId="1619" priority="4690" operator="containsText" text="Pesquisa de Preços">
      <formula>NOT(ISERROR(SEARCH("Pesquisa de Preços",D5096)))</formula>
    </cfRule>
  </conditionalFormatting>
  <conditionalFormatting sqref="D5095">
    <cfRule type="containsText" dxfId="1618" priority="4691" operator="containsText" text="Pesquisa de Preços">
      <formula>NOT(ISERROR(SEARCH("Pesquisa de Preços",D5095)))</formula>
    </cfRule>
  </conditionalFormatting>
  <conditionalFormatting sqref="D4995">
    <cfRule type="containsText" dxfId="1617" priority="4679" operator="containsText" text="Pesquisa de Preços">
      <formula>NOT(ISERROR(SEARCH("Pesquisa de Preços",D4995)))</formula>
    </cfRule>
  </conditionalFormatting>
  <conditionalFormatting sqref="E4995">
    <cfRule type="containsText" dxfId="1616" priority="4678" operator="containsText" text="Pesquisa de Preços">
      <formula>NOT(ISERROR(SEARCH("Pesquisa de Preços",E4995)))</formula>
    </cfRule>
  </conditionalFormatting>
  <conditionalFormatting sqref="D2284">
    <cfRule type="containsText" dxfId="1615" priority="4669" operator="containsText" text="Pesquisa de Preços">
      <formula>NOT(ISERROR(SEARCH("Pesquisa de Preços",D2284)))</formula>
    </cfRule>
  </conditionalFormatting>
  <conditionalFormatting sqref="E2284">
    <cfRule type="containsText" dxfId="1614" priority="4668" operator="containsText" text="Pesquisa de Preços">
      <formula>NOT(ISERROR(SEARCH("Pesquisa de Preços",E2284)))</formula>
    </cfRule>
  </conditionalFormatting>
  <conditionalFormatting sqref="D2285:D2286">
    <cfRule type="containsText" dxfId="1613" priority="4657" operator="containsText" text="Pesquisa de Preços">
      <formula>NOT(ISERROR(SEARCH("Pesquisa de Preços",D2285)))</formula>
    </cfRule>
  </conditionalFormatting>
  <conditionalFormatting sqref="E2285:E2286">
    <cfRule type="containsText" dxfId="1612" priority="4656" operator="containsText" text="Pesquisa de Preços">
      <formula>NOT(ISERROR(SEARCH("Pesquisa de Preços",E2285)))</formula>
    </cfRule>
  </conditionalFormatting>
  <conditionalFormatting sqref="D2239">
    <cfRule type="containsText" dxfId="1611" priority="4632" operator="containsText" text="Pesquisa de Preços">
      <formula>NOT(ISERROR(SEARCH("Pesquisa de Preços",D2239)))</formula>
    </cfRule>
  </conditionalFormatting>
  <conditionalFormatting sqref="E2239">
    <cfRule type="containsText" dxfId="1610" priority="4631" operator="containsText" text="Pesquisa de Preços">
      <formula>NOT(ISERROR(SEARCH("Pesquisa de Preços",E2239)))</formula>
    </cfRule>
  </conditionalFormatting>
  <conditionalFormatting sqref="D5054">
    <cfRule type="containsText" dxfId="1609" priority="4628" operator="containsText" text="Pesquisa de Preços">
      <formula>NOT(ISERROR(SEARCH("Pesquisa de Preços",D5054)))</formula>
    </cfRule>
  </conditionalFormatting>
  <conditionalFormatting sqref="D5103 D5108">
    <cfRule type="containsText" dxfId="1608" priority="4611" operator="containsText" text="Pesquisa de Preços">
      <formula>NOT(ISERROR(SEARCH("Pesquisa de Preços",D5103)))</formula>
    </cfRule>
  </conditionalFormatting>
  <conditionalFormatting sqref="D5102">
    <cfRule type="containsText" dxfId="1607" priority="4612" operator="containsText" text="Pesquisa de Preços">
      <formula>NOT(ISERROR(SEARCH("Pesquisa de Preços",D5102)))</formula>
    </cfRule>
  </conditionalFormatting>
  <conditionalFormatting sqref="E5103 E5108">
    <cfRule type="containsText" dxfId="1606" priority="4610" operator="containsText" text="Pesquisa de Preços">
      <formula>NOT(ISERROR(SEARCH("Pesquisa de Preços",E5103)))</formula>
    </cfRule>
  </conditionalFormatting>
  <conditionalFormatting sqref="E5102">
    <cfRule type="containsText" dxfId="1605" priority="4609" operator="containsText" text="Pesquisa de Preços">
      <formula>NOT(ISERROR(SEARCH("Pesquisa de Preços",E5102)))</formula>
    </cfRule>
  </conditionalFormatting>
  <conditionalFormatting sqref="D5109">
    <cfRule type="containsText" dxfId="1604" priority="4602" operator="containsText" text="Pesquisa de Preços">
      <formula>NOT(ISERROR(SEARCH("Pesquisa de Preços",D5109)))</formula>
    </cfRule>
  </conditionalFormatting>
  <conditionalFormatting sqref="D5110 D5119">
    <cfRule type="containsText" dxfId="1603" priority="4601" operator="containsText" text="Pesquisa de Preços">
      <formula>NOT(ISERROR(SEARCH("Pesquisa de Preços",D5110)))</formula>
    </cfRule>
  </conditionalFormatting>
  <conditionalFormatting sqref="E5109">
    <cfRule type="containsText" dxfId="1602" priority="4599" operator="containsText" text="Pesquisa de Preços">
      <formula>NOT(ISERROR(SEARCH("Pesquisa de Preços",E5109)))</formula>
    </cfRule>
  </conditionalFormatting>
  <conditionalFormatting sqref="E5110 E5119">
    <cfRule type="containsText" dxfId="1601" priority="4600" operator="containsText" text="Pesquisa de Preços">
      <formula>NOT(ISERROR(SEARCH("Pesquisa de Preços",E5110)))</formula>
    </cfRule>
  </conditionalFormatting>
  <conditionalFormatting sqref="D5120">
    <cfRule type="containsText" dxfId="1600" priority="4585" operator="containsText" text="Pesquisa de Preços">
      <formula>NOT(ISERROR(SEARCH("Pesquisa de Preços",D5120)))</formula>
    </cfRule>
  </conditionalFormatting>
  <conditionalFormatting sqref="D5123">
    <cfRule type="containsText" dxfId="1599" priority="4577" operator="containsText" text="Pesquisa de Preços">
      <formula>NOT(ISERROR(SEARCH("Pesquisa de Preços",D5123)))</formula>
    </cfRule>
  </conditionalFormatting>
  <conditionalFormatting sqref="D5126">
    <cfRule type="containsText" dxfId="1598" priority="4573" operator="containsText" text="Pesquisa de Preços">
      <formula>NOT(ISERROR(SEARCH("Pesquisa de Preços",D5126)))</formula>
    </cfRule>
  </conditionalFormatting>
  <conditionalFormatting sqref="D5131">
    <cfRule type="containsText" dxfId="1597" priority="4568" operator="containsText" text="Pesquisa de Preços">
      <formula>NOT(ISERROR(SEARCH("Pesquisa de Preços",D5131)))</formula>
    </cfRule>
  </conditionalFormatting>
  <conditionalFormatting sqref="D5129">
    <cfRule type="containsText" dxfId="1596" priority="4565" operator="containsText" text="Pesquisa de Preços">
      <formula>NOT(ISERROR(SEARCH("Pesquisa de Preços",D5129)))</formula>
    </cfRule>
  </conditionalFormatting>
  <conditionalFormatting sqref="D5134">
    <cfRule type="containsText" dxfId="1595" priority="4559" operator="containsText" text="Pesquisa de Preços">
      <formula>NOT(ISERROR(SEARCH("Pesquisa de Preços",D5134)))</formula>
    </cfRule>
  </conditionalFormatting>
  <conditionalFormatting sqref="D5139">
    <cfRule type="containsText" dxfId="1594" priority="4556" operator="containsText" text="Pesquisa de Preços">
      <formula>NOT(ISERROR(SEARCH("Pesquisa de Preços",D5139)))</formula>
    </cfRule>
  </conditionalFormatting>
  <conditionalFormatting sqref="D5137">
    <cfRule type="containsText" dxfId="1593" priority="4553" operator="containsText" text="Pesquisa de Preços">
      <formula>NOT(ISERROR(SEARCH("Pesquisa de Preços",D5137)))</formula>
    </cfRule>
  </conditionalFormatting>
  <conditionalFormatting sqref="D5142">
    <cfRule type="containsText" dxfId="1592" priority="4547" operator="containsText" text="Pesquisa de Preços">
      <formula>NOT(ISERROR(SEARCH("Pesquisa de Preços",D5142)))</formula>
    </cfRule>
  </conditionalFormatting>
  <conditionalFormatting sqref="D5147">
    <cfRule type="containsText" dxfId="1591" priority="4544" operator="containsText" text="Pesquisa de Preços">
      <formula>NOT(ISERROR(SEARCH("Pesquisa de Preços",D5147)))</formula>
    </cfRule>
  </conditionalFormatting>
  <conditionalFormatting sqref="D5145">
    <cfRule type="containsText" dxfId="1590" priority="4541" operator="containsText" text="Pesquisa de Preços">
      <formula>NOT(ISERROR(SEARCH("Pesquisa de Preços",D5145)))</formula>
    </cfRule>
  </conditionalFormatting>
  <conditionalFormatting sqref="D5150">
    <cfRule type="containsText" dxfId="1589" priority="4523" operator="containsText" text="Pesquisa de Preços">
      <formula>NOT(ISERROR(SEARCH("Pesquisa de Preços",D5150)))</formula>
    </cfRule>
  </conditionalFormatting>
  <conditionalFormatting sqref="D5155">
    <cfRule type="containsText" dxfId="1588" priority="4520" operator="containsText" text="Pesquisa de Preços">
      <formula>NOT(ISERROR(SEARCH("Pesquisa de Preços",D5155)))</formula>
    </cfRule>
  </conditionalFormatting>
  <conditionalFormatting sqref="D5153">
    <cfRule type="containsText" dxfId="1587" priority="4517" operator="containsText" text="Pesquisa de Preços">
      <formula>NOT(ISERROR(SEARCH("Pesquisa de Preços",D5153)))</formula>
    </cfRule>
  </conditionalFormatting>
  <conditionalFormatting sqref="D5158">
    <cfRule type="containsText" dxfId="1586" priority="4511" operator="containsText" text="Pesquisa de Preços">
      <formula>NOT(ISERROR(SEARCH("Pesquisa de Preços",D5158)))</formula>
    </cfRule>
  </conditionalFormatting>
  <conditionalFormatting sqref="D5162">
    <cfRule type="containsText" dxfId="1585" priority="4508" operator="containsText" text="Pesquisa de Preços">
      <formula>NOT(ISERROR(SEARCH("Pesquisa de Preços",D5162)))</formula>
    </cfRule>
  </conditionalFormatting>
  <conditionalFormatting sqref="D5160">
    <cfRule type="containsText" dxfId="1584" priority="4498" operator="containsText" text="Pesquisa de Preços">
      <formula>NOT(ISERROR(SEARCH("Pesquisa de Preços",D5160)))</formula>
    </cfRule>
  </conditionalFormatting>
  <conditionalFormatting sqref="D5164">
    <cfRule type="containsText" dxfId="1583" priority="4496" operator="containsText" text="Pesquisa de Preços">
      <formula>NOT(ISERROR(SEARCH("Pesquisa de Preços",D5164)))</formula>
    </cfRule>
  </conditionalFormatting>
  <conditionalFormatting sqref="D5169">
    <cfRule type="containsText" dxfId="1582" priority="4493" operator="containsText" text="Pesquisa de Preços">
      <formula>NOT(ISERROR(SEARCH("Pesquisa de Preços",D5169)))</formula>
    </cfRule>
  </conditionalFormatting>
  <conditionalFormatting sqref="D5167">
    <cfRule type="containsText" dxfId="1581" priority="4490" operator="containsText" text="Pesquisa de Preços">
      <formula>NOT(ISERROR(SEARCH("Pesquisa de Preços",D5167)))</formula>
    </cfRule>
  </conditionalFormatting>
  <conditionalFormatting sqref="D5172">
    <cfRule type="containsText" dxfId="1580" priority="4484" operator="containsText" text="Pesquisa de Preços">
      <formula>NOT(ISERROR(SEARCH("Pesquisa de Preços",D5172)))</formula>
    </cfRule>
  </conditionalFormatting>
  <conditionalFormatting sqref="D5176">
    <cfRule type="containsText" dxfId="1579" priority="4481" operator="containsText" text="Pesquisa de Preços">
      <formula>NOT(ISERROR(SEARCH("Pesquisa de Preços",D5176)))</formula>
    </cfRule>
  </conditionalFormatting>
  <conditionalFormatting sqref="D5174">
    <cfRule type="containsText" dxfId="1578" priority="4476" operator="containsText" text="Pesquisa de Preços">
      <formula>NOT(ISERROR(SEARCH("Pesquisa de Preços",D5174)))</formula>
    </cfRule>
  </conditionalFormatting>
  <conditionalFormatting sqref="D5178">
    <cfRule type="containsText" dxfId="1577" priority="4474" operator="containsText" text="Pesquisa de Preços">
      <formula>NOT(ISERROR(SEARCH("Pesquisa de Preços",D5178)))</formula>
    </cfRule>
  </conditionalFormatting>
  <conditionalFormatting sqref="D5183">
    <cfRule type="containsText" dxfId="1576" priority="4471" operator="containsText" text="Pesquisa de Preços">
      <formula>NOT(ISERROR(SEARCH("Pesquisa de Preços",D5183)))</formula>
    </cfRule>
  </conditionalFormatting>
  <conditionalFormatting sqref="D5181">
    <cfRule type="containsText" dxfId="1575" priority="4468" operator="containsText" text="Pesquisa de Preços">
      <formula>NOT(ISERROR(SEARCH("Pesquisa de Preços",D5181)))</formula>
    </cfRule>
  </conditionalFormatting>
  <conditionalFormatting sqref="D5186">
    <cfRule type="containsText" dxfId="1574" priority="4460" operator="containsText" text="Pesquisa de Preços">
      <formula>NOT(ISERROR(SEARCH("Pesquisa de Preços",D5186)))</formula>
    </cfRule>
  </conditionalFormatting>
  <conditionalFormatting sqref="D5191">
    <cfRule type="containsText" dxfId="1573" priority="4457" operator="containsText" text="Pesquisa de Preços">
      <formula>NOT(ISERROR(SEARCH("Pesquisa de Preços",D5191)))</formula>
    </cfRule>
  </conditionalFormatting>
  <conditionalFormatting sqref="D5189">
    <cfRule type="containsText" dxfId="1572" priority="4454" operator="containsText" text="Pesquisa de Preços">
      <formula>NOT(ISERROR(SEARCH("Pesquisa de Preços",D5189)))</formula>
    </cfRule>
  </conditionalFormatting>
  <conditionalFormatting sqref="D5194">
    <cfRule type="containsText" dxfId="1571" priority="4448" operator="containsText" text="Pesquisa de Preços">
      <formula>NOT(ISERROR(SEARCH("Pesquisa de Preços",D5194)))</formula>
    </cfRule>
  </conditionalFormatting>
  <conditionalFormatting sqref="D5199">
    <cfRule type="containsText" dxfId="1570" priority="4445" operator="containsText" text="Pesquisa de Preços">
      <formula>NOT(ISERROR(SEARCH("Pesquisa de Preços",D5199)))</formula>
    </cfRule>
  </conditionalFormatting>
  <conditionalFormatting sqref="D5197">
    <cfRule type="containsText" dxfId="1569" priority="4442" operator="containsText" text="Pesquisa de Preços">
      <formula>NOT(ISERROR(SEARCH("Pesquisa de Preços",D5197)))</formula>
    </cfRule>
  </conditionalFormatting>
  <conditionalFormatting sqref="D5202">
    <cfRule type="containsText" dxfId="1568" priority="4436" operator="containsText" text="Pesquisa de Preços">
      <formula>NOT(ISERROR(SEARCH("Pesquisa de Preços",D5202)))</formula>
    </cfRule>
  </conditionalFormatting>
  <conditionalFormatting sqref="D5207">
    <cfRule type="containsText" dxfId="1567" priority="4433" operator="containsText" text="Pesquisa de Preços">
      <formula>NOT(ISERROR(SEARCH("Pesquisa de Preços",D5207)))</formula>
    </cfRule>
  </conditionalFormatting>
  <conditionalFormatting sqref="D5205">
    <cfRule type="containsText" dxfId="1566" priority="4430" operator="containsText" text="Pesquisa de Preços">
      <formula>NOT(ISERROR(SEARCH("Pesquisa de Preços",D5205)))</formula>
    </cfRule>
  </conditionalFormatting>
  <conditionalFormatting sqref="D5217">
    <cfRule type="containsText" dxfId="1565" priority="4421" operator="containsText" text="Pesquisa de Preços">
      <formula>NOT(ISERROR(SEARCH("Pesquisa de Preços",D5217)))</formula>
    </cfRule>
  </conditionalFormatting>
  <conditionalFormatting sqref="D5222">
    <cfRule type="containsText" dxfId="1564" priority="4418" operator="containsText" text="Pesquisa de Preços">
      <formula>NOT(ISERROR(SEARCH("Pesquisa de Preços",D5222)))</formula>
    </cfRule>
  </conditionalFormatting>
  <conditionalFormatting sqref="D5220">
    <cfRule type="containsText" dxfId="1563" priority="4415" operator="containsText" text="Pesquisa de Preços">
      <formula>NOT(ISERROR(SEARCH("Pesquisa de Preços",D5220)))</formula>
    </cfRule>
  </conditionalFormatting>
  <conditionalFormatting sqref="D5232">
    <cfRule type="containsText" dxfId="1562" priority="4406" operator="containsText" text="Pesquisa de Preços">
      <formula>NOT(ISERROR(SEARCH("Pesquisa de Preços",D5232)))</formula>
    </cfRule>
  </conditionalFormatting>
  <conditionalFormatting sqref="D5237">
    <cfRule type="containsText" dxfId="1561" priority="4403" operator="containsText" text="Pesquisa de Preços">
      <formula>NOT(ISERROR(SEARCH("Pesquisa de Preços",D5237)))</formula>
    </cfRule>
  </conditionalFormatting>
  <conditionalFormatting sqref="D5235">
    <cfRule type="containsText" dxfId="1560" priority="4400" operator="containsText" text="Pesquisa de Preços">
      <formula>NOT(ISERROR(SEARCH("Pesquisa de Preços",D5235)))</formula>
    </cfRule>
  </conditionalFormatting>
  <conditionalFormatting sqref="D5234">
    <cfRule type="containsText" dxfId="1559" priority="4395" operator="containsText" text="Pesquisa de Preços">
      <formula>NOT(ISERROR(SEARCH("Pesquisa de Preços",D5234)))</formula>
    </cfRule>
  </conditionalFormatting>
  <conditionalFormatting sqref="D5239">
    <cfRule type="containsText" dxfId="1558" priority="4393" operator="containsText" text="Pesquisa de Preços">
      <formula>NOT(ISERROR(SEARCH("Pesquisa de Preços",D5239)))</formula>
    </cfRule>
  </conditionalFormatting>
  <conditionalFormatting sqref="D5244">
    <cfRule type="containsText" dxfId="1557" priority="4390" operator="containsText" text="Pesquisa de Preços">
      <formula>NOT(ISERROR(SEARCH("Pesquisa de Preços",D5244)))</formula>
    </cfRule>
  </conditionalFormatting>
  <conditionalFormatting sqref="D5242">
    <cfRule type="containsText" dxfId="1556" priority="4387" operator="containsText" text="Pesquisa de Preços">
      <formula>NOT(ISERROR(SEARCH("Pesquisa de Preços",D5242)))</formula>
    </cfRule>
  </conditionalFormatting>
  <conditionalFormatting sqref="D5241">
    <cfRule type="containsText" dxfId="1555" priority="4384" operator="containsText" text="Pesquisa de Preços">
      <formula>NOT(ISERROR(SEARCH("Pesquisa de Preços",D5241)))</formula>
    </cfRule>
  </conditionalFormatting>
  <conditionalFormatting sqref="D5250">
    <cfRule type="containsText" dxfId="1554" priority="4359" operator="containsText" text="Pesquisa de Preços">
      <formula>NOT(ISERROR(SEARCH("Pesquisa de Preços",D5250)))</formula>
    </cfRule>
  </conditionalFormatting>
  <conditionalFormatting sqref="D5246">
    <cfRule type="containsText" dxfId="1553" priority="4371" operator="containsText" text="Pesquisa de Preços">
      <formula>NOT(ISERROR(SEARCH("Pesquisa de Preços",D5246)))</formula>
    </cfRule>
  </conditionalFormatting>
  <conditionalFormatting sqref="D5248">
    <cfRule type="containsText" dxfId="1552" priority="4362" operator="containsText" text="Pesquisa de Preços">
      <formula>NOT(ISERROR(SEARCH("Pesquisa de Preços",D5248)))</formula>
    </cfRule>
  </conditionalFormatting>
  <conditionalFormatting sqref="D5256">
    <cfRule type="containsText" dxfId="1551" priority="4349" operator="containsText" text="Pesquisa de Preços">
      <formula>NOT(ISERROR(SEARCH("Pesquisa de Preços",D5256)))</formula>
    </cfRule>
  </conditionalFormatting>
  <conditionalFormatting sqref="D5252">
    <cfRule type="containsText" dxfId="1550" priority="4357" operator="containsText" text="Pesquisa de Preços">
      <formula>NOT(ISERROR(SEARCH("Pesquisa de Preços",D5252)))</formula>
    </cfRule>
  </conditionalFormatting>
  <conditionalFormatting sqref="D5254">
    <cfRule type="containsText" dxfId="1549" priority="4350" operator="containsText" text="Pesquisa de Preços">
      <formula>NOT(ISERROR(SEARCH("Pesquisa de Preços",D5254)))</formula>
    </cfRule>
  </conditionalFormatting>
  <conditionalFormatting sqref="D5294">
    <cfRule type="containsText" dxfId="1548" priority="4301" operator="containsText" text="Pesquisa de Preços">
      <formula>NOT(ISERROR(SEARCH("Pesquisa de Preços",D5294)))</formula>
    </cfRule>
  </conditionalFormatting>
  <conditionalFormatting sqref="D5258">
    <cfRule type="containsText" dxfId="1547" priority="4331" operator="containsText" text="Pesquisa de Preços">
      <formula>NOT(ISERROR(SEARCH("Pesquisa de Preços",D5258)))</formula>
    </cfRule>
  </conditionalFormatting>
  <conditionalFormatting sqref="D5259 D5264">
    <cfRule type="containsText" dxfId="1546" priority="4330" operator="containsText" text="Pesquisa de Preços">
      <formula>NOT(ISERROR(SEARCH("Pesquisa de Preços",D5259)))</formula>
    </cfRule>
  </conditionalFormatting>
  <conditionalFormatting sqref="E5264">
    <cfRule type="containsText" dxfId="1545" priority="4327" operator="containsText" text="Pesquisa de Preços">
      <formula>NOT(ISERROR(SEARCH("Pesquisa de Preços",E5264)))</formula>
    </cfRule>
  </conditionalFormatting>
  <conditionalFormatting sqref="D5265">
    <cfRule type="containsText" dxfId="1544" priority="4323" operator="containsText" text="Pesquisa de Preços">
      <formula>NOT(ISERROR(SEARCH("Pesquisa de Preços",D5265)))</formula>
    </cfRule>
  </conditionalFormatting>
  <conditionalFormatting sqref="D5268">
    <cfRule type="containsText" dxfId="1543" priority="4320" operator="containsText" text="Pesquisa de Preços">
      <formula>NOT(ISERROR(SEARCH("Pesquisa de Preços",D5268)))</formula>
    </cfRule>
  </conditionalFormatting>
  <conditionalFormatting sqref="D5266">
    <cfRule type="containsText" dxfId="1542" priority="4322" operator="containsText" text="Pesquisa de Preços">
      <formula>NOT(ISERROR(SEARCH("Pesquisa de Preços",D5266)))</formula>
    </cfRule>
  </conditionalFormatting>
  <conditionalFormatting sqref="D5267">
    <cfRule type="containsText" dxfId="1541" priority="4321" operator="containsText" text="Pesquisa de Preços">
      <formula>NOT(ISERROR(SEARCH("Pesquisa de Preços",D5267)))</formula>
    </cfRule>
  </conditionalFormatting>
  <conditionalFormatting sqref="E5276">
    <cfRule type="containsText" dxfId="1540" priority="4319" operator="containsText" text="Pesquisa de Preços">
      <formula>NOT(ISERROR(SEARCH("Pesquisa de Preços",E5276)))</formula>
    </cfRule>
  </conditionalFormatting>
  <conditionalFormatting sqref="D5285">
    <cfRule type="containsText" dxfId="1539" priority="4315" operator="containsText" text="Pesquisa de Preços">
      <formula>NOT(ISERROR(SEARCH("Pesquisa de Preços",D5285)))</formula>
    </cfRule>
  </conditionalFormatting>
  <conditionalFormatting sqref="D5288">
    <cfRule type="containsText" dxfId="1538" priority="4312" operator="containsText" text="Pesquisa de Preços">
      <formula>NOT(ISERROR(SEARCH("Pesquisa de Preços",D5288)))</formula>
    </cfRule>
  </conditionalFormatting>
  <conditionalFormatting sqref="D5286 D5289:D5290">
    <cfRule type="containsText" dxfId="1537" priority="4314" operator="containsText" text="Pesquisa de Preços">
      <formula>NOT(ISERROR(SEARCH("Pesquisa de Preços",D5286)))</formula>
    </cfRule>
  </conditionalFormatting>
  <conditionalFormatting sqref="D5287">
    <cfRule type="containsText" dxfId="1536" priority="4313" operator="containsText" text="Pesquisa de Preços">
      <formula>NOT(ISERROR(SEARCH("Pesquisa de Preços",D5287)))</formula>
    </cfRule>
  </conditionalFormatting>
  <conditionalFormatting sqref="E5290">
    <cfRule type="containsText" dxfId="1535" priority="4311" operator="containsText" text="Pesquisa de Preços">
      <formula>NOT(ISERROR(SEARCH("Pesquisa de Preços",E5290)))</formula>
    </cfRule>
  </conditionalFormatting>
  <conditionalFormatting sqref="D5291">
    <cfRule type="containsText" dxfId="1534" priority="4307" operator="containsText" text="Pesquisa de Preços">
      <formula>NOT(ISERROR(SEARCH("Pesquisa de Preços",D5291)))</formula>
    </cfRule>
  </conditionalFormatting>
  <conditionalFormatting sqref="D5296">
    <cfRule type="containsText" dxfId="1533" priority="4304" operator="containsText" text="Pesquisa de Preços">
      <formula>NOT(ISERROR(SEARCH("Pesquisa de Preços",D5296)))</formula>
    </cfRule>
  </conditionalFormatting>
  <conditionalFormatting sqref="D5293">
    <cfRule type="containsText" dxfId="1532" priority="4298" operator="containsText" text="Pesquisa de Preços">
      <formula>NOT(ISERROR(SEARCH("Pesquisa de Preços",D5293)))</formula>
    </cfRule>
  </conditionalFormatting>
  <conditionalFormatting sqref="D5272">
    <cfRule type="containsText" dxfId="1531" priority="4297" operator="containsText" text="Pesquisa de Preços">
      <formula>NOT(ISERROR(SEARCH("Pesquisa de Preços",D5272)))</formula>
    </cfRule>
  </conditionalFormatting>
  <conditionalFormatting sqref="D5271">
    <cfRule type="containsText" dxfId="1530" priority="4293" operator="containsText" text="Pesquisa de Preços">
      <formula>NOT(ISERROR(SEARCH("Pesquisa de Preços",D5271)))</formula>
    </cfRule>
  </conditionalFormatting>
  <conditionalFormatting sqref="D5270">
    <cfRule type="containsText" dxfId="1529" priority="4294" operator="containsText" text="Pesquisa de Preços">
      <formula>NOT(ISERROR(SEARCH("Pesquisa de Preços",D5270)))</formula>
    </cfRule>
  </conditionalFormatting>
  <conditionalFormatting sqref="E1065">
    <cfRule type="containsText" dxfId="1528" priority="4292" operator="containsText" text="Pesquisa de Preços">
      <formula>NOT(ISERROR(SEARCH("Pesquisa de Preços",E1065)))</formula>
    </cfRule>
  </conditionalFormatting>
  <conditionalFormatting sqref="E1064">
    <cfRule type="containsText" dxfId="1527" priority="4291" operator="containsText" text="Pesquisa de Preços">
      <formula>NOT(ISERROR(SEARCH("Pesquisa de Preços",E1064)))</formula>
    </cfRule>
  </conditionalFormatting>
  <conditionalFormatting sqref="E1163">
    <cfRule type="containsText" dxfId="1526" priority="4290" operator="containsText" text="Pesquisa de Preços">
      <formula>NOT(ISERROR(SEARCH("Pesquisa de Preços",E1163)))</formula>
    </cfRule>
  </conditionalFormatting>
  <conditionalFormatting sqref="E1161:E1162">
    <cfRule type="containsText" dxfId="1525" priority="4289" operator="containsText" text="Pesquisa de Preços">
      <formula>NOT(ISERROR(SEARCH("Pesquisa de Preços",E1161)))</formula>
    </cfRule>
  </conditionalFormatting>
  <conditionalFormatting sqref="E1178">
    <cfRule type="containsText" dxfId="1524" priority="4288" operator="containsText" text="Pesquisa de Preços">
      <formula>NOT(ISERROR(SEARCH("Pesquisa de Preços",E1178)))</formula>
    </cfRule>
  </conditionalFormatting>
  <conditionalFormatting sqref="E1176:E1177">
    <cfRule type="containsText" dxfId="1523" priority="4287" operator="containsText" text="Pesquisa de Preços">
      <formula>NOT(ISERROR(SEARCH("Pesquisa de Preços",E1176)))</formula>
    </cfRule>
  </conditionalFormatting>
  <conditionalFormatting sqref="E1192">
    <cfRule type="containsText" dxfId="1522" priority="4286" operator="containsText" text="Pesquisa de Preços">
      <formula>NOT(ISERROR(SEARCH("Pesquisa de Preços",E1192)))</formula>
    </cfRule>
  </conditionalFormatting>
  <conditionalFormatting sqref="E1190:E1191">
    <cfRule type="containsText" dxfId="1521" priority="4285" operator="containsText" text="Pesquisa de Preços">
      <formula>NOT(ISERROR(SEARCH("Pesquisa de Preços",E1190)))</formula>
    </cfRule>
  </conditionalFormatting>
  <conditionalFormatting sqref="E1199">
    <cfRule type="containsText" dxfId="1520" priority="4284" operator="containsText" text="Pesquisa de Preços">
      <formula>NOT(ISERROR(SEARCH("Pesquisa de Preços",E1199)))</formula>
    </cfRule>
  </conditionalFormatting>
  <conditionalFormatting sqref="E1197:E1198">
    <cfRule type="containsText" dxfId="1519" priority="4283" operator="containsText" text="Pesquisa de Preços">
      <formula>NOT(ISERROR(SEARCH("Pesquisa de Preços",E1197)))</formula>
    </cfRule>
  </conditionalFormatting>
  <conditionalFormatting sqref="E1206">
    <cfRule type="containsText" dxfId="1518" priority="4282" operator="containsText" text="Pesquisa de Preços">
      <formula>NOT(ISERROR(SEARCH("Pesquisa de Preços",E1206)))</formula>
    </cfRule>
  </conditionalFormatting>
  <conditionalFormatting sqref="E1204:E1205">
    <cfRule type="containsText" dxfId="1517" priority="4281" operator="containsText" text="Pesquisa de Preços">
      <formula>NOT(ISERROR(SEARCH("Pesquisa de Preços",E1204)))</formula>
    </cfRule>
  </conditionalFormatting>
  <conditionalFormatting sqref="D620">
    <cfRule type="containsText" dxfId="1516" priority="4267" operator="containsText" text="Pesquisa de Preços">
      <formula>NOT(ISERROR(SEARCH("Pesquisa de Preços",D620)))</formula>
    </cfRule>
  </conditionalFormatting>
  <conditionalFormatting sqref="D618:D619">
    <cfRule type="containsText" dxfId="1515" priority="4266" operator="containsText" text="Pesquisa de Preços">
      <formula>NOT(ISERROR(SEARCH("Pesquisa de Preços",D618)))</formula>
    </cfRule>
  </conditionalFormatting>
  <conditionalFormatting sqref="E620">
    <cfRule type="containsText" dxfId="1514" priority="4265" operator="containsText" text="Pesquisa de Preços">
      <formula>NOT(ISERROR(SEARCH("Pesquisa de Preços",E620)))</formula>
    </cfRule>
  </conditionalFormatting>
  <conditionalFormatting sqref="E618:E619">
    <cfRule type="containsText" dxfId="1513" priority="4264" operator="containsText" text="Pesquisa de Preços">
      <formula>NOT(ISERROR(SEARCH("Pesquisa de Preços",E618)))</formula>
    </cfRule>
  </conditionalFormatting>
  <conditionalFormatting sqref="D267">
    <cfRule type="containsText" dxfId="1512" priority="4252" operator="containsText" text="Pesquisa de Preços">
      <formula>NOT(ISERROR(SEARCH("Pesquisa de Preços",D267)))</formula>
    </cfRule>
  </conditionalFormatting>
  <conditionalFormatting sqref="E267">
    <cfRule type="containsText" dxfId="1511" priority="4251" operator="containsText" text="Pesquisa de Preços">
      <formula>NOT(ISERROR(SEARCH("Pesquisa de Preços",E267)))</formula>
    </cfRule>
  </conditionalFormatting>
  <conditionalFormatting sqref="D2123">
    <cfRule type="containsText" dxfId="1510" priority="4248" operator="containsText" text="Pesquisa de Preços">
      <formula>NOT(ISERROR(SEARCH("Pesquisa de Preços",D2123)))</formula>
    </cfRule>
  </conditionalFormatting>
  <conditionalFormatting sqref="E2123">
    <cfRule type="containsText" dxfId="1509" priority="4247" operator="containsText" text="Pesquisa de Preços">
      <formula>NOT(ISERROR(SEARCH("Pesquisa de Preços",E2123)))</formula>
    </cfRule>
  </conditionalFormatting>
  <conditionalFormatting sqref="D2129">
    <cfRule type="containsText" dxfId="1508" priority="4244" operator="containsText" text="Pesquisa de Preços">
      <formula>NOT(ISERROR(SEARCH("Pesquisa de Preços",D2129)))</formula>
    </cfRule>
  </conditionalFormatting>
  <conditionalFormatting sqref="D5284">
    <cfRule type="containsText" dxfId="1507" priority="4234" operator="containsText" text="Pesquisa de Preços">
      <formula>NOT(ISERROR(SEARCH("Pesquisa de Preços",D5284)))</formula>
    </cfRule>
  </conditionalFormatting>
  <conditionalFormatting sqref="E5277">
    <cfRule type="containsText" dxfId="1506" priority="4227" operator="containsText" text="Pesquisa de Preços">
      <formula>NOT(ISERROR(SEARCH("Pesquisa de Preços",E5277)))</formula>
    </cfRule>
  </conditionalFormatting>
  <conditionalFormatting sqref="E5284">
    <cfRule type="containsText" dxfId="1505" priority="4231" operator="containsText" text="Pesquisa de Preços">
      <formula>NOT(ISERROR(SEARCH("Pesquisa de Preços",E5284)))</formula>
    </cfRule>
  </conditionalFormatting>
  <conditionalFormatting sqref="D5277">
    <cfRule type="containsText" dxfId="1504" priority="4222" operator="containsText" text="Pesquisa de Preços">
      <formula>NOT(ISERROR(SEARCH("Pesquisa de Preços",D5277)))</formula>
    </cfRule>
  </conditionalFormatting>
  <conditionalFormatting sqref="D5302">
    <cfRule type="containsText" dxfId="1503" priority="4205" operator="containsText" text="Pesquisa de Preços">
      <formula>NOT(ISERROR(SEARCH("Pesquisa de Preços",D5302)))</formula>
    </cfRule>
  </conditionalFormatting>
  <conditionalFormatting sqref="D5300">
    <cfRule type="containsText" dxfId="1502" priority="4206" operator="containsText" text="Pesquisa de Preços">
      <formula>NOT(ISERROR(SEARCH("Pesquisa de Preços",D5300)))</formula>
    </cfRule>
  </conditionalFormatting>
  <conditionalFormatting sqref="D5308">
    <cfRule type="containsText" dxfId="1501" priority="4193" operator="containsText" text="Pesquisa de Preços">
      <formula>NOT(ISERROR(SEARCH("Pesquisa de Preços",D5308)))</formula>
    </cfRule>
  </conditionalFormatting>
  <conditionalFormatting sqref="D5306">
    <cfRule type="containsText" dxfId="1500" priority="4194" operator="containsText" text="Pesquisa de Preços">
      <formula>NOT(ISERROR(SEARCH("Pesquisa de Preços",D5306)))</formula>
    </cfRule>
  </conditionalFormatting>
  <conditionalFormatting sqref="D5298">
    <cfRule type="containsText" dxfId="1499" priority="4185" operator="containsText" text="Pesquisa de Preços">
      <formula>NOT(ISERROR(SEARCH("Pesquisa de Preços",D5298)))</formula>
    </cfRule>
  </conditionalFormatting>
  <conditionalFormatting sqref="D5304">
    <cfRule type="containsText" dxfId="1498" priority="4184" operator="containsText" text="Pesquisa de Preços">
      <formula>NOT(ISERROR(SEARCH("Pesquisa de Preços",D5304)))</formula>
    </cfRule>
  </conditionalFormatting>
  <conditionalFormatting sqref="D2398">
    <cfRule type="containsText" dxfId="1497" priority="4178" operator="containsText" text="Pesquisa de Preços">
      <formula>NOT(ISERROR(SEARCH("Pesquisa de Preços",D2398)))</formula>
    </cfRule>
  </conditionalFormatting>
  <conditionalFormatting sqref="D2395">
    <cfRule type="containsText" dxfId="1496" priority="4177" operator="containsText" text="Pesquisa de Preços">
      <formula>NOT(ISERROR(SEARCH("Pesquisa de Preços",D2395)))</formula>
    </cfRule>
  </conditionalFormatting>
  <conditionalFormatting sqref="E2398">
    <cfRule type="containsText" dxfId="1495" priority="4176" operator="containsText" text="Pesquisa de Preços">
      <formula>NOT(ISERROR(SEARCH("Pesquisa de Preços",E2398)))</formula>
    </cfRule>
  </conditionalFormatting>
  <conditionalFormatting sqref="D2402">
    <cfRule type="containsText" dxfId="1494" priority="4173" operator="containsText" text="Pesquisa de Preços">
      <formula>NOT(ISERROR(SEARCH("Pesquisa de Preços",D2402)))</formula>
    </cfRule>
  </conditionalFormatting>
  <conditionalFormatting sqref="D2399">
    <cfRule type="containsText" dxfId="1493" priority="4172" operator="containsText" text="Pesquisa de Preços">
      <formula>NOT(ISERROR(SEARCH("Pesquisa de Preços",D2399)))</formula>
    </cfRule>
  </conditionalFormatting>
  <conditionalFormatting sqref="E2402">
    <cfRule type="containsText" dxfId="1492" priority="4171" operator="containsText" text="Pesquisa de Preços">
      <formula>NOT(ISERROR(SEARCH("Pesquisa de Preços",E2402)))</formula>
    </cfRule>
  </conditionalFormatting>
  <conditionalFormatting sqref="D2410">
    <cfRule type="containsText" dxfId="1491" priority="4168" operator="containsText" text="Pesquisa de Preços">
      <formula>NOT(ISERROR(SEARCH("Pesquisa de Preços",D2410)))</formula>
    </cfRule>
  </conditionalFormatting>
  <conditionalFormatting sqref="D2407">
    <cfRule type="containsText" dxfId="1490" priority="4167" operator="containsText" text="Pesquisa de Preços">
      <formula>NOT(ISERROR(SEARCH("Pesquisa de Preços",D2407)))</formula>
    </cfRule>
  </conditionalFormatting>
  <conditionalFormatting sqref="E2410">
    <cfRule type="containsText" dxfId="1489" priority="4166" operator="containsText" text="Pesquisa de Preços">
      <formula>NOT(ISERROR(SEARCH("Pesquisa de Preços",E2410)))</formula>
    </cfRule>
  </conditionalFormatting>
  <conditionalFormatting sqref="D2414">
    <cfRule type="containsText" dxfId="1488" priority="4163" operator="containsText" text="Pesquisa de Preços">
      <formula>NOT(ISERROR(SEARCH("Pesquisa de Preços",D2414)))</formula>
    </cfRule>
  </conditionalFormatting>
  <conditionalFormatting sqref="D2411">
    <cfRule type="containsText" dxfId="1487" priority="4162" operator="containsText" text="Pesquisa de Preços">
      <formula>NOT(ISERROR(SEARCH("Pesquisa de Preços",D2411)))</formula>
    </cfRule>
  </conditionalFormatting>
  <conditionalFormatting sqref="E2414">
    <cfRule type="containsText" dxfId="1486" priority="4161" operator="containsText" text="Pesquisa de Preços">
      <formula>NOT(ISERROR(SEARCH("Pesquisa de Preços",E2414)))</formula>
    </cfRule>
  </conditionalFormatting>
  <conditionalFormatting sqref="D2418">
    <cfRule type="containsText" dxfId="1485" priority="4158" operator="containsText" text="Pesquisa de Preços">
      <formula>NOT(ISERROR(SEARCH("Pesquisa de Preços",D2418)))</formula>
    </cfRule>
  </conditionalFormatting>
  <conditionalFormatting sqref="D2415">
    <cfRule type="containsText" dxfId="1484" priority="4157" operator="containsText" text="Pesquisa de Preços">
      <formula>NOT(ISERROR(SEARCH("Pesquisa de Preços",D2415)))</formula>
    </cfRule>
  </conditionalFormatting>
  <conditionalFormatting sqref="E2418">
    <cfRule type="containsText" dxfId="1483" priority="4156" operator="containsText" text="Pesquisa de Preços">
      <formula>NOT(ISERROR(SEARCH("Pesquisa de Preços",E2418)))</formula>
    </cfRule>
  </conditionalFormatting>
  <conditionalFormatting sqref="D2422">
    <cfRule type="containsText" dxfId="1482" priority="4153" operator="containsText" text="Pesquisa de Preços">
      <formula>NOT(ISERROR(SEARCH("Pesquisa de Preços",D2422)))</formula>
    </cfRule>
  </conditionalFormatting>
  <conditionalFormatting sqref="D2419">
    <cfRule type="containsText" dxfId="1481" priority="4152" operator="containsText" text="Pesquisa de Preços">
      <formula>NOT(ISERROR(SEARCH("Pesquisa de Preços",D2419)))</formula>
    </cfRule>
  </conditionalFormatting>
  <conditionalFormatting sqref="E2422">
    <cfRule type="containsText" dxfId="1480" priority="4151" operator="containsText" text="Pesquisa de Preços">
      <formula>NOT(ISERROR(SEARCH("Pesquisa de Preços",E2422)))</formula>
    </cfRule>
  </conditionalFormatting>
  <conditionalFormatting sqref="D2426">
    <cfRule type="containsText" dxfId="1479" priority="4148" operator="containsText" text="Pesquisa de Preços">
      <formula>NOT(ISERROR(SEARCH("Pesquisa de Preços",D2426)))</formula>
    </cfRule>
  </conditionalFormatting>
  <conditionalFormatting sqref="D2423">
    <cfRule type="containsText" dxfId="1478" priority="4147" operator="containsText" text="Pesquisa de Preços">
      <formula>NOT(ISERROR(SEARCH("Pesquisa de Preços",D2423)))</formula>
    </cfRule>
  </conditionalFormatting>
  <conditionalFormatting sqref="E2426">
    <cfRule type="containsText" dxfId="1477" priority="4146" operator="containsText" text="Pesquisa de Preços">
      <formula>NOT(ISERROR(SEARCH("Pesquisa de Preços",E2426)))</formula>
    </cfRule>
  </conditionalFormatting>
  <conditionalFormatting sqref="D2430">
    <cfRule type="containsText" dxfId="1476" priority="4143" operator="containsText" text="Pesquisa de Preços">
      <formula>NOT(ISERROR(SEARCH("Pesquisa de Preços",D2430)))</formula>
    </cfRule>
  </conditionalFormatting>
  <conditionalFormatting sqref="D2427">
    <cfRule type="containsText" dxfId="1475" priority="4142" operator="containsText" text="Pesquisa de Preços">
      <formula>NOT(ISERROR(SEARCH("Pesquisa de Preços",D2427)))</formula>
    </cfRule>
  </conditionalFormatting>
  <conditionalFormatting sqref="E2430">
    <cfRule type="containsText" dxfId="1474" priority="4141" operator="containsText" text="Pesquisa de Preços">
      <formula>NOT(ISERROR(SEARCH("Pesquisa de Preços",E2430)))</formula>
    </cfRule>
  </conditionalFormatting>
  <conditionalFormatting sqref="D2435">
    <cfRule type="containsText" dxfId="1473" priority="4137" operator="containsText" text="Pesquisa de Preços">
      <formula>NOT(ISERROR(SEARCH("Pesquisa de Preços",D2435)))</formula>
    </cfRule>
  </conditionalFormatting>
  <conditionalFormatting sqref="D2439">
    <cfRule type="containsText" dxfId="1472" priority="4133" operator="containsText" text="Pesquisa de Preços">
      <formula>NOT(ISERROR(SEARCH("Pesquisa de Preços",D2439)))</formula>
    </cfRule>
  </conditionalFormatting>
  <conditionalFormatting sqref="D2451">
    <cfRule type="containsText" dxfId="1471" priority="4129" operator="containsText" text="Pesquisa de Preços">
      <formula>NOT(ISERROR(SEARCH("Pesquisa de Preços",D2451)))</formula>
    </cfRule>
  </conditionalFormatting>
  <conditionalFormatting sqref="D2455">
    <cfRule type="containsText" dxfId="1470" priority="4125" operator="containsText" text="Pesquisa de Preços">
      <formula>NOT(ISERROR(SEARCH("Pesquisa de Preços",D2455)))</formula>
    </cfRule>
  </conditionalFormatting>
  <conditionalFormatting sqref="D2459">
    <cfRule type="containsText" dxfId="1469" priority="4121" operator="containsText" text="Pesquisa de Preços">
      <formula>NOT(ISERROR(SEARCH("Pesquisa de Preços",D2459)))</formula>
    </cfRule>
  </conditionalFormatting>
  <conditionalFormatting sqref="D2463">
    <cfRule type="containsText" dxfId="1468" priority="4117" operator="containsText" text="Pesquisa de Preços">
      <formula>NOT(ISERROR(SEARCH("Pesquisa de Preços",D2463)))</formula>
    </cfRule>
  </conditionalFormatting>
  <conditionalFormatting sqref="D2467">
    <cfRule type="containsText" dxfId="1467" priority="4113" operator="containsText" text="Pesquisa de Preços">
      <formula>NOT(ISERROR(SEARCH("Pesquisa de Preços",D2467)))</formula>
    </cfRule>
  </conditionalFormatting>
  <conditionalFormatting sqref="D2471">
    <cfRule type="containsText" dxfId="1466" priority="4109" operator="containsText" text="Pesquisa de Preços">
      <formula>NOT(ISERROR(SEARCH("Pesquisa de Preços",D2471)))</formula>
    </cfRule>
  </conditionalFormatting>
  <conditionalFormatting sqref="D2475">
    <cfRule type="containsText" dxfId="1465" priority="4105" operator="containsText" text="Pesquisa de Preços">
      <formula>NOT(ISERROR(SEARCH("Pesquisa de Preços",D2475)))</formula>
    </cfRule>
  </conditionalFormatting>
  <conditionalFormatting sqref="D2479">
    <cfRule type="containsText" dxfId="1464" priority="4101" operator="containsText" text="Pesquisa de Preços">
      <formula>NOT(ISERROR(SEARCH("Pesquisa de Preços",D2479)))</formula>
    </cfRule>
  </conditionalFormatting>
  <conditionalFormatting sqref="D2483">
    <cfRule type="containsText" dxfId="1463" priority="4097" operator="containsText" text="Pesquisa de Preços">
      <formula>NOT(ISERROR(SEARCH("Pesquisa de Preços",D2483)))</formula>
    </cfRule>
  </conditionalFormatting>
  <conditionalFormatting sqref="D2487">
    <cfRule type="containsText" dxfId="1462" priority="4093" operator="containsText" text="Pesquisa de Preços">
      <formula>NOT(ISERROR(SEARCH("Pesquisa de Preços",D2487)))</formula>
    </cfRule>
  </conditionalFormatting>
  <conditionalFormatting sqref="D2491">
    <cfRule type="containsText" dxfId="1461" priority="4089" operator="containsText" text="Pesquisa de Preços">
      <formula>NOT(ISERROR(SEARCH("Pesquisa de Preços",D2491)))</formula>
    </cfRule>
  </conditionalFormatting>
  <conditionalFormatting sqref="D2495">
    <cfRule type="containsText" dxfId="1460" priority="4083" operator="containsText" text="Pesquisa de Preços">
      <formula>NOT(ISERROR(SEARCH("Pesquisa de Preços",D2495)))</formula>
    </cfRule>
  </conditionalFormatting>
  <conditionalFormatting sqref="D2499">
    <cfRule type="containsText" dxfId="1459" priority="4079" operator="containsText" text="Pesquisa de Preços">
      <formula>NOT(ISERROR(SEARCH("Pesquisa de Preços",D2499)))</formula>
    </cfRule>
  </conditionalFormatting>
  <conditionalFormatting sqref="D2503">
    <cfRule type="containsText" dxfId="1458" priority="4075" operator="containsText" text="Pesquisa de Preços">
      <formula>NOT(ISERROR(SEARCH("Pesquisa de Preços",D2503)))</formula>
    </cfRule>
  </conditionalFormatting>
  <conditionalFormatting sqref="D2507">
    <cfRule type="containsText" dxfId="1457" priority="4071" operator="containsText" text="Pesquisa de Preços">
      <formula>NOT(ISERROR(SEARCH("Pesquisa de Preços",D2507)))</formula>
    </cfRule>
  </conditionalFormatting>
  <conditionalFormatting sqref="D2511">
    <cfRule type="containsText" dxfId="1456" priority="4067" operator="containsText" text="Pesquisa de Preços">
      <formula>NOT(ISERROR(SEARCH("Pesquisa de Preços",D2511)))</formula>
    </cfRule>
  </conditionalFormatting>
  <conditionalFormatting sqref="D2515">
    <cfRule type="containsText" dxfId="1455" priority="4063" operator="containsText" text="Pesquisa de Preços">
      <formula>NOT(ISERROR(SEARCH("Pesquisa de Preços",D2515)))</formula>
    </cfRule>
  </conditionalFormatting>
  <conditionalFormatting sqref="D2519">
    <cfRule type="containsText" dxfId="1454" priority="4059" operator="containsText" text="Pesquisa de Preços">
      <formula>NOT(ISERROR(SEARCH("Pesquisa de Preços",D2519)))</formula>
    </cfRule>
  </conditionalFormatting>
  <conditionalFormatting sqref="D2523">
    <cfRule type="containsText" dxfId="1453" priority="4055" operator="containsText" text="Pesquisa de Preços">
      <formula>NOT(ISERROR(SEARCH("Pesquisa de Preços",D2523)))</formula>
    </cfRule>
  </conditionalFormatting>
  <conditionalFormatting sqref="D2527">
    <cfRule type="containsText" dxfId="1452" priority="4051" operator="containsText" text="Pesquisa de Preços">
      <formula>NOT(ISERROR(SEARCH("Pesquisa de Preços",D2527)))</formula>
    </cfRule>
  </conditionalFormatting>
  <conditionalFormatting sqref="D2531">
    <cfRule type="containsText" dxfId="1451" priority="4047" operator="containsText" text="Pesquisa de Preços">
      <formula>NOT(ISERROR(SEARCH("Pesquisa de Preços",D2531)))</formula>
    </cfRule>
  </conditionalFormatting>
  <conditionalFormatting sqref="D2535">
    <cfRule type="containsText" dxfId="1450" priority="4043" operator="containsText" text="Pesquisa de Preços">
      <formula>NOT(ISERROR(SEARCH("Pesquisa de Preços",D2535)))</formula>
    </cfRule>
  </conditionalFormatting>
  <conditionalFormatting sqref="D2539">
    <cfRule type="containsText" dxfId="1449" priority="4039" operator="containsText" text="Pesquisa de Preços">
      <formula>NOT(ISERROR(SEARCH("Pesquisa de Preços",D2539)))</formula>
    </cfRule>
  </conditionalFormatting>
  <conditionalFormatting sqref="D2643">
    <cfRule type="containsText" dxfId="1448" priority="4025" operator="containsText" text="Pesquisa de Preços">
      <formula>NOT(ISERROR(SEARCH("Pesquisa de Preços",D2643)))</formula>
    </cfRule>
  </conditionalFormatting>
  <conditionalFormatting sqref="D2547">
    <cfRule type="containsText" dxfId="1447" priority="4031" operator="containsText" text="Pesquisa de Preços">
      <formula>NOT(ISERROR(SEARCH("Pesquisa de Preços",D2547)))</formula>
    </cfRule>
  </conditionalFormatting>
  <conditionalFormatting sqref="D2543">
    <cfRule type="containsText" dxfId="1446" priority="4027" operator="containsText" text="Pesquisa de Preços">
      <formula>NOT(ISERROR(SEARCH("Pesquisa de Preços",D2543)))</formula>
    </cfRule>
  </conditionalFormatting>
  <conditionalFormatting sqref="D2651">
    <cfRule type="containsText" dxfId="1445" priority="4021" operator="containsText" text="Pesquisa de Preços">
      <formula>NOT(ISERROR(SEARCH("Pesquisa de Preços",D2651)))</formula>
    </cfRule>
  </conditionalFormatting>
  <conditionalFormatting sqref="D2443">
    <cfRule type="containsText" dxfId="1444" priority="4017" operator="containsText" text="Pesquisa de Preços">
      <formula>NOT(ISERROR(SEARCH("Pesquisa de Preços",D2443)))</formula>
    </cfRule>
  </conditionalFormatting>
  <conditionalFormatting sqref="D2447">
    <cfRule type="containsText" dxfId="1443" priority="4013" operator="containsText" text="Pesquisa de Preços">
      <formula>NOT(ISERROR(SEARCH("Pesquisa de Preços",D2447)))</formula>
    </cfRule>
  </conditionalFormatting>
  <conditionalFormatting sqref="D5735">
    <cfRule type="containsText" dxfId="1442" priority="3702" operator="containsText" text="Pesquisa de Preços">
      <formula>NOT(ISERROR(SEARCH("Pesquisa de Preços",D5735)))</formula>
    </cfRule>
  </conditionalFormatting>
  <conditionalFormatting sqref="D5727">
    <cfRule type="containsText" dxfId="1441" priority="3710" operator="containsText" text="Pesquisa de Preços">
      <formula>NOT(ISERROR(SEARCH("Pesquisa de Preços",D5727)))</formula>
    </cfRule>
  </conditionalFormatting>
  <conditionalFormatting sqref="D5739">
    <cfRule type="containsText" dxfId="1440" priority="3698" operator="containsText" text="Pesquisa de Preços">
      <formula>NOT(ISERROR(SEARCH("Pesquisa de Preços",D5739)))</formula>
    </cfRule>
  </conditionalFormatting>
  <conditionalFormatting sqref="D5919">
    <cfRule type="containsText" dxfId="1439" priority="3679" operator="containsText" text="Pesquisa de Preços">
      <formula>NOT(ISERROR(SEARCH("Pesquisa de Preços",D5919)))</formula>
    </cfRule>
  </conditionalFormatting>
  <conditionalFormatting sqref="D6083">
    <cfRule type="containsText" dxfId="1438" priority="3478" operator="containsText" text="Pesquisa de Preços">
      <formula>NOT(ISERROR(SEARCH("Pesquisa de Preços",D6083)))</formula>
    </cfRule>
  </conditionalFormatting>
  <conditionalFormatting sqref="D5571">
    <cfRule type="containsText" dxfId="1437" priority="3351" operator="containsText" text="Pesquisa de Preços">
      <formula>NOT(ISERROR(SEARCH("Pesquisa de Preços",D5571)))</formula>
    </cfRule>
  </conditionalFormatting>
  <conditionalFormatting sqref="D5635">
    <cfRule type="containsText" dxfId="1436" priority="3500" operator="containsText" text="Pesquisa de Preços">
      <formula>NOT(ISERROR(SEARCH("Pesquisa de Preços",D5635)))</formula>
    </cfRule>
  </conditionalFormatting>
  <conditionalFormatting sqref="D5639 D5643 D5647 D5651 D5655 D5659 D5663 D5667 D5671 D5675 D5679 D5683 D5687 D5691 D5695 D5699 D5703 D5707 D5711 D5715">
    <cfRule type="containsText" dxfId="1435" priority="3498" operator="containsText" text="Pesquisa de Preços">
      <formula>NOT(ISERROR(SEARCH("Pesquisa de Preços",D5639)))</formula>
    </cfRule>
  </conditionalFormatting>
  <conditionalFormatting sqref="D6067">
    <cfRule type="containsText" dxfId="1434" priority="3494" operator="containsText" text="Pesquisa de Preços">
      <formula>NOT(ISERROR(SEARCH("Pesquisa de Preços",D6067)))</formula>
    </cfRule>
  </conditionalFormatting>
  <conditionalFormatting sqref="D6071">
    <cfRule type="containsText" dxfId="1433" priority="3490" operator="containsText" text="Pesquisa de Preços">
      <formula>NOT(ISERROR(SEARCH("Pesquisa de Preços",D6071)))</formula>
    </cfRule>
  </conditionalFormatting>
  <conditionalFormatting sqref="D5631">
    <cfRule type="containsText" dxfId="1432" priority="3459" operator="containsText" text="Pesquisa de Preços">
      <formula>NOT(ISERROR(SEARCH("Pesquisa de Preços",D5631)))</formula>
    </cfRule>
  </conditionalFormatting>
  <conditionalFormatting sqref="D6144">
    <cfRule type="containsText" dxfId="1431" priority="3470" operator="containsText" text="Pesquisa de Preços">
      <formula>NOT(ISERROR(SEARCH("Pesquisa de Preços",D6144)))</formula>
    </cfRule>
  </conditionalFormatting>
  <conditionalFormatting sqref="D2769">
    <cfRule type="containsText" dxfId="1430" priority="3455" operator="containsText" text="Pesquisa de Preços">
      <formula>NOT(ISERROR(SEARCH("Pesquisa de Preços",D2769)))</formula>
    </cfRule>
  </conditionalFormatting>
  <conditionalFormatting sqref="D5627">
    <cfRule type="containsText" dxfId="1429" priority="3461" operator="containsText" text="Pesquisa de Preços">
      <formula>NOT(ISERROR(SEARCH("Pesquisa de Preços",D5627)))</formula>
    </cfRule>
  </conditionalFormatting>
  <conditionalFormatting sqref="D6087">
    <cfRule type="containsText" dxfId="1428" priority="3474" operator="containsText" text="Pesquisa de Preços">
      <formula>NOT(ISERROR(SEARCH("Pesquisa de Preços",D6087)))</formula>
    </cfRule>
  </conditionalFormatting>
  <conditionalFormatting sqref="D6140:D6143">
    <cfRule type="containsText" dxfId="1427" priority="3468" operator="containsText" text="Pesquisa de Preços">
      <formula>NOT(ISERROR(SEARCH("Pesquisa de Preços",D6140)))</formula>
    </cfRule>
  </conditionalFormatting>
  <conditionalFormatting sqref="D6139">
    <cfRule type="containsText" dxfId="1426" priority="3469" operator="containsText" text="Pesquisa de Preços">
      <formula>NOT(ISERROR(SEARCH("Pesquisa de Preços",D6139)))</formula>
    </cfRule>
  </conditionalFormatting>
  <conditionalFormatting sqref="D2765">
    <cfRule type="containsText" dxfId="1425" priority="3900" operator="containsText" text="Pesquisa de Preços">
      <formula>NOT(ISERROR(SEARCH("Pesquisa de Preços",D2765)))</formula>
    </cfRule>
  </conditionalFormatting>
  <conditionalFormatting sqref="D2763">
    <cfRule type="containsText" dxfId="1424" priority="3899" operator="containsText" text="Pesquisa de Preços">
      <formula>NOT(ISERROR(SEARCH("Pesquisa de Preços",D2763)))</formula>
    </cfRule>
  </conditionalFormatting>
  <conditionalFormatting sqref="D6099">
    <cfRule type="containsText" dxfId="1423" priority="3738" operator="containsText" text="Pesquisa de Preços">
      <formula>NOT(ISERROR(SEARCH("Pesquisa de Preços",D6099)))</formula>
    </cfRule>
  </conditionalFormatting>
  <conditionalFormatting sqref="D6107">
    <cfRule type="containsText" dxfId="1422" priority="3736" operator="containsText" text="Pesquisa de Preços">
      <formula>NOT(ISERROR(SEARCH("Pesquisa de Preços",D6107)))</formula>
    </cfRule>
  </conditionalFormatting>
  <conditionalFormatting sqref="D6095">
    <cfRule type="containsText" dxfId="1421" priority="3739" operator="containsText" text="Pesquisa de Preços">
      <formula>NOT(ISERROR(SEARCH("Pesquisa de Preços",D6095)))</formula>
    </cfRule>
  </conditionalFormatting>
  <conditionalFormatting sqref="D6103">
    <cfRule type="containsText" dxfId="1420" priority="3737" operator="containsText" text="Pesquisa de Preços">
      <formula>NOT(ISERROR(SEARCH("Pesquisa de Preços",D6103)))</formula>
    </cfRule>
  </conditionalFormatting>
  <conditionalFormatting sqref="D5883">
    <cfRule type="containsText" dxfId="1419" priority="3799" operator="containsText" text="Pesquisa de Preços">
      <formula>NOT(ISERROR(SEARCH("Pesquisa de Preços",D5883)))</formula>
    </cfRule>
  </conditionalFormatting>
  <conditionalFormatting sqref="D6115">
    <cfRule type="containsText" dxfId="1418" priority="3734" operator="containsText" text="Pesquisa de Preços">
      <formula>NOT(ISERROR(SEARCH("Pesquisa de Preços",D6115)))</formula>
    </cfRule>
  </conditionalFormatting>
  <conditionalFormatting sqref="D5887">
    <cfRule type="containsText" dxfId="1417" priority="3795" operator="containsText" text="Pesquisa de Preços">
      <formula>NOT(ISERROR(SEARCH("Pesquisa de Preços",D5887)))</formula>
    </cfRule>
  </conditionalFormatting>
  <conditionalFormatting sqref="D6151">
    <cfRule type="containsText" dxfId="1416" priority="3731" operator="containsText" text="Pesquisa de Preços">
      <formula>NOT(ISERROR(SEARCH("Pesquisa de Preços",D6151)))</formula>
    </cfRule>
  </conditionalFormatting>
  <conditionalFormatting sqref="D5891">
    <cfRule type="containsText" dxfId="1415" priority="3791" operator="containsText" text="Pesquisa de Preços">
      <formula>NOT(ISERROR(SEARCH("Pesquisa de Preços",D5891)))</formula>
    </cfRule>
  </conditionalFormatting>
  <conditionalFormatting sqref="D5895">
    <cfRule type="containsText" dxfId="1414" priority="3787" operator="containsText" text="Pesquisa de Preços">
      <formula>NOT(ISERROR(SEARCH("Pesquisa de Preços",D5895)))</formula>
    </cfRule>
  </conditionalFormatting>
  <conditionalFormatting sqref="D5899">
    <cfRule type="containsText" dxfId="1413" priority="3783" operator="containsText" text="Pesquisa de Preços">
      <formula>NOT(ISERROR(SEARCH("Pesquisa de Preços",D5899)))</formula>
    </cfRule>
  </conditionalFormatting>
  <conditionalFormatting sqref="D5623">
    <cfRule type="containsText" dxfId="1412" priority="3722" operator="containsText" text="Pesquisa de Preços">
      <formula>NOT(ISERROR(SEARCH("Pesquisa de Preços",D5623)))</formula>
    </cfRule>
  </conditionalFormatting>
  <conditionalFormatting sqref="D5903">
    <cfRule type="containsText" dxfId="1411" priority="3779" operator="containsText" text="Pesquisa de Preços">
      <formula>NOT(ISERROR(SEARCH("Pesquisa de Preços",D5903)))</formula>
    </cfRule>
  </conditionalFormatting>
  <conditionalFormatting sqref="D5907">
    <cfRule type="containsText" dxfId="1410" priority="3775" operator="containsText" text="Pesquisa de Preços">
      <formula>NOT(ISERROR(SEARCH("Pesquisa de Preços",D5907)))</formula>
    </cfRule>
  </conditionalFormatting>
  <conditionalFormatting sqref="D6091">
    <cfRule type="containsText" dxfId="1409" priority="3771" operator="containsText" text="Pesquisa de Preços">
      <formula>NOT(ISERROR(SEARCH("Pesquisa de Preços",D6091)))</formula>
    </cfRule>
  </conditionalFormatting>
  <conditionalFormatting sqref="D6111">
    <cfRule type="containsText" dxfId="1408" priority="3735" operator="containsText" text="Pesquisa de Preços">
      <formula>NOT(ISERROR(SEARCH("Pesquisa de Preços",D6111)))</formula>
    </cfRule>
  </conditionalFormatting>
  <conditionalFormatting sqref="D6119">
    <cfRule type="containsText" dxfId="1407" priority="3749" operator="containsText" text="Pesquisa de Preços">
      <formula>NOT(ISERROR(SEARCH("Pesquisa de Preços",D6119)))</formula>
    </cfRule>
  </conditionalFormatting>
  <conditionalFormatting sqref="D6147">
    <cfRule type="containsText" dxfId="1406" priority="3732" operator="containsText" text="Pesquisa de Preços">
      <formula>NOT(ISERROR(SEARCH("Pesquisa de Preços",D6147)))</formula>
    </cfRule>
  </conditionalFormatting>
  <conditionalFormatting sqref="D6123">
    <cfRule type="containsText" dxfId="1405" priority="3733" operator="containsText" text="Pesquisa de Preços">
      <formula>NOT(ISERROR(SEARCH("Pesquisa de Preços",D6123)))</formula>
    </cfRule>
  </conditionalFormatting>
  <conditionalFormatting sqref="D5619">
    <cfRule type="containsText" dxfId="1404" priority="3726" operator="containsText" text="Pesquisa de Preços">
      <formula>NOT(ISERROR(SEARCH("Pesquisa de Preços",D5619)))</formula>
    </cfRule>
  </conditionalFormatting>
  <conditionalFormatting sqref="D5791">
    <cfRule type="containsText" dxfId="1403" priority="3595" operator="containsText" text="Pesquisa de Preços">
      <formula>NOT(ISERROR(SEARCH("Pesquisa de Preços",D5791)))</formula>
    </cfRule>
  </conditionalFormatting>
  <conditionalFormatting sqref="D5995">
    <cfRule type="containsText" dxfId="1402" priority="3615" operator="containsText" text="Pesquisa de Preços">
      <formula>NOT(ISERROR(SEARCH("Pesquisa de Preços",D5995)))</formula>
    </cfRule>
  </conditionalFormatting>
  <conditionalFormatting sqref="D5719">
    <cfRule type="containsText" dxfId="1401" priority="3718" operator="containsText" text="Pesquisa de Preços">
      <formula>NOT(ISERROR(SEARCH("Pesquisa de Preços",D5719)))</formula>
    </cfRule>
  </conditionalFormatting>
  <conditionalFormatting sqref="D5759">
    <cfRule type="containsText" dxfId="1400" priority="3603" operator="containsText" text="Pesquisa de Preços">
      <formula>NOT(ISERROR(SEARCH("Pesquisa de Preços",D5759)))</formula>
    </cfRule>
  </conditionalFormatting>
  <conditionalFormatting sqref="D5723">
    <cfRule type="containsText" dxfId="1399" priority="3714" operator="containsText" text="Pesquisa de Preços">
      <formula>NOT(ISERROR(SEARCH("Pesquisa de Preços",D5723)))</formula>
    </cfRule>
  </conditionalFormatting>
  <conditionalFormatting sqref="D5771">
    <cfRule type="containsText" dxfId="1398" priority="3600" operator="containsText" text="Pesquisa de Preços">
      <formula>NOT(ISERROR(SEARCH("Pesquisa de Preços",D5771)))</formula>
    </cfRule>
  </conditionalFormatting>
  <conditionalFormatting sqref="D5731">
    <cfRule type="containsText" dxfId="1397" priority="3706" operator="containsText" text="Pesquisa de Preços">
      <formula>NOT(ISERROR(SEARCH("Pesquisa de Preços",D5731)))</formula>
    </cfRule>
  </conditionalFormatting>
  <conditionalFormatting sqref="D5783">
    <cfRule type="containsText" dxfId="1396" priority="3597" operator="containsText" text="Pesquisa de Preços">
      <formula>NOT(ISERROR(SEARCH("Pesquisa de Preços",D5783)))</formula>
    </cfRule>
  </conditionalFormatting>
  <conditionalFormatting sqref="D5827">
    <cfRule type="containsText" dxfId="1395" priority="3586" operator="containsText" text="Pesquisa de Preços">
      <formula>NOT(ISERROR(SEARCH("Pesquisa de Preços",D5827)))</formula>
    </cfRule>
  </conditionalFormatting>
  <conditionalFormatting sqref="D5927">
    <cfRule type="containsText" dxfId="1394" priority="3672" operator="containsText" text="Pesquisa de Preços">
      <formula>NOT(ISERROR(SEARCH("Pesquisa de Preços",D5927)))</formula>
    </cfRule>
  </conditionalFormatting>
  <conditionalFormatting sqref="D5935">
    <cfRule type="containsText" dxfId="1393" priority="3665" operator="containsText" text="Pesquisa de Preços">
      <formula>NOT(ISERROR(SEARCH("Pesquisa de Preços",D5935)))</formula>
    </cfRule>
  </conditionalFormatting>
  <conditionalFormatting sqref="D5751">
    <cfRule type="containsText" dxfId="1392" priority="3607" operator="containsText" text="Pesquisa de Preços">
      <formula>NOT(ISERROR(SEARCH("Pesquisa de Preços",D5751)))</formula>
    </cfRule>
  </conditionalFormatting>
  <conditionalFormatting sqref="D5755">
    <cfRule type="containsText" dxfId="1391" priority="3604" operator="containsText" text="Pesquisa de Preços">
      <formula>NOT(ISERROR(SEARCH("Pesquisa de Preços",D5755)))</formula>
    </cfRule>
  </conditionalFormatting>
  <conditionalFormatting sqref="D5807">
    <cfRule type="containsText" dxfId="1390" priority="3591" operator="containsText" text="Pesquisa de Preços">
      <formula>NOT(ISERROR(SEARCH("Pesquisa de Preços",D5807)))</formula>
    </cfRule>
  </conditionalFormatting>
  <conditionalFormatting sqref="D5871">
    <cfRule type="containsText" dxfId="1389" priority="3575" operator="containsText" text="Pesquisa de Preços">
      <formula>NOT(ISERROR(SEARCH("Pesquisa de Preços",D5871)))</formula>
    </cfRule>
  </conditionalFormatting>
  <conditionalFormatting sqref="D5915">
    <cfRule type="containsText" dxfId="1388" priority="3572" operator="containsText" text="Pesquisa de Preços">
      <formula>NOT(ISERROR(SEARCH("Pesquisa de Preços",D5915)))</formula>
    </cfRule>
  </conditionalFormatting>
  <conditionalFormatting sqref="D5923">
    <cfRule type="containsText" dxfId="1387" priority="3571" operator="containsText" text="Pesquisa de Preços">
      <formula>NOT(ISERROR(SEARCH("Pesquisa de Preços",D5923)))</formula>
    </cfRule>
  </conditionalFormatting>
  <conditionalFormatting sqref="D5931">
    <cfRule type="containsText" dxfId="1386" priority="3570" operator="containsText" text="Pesquisa de Preços">
      <formula>NOT(ISERROR(SEARCH("Pesquisa de Preços",D5931)))</formula>
    </cfRule>
  </conditionalFormatting>
  <conditionalFormatting sqref="D5951">
    <cfRule type="containsText" dxfId="1385" priority="3567" operator="containsText" text="Pesquisa de Preços">
      <formula>NOT(ISERROR(SEARCH("Pesquisa de Preços",D5951)))</formula>
    </cfRule>
  </conditionalFormatting>
  <conditionalFormatting sqref="D5963">
    <cfRule type="containsText" dxfId="1384" priority="3565" operator="containsText" text="Pesquisa de Preços">
      <formula>NOT(ISERROR(SEARCH("Pesquisa de Preços",D5963)))</formula>
    </cfRule>
  </conditionalFormatting>
  <conditionalFormatting sqref="D5979">
    <cfRule type="containsText" dxfId="1383" priority="3562" operator="containsText" text="Pesquisa de Preços">
      <formula>NOT(ISERROR(SEARCH("Pesquisa de Preços",D5979)))</formula>
    </cfRule>
  </conditionalFormatting>
  <conditionalFormatting sqref="D5991">
    <cfRule type="containsText" dxfId="1382" priority="3560" operator="containsText" text="Pesquisa de Preços">
      <formula>NOT(ISERROR(SEARCH("Pesquisa de Preços",D5991)))</formula>
    </cfRule>
  </conditionalFormatting>
  <conditionalFormatting sqref="D6051">
    <cfRule type="containsText" dxfId="1381" priority="3510" operator="containsText" text="Pesquisa de Preços">
      <formula>NOT(ISERROR(SEARCH("Pesquisa de Preços",D6051)))</formula>
    </cfRule>
  </conditionalFormatting>
  <conditionalFormatting sqref="D6055">
    <cfRule type="containsText" dxfId="1380" priority="3506" operator="containsText" text="Pesquisa de Preços">
      <formula>NOT(ISERROR(SEARCH("Pesquisa de Preços",D6055)))</formula>
    </cfRule>
  </conditionalFormatting>
  <conditionalFormatting sqref="D5617">
    <cfRule type="containsText" dxfId="1379" priority="3727" operator="containsText" text="Pesquisa de Preços">
      <formula>NOT(ISERROR(SEARCH("Pesquisa de Preços",D5617)))</formula>
    </cfRule>
  </conditionalFormatting>
  <conditionalFormatting sqref="D5747">
    <cfRule type="containsText" dxfId="1378" priority="3606" operator="containsText" text="Pesquisa de Preços">
      <formula>NOT(ISERROR(SEARCH("Pesquisa de Preços",D5747)))</formula>
    </cfRule>
  </conditionalFormatting>
  <conditionalFormatting sqref="D5763">
    <cfRule type="containsText" dxfId="1377" priority="3602" operator="containsText" text="Pesquisa de Preços">
      <formula>NOT(ISERROR(SEARCH("Pesquisa de Preços",D5763)))</formula>
    </cfRule>
  </conditionalFormatting>
  <conditionalFormatting sqref="D5799">
    <cfRule type="containsText" dxfId="1376" priority="3593" operator="containsText" text="Pesquisa de Preços">
      <formula>NOT(ISERROR(SEARCH("Pesquisa de Preços",D5799)))</formula>
    </cfRule>
  </conditionalFormatting>
  <conditionalFormatting sqref="D5947">
    <cfRule type="containsText" dxfId="1375" priority="3655" operator="containsText" text="Pesquisa de Preços">
      <formula>NOT(ISERROR(SEARCH("Pesquisa de Preços",D5947)))</formula>
    </cfRule>
  </conditionalFormatting>
  <conditionalFormatting sqref="D5911">
    <cfRule type="containsText" dxfId="1374" priority="3685" operator="containsText" text="Pesquisa de Preços">
      <formula>NOT(ISERROR(SEARCH("Pesquisa de Preços",D5911)))</formula>
    </cfRule>
  </conditionalFormatting>
  <conditionalFormatting sqref="D5795">
    <cfRule type="containsText" dxfId="1373" priority="3594" operator="containsText" text="Pesquisa de Preços">
      <formula>NOT(ISERROR(SEARCH("Pesquisa de Preços",D5795)))</formula>
    </cfRule>
  </conditionalFormatting>
  <conditionalFormatting sqref="D5819">
    <cfRule type="containsText" dxfId="1372" priority="3588" operator="containsText" text="Pesquisa de Preços">
      <formula>NOT(ISERROR(SEARCH("Pesquisa de Preços",D5819)))</formula>
    </cfRule>
  </conditionalFormatting>
  <conditionalFormatting sqref="D5743">
    <cfRule type="containsText" dxfId="1371" priority="3605" operator="containsText" text="Pesquisa de Preços">
      <formula>NOT(ISERROR(SEARCH("Pesquisa de Preços",D5743)))</formula>
    </cfRule>
  </conditionalFormatting>
  <conditionalFormatting sqref="D5811">
    <cfRule type="containsText" dxfId="1370" priority="3589" operator="containsText" text="Pesquisa de Preços">
      <formula>NOT(ISERROR(SEARCH("Pesquisa de Preços",D5811)))</formula>
    </cfRule>
  </conditionalFormatting>
  <conditionalFormatting sqref="D5959">
    <cfRule type="containsText" dxfId="1369" priority="3645" operator="containsText" text="Pesquisa de Preços">
      <formula>NOT(ISERROR(SEARCH("Pesquisa de Preços",D5959)))</formula>
    </cfRule>
  </conditionalFormatting>
  <conditionalFormatting sqref="D5803">
    <cfRule type="containsText" dxfId="1368" priority="3592" operator="containsText" text="Pesquisa de Preços">
      <formula>NOT(ISERROR(SEARCH("Pesquisa de Preços",D5803)))</formula>
    </cfRule>
  </conditionalFormatting>
  <conditionalFormatting sqref="D5839">
    <cfRule type="containsText" dxfId="1367" priority="3583" operator="containsText" text="Pesquisa de Preços">
      <formula>NOT(ISERROR(SEARCH("Pesquisa de Preços",D5839)))</formula>
    </cfRule>
  </conditionalFormatting>
  <conditionalFormatting sqref="D5779">
    <cfRule type="containsText" dxfId="1366" priority="3598" operator="containsText" text="Pesquisa de Preços">
      <formula>NOT(ISERROR(SEARCH("Pesquisa de Preços",D5779)))</formula>
    </cfRule>
  </conditionalFormatting>
  <conditionalFormatting sqref="D5971">
    <cfRule type="containsText" dxfId="1365" priority="3635" operator="containsText" text="Pesquisa de Preços">
      <formula>NOT(ISERROR(SEARCH("Pesquisa de Preços",D5971)))</formula>
    </cfRule>
  </conditionalFormatting>
  <conditionalFormatting sqref="D5831">
    <cfRule type="containsText" dxfId="1364" priority="3584" operator="containsText" text="Pesquisa de Preços">
      <formula>NOT(ISERROR(SEARCH("Pesquisa de Preços",D5831)))</formula>
    </cfRule>
  </conditionalFormatting>
  <conditionalFormatting sqref="D5815">
    <cfRule type="containsText" dxfId="1363" priority="3590" operator="containsText" text="Pesquisa de Preços">
      <formula>NOT(ISERROR(SEARCH("Pesquisa de Preços",D5815)))</formula>
    </cfRule>
  </conditionalFormatting>
  <conditionalFormatting sqref="D5867">
    <cfRule type="containsText" dxfId="1362" priority="3576" operator="containsText" text="Pesquisa de Preços">
      <formula>NOT(ISERROR(SEARCH("Pesquisa de Preços",D5867)))</formula>
    </cfRule>
  </conditionalFormatting>
  <conditionalFormatting sqref="D5983">
    <cfRule type="containsText" dxfId="1361" priority="3625" operator="containsText" text="Pesquisa de Preços">
      <formula>NOT(ISERROR(SEARCH("Pesquisa de Preços",D5983)))</formula>
    </cfRule>
  </conditionalFormatting>
  <conditionalFormatting sqref="D5835">
    <cfRule type="containsText" dxfId="1360" priority="3585" operator="containsText" text="Pesquisa de Preços">
      <formula>NOT(ISERROR(SEARCH("Pesquisa de Preços",D5835)))</formula>
    </cfRule>
  </conditionalFormatting>
  <conditionalFormatting sqref="D5863">
    <cfRule type="containsText" dxfId="1359" priority="3578" operator="containsText" text="Pesquisa de Preços">
      <formula>NOT(ISERROR(SEARCH("Pesquisa de Preços",D5863)))</formula>
    </cfRule>
  </conditionalFormatting>
  <conditionalFormatting sqref="D5859">
    <cfRule type="containsText" dxfId="1358" priority="3577" operator="containsText" text="Pesquisa de Preços">
      <formula>NOT(ISERROR(SEARCH("Pesquisa de Preços",D5859)))</formula>
    </cfRule>
  </conditionalFormatting>
  <conditionalFormatting sqref="D5847">
    <cfRule type="containsText" dxfId="1357" priority="3581" operator="containsText" text="Pesquisa de Preços">
      <formula>NOT(ISERROR(SEARCH("Pesquisa de Preços",D5847)))</formula>
    </cfRule>
  </conditionalFormatting>
  <conditionalFormatting sqref="D5955">
    <cfRule type="containsText" dxfId="1356" priority="3566" operator="containsText" text="Pesquisa de Preços">
      <formula>NOT(ISERROR(SEARCH("Pesquisa de Preços",D5955)))</formula>
    </cfRule>
  </conditionalFormatting>
  <conditionalFormatting sqref="D5767">
    <cfRule type="containsText" dxfId="1355" priority="3601" operator="containsText" text="Pesquisa de Preços">
      <formula>NOT(ISERROR(SEARCH("Pesquisa de Preços",D5767)))</formula>
    </cfRule>
  </conditionalFormatting>
  <conditionalFormatting sqref="D5775">
    <cfRule type="containsText" dxfId="1354" priority="3599" operator="containsText" text="Pesquisa de Preços">
      <formula>NOT(ISERROR(SEARCH("Pesquisa de Preços",D5775)))</formula>
    </cfRule>
  </conditionalFormatting>
  <conditionalFormatting sqref="D5855">
    <cfRule type="containsText" dxfId="1353" priority="3579" operator="containsText" text="Pesquisa de Preços">
      <formula>NOT(ISERROR(SEARCH("Pesquisa de Preços",D5855)))</formula>
    </cfRule>
  </conditionalFormatting>
  <conditionalFormatting sqref="D5875">
    <cfRule type="containsText" dxfId="1352" priority="3574" operator="containsText" text="Pesquisa de Preços">
      <formula>NOT(ISERROR(SEARCH("Pesquisa de Preços",D5875)))</formula>
    </cfRule>
  </conditionalFormatting>
  <conditionalFormatting sqref="D5939">
    <cfRule type="containsText" dxfId="1351" priority="3569" operator="containsText" text="Pesquisa de Preços">
      <formula>NOT(ISERROR(SEARCH("Pesquisa de Preços",D5939)))</formula>
    </cfRule>
  </conditionalFormatting>
  <conditionalFormatting sqref="D5967">
    <cfRule type="containsText" dxfId="1350" priority="3564" operator="containsText" text="Pesquisa de Preços">
      <formula>NOT(ISERROR(SEARCH("Pesquisa de Preços",D5967)))</formula>
    </cfRule>
  </conditionalFormatting>
  <conditionalFormatting sqref="D5843">
    <cfRule type="containsText" dxfId="1349" priority="3582" operator="containsText" text="Pesquisa de Preços">
      <formula>NOT(ISERROR(SEARCH("Pesquisa de Preços",D5843)))</formula>
    </cfRule>
  </conditionalFormatting>
  <conditionalFormatting sqref="D5851">
    <cfRule type="containsText" dxfId="1348" priority="3580" operator="containsText" text="Pesquisa de Preços">
      <formula>NOT(ISERROR(SEARCH("Pesquisa de Preços",D5851)))</formula>
    </cfRule>
  </conditionalFormatting>
  <conditionalFormatting sqref="D5943">
    <cfRule type="containsText" dxfId="1347" priority="3568" operator="containsText" text="Pesquisa de Preços">
      <formula>NOT(ISERROR(SEARCH("Pesquisa de Preços",D5943)))</formula>
    </cfRule>
  </conditionalFormatting>
  <conditionalFormatting sqref="D5787">
    <cfRule type="containsText" dxfId="1346" priority="3596" operator="containsText" text="Pesquisa de Preços">
      <formula>NOT(ISERROR(SEARCH("Pesquisa de Preços",D5787)))</formula>
    </cfRule>
  </conditionalFormatting>
  <conditionalFormatting sqref="D6003">
    <cfRule type="containsText" dxfId="1345" priority="3558" operator="containsText" text="Pesquisa de Preços">
      <formula>NOT(ISERROR(SEARCH("Pesquisa de Preços",D6003)))</formula>
    </cfRule>
  </conditionalFormatting>
  <conditionalFormatting sqref="D5879">
    <cfRule type="containsText" dxfId="1344" priority="3573" operator="containsText" text="Pesquisa de Preços">
      <formula>NOT(ISERROR(SEARCH("Pesquisa de Preços",D5879)))</formula>
    </cfRule>
  </conditionalFormatting>
  <conditionalFormatting sqref="D5823">
    <cfRule type="containsText" dxfId="1343" priority="3587" operator="containsText" text="Pesquisa de Preços">
      <formula>NOT(ISERROR(SEARCH("Pesquisa de Preços",D5823)))</formula>
    </cfRule>
  </conditionalFormatting>
  <conditionalFormatting sqref="D5987">
    <cfRule type="containsText" dxfId="1342" priority="3561" operator="containsText" text="Pesquisa de Preços">
      <formula>NOT(ISERROR(SEARCH("Pesquisa de Preços",D5987)))</formula>
    </cfRule>
  </conditionalFormatting>
  <conditionalFormatting sqref="D5999">
    <cfRule type="containsText" dxfId="1341" priority="3559" operator="containsText" text="Pesquisa de Preços">
      <formula>NOT(ISERROR(SEARCH("Pesquisa de Preços",D5999)))</formula>
    </cfRule>
  </conditionalFormatting>
  <conditionalFormatting sqref="D5975">
    <cfRule type="containsText" dxfId="1340" priority="3563" operator="containsText" text="Pesquisa de Preços">
      <formula>NOT(ISERROR(SEARCH("Pesquisa de Preços",D5975)))</formula>
    </cfRule>
  </conditionalFormatting>
  <conditionalFormatting sqref="D6007">
    <cfRule type="containsText" dxfId="1339" priority="3554" operator="containsText" text="Pesquisa de Preços">
      <formula>NOT(ISERROR(SEARCH("Pesquisa de Preços",D6007)))</formula>
    </cfRule>
  </conditionalFormatting>
  <conditionalFormatting sqref="D6047">
    <cfRule type="containsText" dxfId="1338" priority="3514" operator="containsText" text="Pesquisa de Preços">
      <formula>NOT(ISERROR(SEARCH("Pesquisa de Preços",D6047)))</formula>
    </cfRule>
  </conditionalFormatting>
  <conditionalFormatting sqref="D6015">
    <cfRule type="containsText" dxfId="1337" priority="3546" operator="containsText" text="Pesquisa de Preços">
      <formula>NOT(ISERROR(SEARCH("Pesquisa de Preços",D6015)))</formula>
    </cfRule>
  </conditionalFormatting>
  <conditionalFormatting sqref="D6027">
    <cfRule type="containsText" dxfId="1336" priority="3534" operator="containsText" text="Pesquisa de Preços">
      <formula>NOT(ISERROR(SEARCH("Pesquisa de Preços",D6027)))</formula>
    </cfRule>
  </conditionalFormatting>
  <conditionalFormatting sqref="D6011">
    <cfRule type="containsText" dxfId="1335" priority="3550" operator="containsText" text="Pesquisa de Preços">
      <formula>NOT(ISERROR(SEARCH("Pesquisa de Preços",D6011)))</formula>
    </cfRule>
  </conditionalFormatting>
  <conditionalFormatting sqref="D6035">
    <cfRule type="containsText" dxfId="1334" priority="3526" operator="containsText" text="Pesquisa de Preços">
      <formula>NOT(ISERROR(SEARCH("Pesquisa de Preços",D6035)))</formula>
    </cfRule>
  </conditionalFormatting>
  <conditionalFormatting sqref="D6019">
    <cfRule type="containsText" dxfId="1333" priority="3542" operator="containsText" text="Pesquisa de Preços">
      <formula>NOT(ISERROR(SEARCH("Pesquisa de Preços",D6019)))</formula>
    </cfRule>
  </conditionalFormatting>
  <conditionalFormatting sqref="D6023">
    <cfRule type="containsText" dxfId="1332" priority="3538" operator="containsText" text="Pesquisa de Preços">
      <formula>NOT(ISERROR(SEARCH("Pesquisa de Preços",D6023)))</formula>
    </cfRule>
  </conditionalFormatting>
  <conditionalFormatting sqref="D6031">
    <cfRule type="containsText" dxfId="1331" priority="3530" operator="containsText" text="Pesquisa de Preços">
      <formula>NOT(ISERROR(SEARCH("Pesquisa de Preços",D6031)))</formula>
    </cfRule>
  </conditionalFormatting>
  <conditionalFormatting sqref="D6039">
    <cfRule type="containsText" dxfId="1330" priority="3522" operator="containsText" text="Pesquisa de Preços">
      <formula>NOT(ISERROR(SEARCH("Pesquisa de Preços",D6039)))</formula>
    </cfRule>
  </conditionalFormatting>
  <conditionalFormatting sqref="D6075">
    <cfRule type="containsText" dxfId="1329" priority="3486" operator="containsText" text="Pesquisa de Preços">
      <formula>NOT(ISERROR(SEARCH("Pesquisa de Preços",D6075)))</formula>
    </cfRule>
  </conditionalFormatting>
  <conditionalFormatting sqref="D6079">
    <cfRule type="containsText" dxfId="1328" priority="3482" operator="containsText" text="Pesquisa de Preços">
      <formula>NOT(ISERROR(SEARCH("Pesquisa de Preços",D6079)))</formula>
    </cfRule>
  </conditionalFormatting>
  <conditionalFormatting sqref="D5551">
    <cfRule type="containsText" dxfId="1327" priority="3309" operator="containsText" text="Pesquisa de Preços">
      <formula>NOT(ISERROR(SEARCH("Pesquisa de Preços",D5551)))</formula>
    </cfRule>
  </conditionalFormatting>
  <conditionalFormatting sqref="D5545">
    <cfRule type="containsText" dxfId="1326" priority="3310" operator="containsText" text="Pesquisa de Preços">
      <formula>NOT(ISERROR(SEARCH("Pesquisa de Preços",D5545)))</formula>
    </cfRule>
  </conditionalFormatting>
  <conditionalFormatting sqref="D2767">
    <cfRule type="containsText" dxfId="1325" priority="3456" operator="containsText" text="Pesquisa de Preços">
      <formula>NOT(ISERROR(SEARCH("Pesquisa de Preços",D2767)))</formula>
    </cfRule>
  </conditionalFormatting>
  <conditionalFormatting sqref="D2759">
    <cfRule type="containsText" dxfId="1324" priority="3446" operator="containsText" text="Pesquisa de Preços">
      <formula>NOT(ISERROR(SEARCH("Pesquisa de Preços",D2759)))</formula>
    </cfRule>
  </conditionalFormatting>
  <conditionalFormatting sqref="D6155">
    <cfRule type="containsText" dxfId="1323" priority="3451" operator="containsText" text="Pesquisa de Preços">
      <formula>NOT(ISERROR(SEARCH("Pesquisa de Preços",D6155)))</formula>
    </cfRule>
  </conditionalFormatting>
  <conditionalFormatting sqref="D5499">
    <cfRule type="containsText" dxfId="1322" priority="3439" operator="containsText" text="Pesquisa de Preços">
      <formula>NOT(ISERROR(SEARCH("Pesquisa de Preços",D5499)))</formula>
    </cfRule>
  </conditionalFormatting>
  <conditionalFormatting sqref="D2761">
    <cfRule type="containsText" dxfId="1321" priority="3445" operator="containsText" text="Pesquisa de Preços">
      <formula>NOT(ISERROR(SEARCH("Pesquisa de Preços",D2761)))</formula>
    </cfRule>
  </conditionalFormatting>
  <conditionalFormatting sqref="D5649">
    <cfRule type="containsText" dxfId="1320" priority="3291" operator="containsText" text="Pesquisa de Preços">
      <formula>NOT(ISERROR(SEARCH("Pesquisa de Preços",D5649)))</formula>
    </cfRule>
  </conditionalFormatting>
  <conditionalFormatting sqref="D5673">
    <cfRule type="containsText" dxfId="1319" priority="3285" operator="containsText" text="Pesquisa de Preços">
      <formula>NOT(ISERROR(SEARCH("Pesquisa de Preços",D5673)))</formula>
    </cfRule>
  </conditionalFormatting>
  <conditionalFormatting sqref="D5511">
    <cfRule type="containsText" dxfId="1318" priority="3431" operator="containsText" text="Pesquisa de Preços">
      <formula>NOT(ISERROR(SEARCH("Pesquisa de Preços",D5511)))</formula>
    </cfRule>
  </conditionalFormatting>
  <conditionalFormatting sqref="D5665">
    <cfRule type="containsText" dxfId="1317" priority="3287" operator="containsText" text="Pesquisa de Preços">
      <formula>NOT(ISERROR(SEARCH("Pesquisa de Preços",D5665)))</formula>
    </cfRule>
  </conditionalFormatting>
  <conditionalFormatting sqref="D5517 D5523 D5529 D5535 D5559 D5565">
    <cfRule type="containsText" dxfId="1316" priority="3423" operator="containsText" text="Pesquisa de Preços">
      <formula>NOT(ISERROR(SEARCH("Pesquisa de Preços",D5517)))</formula>
    </cfRule>
  </conditionalFormatting>
  <conditionalFormatting sqref="D5677">
    <cfRule type="containsText" dxfId="1315" priority="3284" operator="containsText" text="Pesquisa de Preços">
      <formula>NOT(ISERROR(SEARCH("Pesquisa de Preços",D5677)))</formula>
    </cfRule>
  </conditionalFormatting>
  <conditionalFormatting sqref="D5595">
    <cfRule type="containsText" dxfId="1314" priority="3415" operator="containsText" text="Pesquisa de Preços">
      <formula>NOT(ISERROR(SEARCH("Pesquisa de Preços",D5595)))</formula>
    </cfRule>
  </conditionalFormatting>
  <conditionalFormatting sqref="D5705">
    <cfRule type="containsText" dxfId="1313" priority="3277" operator="containsText" text="Pesquisa de Preços">
      <formula>NOT(ISERROR(SEARCH("Pesquisa de Preços",D5705)))</formula>
    </cfRule>
  </conditionalFormatting>
  <conditionalFormatting sqref="D5601">
    <cfRule type="containsText" dxfId="1312" priority="3407" operator="containsText" text="Pesquisa de Preços">
      <formula>NOT(ISERROR(SEARCH("Pesquisa de Preços",D5601)))</formula>
    </cfRule>
  </conditionalFormatting>
  <conditionalFormatting sqref="D5733">
    <cfRule type="containsText" dxfId="1311" priority="3270" operator="containsText" text="Pesquisa de Preços">
      <formula>NOT(ISERROR(SEARCH("Pesquisa de Preços",D5733)))</formula>
    </cfRule>
  </conditionalFormatting>
  <conditionalFormatting sqref="D5607">
    <cfRule type="containsText" dxfId="1310" priority="3399" operator="containsText" text="Pesquisa de Preços">
      <formula>NOT(ISERROR(SEARCH("Pesquisa de Preços",D5607)))</formula>
    </cfRule>
  </conditionalFormatting>
  <conditionalFormatting sqref="D5797">
    <cfRule type="containsText" dxfId="1309" priority="3254" operator="containsText" text="Pesquisa de Preços">
      <formula>NOT(ISERROR(SEARCH("Pesquisa de Preços",D5797)))</formula>
    </cfRule>
  </conditionalFormatting>
  <conditionalFormatting sqref="D5613">
    <cfRule type="containsText" dxfId="1308" priority="3391" operator="containsText" text="Pesquisa de Preços">
      <formula>NOT(ISERROR(SEARCH("Pesquisa de Preços",D5613)))</formula>
    </cfRule>
  </conditionalFormatting>
  <conditionalFormatting sqref="D5869">
    <cfRule type="containsText" dxfId="1307" priority="3236" operator="containsText" text="Pesquisa de Preços">
      <formula>NOT(ISERROR(SEARCH("Pesquisa de Preços",D5869)))</formula>
    </cfRule>
  </conditionalFormatting>
  <conditionalFormatting sqref="D5505">
    <cfRule type="containsText" dxfId="1306" priority="3383" operator="containsText" text="Pesquisa de Preços">
      <formula>NOT(ISERROR(SEARCH("Pesquisa de Preços",D5505)))</formula>
    </cfRule>
  </conditionalFormatting>
  <conditionalFormatting sqref="D5873">
    <cfRule type="containsText" dxfId="1305" priority="3235" operator="containsText" text="Pesquisa de Preços">
      <formula>NOT(ISERROR(SEARCH("Pesquisa de Preços",D5873)))</formula>
    </cfRule>
  </conditionalFormatting>
  <conditionalFormatting sqref="D5541">
    <cfRule type="containsText" dxfId="1304" priority="3375" operator="containsText" text="Pesquisa de Preços">
      <formula>NOT(ISERROR(SEARCH("Pesquisa de Preços",D5541)))</formula>
    </cfRule>
  </conditionalFormatting>
  <conditionalFormatting sqref="D5901">
    <cfRule type="containsText" dxfId="1303" priority="3228" operator="containsText" text="Pesquisa de Preços">
      <formula>NOT(ISERROR(SEARCH("Pesquisa de Preços",D5901)))</formula>
    </cfRule>
  </conditionalFormatting>
  <conditionalFormatting sqref="D5547">
    <cfRule type="containsText" dxfId="1302" priority="3367" operator="containsText" text="Pesquisa de Preços">
      <formula>NOT(ISERROR(SEARCH("Pesquisa de Preços",D5547)))</formula>
    </cfRule>
  </conditionalFormatting>
  <conditionalFormatting sqref="D5929">
    <cfRule type="containsText" dxfId="1301" priority="3221" operator="containsText" text="Pesquisa de Preços">
      <formula>NOT(ISERROR(SEARCH("Pesquisa de Preços",D5929)))</formula>
    </cfRule>
  </conditionalFormatting>
  <conditionalFormatting sqref="D5553">
    <cfRule type="containsText" dxfId="1300" priority="3359" operator="containsText" text="Pesquisa de Preços">
      <formula>NOT(ISERROR(SEARCH("Pesquisa de Preços",D5553)))</formula>
    </cfRule>
  </conditionalFormatting>
  <conditionalFormatting sqref="D5949 D5945">
    <cfRule type="containsText" dxfId="1299" priority="3216" operator="containsText" text="Pesquisa de Preços">
      <formula>NOT(ISERROR(SEARCH("Pesquisa de Preços",D5945)))</formula>
    </cfRule>
  </conditionalFormatting>
  <conditionalFormatting sqref="D5977">
    <cfRule type="containsText" dxfId="1298" priority="3209" operator="containsText" text="Pesquisa de Preços">
      <formula>NOT(ISERROR(SEARCH("Pesquisa de Preços",D5977)))</formula>
    </cfRule>
  </conditionalFormatting>
  <conditionalFormatting sqref="D5577">
    <cfRule type="containsText" dxfId="1297" priority="3343" operator="containsText" text="Pesquisa de Preços">
      <formula>NOT(ISERROR(SEARCH("Pesquisa de Preços",D5577)))</formula>
    </cfRule>
  </conditionalFormatting>
  <conditionalFormatting sqref="D6001">
    <cfRule type="containsText" dxfId="1296" priority="3203" operator="containsText" text="Pesquisa de Preços">
      <formula>NOT(ISERROR(SEARCH("Pesquisa de Preços",D6001)))</formula>
    </cfRule>
  </conditionalFormatting>
  <conditionalFormatting sqref="D5583">
    <cfRule type="containsText" dxfId="1295" priority="3335" operator="containsText" text="Pesquisa de Preços">
      <formula>NOT(ISERROR(SEARCH("Pesquisa de Preços",D5583)))</formula>
    </cfRule>
  </conditionalFormatting>
  <conditionalFormatting sqref="D6033">
    <cfRule type="containsText" dxfId="1294" priority="3195" operator="containsText" text="Pesquisa de Preços">
      <formula>NOT(ISERROR(SEARCH("Pesquisa de Preços",D6033)))</formula>
    </cfRule>
  </conditionalFormatting>
  <conditionalFormatting sqref="D5589">
    <cfRule type="containsText" dxfId="1293" priority="3327" operator="containsText" text="Pesquisa de Preços">
      <formula>NOT(ISERROR(SEARCH("Pesquisa de Preços",D5589)))</formula>
    </cfRule>
  </conditionalFormatting>
  <conditionalFormatting sqref="D6077">
    <cfRule type="containsText" dxfId="1292" priority="3186" operator="containsText" text="Pesquisa de Preços">
      <formula>NOT(ISERROR(SEARCH("Pesquisa de Preços",D6077)))</formula>
    </cfRule>
  </conditionalFormatting>
  <conditionalFormatting sqref="D5497">
    <cfRule type="containsText" dxfId="1291" priority="3319" operator="containsText" text="Pesquisa de Preços">
      <formula>NOT(ISERROR(SEARCH("Pesquisa de Preços",D5497)))</formula>
    </cfRule>
  </conditionalFormatting>
  <conditionalFormatting sqref="D5503">
    <cfRule type="containsText" dxfId="1290" priority="3318" operator="containsText" text="Pesquisa de Preços">
      <formula>NOT(ISERROR(SEARCH("Pesquisa de Preços",D5503)))</formula>
    </cfRule>
  </conditionalFormatting>
  <conditionalFormatting sqref="D5509">
    <cfRule type="containsText" dxfId="1289" priority="3317" operator="containsText" text="Pesquisa de Preços">
      <formula>NOT(ISERROR(SEARCH("Pesquisa de Preços",D5509)))</formula>
    </cfRule>
  </conditionalFormatting>
  <conditionalFormatting sqref="D5515">
    <cfRule type="containsText" dxfId="1288" priority="3316" operator="containsText" text="Pesquisa de Preços">
      <formula>NOT(ISERROR(SEARCH("Pesquisa de Preços",D5515)))</formula>
    </cfRule>
  </conditionalFormatting>
  <conditionalFormatting sqref="D5521">
    <cfRule type="containsText" dxfId="1287" priority="3315" operator="containsText" text="Pesquisa de Preços">
      <formula>NOT(ISERROR(SEARCH("Pesquisa de Preços",D5521)))</formula>
    </cfRule>
  </conditionalFormatting>
  <conditionalFormatting sqref="D5527">
    <cfRule type="containsText" dxfId="1286" priority="3314" operator="containsText" text="Pesquisa de Preços">
      <formula>NOT(ISERROR(SEARCH("Pesquisa de Preços",D5527)))</formula>
    </cfRule>
  </conditionalFormatting>
  <conditionalFormatting sqref="D6153">
    <cfRule type="containsText" dxfId="1285" priority="3171" operator="containsText" text="Pesquisa de Preços">
      <formula>NOT(ISERROR(SEARCH("Pesquisa de Preços",D6153)))</formula>
    </cfRule>
  </conditionalFormatting>
  <conditionalFormatting sqref="D5533">
    <cfRule type="containsText" dxfId="1284" priority="3312" operator="containsText" text="Pesquisa de Preços">
      <formula>NOT(ISERROR(SEARCH("Pesquisa de Preços",D5533)))</formula>
    </cfRule>
  </conditionalFormatting>
  <conditionalFormatting sqref="D5539">
    <cfRule type="containsText" dxfId="1283" priority="3311" operator="containsText" text="Pesquisa de Preços">
      <formula>NOT(ISERROR(SEARCH("Pesquisa de Preços",D5539)))</formula>
    </cfRule>
  </conditionalFormatting>
  <conditionalFormatting sqref="D5599">
    <cfRule type="containsText" dxfId="1282" priority="3301" operator="containsText" text="Pesquisa de Preços">
      <formula>NOT(ISERROR(SEARCH("Pesquisa de Preços",D5599)))</formula>
    </cfRule>
  </conditionalFormatting>
  <conditionalFormatting sqref="D5605">
    <cfRule type="containsText" dxfId="1281" priority="3300" operator="containsText" text="Pesquisa de Preços">
      <formula>NOT(ISERROR(SEARCH("Pesquisa de Preços",D5605)))</formula>
    </cfRule>
  </conditionalFormatting>
  <conditionalFormatting sqref="D5557">
    <cfRule type="containsText" dxfId="1280" priority="3308" operator="containsText" text="Pesquisa de Preços">
      <formula>NOT(ISERROR(SEARCH("Pesquisa de Preços",D5557)))</formula>
    </cfRule>
  </conditionalFormatting>
  <conditionalFormatting sqref="D5563">
    <cfRule type="containsText" dxfId="1279" priority="3307" operator="containsText" text="Pesquisa de Preços">
      <formula>NOT(ISERROR(SEARCH("Pesquisa de Preços",D5563)))</formula>
    </cfRule>
  </conditionalFormatting>
  <conditionalFormatting sqref="D5569">
    <cfRule type="containsText" dxfId="1278" priority="3306" operator="containsText" text="Pesquisa de Preços">
      <formula>NOT(ISERROR(SEARCH("Pesquisa de Preços",D5569)))</formula>
    </cfRule>
  </conditionalFormatting>
  <conditionalFormatting sqref="D5581 D5575">
    <cfRule type="containsText" dxfId="1277" priority="3304" operator="containsText" text="Pesquisa de Preços">
      <formula>NOT(ISERROR(SEARCH("Pesquisa de Preços",D5575)))</formula>
    </cfRule>
  </conditionalFormatting>
  <conditionalFormatting sqref="D5587">
    <cfRule type="containsText" dxfId="1276" priority="3303" operator="containsText" text="Pesquisa de Preços">
      <formula>NOT(ISERROR(SEARCH("Pesquisa de Preços",D5587)))</formula>
    </cfRule>
  </conditionalFormatting>
  <conditionalFormatting sqref="D5593">
    <cfRule type="containsText" dxfId="1275" priority="3302" operator="containsText" text="Pesquisa de Preços">
      <formula>NOT(ISERROR(SEARCH("Pesquisa de Preços",D5593)))</formula>
    </cfRule>
  </conditionalFormatting>
  <conditionalFormatting sqref="D5611">
    <cfRule type="containsText" dxfId="1274" priority="3299" operator="containsText" text="Pesquisa de Preços">
      <formula>NOT(ISERROR(SEARCH("Pesquisa de Preços",D5611)))</formula>
    </cfRule>
  </conditionalFormatting>
  <conditionalFormatting sqref="D5621">
    <cfRule type="containsText" dxfId="1273" priority="3298" operator="containsText" text="Pesquisa de Preços">
      <formula>NOT(ISERROR(SEARCH("Pesquisa de Preços",D5621)))</formula>
    </cfRule>
  </conditionalFormatting>
  <conditionalFormatting sqref="D5625">
    <cfRule type="containsText" dxfId="1272" priority="3297" operator="containsText" text="Pesquisa de Preços">
      <formula>NOT(ISERROR(SEARCH("Pesquisa de Preços",D5625)))</formula>
    </cfRule>
  </conditionalFormatting>
  <conditionalFormatting sqref="D5629">
    <cfRule type="containsText" dxfId="1271" priority="3296" operator="containsText" text="Pesquisa de Preços">
      <formula>NOT(ISERROR(SEARCH("Pesquisa de Preços",D5629)))</formula>
    </cfRule>
  </conditionalFormatting>
  <conditionalFormatting sqref="D5633">
    <cfRule type="containsText" dxfId="1270" priority="3295" operator="containsText" text="Pesquisa de Preços">
      <formula>NOT(ISERROR(SEARCH("Pesquisa de Preços",D5633)))</formula>
    </cfRule>
  </conditionalFormatting>
  <conditionalFormatting sqref="D5637">
    <cfRule type="containsText" dxfId="1269" priority="3294" operator="containsText" text="Pesquisa de Preços">
      <formula>NOT(ISERROR(SEARCH("Pesquisa de Preços",D5637)))</formula>
    </cfRule>
  </conditionalFormatting>
  <conditionalFormatting sqref="D5641">
    <cfRule type="containsText" dxfId="1268" priority="3293" operator="containsText" text="Pesquisa de Preços">
      <formula>NOT(ISERROR(SEARCH("Pesquisa de Preços",D5641)))</formula>
    </cfRule>
  </conditionalFormatting>
  <conditionalFormatting sqref="D5645">
    <cfRule type="containsText" dxfId="1267" priority="3292" operator="containsText" text="Pesquisa de Preços">
      <formula>NOT(ISERROR(SEARCH("Pesquisa de Preços",D5645)))</formula>
    </cfRule>
  </conditionalFormatting>
  <conditionalFormatting sqref="D5653">
    <cfRule type="containsText" dxfId="1266" priority="3290" operator="containsText" text="Pesquisa de Preços">
      <formula>NOT(ISERROR(SEARCH("Pesquisa de Preços",D5653)))</formula>
    </cfRule>
  </conditionalFormatting>
  <conditionalFormatting sqref="D5657">
    <cfRule type="containsText" dxfId="1265" priority="3289" operator="containsText" text="Pesquisa de Preços">
      <formula>NOT(ISERROR(SEARCH("Pesquisa de Preços",D5657)))</formula>
    </cfRule>
  </conditionalFormatting>
  <conditionalFormatting sqref="D5661">
    <cfRule type="containsText" dxfId="1264" priority="3288" operator="containsText" text="Pesquisa de Preços">
      <formula>NOT(ISERROR(SEARCH("Pesquisa de Preços",D5661)))</formula>
    </cfRule>
  </conditionalFormatting>
  <conditionalFormatting sqref="D5701">
    <cfRule type="containsText" dxfId="1263" priority="3278" operator="containsText" text="Pesquisa de Preços">
      <formula>NOT(ISERROR(SEARCH("Pesquisa de Preços",D5701)))</formula>
    </cfRule>
  </conditionalFormatting>
  <conditionalFormatting sqref="D5669">
    <cfRule type="containsText" dxfId="1262" priority="3286" operator="containsText" text="Pesquisa de Preços">
      <formula>NOT(ISERROR(SEARCH("Pesquisa de Preços",D5669)))</formula>
    </cfRule>
  </conditionalFormatting>
  <conditionalFormatting sqref="D5709">
    <cfRule type="containsText" dxfId="1261" priority="3276" operator="containsText" text="Pesquisa de Preços">
      <formula>NOT(ISERROR(SEARCH("Pesquisa de Preços",D5709)))</formula>
    </cfRule>
  </conditionalFormatting>
  <conditionalFormatting sqref="D5713">
    <cfRule type="containsText" dxfId="1260" priority="3275" operator="containsText" text="Pesquisa de Preços">
      <formula>NOT(ISERROR(SEARCH("Pesquisa de Preços",D5713)))</formula>
    </cfRule>
  </conditionalFormatting>
  <conditionalFormatting sqref="D5681">
    <cfRule type="containsText" dxfId="1259" priority="3283" operator="containsText" text="Pesquisa de Preços">
      <formula>NOT(ISERROR(SEARCH("Pesquisa de Preços",D5681)))</formula>
    </cfRule>
  </conditionalFormatting>
  <conditionalFormatting sqref="D5689 D5685">
    <cfRule type="containsText" dxfId="1258" priority="3281" operator="containsText" text="Pesquisa de Preços">
      <formula>NOT(ISERROR(SEARCH("Pesquisa de Preços",D5685)))</formula>
    </cfRule>
  </conditionalFormatting>
  <conditionalFormatting sqref="D5693">
    <cfRule type="containsText" dxfId="1257" priority="3280" operator="containsText" text="Pesquisa de Preços">
      <formula>NOT(ISERROR(SEARCH("Pesquisa de Preços",D5693)))</formula>
    </cfRule>
  </conditionalFormatting>
  <conditionalFormatting sqref="D5697">
    <cfRule type="containsText" dxfId="1256" priority="3279" operator="containsText" text="Pesquisa de Preços">
      <formula>NOT(ISERROR(SEARCH("Pesquisa de Preços",D5697)))</formula>
    </cfRule>
  </conditionalFormatting>
  <conditionalFormatting sqref="D5741">
    <cfRule type="containsText" dxfId="1255" priority="3268" operator="containsText" text="Pesquisa de Preços">
      <formula>NOT(ISERROR(SEARCH("Pesquisa de Preços",D5741)))</formula>
    </cfRule>
  </conditionalFormatting>
  <conditionalFormatting sqref="D5717">
    <cfRule type="containsText" dxfId="1254" priority="3274" operator="containsText" text="Pesquisa de Preços">
      <formula>NOT(ISERROR(SEARCH("Pesquisa de Preços",D5717)))</formula>
    </cfRule>
  </conditionalFormatting>
  <conditionalFormatting sqref="D5721">
    <cfRule type="containsText" dxfId="1253" priority="3273" operator="containsText" text="Pesquisa de Preços">
      <formula>NOT(ISERROR(SEARCH("Pesquisa de Preços",D5721)))</formula>
    </cfRule>
  </conditionalFormatting>
  <conditionalFormatting sqref="D5725">
    <cfRule type="containsText" dxfId="1252" priority="3272" operator="containsText" text="Pesquisa de Preços">
      <formula>NOT(ISERROR(SEARCH("Pesquisa de Preços",D5725)))</formula>
    </cfRule>
  </conditionalFormatting>
  <conditionalFormatting sqref="D5729">
    <cfRule type="containsText" dxfId="1251" priority="3271" operator="containsText" text="Pesquisa de Preços">
      <formula>NOT(ISERROR(SEARCH("Pesquisa de Preços",D5729)))</formula>
    </cfRule>
  </conditionalFormatting>
  <conditionalFormatting sqref="D5769">
    <cfRule type="containsText" dxfId="1250" priority="3261" operator="containsText" text="Pesquisa de Preços">
      <formula>NOT(ISERROR(SEARCH("Pesquisa de Preços",D5769)))</formula>
    </cfRule>
  </conditionalFormatting>
  <conditionalFormatting sqref="D5737">
    <cfRule type="containsText" dxfId="1249" priority="3269" operator="containsText" text="Pesquisa de Preços">
      <formula>NOT(ISERROR(SEARCH("Pesquisa de Preços",D5737)))</formula>
    </cfRule>
  </conditionalFormatting>
  <conditionalFormatting sqref="D5745">
    <cfRule type="containsText" dxfId="1248" priority="3267" operator="containsText" text="Pesquisa de Preços">
      <formula>NOT(ISERROR(SEARCH("Pesquisa de Preços",D5745)))</formula>
    </cfRule>
  </conditionalFormatting>
  <conditionalFormatting sqref="D5749">
    <cfRule type="containsText" dxfId="1247" priority="3266" operator="containsText" text="Pesquisa de Preços">
      <formula>NOT(ISERROR(SEARCH("Pesquisa de Preços",D5749)))</formula>
    </cfRule>
  </conditionalFormatting>
  <conditionalFormatting sqref="D5753">
    <cfRule type="containsText" dxfId="1246" priority="3265" operator="containsText" text="Pesquisa de Preços">
      <formula>NOT(ISERROR(SEARCH("Pesquisa de Preços",D5753)))</formula>
    </cfRule>
  </conditionalFormatting>
  <conditionalFormatting sqref="D5757">
    <cfRule type="containsText" dxfId="1245" priority="3264" operator="containsText" text="Pesquisa de Preços">
      <formula>NOT(ISERROR(SEARCH("Pesquisa de Preços",D5757)))</formula>
    </cfRule>
  </conditionalFormatting>
  <conditionalFormatting sqref="D5765 D5761">
    <cfRule type="containsText" dxfId="1244" priority="3262" operator="containsText" text="Pesquisa de Preços">
      <formula>NOT(ISERROR(SEARCH("Pesquisa de Preços",D5761)))</formula>
    </cfRule>
  </conditionalFormatting>
  <conditionalFormatting sqref="D5773">
    <cfRule type="containsText" dxfId="1243" priority="3260" operator="containsText" text="Pesquisa de Preços">
      <formula>NOT(ISERROR(SEARCH("Pesquisa de Preços",D5773)))</formula>
    </cfRule>
  </conditionalFormatting>
  <conditionalFormatting sqref="D5777">
    <cfRule type="containsText" dxfId="1242" priority="3259" operator="containsText" text="Pesquisa de Preços">
      <formula>NOT(ISERROR(SEARCH("Pesquisa de Preços",D5777)))</formula>
    </cfRule>
  </conditionalFormatting>
  <conditionalFormatting sqref="D5781">
    <cfRule type="containsText" dxfId="1241" priority="3258" operator="containsText" text="Pesquisa de Preços">
      <formula>NOT(ISERROR(SEARCH("Pesquisa de Preços",D5781)))</formula>
    </cfRule>
  </conditionalFormatting>
  <conditionalFormatting sqref="D5785">
    <cfRule type="containsText" dxfId="1240" priority="3257" operator="containsText" text="Pesquisa de Preços">
      <formula>NOT(ISERROR(SEARCH("Pesquisa de Preços",D5785)))</formula>
    </cfRule>
  </conditionalFormatting>
  <conditionalFormatting sqref="D5789">
    <cfRule type="containsText" dxfId="1239" priority="3256" operator="containsText" text="Pesquisa de Preços">
      <formula>NOT(ISERROR(SEARCH("Pesquisa de Preços",D5789)))</formula>
    </cfRule>
  </conditionalFormatting>
  <conditionalFormatting sqref="D5793">
    <cfRule type="containsText" dxfId="1238" priority="3255" operator="containsText" text="Pesquisa de Preços">
      <formula>NOT(ISERROR(SEARCH("Pesquisa de Preços",D5793)))</formula>
    </cfRule>
  </conditionalFormatting>
  <conditionalFormatting sqref="D5801">
    <cfRule type="containsText" dxfId="1237" priority="3253" operator="containsText" text="Pesquisa de Preços">
      <formula>NOT(ISERROR(SEARCH("Pesquisa de Preços",D5801)))</formula>
    </cfRule>
  </conditionalFormatting>
  <conditionalFormatting sqref="D5805">
    <cfRule type="containsText" dxfId="1236" priority="3252" operator="containsText" text="Pesquisa de Preços">
      <formula>NOT(ISERROR(SEARCH("Pesquisa de Preços",D5805)))</formula>
    </cfRule>
  </conditionalFormatting>
  <conditionalFormatting sqref="D5809">
    <cfRule type="containsText" dxfId="1235" priority="3251" operator="containsText" text="Pesquisa de Preços">
      <formula>NOT(ISERROR(SEARCH("Pesquisa de Preços",D5809)))</formula>
    </cfRule>
  </conditionalFormatting>
  <conditionalFormatting sqref="D5813">
    <cfRule type="containsText" dxfId="1234" priority="3250" operator="containsText" text="Pesquisa de Preços">
      <formula>NOT(ISERROR(SEARCH("Pesquisa de Preços",D5813)))</formula>
    </cfRule>
  </conditionalFormatting>
  <conditionalFormatting sqref="D5817">
    <cfRule type="containsText" dxfId="1233" priority="3249" operator="containsText" text="Pesquisa de Preços">
      <formula>NOT(ISERROR(SEARCH("Pesquisa de Preços",D5817)))</formula>
    </cfRule>
  </conditionalFormatting>
  <conditionalFormatting sqref="D5821">
    <cfRule type="containsText" dxfId="1232" priority="3248" operator="containsText" text="Pesquisa de Preços">
      <formula>NOT(ISERROR(SEARCH("Pesquisa de Preços",D5821)))</formula>
    </cfRule>
  </conditionalFormatting>
  <conditionalFormatting sqref="D5825">
    <cfRule type="containsText" dxfId="1231" priority="3247" operator="containsText" text="Pesquisa de Preços">
      <formula>NOT(ISERROR(SEARCH("Pesquisa de Preços",D5825)))</formula>
    </cfRule>
  </conditionalFormatting>
  <conditionalFormatting sqref="D5829">
    <cfRule type="containsText" dxfId="1230" priority="3246" operator="containsText" text="Pesquisa de Preços">
      <formula>NOT(ISERROR(SEARCH("Pesquisa de Preços",D5829)))</formula>
    </cfRule>
  </conditionalFormatting>
  <conditionalFormatting sqref="D5833">
    <cfRule type="containsText" dxfId="1229" priority="3245" operator="containsText" text="Pesquisa de Preços">
      <formula>NOT(ISERROR(SEARCH("Pesquisa de Preços",D5833)))</formula>
    </cfRule>
  </conditionalFormatting>
  <conditionalFormatting sqref="D5837">
    <cfRule type="containsText" dxfId="1228" priority="3244" operator="containsText" text="Pesquisa de Preços">
      <formula>NOT(ISERROR(SEARCH("Pesquisa de Preços",D5837)))</formula>
    </cfRule>
  </conditionalFormatting>
  <conditionalFormatting sqref="D5841">
    <cfRule type="containsText" dxfId="1227" priority="3243" operator="containsText" text="Pesquisa de Preços">
      <formula>NOT(ISERROR(SEARCH("Pesquisa de Preços",D5841)))</formula>
    </cfRule>
  </conditionalFormatting>
  <conditionalFormatting sqref="D5845">
    <cfRule type="containsText" dxfId="1226" priority="3242" operator="containsText" text="Pesquisa de Preços">
      <formula>NOT(ISERROR(SEARCH("Pesquisa de Preços",D5845)))</formula>
    </cfRule>
  </conditionalFormatting>
  <conditionalFormatting sqref="D5849">
    <cfRule type="containsText" dxfId="1225" priority="3241" operator="containsText" text="Pesquisa de Preços">
      <formula>NOT(ISERROR(SEARCH("Pesquisa de Preços",D5849)))</formula>
    </cfRule>
  </conditionalFormatting>
  <conditionalFormatting sqref="D5853">
    <cfRule type="containsText" dxfId="1224" priority="3240" operator="containsText" text="Pesquisa de Preços">
      <formula>NOT(ISERROR(SEARCH("Pesquisa de Preços",D5853)))</formula>
    </cfRule>
  </conditionalFormatting>
  <conditionalFormatting sqref="D5857">
    <cfRule type="containsText" dxfId="1223" priority="3239" operator="containsText" text="Pesquisa de Preços">
      <formula>NOT(ISERROR(SEARCH("Pesquisa de Preços",D5857)))</formula>
    </cfRule>
  </conditionalFormatting>
  <conditionalFormatting sqref="D5861">
    <cfRule type="containsText" dxfId="1222" priority="3238" operator="containsText" text="Pesquisa de Preços">
      <formula>NOT(ISERROR(SEARCH("Pesquisa de Preços",D5861)))</formula>
    </cfRule>
  </conditionalFormatting>
  <conditionalFormatting sqref="D5865">
    <cfRule type="containsText" dxfId="1221" priority="3237" operator="containsText" text="Pesquisa de Preços">
      <formula>NOT(ISERROR(SEARCH("Pesquisa de Preços",D5865)))</formula>
    </cfRule>
  </conditionalFormatting>
  <conditionalFormatting sqref="D5905">
    <cfRule type="containsText" dxfId="1220" priority="3227" operator="containsText" text="Pesquisa de Preços">
      <formula>NOT(ISERROR(SEARCH("Pesquisa de Preços",D5905)))</formula>
    </cfRule>
  </conditionalFormatting>
  <conditionalFormatting sqref="D5909">
    <cfRule type="containsText" dxfId="1219" priority="3226" operator="containsText" text="Pesquisa de Preços">
      <formula>NOT(ISERROR(SEARCH("Pesquisa de Preços",D5909)))</formula>
    </cfRule>
  </conditionalFormatting>
  <conditionalFormatting sqref="D5877">
    <cfRule type="containsText" dxfId="1218" priority="3234" operator="containsText" text="Pesquisa de Preços">
      <formula>NOT(ISERROR(SEARCH("Pesquisa de Preços",D5877)))</formula>
    </cfRule>
  </conditionalFormatting>
  <conditionalFormatting sqref="D5881">
    <cfRule type="containsText" dxfId="1217" priority="3233" operator="containsText" text="Pesquisa de Preços">
      <formula>NOT(ISERROR(SEARCH("Pesquisa de Preços",D5881)))</formula>
    </cfRule>
  </conditionalFormatting>
  <conditionalFormatting sqref="D5885">
    <cfRule type="containsText" dxfId="1216" priority="3232" operator="containsText" text="Pesquisa de Preços">
      <formula>NOT(ISERROR(SEARCH("Pesquisa de Preços",D5885)))</formula>
    </cfRule>
  </conditionalFormatting>
  <conditionalFormatting sqref="D5889">
    <cfRule type="containsText" dxfId="1215" priority="3231" operator="containsText" text="Pesquisa de Preços">
      <formula>NOT(ISERROR(SEARCH("Pesquisa de Preços",D5889)))</formula>
    </cfRule>
  </conditionalFormatting>
  <conditionalFormatting sqref="D5893">
    <cfRule type="containsText" dxfId="1214" priority="3230" operator="containsText" text="Pesquisa de Preços">
      <formula>NOT(ISERROR(SEARCH("Pesquisa de Preços",D5893)))</formula>
    </cfRule>
  </conditionalFormatting>
  <conditionalFormatting sqref="D5897">
    <cfRule type="containsText" dxfId="1213" priority="3229" operator="containsText" text="Pesquisa de Preços">
      <formula>NOT(ISERROR(SEARCH("Pesquisa de Preços",D5897)))</formula>
    </cfRule>
  </conditionalFormatting>
  <conditionalFormatting sqref="D5937">
    <cfRule type="containsText" dxfId="1212" priority="3219" operator="containsText" text="Pesquisa de Preços">
      <formula>NOT(ISERROR(SEARCH("Pesquisa de Preços",D5937)))</formula>
    </cfRule>
  </conditionalFormatting>
  <conditionalFormatting sqref="D5913">
    <cfRule type="containsText" dxfId="1211" priority="3225" operator="containsText" text="Pesquisa de Preços">
      <formula>NOT(ISERROR(SEARCH("Pesquisa de Preços",D5913)))</formula>
    </cfRule>
  </conditionalFormatting>
  <conditionalFormatting sqref="D5917">
    <cfRule type="containsText" dxfId="1210" priority="3224" operator="containsText" text="Pesquisa de Preços">
      <formula>NOT(ISERROR(SEARCH("Pesquisa de Preços",D5917)))</formula>
    </cfRule>
  </conditionalFormatting>
  <conditionalFormatting sqref="D5921">
    <cfRule type="containsText" dxfId="1209" priority="3223" operator="containsText" text="Pesquisa de Preços">
      <formula>NOT(ISERROR(SEARCH("Pesquisa de Preços",D5921)))</formula>
    </cfRule>
  </conditionalFormatting>
  <conditionalFormatting sqref="D5925">
    <cfRule type="containsText" dxfId="1208" priority="3222" operator="containsText" text="Pesquisa de Preços">
      <formula>NOT(ISERROR(SEARCH("Pesquisa de Preços",D5925)))</formula>
    </cfRule>
  </conditionalFormatting>
  <conditionalFormatting sqref="D5965 D5961 D5957">
    <cfRule type="containsText" dxfId="1207" priority="3212" operator="containsText" text="Pesquisa de Preços">
      <formula>NOT(ISERROR(SEARCH("Pesquisa de Preços",D5957)))</formula>
    </cfRule>
  </conditionalFormatting>
  <conditionalFormatting sqref="D5933">
    <cfRule type="containsText" dxfId="1206" priority="3220" operator="containsText" text="Pesquisa de Preços">
      <formula>NOT(ISERROR(SEARCH("Pesquisa de Preços",D5933)))</formula>
    </cfRule>
  </conditionalFormatting>
  <conditionalFormatting sqref="D5941">
    <cfRule type="containsText" dxfId="1205" priority="3218" operator="containsText" text="Pesquisa de Preços">
      <formula>NOT(ISERROR(SEARCH("Pesquisa de Preços",D5941)))</formula>
    </cfRule>
  </conditionalFormatting>
  <conditionalFormatting sqref="D5953">
    <cfRule type="containsText" dxfId="1204" priority="3215" operator="containsText" text="Pesquisa de Preços">
      <formula>NOT(ISERROR(SEARCH("Pesquisa de Preços",D5953)))</formula>
    </cfRule>
  </conditionalFormatting>
  <conditionalFormatting sqref="D6149">
    <cfRule type="containsText" dxfId="1203" priority="3172" operator="containsText" text="Pesquisa de Preços">
      <formula>NOT(ISERROR(SEARCH("Pesquisa de Preços",D6149)))</formula>
    </cfRule>
  </conditionalFormatting>
  <conditionalFormatting sqref="D5969">
    <cfRule type="containsText" dxfId="1202" priority="3211" operator="containsText" text="Pesquisa de Preços">
      <formula>NOT(ISERROR(SEARCH("Pesquisa de Preços",D5969)))</formula>
    </cfRule>
  </conditionalFormatting>
  <conditionalFormatting sqref="D5973">
    <cfRule type="containsText" dxfId="1201" priority="3210" operator="containsText" text="Pesquisa de Preços">
      <formula>NOT(ISERROR(SEARCH("Pesquisa de Preços",D5973)))</formula>
    </cfRule>
  </conditionalFormatting>
  <conditionalFormatting sqref="D6013">
    <cfRule type="containsText" dxfId="1200" priority="3200" operator="containsText" text="Pesquisa de Preços">
      <formula>NOT(ISERROR(SEARCH("Pesquisa de Preços",D6013)))</formula>
    </cfRule>
  </conditionalFormatting>
  <conditionalFormatting sqref="D5981">
    <cfRule type="containsText" dxfId="1199" priority="3208" operator="containsText" text="Pesquisa de Preços">
      <formula>NOT(ISERROR(SEARCH("Pesquisa de Preços",D5981)))</formula>
    </cfRule>
  </conditionalFormatting>
  <conditionalFormatting sqref="D5989 D5985">
    <cfRule type="containsText" dxfId="1198" priority="3206" operator="containsText" text="Pesquisa de Preços">
      <formula>NOT(ISERROR(SEARCH("Pesquisa de Preços",D5985)))</formula>
    </cfRule>
  </conditionalFormatting>
  <conditionalFormatting sqref="D5993">
    <cfRule type="containsText" dxfId="1197" priority="3205" operator="containsText" text="Pesquisa de Preços">
      <formula>NOT(ISERROR(SEARCH("Pesquisa de Preços",D5993)))</formula>
    </cfRule>
  </conditionalFormatting>
  <conditionalFormatting sqref="D5997">
    <cfRule type="containsText" dxfId="1196" priority="3204" operator="containsText" text="Pesquisa de Preços">
      <formula>NOT(ISERROR(SEARCH("Pesquisa de Preços",D5997)))</formula>
    </cfRule>
  </conditionalFormatting>
  <conditionalFormatting sqref="D6037">
    <cfRule type="containsText" dxfId="1195" priority="3194" operator="containsText" text="Pesquisa de Preços">
      <formula>NOT(ISERROR(SEARCH("Pesquisa de Preços",D6037)))</formula>
    </cfRule>
  </conditionalFormatting>
  <conditionalFormatting sqref="D6005">
    <cfRule type="containsText" dxfId="1194" priority="3202" operator="containsText" text="Pesquisa de Preços">
      <formula>NOT(ISERROR(SEARCH("Pesquisa de Preços",D6005)))</formula>
    </cfRule>
  </conditionalFormatting>
  <conditionalFormatting sqref="D6009">
    <cfRule type="containsText" dxfId="1193" priority="3201" operator="containsText" text="Pesquisa de Preços">
      <formula>NOT(ISERROR(SEARCH("Pesquisa de Preços",D6009)))</formula>
    </cfRule>
  </conditionalFormatting>
  <conditionalFormatting sqref="D6017">
    <cfRule type="containsText" dxfId="1192" priority="3199" operator="containsText" text="Pesquisa de Preços">
      <formula>NOT(ISERROR(SEARCH("Pesquisa de Preços",D6017)))</formula>
    </cfRule>
  </conditionalFormatting>
  <conditionalFormatting sqref="D6021">
    <cfRule type="containsText" dxfId="1191" priority="3198" operator="containsText" text="Pesquisa de Preços">
      <formula>NOT(ISERROR(SEARCH("Pesquisa de Preços",D6021)))</formula>
    </cfRule>
  </conditionalFormatting>
  <conditionalFormatting sqref="D6025">
    <cfRule type="containsText" dxfId="1190" priority="3197" operator="containsText" text="Pesquisa de Preços">
      <formula>NOT(ISERROR(SEARCH("Pesquisa de Preços",D6025)))</formula>
    </cfRule>
  </conditionalFormatting>
  <conditionalFormatting sqref="D6029">
    <cfRule type="containsText" dxfId="1189" priority="3196" operator="containsText" text="Pesquisa de Preços">
      <formula>NOT(ISERROR(SEARCH("Pesquisa de Preços",D6029)))</formula>
    </cfRule>
  </conditionalFormatting>
  <conditionalFormatting sqref="D6045">
    <cfRule type="containsText" dxfId="1188" priority="3192" operator="containsText" text="Pesquisa de Preços">
      <formula>NOT(ISERROR(SEARCH("Pesquisa de Preços",D6045)))</formula>
    </cfRule>
  </conditionalFormatting>
  <conditionalFormatting sqref="D6049">
    <cfRule type="containsText" dxfId="1187" priority="3191" operator="containsText" text="Pesquisa de Preços">
      <formula>NOT(ISERROR(SEARCH("Pesquisa de Preços",D6049)))</formula>
    </cfRule>
  </conditionalFormatting>
  <conditionalFormatting sqref="D6053">
    <cfRule type="containsText" dxfId="1186" priority="3190" operator="containsText" text="Pesquisa de Preços">
      <formula>NOT(ISERROR(SEARCH("Pesquisa de Preços",D6053)))</formula>
    </cfRule>
  </conditionalFormatting>
  <conditionalFormatting sqref="D6065">
    <cfRule type="containsText" dxfId="1185" priority="3189" operator="containsText" text="Pesquisa de Preços">
      <formula>NOT(ISERROR(SEARCH("Pesquisa de Preços",D6065)))</formula>
    </cfRule>
  </conditionalFormatting>
  <conditionalFormatting sqref="D6069">
    <cfRule type="containsText" dxfId="1184" priority="3188" operator="containsText" text="Pesquisa de Preços">
      <formula>NOT(ISERROR(SEARCH("Pesquisa de Preços",D6069)))</formula>
    </cfRule>
  </conditionalFormatting>
  <conditionalFormatting sqref="D6073">
    <cfRule type="containsText" dxfId="1183" priority="3187" operator="containsText" text="Pesquisa de Preços">
      <formula>NOT(ISERROR(SEARCH("Pesquisa de Preços",D6073)))</formula>
    </cfRule>
  </conditionalFormatting>
  <conditionalFormatting sqref="D6081">
    <cfRule type="containsText" dxfId="1182" priority="3185" operator="containsText" text="Pesquisa de Preços">
      <formula>NOT(ISERROR(SEARCH("Pesquisa de Preços",D6081)))</formula>
    </cfRule>
  </conditionalFormatting>
  <conditionalFormatting sqref="D6085">
    <cfRule type="containsText" dxfId="1181" priority="3184" operator="containsText" text="Pesquisa de Preços">
      <formula>NOT(ISERROR(SEARCH("Pesquisa de Preços",D6085)))</formula>
    </cfRule>
  </conditionalFormatting>
  <conditionalFormatting sqref="D6089">
    <cfRule type="containsText" dxfId="1180" priority="3183" operator="containsText" text="Pesquisa de Preços">
      <formula>NOT(ISERROR(SEARCH("Pesquisa de Preços",D6089)))</formula>
    </cfRule>
  </conditionalFormatting>
  <conditionalFormatting sqref="D6093">
    <cfRule type="containsText" dxfId="1179" priority="3182" operator="containsText" text="Pesquisa de Preços">
      <formula>NOT(ISERROR(SEARCH("Pesquisa de Preços",D6093)))</formula>
    </cfRule>
  </conditionalFormatting>
  <conditionalFormatting sqref="D6097">
    <cfRule type="containsText" dxfId="1178" priority="3181" operator="containsText" text="Pesquisa de Preços">
      <formula>NOT(ISERROR(SEARCH("Pesquisa de Preços",D6097)))</formula>
    </cfRule>
  </conditionalFormatting>
  <conditionalFormatting sqref="D6101">
    <cfRule type="containsText" dxfId="1177" priority="3180" operator="containsText" text="Pesquisa de Preços">
      <formula>NOT(ISERROR(SEARCH("Pesquisa de Preços",D6101)))</formula>
    </cfRule>
  </conditionalFormatting>
  <conditionalFormatting sqref="D6105">
    <cfRule type="containsText" dxfId="1176" priority="3179" operator="containsText" text="Pesquisa de Preços">
      <formula>NOT(ISERROR(SEARCH("Pesquisa de Preços",D6105)))</formula>
    </cfRule>
  </conditionalFormatting>
  <conditionalFormatting sqref="D6109">
    <cfRule type="containsText" dxfId="1175" priority="3178" operator="containsText" text="Pesquisa de Preços">
      <formula>NOT(ISERROR(SEARCH("Pesquisa de Preços",D6109)))</formula>
    </cfRule>
  </conditionalFormatting>
  <conditionalFormatting sqref="D6113">
    <cfRule type="containsText" dxfId="1174" priority="3177" operator="containsText" text="Pesquisa de Preços">
      <formula>NOT(ISERROR(SEARCH("Pesquisa de Preços",D6113)))</formula>
    </cfRule>
  </conditionalFormatting>
  <conditionalFormatting sqref="D6117">
    <cfRule type="containsText" dxfId="1173" priority="3176" operator="containsText" text="Pesquisa de Preços">
      <formula>NOT(ISERROR(SEARCH("Pesquisa de Preços",D6117)))</formula>
    </cfRule>
  </conditionalFormatting>
  <conditionalFormatting sqref="D6121">
    <cfRule type="containsText" dxfId="1172" priority="3175" operator="containsText" text="Pesquisa de Preços">
      <formula>NOT(ISERROR(SEARCH("Pesquisa de Preços",D6121)))</formula>
    </cfRule>
  </conditionalFormatting>
  <conditionalFormatting sqref="D6137">
    <cfRule type="containsText" dxfId="1171" priority="3174" operator="containsText" text="Pesquisa de Preços">
      <formula>NOT(ISERROR(SEARCH("Pesquisa de Preços",D6137)))</formula>
    </cfRule>
  </conditionalFormatting>
  <conditionalFormatting sqref="D6145">
    <cfRule type="containsText" dxfId="1170" priority="3173" operator="containsText" text="Pesquisa de Preços">
      <formula>NOT(ISERROR(SEARCH("Pesquisa de Preços",D6145)))</formula>
    </cfRule>
  </conditionalFormatting>
  <conditionalFormatting sqref="D119">
    <cfRule type="containsText" dxfId="1169" priority="3169" operator="containsText" text="Pesquisa de Preços">
      <formula>NOT(ISERROR(SEARCH("Pesquisa de Preços",D119)))</formula>
    </cfRule>
  </conditionalFormatting>
  <conditionalFormatting sqref="D120">
    <cfRule type="containsText" dxfId="1168" priority="3168" operator="containsText" text="Pesquisa de Preços">
      <formula>NOT(ISERROR(SEARCH("Pesquisa de Preços",D120)))</formula>
    </cfRule>
  </conditionalFormatting>
  <conditionalFormatting sqref="E119">
    <cfRule type="containsText" dxfId="1167" priority="3167" operator="containsText" text="Pesquisa de Preços">
      <formula>NOT(ISERROR(SEARCH("Pesquisa de Preços",E119)))</formula>
    </cfRule>
  </conditionalFormatting>
  <conditionalFormatting sqref="E120">
    <cfRule type="containsText" dxfId="1166" priority="3166" operator="containsText" text="Pesquisa de Preços">
      <formula>NOT(ISERROR(SEARCH("Pesquisa de Preços",E120)))</formula>
    </cfRule>
  </conditionalFormatting>
  <conditionalFormatting sqref="D693:D694">
    <cfRule type="containsText" dxfId="1165" priority="3160" operator="containsText" text="Pesquisa de Preços">
      <formula>NOT(ISERROR(SEARCH("Pesquisa de Preços",D693)))</formula>
    </cfRule>
  </conditionalFormatting>
  <conditionalFormatting sqref="E693:E694">
    <cfRule type="containsText" dxfId="1164" priority="3159" operator="containsText" text="Pesquisa de Preços">
      <formula>NOT(ISERROR(SEARCH("Pesquisa de Preços",E693)))</formula>
    </cfRule>
  </conditionalFormatting>
  <conditionalFormatting sqref="D861">
    <cfRule type="containsText" dxfId="1163" priority="3156" operator="containsText" text="Pesquisa de Preços">
      <formula>NOT(ISERROR(SEARCH("Pesquisa de Preços",D861)))</formula>
    </cfRule>
  </conditionalFormatting>
  <conditionalFormatting sqref="E861">
    <cfRule type="containsText" dxfId="1162" priority="3155" operator="containsText" text="Pesquisa de Preços">
      <formula>NOT(ISERROR(SEARCH("Pesquisa de Preços",E861)))</formula>
    </cfRule>
  </conditionalFormatting>
  <conditionalFormatting sqref="D865">
    <cfRule type="containsText" dxfId="1161" priority="3154" operator="containsText" text="Pesquisa de Preços">
      <formula>NOT(ISERROR(SEARCH("Pesquisa de Preços",D865)))</formula>
    </cfRule>
  </conditionalFormatting>
  <conditionalFormatting sqref="E865">
    <cfRule type="containsText" dxfId="1160" priority="3153" operator="containsText" text="Pesquisa de Preços">
      <formula>NOT(ISERROR(SEARCH("Pesquisa de Preços",E865)))</formula>
    </cfRule>
  </conditionalFormatting>
  <conditionalFormatting sqref="D878">
    <cfRule type="containsText" dxfId="1159" priority="3150" operator="containsText" text="Pesquisa de Preços">
      <formula>NOT(ISERROR(SEARCH("Pesquisa de Preços",D878)))</formula>
    </cfRule>
  </conditionalFormatting>
  <conditionalFormatting sqref="E878">
    <cfRule type="containsText" dxfId="1158" priority="3149" operator="containsText" text="Pesquisa de Preços">
      <formula>NOT(ISERROR(SEARCH("Pesquisa de Preços",E878)))</formula>
    </cfRule>
  </conditionalFormatting>
  <conditionalFormatting sqref="E884">
    <cfRule type="containsText" dxfId="1157" priority="3144" operator="containsText" text="Pesquisa de Preços">
      <formula>NOT(ISERROR(SEARCH("Pesquisa de Preços",E884)))</formula>
    </cfRule>
  </conditionalFormatting>
  <conditionalFormatting sqref="E885 E889">
    <cfRule type="containsText" dxfId="1156" priority="3145" operator="containsText" text="Pesquisa de Preços">
      <formula>NOT(ISERROR(SEARCH("Pesquisa de Preços",E885)))</formula>
    </cfRule>
  </conditionalFormatting>
  <conditionalFormatting sqref="E886">
    <cfRule type="containsText" dxfId="1155" priority="3139" operator="containsText" text="Pesquisa de Preços">
      <formula>NOT(ISERROR(SEARCH("Pesquisa de Preços",E886)))</formula>
    </cfRule>
  </conditionalFormatting>
  <conditionalFormatting sqref="D886">
    <cfRule type="containsText" dxfId="1154" priority="3142" operator="containsText" text="Pesquisa de Preços">
      <formula>NOT(ISERROR(SEARCH("Pesquisa de Preços",D886)))</formula>
    </cfRule>
  </conditionalFormatting>
  <conditionalFormatting sqref="D5274">
    <cfRule type="containsText" dxfId="1153" priority="3124" operator="containsText" text="Pesquisa de Preços">
      <formula>NOT(ISERROR(SEARCH("Pesquisa de Preços",D5274)))</formula>
    </cfRule>
  </conditionalFormatting>
  <conditionalFormatting sqref="D5275">
    <cfRule type="containsText" dxfId="1152" priority="3128" operator="containsText" text="Pesquisa de Preços">
      <formula>NOT(ISERROR(SEARCH("Pesquisa de Preços",D5275)))</formula>
    </cfRule>
  </conditionalFormatting>
  <conditionalFormatting sqref="D5273">
    <cfRule type="containsText" dxfId="1151" priority="3125" operator="containsText" text="Pesquisa de Preços">
      <formula>NOT(ISERROR(SEARCH("Pesquisa de Preços",D5273)))</formula>
    </cfRule>
  </conditionalFormatting>
  <conditionalFormatting sqref="D5262">
    <cfRule type="containsText" dxfId="1150" priority="3093" operator="containsText" text="Pesquisa de Preços">
      <formula>NOT(ISERROR(SEARCH("Pesquisa de Preços",D5262)))</formula>
    </cfRule>
  </conditionalFormatting>
  <conditionalFormatting sqref="D5263">
    <cfRule type="containsText" dxfId="1149" priority="3095" operator="containsText" text="Pesquisa de Preços">
      <formula>NOT(ISERROR(SEARCH("Pesquisa de Preços",D5263)))</formula>
    </cfRule>
  </conditionalFormatting>
  <conditionalFormatting sqref="D5260">
    <cfRule type="containsText" dxfId="1148" priority="3094" operator="containsText" text="Pesquisa de Preços">
      <formula>NOT(ISERROR(SEARCH("Pesquisa de Preços",D5260)))</formula>
    </cfRule>
  </conditionalFormatting>
  <conditionalFormatting sqref="D5261">
    <cfRule type="containsText" dxfId="1147" priority="3092" operator="containsText" text="Pesquisa de Preços">
      <formula>NOT(ISERROR(SEARCH("Pesquisa de Preços",D5261)))</formula>
    </cfRule>
  </conditionalFormatting>
  <conditionalFormatting sqref="D5384 D5390 D5422 D5360:E5360 D5353:E5353">
    <cfRule type="containsText" dxfId="1146" priority="3083" operator="containsText" text="Pesquisa de Preços">
      <formula>NOT(ISERROR(SEARCH("Pesquisa de Preços",D5353)))</formula>
    </cfRule>
  </conditionalFormatting>
  <conditionalFormatting sqref="D5324">
    <cfRule type="containsText" dxfId="1145" priority="3073" operator="containsText" text="Pesquisa de Preços">
      <formula>NOT(ISERROR(SEARCH("Pesquisa de Preços",D5324)))</formula>
    </cfRule>
  </conditionalFormatting>
  <conditionalFormatting sqref="D5326">
    <cfRule type="containsText" dxfId="1144" priority="3072" operator="containsText" text="Pesquisa de Preços">
      <formula>NOT(ISERROR(SEARCH("Pesquisa de Preços",D5326)))</formula>
    </cfRule>
  </conditionalFormatting>
  <conditionalFormatting sqref="D5322">
    <cfRule type="containsText" dxfId="1143" priority="3080" operator="containsText" text="Pesquisa de Preços">
      <formula>NOT(ISERROR(SEARCH("Pesquisa de Preços",D5322)))</formula>
    </cfRule>
  </conditionalFormatting>
  <conditionalFormatting sqref="D5318">
    <cfRule type="containsText" dxfId="1142" priority="3062" operator="containsText" text="Pesquisa de Preços">
      <formula>NOT(ISERROR(SEARCH("Pesquisa de Preços",D5318)))</formula>
    </cfRule>
  </conditionalFormatting>
  <conditionalFormatting sqref="D5320">
    <cfRule type="containsText" dxfId="1141" priority="3061" operator="containsText" text="Pesquisa de Preços">
      <formula>NOT(ISERROR(SEARCH("Pesquisa de Preços",D5320)))</formula>
    </cfRule>
  </conditionalFormatting>
  <conditionalFormatting sqref="D5316">
    <cfRule type="containsText" dxfId="1140" priority="3069" operator="containsText" text="Pesquisa de Preços">
      <formula>NOT(ISERROR(SEARCH("Pesquisa de Preços",D5316)))</formula>
    </cfRule>
  </conditionalFormatting>
  <conditionalFormatting sqref="D5336">
    <cfRule type="containsText" dxfId="1139" priority="3051" operator="containsText" text="Pesquisa de Preços">
      <formula>NOT(ISERROR(SEARCH("Pesquisa de Preços",D5336)))</formula>
    </cfRule>
  </conditionalFormatting>
  <conditionalFormatting sqref="D5338">
    <cfRule type="containsText" dxfId="1138" priority="3050" operator="containsText" text="Pesquisa de Preços">
      <formula>NOT(ISERROR(SEARCH("Pesquisa de Preços",D5338)))</formula>
    </cfRule>
  </conditionalFormatting>
  <conditionalFormatting sqref="D5334">
    <cfRule type="containsText" dxfId="1137" priority="3058" operator="containsText" text="Pesquisa de Preços">
      <formula>NOT(ISERROR(SEARCH("Pesquisa de Preços",D5334)))</formula>
    </cfRule>
  </conditionalFormatting>
  <conditionalFormatting sqref="D5330">
    <cfRule type="containsText" dxfId="1136" priority="3040" operator="containsText" text="Pesquisa de Preços">
      <formula>NOT(ISERROR(SEARCH("Pesquisa de Preços",D5330)))</formula>
    </cfRule>
  </conditionalFormatting>
  <conditionalFormatting sqref="D5332">
    <cfRule type="containsText" dxfId="1135" priority="3039" operator="containsText" text="Pesquisa de Preços">
      <formula>NOT(ISERROR(SEARCH("Pesquisa de Preços",D5332)))</formula>
    </cfRule>
  </conditionalFormatting>
  <conditionalFormatting sqref="D5328">
    <cfRule type="containsText" dxfId="1134" priority="3047" operator="containsText" text="Pesquisa de Preços">
      <formula>NOT(ISERROR(SEARCH("Pesquisa de Preços",D5328)))</formula>
    </cfRule>
  </conditionalFormatting>
  <conditionalFormatting sqref="D5340">
    <cfRule type="containsText" dxfId="1133" priority="3036" operator="containsText" text="Pesquisa de Preços">
      <formula>NOT(ISERROR(SEARCH("Pesquisa de Preços",D5340)))</formula>
    </cfRule>
  </conditionalFormatting>
  <conditionalFormatting sqref="D5341:D5342 D5345:D5346">
    <cfRule type="containsText" dxfId="1132" priority="3035" operator="containsText" text="Pesquisa de Preços">
      <formula>NOT(ISERROR(SEARCH("Pesquisa de Preços",D5341)))</formula>
    </cfRule>
  </conditionalFormatting>
  <conditionalFormatting sqref="D5343:D5344">
    <cfRule type="containsText" dxfId="1131" priority="3034" operator="containsText" text="Pesquisa de Preços">
      <formula>NOT(ISERROR(SEARCH("Pesquisa de Preços",D5343)))</formula>
    </cfRule>
  </conditionalFormatting>
  <conditionalFormatting sqref="E5341:E5342 E5345:E5346">
    <cfRule type="containsText" dxfId="1130" priority="3033" operator="containsText" text="Pesquisa de Preços">
      <formula>NOT(ISERROR(SEARCH("Pesquisa de Preços",E5341)))</formula>
    </cfRule>
  </conditionalFormatting>
  <conditionalFormatting sqref="E5340">
    <cfRule type="containsText" dxfId="1129" priority="3032" operator="containsText" text="Pesquisa de Preços">
      <formula>NOT(ISERROR(SEARCH("Pesquisa de Preços",E5340)))</formula>
    </cfRule>
  </conditionalFormatting>
  <conditionalFormatting sqref="E5343:E5344">
    <cfRule type="containsText" dxfId="1128" priority="3031" operator="containsText" text="Pesquisa de Preços">
      <formula>NOT(ISERROR(SEARCH("Pesquisa de Preços",E5343)))</formula>
    </cfRule>
  </conditionalFormatting>
  <conditionalFormatting sqref="D5312">
    <cfRule type="containsText" dxfId="1127" priority="3023" operator="containsText" text="Pesquisa de Preços">
      <formula>NOT(ISERROR(SEARCH("Pesquisa de Preços",D5312)))</formula>
    </cfRule>
  </conditionalFormatting>
  <conditionalFormatting sqref="D5310">
    <cfRule type="containsText" dxfId="1126" priority="3024" operator="containsText" text="Pesquisa de Preços">
      <formula>NOT(ISERROR(SEARCH("Pesquisa de Preços",D5310)))</formula>
    </cfRule>
  </conditionalFormatting>
  <conditionalFormatting sqref="D5314">
    <cfRule type="containsText" dxfId="1125" priority="3022" operator="containsText" text="Pesquisa de Preços">
      <formula>NOT(ISERROR(SEARCH("Pesquisa de Preços",D5314)))</formula>
    </cfRule>
  </conditionalFormatting>
  <conditionalFormatting sqref="D5347">
    <cfRule type="containsText" dxfId="1124" priority="3019" operator="containsText" text="Pesquisa de Preços">
      <formula>NOT(ISERROR(SEARCH("Pesquisa de Preços",D5347)))</formula>
    </cfRule>
  </conditionalFormatting>
  <conditionalFormatting sqref="D5348:D5349">
    <cfRule type="containsText" dxfId="1123" priority="3018" operator="containsText" text="Pesquisa de Preços">
      <formula>NOT(ISERROR(SEARCH("Pesquisa de Preços",D5348)))</formula>
    </cfRule>
  </conditionalFormatting>
  <conditionalFormatting sqref="D5350">
    <cfRule type="containsText" dxfId="1122" priority="3017" operator="containsText" text="Pesquisa de Preços">
      <formula>NOT(ISERROR(SEARCH("Pesquisa de Preços",D5350)))</formula>
    </cfRule>
  </conditionalFormatting>
  <conditionalFormatting sqref="E5348:E5349">
    <cfRule type="containsText" dxfId="1121" priority="3016" operator="containsText" text="Pesquisa de Preços">
      <formula>NOT(ISERROR(SEARCH("Pesquisa de Preços",E5348)))</formula>
    </cfRule>
  </conditionalFormatting>
  <conditionalFormatting sqref="E5347">
    <cfRule type="containsText" dxfId="1120" priority="3015" operator="containsText" text="Pesquisa de Preços">
      <formula>NOT(ISERROR(SEARCH("Pesquisa de Preços",E5347)))</formula>
    </cfRule>
  </conditionalFormatting>
  <conditionalFormatting sqref="E5350">
    <cfRule type="containsText" dxfId="1119" priority="3014" operator="containsText" text="Pesquisa de Preços">
      <formula>NOT(ISERROR(SEARCH("Pesquisa de Preços",E5350)))</formula>
    </cfRule>
  </conditionalFormatting>
  <conditionalFormatting sqref="D5354">
    <cfRule type="containsText" dxfId="1118" priority="3009" operator="containsText" text="Pesquisa de Preços">
      <formula>NOT(ISERROR(SEARCH("Pesquisa de Preços",D5354)))</formula>
    </cfRule>
  </conditionalFormatting>
  <conditionalFormatting sqref="D5355:D5356">
    <cfRule type="containsText" dxfId="1117" priority="3008" operator="containsText" text="Pesquisa de Preços">
      <formula>NOT(ISERROR(SEARCH("Pesquisa de Preços",D5355)))</formula>
    </cfRule>
  </conditionalFormatting>
  <conditionalFormatting sqref="D5357:D5358">
    <cfRule type="containsText" dxfId="1116" priority="3007" operator="containsText" text="Pesquisa de Preços">
      <formula>NOT(ISERROR(SEARCH("Pesquisa de Preços",D5357)))</formula>
    </cfRule>
  </conditionalFormatting>
  <conditionalFormatting sqref="E5355:E5356">
    <cfRule type="containsText" dxfId="1115" priority="3006" operator="containsText" text="Pesquisa de Preços">
      <formula>NOT(ISERROR(SEARCH("Pesquisa de Preços",E5355)))</formula>
    </cfRule>
  </conditionalFormatting>
  <conditionalFormatting sqref="E5354">
    <cfRule type="containsText" dxfId="1114" priority="3005" operator="containsText" text="Pesquisa de Preços">
      <formula>NOT(ISERROR(SEARCH("Pesquisa de Preços",E5354)))</formula>
    </cfRule>
  </conditionalFormatting>
  <conditionalFormatting sqref="E5357:E5358">
    <cfRule type="containsText" dxfId="1113" priority="3004" operator="containsText" text="Pesquisa de Preços">
      <formula>NOT(ISERROR(SEARCH("Pesquisa de Preços",E5357)))</formula>
    </cfRule>
  </conditionalFormatting>
  <conditionalFormatting sqref="E5352">
    <cfRule type="containsText" dxfId="1112" priority="3001" operator="containsText" text="Pesquisa de Preços">
      <formula>NOT(ISERROR(SEARCH("Pesquisa de Preços",E5352)))</formula>
    </cfRule>
  </conditionalFormatting>
  <conditionalFormatting sqref="D5359">
    <cfRule type="containsText" dxfId="1111" priority="3000" operator="containsText" text="Pesquisa de Preços">
      <formula>NOT(ISERROR(SEARCH("Pesquisa de Preços",D5359)))</formula>
    </cfRule>
  </conditionalFormatting>
  <conditionalFormatting sqref="E5359">
    <cfRule type="containsText" dxfId="1110" priority="2999" operator="containsText" text="Pesquisa de Preços">
      <formula>NOT(ISERROR(SEARCH("Pesquisa de Preços",E5359)))</formula>
    </cfRule>
  </conditionalFormatting>
  <conditionalFormatting sqref="D5351">
    <cfRule type="containsText" dxfId="1109" priority="2988" operator="containsText" text="Pesquisa de Preços">
      <formula>NOT(ISERROR(SEARCH("Pesquisa de Preços",D5351)))</formula>
    </cfRule>
  </conditionalFormatting>
  <conditionalFormatting sqref="E5351">
    <cfRule type="containsText" dxfId="1108" priority="2987" operator="containsText" text="Pesquisa de Preços">
      <formula>NOT(ISERROR(SEARCH("Pesquisa de Preços",E5351)))</formula>
    </cfRule>
  </conditionalFormatting>
  <conditionalFormatting sqref="D5352">
    <cfRule type="containsText" dxfId="1107" priority="2984" operator="containsText" text="Pesquisa de Preços">
      <formula>NOT(ISERROR(SEARCH("Pesquisa de Preços",D5352)))</formula>
    </cfRule>
  </conditionalFormatting>
  <conditionalFormatting sqref="E5375">
    <cfRule type="containsText" dxfId="1106" priority="2953" operator="containsText" text="Pesquisa de Preços">
      <formula>NOT(ISERROR(SEARCH("Pesquisa de Preços",E5375)))</formula>
    </cfRule>
  </conditionalFormatting>
  <conditionalFormatting sqref="D5365">
    <cfRule type="containsText" dxfId="1105" priority="2974" operator="containsText" text="Pesquisa de Preços">
      <formula>NOT(ISERROR(SEARCH("Pesquisa de Preços",D5365)))</formula>
    </cfRule>
  </conditionalFormatting>
  <conditionalFormatting sqref="D5361">
    <cfRule type="containsText" dxfId="1104" priority="2981" operator="containsText" text="Pesquisa de Preços">
      <formula>NOT(ISERROR(SEARCH("Pesquisa de Preços",D5361)))</formula>
    </cfRule>
  </conditionalFormatting>
  <conditionalFormatting sqref="D5363">
    <cfRule type="containsText" dxfId="1103" priority="2971" operator="containsText" text="Pesquisa de Preços">
      <formula>NOT(ISERROR(SEARCH("Pesquisa de Preços",D5363)))</formula>
    </cfRule>
  </conditionalFormatting>
  <conditionalFormatting sqref="E5363">
    <cfRule type="containsText" dxfId="1102" priority="2970" operator="containsText" text="Pesquisa de Preços">
      <formula>NOT(ISERROR(SEARCH("Pesquisa de Preços",E5363)))</formula>
    </cfRule>
  </conditionalFormatting>
  <conditionalFormatting sqref="D5367">
    <cfRule type="containsText" dxfId="1101" priority="2967" operator="containsText" text="Pesquisa de Preços">
      <formula>NOT(ISERROR(SEARCH("Pesquisa de Preços",D5367)))</formula>
    </cfRule>
  </conditionalFormatting>
  <conditionalFormatting sqref="D5370">
    <cfRule type="containsText" dxfId="1100" priority="2964" operator="containsText" text="Pesquisa de Preços">
      <formula>NOT(ISERROR(SEARCH("Pesquisa de Preços",D5370)))</formula>
    </cfRule>
  </conditionalFormatting>
  <conditionalFormatting sqref="D5368 D5371:D5372">
    <cfRule type="containsText" dxfId="1099" priority="2966" operator="containsText" text="Pesquisa de Preços">
      <formula>NOT(ISERROR(SEARCH("Pesquisa de Preços",D5368)))</formula>
    </cfRule>
  </conditionalFormatting>
  <conditionalFormatting sqref="D5369">
    <cfRule type="containsText" dxfId="1098" priority="2965" operator="containsText" text="Pesquisa de Preços">
      <formula>NOT(ISERROR(SEARCH("Pesquisa de Preços",D5369)))</formula>
    </cfRule>
  </conditionalFormatting>
  <conditionalFormatting sqref="E5372">
    <cfRule type="containsText" dxfId="1097" priority="2963" operator="containsText" text="Pesquisa de Preços">
      <formula>NOT(ISERROR(SEARCH("Pesquisa de Preços",E5372)))</formula>
    </cfRule>
  </conditionalFormatting>
  <conditionalFormatting sqref="D5373">
    <cfRule type="containsText" dxfId="1096" priority="2960" operator="containsText" text="Pesquisa de Preços">
      <formula>NOT(ISERROR(SEARCH("Pesquisa de Preços",D5373)))</formula>
    </cfRule>
  </conditionalFormatting>
  <conditionalFormatting sqref="D5374 D5378:D5379">
    <cfRule type="containsText" dxfId="1095" priority="2959" operator="containsText" text="Pesquisa de Preços">
      <formula>NOT(ISERROR(SEARCH("Pesquisa de Preços",D5374)))</formula>
    </cfRule>
  </conditionalFormatting>
  <conditionalFormatting sqref="D5376">
    <cfRule type="containsText" dxfId="1094" priority="2957" operator="containsText" text="Pesquisa de Preços">
      <formula>NOT(ISERROR(SEARCH("Pesquisa de Preços",D5376)))</formula>
    </cfRule>
  </conditionalFormatting>
  <conditionalFormatting sqref="D5375">
    <cfRule type="containsText" dxfId="1093" priority="2958" operator="containsText" text="Pesquisa de Preços">
      <formula>NOT(ISERROR(SEARCH("Pesquisa de Preços",D5375)))</formula>
    </cfRule>
  </conditionalFormatting>
  <conditionalFormatting sqref="D5377">
    <cfRule type="containsText" dxfId="1092" priority="2956" operator="containsText" text="Pesquisa de Preços">
      <formula>NOT(ISERROR(SEARCH("Pesquisa de Preços",D5377)))</formula>
    </cfRule>
  </conditionalFormatting>
  <conditionalFormatting sqref="E5373">
    <cfRule type="containsText" dxfId="1091" priority="2954" operator="containsText" text="Pesquisa de Preços">
      <formula>NOT(ISERROR(SEARCH("Pesquisa de Preços",E5373)))</formula>
    </cfRule>
  </conditionalFormatting>
  <conditionalFormatting sqref="E5374 E5378:E5379">
    <cfRule type="containsText" dxfId="1090" priority="2955" operator="containsText" text="Pesquisa de Preços">
      <formula>NOT(ISERROR(SEARCH("Pesquisa de Preços",E5374)))</formula>
    </cfRule>
  </conditionalFormatting>
  <conditionalFormatting sqref="E5377">
    <cfRule type="containsText" dxfId="1089" priority="2952" operator="containsText" text="Pesquisa de Preços">
      <formula>NOT(ISERROR(SEARCH("Pesquisa de Preços",E5377)))</formula>
    </cfRule>
  </conditionalFormatting>
  <conditionalFormatting sqref="E5382">
    <cfRule type="containsText" dxfId="1088" priority="2943" operator="containsText" text="Pesquisa de Preços">
      <formula>NOT(ISERROR(SEARCH("Pesquisa de Preços",E5382)))</formula>
    </cfRule>
  </conditionalFormatting>
  <conditionalFormatting sqref="D5380">
    <cfRule type="containsText" dxfId="1087" priority="2949" operator="containsText" text="Pesquisa de Preços">
      <formula>NOT(ISERROR(SEARCH("Pesquisa de Preços",D5380)))</formula>
    </cfRule>
  </conditionalFormatting>
  <conditionalFormatting sqref="D5381 D5385">
    <cfRule type="containsText" dxfId="1086" priority="2948" operator="containsText" text="Pesquisa de Preços">
      <formula>NOT(ISERROR(SEARCH("Pesquisa de Preços",D5381)))</formula>
    </cfRule>
  </conditionalFormatting>
  <conditionalFormatting sqref="D5383">
    <cfRule type="containsText" dxfId="1085" priority="2946" operator="containsText" text="Pesquisa de Preços">
      <formula>NOT(ISERROR(SEARCH("Pesquisa de Preços",D5383)))</formula>
    </cfRule>
  </conditionalFormatting>
  <conditionalFormatting sqref="D5382">
    <cfRule type="containsText" dxfId="1084" priority="2947" operator="containsText" text="Pesquisa de Preços">
      <formula>NOT(ISERROR(SEARCH("Pesquisa de Preços",D5382)))</formula>
    </cfRule>
  </conditionalFormatting>
  <conditionalFormatting sqref="E5387 E5391">
    <cfRule type="containsText" dxfId="1083" priority="2936" operator="containsText" text="Pesquisa de Preços">
      <formula>NOT(ISERROR(SEARCH("Pesquisa de Preços",E5387)))</formula>
    </cfRule>
  </conditionalFormatting>
  <conditionalFormatting sqref="E5380">
    <cfRule type="containsText" dxfId="1082" priority="2944" operator="containsText" text="Pesquisa de Preços">
      <formula>NOT(ISERROR(SEARCH("Pesquisa de Preços",E5380)))</formula>
    </cfRule>
  </conditionalFormatting>
  <conditionalFormatting sqref="E5381 E5385">
    <cfRule type="containsText" dxfId="1081" priority="2945" operator="containsText" text="Pesquisa de Preços">
      <formula>NOT(ISERROR(SEARCH("Pesquisa de Preços",E5381)))</formula>
    </cfRule>
  </conditionalFormatting>
  <conditionalFormatting sqref="E5388">
    <cfRule type="containsText" dxfId="1080" priority="2934" operator="containsText" text="Pesquisa de Preços">
      <formula>NOT(ISERROR(SEARCH("Pesquisa de Preços",E5388)))</formula>
    </cfRule>
  </conditionalFormatting>
  <conditionalFormatting sqref="D5386">
    <cfRule type="containsText" dxfId="1079" priority="2940" operator="containsText" text="Pesquisa de Preços">
      <formula>NOT(ISERROR(SEARCH("Pesquisa de Preços",D5386)))</formula>
    </cfRule>
  </conditionalFormatting>
  <conditionalFormatting sqref="D5387 D5391">
    <cfRule type="containsText" dxfId="1078" priority="2939" operator="containsText" text="Pesquisa de Preços">
      <formula>NOT(ISERROR(SEARCH("Pesquisa de Preços",D5387)))</formula>
    </cfRule>
  </conditionalFormatting>
  <conditionalFormatting sqref="D5389">
    <cfRule type="containsText" dxfId="1077" priority="2937" operator="containsText" text="Pesquisa de Preços">
      <formula>NOT(ISERROR(SEARCH("Pesquisa de Preços",D5389)))</formula>
    </cfRule>
  </conditionalFormatting>
  <conditionalFormatting sqref="D5388">
    <cfRule type="containsText" dxfId="1076" priority="2938" operator="containsText" text="Pesquisa de Preços">
      <formula>NOT(ISERROR(SEARCH("Pesquisa de Preços",D5388)))</formula>
    </cfRule>
  </conditionalFormatting>
  <conditionalFormatting sqref="E5386">
    <cfRule type="containsText" dxfId="1075" priority="2935" operator="containsText" text="Pesquisa de Preços">
      <formula>NOT(ISERROR(SEARCH("Pesquisa de Preços",E5386)))</formula>
    </cfRule>
  </conditionalFormatting>
  <conditionalFormatting sqref="D5392">
    <cfRule type="containsText" dxfId="1074" priority="2931" operator="containsText" text="Pesquisa de Preços">
      <formula>NOT(ISERROR(SEARCH("Pesquisa de Preços",D5392)))</formula>
    </cfRule>
  </conditionalFormatting>
  <conditionalFormatting sqref="D5398:D5399 D5393:D5394">
    <cfRule type="containsText" dxfId="1073" priority="2930" operator="containsText" text="Pesquisa de Preços">
      <formula>NOT(ISERROR(SEARCH("Pesquisa de Preços",D5393)))</formula>
    </cfRule>
  </conditionalFormatting>
  <conditionalFormatting sqref="E5392">
    <cfRule type="containsText" dxfId="1072" priority="2928" operator="containsText" text="Pesquisa de Preços">
      <formula>NOT(ISERROR(SEARCH("Pesquisa de Preços",E5392)))</formula>
    </cfRule>
  </conditionalFormatting>
  <conditionalFormatting sqref="E5393 E5399">
    <cfRule type="containsText" dxfId="1071" priority="2929" operator="containsText" text="Pesquisa de Preços">
      <formula>NOT(ISERROR(SEARCH("Pesquisa de Preços",E5393)))</formula>
    </cfRule>
  </conditionalFormatting>
  <conditionalFormatting sqref="E5394">
    <cfRule type="containsText" dxfId="1070" priority="2927" operator="containsText" text="Pesquisa de Preços">
      <formula>NOT(ISERROR(SEARCH("Pesquisa de Preços",E5394)))</formula>
    </cfRule>
  </conditionalFormatting>
  <conditionalFormatting sqref="D5400">
    <cfRule type="containsText" dxfId="1069" priority="2924" operator="containsText" text="Pesquisa de Preços">
      <formula>NOT(ISERROR(SEARCH("Pesquisa de Preços",D5400)))</formula>
    </cfRule>
  </conditionalFormatting>
  <conditionalFormatting sqref="D5406:D5407 D5401:D5402">
    <cfRule type="containsText" dxfId="1068" priority="2923" operator="containsText" text="Pesquisa de Preços">
      <formula>NOT(ISERROR(SEARCH("Pesquisa de Preços",D5401)))</formula>
    </cfRule>
  </conditionalFormatting>
  <conditionalFormatting sqref="E5400">
    <cfRule type="containsText" dxfId="1067" priority="2921" operator="containsText" text="Pesquisa de Preços">
      <formula>NOT(ISERROR(SEARCH("Pesquisa de Preços",E5400)))</formula>
    </cfRule>
  </conditionalFormatting>
  <conditionalFormatting sqref="E5401 E5407">
    <cfRule type="containsText" dxfId="1066" priority="2922" operator="containsText" text="Pesquisa de Preços">
      <formula>NOT(ISERROR(SEARCH("Pesquisa de Preços",E5401)))</formula>
    </cfRule>
  </conditionalFormatting>
  <conditionalFormatting sqref="E5402">
    <cfRule type="containsText" dxfId="1065" priority="2920" operator="containsText" text="Pesquisa de Preços">
      <formula>NOT(ISERROR(SEARCH("Pesquisa de Preços",E5402)))</formula>
    </cfRule>
  </conditionalFormatting>
  <conditionalFormatting sqref="D5408">
    <cfRule type="containsText" dxfId="1064" priority="2917" operator="containsText" text="Pesquisa de Preços">
      <formula>NOT(ISERROR(SEARCH("Pesquisa de Preços",D5408)))</formula>
    </cfRule>
  </conditionalFormatting>
  <conditionalFormatting sqref="D5414:D5415 D5409:D5410">
    <cfRule type="containsText" dxfId="1063" priority="2916" operator="containsText" text="Pesquisa de Preços">
      <formula>NOT(ISERROR(SEARCH("Pesquisa de Preços",D5409)))</formula>
    </cfRule>
  </conditionalFormatting>
  <conditionalFormatting sqref="E5408">
    <cfRule type="containsText" dxfId="1062" priority="2914" operator="containsText" text="Pesquisa de Preços">
      <formula>NOT(ISERROR(SEARCH("Pesquisa de Preços",E5408)))</formula>
    </cfRule>
  </conditionalFormatting>
  <conditionalFormatting sqref="E5409 E5415">
    <cfRule type="containsText" dxfId="1061" priority="2915" operator="containsText" text="Pesquisa de Preços">
      <formula>NOT(ISERROR(SEARCH("Pesquisa de Preços",E5409)))</formula>
    </cfRule>
  </conditionalFormatting>
  <conditionalFormatting sqref="E5410">
    <cfRule type="containsText" dxfId="1060" priority="2913" operator="containsText" text="Pesquisa de Preços">
      <formula>NOT(ISERROR(SEARCH("Pesquisa de Preços",E5410)))</formula>
    </cfRule>
  </conditionalFormatting>
  <conditionalFormatting sqref="D5416">
    <cfRule type="containsText" dxfId="1059" priority="2912" operator="containsText" text="Pesquisa de Preços">
      <formula>NOT(ISERROR(SEARCH("Pesquisa de Preços",D5416)))</formula>
    </cfRule>
  </conditionalFormatting>
  <conditionalFormatting sqref="D5417:D5418">
    <cfRule type="containsText" dxfId="1058" priority="2911" operator="containsText" text="Pesquisa de Preços">
      <formula>NOT(ISERROR(SEARCH("Pesquisa de Preços",D5417)))</formula>
    </cfRule>
  </conditionalFormatting>
  <conditionalFormatting sqref="E5416">
    <cfRule type="containsText" dxfId="1057" priority="2909" operator="containsText" text="Pesquisa de Preços">
      <formula>NOT(ISERROR(SEARCH("Pesquisa de Preços",E5416)))</formula>
    </cfRule>
  </conditionalFormatting>
  <conditionalFormatting sqref="E5417 E5422">
    <cfRule type="containsText" dxfId="1056" priority="2910" operator="containsText" text="Pesquisa de Preços">
      <formula>NOT(ISERROR(SEARCH("Pesquisa de Preços",E5417)))</formula>
    </cfRule>
  </conditionalFormatting>
  <conditionalFormatting sqref="E5418">
    <cfRule type="containsText" dxfId="1055" priority="2908" operator="containsText" text="Pesquisa de Preços">
      <formula>NOT(ISERROR(SEARCH("Pesquisa de Preços",E5418)))</formula>
    </cfRule>
  </conditionalFormatting>
  <conditionalFormatting sqref="D5427 D5432">
    <cfRule type="containsText" dxfId="1054" priority="2907" operator="containsText" text="Pesquisa de Preços">
      <formula>NOT(ISERROR(SEARCH("Pesquisa de Preços",D5427)))</formula>
    </cfRule>
  </conditionalFormatting>
  <conditionalFormatting sqref="D5423">
    <cfRule type="containsText" dxfId="1053" priority="2904" operator="containsText" text="Pesquisa de Preços">
      <formula>NOT(ISERROR(SEARCH("Pesquisa de Preços",D5423)))</formula>
    </cfRule>
  </conditionalFormatting>
  <conditionalFormatting sqref="D5426">
    <cfRule type="containsText" dxfId="1052" priority="2901" operator="containsText" text="Pesquisa de Preços">
      <formula>NOT(ISERROR(SEARCH("Pesquisa de Preços",D5426)))</formula>
    </cfRule>
  </conditionalFormatting>
  <conditionalFormatting sqref="D5424">
    <cfRule type="containsText" dxfId="1051" priority="2903" operator="containsText" text="Pesquisa de Preços">
      <formula>NOT(ISERROR(SEARCH("Pesquisa de Preços",D5424)))</formula>
    </cfRule>
  </conditionalFormatting>
  <conditionalFormatting sqref="D5425">
    <cfRule type="containsText" dxfId="1050" priority="2902" operator="containsText" text="Pesquisa de Preços">
      <formula>NOT(ISERROR(SEARCH("Pesquisa de Preços",D5425)))</formula>
    </cfRule>
  </conditionalFormatting>
  <conditionalFormatting sqref="E5432">
    <cfRule type="containsText" dxfId="1049" priority="2900" operator="containsText" text="Pesquisa de Preços">
      <formula>NOT(ISERROR(SEARCH("Pesquisa de Preços",E5432)))</formula>
    </cfRule>
  </conditionalFormatting>
  <conditionalFormatting sqref="D5430">
    <cfRule type="containsText" dxfId="1048" priority="2899" operator="containsText" text="Pesquisa de Preços">
      <formula>NOT(ISERROR(SEARCH("Pesquisa de Preços",D5430)))</formula>
    </cfRule>
  </conditionalFormatting>
  <conditionalFormatting sqref="D5429">
    <cfRule type="containsText" dxfId="1047" priority="2895" operator="containsText" text="Pesquisa de Preços">
      <formula>NOT(ISERROR(SEARCH("Pesquisa de Preços",D5429)))</formula>
    </cfRule>
  </conditionalFormatting>
  <conditionalFormatting sqref="D5428">
    <cfRule type="containsText" dxfId="1046" priority="2896" operator="containsText" text="Pesquisa de Preços">
      <formula>NOT(ISERROR(SEARCH("Pesquisa de Preços",D5428)))</formula>
    </cfRule>
  </conditionalFormatting>
  <conditionalFormatting sqref="D5431">
    <cfRule type="containsText" dxfId="1045" priority="2894" operator="containsText" text="Pesquisa de Preços">
      <formula>NOT(ISERROR(SEARCH("Pesquisa de Preços",D5431)))</formula>
    </cfRule>
  </conditionalFormatting>
  <conditionalFormatting sqref="D5435">
    <cfRule type="containsText" dxfId="1044" priority="2884" operator="containsText" text="Pesquisa de Preços">
      <formula>NOT(ISERROR(SEARCH("Pesquisa de Preços",D5435)))</formula>
    </cfRule>
  </conditionalFormatting>
  <conditionalFormatting sqref="D5436">
    <cfRule type="containsText" dxfId="1043" priority="2883" operator="containsText" text="Pesquisa de Preços">
      <formula>NOT(ISERROR(SEARCH("Pesquisa de Preços",D5436)))</formula>
    </cfRule>
  </conditionalFormatting>
  <conditionalFormatting sqref="D5439">
    <cfRule type="containsText" dxfId="1042" priority="2877" operator="containsText" text="Pesquisa de Preços">
      <formula>NOT(ISERROR(SEARCH("Pesquisa de Preços",D5439)))</formula>
    </cfRule>
  </conditionalFormatting>
  <conditionalFormatting sqref="D5438">
    <cfRule type="containsText" dxfId="1041" priority="2878" operator="containsText" text="Pesquisa de Preços">
      <formula>NOT(ISERROR(SEARCH("Pesquisa de Preços",D5438)))</formula>
    </cfRule>
  </conditionalFormatting>
  <conditionalFormatting sqref="D5443">
    <cfRule type="containsText" dxfId="1040" priority="2876" operator="containsText" text="Pesquisa de Preços">
      <formula>NOT(ISERROR(SEARCH("Pesquisa de Preços",D5443)))</formula>
    </cfRule>
  </conditionalFormatting>
  <conditionalFormatting sqref="D5442">
    <cfRule type="containsText" dxfId="1039" priority="2872" operator="containsText" text="Pesquisa de Preços">
      <formula>NOT(ISERROR(SEARCH("Pesquisa de Preços",D5442)))</formula>
    </cfRule>
  </conditionalFormatting>
  <conditionalFormatting sqref="D5437 D5444">
    <cfRule type="containsText" dxfId="1038" priority="2889" operator="containsText" text="Pesquisa de Preços">
      <formula>NOT(ISERROR(SEARCH("Pesquisa de Preços",D5437)))</formula>
    </cfRule>
  </conditionalFormatting>
  <conditionalFormatting sqref="D5433">
    <cfRule type="containsText" dxfId="1037" priority="2886" operator="containsText" text="Pesquisa de Preços">
      <formula>NOT(ISERROR(SEARCH("Pesquisa de Preços",D5433)))</formula>
    </cfRule>
  </conditionalFormatting>
  <conditionalFormatting sqref="D5434">
    <cfRule type="containsText" dxfId="1036" priority="2885" operator="containsText" text="Pesquisa de Preços">
      <formula>NOT(ISERROR(SEARCH("Pesquisa de Preços",D5434)))</formula>
    </cfRule>
  </conditionalFormatting>
  <conditionalFormatting sqref="E5444">
    <cfRule type="containsText" dxfId="1035" priority="2882" operator="containsText" text="Pesquisa de Preços">
      <formula>NOT(ISERROR(SEARCH("Pesquisa de Preços",E5444)))</formula>
    </cfRule>
  </conditionalFormatting>
  <conditionalFormatting sqref="D5440">
    <cfRule type="containsText" dxfId="1034" priority="2881" operator="containsText" text="Pesquisa de Preços">
      <formula>NOT(ISERROR(SEARCH("Pesquisa de Preços",D5440)))</formula>
    </cfRule>
  </conditionalFormatting>
  <conditionalFormatting sqref="D5441">
    <cfRule type="containsText" dxfId="1033" priority="2873" operator="containsText" text="Pesquisa de Preços">
      <formula>NOT(ISERROR(SEARCH("Pesquisa de Preços",D5441)))</formula>
    </cfRule>
  </conditionalFormatting>
  <conditionalFormatting sqref="D5450">
    <cfRule type="containsText" dxfId="1032" priority="2861" operator="containsText" text="Pesquisa de Preços">
      <formula>NOT(ISERROR(SEARCH("Pesquisa de Preços",D5450)))</formula>
    </cfRule>
  </conditionalFormatting>
  <conditionalFormatting sqref="D5445">
    <cfRule type="containsText" dxfId="1031" priority="2860" operator="containsText" text="Pesquisa de Preços">
      <formula>NOT(ISERROR(SEARCH("Pesquisa de Preços",D5445)))</formula>
    </cfRule>
  </conditionalFormatting>
  <conditionalFormatting sqref="D5446:D5447">
    <cfRule type="containsText" dxfId="1030" priority="2859" operator="containsText" text="Pesquisa de Preços">
      <formula>NOT(ISERROR(SEARCH("Pesquisa de Preços",D5446)))</formula>
    </cfRule>
  </conditionalFormatting>
  <conditionalFormatting sqref="E5445">
    <cfRule type="containsText" dxfId="1029" priority="2857" operator="containsText" text="Pesquisa de Preços">
      <formula>NOT(ISERROR(SEARCH("Pesquisa de Preços",E5445)))</formula>
    </cfRule>
  </conditionalFormatting>
  <conditionalFormatting sqref="E5446 E5450">
    <cfRule type="containsText" dxfId="1028" priority="2858" operator="containsText" text="Pesquisa de Preços">
      <formula>NOT(ISERROR(SEARCH("Pesquisa de Preços",E5446)))</formula>
    </cfRule>
  </conditionalFormatting>
  <conditionalFormatting sqref="E5447">
    <cfRule type="containsText" dxfId="1027" priority="2856" operator="containsText" text="Pesquisa de Preços">
      <formula>NOT(ISERROR(SEARCH("Pesquisa de Preços",E5447)))</formula>
    </cfRule>
  </conditionalFormatting>
  <conditionalFormatting sqref="D5456">
    <cfRule type="containsText" dxfId="1026" priority="2853" operator="containsText" text="Pesquisa de Preços">
      <formula>NOT(ISERROR(SEARCH("Pesquisa de Preços",D5456)))</formula>
    </cfRule>
  </conditionalFormatting>
  <conditionalFormatting sqref="D5451">
    <cfRule type="containsText" dxfId="1025" priority="2852" operator="containsText" text="Pesquisa de Preços">
      <formula>NOT(ISERROR(SEARCH("Pesquisa de Preços",D5451)))</formula>
    </cfRule>
  </conditionalFormatting>
  <conditionalFormatting sqref="D5452:D5453">
    <cfRule type="containsText" dxfId="1024" priority="2851" operator="containsText" text="Pesquisa de Preços">
      <formula>NOT(ISERROR(SEARCH("Pesquisa de Preços",D5452)))</formula>
    </cfRule>
  </conditionalFormatting>
  <conditionalFormatting sqref="E5451">
    <cfRule type="containsText" dxfId="1023" priority="2849" operator="containsText" text="Pesquisa de Preços">
      <formula>NOT(ISERROR(SEARCH("Pesquisa de Preços",E5451)))</formula>
    </cfRule>
  </conditionalFormatting>
  <conditionalFormatting sqref="E5452 E5456">
    <cfRule type="containsText" dxfId="1022" priority="2850" operator="containsText" text="Pesquisa de Preços">
      <formula>NOT(ISERROR(SEARCH("Pesquisa de Preços",E5452)))</formula>
    </cfRule>
  </conditionalFormatting>
  <conditionalFormatting sqref="E5453">
    <cfRule type="containsText" dxfId="1021" priority="2848" operator="containsText" text="Pesquisa de Preços">
      <formula>NOT(ISERROR(SEARCH("Pesquisa de Preços",E5453)))</formula>
    </cfRule>
  </conditionalFormatting>
  <conditionalFormatting sqref="D5457">
    <cfRule type="containsText" dxfId="1020" priority="2847" operator="containsText" text="Pesquisa de Preços">
      <formula>NOT(ISERROR(SEARCH("Pesquisa de Preços",D5457)))</formula>
    </cfRule>
  </conditionalFormatting>
  <conditionalFormatting sqref="D5458 D5462:D5463">
    <cfRule type="containsText" dxfId="1019" priority="2846" operator="containsText" text="Pesquisa de Preços">
      <formula>NOT(ISERROR(SEARCH("Pesquisa de Preços",D5458)))</formula>
    </cfRule>
  </conditionalFormatting>
  <conditionalFormatting sqref="D5459">
    <cfRule type="containsText" dxfId="1018" priority="2845" operator="containsText" text="Pesquisa de Preços">
      <formula>NOT(ISERROR(SEARCH("Pesquisa de Preços",D5459)))</formula>
    </cfRule>
  </conditionalFormatting>
  <conditionalFormatting sqref="D5460">
    <cfRule type="containsText" dxfId="1017" priority="2844" operator="containsText" text="Pesquisa de Preços">
      <formula>NOT(ISERROR(SEARCH("Pesquisa de Preços",D5460)))</formula>
    </cfRule>
  </conditionalFormatting>
  <conditionalFormatting sqref="D5461">
    <cfRule type="containsText" dxfId="1016" priority="2843" operator="containsText" text="Pesquisa de Preços">
      <formula>NOT(ISERROR(SEARCH("Pesquisa de Preços",D5461)))</formula>
    </cfRule>
  </conditionalFormatting>
  <conditionalFormatting sqref="E5458 E5462:E5463">
    <cfRule type="containsText" dxfId="1015" priority="2842" operator="containsText" text="Pesquisa de Preços">
      <formula>NOT(ISERROR(SEARCH("Pesquisa de Preços",E5458)))</formula>
    </cfRule>
  </conditionalFormatting>
  <conditionalFormatting sqref="E5457">
    <cfRule type="containsText" dxfId="1014" priority="2841" operator="containsText" text="Pesquisa de Preços">
      <formula>NOT(ISERROR(SEARCH("Pesquisa de Preços",E5457)))</formula>
    </cfRule>
  </conditionalFormatting>
  <conditionalFormatting sqref="E5461">
    <cfRule type="containsText" dxfId="1013" priority="2839" operator="containsText" text="Pesquisa de Preços">
      <formula>NOT(ISERROR(SEARCH("Pesquisa de Preços",E5461)))</formula>
    </cfRule>
  </conditionalFormatting>
  <conditionalFormatting sqref="E5459">
    <cfRule type="containsText" dxfId="1012" priority="2840" operator="containsText" text="Pesquisa de Preços">
      <formula>NOT(ISERROR(SEARCH("Pesquisa de Preços",E5459)))</formula>
    </cfRule>
  </conditionalFormatting>
  <conditionalFormatting sqref="D5469">
    <cfRule type="containsText" dxfId="1011" priority="2834" operator="containsText" text="Pesquisa de Preços">
      <formula>NOT(ISERROR(SEARCH("Pesquisa de Preços",D5469)))</formula>
    </cfRule>
  </conditionalFormatting>
  <conditionalFormatting sqref="D5464">
    <cfRule type="containsText" dxfId="1010" priority="2833" operator="containsText" text="Pesquisa de Preços">
      <formula>NOT(ISERROR(SEARCH("Pesquisa de Preços",D5464)))</formula>
    </cfRule>
  </conditionalFormatting>
  <conditionalFormatting sqref="D5465:D5466">
    <cfRule type="containsText" dxfId="1009" priority="2832" operator="containsText" text="Pesquisa de Preços">
      <formula>NOT(ISERROR(SEARCH("Pesquisa de Preços",D5465)))</formula>
    </cfRule>
  </conditionalFormatting>
  <conditionalFormatting sqref="E5464">
    <cfRule type="containsText" dxfId="1008" priority="2830" operator="containsText" text="Pesquisa de Preços">
      <formula>NOT(ISERROR(SEARCH("Pesquisa de Preços",E5464)))</formula>
    </cfRule>
  </conditionalFormatting>
  <conditionalFormatting sqref="E5465 E5469">
    <cfRule type="containsText" dxfId="1007" priority="2831" operator="containsText" text="Pesquisa de Preços">
      <formula>NOT(ISERROR(SEARCH("Pesquisa de Preços",E5465)))</formula>
    </cfRule>
  </conditionalFormatting>
  <conditionalFormatting sqref="E5466">
    <cfRule type="containsText" dxfId="1006" priority="2829" operator="containsText" text="Pesquisa de Preços">
      <formula>NOT(ISERROR(SEARCH("Pesquisa de Preços",E5466)))</formula>
    </cfRule>
  </conditionalFormatting>
  <conditionalFormatting sqref="D5475">
    <cfRule type="containsText" dxfId="1005" priority="2826" operator="containsText" text="Pesquisa de Preços">
      <formula>NOT(ISERROR(SEARCH("Pesquisa de Preços",D5475)))</formula>
    </cfRule>
  </conditionalFormatting>
  <conditionalFormatting sqref="D5470">
    <cfRule type="containsText" dxfId="1004" priority="2825" operator="containsText" text="Pesquisa de Preços">
      <formula>NOT(ISERROR(SEARCH("Pesquisa de Preços",D5470)))</formula>
    </cfRule>
  </conditionalFormatting>
  <conditionalFormatting sqref="D5471">
    <cfRule type="containsText" dxfId="1003" priority="2824" operator="containsText" text="Pesquisa de Preços">
      <formula>NOT(ISERROR(SEARCH("Pesquisa de Preços",D5471)))</formula>
    </cfRule>
  </conditionalFormatting>
  <conditionalFormatting sqref="E5470">
    <cfRule type="containsText" dxfId="1002" priority="2822" operator="containsText" text="Pesquisa de Preços">
      <formula>NOT(ISERROR(SEARCH("Pesquisa de Preços",E5470)))</formula>
    </cfRule>
  </conditionalFormatting>
  <conditionalFormatting sqref="E5471 E5475">
    <cfRule type="containsText" dxfId="1001" priority="2823" operator="containsText" text="Pesquisa de Preços">
      <formula>NOT(ISERROR(SEARCH("Pesquisa de Preços",E5471)))</formula>
    </cfRule>
  </conditionalFormatting>
  <conditionalFormatting sqref="D5472">
    <cfRule type="containsText" dxfId="1000" priority="2821" operator="containsText" text="Pesquisa de Preços">
      <formula>NOT(ISERROR(SEARCH("Pesquisa de Preços",D5472)))</formula>
    </cfRule>
  </conditionalFormatting>
  <conditionalFormatting sqref="E5472">
    <cfRule type="containsText" dxfId="999" priority="2820" operator="containsText" text="Pesquisa de Preços">
      <formula>NOT(ISERROR(SEARCH("Pesquisa de Preços",E5472)))</formula>
    </cfRule>
  </conditionalFormatting>
  <conditionalFormatting sqref="D5480">
    <cfRule type="containsText" dxfId="998" priority="2819" operator="containsText" text="Pesquisa de Preços">
      <formula>NOT(ISERROR(SEARCH("Pesquisa de Preços",D5480)))</formula>
    </cfRule>
  </conditionalFormatting>
  <conditionalFormatting sqref="E5477 E5481">
    <cfRule type="containsText" dxfId="997" priority="2814" operator="containsText" text="Pesquisa de Preços">
      <formula>NOT(ISERROR(SEARCH("Pesquisa de Preços",E5477)))</formula>
    </cfRule>
  </conditionalFormatting>
  <conditionalFormatting sqref="E5478">
    <cfRule type="containsText" dxfId="996" priority="2812" operator="containsText" text="Pesquisa de Preços">
      <formula>NOT(ISERROR(SEARCH("Pesquisa de Preços",E5478)))</formula>
    </cfRule>
  </conditionalFormatting>
  <conditionalFormatting sqref="D5476">
    <cfRule type="containsText" dxfId="995" priority="2818" operator="containsText" text="Pesquisa de Preços">
      <formula>NOT(ISERROR(SEARCH("Pesquisa de Preços",D5476)))</formula>
    </cfRule>
  </conditionalFormatting>
  <conditionalFormatting sqref="D5477 D5481">
    <cfRule type="containsText" dxfId="994" priority="2817" operator="containsText" text="Pesquisa de Preços">
      <formula>NOT(ISERROR(SEARCH("Pesquisa de Preços",D5477)))</formula>
    </cfRule>
  </conditionalFormatting>
  <conditionalFormatting sqref="D5479">
    <cfRule type="containsText" dxfId="993" priority="2815" operator="containsText" text="Pesquisa de Preços">
      <formula>NOT(ISERROR(SEARCH("Pesquisa de Preços",D5479)))</formula>
    </cfRule>
  </conditionalFormatting>
  <conditionalFormatting sqref="D5478">
    <cfRule type="containsText" dxfId="992" priority="2816" operator="containsText" text="Pesquisa de Preços">
      <formula>NOT(ISERROR(SEARCH("Pesquisa de Preços",D5478)))</formula>
    </cfRule>
  </conditionalFormatting>
  <conditionalFormatting sqref="E5476">
    <cfRule type="containsText" dxfId="991" priority="2813" operator="containsText" text="Pesquisa de Preços">
      <formula>NOT(ISERROR(SEARCH("Pesquisa de Preços",E5476)))</formula>
    </cfRule>
  </conditionalFormatting>
  <conditionalFormatting sqref="E5479">
    <cfRule type="containsText" dxfId="990" priority="2807" operator="containsText" text="Pesquisa de Preços">
      <formula>NOT(ISERROR(SEARCH("Pesquisa de Preços",E5479)))</formula>
    </cfRule>
  </conditionalFormatting>
  <conditionalFormatting sqref="E5483 E5485">
    <cfRule type="containsText" dxfId="989" priority="2803" operator="containsText" text="Pesquisa de Preços">
      <formula>NOT(ISERROR(SEARCH("Pesquisa de Preços",E5483)))</formula>
    </cfRule>
  </conditionalFormatting>
  <conditionalFormatting sqref="E5484">
    <cfRule type="containsText" dxfId="988" priority="2801" operator="containsText" text="Pesquisa de Preços">
      <formula>NOT(ISERROR(SEARCH("Pesquisa de Preços",E5484)))</formula>
    </cfRule>
  </conditionalFormatting>
  <conditionalFormatting sqref="D5482">
    <cfRule type="containsText" dxfId="987" priority="2806" operator="containsText" text="Pesquisa de Preços">
      <formula>NOT(ISERROR(SEARCH("Pesquisa de Preços",D5482)))</formula>
    </cfRule>
  </conditionalFormatting>
  <conditionalFormatting sqref="D5483 D5485">
    <cfRule type="containsText" dxfId="986" priority="2805" operator="containsText" text="Pesquisa de Preços">
      <formula>NOT(ISERROR(SEARCH("Pesquisa de Preços",D5483)))</formula>
    </cfRule>
  </conditionalFormatting>
  <conditionalFormatting sqref="D5484">
    <cfRule type="containsText" dxfId="985" priority="2804" operator="containsText" text="Pesquisa de Preços">
      <formula>NOT(ISERROR(SEARCH("Pesquisa de Preços",D5484)))</formula>
    </cfRule>
  </conditionalFormatting>
  <conditionalFormatting sqref="E5482">
    <cfRule type="containsText" dxfId="984" priority="2802" operator="containsText" text="Pesquisa de Preços">
      <formula>NOT(ISERROR(SEARCH("Pesquisa de Preços",E5482)))</formula>
    </cfRule>
  </conditionalFormatting>
  <conditionalFormatting sqref="E5494 E5496">
    <cfRule type="containsText" dxfId="983" priority="2795" operator="containsText" text="Pesquisa de Preços">
      <formula>NOT(ISERROR(SEARCH("Pesquisa de Preços",E5494)))</formula>
    </cfRule>
  </conditionalFormatting>
  <conditionalFormatting sqref="E5495">
    <cfRule type="containsText" dxfId="982" priority="2793" operator="containsText" text="Pesquisa de Preços">
      <formula>NOT(ISERROR(SEARCH("Pesquisa de Preços",E5495)))</formula>
    </cfRule>
  </conditionalFormatting>
  <conditionalFormatting sqref="D5493">
    <cfRule type="containsText" dxfId="981" priority="2798" operator="containsText" text="Pesquisa de Preços">
      <formula>NOT(ISERROR(SEARCH("Pesquisa de Preços",D5493)))</formula>
    </cfRule>
  </conditionalFormatting>
  <conditionalFormatting sqref="D5494 D5496">
    <cfRule type="containsText" dxfId="980" priority="2797" operator="containsText" text="Pesquisa de Preços">
      <formula>NOT(ISERROR(SEARCH("Pesquisa de Preços",D5494)))</formula>
    </cfRule>
  </conditionalFormatting>
  <conditionalFormatting sqref="D5495">
    <cfRule type="containsText" dxfId="979" priority="2796" operator="containsText" text="Pesquisa de Preços">
      <formula>NOT(ISERROR(SEARCH("Pesquisa de Preços",D5495)))</formula>
    </cfRule>
  </conditionalFormatting>
  <conditionalFormatting sqref="E5493">
    <cfRule type="containsText" dxfId="978" priority="2794" operator="containsText" text="Pesquisa de Preços">
      <formula>NOT(ISERROR(SEARCH("Pesquisa de Preços",E5493)))</formula>
    </cfRule>
  </conditionalFormatting>
  <conditionalFormatting sqref="D5491">
    <cfRule type="containsText" dxfId="977" priority="2774" operator="containsText" text="Pesquisa de Preços">
      <formula>NOT(ISERROR(SEARCH("Pesquisa de Preços",D5491)))</formula>
    </cfRule>
  </conditionalFormatting>
  <conditionalFormatting sqref="E5487 E5492">
    <cfRule type="containsText" dxfId="976" priority="2782" operator="containsText" text="Pesquisa de Preços">
      <formula>NOT(ISERROR(SEARCH("Pesquisa de Preços",E5487)))</formula>
    </cfRule>
  </conditionalFormatting>
  <conditionalFormatting sqref="D5486">
    <cfRule type="containsText" dxfId="975" priority="2786" operator="containsText" text="Pesquisa de Preços">
      <formula>NOT(ISERROR(SEARCH("Pesquisa de Preços",D5486)))</formula>
    </cfRule>
  </conditionalFormatting>
  <conditionalFormatting sqref="D5487 D5492">
    <cfRule type="containsText" dxfId="974" priority="2785" operator="containsText" text="Pesquisa de Preços">
      <formula>NOT(ISERROR(SEARCH("Pesquisa de Preços",D5487)))</formula>
    </cfRule>
  </conditionalFormatting>
  <conditionalFormatting sqref="E5489:E5490">
    <cfRule type="containsText" dxfId="973" priority="2770" operator="containsText" text="Pesquisa de Preços">
      <formula>NOT(ISERROR(SEARCH("Pesquisa de Preços",E5489)))</formula>
    </cfRule>
  </conditionalFormatting>
  <conditionalFormatting sqref="E5488">
    <cfRule type="containsText" dxfId="972" priority="2771" operator="containsText" text="Pesquisa de Preços">
      <formula>NOT(ISERROR(SEARCH("Pesquisa de Preços",E5488)))</formula>
    </cfRule>
  </conditionalFormatting>
  <conditionalFormatting sqref="E5486">
    <cfRule type="containsText" dxfId="971" priority="2781" operator="containsText" text="Pesquisa de Preços">
      <formula>NOT(ISERROR(SEARCH("Pesquisa de Preços",E5486)))</formula>
    </cfRule>
  </conditionalFormatting>
  <conditionalFormatting sqref="D5489:D5490">
    <cfRule type="containsText" dxfId="970" priority="2772" operator="containsText" text="Pesquisa de Preços">
      <formula>NOT(ISERROR(SEARCH("Pesquisa de Preços",D5489)))</formula>
    </cfRule>
  </conditionalFormatting>
  <conditionalFormatting sqref="D5488">
    <cfRule type="containsText" dxfId="969" priority="2773" operator="containsText" text="Pesquisa de Preços">
      <formula>NOT(ISERROR(SEARCH("Pesquisa de Preços",D5488)))</formula>
    </cfRule>
  </conditionalFormatting>
  <conditionalFormatting sqref="D6252">
    <cfRule type="containsText" dxfId="968" priority="2756" operator="containsText" text="Pesquisa de Preços">
      <formula>NOT(ISERROR(SEARCH("Pesquisa de Preços",D6252)))</formula>
    </cfRule>
  </conditionalFormatting>
  <conditionalFormatting sqref="D6250:D6251">
    <cfRule type="containsText" dxfId="967" priority="2754" operator="containsText" text="Pesquisa de Preços">
      <formula>NOT(ISERROR(SEARCH("Pesquisa de Preços",D6250)))</formula>
    </cfRule>
  </conditionalFormatting>
  <conditionalFormatting sqref="D6249">
    <cfRule type="containsText" dxfId="966" priority="2755" operator="containsText" text="Pesquisa de Preços">
      <formula>NOT(ISERROR(SEARCH("Pesquisa de Preços",D6249)))</formula>
    </cfRule>
  </conditionalFormatting>
  <conditionalFormatting sqref="D6247">
    <cfRule type="containsText" dxfId="965" priority="2753" operator="containsText" text="Pesquisa de Preços">
      <formula>NOT(ISERROR(SEARCH("Pesquisa de Preços",D6247)))</formula>
    </cfRule>
  </conditionalFormatting>
  <conditionalFormatting sqref="D6261">
    <cfRule type="containsText" dxfId="964" priority="2748" operator="containsText" text="Pesquisa de Preços">
      <formula>NOT(ISERROR(SEARCH("Pesquisa de Preços",D6261)))</formula>
    </cfRule>
  </conditionalFormatting>
  <conditionalFormatting sqref="D6255">
    <cfRule type="containsText" dxfId="963" priority="2747" operator="containsText" text="Pesquisa de Preços">
      <formula>NOT(ISERROR(SEARCH("Pesquisa de Preços",D6255)))</formula>
    </cfRule>
  </conditionalFormatting>
  <conditionalFormatting sqref="D6253">
    <cfRule type="containsText" dxfId="962" priority="2746" operator="containsText" text="Pesquisa de Preços">
      <formula>NOT(ISERROR(SEARCH("Pesquisa de Preços",D6253)))</formula>
    </cfRule>
  </conditionalFormatting>
  <conditionalFormatting sqref="D6256:D6260">
    <cfRule type="containsText" dxfId="961" priority="2743" operator="containsText" text="Pesquisa de Preços">
      <formula>NOT(ISERROR(SEARCH("Pesquisa de Preços",D6256)))</formula>
    </cfRule>
  </conditionalFormatting>
  <conditionalFormatting sqref="D6272">
    <cfRule type="containsText" dxfId="960" priority="2735" operator="containsText" text="Pesquisa de Preços">
      <formula>NOT(ISERROR(SEARCH("Pesquisa de Preços",D6272)))</formula>
    </cfRule>
  </conditionalFormatting>
  <conditionalFormatting sqref="D6264">
    <cfRule type="containsText" dxfId="959" priority="2734" operator="containsText" text="Pesquisa de Preços">
      <formula>NOT(ISERROR(SEARCH("Pesquisa de Preços",D6264)))</formula>
    </cfRule>
  </conditionalFormatting>
  <conditionalFormatting sqref="D6262">
    <cfRule type="containsText" dxfId="958" priority="2733" operator="containsText" text="Pesquisa de Preços">
      <formula>NOT(ISERROR(SEARCH("Pesquisa de Preços",D6262)))</formula>
    </cfRule>
  </conditionalFormatting>
  <conditionalFormatting sqref="D6265:D6269">
    <cfRule type="containsText" dxfId="957" priority="2730" operator="containsText" text="Pesquisa de Preços">
      <formula>NOT(ISERROR(SEARCH("Pesquisa de Preços",D6265)))</formula>
    </cfRule>
  </conditionalFormatting>
  <conditionalFormatting sqref="D6271">
    <cfRule type="containsText" dxfId="956" priority="2729" operator="containsText" text="Pesquisa de Preços">
      <formula>NOT(ISERROR(SEARCH("Pesquisa de Preços",D6271)))</formula>
    </cfRule>
  </conditionalFormatting>
  <conditionalFormatting sqref="D6270">
    <cfRule type="containsText" dxfId="955" priority="2726" operator="containsText" text="Pesquisa de Preços">
      <formula>NOT(ISERROR(SEARCH("Pesquisa de Preços",D6270)))</formula>
    </cfRule>
  </conditionalFormatting>
  <conditionalFormatting sqref="D6280">
    <cfRule type="containsText" dxfId="954" priority="2713" operator="containsText" text="Pesquisa de Preços">
      <formula>NOT(ISERROR(SEARCH("Pesquisa de Preços",D6280)))</formula>
    </cfRule>
  </conditionalFormatting>
  <conditionalFormatting sqref="D6275">
    <cfRule type="containsText" dxfId="953" priority="2712" operator="containsText" text="Pesquisa de Preços">
      <formula>NOT(ISERROR(SEARCH("Pesquisa de Preços",D6275)))</formula>
    </cfRule>
  </conditionalFormatting>
  <conditionalFormatting sqref="D6273">
    <cfRule type="containsText" dxfId="952" priority="2711" operator="containsText" text="Pesquisa de Preços">
      <formula>NOT(ISERROR(SEARCH("Pesquisa de Preços",D6273)))</formula>
    </cfRule>
  </conditionalFormatting>
  <conditionalFormatting sqref="D6276:D6279">
    <cfRule type="containsText" dxfId="951" priority="2708" operator="containsText" text="Pesquisa de Preços">
      <formula>NOT(ISERROR(SEARCH("Pesquisa de Preços",D6276)))</formula>
    </cfRule>
  </conditionalFormatting>
  <conditionalFormatting sqref="D6288">
    <cfRule type="containsText" dxfId="950" priority="2701" operator="containsText" text="Pesquisa de Preços">
      <formula>NOT(ISERROR(SEARCH("Pesquisa de Preços",D6288)))</formula>
    </cfRule>
  </conditionalFormatting>
  <conditionalFormatting sqref="D6283">
    <cfRule type="containsText" dxfId="949" priority="2700" operator="containsText" text="Pesquisa de Preços">
      <formula>NOT(ISERROR(SEARCH("Pesquisa de Preços",D6283)))</formula>
    </cfRule>
  </conditionalFormatting>
  <conditionalFormatting sqref="D6281">
    <cfRule type="containsText" dxfId="948" priority="2699" operator="containsText" text="Pesquisa de Preços">
      <formula>NOT(ISERROR(SEARCH("Pesquisa de Preços",D6281)))</formula>
    </cfRule>
  </conditionalFormatting>
  <conditionalFormatting sqref="D6284:D6287">
    <cfRule type="containsText" dxfId="947" priority="2696" operator="containsText" text="Pesquisa de Preços">
      <formula>NOT(ISERROR(SEARCH("Pesquisa de Preços",D6284)))</formula>
    </cfRule>
  </conditionalFormatting>
  <conditionalFormatting sqref="D6297">
    <cfRule type="containsText" dxfId="946" priority="2691" operator="containsText" text="Pesquisa de Preços">
      <formula>NOT(ISERROR(SEARCH("Pesquisa de Preços",D6297)))</formula>
    </cfRule>
  </conditionalFormatting>
  <conditionalFormatting sqref="D6291">
    <cfRule type="containsText" dxfId="945" priority="2690" operator="containsText" text="Pesquisa de Preços">
      <formula>NOT(ISERROR(SEARCH("Pesquisa de Preços",D6291)))</formula>
    </cfRule>
  </conditionalFormatting>
  <conditionalFormatting sqref="D6289">
    <cfRule type="containsText" dxfId="944" priority="2689" operator="containsText" text="Pesquisa de Preços">
      <formula>NOT(ISERROR(SEARCH("Pesquisa de Preços",D6289)))</formula>
    </cfRule>
  </conditionalFormatting>
  <conditionalFormatting sqref="D6292:D6296">
    <cfRule type="containsText" dxfId="943" priority="2686" operator="containsText" text="Pesquisa de Preços">
      <formula>NOT(ISERROR(SEARCH("Pesquisa de Preços",D6292)))</formula>
    </cfRule>
  </conditionalFormatting>
  <conditionalFormatting sqref="D6308">
    <cfRule type="containsText" dxfId="942" priority="2679" operator="containsText" text="Pesquisa de Preços">
      <formula>NOT(ISERROR(SEARCH("Pesquisa de Preços",D6308)))</formula>
    </cfRule>
  </conditionalFormatting>
  <conditionalFormatting sqref="D6300">
    <cfRule type="containsText" dxfId="941" priority="2678" operator="containsText" text="Pesquisa de Preços">
      <formula>NOT(ISERROR(SEARCH("Pesquisa de Preços",D6300)))</formula>
    </cfRule>
  </conditionalFormatting>
  <conditionalFormatting sqref="D6298">
    <cfRule type="containsText" dxfId="940" priority="2677" operator="containsText" text="Pesquisa de Preços">
      <formula>NOT(ISERROR(SEARCH("Pesquisa de Preços",D6298)))</formula>
    </cfRule>
  </conditionalFormatting>
  <conditionalFormatting sqref="D6301:D6305">
    <cfRule type="containsText" dxfId="939" priority="2674" operator="containsText" text="Pesquisa de Preços">
      <formula>NOT(ISERROR(SEARCH("Pesquisa de Preços",D6301)))</formula>
    </cfRule>
  </conditionalFormatting>
  <conditionalFormatting sqref="D6306">
    <cfRule type="containsText" dxfId="938" priority="2670" operator="containsText" text="Pesquisa de Preços">
      <formula>NOT(ISERROR(SEARCH("Pesquisa de Preços",D6306)))</formula>
    </cfRule>
  </conditionalFormatting>
  <conditionalFormatting sqref="D6307">
    <cfRule type="containsText" dxfId="937" priority="2667" operator="containsText" text="Pesquisa de Preços">
      <formula>NOT(ISERROR(SEARCH("Pesquisa de Preços",D6307)))</formula>
    </cfRule>
  </conditionalFormatting>
  <conditionalFormatting sqref="D6332">
    <cfRule type="containsText" dxfId="936" priority="2660" operator="containsText" text="Pesquisa de Preços">
      <formula>NOT(ISERROR(SEARCH("Pesquisa de Preços",D6332)))</formula>
    </cfRule>
  </conditionalFormatting>
  <conditionalFormatting sqref="D6311">
    <cfRule type="containsText" dxfId="935" priority="2659" operator="containsText" text="Pesquisa de Preços">
      <formula>NOT(ISERROR(SEARCH("Pesquisa de Preços",D6311)))</formula>
    </cfRule>
  </conditionalFormatting>
  <conditionalFormatting sqref="D6309">
    <cfRule type="containsText" dxfId="934" priority="2658" operator="containsText" text="Pesquisa de Preços">
      <formula>NOT(ISERROR(SEARCH("Pesquisa de Preços",D6309)))</formula>
    </cfRule>
  </conditionalFormatting>
  <conditionalFormatting sqref="D6312">
    <cfRule type="containsText" dxfId="933" priority="2655" operator="containsText" text="Pesquisa de Preços">
      <formula>NOT(ISERROR(SEARCH("Pesquisa de Preços",D6312)))</formula>
    </cfRule>
  </conditionalFormatting>
  <conditionalFormatting sqref="D6348 D6346">
    <cfRule type="containsText" dxfId="932" priority="2626" operator="containsText" text="Pesquisa de Preços">
      <formula>NOT(ISERROR(SEARCH("Pesquisa de Preços",D6346)))</formula>
    </cfRule>
  </conditionalFormatting>
  <conditionalFormatting sqref="D6313:D6325">
    <cfRule type="containsText" dxfId="931" priority="2652" operator="containsText" text="Pesquisa de Preços">
      <formula>NOT(ISERROR(SEARCH("Pesquisa de Preços",D6313)))</formula>
    </cfRule>
  </conditionalFormatting>
  <conditionalFormatting sqref="D6333">
    <cfRule type="containsText" dxfId="930" priority="2640" operator="containsText" text="Pesquisa de Preços">
      <formula>NOT(ISERROR(SEARCH("Pesquisa de Preços",D6333)))</formula>
    </cfRule>
  </conditionalFormatting>
  <conditionalFormatting sqref="D6326:D6331">
    <cfRule type="containsText" dxfId="929" priority="2649" operator="containsText" text="Pesquisa de Preços">
      <formula>NOT(ISERROR(SEARCH("Pesquisa de Preços",D6326)))</formula>
    </cfRule>
  </conditionalFormatting>
  <conditionalFormatting sqref="D6337">
    <cfRule type="containsText" dxfId="928" priority="2637" operator="containsText" text="Pesquisa de Preços">
      <formula>NOT(ISERROR(SEARCH("Pesquisa de Preços",D6337)))</formula>
    </cfRule>
  </conditionalFormatting>
  <conditionalFormatting sqref="D6345">
    <cfRule type="containsText" dxfId="927" priority="2628" operator="containsText" text="Pesquisa de Preços">
      <formula>NOT(ISERROR(SEARCH("Pesquisa de Preços",D6345)))</formula>
    </cfRule>
  </conditionalFormatting>
  <conditionalFormatting sqref="D6349:D6350">
    <cfRule type="containsText" dxfId="926" priority="2624" operator="containsText" text="Pesquisa de Preços">
      <formula>NOT(ISERROR(SEARCH("Pesquisa de Preços",D6349)))</formula>
    </cfRule>
  </conditionalFormatting>
  <conditionalFormatting sqref="D6342">
    <cfRule type="containsText" dxfId="925" priority="2642" operator="containsText" text="Pesquisa de Preços">
      <formula>NOT(ISERROR(SEARCH("Pesquisa de Preços",D6342)))</formula>
    </cfRule>
  </conditionalFormatting>
  <conditionalFormatting sqref="D6335">
    <cfRule type="containsText" dxfId="924" priority="2641" operator="containsText" text="Pesquisa de Preços">
      <formula>NOT(ISERROR(SEARCH("Pesquisa de Preços",D6335)))</formula>
    </cfRule>
  </conditionalFormatting>
  <conditionalFormatting sqref="D6341">
    <cfRule type="containsText" dxfId="923" priority="2639" operator="containsText" text="Pesquisa de Preços">
      <formula>NOT(ISERROR(SEARCH("Pesquisa de Preços",D6341)))</formula>
    </cfRule>
  </conditionalFormatting>
  <conditionalFormatting sqref="D6352">
    <cfRule type="containsText" dxfId="922" priority="2618" operator="containsText" text="Pesquisa de Preços">
      <formula>NOT(ISERROR(SEARCH("Pesquisa de Preços",D6352)))</formula>
    </cfRule>
  </conditionalFormatting>
  <conditionalFormatting sqref="D6338 D6336">
    <cfRule type="containsText" dxfId="921" priority="2638" operator="containsText" text="Pesquisa de Preços">
      <formula>NOT(ISERROR(SEARCH("Pesquisa de Preços",D6336)))</formula>
    </cfRule>
  </conditionalFormatting>
  <conditionalFormatting sqref="D6339:D6340">
    <cfRule type="containsText" dxfId="920" priority="2636" operator="containsText" text="Pesquisa de Preços">
      <formula>NOT(ISERROR(SEARCH("Pesquisa de Preços",D6339)))</formula>
    </cfRule>
  </conditionalFormatting>
  <conditionalFormatting sqref="D6343">
    <cfRule type="containsText" dxfId="919" priority="2627" operator="containsText" text="Pesquisa de Preços">
      <formula>NOT(ISERROR(SEARCH("Pesquisa de Preços",D6343)))</formula>
    </cfRule>
  </conditionalFormatting>
  <conditionalFormatting sqref="D6347">
    <cfRule type="containsText" dxfId="918" priority="2625" operator="containsText" text="Pesquisa de Preços">
      <formula>NOT(ISERROR(SEARCH("Pesquisa de Preços",D6347)))</formula>
    </cfRule>
  </conditionalFormatting>
  <conditionalFormatting sqref="D6351">
    <cfRule type="containsText" dxfId="917" priority="2629" operator="containsText" text="Pesquisa de Preços">
      <formula>NOT(ISERROR(SEARCH("Pesquisa de Preços",D6351)))</formula>
    </cfRule>
  </conditionalFormatting>
  <conditionalFormatting sqref="D6356">
    <cfRule type="containsText" dxfId="916" priority="2621" operator="containsText" text="Pesquisa de Preços">
      <formula>NOT(ISERROR(SEARCH("Pesquisa de Preços",D6356)))</formula>
    </cfRule>
  </conditionalFormatting>
  <conditionalFormatting sqref="D6355">
    <cfRule type="containsText" dxfId="915" priority="2619" operator="containsText" text="Pesquisa de Preços">
      <formula>NOT(ISERROR(SEARCH("Pesquisa de Preços",D6355)))</formula>
    </cfRule>
  </conditionalFormatting>
  <conditionalFormatting sqref="D6354">
    <cfRule type="containsText" dxfId="914" priority="2620" operator="containsText" text="Pesquisa de Preços">
      <formula>NOT(ISERROR(SEARCH("Pesquisa de Preços",D6354)))</formula>
    </cfRule>
  </conditionalFormatting>
  <conditionalFormatting sqref="D6370">
    <cfRule type="containsText" dxfId="913" priority="2611" operator="containsText" text="Pesquisa de Preços">
      <formula>NOT(ISERROR(SEARCH("Pesquisa de Preços",D6370)))</formula>
    </cfRule>
  </conditionalFormatting>
  <conditionalFormatting sqref="D6359">
    <cfRule type="containsText" dxfId="912" priority="2610" operator="containsText" text="Pesquisa de Preços">
      <formula>NOT(ISERROR(SEARCH("Pesquisa de Preços",D6359)))</formula>
    </cfRule>
  </conditionalFormatting>
  <conditionalFormatting sqref="D6357">
    <cfRule type="containsText" dxfId="911" priority="2609" operator="containsText" text="Pesquisa de Preços">
      <formula>NOT(ISERROR(SEARCH("Pesquisa de Preços",D6357)))</formula>
    </cfRule>
  </conditionalFormatting>
  <conditionalFormatting sqref="D6360:D6364">
    <cfRule type="containsText" dxfId="910" priority="2606" operator="containsText" text="Pesquisa de Preços">
      <formula>NOT(ISERROR(SEARCH("Pesquisa de Preços",D6360)))</formula>
    </cfRule>
  </conditionalFormatting>
  <conditionalFormatting sqref="D6368">
    <cfRule type="containsText" dxfId="909" priority="2605" operator="containsText" text="Pesquisa de Preços">
      <formula>NOT(ISERROR(SEARCH("Pesquisa de Preços",D6368)))</formula>
    </cfRule>
  </conditionalFormatting>
  <conditionalFormatting sqref="D6365">
    <cfRule type="containsText" dxfId="908" priority="2602" operator="containsText" text="Pesquisa de Preços">
      <formula>NOT(ISERROR(SEARCH("Pesquisa de Preços",D6365)))</formula>
    </cfRule>
  </conditionalFormatting>
  <conditionalFormatting sqref="D6369">
    <cfRule type="containsText" dxfId="907" priority="2599" operator="containsText" text="Pesquisa de Preços">
      <formula>NOT(ISERROR(SEARCH("Pesquisa de Preços",D6369)))</formula>
    </cfRule>
  </conditionalFormatting>
  <conditionalFormatting sqref="D6366">
    <cfRule type="containsText" dxfId="906" priority="2596" operator="containsText" text="Pesquisa de Preços">
      <formula>NOT(ISERROR(SEARCH("Pesquisa de Preços",D6366)))</formula>
    </cfRule>
  </conditionalFormatting>
  <conditionalFormatting sqref="D6367">
    <cfRule type="containsText" dxfId="905" priority="2593" operator="containsText" text="Pesquisa de Preços">
      <formula>NOT(ISERROR(SEARCH("Pesquisa de Preços",D6367)))</formula>
    </cfRule>
  </conditionalFormatting>
  <conditionalFormatting sqref="D6385">
    <cfRule type="containsText" dxfId="904" priority="2586" operator="containsText" text="Pesquisa de Preços">
      <formula>NOT(ISERROR(SEARCH("Pesquisa de Preços",D6385)))</formula>
    </cfRule>
  </conditionalFormatting>
  <conditionalFormatting sqref="D6371">
    <cfRule type="containsText" dxfId="903" priority="2584" operator="containsText" text="Pesquisa de Preços">
      <formula>NOT(ISERROR(SEARCH("Pesquisa de Preços",D6371)))</formula>
    </cfRule>
  </conditionalFormatting>
  <conditionalFormatting sqref="D6387:D6388">
    <cfRule type="containsText" dxfId="902" priority="2574" operator="containsText" text="Pesquisa de Preços">
      <formula>NOT(ISERROR(SEARCH("Pesquisa de Preços",D6387)))</formula>
    </cfRule>
  </conditionalFormatting>
  <conditionalFormatting sqref="E6388">
    <cfRule type="containsText" dxfId="901" priority="2571" operator="containsText" text="Pesquisa de Preços">
      <formula>NOT(ISERROR(SEARCH("Pesquisa de Preços",E6388)))</formula>
    </cfRule>
  </conditionalFormatting>
  <conditionalFormatting sqref="D6383:D6384">
    <cfRule type="containsText" dxfId="900" priority="2579" operator="containsText" text="Pesquisa de Preços">
      <formula>NOT(ISERROR(SEARCH("Pesquisa de Preços",D6383)))</formula>
    </cfRule>
  </conditionalFormatting>
  <conditionalFormatting sqref="D6394:D6395">
    <cfRule type="containsText" dxfId="899" priority="2568" operator="containsText" text="Pesquisa de Preços">
      <formula>NOT(ISERROR(SEARCH("Pesquisa de Preços",D6394)))</formula>
    </cfRule>
  </conditionalFormatting>
  <conditionalFormatting sqref="E6395">
    <cfRule type="containsText" dxfId="898" priority="2565" operator="containsText" text="Pesquisa de Preços">
      <formula>NOT(ISERROR(SEARCH("Pesquisa de Preços",E6395)))</formula>
    </cfRule>
  </conditionalFormatting>
  <conditionalFormatting sqref="D6392">
    <cfRule type="containsText" dxfId="897" priority="2578" operator="containsText" text="Pesquisa de Preços">
      <formula>NOT(ISERROR(SEARCH("Pesquisa de Preços",D6392)))</formula>
    </cfRule>
  </conditionalFormatting>
  <conditionalFormatting sqref="D6386">
    <cfRule type="containsText" dxfId="896" priority="2575" operator="containsText" text="Pesquisa de Preços">
      <formula>NOT(ISERROR(SEARCH("Pesquisa de Preços",D6386)))</formula>
    </cfRule>
  </conditionalFormatting>
  <conditionalFormatting sqref="E6386">
    <cfRule type="containsText" dxfId="895" priority="2572" operator="containsText" text="Pesquisa de Preços">
      <formula>NOT(ISERROR(SEARCH("Pesquisa de Preços",E6386)))</formula>
    </cfRule>
  </conditionalFormatting>
  <conditionalFormatting sqref="E6387 E6392">
    <cfRule type="containsText" dxfId="894" priority="2573" operator="containsText" text="Pesquisa de Preços">
      <formula>NOT(ISERROR(SEARCH("Pesquisa de Preços",E6387)))</formula>
    </cfRule>
  </conditionalFormatting>
  <conditionalFormatting sqref="D6398">
    <cfRule type="containsText" dxfId="893" priority="2570" operator="containsText" text="Pesquisa de Preços">
      <formula>NOT(ISERROR(SEARCH("Pesquisa de Preços",D6398)))</formula>
    </cfRule>
  </conditionalFormatting>
  <conditionalFormatting sqref="D6393">
    <cfRule type="containsText" dxfId="892" priority="2569" operator="containsText" text="Pesquisa de Preços">
      <formula>NOT(ISERROR(SEARCH("Pesquisa de Preços",D6393)))</formula>
    </cfRule>
  </conditionalFormatting>
  <conditionalFormatting sqref="E6393">
    <cfRule type="containsText" dxfId="891" priority="2566" operator="containsText" text="Pesquisa de Preços">
      <formula>NOT(ISERROR(SEARCH("Pesquisa de Preços",E6393)))</formula>
    </cfRule>
  </conditionalFormatting>
  <conditionalFormatting sqref="E6394 E6398">
    <cfRule type="containsText" dxfId="890" priority="2567" operator="containsText" text="Pesquisa de Preços">
      <formula>NOT(ISERROR(SEARCH("Pesquisa de Preços",E6394)))</formula>
    </cfRule>
  </conditionalFormatting>
  <conditionalFormatting sqref="D6374:D6376 D6378">
    <cfRule type="containsText" dxfId="889" priority="2557" operator="containsText" text="Pesquisa de Preços">
      <formula>NOT(ISERROR(SEARCH("Pesquisa de Preços",D6374)))</formula>
    </cfRule>
  </conditionalFormatting>
  <conditionalFormatting sqref="D6380">
    <cfRule type="containsText" dxfId="888" priority="2556" operator="containsText" text="Pesquisa de Preços">
      <formula>NOT(ISERROR(SEARCH("Pesquisa de Preços",D6380)))</formula>
    </cfRule>
  </conditionalFormatting>
  <conditionalFormatting sqref="D6381">
    <cfRule type="containsText" dxfId="887" priority="2555" operator="containsText" text="Pesquisa de Preços">
      <formula>NOT(ISERROR(SEARCH("Pesquisa de Preços",D6381)))</formula>
    </cfRule>
  </conditionalFormatting>
  <conditionalFormatting sqref="E6381:E6382">
    <cfRule type="containsText" dxfId="886" priority="2554" operator="containsText" text="Pesquisa de Preços">
      <formula>NOT(ISERROR(SEARCH("Pesquisa de Preços",E6381)))</formula>
    </cfRule>
  </conditionalFormatting>
  <conditionalFormatting sqref="D6373">
    <cfRule type="containsText" dxfId="885" priority="2553" operator="containsText" text="Pesquisa de Preços">
      <formula>NOT(ISERROR(SEARCH("Pesquisa de Preços",D6373)))</formula>
    </cfRule>
  </conditionalFormatting>
  <conditionalFormatting sqref="D6379">
    <cfRule type="containsText" dxfId="884" priority="2552" operator="containsText" text="Pesquisa de Preços">
      <formula>NOT(ISERROR(SEARCH("Pesquisa de Preços",D6379)))</formula>
    </cfRule>
  </conditionalFormatting>
  <conditionalFormatting sqref="D6377">
    <cfRule type="containsText" dxfId="883" priority="2551" operator="containsText" text="Pesquisa de Preços">
      <formula>NOT(ISERROR(SEARCH("Pesquisa de Preços",D6377)))</formula>
    </cfRule>
  </conditionalFormatting>
  <conditionalFormatting sqref="D6185">
    <cfRule type="containsText" dxfId="882" priority="2545" operator="containsText" text="Pesquisa de Preços">
      <formula>NOT(ISERROR(SEARCH("Pesquisa de Preços",D6185)))</formula>
    </cfRule>
  </conditionalFormatting>
  <conditionalFormatting sqref="D6181">
    <cfRule type="containsText" dxfId="881" priority="2544" operator="containsText" text="Pesquisa de Preços">
      <formula>NOT(ISERROR(SEARCH("Pesquisa de Preços",D6181)))</formula>
    </cfRule>
  </conditionalFormatting>
  <conditionalFormatting sqref="D6179">
    <cfRule type="containsText" dxfId="880" priority="2542" operator="containsText" text="Pesquisa de Preços">
      <formula>NOT(ISERROR(SEARCH("Pesquisa de Preços",D6179)))</formula>
    </cfRule>
  </conditionalFormatting>
  <conditionalFormatting sqref="D6167">
    <cfRule type="containsText" dxfId="879" priority="2538" operator="containsText" text="Pesquisa de Preços">
      <formula>NOT(ISERROR(SEARCH("Pesquisa de Preços",D6167)))</formula>
    </cfRule>
  </conditionalFormatting>
  <conditionalFormatting sqref="D6157">
    <cfRule type="containsText" dxfId="878" priority="2535" operator="containsText" text="Pesquisa de Preços">
      <formula>NOT(ISERROR(SEARCH("Pesquisa de Preços",D6157)))</formula>
    </cfRule>
  </conditionalFormatting>
  <conditionalFormatting sqref="D6158">
    <cfRule type="containsText" dxfId="877" priority="2534" operator="containsText" text="Pesquisa de Preços">
      <formula>NOT(ISERROR(SEARCH("Pesquisa de Preços",D6158)))</formula>
    </cfRule>
  </conditionalFormatting>
  <conditionalFormatting sqref="E6167">
    <cfRule type="containsText" dxfId="876" priority="2531" operator="containsText" text="Pesquisa de Preços">
      <formula>NOT(ISERROR(SEARCH("Pesquisa de Preços",E6167)))</formula>
    </cfRule>
  </conditionalFormatting>
  <conditionalFormatting sqref="D6178">
    <cfRule type="containsText" dxfId="875" priority="2511" operator="containsText" text="Pesquisa de Preços">
      <formula>NOT(ISERROR(SEARCH("Pesquisa de Preços",D6178)))</formula>
    </cfRule>
  </conditionalFormatting>
  <conditionalFormatting sqref="D6168">
    <cfRule type="containsText" dxfId="874" priority="2508" operator="containsText" text="Pesquisa de Preços">
      <formula>NOT(ISERROR(SEARCH("Pesquisa de Preços",D6168)))</formula>
    </cfRule>
  </conditionalFormatting>
  <conditionalFormatting sqref="D6169">
    <cfRule type="containsText" dxfId="873" priority="2507" operator="containsText" text="Pesquisa de Preços">
      <formula>NOT(ISERROR(SEARCH("Pesquisa de Preços",D6169)))</formula>
    </cfRule>
  </conditionalFormatting>
  <conditionalFormatting sqref="E6178">
    <cfRule type="containsText" dxfId="872" priority="2504" operator="containsText" text="Pesquisa de Preços">
      <formula>NOT(ISERROR(SEARCH("Pesquisa de Preços",E6178)))</formula>
    </cfRule>
  </conditionalFormatting>
  <conditionalFormatting sqref="D6190">
    <cfRule type="containsText" dxfId="871" priority="2470" operator="containsText" text="Pesquisa de Preços">
      <formula>NOT(ISERROR(SEARCH("Pesquisa de Preços",D6190)))</formula>
    </cfRule>
  </conditionalFormatting>
  <conditionalFormatting sqref="D6186">
    <cfRule type="containsText" dxfId="870" priority="2468" operator="containsText" text="Pesquisa de Preços">
      <formula>NOT(ISERROR(SEARCH("Pesquisa de Preços",D6186)))</formula>
    </cfRule>
  </conditionalFormatting>
  <conditionalFormatting sqref="D6195">
    <cfRule type="containsText" dxfId="869" priority="2460" operator="containsText" text="Pesquisa de Preços">
      <formula>NOT(ISERROR(SEARCH("Pesquisa de Preços",D6195)))</formula>
    </cfRule>
  </conditionalFormatting>
  <conditionalFormatting sqref="D6191">
    <cfRule type="containsText" dxfId="868" priority="2459" operator="containsText" text="Pesquisa de Preços">
      <formula>NOT(ISERROR(SEARCH("Pesquisa de Preços",D6191)))</formula>
    </cfRule>
  </conditionalFormatting>
  <conditionalFormatting sqref="D6211">
    <cfRule type="containsText" dxfId="867" priority="2449" operator="containsText" text="Pesquisa de Preços">
      <formula>NOT(ISERROR(SEARCH("Pesquisa de Preços",D6211)))</formula>
    </cfRule>
  </conditionalFormatting>
  <conditionalFormatting sqref="D6206">
    <cfRule type="containsText" dxfId="866" priority="2448" operator="containsText" text="Pesquisa de Preços">
      <formula>NOT(ISERROR(SEARCH("Pesquisa de Preços",D6206)))</formula>
    </cfRule>
  </conditionalFormatting>
  <conditionalFormatting sqref="D6204">
    <cfRule type="containsText" dxfId="865" priority="2447" operator="containsText" text="Pesquisa de Preços">
      <formula>NOT(ISERROR(SEARCH("Pesquisa de Preços",D6204)))</formula>
    </cfRule>
  </conditionalFormatting>
  <conditionalFormatting sqref="D6207:D6210">
    <cfRule type="containsText" dxfId="864" priority="2444" operator="containsText" text="Pesquisa de Preços">
      <formula>NOT(ISERROR(SEARCH("Pesquisa de Preços",D6207)))</formula>
    </cfRule>
  </conditionalFormatting>
  <conditionalFormatting sqref="D6199:D6202">
    <cfRule type="containsText" dxfId="863" priority="2443" operator="containsText" text="Pesquisa de Preços">
      <formula>NOT(ISERROR(SEARCH("Pesquisa de Preços",D6199)))</formula>
    </cfRule>
  </conditionalFormatting>
  <conditionalFormatting sqref="D6203">
    <cfRule type="containsText" dxfId="862" priority="2438" operator="containsText" text="Pesquisa de Preços">
      <formula>NOT(ISERROR(SEARCH("Pesquisa de Preços",D6203)))</formula>
    </cfRule>
  </conditionalFormatting>
  <conditionalFormatting sqref="D6198">
    <cfRule type="containsText" dxfId="861" priority="2437" operator="containsText" text="Pesquisa de Preços">
      <formula>NOT(ISERROR(SEARCH("Pesquisa de Preços",D6198)))</formula>
    </cfRule>
  </conditionalFormatting>
  <conditionalFormatting sqref="D6196">
    <cfRule type="containsText" dxfId="860" priority="2436" operator="containsText" text="Pesquisa de Preços">
      <formula>NOT(ISERROR(SEARCH("Pesquisa de Preços",D6196)))</formula>
    </cfRule>
  </conditionalFormatting>
  <conditionalFormatting sqref="D6215 D6218:D6220">
    <cfRule type="containsText" dxfId="859" priority="2413" operator="containsText" text="Pesquisa de Preços">
      <formula>NOT(ISERROR(SEARCH("Pesquisa de Preços",D6215)))</formula>
    </cfRule>
  </conditionalFormatting>
  <conditionalFormatting sqref="D6214">
    <cfRule type="containsText" dxfId="858" priority="2425" operator="containsText" text="Pesquisa de Preços">
      <formula>NOT(ISERROR(SEARCH("Pesquisa de Preços",D6214)))</formula>
    </cfRule>
  </conditionalFormatting>
  <conditionalFormatting sqref="D6212">
    <cfRule type="containsText" dxfId="857" priority="2424" operator="containsText" text="Pesquisa de Preços">
      <formula>NOT(ISERROR(SEARCH("Pesquisa de Preços",D6212)))</formula>
    </cfRule>
  </conditionalFormatting>
  <conditionalFormatting sqref="D6216:D6217">
    <cfRule type="containsText" dxfId="856" priority="2409" operator="containsText" text="Pesquisa de Preços">
      <formula>NOT(ISERROR(SEARCH("Pesquisa de Preços",D6216)))</formula>
    </cfRule>
  </conditionalFormatting>
  <conditionalFormatting sqref="D6227">
    <cfRule type="containsText" dxfId="855" priority="2399" operator="containsText" text="Pesquisa de Preços">
      <formula>NOT(ISERROR(SEARCH("Pesquisa de Preços",D6227)))</formula>
    </cfRule>
  </conditionalFormatting>
  <conditionalFormatting sqref="D6223">
    <cfRule type="containsText" dxfId="854" priority="2398" operator="containsText" text="Pesquisa de Preços">
      <formula>NOT(ISERROR(SEARCH("Pesquisa de Preços",D6223)))</formula>
    </cfRule>
  </conditionalFormatting>
  <conditionalFormatting sqref="D6221">
    <cfRule type="containsText" dxfId="853" priority="2397" operator="containsText" text="Pesquisa de Preços">
      <formula>NOT(ISERROR(SEARCH("Pesquisa de Preços",D6221)))</formula>
    </cfRule>
  </conditionalFormatting>
  <conditionalFormatting sqref="D6224:D6226">
    <cfRule type="containsText" dxfId="852" priority="2394" operator="containsText" text="Pesquisa de Preços">
      <formula>NOT(ISERROR(SEARCH("Pesquisa de Preços",D6224)))</formula>
    </cfRule>
  </conditionalFormatting>
  <conditionalFormatting sqref="D6233">
    <cfRule type="containsText" dxfId="851" priority="2386" operator="containsText" text="Pesquisa de Preços">
      <formula>NOT(ISERROR(SEARCH("Pesquisa de Preços",D6233)))</formula>
    </cfRule>
  </conditionalFormatting>
  <conditionalFormatting sqref="D6228">
    <cfRule type="containsText" dxfId="850" priority="2384" operator="containsText" text="Pesquisa de Preços">
      <formula>NOT(ISERROR(SEARCH("Pesquisa de Preços",D6228)))</formula>
    </cfRule>
  </conditionalFormatting>
  <conditionalFormatting sqref="D6232">
    <cfRule type="containsText" dxfId="849" priority="2381" operator="containsText" text="Pesquisa de Preços">
      <formula>NOT(ISERROR(SEARCH("Pesquisa de Preços",D6232)))</formula>
    </cfRule>
  </conditionalFormatting>
  <conditionalFormatting sqref="D6230:D6231">
    <cfRule type="containsText" dxfId="848" priority="2378" operator="containsText" text="Pesquisa de Preços">
      <formula>NOT(ISERROR(SEARCH("Pesquisa de Preços",D6230)))</formula>
    </cfRule>
  </conditionalFormatting>
  <conditionalFormatting sqref="D6240">
    <cfRule type="containsText" dxfId="847" priority="2368" operator="containsText" text="Pesquisa de Preços">
      <formula>NOT(ISERROR(SEARCH("Pesquisa de Preços",D6240)))</formula>
    </cfRule>
  </conditionalFormatting>
  <conditionalFormatting sqref="D6236">
    <cfRule type="containsText" dxfId="846" priority="2367" operator="containsText" text="Pesquisa de Preços">
      <formula>NOT(ISERROR(SEARCH("Pesquisa de Preços",D6236)))</formula>
    </cfRule>
  </conditionalFormatting>
  <conditionalFormatting sqref="D6234">
    <cfRule type="containsText" dxfId="845" priority="2366" operator="containsText" text="Pesquisa de Preços">
      <formula>NOT(ISERROR(SEARCH("Pesquisa de Preços",D6234)))</formula>
    </cfRule>
  </conditionalFormatting>
  <conditionalFormatting sqref="D6237:D6239">
    <cfRule type="containsText" dxfId="844" priority="2363" operator="containsText" text="Pesquisa de Preços">
      <formula>NOT(ISERROR(SEARCH("Pesquisa de Preços",D6237)))</formula>
    </cfRule>
  </conditionalFormatting>
  <conditionalFormatting sqref="D6246">
    <cfRule type="containsText" dxfId="843" priority="2353" operator="containsText" text="Pesquisa de Preços">
      <formula>NOT(ISERROR(SEARCH("Pesquisa de Preços",D6246)))</formula>
    </cfRule>
  </conditionalFormatting>
  <conditionalFormatting sqref="D6244:D6245">
    <cfRule type="containsText" dxfId="842" priority="2351" operator="containsText" text="Pesquisa de Preços">
      <formula>NOT(ISERROR(SEARCH("Pesquisa de Preços",D6244)))</formula>
    </cfRule>
  </conditionalFormatting>
  <conditionalFormatting sqref="D6243">
    <cfRule type="containsText" dxfId="841" priority="2352" operator="containsText" text="Pesquisa de Preços">
      <formula>NOT(ISERROR(SEARCH("Pesquisa de Preços",D6243)))</formula>
    </cfRule>
  </conditionalFormatting>
  <conditionalFormatting sqref="D6241">
    <cfRule type="containsText" dxfId="840" priority="2350" operator="containsText" text="Pesquisa de Preços">
      <formula>NOT(ISERROR(SEARCH("Pesquisa de Preços",D6241)))</formula>
    </cfRule>
  </conditionalFormatting>
  <conditionalFormatting sqref="D5021 D4184 D641">
    <cfRule type="containsText" dxfId="839" priority="2349" operator="containsText" text="Pesquisa de Preços">
      <formula>NOT(ISERROR(SEARCH("Pesquisa de Preços",D641)))</formula>
    </cfRule>
  </conditionalFormatting>
  <conditionalFormatting sqref="E1235:E1236">
    <cfRule type="containsText" dxfId="838" priority="2334" operator="containsText" text="Pesquisa de Preços">
      <formula>NOT(ISERROR(SEARCH("Pesquisa de Preços",E1235)))</formula>
    </cfRule>
  </conditionalFormatting>
  <conditionalFormatting sqref="E1234">
    <cfRule type="containsText" dxfId="837" priority="2333" operator="containsText" text="Pesquisa de Preços">
      <formula>NOT(ISERROR(SEARCH("Pesquisa de Preços",E1234)))</formula>
    </cfRule>
  </conditionalFormatting>
  <conditionalFormatting sqref="D1240">
    <cfRule type="containsText" dxfId="836" priority="2332" operator="containsText" text="Pesquisa de Preços">
      <formula>NOT(ISERROR(SEARCH("Pesquisa de Preços",D1240)))</formula>
    </cfRule>
  </conditionalFormatting>
  <conditionalFormatting sqref="D1241:D1242">
    <cfRule type="containsText" dxfId="835" priority="2331" operator="containsText" text="Pesquisa de Preços">
      <formula>NOT(ISERROR(SEARCH("Pesquisa de Preços",D1241)))</formula>
    </cfRule>
  </conditionalFormatting>
  <conditionalFormatting sqref="E1241:E1242">
    <cfRule type="containsText" dxfId="834" priority="2330" operator="containsText" text="Pesquisa de Preços">
      <formula>NOT(ISERROR(SEARCH("Pesquisa de Preços",E1241)))</formula>
    </cfRule>
  </conditionalFormatting>
  <conditionalFormatting sqref="E1240">
    <cfRule type="containsText" dxfId="833" priority="2329" operator="containsText" text="Pesquisa de Preços">
      <formula>NOT(ISERROR(SEARCH("Pesquisa de Preços",E1240)))</formula>
    </cfRule>
  </conditionalFormatting>
  <conditionalFormatting sqref="E1971">
    <cfRule type="containsText" dxfId="832" priority="2327" operator="containsText" text="Pesquisa de Preços">
      <formula>NOT(ISERROR(SEARCH("Pesquisa de Preços",E1971)))</formula>
    </cfRule>
  </conditionalFormatting>
  <conditionalFormatting sqref="E1972">
    <cfRule type="containsText" dxfId="831" priority="2326" operator="containsText" text="Pesquisa de Preços">
      <formula>NOT(ISERROR(SEARCH("Pesquisa de Preços",E1972)))</formula>
    </cfRule>
  </conditionalFormatting>
  <conditionalFormatting sqref="E1973">
    <cfRule type="containsText" dxfId="830" priority="2325" operator="containsText" text="Pesquisa de Preços">
      <formula>NOT(ISERROR(SEARCH("Pesquisa de Preços",E1973)))</formula>
    </cfRule>
  </conditionalFormatting>
  <conditionalFormatting sqref="E1979">
    <cfRule type="containsText" dxfId="829" priority="2324" operator="containsText" text="Pesquisa de Preços">
      <formula>NOT(ISERROR(SEARCH("Pesquisa de Preços",E1979)))</formula>
    </cfRule>
  </conditionalFormatting>
  <conditionalFormatting sqref="E1980">
    <cfRule type="containsText" dxfId="828" priority="2323" operator="containsText" text="Pesquisa de Preços">
      <formula>NOT(ISERROR(SEARCH("Pesquisa de Preços",E1980)))</formula>
    </cfRule>
  </conditionalFormatting>
  <conditionalFormatting sqref="E1981">
    <cfRule type="containsText" dxfId="827" priority="2322" operator="containsText" text="Pesquisa de Preços">
      <formula>NOT(ISERROR(SEARCH("Pesquisa de Preços",E1981)))</formula>
    </cfRule>
  </conditionalFormatting>
  <conditionalFormatting sqref="E1997">
    <cfRule type="containsText" dxfId="826" priority="2321" operator="containsText" text="Pesquisa de Preços">
      <formula>NOT(ISERROR(SEARCH("Pesquisa de Preços",E1997)))</formula>
    </cfRule>
  </conditionalFormatting>
  <conditionalFormatting sqref="E2004">
    <cfRule type="containsText" dxfId="825" priority="2320" operator="containsText" text="Pesquisa de Preços">
      <formula>NOT(ISERROR(SEARCH("Pesquisa de Preços",E2004)))</formula>
    </cfRule>
  </conditionalFormatting>
  <conditionalFormatting sqref="E2011">
    <cfRule type="containsText" dxfId="824" priority="2319" operator="containsText" text="Pesquisa de Preços">
      <formula>NOT(ISERROR(SEARCH("Pesquisa de Preços",E2011)))</formula>
    </cfRule>
  </conditionalFormatting>
  <conditionalFormatting sqref="D1322">
    <cfRule type="containsText" dxfId="823" priority="2315" operator="containsText" text="Pesquisa de Preços">
      <formula>NOT(ISERROR(SEARCH("Pesquisa de Preços",D1322)))</formula>
    </cfRule>
  </conditionalFormatting>
  <conditionalFormatting sqref="E1322">
    <cfRule type="containsText" dxfId="822" priority="2314" operator="containsText" text="Pesquisa de Preços">
      <formula>NOT(ISERROR(SEARCH("Pesquisa de Preços",E1322)))</formula>
    </cfRule>
  </conditionalFormatting>
  <conditionalFormatting sqref="E1321">
    <cfRule type="containsText" dxfId="821" priority="2313" operator="containsText" text="Pesquisa de Preços">
      <formula>NOT(ISERROR(SEARCH("Pesquisa de Preços",E1321)))</formula>
    </cfRule>
  </conditionalFormatting>
  <conditionalFormatting sqref="E4896">
    <cfRule type="containsText" dxfId="820" priority="2274" operator="containsText" text="Pesquisa de Preços">
      <formula>NOT(ISERROR(SEARCH("Pesquisa de Preços",E4896)))</formula>
    </cfRule>
  </conditionalFormatting>
  <conditionalFormatting sqref="D4896">
    <cfRule type="containsText" dxfId="819" priority="2275" operator="containsText" text="Pesquisa de Preços">
      <formula>NOT(ISERROR(SEARCH("Pesquisa de Preços",D4896)))</formula>
    </cfRule>
  </conditionalFormatting>
  <conditionalFormatting sqref="E4965">
    <cfRule type="containsText" dxfId="818" priority="2271" operator="containsText" text="Pesquisa de Preços">
      <formula>NOT(ISERROR(SEARCH("Pesquisa de Preços",E4965)))</formula>
    </cfRule>
  </conditionalFormatting>
  <conditionalFormatting sqref="E5044">
    <cfRule type="containsText" dxfId="817" priority="2265" operator="containsText" text="Pesquisa de Preços">
      <formula>NOT(ISERROR(SEARCH("Pesquisa de Preços",E5044)))</formula>
    </cfRule>
  </conditionalFormatting>
  <conditionalFormatting sqref="D5044">
    <cfRule type="containsText" dxfId="816" priority="2266" operator="containsText" text="Pesquisa de Preços">
      <formula>NOT(ISERROR(SEARCH("Pesquisa de Preços",D5044)))</formula>
    </cfRule>
  </conditionalFormatting>
  <conditionalFormatting sqref="D5044:E5044">
    <cfRule type="containsText" dxfId="815" priority="2267" operator="containsText" text="Pesquisa de Preços">
      <formula>NOT(ISERROR(SEARCH("Pesquisa de Preços",D5044)))</formula>
    </cfRule>
  </conditionalFormatting>
  <conditionalFormatting sqref="D880:E881">
    <cfRule type="containsText" dxfId="814" priority="2264" operator="containsText" text="Pesquisa de Preços">
      <formula>NOT(ISERROR(SEARCH("Pesquisa de Preços",D880)))</formula>
    </cfRule>
  </conditionalFormatting>
  <conditionalFormatting sqref="D887:D888">
    <cfRule type="containsText" dxfId="813" priority="2261" operator="containsText" text="Pesquisa de Preços">
      <formula>NOT(ISERROR(SEARCH("Pesquisa de Preços",D887)))</formula>
    </cfRule>
  </conditionalFormatting>
  <conditionalFormatting sqref="E887:E888">
    <cfRule type="containsText" dxfId="812" priority="2258" operator="containsText" text="Pesquisa de Preços">
      <formula>NOT(ISERROR(SEARCH("Pesquisa de Preços",E887)))</formula>
    </cfRule>
  </conditionalFormatting>
  <conditionalFormatting sqref="D6424">
    <cfRule type="containsText" dxfId="811" priority="2248" operator="containsText" text="Pesquisa de Preços">
      <formula>NOT(ISERROR(SEARCH("Pesquisa de Preços",D6424)))</formula>
    </cfRule>
  </conditionalFormatting>
  <conditionalFormatting sqref="D6427">
    <cfRule type="containsText" dxfId="810" priority="2250" operator="containsText" text="Pesquisa de Preços">
      <formula>NOT(ISERROR(SEARCH("Pesquisa de Preços",D6427)))</formula>
    </cfRule>
  </conditionalFormatting>
  <conditionalFormatting sqref="D6423">
    <cfRule type="containsText" dxfId="809" priority="2249" operator="containsText" text="Pesquisa de Preços">
      <formula>NOT(ISERROR(SEARCH("Pesquisa de Preços",D6423)))</formula>
    </cfRule>
  </conditionalFormatting>
  <conditionalFormatting sqref="E6423">
    <cfRule type="containsText" dxfId="808" priority="2246" operator="containsText" text="Pesquisa de Preços">
      <formula>NOT(ISERROR(SEARCH("Pesquisa de Preços",E6423)))</formula>
    </cfRule>
  </conditionalFormatting>
  <conditionalFormatting sqref="E6424 E6427">
    <cfRule type="containsText" dxfId="807" priority="2247" operator="containsText" text="Pesquisa de Preços">
      <formula>NOT(ISERROR(SEARCH("Pesquisa de Preços",E6424)))</formula>
    </cfRule>
  </conditionalFormatting>
  <conditionalFormatting sqref="D6429:D6430">
    <cfRule type="containsText" dxfId="806" priority="2239" operator="containsText" text="Pesquisa de Preços">
      <formula>NOT(ISERROR(SEARCH("Pesquisa de Preços",D6429)))</formula>
    </cfRule>
  </conditionalFormatting>
  <conditionalFormatting sqref="E6430">
    <cfRule type="containsText" dxfId="805" priority="2236" operator="containsText" text="Pesquisa de Preços">
      <formula>NOT(ISERROR(SEARCH("Pesquisa de Preços",E6430)))</formula>
    </cfRule>
  </conditionalFormatting>
  <conditionalFormatting sqref="D6432">
    <cfRule type="containsText" dxfId="804" priority="2241" operator="containsText" text="Pesquisa de Preços">
      <formula>NOT(ISERROR(SEARCH("Pesquisa de Preços",D6432)))</formula>
    </cfRule>
  </conditionalFormatting>
  <conditionalFormatting sqref="D6428">
    <cfRule type="containsText" dxfId="803" priority="2240" operator="containsText" text="Pesquisa de Preços">
      <formula>NOT(ISERROR(SEARCH("Pesquisa de Preços",D6428)))</formula>
    </cfRule>
  </conditionalFormatting>
  <conditionalFormatting sqref="E6428">
    <cfRule type="containsText" dxfId="802" priority="2237" operator="containsText" text="Pesquisa de Preços">
      <formula>NOT(ISERROR(SEARCH("Pesquisa de Preços",E6428)))</formula>
    </cfRule>
  </conditionalFormatting>
  <conditionalFormatting sqref="E6429 E6432">
    <cfRule type="containsText" dxfId="801" priority="2238" operator="containsText" text="Pesquisa de Preços">
      <formula>NOT(ISERROR(SEARCH("Pesquisa de Preços",E6429)))</formula>
    </cfRule>
  </conditionalFormatting>
  <conditionalFormatting sqref="D6426">
    <cfRule type="containsText" dxfId="800" priority="2234" operator="containsText" text="Pesquisa de Preços">
      <formula>NOT(ISERROR(SEARCH("Pesquisa de Preços",D6426)))</formula>
    </cfRule>
  </conditionalFormatting>
  <conditionalFormatting sqref="D6425">
    <cfRule type="containsText" dxfId="799" priority="2235" operator="containsText" text="Pesquisa de Preços">
      <formula>NOT(ISERROR(SEARCH("Pesquisa de Preços",D6425)))</formula>
    </cfRule>
  </conditionalFormatting>
  <conditionalFormatting sqref="D6400:D6401">
    <cfRule type="containsText" dxfId="798" priority="2222" operator="containsText" text="Pesquisa de Preços">
      <formula>NOT(ISERROR(SEARCH("Pesquisa de Preços",D6400)))</formula>
    </cfRule>
  </conditionalFormatting>
  <conditionalFormatting sqref="E6401">
    <cfRule type="containsText" dxfId="797" priority="2219" operator="containsText" text="Pesquisa de Preços">
      <formula>NOT(ISERROR(SEARCH("Pesquisa de Preços",E6401)))</formula>
    </cfRule>
  </conditionalFormatting>
  <conditionalFormatting sqref="D6405">
    <cfRule type="containsText" dxfId="796" priority="2226" operator="containsText" text="Pesquisa de Preços">
      <formula>NOT(ISERROR(SEARCH("Pesquisa de Preços",D6405)))</formula>
    </cfRule>
  </conditionalFormatting>
  <conditionalFormatting sqref="D6399">
    <cfRule type="containsText" dxfId="795" priority="2223" operator="containsText" text="Pesquisa de Preços">
      <formula>NOT(ISERROR(SEARCH("Pesquisa de Preços",D6399)))</formula>
    </cfRule>
  </conditionalFormatting>
  <conditionalFormatting sqref="E6399">
    <cfRule type="containsText" dxfId="794" priority="2220" operator="containsText" text="Pesquisa de Preços">
      <formula>NOT(ISERROR(SEARCH("Pesquisa de Preços",E6399)))</formula>
    </cfRule>
  </conditionalFormatting>
  <conditionalFormatting sqref="E6400 E6405">
    <cfRule type="containsText" dxfId="793" priority="2221" operator="containsText" text="Pesquisa de Preços">
      <formula>NOT(ISERROR(SEARCH("Pesquisa de Preços",E6400)))</formula>
    </cfRule>
  </conditionalFormatting>
  <conditionalFormatting sqref="D6407">
    <cfRule type="containsText" dxfId="792" priority="2209" operator="containsText" text="Pesquisa de Preços">
      <formula>NOT(ISERROR(SEARCH("Pesquisa de Preços",D6407)))</formula>
    </cfRule>
  </conditionalFormatting>
  <conditionalFormatting sqref="D6409">
    <cfRule type="containsText" dxfId="791" priority="2211" operator="containsText" text="Pesquisa de Preços">
      <formula>NOT(ISERROR(SEARCH("Pesquisa de Preços",D6409)))</formula>
    </cfRule>
  </conditionalFormatting>
  <conditionalFormatting sqref="D6406">
    <cfRule type="containsText" dxfId="790" priority="2210" operator="containsText" text="Pesquisa de Preços">
      <formula>NOT(ISERROR(SEARCH("Pesquisa de Preços",D6406)))</formula>
    </cfRule>
  </conditionalFormatting>
  <conditionalFormatting sqref="E6406">
    <cfRule type="containsText" dxfId="789" priority="2207" operator="containsText" text="Pesquisa de Preços">
      <formula>NOT(ISERROR(SEARCH("Pesquisa de Preços",E6406)))</formula>
    </cfRule>
  </conditionalFormatting>
  <conditionalFormatting sqref="E6407 E6409">
    <cfRule type="containsText" dxfId="788" priority="2208" operator="containsText" text="Pesquisa de Preços">
      <formula>NOT(ISERROR(SEARCH("Pesquisa de Preços",E6407)))</formula>
    </cfRule>
  </conditionalFormatting>
  <conditionalFormatting sqref="D6411">
    <cfRule type="containsText" dxfId="787" priority="2195" operator="containsText" text="Pesquisa de Preços">
      <formula>NOT(ISERROR(SEARCH("Pesquisa de Preços",D6411)))</formula>
    </cfRule>
  </conditionalFormatting>
  <conditionalFormatting sqref="D6414">
    <cfRule type="containsText" dxfId="786" priority="2197" operator="containsText" text="Pesquisa de Preços">
      <formula>NOT(ISERROR(SEARCH("Pesquisa de Preços",D6414)))</formula>
    </cfRule>
  </conditionalFormatting>
  <conditionalFormatting sqref="D6410">
    <cfRule type="containsText" dxfId="785" priority="2196" operator="containsText" text="Pesquisa de Preços">
      <formula>NOT(ISERROR(SEARCH("Pesquisa de Preços",D6410)))</formula>
    </cfRule>
  </conditionalFormatting>
  <conditionalFormatting sqref="E6410">
    <cfRule type="containsText" dxfId="784" priority="2193" operator="containsText" text="Pesquisa de Preços">
      <formula>NOT(ISERROR(SEARCH("Pesquisa de Preços",E6410)))</formula>
    </cfRule>
  </conditionalFormatting>
  <conditionalFormatting sqref="E6411 E6414">
    <cfRule type="containsText" dxfId="783" priority="2194" operator="containsText" text="Pesquisa de Preços">
      <formula>NOT(ISERROR(SEARCH("Pesquisa de Preços",E6411)))</formula>
    </cfRule>
  </conditionalFormatting>
  <conditionalFormatting sqref="E6419">
    <cfRule type="containsText" dxfId="782" priority="2164" operator="containsText" text="Pesquisa de Preços">
      <formula>NOT(ISERROR(SEARCH("Pesquisa de Preços",E6419)))</formula>
    </cfRule>
  </conditionalFormatting>
  <conditionalFormatting sqref="D6416">
    <cfRule type="containsText" dxfId="781" priority="2176" operator="containsText" text="Pesquisa de Preços">
      <formula>NOT(ISERROR(SEARCH("Pesquisa de Preços",D6416)))</formula>
    </cfRule>
  </conditionalFormatting>
  <conditionalFormatting sqref="D6418">
    <cfRule type="containsText" dxfId="780" priority="2178" operator="containsText" text="Pesquisa de Preços">
      <formula>NOT(ISERROR(SEARCH("Pesquisa de Preços",D6418)))</formula>
    </cfRule>
  </conditionalFormatting>
  <conditionalFormatting sqref="D6415">
    <cfRule type="containsText" dxfId="779" priority="2177" operator="containsText" text="Pesquisa de Preços">
      <formula>NOT(ISERROR(SEARCH("Pesquisa de Preços",D6415)))</formula>
    </cfRule>
  </conditionalFormatting>
  <conditionalFormatting sqref="E6415">
    <cfRule type="containsText" dxfId="778" priority="2174" operator="containsText" text="Pesquisa de Preços">
      <formula>NOT(ISERROR(SEARCH("Pesquisa de Preços",E6415)))</formula>
    </cfRule>
  </conditionalFormatting>
  <conditionalFormatting sqref="E6416 E6418">
    <cfRule type="containsText" dxfId="777" priority="2175" operator="containsText" text="Pesquisa de Preços">
      <formula>NOT(ISERROR(SEARCH("Pesquisa de Preços",E6416)))</formula>
    </cfRule>
  </conditionalFormatting>
  <conditionalFormatting sqref="D6420">
    <cfRule type="containsText" dxfId="776" priority="2166" operator="containsText" text="Pesquisa de Preços">
      <formula>NOT(ISERROR(SEARCH("Pesquisa de Preços",D6420)))</formula>
    </cfRule>
  </conditionalFormatting>
  <conditionalFormatting sqref="D6422">
    <cfRule type="containsText" dxfId="775" priority="2168" operator="containsText" text="Pesquisa de Preços">
      <formula>NOT(ISERROR(SEARCH("Pesquisa de Preços",D6422)))</formula>
    </cfRule>
  </conditionalFormatting>
  <conditionalFormatting sqref="D6419">
    <cfRule type="containsText" dxfId="774" priority="2167" operator="containsText" text="Pesquisa de Preços">
      <formula>NOT(ISERROR(SEARCH("Pesquisa de Preços",D6419)))</formula>
    </cfRule>
  </conditionalFormatting>
  <conditionalFormatting sqref="E6420 E6422">
    <cfRule type="containsText" dxfId="773" priority="2165" operator="containsText" text="Pesquisa de Preços">
      <formula>NOT(ISERROR(SEARCH("Pesquisa de Preços",E6420)))</formula>
    </cfRule>
  </conditionalFormatting>
  <conditionalFormatting sqref="D1378">
    <cfRule type="containsText" dxfId="772" priority="2156" operator="containsText" text="Pesquisa de Preços">
      <formula>NOT(ISERROR(SEARCH("Pesquisa de Preços",D1378)))</formula>
    </cfRule>
  </conditionalFormatting>
  <conditionalFormatting sqref="D1379">
    <cfRule type="containsText" dxfId="771" priority="2153" operator="containsText" text="Pesquisa de Preços">
      <formula>NOT(ISERROR(SEARCH("Pesquisa de Preços",D1379)))</formula>
    </cfRule>
  </conditionalFormatting>
  <conditionalFormatting sqref="D1940">
    <cfRule type="containsText" dxfId="770" priority="2149" operator="containsText" text="Pesquisa de Preços">
      <formula>NOT(ISERROR(SEARCH("Pesquisa de Preços",D1940)))</formula>
    </cfRule>
  </conditionalFormatting>
  <conditionalFormatting sqref="E1940">
    <cfRule type="containsText" dxfId="769" priority="2148" operator="containsText" text="Pesquisa de Preços">
      <formula>NOT(ISERROR(SEARCH("Pesquisa de Preços",E1940)))</formula>
    </cfRule>
  </conditionalFormatting>
  <conditionalFormatting sqref="D1939">
    <cfRule type="containsText" dxfId="768" priority="2147" operator="containsText" text="Pesquisa de Preços">
      <formula>NOT(ISERROR(SEARCH("Pesquisa de Preços",D1939)))</formula>
    </cfRule>
  </conditionalFormatting>
  <conditionalFormatting sqref="E1939">
    <cfRule type="containsText" dxfId="767" priority="2146" operator="containsText" text="Pesquisa de Preços">
      <formula>NOT(ISERROR(SEARCH("Pesquisa de Preços",E1939)))</formula>
    </cfRule>
  </conditionalFormatting>
  <conditionalFormatting sqref="D2218">
    <cfRule type="containsText" dxfId="766" priority="2142" operator="containsText" text="Pesquisa de Preços">
      <formula>NOT(ISERROR(SEARCH("Pesquisa de Preços",D2218)))</formula>
    </cfRule>
  </conditionalFormatting>
  <conditionalFormatting sqref="D2217">
    <cfRule type="containsText" dxfId="765" priority="2141" operator="containsText" text="Pesquisa de Preços">
      <formula>NOT(ISERROR(SEARCH("Pesquisa de Preços",D2217)))</formula>
    </cfRule>
  </conditionalFormatting>
  <conditionalFormatting sqref="E2224">
    <cfRule type="containsText" dxfId="764" priority="2140" operator="containsText" text="Pesquisa de Preços">
      <formula>NOT(ISERROR(SEARCH("Pesquisa de Preços",E2224)))</formula>
    </cfRule>
  </conditionalFormatting>
  <conditionalFormatting sqref="D2224">
    <cfRule type="containsText" dxfId="763" priority="2139" operator="containsText" text="Pesquisa de Preços">
      <formula>NOT(ISERROR(SEARCH("Pesquisa de Preços",D2224)))</formula>
    </cfRule>
  </conditionalFormatting>
  <conditionalFormatting sqref="D6449">
    <cfRule type="containsText" dxfId="762" priority="2131" operator="containsText" text="Pesquisa de Preços">
      <formula>NOT(ISERROR(SEARCH("Pesquisa de Preços",D6449)))</formula>
    </cfRule>
  </conditionalFormatting>
  <conditionalFormatting sqref="D6446">
    <cfRule type="containsText" dxfId="761" priority="2129" operator="containsText" text="Pesquisa de Preços">
      <formula>NOT(ISERROR(SEARCH("Pesquisa de Preços",D6446)))</formula>
    </cfRule>
  </conditionalFormatting>
  <conditionalFormatting sqref="D6458">
    <cfRule type="containsText" dxfId="760" priority="2120" operator="containsText" text="Pesquisa de Preços">
      <formula>NOT(ISERROR(SEARCH("Pesquisa de Preços",D6458)))</formula>
    </cfRule>
  </conditionalFormatting>
  <conditionalFormatting sqref="D6445">
    <cfRule type="containsText" dxfId="759" priority="2130" operator="containsText" text="Pesquisa de Preços">
      <formula>NOT(ISERROR(SEARCH("Pesquisa de Preços",D6445)))</formula>
    </cfRule>
  </conditionalFormatting>
  <conditionalFormatting sqref="E6445">
    <cfRule type="containsText" dxfId="758" priority="2127" operator="containsText" text="Pesquisa de Preços">
      <formula>NOT(ISERROR(SEARCH("Pesquisa de Preços",E6445)))</formula>
    </cfRule>
  </conditionalFormatting>
  <conditionalFormatting sqref="E6446 E6449">
    <cfRule type="containsText" dxfId="757" priority="2128" operator="containsText" text="Pesquisa de Preços">
      <formula>NOT(ISERROR(SEARCH("Pesquisa de Preços",E6446)))</formula>
    </cfRule>
  </conditionalFormatting>
  <conditionalFormatting sqref="D6451:D6452">
    <cfRule type="containsText" dxfId="756" priority="2118" operator="containsText" text="Pesquisa de Preços">
      <formula>NOT(ISERROR(SEARCH("Pesquisa de Preços",D6451)))</formula>
    </cfRule>
  </conditionalFormatting>
  <conditionalFormatting sqref="E6452">
    <cfRule type="containsText" dxfId="755" priority="2115" operator="containsText" text="Pesquisa de Preços">
      <formula>NOT(ISERROR(SEARCH("Pesquisa de Preços",E6452)))</formula>
    </cfRule>
  </conditionalFormatting>
  <conditionalFormatting sqref="D6450">
    <cfRule type="containsText" dxfId="754" priority="2119" operator="containsText" text="Pesquisa de Preços">
      <formula>NOT(ISERROR(SEARCH("Pesquisa de Preços",D6450)))</formula>
    </cfRule>
  </conditionalFormatting>
  <conditionalFormatting sqref="E6450">
    <cfRule type="containsText" dxfId="753" priority="2116" operator="containsText" text="Pesquisa de Preços">
      <formula>NOT(ISERROR(SEARCH("Pesquisa de Preços",E6450)))</formula>
    </cfRule>
  </conditionalFormatting>
  <conditionalFormatting sqref="E6451 E6458">
    <cfRule type="containsText" dxfId="752" priority="2117" operator="containsText" text="Pesquisa de Preços">
      <formula>NOT(ISERROR(SEARCH("Pesquisa de Preços",E6451)))</formula>
    </cfRule>
  </conditionalFormatting>
  <conditionalFormatting sqref="D6448">
    <cfRule type="containsText" dxfId="751" priority="2112" operator="containsText" text="Pesquisa de Preços">
      <formula>NOT(ISERROR(SEARCH("Pesquisa de Preços",D6448)))</formula>
    </cfRule>
  </conditionalFormatting>
  <conditionalFormatting sqref="D6460">
    <cfRule type="containsText" dxfId="750" priority="2101" operator="containsText" text="Pesquisa de Preços">
      <formula>NOT(ISERROR(SEARCH("Pesquisa de Preços",D6460)))</formula>
    </cfRule>
  </conditionalFormatting>
  <conditionalFormatting sqref="E6461">
    <cfRule type="containsText" dxfId="749" priority="2092" operator="containsText" text="Pesquisa de Preços">
      <formula>NOT(ISERROR(SEARCH("Pesquisa de Preços",E6461)))</formula>
    </cfRule>
  </conditionalFormatting>
  <conditionalFormatting sqref="D6465">
    <cfRule type="containsText" dxfId="748" priority="2105" operator="containsText" text="Pesquisa de Preços">
      <formula>NOT(ISERROR(SEARCH("Pesquisa de Preços",D6465)))</formula>
    </cfRule>
  </conditionalFormatting>
  <conditionalFormatting sqref="D6459">
    <cfRule type="containsText" dxfId="747" priority="2102" operator="containsText" text="Pesquisa de Preços">
      <formula>NOT(ISERROR(SEARCH("Pesquisa de Preços",D6459)))</formula>
    </cfRule>
  </conditionalFormatting>
  <conditionalFormatting sqref="E6459">
    <cfRule type="containsText" dxfId="746" priority="2099" operator="containsText" text="Pesquisa de Preços">
      <formula>NOT(ISERROR(SEARCH("Pesquisa de Preços",E6459)))</formula>
    </cfRule>
  </conditionalFormatting>
  <conditionalFormatting sqref="E6460 E6465">
    <cfRule type="containsText" dxfId="745" priority="2100" operator="containsText" text="Pesquisa de Preços">
      <formula>NOT(ISERROR(SEARCH("Pesquisa de Preços",E6460)))</formula>
    </cfRule>
  </conditionalFormatting>
  <conditionalFormatting sqref="D6461">
    <cfRule type="containsText" dxfId="744" priority="2093" operator="containsText" text="Pesquisa de Preços">
      <formula>NOT(ISERROR(SEARCH("Pesquisa de Preços",D6461)))</formula>
    </cfRule>
  </conditionalFormatting>
  <conditionalFormatting sqref="D6467">
    <cfRule type="containsText" dxfId="743" priority="2082" operator="containsText" text="Pesquisa de Preços">
      <formula>NOT(ISERROR(SEARCH("Pesquisa de Preços",D6467)))</formula>
    </cfRule>
  </conditionalFormatting>
  <conditionalFormatting sqref="D6472">
    <cfRule type="containsText" dxfId="742" priority="2086" operator="containsText" text="Pesquisa de Preços">
      <formula>NOT(ISERROR(SEARCH("Pesquisa de Preços",D6472)))</formula>
    </cfRule>
  </conditionalFormatting>
  <conditionalFormatting sqref="D6466">
    <cfRule type="containsText" dxfId="741" priority="2083" operator="containsText" text="Pesquisa de Preços">
      <formula>NOT(ISERROR(SEARCH("Pesquisa de Preços",D6466)))</formula>
    </cfRule>
  </conditionalFormatting>
  <conditionalFormatting sqref="E6466">
    <cfRule type="containsText" dxfId="740" priority="2080" operator="containsText" text="Pesquisa de Preços">
      <formula>NOT(ISERROR(SEARCH("Pesquisa de Preços",E6466)))</formula>
    </cfRule>
  </conditionalFormatting>
  <conditionalFormatting sqref="E6467 E6472">
    <cfRule type="containsText" dxfId="739" priority="2081" operator="containsText" text="Pesquisa de Preços">
      <formula>NOT(ISERROR(SEARCH("Pesquisa de Preços",E6467)))</formula>
    </cfRule>
  </conditionalFormatting>
  <conditionalFormatting sqref="D6474">
    <cfRule type="containsText" dxfId="738" priority="2068" operator="containsText" text="Pesquisa de Preços">
      <formula>NOT(ISERROR(SEARCH("Pesquisa de Preços",D6474)))</formula>
    </cfRule>
  </conditionalFormatting>
  <conditionalFormatting sqref="D6473">
    <cfRule type="containsText" dxfId="737" priority="2069" operator="containsText" text="Pesquisa de Preços">
      <formula>NOT(ISERROR(SEARCH("Pesquisa de Preços",D6473)))</formula>
    </cfRule>
  </conditionalFormatting>
  <conditionalFormatting sqref="E6473">
    <cfRule type="containsText" dxfId="736" priority="2066" operator="containsText" text="Pesquisa de Preços">
      <formula>NOT(ISERROR(SEARCH("Pesquisa de Preços",E6473)))</formula>
    </cfRule>
  </conditionalFormatting>
  <conditionalFormatting sqref="E6474">
    <cfRule type="containsText" dxfId="735" priority="2067" operator="containsText" text="Pesquisa de Preços">
      <formula>NOT(ISERROR(SEARCH("Pesquisa de Preços",E6474)))</formula>
    </cfRule>
  </conditionalFormatting>
  <conditionalFormatting sqref="D6468">
    <cfRule type="containsText" dxfId="734" priority="2059" operator="containsText" text="Pesquisa de Preços">
      <formula>NOT(ISERROR(SEARCH("Pesquisa de Preços",D6468)))</formula>
    </cfRule>
  </conditionalFormatting>
  <conditionalFormatting sqref="E6468">
    <cfRule type="containsText" dxfId="733" priority="2058" operator="containsText" text="Pesquisa de Preços">
      <formula>NOT(ISERROR(SEARCH("Pesquisa de Preços",E6468)))</formula>
    </cfRule>
  </conditionalFormatting>
  <conditionalFormatting sqref="D6479">
    <cfRule type="containsText" dxfId="732" priority="2049" operator="containsText" text="Pesquisa de Preços">
      <formula>NOT(ISERROR(SEARCH("Pesquisa de Preços",D6479)))</formula>
    </cfRule>
  </conditionalFormatting>
  <conditionalFormatting sqref="E6479">
    <cfRule type="containsText" dxfId="731" priority="2046" operator="containsText" text="Pesquisa de Preços">
      <formula>NOT(ISERROR(SEARCH("Pesquisa de Preços",E6479)))</formula>
    </cfRule>
  </conditionalFormatting>
  <conditionalFormatting sqref="D374">
    <cfRule type="containsText" dxfId="730" priority="2045" operator="containsText" text="Pesquisa de Preços">
      <formula>NOT(ISERROR(SEARCH("Pesquisa de Preços",D374)))</formula>
    </cfRule>
  </conditionalFormatting>
  <conditionalFormatting sqref="D6501">
    <cfRule type="containsText" dxfId="729" priority="2028" operator="containsText" text="Pesquisa de Preços">
      <formula>NOT(ISERROR(SEARCH("Pesquisa de Preços",D6501)))</formula>
    </cfRule>
  </conditionalFormatting>
  <conditionalFormatting sqref="E6498">
    <cfRule type="containsText" dxfId="728" priority="2024" operator="containsText" text="Pesquisa de Preços">
      <formula>NOT(ISERROR(SEARCH("Pesquisa de Preços",E6498)))</formula>
    </cfRule>
  </conditionalFormatting>
  <conditionalFormatting sqref="D6499">
    <cfRule type="containsText" dxfId="727" priority="2026" operator="containsText" text="Pesquisa de Preços">
      <formula>NOT(ISERROR(SEARCH("Pesquisa de Preços",D6499)))</formula>
    </cfRule>
  </conditionalFormatting>
  <conditionalFormatting sqref="D6498">
    <cfRule type="containsText" dxfId="726" priority="2027" operator="containsText" text="Pesquisa de Preços">
      <formula>NOT(ISERROR(SEARCH("Pesquisa de Preços",D6498)))</formula>
    </cfRule>
  </conditionalFormatting>
  <conditionalFormatting sqref="E6499 E6501">
    <cfRule type="containsText" dxfId="725" priority="2025" operator="containsText" text="Pesquisa de Preços">
      <formula>NOT(ISERROR(SEARCH("Pesquisa de Preços",E6499)))</formula>
    </cfRule>
  </conditionalFormatting>
  <conditionalFormatting sqref="D6505">
    <cfRule type="containsText" dxfId="724" priority="2018" operator="containsText" text="Pesquisa de Preços">
      <formula>NOT(ISERROR(SEARCH("Pesquisa de Preços",D6505)))</formula>
    </cfRule>
  </conditionalFormatting>
  <conditionalFormatting sqref="E6502">
    <cfRule type="containsText" dxfId="723" priority="2014" operator="containsText" text="Pesquisa de Preços">
      <formula>NOT(ISERROR(SEARCH("Pesquisa de Preços",E6502)))</formula>
    </cfRule>
  </conditionalFormatting>
  <conditionalFormatting sqref="D6503">
    <cfRule type="containsText" dxfId="722" priority="2016" operator="containsText" text="Pesquisa de Preços">
      <formula>NOT(ISERROR(SEARCH("Pesquisa de Preços",D6503)))</formula>
    </cfRule>
  </conditionalFormatting>
  <conditionalFormatting sqref="D6502">
    <cfRule type="containsText" dxfId="721" priority="2017" operator="containsText" text="Pesquisa de Preços">
      <formula>NOT(ISERROR(SEARCH("Pesquisa de Preços",D6502)))</formula>
    </cfRule>
  </conditionalFormatting>
  <conditionalFormatting sqref="E6503 E6505">
    <cfRule type="containsText" dxfId="720" priority="2015" operator="containsText" text="Pesquisa de Preços">
      <formula>NOT(ISERROR(SEARCH("Pesquisa de Preços",E6503)))</formula>
    </cfRule>
  </conditionalFormatting>
  <conditionalFormatting sqref="D6509">
    <cfRule type="containsText" dxfId="719" priority="2008" operator="containsText" text="Pesquisa de Preços">
      <formula>NOT(ISERROR(SEARCH("Pesquisa de Preços",D6509)))</formula>
    </cfRule>
  </conditionalFormatting>
  <conditionalFormatting sqref="E6506">
    <cfRule type="containsText" dxfId="718" priority="2004" operator="containsText" text="Pesquisa de Preços">
      <formula>NOT(ISERROR(SEARCH("Pesquisa de Preços",E6506)))</formula>
    </cfRule>
  </conditionalFormatting>
  <conditionalFormatting sqref="D6507">
    <cfRule type="containsText" dxfId="717" priority="2006" operator="containsText" text="Pesquisa de Preços">
      <formula>NOT(ISERROR(SEARCH("Pesquisa de Preços",D6507)))</formula>
    </cfRule>
  </conditionalFormatting>
  <conditionalFormatting sqref="D6506">
    <cfRule type="containsText" dxfId="716" priority="2007" operator="containsText" text="Pesquisa de Preços">
      <formula>NOT(ISERROR(SEARCH("Pesquisa de Preços",D6506)))</formula>
    </cfRule>
  </conditionalFormatting>
  <conditionalFormatting sqref="E6507 E6509">
    <cfRule type="containsText" dxfId="715" priority="2005" operator="containsText" text="Pesquisa de Preços">
      <formula>NOT(ISERROR(SEARCH("Pesquisa de Preços",E6507)))</formula>
    </cfRule>
  </conditionalFormatting>
  <conditionalFormatting sqref="D6513">
    <cfRule type="containsText" dxfId="714" priority="1978" operator="containsText" text="Pesquisa de Preços">
      <formula>NOT(ISERROR(SEARCH("Pesquisa de Preços",D6513)))</formula>
    </cfRule>
  </conditionalFormatting>
  <conditionalFormatting sqref="E6510">
    <cfRule type="containsText" dxfId="713" priority="1974" operator="containsText" text="Pesquisa de Preços">
      <formula>NOT(ISERROR(SEARCH("Pesquisa de Preços",E6510)))</formula>
    </cfRule>
  </conditionalFormatting>
  <conditionalFormatting sqref="D6511">
    <cfRule type="containsText" dxfId="712" priority="1976" operator="containsText" text="Pesquisa de Preços">
      <formula>NOT(ISERROR(SEARCH("Pesquisa de Preços",D6511)))</formula>
    </cfRule>
  </conditionalFormatting>
  <conditionalFormatting sqref="D6510">
    <cfRule type="containsText" dxfId="711" priority="1977" operator="containsText" text="Pesquisa de Preços">
      <formula>NOT(ISERROR(SEARCH("Pesquisa de Preços",D6510)))</formula>
    </cfRule>
  </conditionalFormatting>
  <conditionalFormatting sqref="E6511 E6513">
    <cfRule type="containsText" dxfId="710" priority="1975" operator="containsText" text="Pesquisa de Preços">
      <formula>NOT(ISERROR(SEARCH("Pesquisa de Preços",E6511)))</formula>
    </cfRule>
  </conditionalFormatting>
  <conditionalFormatting sqref="D6517">
    <cfRule type="containsText" dxfId="709" priority="1968" operator="containsText" text="Pesquisa de Preços">
      <formula>NOT(ISERROR(SEARCH("Pesquisa de Preços",D6517)))</formula>
    </cfRule>
  </conditionalFormatting>
  <conditionalFormatting sqref="E6514">
    <cfRule type="containsText" dxfId="708" priority="1964" operator="containsText" text="Pesquisa de Preços">
      <formula>NOT(ISERROR(SEARCH("Pesquisa de Preços",E6514)))</formula>
    </cfRule>
  </conditionalFormatting>
  <conditionalFormatting sqref="D6515">
    <cfRule type="containsText" dxfId="707" priority="1966" operator="containsText" text="Pesquisa de Preços">
      <formula>NOT(ISERROR(SEARCH("Pesquisa de Preços",D6515)))</formula>
    </cfRule>
  </conditionalFormatting>
  <conditionalFormatting sqref="D6514">
    <cfRule type="containsText" dxfId="706" priority="1967" operator="containsText" text="Pesquisa de Preços">
      <formula>NOT(ISERROR(SEARCH("Pesquisa de Preços",D6514)))</formula>
    </cfRule>
  </conditionalFormatting>
  <conditionalFormatting sqref="E6515 E6517">
    <cfRule type="containsText" dxfId="705" priority="1965" operator="containsText" text="Pesquisa de Preços">
      <formula>NOT(ISERROR(SEARCH("Pesquisa de Preços",E6515)))</formula>
    </cfRule>
  </conditionalFormatting>
  <conditionalFormatting sqref="D6521">
    <cfRule type="containsText" dxfId="704" priority="1958" operator="containsText" text="Pesquisa de Preços">
      <formula>NOT(ISERROR(SEARCH("Pesquisa de Preços",D6521)))</formula>
    </cfRule>
  </conditionalFormatting>
  <conditionalFormatting sqref="E6518">
    <cfRule type="containsText" dxfId="703" priority="1954" operator="containsText" text="Pesquisa de Preços">
      <formula>NOT(ISERROR(SEARCH("Pesquisa de Preços",E6518)))</formula>
    </cfRule>
  </conditionalFormatting>
  <conditionalFormatting sqref="D6519">
    <cfRule type="containsText" dxfId="702" priority="1956" operator="containsText" text="Pesquisa de Preços">
      <formula>NOT(ISERROR(SEARCH("Pesquisa de Preços",D6519)))</formula>
    </cfRule>
  </conditionalFormatting>
  <conditionalFormatting sqref="D6518">
    <cfRule type="containsText" dxfId="701" priority="1957" operator="containsText" text="Pesquisa de Preços">
      <formula>NOT(ISERROR(SEARCH("Pesquisa de Preços",D6518)))</formula>
    </cfRule>
  </conditionalFormatting>
  <conditionalFormatting sqref="E6519 E6521">
    <cfRule type="containsText" dxfId="700" priority="1955" operator="containsText" text="Pesquisa de Preços">
      <formula>NOT(ISERROR(SEARCH("Pesquisa de Preços",E6519)))</formula>
    </cfRule>
  </conditionalFormatting>
  <conditionalFormatting sqref="D6525">
    <cfRule type="containsText" dxfId="699" priority="1948" operator="containsText" text="Pesquisa de Preços">
      <formula>NOT(ISERROR(SEARCH("Pesquisa de Preços",D6525)))</formula>
    </cfRule>
  </conditionalFormatting>
  <conditionalFormatting sqref="E6522">
    <cfRule type="containsText" dxfId="698" priority="1944" operator="containsText" text="Pesquisa de Preços">
      <formula>NOT(ISERROR(SEARCH("Pesquisa de Preços",E6522)))</formula>
    </cfRule>
  </conditionalFormatting>
  <conditionalFormatting sqref="D6523">
    <cfRule type="containsText" dxfId="697" priority="1946" operator="containsText" text="Pesquisa de Preços">
      <formula>NOT(ISERROR(SEARCH("Pesquisa de Preços",D6523)))</formula>
    </cfRule>
  </conditionalFormatting>
  <conditionalFormatting sqref="D6522">
    <cfRule type="containsText" dxfId="696" priority="1947" operator="containsText" text="Pesquisa de Preços">
      <formula>NOT(ISERROR(SEARCH("Pesquisa de Preços",D6522)))</formula>
    </cfRule>
  </conditionalFormatting>
  <conditionalFormatting sqref="E6523 E6525">
    <cfRule type="containsText" dxfId="695" priority="1945" operator="containsText" text="Pesquisa de Preços">
      <formula>NOT(ISERROR(SEARCH("Pesquisa de Preços",E6523)))</formula>
    </cfRule>
  </conditionalFormatting>
  <conditionalFormatting sqref="D6529">
    <cfRule type="containsText" dxfId="694" priority="1938" operator="containsText" text="Pesquisa de Preços">
      <formula>NOT(ISERROR(SEARCH("Pesquisa de Preços",D6529)))</formula>
    </cfRule>
  </conditionalFormatting>
  <conditionalFormatting sqref="E6526">
    <cfRule type="containsText" dxfId="693" priority="1934" operator="containsText" text="Pesquisa de Preços">
      <formula>NOT(ISERROR(SEARCH("Pesquisa de Preços",E6526)))</formula>
    </cfRule>
  </conditionalFormatting>
  <conditionalFormatting sqref="D6527">
    <cfRule type="containsText" dxfId="692" priority="1936" operator="containsText" text="Pesquisa de Preços">
      <formula>NOT(ISERROR(SEARCH("Pesquisa de Preços",D6527)))</formula>
    </cfRule>
  </conditionalFormatting>
  <conditionalFormatting sqref="D6526">
    <cfRule type="containsText" dxfId="691" priority="1937" operator="containsText" text="Pesquisa de Preços">
      <formula>NOT(ISERROR(SEARCH("Pesquisa de Preços",D6526)))</formula>
    </cfRule>
  </conditionalFormatting>
  <conditionalFormatting sqref="E6527 E6529">
    <cfRule type="containsText" dxfId="690" priority="1935" operator="containsText" text="Pesquisa de Preços">
      <formula>NOT(ISERROR(SEARCH("Pesquisa de Preços",E6527)))</formula>
    </cfRule>
  </conditionalFormatting>
  <conditionalFormatting sqref="D6533">
    <cfRule type="containsText" dxfId="689" priority="1918" operator="containsText" text="Pesquisa de Preços">
      <formula>NOT(ISERROR(SEARCH("Pesquisa de Preços",D6533)))</formula>
    </cfRule>
  </conditionalFormatting>
  <conditionalFormatting sqref="E6530">
    <cfRule type="containsText" dxfId="688" priority="1914" operator="containsText" text="Pesquisa de Preços">
      <formula>NOT(ISERROR(SEARCH("Pesquisa de Preços",E6530)))</formula>
    </cfRule>
  </conditionalFormatting>
  <conditionalFormatting sqref="D6531">
    <cfRule type="containsText" dxfId="687" priority="1916" operator="containsText" text="Pesquisa de Preços">
      <formula>NOT(ISERROR(SEARCH("Pesquisa de Preços",D6531)))</formula>
    </cfRule>
  </conditionalFormatting>
  <conditionalFormatting sqref="D6530">
    <cfRule type="containsText" dxfId="686" priority="1917" operator="containsText" text="Pesquisa de Preços">
      <formula>NOT(ISERROR(SEARCH("Pesquisa de Preços",D6530)))</formula>
    </cfRule>
  </conditionalFormatting>
  <conditionalFormatting sqref="E6531 E6533">
    <cfRule type="containsText" dxfId="685" priority="1915" operator="containsText" text="Pesquisa de Preços">
      <formula>NOT(ISERROR(SEARCH("Pesquisa de Preços",E6531)))</formula>
    </cfRule>
  </conditionalFormatting>
  <conditionalFormatting sqref="D6537">
    <cfRule type="containsText" dxfId="684" priority="1908" operator="containsText" text="Pesquisa de Preços">
      <formula>NOT(ISERROR(SEARCH("Pesquisa de Preços",D6537)))</formula>
    </cfRule>
  </conditionalFormatting>
  <conditionalFormatting sqref="E6534">
    <cfRule type="containsText" dxfId="683" priority="1904" operator="containsText" text="Pesquisa de Preços">
      <formula>NOT(ISERROR(SEARCH("Pesquisa de Preços",E6534)))</formula>
    </cfRule>
  </conditionalFormatting>
  <conditionalFormatting sqref="D6535">
    <cfRule type="containsText" dxfId="682" priority="1906" operator="containsText" text="Pesquisa de Preços">
      <formula>NOT(ISERROR(SEARCH("Pesquisa de Preços",D6535)))</formula>
    </cfRule>
  </conditionalFormatting>
  <conditionalFormatting sqref="D6534">
    <cfRule type="containsText" dxfId="681" priority="1907" operator="containsText" text="Pesquisa de Preços">
      <formula>NOT(ISERROR(SEARCH("Pesquisa de Preços",D6534)))</formula>
    </cfRule>
  </conditionalFormatting>
  <conditionalFormatting sqref="E6535 E6537">
    <cfRule type="containsText" dxfId="680" priority="1905" operator="containsText" text="Pesquisa de Preços">
      <formula>NOT(ISERROR(SEARCH("Pesquisa de Preços",E6535)))</formula>
    </cfRule>
  </conditionalFormatting>
  <conditionalFormatting sqref="D6545">
    <cfRule type="containsText" dxfId="679" priority="1898" operator="containsText" text="Pesquisa de Preços">
      <formula>NOT(ISERROR(SEARCH("Pesquisa de Preços",D6545)))</formula>
    </cfRule>
  </conditionalFormatting>
  <conditionalFormatting sqref="E6542">
    <cfRule type="containsText" dxfId="678" priority="1894" operator="containsText" text="Pesquisa de Preços">
      <formula>NOT(ISERROR(SEARCH("Pesquisa de Preços",E6542)))</formula>
    </cfRule>
  </conditionalFormatting>
  <conditionalFormatting sqref="D6543">
    <cfRule type="containsText" dxfId="677" priority="1896" operator="containsText" text="Pesquisa de Preços">
      <formula>NOT(ISERROR(SEARCH("Pesquisa de Preços",D6543)))</formula>
    </cfRule>
  </conditionalFormatting>
  <conditionalFormatting sqref="D6542">
    <cfRule type="containsText" dxfId="676" priority="1897" operator="containsText" text="Pesquisa de Preços">
      <formula>NOT(ISERROR(SEARCH("Pesquisa de Preços",D6542)))</formula>
    </cfRule>
  </conditionalFormatting>
  <conditionalFormatting sqref="E6543 E6545">
    <cfRule type="containsText" dxfId="675" priority="1895" operator="containsText" text="Pesquisa de Preços">
      <formula>NOT(ISERROR(SEARCH("Pesquisa de Preços",E6543)))</formula>
    </cfRule>
  </conditionalFormatting>
  <conditionalFormatting sqref="D6549">
    <cfRule type="containsText" dxfId="674" priority="1888" operator="containsText" text="Pesquisa de Preços">
      <formula>NOT(ISERROR(SEARCH("Pesquisa de Preços",D6549)))</formula>
    </cfRule>
  </conditionalFormatting>
  <conditionalFormatting sqref="E6546">
    <cfRule type="containsText" dxfId="673" priority="1884" operator="containsText" text="Pesquisa de Preços">
      <formula>NOT(ISERROR(SEARCH("Pesquisa de Preços",E6546)))</formula>
    </cfRule>
  </conditionalFormatting>
  <conditionalFormatting sqref="D6547">
    <cfRule type="containsText" dxfId="672" priority="1886" operator="containsText" text="Pesquisa de Preços">
      <formula>NOT(ISERROR(SEARCH("Pesquisa de Preços",D6547)))</formula>
    </cfRule>
  </conditionalFormatting>
  <conditionalFormatting sqref="D6546">
    <cfRule type="containsText" dxfId="671" priority="1887" operator="containsText" text="Pesquisa de Preços">
      <formula>NOT(ISERROR(SEARCH("Pesquisa de Preços",D6546)))</formula>
    </cfRule>
  </conditionalFormatting>
  <conditionalFormatting sqref="E6547 E6549">
    <cfRule type="containsText" dxfId="670" priority="1885" operator="containsText" text="Pesquisa de Preços">
      <formula>NOT(ISERROR(SEARCH("Pesquisa de Preços",E6547)))</formula>
    </cfRule>
  </conditionalFormatting>
  <conditionalFormatting sqref="D6553">
    <cfRule type="containsText" dxfId="669" priority="1878" operator="containsText" text="Pesquisa de Preços">
      <formula>NOT(ISERROR(SEARCH("Pesquisa de Preços",D6553)))</formula>
    </cfRule>
  </conditionalFormatting>
  <conditionalFormatting sqref="E6550">
    <cfRule type="containsText" dxfId="668" priority="1874" operator="containsText" text="Pesquisa de Preços">
      <formula>NOT(ISERROR(SEARCH("Pesquisa de Preços",E6550)))</formula>
    </cfRule>
  </conditionalFormatting>
  <conditionalFormatting sqref="D6551">
    <cfRule type="containsText" dxfId="667" priority="1876" operator="containsText" text="Pesquisa de Preços">
      <formula>NOT(ISERROR(SEARCH("Pesquisa de Preços",D6551)))</formula>
    </cfRule>
  </conditionalFormatting>
  <conditionalFormatting sqref="D6550">
    <cfRule type="containsText" dxfId="666" priority="1877" operator="containsText" text="Pesquisa de Preços">
      <formula>NOT(ISERROR(SEARCH("Pesquisa de Preços",D6550)))</formula>
    </cfRule>
  </conditionalFormatting>
  <conditionalFormatting sqref="E6551 E6553">
    <cfRule type="containsText" dxfId="665" priority="1875" operator="containsText" text="Pesquisa de Preços">
      <formula>NOT(ISERROR(SEARCH("Pesquisa de Preços",E6551)))</formula>
    </cfRule>
  </conditionalFormatting>
  <conditionalFormatting sqref="D6557">
    <cfRule type="containsText" dxfId="664" priority="1858" operator="containsText" text="Pesquisa de Preços">
      <formula>NOT(ISERROR(SEARCH("Pesquisa de Preços",D6557)))</formula>
    </cfRule>
  </conditionalFormatting>
  <conditionalFormatting sqref="E6554">
    <cfRule type="containsText" dxfId="663" priority="1854" operator="containsText" text="Pesquisa de Preços">
      <formula>NOT(ISERROR(SEARCH("Pesquisa de Preços",E6554)))</formula>
    </cfRule>
  </conditionalFormatting>
  <conditionalFormatting sqref="D6555">
    <cfRule type="containsText" dxfId="662" priority="1856" operator="containsText" text="Pesquisa de Preços">
      <formula>NOT(ISERROR(SEARCH("Pesquisa de Preços",D6555)))</formula>
    </cfRule>
  </conditionalFormatting>
  <conditionalFormatting sqref="D6554">
    <cfRule type="containsText" dxfId="661" priority="1857" operator="containsText" text="Pesquisa de Preços">
      <formula>NOT(ISERROR(SEARCH("Pesquisa de Preços",D6554)))</formula>
    </cfRule>
  </conditionalFormatting>
  <conditionalFormatting sqref="E6555 E6557">
    <cfRule type="containsText" dxfId="660" priority="1855" operator="containsText" text="Pesquisa de Preços">
      <formula>NOT(ISERROR(SEARCH("Pesquisa de Preços",E6555)))</formula>
    </cfRule>
  </conditionalFormatting>
  <conditionalFormatting sqref="D6565">
    <cfRule type="containsText" dxfId="659" priority="1798" operator="containsText" text="Pesquisa de Preços">
      <formula>NOT(ISERROR(SEARCH("Pesquisa de Preços",D6565)))</formula>
    </cfRule>
  </conditionalFormatting>
  <conditionalFormatting sqref="E6562">
    <cfRule type="containsText" dxfId="658" priority="1794" operator="containsText" text="Pesquisa de Preços">
      <formula>NOT(ISERROR(SEARCH("Pesquisa de Preços",E6562)))</formula>
    </cfRule>
  </conditionalFormatting>
  <conditionalFormatting sqref="D6563">
    <cfRule type="containsText" dxfId="657" priority="1796" operator="containsText" text="Pesquisa de Preços">
      <formula>NOT(ISERROR(SEARCH("Pesquisa de Preços",D6563)))</formula>
    </cfRule>
  </conditionalFormatting>
  <conditionalFormatting sqref="D6562">
    <cfRule type="containsText" dxfId="656" priority="1797" operator="containsText" text="Pesquisa de Preços">
      <formula>NOT(ISERROR(SEARCH("Pesquisa de Preços",D6562)))</formula>
    </cfRule>
  </conditionalFormatting>
  <conditionalFormatting sqref="E6563 E6565">
    <cfRule type="containsText" dxfId="655" priority="1795" operator="containsText" text="Pesquisa de Preços">
      <formula>NOT(ISERROR(SEARCH("Pesquisa de Preços",E6563)))</formula>
    </cfRule>
  </conditionalFormatting>
  <conditionalFormatting sqref="D6569">
    <cfRule type="containsText" dxfId="654" priority="1738" operator="containsText" text="Pesquisa de Preços">
      <formula>NOT(ISERROR(SEARCH("Pesquisa de Preços",D6569)))</formula>
    </cfRule>
  </conditionalFormatting>
  <conditionalFormatting sqref="E6566">
    <cfRule type="containsText" dxfId="653" priority="1734" operator="containsText" text="Pesquisa de Preços">
      <formula>NOT(ISERROR(SEARCH("Pesquisa de Preços",E6566)))</formula>
    </cfRule>
  </conditionalFormatting>
  <conditionalFormatting sqref="D6567">
    <cfRule type="containsText" dxfId="652" priority="1736" operator="containsText" text="Pesquisa de Preços">
      <formula>NOT(ISERROR(SEARCH("Pesquisa de Preços",D6567)))</formula>
    </cfRule>
  </conditionalFormatting>
  <conditionalFormatting sqref="D6566">
    <cfRule type="containsText" dxfId="651" priority="1737" operator="containsText" text="Pesquisa de Preços">
      <formula>NOT(ISERROR(SEARCH("Pesquisa de Preços",D6566)))</formula>
    </cfRule>
  </conditionalFormatting>
  <conditionalFormatting sqref="E6567 E6569">
    <cfRule type="containsText" dxfId="650" priority="1735" operator="containsText" text="Pesquisa de Preços">
      <formula>NOT(ISERROR(SEARCH("Pesquisa de Preços",E6567)))</formula>
    </cfRule>
  </conditionalFormatting>
  <conditionalFormatting sqref="D6573">
    <cfRule type="containsText" dxfId="649" priority="1728" operator="containsText" text="Pesquisa de Preços">
      <formula>NOT(ISERROR(SEARCH("Pesquisa de Preços",D6573)))</formula>
    </cfRule>
  </conditionalFormatting>
  <conditionalFormatting sqref="E6570">
    <cfRule type="containsText" dxfId="648" priority="1724" operator="containsText" text="Pesquisa de Preços">
      <formula>NOT(ISERROR(SEARCH("Pesquisa de Preços",E6570)))</formula>
    </cfRule>
  </conditionalFormatting>
  <conditionalFormatting sqref="D6571">
    <cfRule type="containsText" dxfId="647" priority="1726" operator="containsText" text="Pesquisa de Preços">
      <formula>NOT(ISERROR(SEARCH("Pesquisa de Preços",D6571)))</formula>
    </cfRule>
  </conditionalFormatting>
  <conditionalFormatting sqref="D6570">
    <cfRule type="containsText" dxfId="646" priority="1727" operator="containsText" text="Pesquisa de Preços">
      <formula>NOT(ISERROR(SEARCH("Pesquisa de Preços",D6570)))</formula>
    </cfRule>
  </conditionalFormatting>
  <conditionalFormatting sqref="E6571 E6573">
    <cfRule type="containsText" dxfId="645" priority="1725" operator="containsText" text="Pesquisa de Preços">
      <formula>NOT(ISERROR(SEARCH("Pesquisa de Preços",E6571)))</formula>
    </cfRule>
  </conditionalFormatting>
  <conditionalFormatting sqref="D6577">
    <cfRule type="containsText" dxfId="644" priority="1718" operator="containsText" text="Pesquisa de Preços">
      <formula>NOT(ISERROR(SEARCH("Pesquisa de Preços",D6577)))</formula>
    </cfRule>
  </conditionalFormatting>
  <conditionalFormatting sqref="E6574">
    <cfRule type="containsText" dxfId="643" priority="1714" operator="containsText" text="Pesquisa de Preços">
      <formula>NOT(ISERROR(SEARCH("Pesquisa de Preços",E6574)))</formula>
    </cfRule>
  </conditionalFormatting>
  <conditionalFormatting sqref="D6575">
    <cfRule type="containsText" dxfId="642" priority="1716" operator="containsText" text="Pesquisa de Preços">
      <formula>NOT(ISERROR(SEARCH("Pesquisa de Preços",D6575)))</formula>
    </cfRule>
  </conditionalFormatting>
  <conditionalFormatting sqref="D6574">
    <cfRule type="containsText" dxfId="641" priority="1717" operator="containsText" text="Pesquisa de Preços">
      <formula>NOT(ISERROR(SEARCH("Pesquisa de Preços",D6574)))</formula>
    </cfRule>
  </conditionalFormatting>
  <conditionalFormatting sqref="E6575 E6577">
    <cfRule type="containsText" dxfId="640" priority="1715" operator="containsText" text="Pesquisa de Preços">
      <formula>NOT(ISERROR(SEARCH("Pesquisa de Preços",E6575)))</formula>
    </cfRule>
  </conditionalFormatting>
  <conditionalFormatting sqref="D6581">
    <cfRule type="containsText" dxfId="639" priority="1708" operator="containsText" text="Pesquisa de Preços">
      <formula>NOT(ISERROR(SEARCH("Pesquisa de Preços",D6581)))</formula>
    </cfRule>
  </conditionalFormatting>
  <conditionalFormatting sqref="E6578">
    <cfRule type="containsText" dxfId="638" priority="1704" operator="containsText" text="Pesquisa de Preços">
      <formula>NOT(ISERROR(SEARCH("Pesquisa de Preços",E6578)))</formula>
    </cfRule>
  </conditionalFormatting>
  <conditionalFormatting sqref="D6579">
    <cfRule type="containsText" dxfId="637" priority="1706" operator="containsText" text="Pesquisa de Preços">
      <formula>NOT(ISERROR(SEARCH("Pesquisa de Preços",D6579)))</formula>
    </cfRule>
  </conditionalFormatting>
  <conditionalFormatting sqref="D6578">
    <cfRule type="containsText" dxfId="636" priority="1707" operator="containsText" text="Pesquisa de Preços">
      <formula>NOT(ISERROR(SEARCH("Pesquisa de Preços",D6578)))</formula>
    </cfRule>
  </conditionalFormatting>
  <conditionalFormatting sqref="E6579 E6581">
    <cfRule type="containsText" dxfId="635" priority="1705" operator="containsText" text="Pesquisa de Preços">
      <formula>NOT(ISERROR(SEARCH("Pesquisa de Preços",E6579)))</formula>
    </cfRule>
  </conditionalFormatting>
  <conditionalFormatting sqref="D6585">
    <cfRule type="containsText" dxfId="634" priority="1698" operator="containsText" text="Pesquisa de Preços">
      <formula>NOT(ISERROR(SEARCH("Pesquisa de Preços",D6585)))</formula>
    </cfRule>
  </conditionalFormatting>
  <conditionalFormatting sqref="E6582">
    <cfRule type="containsText" dxfId="633" priority="1694" operator="containsText" text="Pesquisa de Preços">
      <formula>NOT(ISERROR(SEARCH("Pesquisa de Preços",E6582)))</formula>
    </cfRule>
  </conditionalFormatting>
  <conditionalFormatting sqref="D6583">
    <cfRule type="containsText" dxfId="632" priority="1696" operator="containsText" text="Pesquisa de Preços">
      <formula>NOT(ISERROR(SEARCH("Pesquisa de Preços",D6583)))</formula>
    </cfRule>
  </conditionalFormatting>
  <conditionalFormatting sqref="D6582">
    <cfRule type="containsText" dxfId="631" priority="1697" operator="containsText" text="Pesquisa de Preços">
      <formula>NOT(ISERROR(SEARCH("Pesquisa de Preços",D6582)))</formula>
    </cfRule>
  </conditionalFormatting>
  <conditionalFormatting sqref="E6583 E6585">
    <cfRule type="containsText" dxfId="630" priority="1695" operator="containsText" text="Pesquisa de Preços">
      <formula>NOT(ISERROR(SEARCH("Pesquisa de Preços",E6583)))</formula>
    </cfRule>
  </conditionalFormatting>
  <conditionalFormatting sqref="D6593">
    <cfRule type="containsText" dxfId="629" priority="1688" operator="containsText" text="Pesquisa de Preços">
      <formula>NOT(ISERROR(SEARCH("Pesquisa de Preços",D6593)))</formula>
    </cfRule>
  </conditionalFormatting>
  <conditionalFormatting sqref="E6590">
    <cfRule type="containsText" dxfId="628" priority="1684" operator="containsText" text="Pesquisa de Preços">
      <formula>NOT(ISERROR(SEARCH("Pesquisa de Preços",E6590)))</formula>
    </cfRule>
  </conditionalFormatting>
  <conditionalFormatting sqref="D6591">
    <cfRule type="containsText" dxfId="627" priority="1686" operator="containsText" text="Pesquisa de Preços">
      <formula>NOT(ISERROR(SEARCH("Pesquisa de Preços",D6591)))</formula>
    </cfRule>
  </conditionalFormatting>
  <conditionalFormatting sqref="D6590">
    <cfRule type="containsText" dxfId="626" priority="1687" operator="containsText" text="Pesquisa de Preços">
      <formula>NOT(ISERROR(SEARCH("Pesquisa de Preços",D6590)))</formula>
    </cfRule>
  </conditionalFormatting>
  <conditionalFormatting sqref="E6591 E6593">
    <cfRule type="containsText" dxfId="625" priority="1685" operator="containsText" text="Pesquisa de Preços">
      <formula>NOT(ISERROR(SEARCH("Pesquisa de Preços",E6591)))</formula>
    </cfRule>
  </conditionalFormatting>
  <conditionalFormatting sqref="D6597">
    <cfRule type="containsText" dxfId="624" priority="1678" operator="containsText" text="Pesquisa de Preços">
      <formula>NOT(ISERROR(SEARCH("Pesquisa de Preços",D6597)))</formula>
    </cfRule>
  </conditionalFormatting>
  <conditionalFormatting sqref="E6594">
    <cfRule type="containsText" dxfId="623" priority="1674" operator="containsText" text="Pesquisa de Preços">
      <formula>NOT(ISERROR(SEARCH("Pesquisa de Preços",E6594)))</formula>
    </cfRule>
  </conditionalFormatting>
  <conditionalFormatting sqref="D6595">
    <cfRule type="containsText" dxfId="622" priority="1676" operator="containsText" text="Pesquisa de Preços">
      <formula>NOT(ISERROR(SEARCH("Pesquisa de Preços",D6595)))</formula>
    </cfRule>
  </conditionalFormatting>
  <conditionalFormatting sqref="D6594">
    <cfRule type="containsText" dxfId="621" priority="1677" operator="containsText" text="Pesquisa de Preços">
      <formula>NOT(ISERROR(SEARCH("Pesquisa de Preços",D6594)))</formula>
    </cfRule>
  </conditionalFormatting>
  <conditionalFormatting sqref="E6595 E6597">
    <cfRule type="containsText" dxfId="620" priority="1675" operator="containsText" text="Pesquisa de Preços">
      <formula>NOT(ISERROR(SEARCH("Pesquisa de Preços",E6595)))</formula>
    </cfRule>
  </conditionalFormatting>
  <conditionalFormatting sqref="D6601">
    <cfRule type="containsText" dxfId="619" priority="1668" operator="containsText" text="Pesquisa de Preços">
      <formula>NOT(ISERROR(SEARCH("Pesquisa de Preços",D6601)))</formula>
    </cfRule>
  </conditionalFormatting>
  <conditionalFormatting sqref="E6598">
    <cfRule type="containsText" dxfId="618" priority="1664" operator="containsText" text="Pesquisa de Preços">
      <formula>NOT(ISERROR(SEARCH("Pesquisa de Preços",E6598)))</formula>
    </cfRule>
  </conditionalFormatting>
  <conditionalFormatting sqref="D6599">
    <cfRule type="containsText" dxfId="617" priority="1666" operator="containsText" text="Pesquisa de Preços">
      <formula>NOT(ISERROR(SEARCH("Pesquisa de Preços",D6599)))</formula>
    </cfRule>
  </conditionalFormatting>
  <conditionalFormatting sqref="D6598">
    <cfRule type="containsText" dxfId="616" priority="1667" operator="containsText" text="Pesquisa de Preços">
      <formula>NOT(ISERROR(SEARCH("Pesquisa de Preços",D6598)))</formula>
    </cfRule>
  </conditionalFormatting>
  <conditionalFormatting sqref="E6599 E6601">
    <cfRule type="containsText" dxfId="615" priority="1665" operator="containsText" text="Pesquisa de Preços">
      <formula>NOT(ISERROR(SEARCH("Pesquisa de Preços",E6599)))</formula>
    </cfRule>
  </conditionalFormatting>
  <conditionalFormatting sqref="D6605">
    <cfRule type="containsText" dxfId="614" priority="1658" operator="containsText" text="Pesquisa de Preços">
      <formula>NOT(ISERROR(SEARCH("Pesquisa de Preços",D6605)))</formula>
    </cfRule>
  </conditionalFormatting>
  <conditionalFormatting sqref="E6602">
    <cfRule type="containsText" dxfId="613" priority="1654" operator="containsText" text="Pesquisa de Preços">
      <formula>NOT(ISERROR(SEARCH("Pesquisa de Preços",E6602)))</formula>
    </cfRule>
  </conditionalFormatting>
  <conditionalFormatting sqref="D6603">
    <cfRule type="containsText" dxfId="612" priority="1656" operator="containsText" text="Pesquisa de Preços">
      <formula>NOT(ISERROR(SEARCH("Pesquisa de Preços",D6603)))</formula>
    </cfRule>
  </conditionalFormatting>
  <conditionalFormatting sqref="D6602">
    <cfRule type="containsText" dxfId="611" priority="1657" operator="containsText" text="Pesquisa de Preços">
      <formula>NOT(ISERROR(SEARCH("Pesquisa de Preços",D6602)))</formula>
    </cfRule>
  </conditionalFormatting>
  <conditionalFormatting sqref="E6603 E6605">
    <cfRule type="containsText" dxfId="610" priority="1655" operator="containsText" text="Pesquisa de Preços">
      <formula>NOT(ISERROR(SEARCH("Pesquisa de Preços",E6603)))</formula>
    </cfRule>
  </conditionalFormatting>
  <conditionalFormatting sqref="D6609">
    <cfRule type="containsText" dxfId="609" priority="1648" operator="containsText" text="Pesquisa de Preços">
      <formula>NOT(ISERROR(SEARCH("Pesquisa de Preços",D6609)))</formula>
    </cfRule>
  </conditionalFormatting>
  <conditionalFormatting sqref="E6606">
    <cfRule type="containsText" dxfId="608" priority="1644" operator="containsText" text="Pesquisa de Preços">
      <formula>NOT(ISERROR(SEARCH("Pesquisa de Preços",E6606)))</formula>
    </cfRule>
  </conditionalFormatting>
  <conditionalFormatting sqref="D6607">
    <cfRule type="containsText" dxfId="607" priority="1646" operator="containsText" text="Pesquisa de Preços">
      <formula>NOT(ISERROR(SEARCH("Pesquisa de Preços",D6607)))</formula>
    </cfRule>
  </conditionalFormatting>
  <conditionalFormatting sqref="D6606">
    <cfRule type="containsText" dxfId="606" priority="1647" operator="containsText" text="Pesquisa de Preços">
      <formula>NOT(ISERROR(SEARCH("Pesquisa de Preços",D6606)))</formula>
    </cfRule>
  </conditionalFormatting>
  <conditionalFormatting sqref="E6607 E6609">
    <cfRule type="containsText" dxfId="605" priority="1645" operator="containsText" text="Pesquisa de Preços">
      <formula>NOT(ISERROR(SEARCH("Pesquisa de Preços",E6607)))</formula>
    </cfRule>
  </conditionalFormatting>
  <conditionalFormatting sqref="D6613">
    <cfRule type="containsText" dxfId="604" priority="1638" operator="containsText" text="Pesquisa de Preços">
      <formula>NOT(ISERROR(SEARCH("Pesquisa de Preços",D6613)))</formula>
    </cfRule>
  </conditionalFormatting>
  <conditionalFormatting sqref="E6610">
    <cfRule type="containsText" dxfId="603" priority="1634" operator="containsText" text="Pesquisa de Preços">
      <formula>NOT(ISERROR(SEARCH("Pesquisa de Preços",E6610)))</formula>
    </cfRule>
  </conditionalFormatting>
  <conditionalFormatting sqref="D6611">
    <cfRule type="containsText" dxfId="602" priority="1636" operator="containsText" text="Pesquisa de Preços">
      <formula>NOT(ISERROR(SEARCH("Pesquisa de Preços",D6611)))</formula>
    </cfRule>
  </conditionalFormatting>
  <conditionalFormatting sqref="D6610">
    <cfRule type="containsText" dxfId="601" priority="1637" operator="containsText" text="Pesquisa de Preços">
      <formula>NOT(ISERROR(SEARCH("Pesquisa de Preços",D6610)))</formula>
    </cfRule>
  </conditionalFormatting>
  <conditionalFormatting sqref="E6611 E6613">
    <cfRule type="containsText" dxfId="600" priority="1635" operator="containsText" text="Pesquisa de Preços">
      <formula>NOT(ISERROR(SEARCH("Pesquisa de Preços",E6611)))</formula>
    </cfRule>
  </conditionalFormatting>
  <conditionalFormatting sqref="D6617">
    <cfRule type="containsText" dxfId="599" priority="1628" operator="containsText" text="Pesquisa de Preços">
      <formula>NOT(ISERROR(SEARCH("Pesquisa de Preços",D6617)))</formula>
    </cfRule>
  </conditionalFormatting>
  <conditionalFormatting sqref="E6614">
    <cfRule type="containsText" dxfId="598" priority="1624" operator="containsText" text="Pesquisa de Preços">
      <formula>NOT(ISERROR(SEARCH("Pesquisa de Preços",E6614)))</formula>
    </cfRule>
  </conditionalFormatting>
  <conditionalFormatting sqref="D6615">
    <cfRule type="containsText" dxfId="597" priority="1626" operator="containsText" text="Pesquisa de Preços">
      <formula>NOT(ISERROR(SEARCH("Pesquisa de Preços",D6615)))</formula>
    </cfRule>
  </conditionalFormatting>
  <conditionalFormatting sqref="D6614">
    <cfRule type="containsText" dxfId="596" priority="1627" operator="containsText" text="Pesquisa de Preços">
      <formula>NOT(ISERROR(SEARCH("Pesquisa de Preços",D6614)))</formula>
    </cfRule>
  </conditionalFormatting>
  <conditionalFormatting sqref="E6615 E6617">
    <cfRule type="containsText" dxfId="595" priority="1625" operator="containsText" text="Pesquisa de Preços">
      <formula>NOT(ISERROR(SEARCH("Pesquisa de Preços",E6615)))</formula>
    </cfRule>
  </conditionalFormatting>
  <conditionalFormatting sqref="D6621">
    <cfRule type="containsText" dxfId="594" priority="1618" operator="containsText" text="Pesquisa de Preços">
      <formula>NOT(ISERROR(SEARCH("Pesquisa de Preços",D6621)))</formula>
    </cfRule>
  </conditionalFormatting>
  <conditionalFormatting sqref="E6618">
    <cfRule type="containsText" dxfId="593" priority="1614" operator="containsText" text="Pesquisa de Preços">
      <formula>NOT(ISERROR(SEARCH("Pesquisa de Preços",E6618)))</formula>
    </cfRule>
  </conditionalFormatting>
  <conditionalFormatting sqref="D6619">
    <cfRule type="containsText" dxfId="592" priority="1616" operator="containsText" text="Pesquisa de Preços">
      <formula>NOT(ISERROR(SEARCH("Pesquisa de Preços",D6619)))</formula>
    </cfRule>
  </conditionalFormatting>
  <conditionalFormatting sqref="D6618">
    <cfRule type="containsText" dxfId="591" priority="1617" operator="containsText" text="Pesquisa de Preços">
      <formula>NOT(ISERROR(SEARCH("Pesquisa de Preços",D6618)))</formula>
    </cfRule>
  </conditionalFormatting>
  <conditionalFormatting sqref="E6619 E6621">
    <cfRule type="containsText" dxfId="590" priority="1615" operator="containsText" text="Pesquisa de Preços">
      <formula>NOT(ISERROR(SEARCH("Pesquisa de Preços",E6619)))</formula>
    </cfRule>
  </conditionalFormatting>
  <conditionalFormatting sqref="D6625">
    <cfRule type="containsText" dxfId="589" priority="1608" operator="containsText" text="Pesquisa de Preços">
      <formula>NOT(ISERROR(SEARCH("Pesquisa de Preços",D6625)))</formula>
    </cfRule>
  </conditionalFormatting>
  <conditionalFormatting sqref="E6622">
    <cfRule type="containsText" dxfId="588" priority="1604" operator="containsText" text="Pesquisa de Preços">
      <formula>NOT(ISERROR(SEARCH("Pesquisa de Preços",E6622)))</formula>
    </cfRule>
  </conditionalFormatting>
  <conditionalFormatting sqref="D6623">
    <cfRule type="containsText" dxfId="587" priority="1606" operator="containsText" text="Pesquisa de Preços">
      <formula>NOT(ISERROR(SEARCH("Pesquisa de Preços",D6623)))</formula>
    </cfRule>
  </conditionalFormatting>
  <conditionalFormatting sqref="D6622">
    <cfRule type="containsText" dxfId="586" priority="1607" operator="containsText" text="Pesquisa de Preços">
      <formula>NOT(ISERROR(SEARCH("Pesquisa de Preços",D6622)))</formula>
    </cfRule>
  </conditionalFormatting>
  <conditionalFormatting sqref="E6623 E6625">
    <cfRule type="containsText" dxfId="585" priority="1605" operator="containsText" text="Pesquisa de Preços">
      <formula>NOT(ISERROR(SEARCH("Pesquisa de Preços",E6623)))</formula>
    </cfRule>
  </conditionalFormatting>
  <conditionalFormatting sqref="D6641">
    <cfRule type="containsText" dxfId="584" priority="1578" operator="containsText" text="Pesquisa de Preços">
      <formula>NOT(ISERROR(SEARCH("Pesquisa de Preços",D6641)))</formula>
    </cfRule>
  </conditionalFormatting>
  <conditionalFormatting sqref="E6638">
    <cfRule type="containsText" dxfId="583" priority="1574" operator="containsText" text="Pesquisa de Preços">
      <formula>NOT(ISERROR(SEARCH("Pesquisa de Preços",E6638)))</formula>
    </cfRule>
  </conditionalFormatting>
  <conditionalFormatting sqref="D6639">
    <cfRule type="containsText" dxfId="582" priority="1576" operator="containsText" text="Pesquisa de Preços">
      <formula>NOT(ISERROR(SEARCH("Pesquisa de Preços",D6639)))</formula>
    </cfRule>
  </conditionalFormatting>
  <conditionalFormatting sqref="D6638">
    <cfRule type="containsText" dxfId="581" priority="1577" operator="containsText" text="Pesquisa de Preços">
      <formula>NOT(ISERROR(SEARCH("Pesquisa de Preços",D6638)))</formula>
    </cfRule>
  </conditionalFormatting>
  <conditionalFormatting sqref="E6639 E6641">
    <cfRule type="containsText" dxfId="580" priority="1575" operator="containsText" text="Pesquisa de Preços">
      <formula>NOT(ISERROR(SEARCH("Pesquisa de Preços",E6639)))</formula>
    </cfRule>
  </conditionalFormatting>
  <conditionalFormatting sqref="D6645">
    <cfRule type="containsText" dxfId="579" priority="1568" operator="containsText" text="Pesquisa de Preços">
      <formula>NOT(ISERROR(SEARCH("Pesquisa de Preços",D6645)))</formula>
    </cfRule>
  </conditionalFormatting>
  <conditionalFormatting sqref="E6642">
    <cfRule type="containsText" dxfId="578" priority="1564" operator="containsText" text="Pesquisa de Preços">
      <formula>NOT(ISERROR(SEARCH("Pesquisa de Preços",E6642)))</formula>
    </cfRule>
  </conditionalFormatting>
  <conditionalFormatting sqref="D6643">
    <cfRule type="containsText" dxfId="577" priority="1566" operator="containsText" text="Pesquisa de Preços">
      <formula>NOT(ISERROR(SEARCH("Pesquisa de Preços",D6643)))</formula>
    </cfRule>
  </conditionalFormatting>
  <conditionalFormatting sqref="D6642">
    <cfRule type="containsText" dxfId="576" priority="1567" operator="containsText" text="Pesquisa de Preços">
      <formula>NOT(ISERROR(SEARCH("Pesquisa de Preços",D6642)))</formula>
    </cfRule>
  </conditionalFormatting>
  <conditionalFormatting sqref="E6643 E6645">
    <cfRule type="containsText" dxfId="575" priority="1565" operator="containsText" text="Pesquisa de Preços">
      <formula>NOT(ISERROR(SEARCH("Pesquisa de Preços",E6643)))</formula>
    </cfRule>
  </conditionalFormatting>
  <conditionalFormatting sqref="D6649">
    <cfRule type="containsText" dxfId="574" priority="1558" operator="containsText" text="Pesquisa de Preços">
      <formula>NOT(ISERROR(SEARCH("Pesquisa de Preços",D6649)))</formula>
    </cfRule>
  </conditionalFormatting>
  <conditionalFormatting sqref="E6646">
    <cfRule type="containsText" dxfId="573" priority="1554" operator="containsText" text="Pesquisa de Preços">
      <formula>NOT(ISERROR(SEARCH("Pesquisa de Preços",E6646)))</formula>
    </cfRule>
  </conditionalFormatting>
  <conditionalFormatting sqref="D6647">
    <cfRule type="containsText" dxfId="572" priority="1556" operator="containsText" text="Pesquisa de Preços">
      <formula>NOT(ISERROR(SEARCH("Pesquisa de Preços",D6647)))</formula>
    </cfRule>
  </conditionalFormatting>
  <conditionalFormatting sqref="D6646">
    <cfRule type="containsText" dxfId="571" priority="1557" operator="containsText" text="Pesquisa de Preços">
      <formula>NOT(ISERROR(SEARCH("Pesquisa de Preços",D6646)))</formula>
    </cfRule>
  </conditionalFormatting>
  <conditionalFormatting sqref="E6647 E6649">
    <cfRule type="containsText" dxfId="570" priority="1555" operator="containsText" text="Pesquisa de Preços">
      <formula>NOT(ISERROR(SEARCH("Pesquisa de Preços",E6647)))</formula>
    </cfRule>
  </conditionalFormatting>
  <conditionalFormatting sqref="D6665">
    <cfRule type="containsText" dxfId="569" priority="1518" operator="containsText" text="Pesquisa de Preços">
      <formula>NOT(ISERROR(SEARCH("Pesquisa de Preços",D6665)))</formula>
    </cfRule>
  </conditionalFormatting>
  <conditionalFormatting sqref="E6662">
    <cfRule type="containsText" dxfId="568" priority="1514" operator="containsText" text="Pesquisa de Preços">
      <formula>NOT(ISERROR(SEARCH("Pesquisa de Preços",E6662)))</formula>
    </cfRule>
  </conditionalFormatting>
  <conditionalFormatting sqref="D6663">
    <cfRule type="containsText" dxfId="567" priority="1516" operator="containsText" text="Pesquisa de Preços">
      <formula>NOT(ISERROR(SEARCH("Pesquisa de Preços",D6663)))</formula>
    </cfRule>
  </conditionalFormatting>
  <conditionalFormatting sqref="D6662">
    <cfRule type="containsText" dxfId="566" priority="1517" operator="containsText" text="Pesquisa de Preços">
      <formula>NOT(ISERROR(SEARCH("Pesquisa de Preços",D6662)))</formula>
    </cfRule>
  </conditionalFormatting>
  <conditionalFormatting sqref="E6663 E6665">
    <cfRule type="containsText" dxfId="565" priority="1515" operator="containsText" text="Pesquisa de Preços">
      <formula>NOT(ISERROR(SEARCH("Pesquisa de Preços",E6663)))</formula>
    </cfRule>
  </conditionalFormatting>
  <conditionalFormatting sqref="D6669">
    <cfRule type="containsText" dxfId="564" priority="1508" operator="containsText" text="Pesquisa de Preços">
      <formula>NOT(ISERROR(SEARCH("Pesquisa de Preços",D6669)))</formula>
    </cfRule>
  </conditionalFormatting>
  <conditionalFormatting sqref="E6666">
    <cfRule type="containsText" dxfId="563" priority="1504" operator="containsText" text="Pesquisa de Preços">
      <formula>NOT(ISERROR(SEARCH("Pesquisa de Preços",E6666)))</formula>
    </cfRule>
  </conditionalFormatting>
  <conditionalFormatting sqref="D6667">
    <cfRule type="containsText" dxfId="562" priority="1506" operator="containsText" text="Pesquisa de Preços">
      <formula>NOT(ISERROR(SEARCH("Pesquisa de Preços",D6667)))</formula>
    </cfRule>
  </conditionalFormatting>
  <conditionalFormatting sqref="D6666">
    <cfRule type="containsText" dxfId="561" priority="1507" operator="containsText" text="Pesquisa de Preços">
      <formula>NOT(ISERROR(SEARCH("Pesquisa de Preços",D6666)))</formula>
    </cfRule>
  </conditionalFormatting>
  <conditionalFormatting sqref="E6667 E6669">
    <cfRule type="containsText" dxfId="560" priority="1505" operator="containsText" text="Pesquisa de Preços">
      <formula>NOT(ISERROR(SEARCH("Pesquisa de Preços",E6667)))</formula>
    </cfRule>
  </conditionalFormatting>
  <conditionalFormatting sqref="D6673">
    <cfRule type="containsText" dxfId="559" priority="1498" operator="containsText" text="Pesquisa de Preços">
      <formula>NOT(ISERROR(SEARCH("Pesquisa de Preços",D6673)))</formula>
    </cfRule>
  </conditionalFormatting>
  <conditionalFormatting sqref="E6670">
    <cfRule type="containsText" dxfId="558" priority="1494" operator="containsText" text="Pesquisa de Preços">
      <formula>NOT(ISERROR(SEARCH("Pesquisa de Preços",E6670)))</formula>
    </cfRule>
  </conditionalFormatting>
  <conditionalFormatting sqref="D6671">
    <cfRule type="containsText" dxfId="557" priority="1496" operator="containsText" text="Pesquisa de Preços">
      <formula>NOT(ISERROR(SEARCH("Pesquisa de Preços",D6671)))</formula>
    </cfRule>
  </conditionalFormatting>
  <conditionalFormatting sqref="D6670">
    <cfRule type="containsText" dxfId="556" priority="1497" operator="containsText" text="Pesquisa de Preços">
      <formula>NOT(ISERROR(SEARCH("Pesquisa de Preços",D6670)))</formula>
    </cfRule>
  </conditionalFormatting>
  <conditionalFormatting sqref="E6671 E6673">
    <cfRule type="containsText" dxfId="555" priority="1495" operator="containsText" text="Pesquisa de Preços">
      <formula>NOT(ISERROR(SEARCH("Pesquisa de Preços",E6671)))</formula>
    </cfRule>
  </conditionalFormatting>
  <conditionalFormatting sqref="D6677">
    <cfRule type="containsText" dxfId="554" priority="1488" operator="containsText" text="Pesquisa de Preços">
      <formula>NOT(ISERROR(SEARCH("Pesquisa de Preços",D6677)))</formula>
    </cfRule>
  </conditionalFormatting>
  <conditionalFormatting sqref="E6674">
    <cfRule type="containsText" dxfId="553" priority="1484" operator="containsText" text="Pesquisa de Preços">
      <formula>NOT(ISERROR(SEARCH("Pesquisa de Preços",E6674)))</formula>
    </cfRule>
  </conditionalFormatting>
  <conditionalFormatting sqref="D6675">
    <cfRule type="containsText" dxfId="552" priority="1486" operator="containsText" text="Pesquisa de Preços">
      <formula>NOT(ISERROR(SEARCH("Pesquisa de Preços",D6675)))</formula>
    </cfRule>
  </conditionalFormatting>
  <conditionalFormatting sqref="D6674">
    <cfRule type="containsText" dxfId="551" priority="1487" operator="containsText" text="Pesquisa de Preços">
      <formula>NOT(ISERROR(SEARCH("Pesquisa de Preços",D6674)))</formula>
    </cfRule>
  </conditionalFormatting>
  <conditionalFormatting sqref="E6675 E6677">
    <cfRule type="containsText" dxfId="550" priority="1485" operator="containsText" text="Pesquisa de Preços">
      <formula>NOT(ISERROR(SEARCH("Pesquisa de Preços",E6675)))</formula>
    </cfRule>
  </conditionalFormatting>
  <conditionalFormatting sqref="D6681">
    <cfRule type="containsText" dxfId="549" priority="1478" operator="containsText" text="Pesquisa de Preços">
      <formula>NOT(ISERROR(SEARCH("Pesquisa de Preços",D6681)))</formula>
    </cfRule>
  </conditionalFormatting>
  <conditionalFormatting sqref="E6678">
    <cfRule type="containsText" dxfId="548" priority="1474" operator="containsText" text="Pesquisa de Preços">
      <formula>NOT(ISERROR(SEARCH("Pesquisa de Preços",E6678)))</formula>
    </cfRule>
  </conditionalFormatting>
  <conditionalFormatting sqref="D6679">
    <cfRule type="containsText" dxfId="547" priority="1476" operator="containsText" text="Pesquisa de Preços">
      <formula>NOT(ISERROR(SEARCH("Pesquisa de Preços",D6679)))</formula>
    </cfRule>
  </conditionalFormatting>
  <conditionalFormatting sqref="D6678">
    <cfRule type="containsText" dxfId="546" priority="1477" operator="containsText" text="Pesquisa de Preços">
      <formula>NOT(ISERROR(SEARCH("Pesquisa de Preços",D6678)))</formula>
    </cfRule>
  </conditionalFormatting>
  <conditionalFormatting sqref="E6679 E6681">
    <cfRule type="containsText" dxfId="545" priority="1475" operator="containsText" text="Pesquisa de Preços">
      <formula>NOT(ISERROR(SEARCH("Pesquisa de Preços",E6679)))</formula>
    </cfRule>
  </conditionalFormatting>
  <conditionalFormatting sqref="D6873">
    <cfRule type="containsText" dxfId="544" priority="1408" operator="containsText" text="Pesquisa de Preços">
      <formula>NOT(ISERROR(SEARCH("Pesquisa de Preços",D6873)))</formula>
    </cfRule>
  </conditionalFormatting>
  <conditionalFormatting sqref="E6870">
    <cfRule type="containsText" dxfId="543" priority="1404" operator="containsText" text="Pesquisa de Preços">
      <formula>NOT(ISERROR(SEARCH("Pesquisa de Preços",E6870)))</formula>
    </cfRule>
  </conditionalFormatting>
  <conditionalFormatting sqref="D6871">
    <cfRule type="containsText" dxfId="542" priority="1406" operator="containsText" text="Pesquisa de Preços">
      <formula>NOT(ISERROR(SEARCH("Pesquisa de Preços",D6871)))</formula>
    </cfRule>
  </conditionalFormatting>
  <conditionalFormatting sqref="D6870">
    <cfRule type="containsText" dxfId="541" priority="1407" operator="containsText" text="Pesquisa de Preços">
      <formula>NOT(ISERROR(SEARCH("Pesquisa de Preços",D6870)))</formula>
    </cfRule>
  </conditionalFormatting>
  <conditionalFormatting sqref="E6871 E6873">
    <cfRule type="containsText" dxfId="540" priority="1405" operator="containsText" text="Pesquisa de Preços">
      <formula>NOT(ISERROR(SEARCH("Pesquisa de Preços",E6871)))</formula>
    </cfRule>
  </conditionalFormatting>
  <conditionalFormatting sqref="D6877">
    <cfRule type="containsText" dxfId="539" priority="1398" operator="containsText" text="Pesquisa de Preços">
      <formula>NOT(ISERROR(SEARCH("Pesquisa de Preços",D6877)))</formula>
    </cfRule>
  </conditionalFormatting>
  <conditionalFormatting sqref="E6874">
    <cfRule type="containsText" dxfId="538" priority="1394" operator="containsText" text="Pesquisa de Preços">
      <formula>NOT(ISERROR(SEARCH("Pesquisa de Preços",E6874)))</formula>
    </cfRule>
  </conditionalFormatting>
  <conditionalFormatting sqref="D6875">
    <cfRule type="containsText" dxfId="537" priority="1396" operator="containsText" text="Pesquisa de Preços">
      <formula>NOT(ISERROR(SEARCH("Pesquisa de Preços",D6875)))</formula>
    </cfRule>
  </conditionalFormatting>
  <conditionalFormatting sqref="D6874">
    <cfRule type="containsText" dxfId="536" priority="1397" operator="containsText" text="Pesquisa de Preços">
      <formula>NOT(ISERROR(SEARCH("Pesquisa de Preços",D6874)))</formula>
    </cfRule>
  </conditionalFormatting>
  <conditionalFormatting sqref="E6875 E6877">
    <cfRule type="containsText" dxfId="535" priority="1395" operator="containsText" text="Pesquisa de Preços">
      <formula>NOT(ISERROR(SEARCH("Pesquisa de Preços",E6875)))</formula>
    </cfRule>
  </conditionalFormatting>
  <conditionalFormatting sqref="D6881">
    <cfRule type="containsText" dxfId="534" priority="1388" operator="containsText" text="Pesquisa de Preços">
      <formula>NOT(ISERROR(SEARCH("Pesquisa de Preços",D6881)))</formula>
    </cfRule>
  </conditionalFormatting>
  <conditionalFormatting sqref="E6878">
    <cfRule type="containsText" dxfId="533" priority="1384" operator="containsText" text="Pesquisa de Preços">
      <formula>NOT(ISERROR(SEARCH("Pesquisa de Preços",E6878)))</formula>
    </cfRule>
  </conditionalFormatting>
  <conditionalFormatting sqref="D6879">
    <cfRule type="containsText" dxfId="532" priority="1386" operator="containsText" text="Pesquisa de Preços">
      <formula>NOT(ISERROR(SEARCH("Pesquisa de Preços",D6879)))</formula>
    </cfRule>
  </conditionalFormatting>
  <conditionalFormatting sqref="D6878">
    <cfRule type="containsText" dxfId="531" priority="1387" operator="containsText" text="Pesquisa de Preços">
      <formula>NOT(ISERROR(SEARCH("Pesquisa de Preços",D6878)))</formula>
    </cfRule>
  </conditionalFormatting>
  <conditionalFormatting sqref="E6879 E6881">
    <cfRule type="containsText" dxfId="530" priority="1385" operator="containsText" text="Pesquisa de Preços">
      <formula>NOT(ISERROR(SEARCH("Pesquisa de Preços",E6879)))</formula>
    </cfRule>
  </conditionalFormatting>
  <conditionalFormatting sqref="D6885">
    <cfRule type="containsText" dxfId="529" priority="1378" operator="containsText" text="Pesquisa de Preços">
      <formula>NOT(ISERROR(SEARCH("Pesquisa de Preços",D6885)))</formula>
    </cfRule>
  </conditionalFormatting>
  <conditionalFormatting sqref="E6882">
    <cfRule type="containsText" dxfId="528" priority="1374" operator="containsText" text="Pesquisa de Preços">
      <formula>NOT(ISERROR(SEARCH("Pesquisa de Preços",E6882)))</formula>
    </cfRule>
  </conditionalFormatting>
  <conditionalFormatting sqref="D6883">
    <cfRule type="containsText" dxfId="527" priority="1376" operator="containsText" text="Pesquisa de Preços">
      <formula>NOT(ISERROR(SEARCH("Pesquisa de Preços",D6883)))</formula>
    </cfRule>
  </conditionalFormatting>
  <conditionalFormatting sqref="D6882">
    <cfRule type="containsText" dxfId="526" priority="1377" operator="containsText" text="Pesquisa de Preços">
      <formula>NOT(ISERROR(SEARCH("Pesquisa de Preços",D6882)))</formula>
    </cfRule>
  </conditionalFormatting>
  <conditionalFormatting sqref="E6883 E6885">
    <cfRule type="containsText" dxfId="525" priority="1375" operator="containsText" text="Pesquisa de Preços">
      <formula>NOT(ISERROR(SEARCH("Pesquisa de Preços",E6883)))</formula>
    </cfRule>
  </conditionalFormatting>
  <conditionalFormatting sqref="D6889">
    <cfRule type="containsText" dxfId="524" priority="1368" operator="containsText" text="Pesquisa de Preços">
      <formula>NOT(ISERROR(SEARCH("Pesquisa de Preços",D6889)))</formula>
    </cfRule>
  </conditionalFormatting>
  <conditionalFormatting sqref="E6886">
    <cfRule type="containsText" dxfId="523" priority="1364" operator="containsText" text="Pesquisa de Preços">
      <formula>NOT(ISERROR(SEARCH("Pesquisa de Preços",E6886)))</formula>
    </cfRule>
  </conditionalFormatting>
  <conditionalFormatting sqref="D6887">
    <cfRule type="containsText" dxfId="522" priority="1366" operator="containsText" text="Pesquisa de Preços">
      <formula>NOT(ISERROR(SEARCH("Pesquisa de Preços",D6887)))</formula>
    </cfRule>
  </conditionalFormatting>
  <conditionalFormatting sqref="D6886">
    <cfRule type="containsText" dxfId="521" priority="1367" operator="containsText" text="Pesquisa de Preços">
      <formula>NOT(ISERROR(SEARCH("Pesquisa de Preços",D6886)))</formula>
    </cfRule>
  </conditionalFormatting>
  <conditionalFormatting sqref="E6887 E6889">
    <cfRule type="containsText" dxfId="520" priority="1365" operator="containsText" text="Pesquisa de Preços">
      <formula>NOT(ISERROR(SEARCH("Pesquisa de Preços",E6887)))</formula>
    </cfRule>
  </conditionalFormatting>
  <conditionalFormatting sqref="D6893">
    <cfRule type="containsText" dxfId="519" priority="1358" operator="containsText" text="Pesquisa de Preços">
      <formula>NOT(ISERROR(SEARCH("Pesquisa de Preços",D6893)))</formula>
    </cfRule>
  </conditionalFormatting>
  <conditionalFormatting sqref="E6890">
    <cfRule type="containsText" dxfId="518" priority="1354" operator="containsText" text="Pesquisa de Preços">
      <formula>NOT(ISERROR(SEARCH("Pesquisa de Preços",E6890)))</formula>
    </cfRule>
  </conditionalFormatting>
  <conditionalFormatting sqref="D6891">
    <cfRule type="containsText" dxfId="517" priority="1356" operator="containsText" text="Pesquisa de Preços">
      <formula>NOT(ISERROR(SEARCH("Pesquisa de Preços",D6891)))</formula>
    </cfRule>
  </conditionalFormatting>
  <conditionalFormatting sqref="D6890">
    <cfRule type="containsText" dxfId="516" priority="1357" operator="containsText" text="Pesquisa de Preços">
      <formula>NOT(ISERROR(SEARCH("Pesquisa de Preços",D6890)))</formula>
    </cfRule>
  </conditionalFormatting>
  <conditionalFormatting sqref="E6891 E6893">
    <cfRule type="containsText" dxfId="515" priority="1355" operator="containsText" text="Pesquisa de Preços">
      <formula>NOT(ISERROR(SEARCH("Pesquisa de Preços",E6891)))</formula>
    </cfRule>
  </conditionalFormatting>
  <conditionalFormatting sqref="D6901">
    <cfRule type="containsText" dxfId="514" priority="1348" operator="containsText" text="Pesquisa de Preços">
      <formula>NOT(ISERROR(SEARCH("Pesquisa de Preços",D6901)))</formula>
    </cfRule>
  </conditionalFormatting>
  <conditionalFormatting sqref="E6922">
    <cfRule type="containsText" dxfId="513" priority="1324" operator="containsText" text="Pesquisa de Preços">
      <formula>NOT(ISERROR(SEARCH("Pesquisa de Preços",E6922)))</formula>
    </cfRule>
  </conditionalFormatting>
  <conditionalFormatting sqref="E6902">
    <cfRule type="containsText" dxfId="512" priority="1334" operator="containsText" text="Pesquisa de Preços">
      <formula>NOT(ISERROR(SEARCH("Pesquisa de Preços",E6902)))</formula>
    </cfRule>
  </conditionalFormatting>
  <conditionalFormatting sqref="E6903 E6905">
    <cfRule type="containsText" dxfId="511" priority="1335" operator="containsText" text="Pesquisa de Preços">
      <formula>NOT(ISERROR(SEARCH("Pesquisa de Preços",E6903)))</formula>
    </cfRule>
  </conditionalFormatting>
  <conditionalFormatting sqref="E6901">
    <cfRule type="containsText" dxfId="510" priority="1345" operator="containsText" text="Pesquisa de Preços">
      <formula>NOT(ISERROR(SEARCH("Pesquisa de Preços",E6901)))</formula>
    </cfRule>
  </conditionalFormatting>
  <conditionalFormatting sqref="D6905">
    <cfRule type="containsText" dxfId="509" priority="1338" operator="containsText" text="Pesquisa de Preços">
      <formula>NOT(ISERROR(SEARCH("Pesquisa de Preços",D6905)))</formula>
    </cfRule>
  </conditionalFormatting>
  <conditionalFormatting sqref="D6923">
    <cfRule type="containsText" dxfId="508" priority="1326" operator="containsText" text="Pesquisa de Preços">
      <formula>NOT(ISERROR(SEARCH("Pesquisa de Preços",D6923)))</formula>
    </cfRule>
  </conditionalFormatting>
  <conditionalFormatting sqref="D6903">
    <cfRule type="containsText" dxfId="507" priority="1336" operator="containsText" text="Pesquisa de Preços">
      <formula>NOT(ISERROR(SEARCH("Pesquisa de Preços",D6903)))</formula>
    </cfRule>
  </conditionalFormatting>
  <conditionalFormatting sqref="D6902">
    <cfRule type="containsText" dxfId="506" priority="1337" operator="containsText" text="Pesquisa de Preços">
      <formula>NOT(ISERROR(SEARCH("Pesquisa de Preços",D6902)))</formula>
    </cfRule>
  </conditionalFormatting>
  <conditionalFormatting sqref="D6922">
    <cfRule type="containsText" dxfId="505" priority="1327" operator="containsText" text="Pesquisa de Preços">
      <formula>NOT(ISERROR(SEARCH("Pesquisa de Preços",D6922)))</formula>
    </cfRule>
  </conditionalFormatting>
  <conditionalFormatting sqref="D6925">
    <cfRule type="containsText" dxfId="504" priority="1328" operator="containsText" text="Pesquisa de Preços">
      <formula>NOT(ISERROR(SEARCH("Pesquisa de Preços",D6925)))</formula>
    </cfRule>
  </conditionalFormatting>
  <conditionalFormatting sqref="D6941">
    <cfRule type="containsText" dxfId="503" priority="1308" operator="containsText" text="Pesquisa de Preços">
      <formula>NOT(ISERROR(SEARCH("Pesquisa de Preços",D6941)))</formula>
    </cfRule>
  </conditionalFormatting>
  <conditionalFormatting sqref="E6942">
    <cfRule type="containsText" dxfId="502" priority="1294" operator="containsText" text="Pesquisa de Preços">
      <formula>NOT(ISERROR(SEARCH("Pesquisa de Preços",E6942)))</formula>
    </cfRule>
  </conditionalFormatting>
  <conditionalFormatting sqref="E6923 E6925">
    <cfRule type="containsText" dxfId="501" priority="1325" operator="containsText" text="Pesquisa de Preços">
      <formula>NOT(ISERROR(SEARCH("Pesquisa de Preços",E6923)))</formula>
    </cfRule>
  </conditionalFormatting>
  <conditionalFormatting sqref="D6937">
    <cfRule type="containsText" dxfId="500" priority="1318" operator="containsText" text="Pesquisa de Preços">
      <formula>NOT(ISERROR(SEARCH("Pesquisa de Preços",D6937)))</formula>
    </cfRule>
  </conditionalFormatting>
  <conditionalFormatting sqref="E6934">
    <cfRule type="containsText" dxfId="499" priority="1314" operator="containsText" text="Pesquisa de Preços">
      <formula>NOT(ISERROR(SEARCH("Pesquisa de Preços",E6934)))</formula>
    </cfRule>
  </conditionalFormatting>
  <conditionalFormatting sqref="D6935">
    <cfRule type="containsText" dxfId="498" priority="1316" operator="containsText" text="Pesquisa de Preços">
      <formula>NOT(ISERROR(SEARCH("Pesquisa de Preços",D6935)))</formula>
    </cfRule>
  </conditionalFormatting>
  <conditionalFormatting sqref="D6934">
    <cfRule type="containsText" dxfId="497" priority="1317" operator="containsText" text="Pesquisa de Preços">
      <formula>NOT(ISERROR(SEARCH("Pesquisa de Preços",D6934)))</formula>
    </cfRule>
  </conditionalFormatting>
  <conditionalFormatting sqref="E6935 E6937">
    <cfRule type="containsText" dxfId="496" priority="1315" operator="containsText" text="Pesquisa de Preços">
      <formula>NOT(ISERROR(SEARCH("Pesquisa de Preços",E6935)))</formula>
    </cfRule>
  </conditionalFormatting>
  <conditionalFormatting sqref="E6943 E6945">
    <cfRule type="containsText" dxfId="495" priority="1295" operator="containsText" text="Pesquisa de Preços">
      <formula>NOT(ISERROR(SEARCH("Pesquisa de Preços",E6943)))</formula>
    </cfRule>
  </conditionalFormatting>
  <conditionalFormatting sqref="E6938">
    <cfRule type="containsText" dxfId="494" priority="1304" operator="containsText" text="Pesquisa de Preços">
      <formula>NOT(ISERROR(SEARCH("Pesquisa de Preços",E6938)))</formula>
    </cfRule>
  </conditionalFormatting>
  <conditionalFormatting sqref="D6939">
    <cfRule type="containsText" dxfId="493" priority="1306" operator="containsText" text="Pesquisa de Preços">
      <formula>NOT(ISERROR(SEARCH("Pesquisa de Preços",D6939)))</formula>
    </cfRule>
  </conditionalFormatting>
  <conditionalFormatting sqref="D6635">
    <cfRule type="containsText" dxfId="492" priority="1177" operator="containsText" text="Pesquisa de Preços">
      <formula>NOT(ISERROR(SEARCH("Pesquisa de Preços",D6635)))</formula>
    </cfRule>
  </conditionalFormatting>
  <conditionalFormatting sqref="D6938">
    <cfRule type="containsText" dxfId="491" priority="1307" operator="containsText" text="Pesquisa de Preços">
      <formula>NOT(ISERROR(SEARCH("Pesquisa de Preços",D6938)))</formula>
    </cfRule>
  </conditionalFormatting>
  <conditionalFormatting sqref="E6939 E6941">
    <cfRule type="containsText" dxfId="490" priority="1305" operator="containsText" text="Pesquisa de Preços">
      <formula>NOT(ISERROR(SEARCH("Pesquisa de Preços",E6939)))</formula>
    </cfRule>
  </conditionalFormatting>
  <conditionalFormatting sqref="D6945">
    <cfRule type="containsText" dxfId="489" priority="1298" operator="containsText" text="Pesquisa de Preços">
      <formula>NOT(ISERROR(SEARCH("Pesquisa de Preços",D6945)))</formula>
    </cfRule>
  </conditionalFormatting>
  <conditionalFormatting sqref="E6958">
    <cfRule type="containsText" dxfId="488" priority="1254" operator="containsText" text="Pesquisa de Preços">
      <formula>NOT(ISERROR(SEARCH("Pesquisa de Preços",E6958)))</formula>
    </cfRule>
  </conditionalFormatting>
  <conditionalFormatting sqref="D6943">
    <cfRule type="containsText" dxfId="487" priority="1296" operator="containsText" text="Pesquisa de Preços">
      <formula>NOT(ISERROR(SEARCH("Pesquisa de Preços",D6943)))</formula>
    </cfRule>
  </conditionalFormatting>
  <conditionalFormatting sqref="D6942">
    <cfRule type="containsText" dxfId="486" priority="1297" operator="containsText" text="Pesquisa de Preços">
      <formula>NOT(ISERROR(SEARCH("Pesquisa de Preços",D6942)))</formula>
    </cfRule>
  </conditionalFormatting>
  <conditionalFormatting sqref="E6959 E6961">
    <cfRule type="containsText" dxfId="485" priority="1255" operator="containsText" text="Pesquisa de Preços">
      <formula>NOT(ISERROR(SEARCH("Pesquisa de Preços",E6959)))</formula>
    </cfRule>
  </conditionalFormatting>
  <conditionalFormatting sqref="D6949">
    <cfRule type="containsText" dxfId="484" priority="1288" operator="containsText" text="Pesquisa de Preços">
      <formula>NOT(ISERROR(SEARCH("Pesquisa de Preços",D6949)))</formula>
    </cfRule>
  </conditionalFormatting>
  <conditionalFormatting sqref="E6946">
    <cfRule type="containsText" dxfId="483" priority="1284" operator="containsText" text="Pesquisa de Preços">
      <formula>NOT(ISERROR(SEARCH("Pesquisa de Preços",E6946)))</formula>
    </cfRule>
  </conditionalFormatting>
  <conditionalFormatting sqref="D6947">
    <cfRule type="containsText" dxfId="482" priority="1286" operator="containsText" text="Pesquisa de Preços">
      <formula>NOT(ISERROR(SEARCH("Pesquisa de Preços",D6947)))</formula>
    </cfRule>
  </conditionalFormatting>
  <conditionalFormatting sqref="D6946">
    <cfRule type="containsText" dxfId="481" priority="1287" operator="containsText" text="Pesquisa de Preços">
      <formula>NOT(ISERROR(SEARCH("Pesquisa de Preços",D6946)))</formula>
    </cfRule>
  </conditionalFormatting>
  <conditionalFormatting sqref="E6947 E6949">
    <cfRule type="containsText" dxfId="480" priority="1285" operator="containsText" text="Pesquisa de Preços">
      <formula>NOT(ISERROR(SEARCH("Pesquisa de Preços",E6947)))</formula>
    </cfRule>
  </conditionalFormatting>
  <conditionalFormatting sqref="D6953">
    <cfRule type="containsText" dxfId="479" priority="1278" operator="containsText" text="Pesquisa de Preços">
      <formula>NOT(ISERROR(SEARCH("Pesquisa de Preços",D6953)))</formula>
    </cfRule>
  </conditionalFormatting>
  <conditionalFormatting sqref="E6950">
    <cfRule type="containsText" dxfId="478" priority="1274" operator="containsText" text="Pesquisa de Preços">
      <formula>NOT(ISERROR(SEARCH("Pesquisa de Preços",E6950)))</formula>
    </cfRule>
  </conditionalFormatting>
  <conditionalFormatting sqref="D6951">
    <cfRule type="containsText" dxfId="477" priority="1276" operator="containsText" text="Pesquisa de Preços">
      <formula>NOT(ISERROR(SEARCH("Pesquisa de Preços",D6951)))</formula>
    </cfRule>
  </conditionalFormatting>
  <conditionalFormatting sqref="D6950">
    <cfRule type="containsText" dxfId="476" priority="1277" operator="containsText" text="Pesquisa de Preços">
      <formula>NOT(ISERROR(SEARCH("Pesquisa de Preços",D6950)))</formula>
    </cfRule>
  </conditionalFormatting>
  <conditionalFormatting sqref="E6951 E6953">
    <cfRule type="containsText" dxfId="475" priority="1275" operator="containsText" text="Pesquisa de Preços">
      <formula>NOT(ISERROR(SEARCH("Pesquisa de Preços",E6951)))</formula>
    </cfRule>
  </conditionalFormatting>
  <conditionalFormatting sqref="D6957">
    <cfRule type="containsText" dxfId="474" priority="1268" operator="containsText" text="Pesquisa de Preços">
      <formula>NOT(ISERROR(SEARCH("Pesquisa de Preços",D6957)))</formula>
    </cfRule>
  </conditionalFormatting>
  <conditionalFormatting sqref="E6954">
    <cfRule type="containsText" dxfId="473" priority="1264" operator="containsText" text="Pesquisa de Preços">
      <formula>NOT(ISERROR(SEARCH("Pesquisa de Preços",E6954)))</formula>
    </cfRule>
  </conditionalFormatting>
  <conditionalFormatting sqref="D6955">
    <cfRule type="containsText" dxfId="472" priority="1266" operator="containsText" text="Pesquisa de Preços">
      <formula>NOT(ISERROR(SEARCH("Pesquisa de Preços",D6955)))</formula>
    </cfRule>
  </conditionalFormatting>
  <conditionalFormatting sqref="D6954">
    <cfRule type="containsText" dxfId="471" priority="1267" operator="containsText" text="Pesquisa de Preços">
      <formula>NOT(ISERROR(SEARCH("Pesquisa de Preços",D6954)))</formula>
    </cfRule>
  </conditionalFormatting>
  <conditionalFormatting sqref="E6955 E6957">
    <cfRule type="containsText" dxfId="470" priority="1265" operator="containsText" text="Pesquisa de Preços">
      <formula>NOT(ISERROR(SEARCH("Pesquisa de Preços",E6955)))</formula>
    </cfRule>
  </conditionalFormatting>
  <conditionalFormatting sqref="D6961">
    <cfRule type="containsText" dxfId="469" priority="1258" operator="containsText" text="Pesquisa de Preços">
      <formula>NOT(ISERROR(SEARCH("Pesquisa de Preços",D6961)))</formula>
    </cfRule>
  </conditionalFormatting>
  <conditionalFormatting sqref="D6637">
    <cfRule type="containsText" dxfId="468" priority="1179" operator="containsText" text="Pesquisa de Preços">
      <formula>NOT(ISERROR(SEARCH("Pesquisa de Preços",D6637)))</formula>
    </cfRule>
  </conditionalFormatting>
  <conditionalFormatting sqref="D6959">
    <cfRule type="containsText" dxfId="467" priority="1256" operator="containsText" text="Pesquisa de Preços">
      <formula>NOT(ISERROR(SEARCH("Pesquisa de Preços",D6959)))</formula>
    </cfRule>
  </conditionalFormatting>
  <conditionalFormatting sqref="D6958">
    <cfRule type="containsText" dxfId="466" priority="1257" operator="containsText" text="Pesquisa de Preços">
      <formula>NOT(ISERROR(SEARCH("Pesquisa de Preços",D6958)))</formula>
    </cfRule>
  </conditionalFormatting>
  <conditionalFormatting sqref="D2737">
    <cfRule type="containsText" dxfId="465" priority="1216" operator="containsText" text="Pesquisa de Preços">
      <formula>NOT(ISERROR(SEARCH("Pesquisa de Preços",D2737)))</formula>
    </cfRule>
  </conditionalFormatting>
  <conditionalFormatting sqref="D6965">
    <cfRule type="containsText" dxfId="464" priority="1248" operator="containsText" text="Pesquisa de Preços">
      <formula>NOT(ISERROR(SEARCH("Pesquisa de Preços",D6965)))</formula>
    </cfRule>
  </conditionalFormatting>
  <conditionalFormatting sqref="E6962">
    <cfRule type="containsText" dxfId="463" priority="1244" operator="containsText" text="Pesquisa de Preços">
      <formula>NOT(ISERROR(SEARCH("Pesquisa de Preços",E6962)))</formula>
    </cfRule>
  </conditionalFormatting>
  <conditionalFormatting sqref="D6963">
    <cfRule type="containsText" dxfId="462" priority="1246" operator="containsText" text="Pesquisa de Preços">
      <formula>NOT(ISERROR(SEARCH("Pesquisa de Preços",D6963)))</formula>
    </cfRule>
  </conditionalFormatting>
  <conditionalFormatting sqref="D6962">
    <cfRule type="containsText" dxfId="461" priority="1247" operator="containsText" text="Pesquisa de Preços">
      <formula>NOT(ISERROR(SEARCH("Pesquisa de Preços",D6962)))</formula>
    </cfRule>
  </conditionalFormatting>
  <conditionalFormatting sqref="E6963 E6965">
    <cfRule type="containsText" dxfId="460" priority="1245" operator="containsText" text="Pesquisa de Preços">
      <formula>NOT(ISERROR(SEARCH("Pesquisa de Preços",E6963)))</formula>
    </cfRule>
  </conditionalFormatting>
  <conditionalFormatting sqref="D2733">
    <cfRule type="containsText" dxfId="459" priority="1234" operator="containsText" text="Pesquisa de Preços">
      <formula>NOT(ISERROR(SEARCH("Pesquisa de Preços",D2733)))</formula>
    </cfRule>
  </conditionalFormatting>
  <conditionalFormatting sqref="D2731">
    <cfRule type="containsText" dxfId="458" priority="1233" operator="containsText" text="Pesquisa de Preços">
      <formula>NOT(ISERROR(SEARCH("Pesquisa de Preços",D2731)))</formula>
    </cfRule>
  </conditionalFormatting>
  <conditionalFormatting sqref="D2727">
    <cfRule type="containsText" dxfId="457" priority="1230" operator="containsText" text="Pesquisa de Preços">
      <formula>NOT(ISERROR(SEARCH("Pesquisa de Preços",D2727)))</formula>
    </cfRule>
  </conditionalFormatting>
  <conditionalFormatting sqref="D2729">
    <cfRule type="containsText" dxfId="456" priority="1229" operator="containsText" text="Pesquisa de Preços">
      <formula>NOT(ISERROR(SEARCH("Pesquisa de Preços",D2729)))</formula>
    </cfRule>
  </conditionalFormatting>
  <conditionalFormatting sqref="D2741">
    <cfRule type="containsText" dxfId="455" priority="1221" operator="containsText" text="Pesquisa de Preços">
      <formula>NOT(ISERROR(SEARCH("Pesquisa de Preços",D2741)))</formula>
    </cfRule>
  </conditionalFormatting>
  <conditionalFormatting sqref="D2739">
    <cfRule type="containsText" dxfId="454" priority="1220" operator="containsText" text="Pesquisa de Preços">
      <formula>NOT(ISERROR(SEARCH("Pesquisa de Preços",D2739)))</formula>
    </cfRule>
  </conditionalFormatting>
  <conditionalFormatting sqref="D2735">
    <cfRule type="containsText" dxfId="453" priority="1217" operator="containsText" text="Pesquisa de Preços">
      <formula>NOT(ISERROR(SEARCH("Pesquisa de Preços",D2735)))</formula>
    </cfRule>
  </conditionalFormatting>
  <conditionalFormatting sqref="D2753">
    <cfRule type="containsText" dxfId="452" priority="1208" operator="containsText" text="Pesquisa de Preços">
      <formula>NOT(ISERROR(SEARCH("Pesquisa de Preços",D2753)))</formula>
    </cfRule>
  </conditionalFormatting>
  <conditionalFormatting sqref="D2751">
    <cfRule type="containsText" dxfId="451" priority="1207" operator="containsText" text="Pesquisa de Preços">
      <formula>NOT(ISERROR(SEARCH("Pesquisa de Preços",D2751)))</formula>
    </cfRule>
  </conditionalFormatting>
  <conditionalFormatting sqref="D2747">
    <cfRule type="containsText" dxfId="450" priority="1204" operator="containsText" text="Pesquisa de Preços">
      <formula>NOT(ISERROR(SEARCH("Pesquisa de Preços",D2747)))</formula>
    </cfRule>
  </conditionalFormatting>
  <conditionalFormatting sqref="D2749">
    <cfRule type="containsText" dxfId="449" priority="1203" operator="containsText" text="Pesquisa de Preços">
      <formula>NOT(ISERROR(SEARCH("Pesquisa de Preços",D2749)))</formula>
    </cfRule>
  </conditionalFormatting>
  <conditionalFormatting sqref="D4744">
    <cfRule type="containsText" dxfId="448" priority="1197" operator="containsText" text="Pesquisa de Preços">
      <formula>NOT(ISERROR(SEARCH("Pesquisa de Preços",D4744)))</formula>
    </cfRule>
  </conditionalFormatting>
  <conditionalFormatting sqref="D4748">
    <cfRule type="containsText" dxfId="447" priority="1193" operator="containsText" text="Pesquisa de Preços">
      <formula>NOT(ISERROR(SEARCH("Pesquisa de Preços",D4748)))</formula>
    </cfRule>
  </conditionalFormatting>
  <conditionalFormatting sqref="D4756">
    <cfRule type="containsText" dxfId="446" priority="1185" operator="containsText" text="Pesquisa de Preços">
      <formula>NOT(ISERROR(SEARCH("Pesquisa de Preços",D4756)))</formula>
    </cfRule>
  </conditionalFormatting>
  <conditionalFormatting sqref="E6634">
    <cfRule type="containsText" dxfId="445" priority="1175" operator="containsText" text="Pesquisa de Preços">
      <formula>NOT(ISERROR(SEARCH("Pesquisa de Preços",E6634)))</formula>
    </cfRule>
  </conditionalFormatting>
  <conditionalFormatting sqref="D6634">
    <cfRule type="containsText" dxfId="444" priority="1178" operator="containsText" text="Pesquisa de Preços">
      <formula>NOT(ISERROR(SEARCH("Pesquisa de Preços",D6634)))</formula>
    </cfRule>
  </conditionalFormatting>
  <conditionalFormatting sqref="E6635 E6637">
    <cfRule type="containsText" dxfId="443" priority="1176" operator="containsText" text="Pesquisa de Preços">
      <formula>NOT(ISERROR(SEARCH("Pesquisa de Preços",E6635)))</formula>
    </cfRule>
  </conditionalFormatting>
  <conditionalFormatting sqref="D6497">
    <cfRule type="containsText" dxfId="442" priority="1169" operator="containsText" text="Pesquisa de Preços">
      <formula>NOT(ISERROR(SEARCH("Pesquisa de Preços",D6497)))</formula>
    </cfRule>
  </conditionalFormatting>
  <conditionalFormatting sqref="E6494">
    <cfRule type="containsText" dxfId="441" priority="1165" operator="containsText" text="Pesquisa de Preços">
      <formula>NOT(ISERROR(SEARCH("Pesquisa de Preços",E6494)))</formula>
    </cfRule>
  </conditionalFormatting>
  <conditionalFormatting sqref="D6495">
    <cfRule type="containsText" dxfId="440" priority="1167" operator="containsText" text="Pesquisa de Preços">
      <formula>NOT(ISERROR(SEARCH("Pesquisa de Preços",D6495)))</formula>
    </cfRule>
  </conditionalFormatting>
  <conditionalFormatting sqref="D6494">
    <cfRule type="containsText" dxfId="439" priority="1168" operator="containsText" text="Pesquisa de Preços">
      <formula>NOT(ISERROR(SEARCH("Pesquisa de Preços",D6494)))</formula>
    </cfRule>
  </conditionalFormatting>
  <conditionalFormatting sqref="E6495 E6497">
    <cfRule type="containsText" dxfId="438" priority="1166" operator="containsText" text="Pesquisa de Preços">
      <formula>NOT(ISERROR(SEARCH("Pesquisa de Preços",E6495)))</formula>
    </cfRule>
  </conditionalFormatting>
  <conditionalFormatting sqref="D6539">
    <cfRule type="containsText" dxfId="437" priority="1161" operator="containsText" text="Pesquisa de Preços">
      <formula>NOT(ISERROR(SEARCH("Pesquisa de Preços",D6539)))</formula>
    </cfRule>
  </conditionalFormatting>
  <conditionalFormatting sqref="E6538">
    <cfRule type="containsText" dxfId="436" priority="1159" operator="containsText" text="Pesquisa de Preços">
      <formula>NOT(ISERROR(SEARCH("Pesquisa de Preços",E6538)))</formula>
    </cfRule>
  </conditionalFormatting>
  <conditionalFormatting sqref="D6541">
    <cfRule type="containsText" dxfId="435" priority="1163" operator="containsText" text="Pesquisa de Preços">
      <formula>NOT(ISERROR(SEARCH("Pesquisa de Preços",D6541)))</formula>
    </cfRule>
  </conditionalFormatting>
  <conditionalFormatting sqref="D6538">
    <cfRule type="containsText" dxfId="434" priority="1162" operator="containsText" text="Pesquisa de Preços">
      <formula>NOT(ISERROR(SEARCH("Pesquisa de Preços",D6538)))</formula>
    </cfRule>
  </conditionalFormatting>
  <conditionalFormatting sqref="E6539 E6541">
    <cfRule type="containsText" dxfId="433" priority="1160" operator="containsText" text="Pesquisa de Preços">
      <formula>NOT(ISERROR(SEARCH("Pesquisa de Preços",E6539)))</formula>
    </cfRule>
  </conditionalFormatting>
  <conditionalFormatting sqref="D6587">
    <cfRule type="containsText" dxfId="432" priority="1153" operator="containsText" text="Pesquisa de Preços">
      <formula>NOT(ISERROR(SEARCH("Pesquisa de Preços",D6587)))</formula>
    </cfRule>
  </conditionalFormatting>
  <conditionalFormatting sqref="E6586">
    <cfRule type="containsText" dxfId="431" priority="1151" operator="containsText" text="Pesquisa de Preços">
      <formula>NOT(ISERROR(SEARCH("Pesquisa de Preços",E6586)))</formula>
    </cfRule>
  </conditionalFormatting>
  <conditionalFormatting sqref="D6589">
    <cfRule type="containsText" dxfId="430" priority="1155" operator="containsText" text="Pesquisa de Preços">
      <formula>NOT(ISERROR(SEARCH("Pesquisa de Preços",D6589)))</formula>
    </cfRule>
  </conditionalFormatting>
  <conditionalFormatting sqref="D6586">
    <cfRule type="containsText" dxfId="429" priority="1154" operator="containsText" text="Pesquisa de Preços">
      <formula>NOT(ISERROR(SEARCH("Pesquisa de Preços",D6586)))</formula>
    </cfRule>
  </conditionalFormatting>
  <conditionalFormatting sqref="E6587 E6589">
    <cfRule type="containsText" dxfId="428" priority="1152" operator="containsText" text="Pesquisa de Preços">
      <formula>NOT(ISERROR(SEARCH("Pesquisa de Preços",E6587)))</formula>
    </cfRule>
  </conditionalFormatting>
  <conditionalFormatting sqref="D6651">
    <cfRule type="containsText" dxfId="427" priority="1143" operator="containsText" text="Pesquisa de Preços">
      <formula>NOT(ISERROR(SEARCH("Pesquisa de Preços",D6651)))</formula>
    </cfRule>
  </conditionalFormatting>
  <conditionalFormatting sqref="E6650">
    <cfRule type="containsText" dxfId="426" priority="1141" operator="containsText" text="Pesquisa de Preços">
      <formula>NOT(ISERROR(SEARCH("Pesquisa de Preços",E6650)))</formula>
    </cfRule>
  </conditionalFormatting>
  <conditionalFormatting sqref="D6653">
    <cfRule type="containsText" dxfId="425" priority="1145" operator="containsText" text="Pesquisa de Preços">
      <formula>NOT(ISERROR(SEARCH("Pesquisa de Preços",D6653)))</formula>
    </cfRule>
  </conditionalFormatting>
  <conditionalFormatting sqref="D6650">
    <cfRule type="containsText" dxfId="424" priority="1144" operator="containsText" text="Pesquisa de Preços">
      <formula>NOT(ISERROR(SEARCH("Pesquisa de Preços",D6650)))</formula>
    </cfRule>
  </conditionalFormatting>
  <conditionalFormatting sqref="E6651 E6653">
    <cfRule type="containsText" dxfId="423" priority="1142" operator="containsText" text="Pesquisa de Preços">
      <formula>NOT(ISERROR(SEARCH("Pesquisa de Preços",E6651)))</formula>
    </cfRule>
  </conditionalFormatting>
  <conditionalFormatting sqref="D6655">
    <cfRule type="containsText" dxfId="422" priority="1137" operator="containsText" text="Pesquisa de Preços">
      <formula>NOT(ISERROR(SEARCH("Pesquisa de Preços",D6655)))</formula>
    </cfRule>
  </conditionalFormatting>
  <conditionalFormatting sqref="E6654">
    <cfRule type="containsText" dxfId="421" priority="1135" operator="containsText" text="Pesquisa de Preços">
      <formula>NOT(ISERROR(SEARCH("Pesquisa de Preços",E6654)))</formula>
    </cfRule>
  </conditionalFormatting>
  <conditionalFormatting sqref="D6657">
    <cfRule type="containsText" dxfId="420" priority="1139" operator="containsText" text="Pesquisa de Preços">
      <formula>NOT(ISERROR(SEARCH("Pesquisa de Preços",D6657)))</formula>
    </cfRule>
  </conditionalFormatting>
  <conditionalFormatting sqref="D6654">
    <cfRule type="containsText" dxfId="419" priority="1138" operator="containsText" text="Pesquisa de Preços">
      <formula>NOT(ISERROR(SEARCH("Pesquisa de Preços",D6654)))</formula>
    </cfRule>
  </conditionalFormatting>
  <conditionalFormatting sqref="E6655 E6657">
    <cfRule type="containsText" dxfId="418" priority="1136" operator="containsText" text="Pesquisa de Preços">
      <formula>NOT(ISERROR(SEARCH("Pesquisa de Preços",E6655)))</formula>
    </cfRule>
  </conditionalFormatting>
  <conditionalFormatting sqref="D6659">
    <cfRule type="containsText" dxfId="417" priority="1131" operator="containsText" text="Pesquisa de Preços">
      <formula>NOT(ISERROR(SEARCH("Pesquisa de Preços",D6659)))</formula>
    </cfRule>
  </conditionalFormatting>
  <conditionalFormatting sqref="E6658">
    <cfRule type="containsText" dxfId="416" priority="1129" operator="containsText" text="Pesquisa de Preços">
      <formula>NOT(ISERROR(SEARCH("Pesquisa de Preços",E6658)))</formula>
    </cfRule>
  </conditionalFormatting>
  <conditionalFormatting sqref="D6661">
    <cfRule type="containsText" dxfId="415" priority="1133" operator="containsText" text="Pesquisa de Preços">
      <formula>NOT(ISERROR(SEARCH("Pesquisa de Preços",D6661)))</formula>
    </cfRule>
  </conditionalFormatting>
  <conditionalFormatting sqref="D6658">
    <cfRule type="containsText" dxfId="414" priority="1132" operator="containsText" text="Pesquisa de Preços">
      <formula>NOT(ISERROR(SEARCH("Pesquisa de Preços",D6658)))</formula>
    </cfRule>
  </conditionalFormatting>
  <conditionalFormatting sqref="E6659 E6661">
    <cfRule type="containsText" dxfId="413" priority="1130" operator="containsText" text="Pesquisa de Preços">
      <formula>NOT(ISERROR(SEARCH("Pesquisa de Preços",E6659)))</formula>
    </cfRule>
  </conditionalFormatting>
  <conditionalFormatting sqref="D6631">
    <cfRule type="containsText" dxfId="412" priority="1121" operator="containsText" text="Pesquisa de Preços">
      <formula>NOT(ISERROR(SEARCH("Pesquisa de Preços",D6631)))</formula>
    </cfRule>
  </conditionalFormatting>
  <conditionalFormatting sqref="E6630">
    <cfRule type="containsText" dxfId="411" priority="1119" operator="containsText" text="Pesquisa de Preços">
      <formula>NOT(ISERROR(SEARCH("Pesquisa de Preços",E6630)))</formula>
    </cfRule>
  </conditionalFormatting>
  <conditionalFormatting sqref="D6633">
    <cfRule type="containsText" dxfId="410" priority="1123" operator="containsText" text="Pesquisa de Preços">
      <formula>NOT(ISERROR(SEARCH("Pesquisa de Preços",D6633)))</formula>
    </cfRule>
  </conditionalFormatting>
  <conditionalFormatting sqref="D6630">
    <cfRule type="containsText" dxfId="409" priority="1122" operator="containsText" text="Pesquisa de Preços">
      <formula>NOT(ISERROR(SEARCH("Pesquisa de Preços",D6630)))</formula>
    </cfRule>
  </conditionalFormatting>
  <conditionalFormatting sqref="E6631 E6633">
    <cfRule type="containsText" dxfId="408" priority="1120" operator="containsText" text="Pesquisa de Preços">
      <formula>NOT(ISERROR(SEARCH("Pesquisa de Preços",E6631)))</formula>
    </cfRule>
  </conditionalFormatting>
  <conditionalFormatting sqref="D6627">
    <cfRule type="containsText" dxfId="407" priority="1111" operator="containsText" text="Pesquisa de Preços">
      <formula>NOT(ISERROR(SEARCH("Pesquisa de Preços",D6627)))</formula>
    </cfRule>
  </conditionalFormatting>
  <conditionalFormatting sqref="E6626">
    <cfRule type="containsText" dxfId="406" priority="1109" operator="containsText" text="Pesquisa de Preços">
      <formula>NOT(ISERROR(SEARCH("Pesquisa de Preços",E6626)))</formula>
    </cfRule>
  </conditionalFormatting>
  <conditionalFormatting sqref="D6629">
    <cfRule type="containsText" dxfId="405" priority="1113" operator="containsText" text="Pesquisa de Preços">
      <formula>NOT(ISERROR(SEARCH("Pesquisa de Preços",D6629)))</formula>
    </cfRule>
  </conditionalFormatting>
  <conditionalFormatting sqref="D6626">
    <cfRule type="containsText" dxfId="404" priority="1112" operator="containsText" text="Pesquisa de Preços">
      <formula>NOT(ISERROR(SEARCH("Pesquisa de Preços",D6626)))</formula>
    </cfRule>
  </conditionalFormatting>
  <conditionalFormatting sqref="E6627 E6629">
    <cfRule type="containsText" dxfId="403" priority="1110" operator="containsText" text="Pesquisa de Preços">
      <formula>NOT(ISERROR(SEARCH("Pesquisa de Preços",E6627)))</formula>
    </cfRule>
  </conditionalFormatting>
  <conditionalFormatting sqref="D6683 D6687 D6691 D6695 D6699 D6703 D6707 D6711 D6715 D6719 D6727 D6731 D6735 D6739 D6743 D6747 D6751 D6755 D6759 D6763 D6767 D6771 D6775 D6779 D6783 D6787 D6791 D6795 D6799 D6803 D6807 D6811 D6815 D6819 D6823 D6827 D6831 D6835 D6839 D6843 D6847 D6863 D6867">
    <cfRule type="containsText" dxfId="402" priority="1103" operator="containsText" text="Pesquisa de Preços">
      <formula>NOT(ISERROR(SEARCH("Pesquisa de Preços",D6683)))</formula>
    </cfRule>
  </conditionalFormatting>
  <conditionalFormatting sqref="E6682 E6686 E6690 E6694 E6698 E6702 E6706 E6710 E6714 E6718 E6726 E6730 E6734 E6738 E6742 E6746 E6750 E6754 E6758 E6762 E6766 E6770 E6774 E6778 E6782 E6786 E6790 E6794 E6798 E6802 E6806 E6810 E6814 E6818 E6822 E6826 E6830 E6834 E6838 E6842 E6846 E6862 E6866">
    <cfRule type="containsText" dxfId="401" priority="1101" operator="containsText" text="Pesquisa de Preços">
      <formula>NOT(ISERROR(SEARCH("Pesquisa de Preços",E6682)))</formula>
    </cfRule>
  </conditionalFormatting>
  <conditionalFormatting sqref="D6685 D6689 D6693 D6697 D6701 D6705 D6709 D6713 D6717 D6721 D6729 D6733 D6737 D6741 D6745 D6749 D6753 D6757 D6761 D6765 D6769 D6773 D6777 D6781 D6785 D6789 D6793 D6797 D6801 D6805 D6809 D6813 D6817 D6821 D6825 D6829 D6833 D6837 D6841 D6845 D6849 D6865 D6869">
    <cfRule type="containsText" dxfId="400" priority="1105" operator="containsText" text="Pesquisa de Preços">
      <formula>NOT(ISERROR(SEARCH("Pesquisa de Preços",D6685)))</formula>
    </cfRule>
  </conditionalFormatting>
  <conditionalFormatting sqref="D6682 D6686 D6690 D6694 D6698 D6702 D6706 D6710 D6714 D6718 D6726 D6730 D6734 D6738 D6742 D6746 D6750 D6754 D6758 D6762 D6766 D6770 D6774 D6778 D6782 D6786 D6790 D6794 D6798 D6802 D6806 D6810 D6814 D6818 D6822 D6826 D6830 D6834 D6838 D6842 D6846 D6862 D6866">
    <cfRule type="containsText" dxfId="399" priority="1104" operator="containsText" text="Pesquisa de Preços">
      <formula>NOT(ISERROR(SEARCH("Pesquisa de Preços",D6682)))</formula>
    </cfRule>
  </conditionalFormatting>
  <conditionalFormatting sqref="E6683 E6687 E6691 E6695 E6699 E6703 E6707 E6711 E6715 E6719 E6727 E6731 E6735 E6739 E6743 E6747 E6751 E6755 E6759 E6763 E6767 E6771 E6775 E6779 E6783 E6787 E6791 E6795 E6799 E6803 E6807 E6811 E6815 E6819 E6823 E6827 E6831 E6835 E6839 E6843 E6847 E6863 E6867 E6685 E6689 E6693 E6697 E6701 E6705 E6709 E6713 E6717 E6721 E6729 E6733 E6737 E6741 E6745 E6749 E6753 E6757 E6761 E6765 E6769 E6773 E6777 E6781 E6785 E6789 E6793 E6797 E6801 E6805 E6809 E6813 E6817 E6821 E6825 E6829 E6833 E6837 E6841 E6845 E6849 E6865 E6869">
    <cfRule type="containsText" dxfId="398" priority="1102" operator="containsText" text="Pesquisa de Preços">
      <formula>NOT(ISERROR(SEARCH("Pesquisa de Preços",E6683)))</formula>
    </cfRule>
  </conditionalFormatting>
  <conditionalFormatting sqref="D6907">
    <cfRule type="containsText" dxfId="397" priority="1095" operator="containsText" text="Pesquisa de Preços">
      <formula>NOT(ISERROR(SEARCH("Pesquisa de Preços",D6907)))</formula>
    </cfRule>
  </conditionalFormatting>
  <conditionalFormatting sqref="E6906">
    <cfRule type="containsText" dxfId="396" priority="1093" operator="containsText" text="Pesquisa de Preços">
      <formula>NOT(ISERROR(SEARCH("Pesquisa de Preços",E6906)))</formula>
    </cfRule>
  </conditionalFormatting>
  <conditionalFormatting sqref="D6909">
    <cfRule type="containsText" dxfId="395" priority="1097" operator="containsText" text="Pesquisa de Preços">
      <formula>NOT(ISERROR(SEARCH("Pesquisa de Preços",D6909)))</formula>
    </cfRule>
  </conditionalFormatting>
  <conditionalFormatting sqref="D6906">
    <cfRule type="containsText" dxfId="394" priority="1096" operator="containsText" text="Pesquisa de Preços">
      <formula>NOT(ISERROR(SEARCH("Pesquisa de Preços",D6906)))</formula>
    </cfRule>
  </conditionalFormatting>
  <conditionalFormatting sqref="E6907 E6909">
    <cfRule type="containsText" dxfId="393" priority="1094" operator="containsText" text="Pesquisa de Preços">
      <formula>NOT(ISERROR(SEARCH("Pesquisa de Preços",E6907)))</formula>
    </cfRule>
  </conditionalFormatting>
  <conditionalFormatting sqref="D6911">
    <cfRule type="containsText" dxfId="392" priority="1089" operator="containsText" text="Pesquisa de Preços">
      <formula>NOT(ISERROR(SEARCH("Pesquisa de Preços",D6911)))</formula>
    </cfRule>
  </conditionalFormatting>
  <conditionalFormatting sqref="E6910">
    <cfRule type="containsText" dxfId="391" priority="1087" operator="containsText" text="Pesquisa de Preços">
      <formula>NOT(ISERROR(SEARCH("Pesquisa de Preços",E6910)))</formula>
    </cfRule>
  </conditionalFormatting>
  <conditionalFormatting sqref="D6913">
    <cfRule type="containsText" dxfId="390" priority="1091" operator="containsText" text="Pesquisa de Preços">
      <formula>NOT(ISERROR(SEARCH("Pesquisa de Preços",D6913)))</formula>
    </cfRule>
  </conditionalFormatting>
  <conditionalFormatting sqref="D6910">
    <cfRule type="containsText" dxfId="389" priority="1090" operator="containsText" text="Pesquisa de Preços">
      <formula>NOT(ISERROR(SEARCH("Pesquisa de Preços",D6910)))</formula>
    </cfRule>
  </conditionalFormatting>
  <conditionalFormatting sqref="E6911 E6913">
    <cfRule type="containsText" dxfId="388" priority="1088" operator="containsText" text="Pesquisa de Preços">
      <formula>NOT(ISERROR(SEARCH("Pesquisa de Preços",E6911)))</formula>
    </cfRule>
  </conditionalFormatting>
  <conditionalFormatting sqref="D6915">
    <cfRule type="containsText" dxfId="387" priority="1081" operator="containsText" text="Pesquisa de Preços">
      <formula>NOT(ISERROR(SEARCH("Pesquisa de Preços",D6915)))</formula>
    </cfRule>
  </conditionalFormatting>
  <conditionalFormatting sqref="E6914">
    <cfRule type="containsText" dxfId="386" priority="1079" operator="containsText" text="Pesquisa de Preços">
      <formula>NOT(ISERROR(SEARCH("Pesquisa de Preços",E6914)))</formula>
    </cfRule>
  </conditionalFormatting>
  <conditionalFormatting sqref="D6917">
    <cfRule type="containsText" dxfId="385" priority="1083" operator="containsText" text="Pesquisa de Preços">
      <formula>NOT(ISERROR(SEARCH("Pesquisa de Preços",D6917)))</formula>
    </cfRule>
  </conditionalFormatting>
  <conditionalFormatting sqref="D6914">
    <cfRule type="containsText" dxfId="384" priority="1082" operator="containsText" text="Pesquisa de Preços">
      <formula>NOT(ISERROR(SEARCH("Pesquisa de Preços",D6914)))</formula>
    </cfRule>
  </conditionalFormatting>
  <conditionalFormatting sqref="E6915 E6917">
    <cfRule type="containsText" dxfId="383" priority="1080" operator="containsText" text="Pesquisa de Preços">
      <formula>NOT(ISERROR(SEARCH("Pesquisa de Preços",E6915)))</formula>
    </cfRule>
  </conditionalFormatting>
  <conditionalFormatting sqref="D6931">
    <cfRule type="containsText" dxfId="382" priority="1073" operator="containsText" text="Pesquisa de Preços">
      <formula>NOT(ISERROR(SEARCH("Pesquisa de Preços",D6931)))</formula>
    </cfRule>
  </conditionalFormatting>
  <conditionalFormatting sqref="E6930">
    <cfRule type="containsText" dxfId="381" priority="1071" operator="containsText" text="Pesquisa de Preços">
      <formula>NOT(ISERROR(SEARCH("Pesquisa de Preços",E6930)))</formula>
    </cfRule>
  </conditionalFormatting>
  <conditionalFormatting sqref="D6933">
    <cfRule type="containsText" dxfId="380" priority="1075" operator="containsText" text="Pesquisa de Preços">
      <formula>NOT(ISERROR(SEARCH("Pesquisa de Preços",D6933)))</formula>
    </cfRule>
  </conditionalFormatting>
  <conditionalFormatting sqref="D6930">
    <cfRule type="containsText" dxfId="379" priority="1074" operator="containsText" text="Pesquisa de Preços">
      <formula>NOT(ISERROR(SEARCH("Pesquisa de Preços",D6930)))</formula>
    </cfRule>
  </conditionalFormatting>
  <conditionalFormatting sqref="E6931 E6933">
    <cfRule type="containsText" dxfId="378" priority="1072" operator="containsText" text="Pesquisa de Preços">
      <formula>NOT(ISERROR(SEARCH("Pesquisa de Preços",E6931)))</formula>
    </cfRule>
  </conditionalFormatting>
  <conditionalFormatting sqref="D6927">
    <cfRule type="containsText" dxfId="377" priority="1065" operator="containsText" text="Pesquisa de Preços">
      <formula>NOT(ISERROR(SEARCH("Pesquisa de Preços",D6927)))</formula>
    </cfRule>
  </conditionalFormatting>
  <conditionalFormatting sqref="E6926">
    <cfRule type="containsText" dxfId="376" priority="1063" operator="containsText" text="Pesquisa de Preços">
      <formula>NOT(ISERROR(SEARCH("Pesquisa de Preços",E6926)))</formula>
    </cfRule>
  </conditionalFormatting>
  <conditionalFormatting sqref="D6929">
    <cfRule type="containsText" dxfId="375" priority="1067" operator="containsText" text="Pesquisa de Preços">
      <formula>NOT(ISERROR(SEARCH("Pesquisa de Preços",D6929)))</formula>
    </cfRule>
  </conditionalFormatting>
  <conditionalFormatting sqref="D6926">
    <cfRule type="containsText" dxfId="374" priority="1066" operator="containsText" text="Pesquisa de Preços">
      <formula>NOT(ISERROR(SEARCH("Pesquisa de Preços",D6926)))</formula>
    </cfRule>
  </conditionalFormatting>
  <conditionalFormatting sqref="E6927 E6929">
    <cfRule type="containsText" dxfId="373" priority="1064" operator="containsText" text="Pesquisa de Preços">
      <formula>NOT(ISERROR(SEARCH("Pesquisa de Preços",E6927)))</formula>
    </cfRule>
  </conditionalFormatting>
  <conditionalFormatting sqref="E6966 E6970 E6978 E6982 E6986 E6990 E6994 E6998 E7002 E7006 E7010 E7014 E7022 E7026 E7030 E7034 E7038 E7042 E7058">
    <cfRule type="containsText" dxfId="372" priority="1055" operator="containsText" text="Pesquisa de Preços">
      <formula>NOT(ISERROR(SEARCH("Pesquisa de Preços",E6966)))</formula>
    </cfRule>
  </conditionalFormatting>
  <conditionalFormatting sqref="D6967 D6971 D6979 D6983 D6987 D6991 D6995 D6999 D7003 D7007 D7011 D7015 D7023 D7027 D7031 D7035 D7039 D7043 D7059">
    <cfRule type="containsText" dxfId="371" priority="1057" operator="containsText" text="Pesquisa de Preços">
      <formula>NOT(ISERROR(SEARCH("Pesquisa de Preços",D6967)))</formula>
    </cfRule>
  </conditionalFormatting>
  <conditionalFormatting sqref="D6969 D6973 D6981 D6985 D6989 D6993 D6997 D7001 D7005 D7009 D7013 D7017 D7025 D7029 D7033 D7037 D7041 D7045 D7061">
    <cfRule type="containsText" dxfId="370" priority="1059" operator="containsText" text="Pesquisa de Preços">
      <formula>NOT(ISERROR(SEARCH("Pesquisa de Preços",D6969)))</formula>
    </cfRule>
  </conditionalFormatting>
  <conditionalFormatting sqref="D6966 D6970 D6978 D6982 D6986 D6990 D6994 D6998 D7002 D7006 D7010 D7014 D7022 D7026 D7030 D7034 D7038 D7042 D7058">
    <cfRule type="containsText" dxfId="369" priority="1058" operator="containsText" text="Pesquisa de Preços">
      <formula>NOT(ISERROR(SEARCH("Pesquisa de Preços",D6966)))</formula>
    </cfRule>
  </conditionalFormatting>
  <conditionalFormatting sqref="E6967 E6971 E6979 E6983 E6987 E6991 E6995 E6999 E7003 E7007 E7011 E7015 E7023 E7027 E7031 E7035 E7039 E7043 E7059 E6969 E6973 E6981 E6985 E6989 E6993 E6997 E7001 E7005 E7009 E7013 E7017 E7025 E7029 E7033 E7037 E7041 E7045 E7061">
    <cfRule type="containsText" dxfId="368" priority="1056" operator="containsText" text="Pesquisa de Preços">
      <formula>NOT(ISERROR(SEARCH("Pesquisa de Preços",E6967)))</formula>
    </cfRule>
  </conditionalFormatting>
  <conditionalFormatting sqref="D7063 D7067 D7071 D7075 D7079 D7083 D7087 D7091 D7095 D7099 D7103 D7107 D7111 D7115 D7119 D7123 D7127 D7131 D7135 D7139 D7143 D7147 D7151 D7223">
    <cfRule type="containsText" dxfId="367" priority="1049" operator="containsText" text="Pesquisa de Preços">
      <formula>NOT(ISERROR(SEARCH("Pesquisa de Preços",D7063)))</formula>
    </cfRule>
  </conditionalFormatting>
  <conditionalFormatting sqref="E7062 E7066 E7070 E7074 E7078 E7082 E7086 E7090 E7094 E7098 E7102 E7106 E7110 E7114 E7118 E7122 E7126 E7130 E7134 E7138 E7142 E7146 E7150 E7222">
    <cfRule type="containsText" dxfId="366" priority="1047" operator="containsText" text="Pesquisa de Preços">
      <formula>NOT(ISERROR(SEARCH("Pesquisa de Preços",E7062)))</formula>
    </cfRule>
  </conditionalFormatting>
  <conditionalFormatting sqref="D7065 D7069 D7073 D7077 D7081 D7085 D7089 D7093 D7097 D7101 D7105 D7109 D7113 D7117 D7121 D7125 D7129 D7133 D7137 D7141 D7145 D7149 D7153 D7225">
    <cfRule type="containsText" dxfId="365" priority="1051" operator="containsText" text="Pesquisa de Preços">
      <formula>NOT(ISERROR(SEARCH("Pesquisa de Preços",D7065)))</formula>
    </cfRule>
  </conditionalFormatting>
  <conditionalFormatting sqref="D7062 D7066 D7070 D7074 D7078 D7082 D7086 D7090 D7094 D7098 D7102 D7106 D7110 D7114 D7118 D7122 D7126 D7130 D7134 D7138 D7142 D7146 D7150 D7222">
    <cfRule type="containsText" dxfId="364" priority="1050" operator="containsText" text="Pesquisa de Preços">
      <formula>NOT(ISERROR(SEARCH("Pesquisa de Preços",D7062)))</formula>
    </cfRule>
  </conditionalFormatting>
  <conditionalFormatting sqref="E7063 E7067 E7071 E7075 E7079 E7083 E7087 E7091 E7095 E7099 E7103 E7107 E7111 E7115 E7119 E7123 E7127 E7131 E7135 E7139 E7143 E7147 E7151 E7223 E7065 E7069 E7073 E7077 E7081 E7085 E7089 E7093 E7097 E7101 E7105 E7109 E7113 E7117 E7121 E7125 E7129 E7133 E7137 E7141 E7145 E7149 E7153 E7225">
    <cfRule type="containsText" dxfId="363" priority="1048" operator="containsText" text="Pesquisa de Preços">
      <formula>NOT(ISERROR(SEARCH("Pesquisa de Preços",E7063)))</formula>
    </cfRule>
  </conditionalFormatting>
  <conditionalFormatting sqref="D7047">
    <cfRule type="containsText" dxfId="362" priority="1041" operator="containsText" text="Pesquisa de Preços">
      <formula>NOT(ISERROR(SEARCH("Pesquisa de Preços",D7047)))</formula>
    </cfRule>
  </conditionalFormatting>
  <conditionalFormatting sqref="E7046">
    <cfRule type="containsText" dxfId="361" priority="1039" operator="containsText" text="Pesquisa de Preços">
      <formula>NOT(ISERROR(SEARCH("Pesquisa de Preços",E7046)))</formula>
    </cfRule>
  </conditionalFormatting>
  <conditionalFormatting sqref="D7049">
    <cfRule type="containsText" dxfId="360" priority="1043" operator="containsText" text="Pesquisa de Preços">
      <formula>NOT(ISERROR(SEARCH("Pesquisa de Preços",D7049)))</formula>
    </cfRule>
  </conditionalFormatting>
  <conditionalFormatting sqref="D7046">
    <cfRule type="containsText" dxfId="359" priority="1042" operator="containsText" text="Pesquisa de Preços">
      <formula>NOT(ISERROR(SEARCH("Pesquisa de Preços",D7046)))</formula>
    </cfRule>
  </conditionalFormatting>
  <conditionalFormatting sqref="E7047 E7049">
    <cfRule type="containsText" dxfId="358" priority="1040" operator="containsText" text="Pesquisa de Preços">
      <formula>NOT(ISERROR(SEARCH("Pesquisa de Preços",E7047)))</formula>
    </cfRule>
  </conditionalFormatting>
  <conditionalFormatting sqref="D7051">
    <cfRule type="containsText" dxfId="357" priority="1033" operator="containsText" text="Pesquisa de Preços">
      <formula>NOT(ISERROR(SEARCH("Pesquisa de Preços",D7051)))</formula>
    </cfRule>
  </conditionalFormatting>
  <conditionalFormatting sqref="E7050">
    <cfRule type="containsText" dxfId="356" priority="1031" operator="containsText" text="Pesquisa de Preços">
      <formula>NOT(ISERROR(SEARCH("Pesquisa de Preços",E7050)))</formula>
    </cfRule>
  </conditionalFormatting>
  <conditionalFormatting sqref="D7053">
    <cfRule type="containsText" dxfId="355" priority="1035" operator="containsText" text="Pesquisa de Preços">
      <formula>NOT(ISERROR(SEARCH("Pesquisa de Preços",D7053)))</formula>
    </cfRule>
  </conditionalFormatting>
  <conditionalFormatting sqref="D7050">
    <cfRule type="containsText" dxfId="354" priority="1034" operator="containsText" text="Pesquisa de Preços">
      <formula>NOT(ISERROR(SEARCH("Pesquisa de Preços",D7050)))</formula>
    </cfRule>
  </conditionalFormatting>
  <conditionalFormatting sqref="E7051 E7053">
    <cfRule type="containsText" dxfId="353" priority="1032" operator="containsText" text="Pesquisa de Preços">
      <formula>NOT(ISERROR(SEARCH("Pesquisa de Preços",E7051)))</formula>
    </cfRule>
  </conditionalFormatting>
  <conditionalFormatting sqref="D7055">
    <cfRule type="containsText" dxfId="352" priority="1025" operator="containsText" text="Pesquisa de Preços">
      <formula>NOT(ISERROR(SEARCH("Pesquisa de Preços",D7055)))</formula>
    </cfRule>
  </conditionalFormatting>
  <conditionalFormatting sqref="E7054">
    <cfRule type="containsText" dxfId="351" priority="1023" operator="containsText" text="Pesquisa de Preços">
      <formula>NOT(ISERROR(SEARCH("Pesquisa de Preços",E7054)))</formula>
    </cfRule>
  </conditionalFormatting>
  <conditionalFormatting sqref="D7057">
    <cfRule type="containsText" dxfId="350" priority="1027" operator="containsText" text="Pesquisa de Preços">
      <formula>NOT(ISERROR(SEARCH("Pesquisa de Preços",D7057)))</formula>
    </cfRule>
  </conditionalFormatting>
  <conditionalFormatting sqref="D7054">
    <cfRule type="containsText" dxfId="349" priority="1026" operator="containsText" text="Pesquisa de Preços">
      <formula>NOT(ISERROR(SEARCH("Pesquisa de Preços",D7054)))</formula>
    </cfRule>
  </conditionalFormatting>
  <conditionalFormatting sqref="E7055 E7057">
    <cfRule type="containsText" dxfId="348" priority="1024" operator="containsText" text="Pesquisa de Preços">
      <formula>NOT(ISERROR(SEARCH("Pesquisa de Preços",E7055)))</formula>
    </cfRule>
  </conditionalFormatting>
  <conditionalFormatting sqref="D6851">
    <cfRule type="containsText" dxfId="347" priority="1017" operator="containsText" text="Pesquisa de Preços">
      <formula>NOT(ISERROR(SEARCH("Pesquisa de Preços",D6851)))</formula>
    </cfRule>
  </conditionalFormatting>
  <conditionalFormatting sqref="E6850">
    <cfRule type="containsText" dxfId="346" priority="1015" operator="containsText" text="Pesquisa de Preços">
      <formula>NOT(ISERROR(SEARCH("Pesquisa de Preços",E6850)))</formula>
    </cfRule>
  </conditionalFormatting>
  <conditionalFormatting sqref="D6853">
    <cfRule type="containsText" dxfId="345" priority="1019" operator="containsText" text="Pesquisa de Preços">
      <formula>NOT(ISERROR(SEARCH("Pesquisa de Preços",D6853)))</formula>
    </cfRule>
  </conditionalFormatting>
  <conditionalFormatting sqref="D6850">
    <cfRule type="containsText" dxfId="344" priority="1018" operator="containsText" text="Pesquisa de Preços">
      <formula>NOT(ISERROR(SEARCH("Pesquisa de Preços",D6850)))</formula>
    </cfRule>
  </conditionalFormatting>
  <conditionalFormatting sqref="E6851 E6853">
    <cfRule type="containsText" dxfId="343" priority="1016" operator="containsText" text="Pesquisa de Preços">
      <formula>NOT(ISERROR(SEARCH("Pesquisa de Preços",E6851)))</formula>
    </cfRule>
  </conditionalFormatting>
  <conditionalFormatting sqref="D6723">
    <cfRule type="containsText" dxfId="342" priority="1009" operator="containsText" text="Pesquisa de Preços">
      <formula>NOT(ISERROR(SEARCH("Pesquisa de Preços",D6723)))</formula>
    </cfRule>
  </conditionalFormatting>
  <conditionalFormatting sqref="E6722">
    <cfRule type="containsText" dxfId="341" priority="1007" operator="containsText" text="Pesquisa de Preços">
      <formula>NOT(ISERROR(SEARCH("Pesquisa de Preços",E6722)))</formula>
    </cfRule>
  </conditionalFormatting>
  <conditionalFormatting sqref="D6725">
    <cfRule type="containsText" dxfId="340" priority="1011" operator="containsText" text="Pesquisa de Preços">
      <formula>NOT(ISERROR(SEARCH("Pesquisa de Preços",D6725)))</formula>
    </cfRule>
  </conditionalFormatting>
  <conditionalFormatting sqref="D6722">
    <cfRule type="containsText" dxfId="339" priority="1010" operator="containsText" text="Pesquisa de Preços">
      <formula>NOT(ISERROR(SEARCH("Pesquisa de Preços",D6722)))</formula>
    </cfRule>
  </conditionalFormatting>
  <conditionalFormatting sqref="E6723 E6725">
    <cfRule type="containsText" dxfId="338" priority="1008" operator="containsText" text="Pesquisa de Preços">
      <formula>NOT(ISERROR(SEARCH("Pesquisa de Preços",E6723)))</formula>
    </cfRule>
  </conditionalFormatting>
  <conditionalFormatting sqref="D6559">
    <cfRule type="containsText" dxfId="337" priority="999" operator="containsText" text="Pesquisa de Preços">
      <formula>NOT(ISERROR(SEARCH("Pesquisa de Preços",D6559)))</formula>
    </cfRule>
  </conditionalFormatting>
  <conditionalFormatting sqref="E6558">
    <cfRule type="containsText" dxfId="336" priority="997" operator="containsText" text="Pesquisa de Preços">
      <formula>NOT(ISERROR(SEARCH("Pesquisa de Preços",E6558)))</formula>
    </cfRule>
  </conditionalFormatting>
  <conditionalFormatting sqref="D6561">
    <cfRule type="containsText" dxfId="335" priority="1001" operator="containsText" text="Pesquisa de Preços">
      <formula>NOT(ISERROR(SEARCH("Pesquisa de Preços",D6561)))</formula>
    </cfRule>
  </conditionalFormatting>
  <conditionalFormatting sqref="D6558">
    <cfRule type="containsText" dxfId="334" priority="1000" operator="containsText" text="Pesquisa de Preços">
      <formula>NOT(ISERROR(SEARCH("Pesquisa de Preços",D6558)))</formula>
    </cfRule>
  </conditionalFormatting>
  <conditionalFormatting sqref="E6559 E6561">
    <cfRule type="containsText" dxfId="333" priority="998" operator="containsText" text="Pesquisa de Preços">
      <formula>NOT(ISERROR(SEARCH("Pesquisa de Preços",E6559)))</formula>
    </cfRule>
  </conditionalFormatting>
  <conditionalFormatting sqref="D6895">
    <cfRule type="containsText" dxfId="332" priority="991" operator="containsText" text="Pesquisa de Preços">
      <formula>NOT(ISERROR(SEARCH("Pesquisa de Preços",D6895)))</formula>
    </cfRule>
  </conditionalFormatting>
  <conditionalFormatting sqref="E6894">
    <cfRule type="containsText" dxfId="331" priority="989" operator="containsText" text="Pesquisa de Preços">
      <formula>NOT(ISERROR(SEARCH("Pesquisa de Preços",E6894)))</formula>
    </cfRule>
  </conditionalFormatting>
  <conditionalFormatting sqref="D6897">
    <cfRule type="containsText" dxfId="330" priority="993" operator="containsText" text="Pesquisa de Preços">
      <formula>NOT(ISERROR(SEARCH("Pesquisa de Preços",D6897)))</formula>
    </cfRule>
  </conditionalFormatting>
  <conditionalFormatting sqref="D6894">
    <cfRule type="containsText" dxfId="329" priority="992" operator="containsText" text="Pesquisa de Preços">
      <formula>NOT(ISERROR(SEARCH("Pesquisa de Preços",D6894)))</formula>
    </cfRule>
  </conditionalFormatting>
  <conditionalFormatting sqref="E6895 E6897">
    <cfRule type="containsText" dxfId="328" priority="990" operator="containsText" text="Pesquisa de Preços">
      <formula>NOT(ISERROR(SEARCH("Pesquisa de Preços",E6895)))</formula>
    </cfRule>
  </conditionalFormatting>
  <conditionalFormatting sqref="E6898">
    <cfRule type="containsText" dxfId="327" priority="983" operator="containsText" text="Pesquisa de Preços">
      <formula>NOT(ISERROR(SEARCH("Pesquisa de Preços",E6898)))</formula>
    </cfRule>
  </conditionalFormatting>
  <conditionalFormatting sqref="D6899">
    <cfRule type="containsText" dxfId="326" priority="985" operator="containsText" text="Pesquisa de Preços">
      <formula>NOT(ISERROR(SEARCH("Pesquisa de Preços",D6899)))</formula>
    </cfRule>
  </conditionalFormatting>
  <conditionalFormatting sqref="D6898">
    <cfRule type="containsText" dxfId="325" priority="986" operator="containsText" text="Pesquisa de Preços">
      <formula>NOT(ISERROR(SEARCH("Pesquisa de Preços",D6898)))</formula>
    </cfRule>
  </conditionalFormatting>
  <conditionalFormatting sqref="E6899">
    <cfRule type="containsText" dxfId="324" priority="984" operator="containsText" text="Pesquisa de Preços">
      <formula>NOT(ISERROR(SEARCH("Pesquisa de Preços",E6899)))</formula>
    </cfRule>
  </conditionalFormatting>
  <conditionalFormatting sqref="D7019">
    <cfRule type="containsText" dxfId="323" priority="979" operator="containsText" text="Pesquisa de Preços">
      <formula>NOT(ISERROR(SEARCH("Pesquisa de Preços",D7019)))</formula>
    </cfRule>
  </conditionalFormatting>
  <conditionalFormatting sqref="E7018">
    <cfRule type="containsText" dxfId="322" priority="977" operator="containsText" text="Pesquisa de Preços">
      <formula>NOT(ISERROR(SEARCH("Pesquisa de Preços",E7018)))</formula>
    </cfRule>
  </conditionalFormatting>
  <conditionalFormatting sqref="D7021">
    <cfRule type="containsText" dxfId="321" priority="981" operator="containsText" text="Pesquisa de Preços">
      <formula>NOT(ISERROR(SEARCH("Pesquisa de Preços",D7021)))</formula>
    </cfRule>
  </conditionalFormatting>
  <conditionalFormatting sqref="D7018">
    <cfRule type="containsText" dxfId="320" priority="980" operator="containsText" text="Pesquisa de Preços">
      <formula>NOT(ISERROR(SEARCH("Pesquisa de Preços",D7018)))</formula>
    </cfRule>
  </conditionalFormatting>
  <conditionalFormatting sqref="E7019 E7021">
    <cfRule type="containsText" dxfId="319" priority="978" operator="containsText" text="Pesquisa de Preços">
      <formula>NOT(ISERROR(SEARCH("Pesquisa de Preços",E7019)))</formula>
    </cfRule>
  </conditionalFormatting>
  <conditionalFormatting sqref="D6855 D6859">
    <cfRule type="containsText" dxfId="318" priority="963" operator="containsText" text="Pesquisa de Preços">
      <formula>NOT(ISERROR(SEARCH("Pesquisa de Preços",D6855)))</formula>
    </cfRule>
  </conditionalFormatting>
  <conditionalFormatting sqref="E6854 E6858">
    <cfRule type="containsText" dxfId="317" priority="961" operator="containsText" text="Pesquisa de Preços">
      <formula>NOT(ISERROR(SEARCH("Pesquisa de Preços",E6854)))</formula>
    </cfRule>
  </conditionalFormatting>
  <conditionalFormatting sqref="D6857 D6861">
    <cfRule type="containsText" dxfId="316" priority="965" operator="containsText" text="Pesquisa de Preços">
      <formula>NOT(ISERROR(SEARCH("Pesquisa de Preços",D6857)))</formula>
    </cfRule>
  </conditionalFormatting>
  <conditionalFormatting sqref="D6854 D6858">
    <cfRule type="containsText" dxfId="315" priority="964" operator="containsText" text="Pesquisa de Preços">
      <formula>NOT(ISERROR(SEARCH("Pesquisa de Preços",D6854)))</formula>
    </cfRule>
  </conditionalFormatting>
  <conditionalFormatting sqref="E6855 E6859 E6857 E6861">
    <cfRule type="containsText" dxfId="314" priority="962" operator="containsText" text="Pesquisa de Preços">
      <formula>NOT(ISERROR(SEARCH("Pesquisa de Preços",E6855)))</formula>
    </cfRule>
  </conditionalFormatting>
  <conditionalFormatting sqref="D7172">
    <cfRule type="containsText" dxfId="313" priority="921" operator="containsText" text="Pesquisa de Preços">
      <formula>NOT(ISERROR(SEARCH("Pesquisa de Preços",D7172)))</formula>
    </cfRule>
  </conditionalFormatting>
  <conditionalFormatting sqref="D7166">
    <cfRule type="containsText" dxfId="312" priority="925" operator="containsText" text="Pesquisa de Preços">
      <formula>NOT(ISERROR(SEARCH("Pesquisa de Preços",D7166)))</formula>
    </cfRule>
  </conditionalFormatting>
  <conditionalFormatting sqref="D7227">
    <cfRule type="containsText" dxfId="311" priority="955" operator="containsText" text="Pesquisa de Preços">
      <formula>NOT(ISERROR(SEARCH("Pesquisa de Preços",D7227)))</formula>
    </cfRule>
  </conditionalFormatting>
  <conditionalFormatting sqref="E7226">
    <cfRule type="containsText" dxfId="310" priority="953" operator="containsText" text="Pesquisa de Preços">
      <formula>NOT(ISERROR(SEARCH("Pesquisa de Preços",E7226)))</formula>
    </cfRule>
  </conditionalFormatting>
  <conditionalFormatting sqref="D7229">
    <cfRule type="containsText" dxfId="309" priority="957" operator="containsText" text="Pesquisa de Preços">
      <formula>NOT(ISERROR(SEARCH("Pesquisa de Preços",D7229)))</formula>
    </cfRule>
  </conditionalFormatting>
  <conditionalFormatting sqref="D7226">
    <cfRule type="containsText" dxfId="308" priority="956" operator="containsText" text="Pesquisa de Preços">
      <formula>NOT(ISERROR(SEARCH("Pesquisa de Preços",D7226)))</formula>
    </cfRule>
  </conditionalFormatting>
  <conditionalFormatting sqref="E7227 E7229">
    <cfRule type="containsText" dxfId="307" priority="954" operator="containsText" text="Pesquisa de Preços">
      <formula>NOT(ISERROR(SEARCH("Pesquisa de Preços",E7227)))</formula>
    </cfRule>
  </conditionalFormatting>
  <conditionalFormatting sqref="D7215">
    <cfRule type="containsText" dxfId="306" priority="947" operator="containsText" text="Pesquisa de Preços">
      <formula>NOT(ISERROR(SEARCH("Pesquisa de Preços",D7215)))</formula>
    </cfRule>
  </conditionalFormatting>
  <conditionalFormatting sqref="E7214">
    <cfRule type="containsText" dxfId="305" priority="945" operator="containsText" text="Pesquisa de Preços">
      <formula>NOT(ISERROR(SEARCH("Pesquisa de Preços",E7214)))</formula>
    </cfRule>
  </conditionalFormatting>
  <conditionalFormatting sqref="D7217">
    <cfRule type="containsText" dxfId="304" priority="949" operator="containsText" text="Pesquisa de Preços">
      <formula>NOT(ISERROR(SEARCH("Pesquisa de Preços",D7217)))</formula>
    </cfRule>
  </conditionalFormatting>
  <conditionalFormatting sqref="D7214">
    <cfRule type="containsText" dxfId="303" priority="948" operator="containsText" text="Pesquisa de Preços">
      <formula>NOT(ISERROR(SEARCH("Pesquisa de Preços",D7214)))</formula>
    </cfRule>
  </conditionalFormatting>
  <conditionalFormatting sqref="E7215 E7217">
    <cfRule type="containsText" dxfId="302" priority="946" operator="containsText" text="Pesquisa de Preços">
      <formula>NOT(ISERROR(SEARCH("Pesquisa de Preços",E7215)))</formula>
    </cfRule>
  </conditionalFormatting>
  <conditionalFormatting sqref="D7219">
    <cfRule type="containsText" dxfId="301" priority="939" operator="containsText" text="Pesquisa de Preços">
      <formula>NOT(ISERROR(SEARCH("Pesquisa de Preços",D7219)))</formula>
    </cfRule>
  </conditionalFormatting>
  <conditionalFormatting sqref="E7218">
    <cfRule type="containsText" dxfId="300" priority="937" operator="containsText" text="Pesquisa de Preços">
      <formula>NOT(ISERROR(SEARCH("Pesquisa de Preços",E7218)))</formula>
    </cfRule>
  </conditionalFormatting>
  <conditionalFormatting sqref="D7221">
    <cfRule type="containsText" dxfId="299" priority="941" operator="containsText" text="Pesquisa de Preços">
      <formula>NOT(ISERROR(SEARCH("Pesquisa de Preços",D7221)))</formula>
    </cfRule>
  </conditionalFormatting>
  <conditionalFormatting sqref="D7218">
    <cfRule type="containsText" dxfId="298" priority="940" operator="containsText" text="Pesquisa de Preços">
      <formula>NOT(ISERROR(SEARCH("Pesquisa de Preços",D7218)))</formula>
    </cfRule>
  </conditionalFormatting>
  <conditionalFormatting sqref="E7219 E7221">
    <cfRule type="containsText" dxfId="297" priority="938" operator="containsText" text="Pesquisa de Preços">
      <formula>NOT(ISERROR(SEARCH("Pesquisa de Preços",E7219)))</formula>
    </cfRule>
  </conditionalFormatting>
  <conditionalFormatting sqref="D7154">
    <cfRule type="containsText" dxfId="296" priority="933" operator="containsText" text="Pesquisa de Preços">
      <formula>NOT(ISERROR(SEARCH("Pesquisa de Preços",D7154)))</formula>
    </cfRule>
  </conditionalFormatting>
  <conditionalFormatting sqref="D7160">
    <cfRule type="containsText" dxfId="295" priority="929" operator="containsText" text="Pesquisa de Preços">
      <formula>NOT(ISERROR(SEARCH("Pesquisa de Preços",D7160)))</formula>
    </cfRule>
  </conditionalFormatting>
  <conditionalFormatting sqref="D3774">
    <cfRule type="containsText" dxfId="294" priority="850" operator="containsText" text="Pesquisa de Preços">
      <formula>NOT(ISERROR(SEARCH("Pesquisa de Preços",D3774)))</formula>
    </cfRule>
  </conditionalFormatting>
  <conditionalFormatting sqref="D3780">
    <cfRule type="containsText" dxfId="293" priority="846" operator="containsText" text="Pesquisa de Preços">
      <formula>NOT(ISERROR(SEARCH("Pesquisa de Preços",D3780)))</formula>
    </cfRule>
  </conditionalFormatting>
  <conditionalFormatting sqref="D7178">
    <cfRule type="containsText" dxfId="292" priority="917" operator="containsText" text="Pesquisa de Preços">
      <formula>NOT(ISERROR(SEARCH("Pesquisa de Preços",D7178)))</formula>
    </cfRule>
  </conditionalFormatting>
  <conditionalFormatting sqref="D7184">
    <cfRule type="containsText" dxfId="291" priority="913" operator="containsText" text="Pesquisa de Preços">
      <formula>NOT(ISERROR(SEARCH("Pesquisa de Preços",D7184)))</formula>
    </cfRule>
  </conditionalFormatting>
  <conditionalFormatting sqref="D7190">
    <cfRule type="containsText" dxfId="290" priority="909" operator="containsText" text="Pesquisa de Preços">
      <formula>NOT(ISERROR(SEARCH("Pesquisa de Preços",D7190)))</formula>
    </cfRule>
  </conditionalFormatting>
  <conditionalFormatting sqref="D7196">
    <cfRule type="containsText" dxfId="289" priority="905" operator="containsText" text="Pesquisa de Preços">
      <formula>NOT(ISERROR(SEARCH("Pesquisa de Preços",D7196)))</formula>
    </cfRule>
  </conditionalFormatting>
  <conditionalFormatting sqref="D7202">
    <cfRule type="containsText" dxfId="288" priority="901" operator="containsText" text="Pesquisa de Preços">
      <formula>NOT(ISERROR(SEARCH("Pesquisa de Preços",D7202)))</formula>
    </cfRule>
  </conditionalFormatting>
  <conditionalFormatting sqref="D7208">
    <cfRule type="containsText" dxfId="287" priority="897" operator="containsText" text="Pesquisa de Preços">
      <formula>NOT(ISERROR(SEARCH("Pesquisa de Preços",D7208)))</formula>
    </cfRule>
  </conditionalFormatting>
  <conditionalFormatting sqref="D6919">
    <cfRule type="containsText" dxfId="286" priority="891" operator="containsText" text="Pesquisa de Preços">
      <formula>NOT(ISERROR(SEARCH("Pesquisa de Preços",D6919)))</formula>
    </cfRule>
  </conditionalFormatting>
  <conditionalFormatting sqref="E6918">
    <cfRule type="containsText" dxfId="285" priority="889" operator="containsText" text="Pesquisa de Preços">
      <formula>NOT(ISERROR(SEARCH("Pesquisa de Preços",E6918)))</formula>
    </cfRule>
  </conditionalFormatting>
  <conditionalFormatting sqref="D6921">
    <cfRule type="containsText" dxfId="284" priority="893" operator="containsText" text="Pesquisa de Preços">
      <formula>NOT(ISERROR(SEARCH("Pesquisa de Preços",D6921)))</formula>
    </cfRule>
  </conditionalFormatting>
  <conditionalFormatting sqref="D6918">
    <cfRule type="containsText" dxfId="283" priority="892" operator="containsText" text="Pesquisa de Preços">
      <formula>NOT(ISERROR(SEARCH("Pesquisa de Preços",D6918)))</formula>
    </cfRule>
  </conditionalFormatting>
  <conditionalFormatting sqref="E6919 E6921">
    <cfRule type="containsText" dxfId="282" priority="890" operator="containsText" text="Pesquisa de Preços">
      <formula>NOT(ISERROR(SEARCH("Pesquisa de Preços",E6919)))</formula>
    </cfRule>
  </conditionalFormatting>
  <conditionalFormatting sqref="D3768">
    <cfRule type="containsText" dxfId="281" priority="854" operator="containsText" text="Pesquisa de Preços">
      <formula>NOT(ISERROR(SEARCH("Pesquisa de Preços",D3768)))</formula>
    </cfRule>
  </conditionalFormatting>
  <conditionalFormatting sqref="D3786">
    <cfRule type="containsText" dxfId="280" priority="842" operator="containsText" text="Pesquisa de Preços">
      <formula>NOT(ISERROR(SEARCH("Pesquisa de Preços",D3786)))</formula>
    </cfRule>
  </conditionalFormatting>
  <conditionalFormatting sqref="D3792">
    <cfRule type="containsText" dxfId="279" priority="838" operator="containsText" text="Pesquisa de Preços">
      <formula>NOT(ISERROR(SEARCH("Pesquisa de Preços",D3792)))</formula>
    </cfRule>
  </conditionalFormatting>
  <conditionalFormatting sqref="D3798">
    <cfRule type="containsText" dxfId="278" priority="834" operator="containsText" text="Pesquisa de Preços">
      <formula>NOT(ISERROR(SEARCH("Pesquisa de Preços",D3798)))</formula>
    </cfRule>
  </conditionalFormatting>
  <conditionalFormatting sqref="D3804">
    <cfRule type="containsText" dxfId="277" priority="830" operator="containsText" text="Pesquisa de Preços">
      <formula>NOT(ISERROR(SEARCH("Pesquisa de Preços",D3804)))</formula>
    </cfRule>
  </conditionalFormatting>
  <conditionalFormatting sqref="D3810">
    <cfRule type="containsText" dxfId="276" priority="826" operator="containsText" text="Pesquisa de Preços">
      <formula>NOT(ISERROR(SEARCH("Pesquisa de Preços",D3810)))</formula>
    </cfRule>
  </conditionalFormatting>
  <conditionalFormatting sqref="D3816">
    <cfRule type="containsText" dxfId="275" priority="822" operator="containsText" text="Pesquisa de Preços">
      <formula>NOT(ISERROR(SEARCH("Pesquisa de Preços",D3816)))</formula>
    </cfRule>
  </conditionalFormatting>
  <conditionalFormatting sqref="D2715">
    <cfRule type="containsText" dxfId="274" priority="812" operator="containsText" text="Pesquisa de Preços">
      <formula>NOT(ISERROR(SEARCH("Pesquisa de Preços",D2715)))</formula>
    </cfRule>
  </conditionalFormatting>
  <conditionalFormatting sqref="D2717">
    <cfRule type="containsText" dxfId="273" priority="811" operator="containsText" text="Pesquisa de Preços">
      <formula>NOT(ISERROR(SEARCH("Pesquisa de Preços",D2717)))</formula>
    </cfRule>
  </conditionalFormatting>
  <conditionalFormatting sqref="D2719">
    <cfRule type="containsText" dxfId="272" priority="805" operator="containsText" text="Pesquisa de Preços">
      <formula>NOT(ISERROR(SEARCH("Pesquisa de Preços",D2719)))</formula>
    </cfRule>
  </conditionalFormatting>
  <conditionalFormatting sqref="D2721">
    <cfRule type="containsText" dxfId="271" priority="804" operator="containsText" text="Pesquisa de Preços">
      <formula>NOT(ISERROR(SEARCH("Pesquisa de Preços",D2721)))</formula>
    </cfRule>
  </conditionalFormatting>
  <conditionalFormatting sqref="D2723">
    <cfRule type="containsText" dxfId="270" priority="798" operator="containsText" text="Pesquisa de Preços">
      <formula>NOT(ISERROR(SEARCH("Pesquisa de Preços",D2723)))</formula>
    </cfRule>
  </conditionalFormatting>
  <conditionalFormatting sqref="D2725">
    <cfRule type="containsText" dxfId="269" priority="797" operator="containsText" text="Pesquisa de Preços">
      <formula>NOT(ISERROR(SEARCH("Pesquisa de Preços",D2725)))</formula>
    </cfRule>
  </conditionalFormatting>
  <conditionalFormatting sqref="D2745">
    <cfRule type="containsText" dxfId="268" priority="793" operator="containsText" text="Pesquisa de Preços">
      <formula>NOT(ISERROR(SEARCH("Pesquisa de Preços",D2745)))</formula>
    </cfRule>
  </conditionalFormatting>
  <conditionalFormatting sqref="D2743">
    <cfRule type="containsText" dxfId="267" priority="792" operator="containsText" text="Pesquisa de Preços">
      <formula>NOT(ISERROR(SEARCH("Pesquisa de Preços",D2743)))</formula>
    </cfRule>
  </conditionalFormatting>
  <conditionalFormatting sqref="D2755">
    <cfRule type="containsText" dxfId="266" priority="782" operator="containsText" text="Pesquisa de Preços">
      <formula>NOT(ISERROR(SEARCH("Pesquisa de Preços",D2755)))</formula>
    </cfRule>
  </conditionalFormatting>
  <conditionalFormatting sqref="D2757">
    <cfRule type="containsText" dxfId="265" priority="781" operator="containsText" text="Pesquisa de Preços">
      <formula>NOT(ISERROR(SEARCH("Pesquisa de Preços",D2757)))</formula>
    </cfRule>
  </conditionalFormatting>
  <conditionalFormatting sqref="D3462">
    <cfRule type="containsText" dxfId="264" priority="779" operator="containsText" text="Pesquisa de Preços">
      <formula>NOT(ISERROR(SEARCH("Pesquisa de Preços",D3462)))</formula>
    </cfRule>
  </conditionalFormatting>
  <conditionalFormatting sqref="D3533">
    <cfRule type="containsText" dxfId="263" priority="775" operator="containsText" text="Pesquisa de Preços">
      <formula>NOT(ISERROR(SEARCH("Pesquisa de Preços",D3533)))</formula>
    </cfRule>
  </conditionalFormatting>
  <conditionalFormatting sqref="D4740">
    <cfRule type="containsText" dxfId="262" priority="769" operator="containsText" text="Pesquisa de Preços">
      <formula>NOT(ISERROR(SEARCH("Pesquisa de Preços",D4740)))</formula>
    </cfRule>
  </conditionalFormatting>
  <conditionalFormatting sqref="D6041">
    <cfRule type="containsText" dxfId="261" priority="756" operator="containsText" text="Pesquisa de Preços">
      <formula>NOT(ISERROR(SEARCH("Pesquisa de Preços",D6041)))</formula>
    </cfRule>
  </conditionalFormatting>
  <conditionalFormatting sqref="D6061">
    <cfRule type="containsText" dxfId="260" priority="745" operator="containsText" text="Pesquisa de Preços">
      <formula>NOT(ISERROR(SEARCH("Pesquisa de Preços",D6061)))</formula>
    </cfRule>
  </conditionalFormatting>
  <conditionalFormatting sqref="D4752">
    <cfRule type="containsText" dxfId="259" priority="765" operator="containsText" text="Pesquisa de Preços">
      <formula>NOT(ISERROR(SEARCH("Pesquisa de Preços",D4752)))</formula>
    </cfRule>
  </conditionalFormatting>
  <conditionalFormatting sqref="D6043">
    <cfRule type="containsText" dxfId="258" priority="757" operator="containsText" text="Pesquisa de Preços">
      <formula>NOT(ISERROR(SEARCH("Pesquisa de Preços",D6043)))</formula>
    </cfRule>
  </conditionalFormatting>
  <conditionalFormatting sqref="D6125">
    <cfRule type="containsText" dxfId="257" priority="738" operator="containsText" text="Pesquisa de Preços">
      <formula>NOT(ISERROR(SEARCH("Pesquisa de Preços",D6125)))</formula>
    </cfRule>
  </conditionalFormatting>
  <conditionalFormatting sqref="D6059">
    <cfRule type="containsText" dxfId="256" priority="750" operator="containsText" text="Pesquisa de Preços">
      <formula>NOT(ISERROR(SEARCH("Pesquisa de Preços",D6059)))</formula>
    </cfRule>
  </conditionalFormatting>
  <conditionalFormatting sqref="D6063">
    <cfRule type="containsText" dxfId="255" priority="747" operator="containsText" text="Pesquisa de Preços">
      <formula>NOT(ISERROR(SEARCH("Pesquisa de Preços",D6063)))</formula>
    </cfRule>
  </conditionalFormatting>
  <conditionalFormatting sqref="D6057">
    <cfRule type="containsText" dxfId="254" priority="746" operator="containsText" text="Pesquisa de Preços">
      <formula>NOT(ISERROR(SEARCH("Pesquisa de Preços",D6057)))</formula>
    </cfRule>
  </conditionalFormatting>
  <conditionalFormatting sqref="D6127">
    <cfRule type="containsText" dxfId="253" priority="739" operator="containsText" text="Pesquisa de Preços">
      <formula>NOT(ISERROR(SEARCH("Pesquisa de Preços",D6127)))</formula>
    </cfRule>
  </conditionalFormatting>
  <conditionalFormatting sqref="D6129">
    <cfRule type="containsText" dxfId="252" priority="731" operator="containsText" text="Pesquisa de Preços">
      <formula>NOT(ISERROR(SEARCH("Pesquisa de Preços",D6129)))</formula>
    </cfRule>
  </conditionalFormatting>
  <conditionalFormatting sqref="D6131">
    <cfRule type="containsText" dxfId="251" priority="732" operator="containsText" text="Pesquisa de Preços">
      <formula>NOT(ISERROR(SEARCH("Pesquisa de Preços",D6131)))</formula>
    </cfRule>
  </conditionalFormatting>
  <conditionalFormatting sqref="D6133">
    <cfRule type="containsText" dxfId="250" priority="724" operator="containsText" text="Pesquisa de Preços">
      <formula>NOT(ISERROR(SEARCH("Pesquisa de Preços",D6133)))</formula>
    </cfRule>
  </conditionalFormatting>
  <conditionalFormatting sqref="D6135">
    <cfRule type="containsText" dxfId="249" priority="725" operator="containsText" text="Pesquisa de Preços">
      <formula>NOT(ISERROR(SEARCH("Pesquisa de Preços",D6135)))</formula>
    </cfRule>
  </conditionalFormatting>
  <conditionalFormatting sqref="D6977">
    <cfRule type="containsText" dxfId="248" priority="720" operator="containsText" text="Pesquisa de Preços">
      <formula>NOT(ISERROR(SEARCH("Pesquisa de Preços",D6977)))</formula>
    </cfRule>
  </conditionalFormatting>
  <conditionalFormatting sqref="E6974">
    <cfRule type="containsText" dxfId="247" priority="716" operator="containsText" text="Pesquisa de Preços">
      <formula>NOT(ISERROR(SEARCH("Pesquisa de Preços",E6974)))</formula>
    </cfRule>
  </conditionalFormatting>
  <conditionalFormatting sqref="D6975">
    <cfRule type="containsText" dxfId="246" priority="718" operator="containsText" text="Pesquisa de Preços">
      <formula>NOT(ISERROR(SEARCH("Pesquisa de Preços",D6975)))</formula>
    </cfRule>
  </conditionalFormatting>
  <conditionalFormatting sqref="D6974">
    <cfRule type="containsText" dxfId="245" priority="719" operator="containsText" text="Pesquisa de Preços">
      <formula>NOT(ISERROR(SEARCH("Pesquisa de Preços",D6974)))</formula>
    </cfRule>
  </conditionalFormatting>
  <conditionalFormatting sqref="E6975 E6977">
    <cfRule type="containsText" dxfId="244" priority="717" operator="containsText" text="Pesquisa de Preços">
      <formula>NOT(ISERROR(SEARCH("Pesquisa de Preços",E6975)))</formula>
    </cfRule>
  </conditionalFormatting>
  <conditionalFormatting sqref="E308">
    <cfRule type="containsText" dxfId="243" priority="711" operator="containsText" text="Pesquisa de Preços">
      <formula>NOT(ISERROR(SEARCH("Pesquisa de Preços",E308)))</formula>
    </cfRule>
  </conditionalFormatting>
  <conditionalFormatting sqref="D7241">
    <cfRule type="containsText" dxfId="242" priority="705" operator="containsText" text="Pesquisa de Preços">
      <formula>NOT(ISERROR(SEARCH("Pesquisa de Preços",D7241)))</formula>
    </cfRule>
  </conditionalFormatting>
  <conditionalFormatting sqref="D7236">
    <cfRule type="containsText" dxfId="241" priority="702" operator="containsText" text="Pesquisa de Preços">
      <formula>NOT(ISERROR(SEARCH("Pesquisa de Preços",D7236)))</formula>
    </cfRule>
  </conditionalFormatting>
  <conditionalFormatting sqref="D7244">
    <cfRule type="containsText" dxfId="240" priority="696" operator="containsText" text="Pesquisa de Preços">
      <formula>NOT(ISERROR(SEARCH("Pesquisa de Preços",D7244)))</formula>
    </cfRule>
  </conditionalFormatting>
  <conditionalFormatting sqref="D7242">
    <cfRule type="containsText" dxfId="239" priority="695" operator="containsText" text="Pesquisa de Preços">
      <formula>NOT(ISERROR(SEARCH("Pesquisa de Preços",D7242)))</formula>
    </cfRule>
  </conditionalFormatting>
  <conditionalFormatting sqref="D7245">
    <cfRule type="containsText" dxfId="238" priority="687" operator="containsText" text="Pesquisa de Preços">
      <formula>NOT(ISERROR(SEARCH("Pesquisa de Preços",D7245)))</formula>
    </cfRule>
  </conditionalFormatting>
  <conditionalFormatting sqref="D7246:D7247">
    <cfRule type="containsText" dxfId="237" priority="691" operator="containsText" text="Pesquisa de Preços">
      <formula>NOT(ISERROR(SEARCH("Pesquisa de Preços",D7246)))</formula>
    </cfRule>
  </conditionalFormatting>
  <conditionalFormatting sqref="E7245">
    <cfRule type="containsText" dxfId="236" priority="686" operator="containsText" text="Pesquisa de Preços">
      <formula>NOT(ISERROR(SEARCH("Pesquisa de Preços",E7245)))</formula>
    </cfRule>
  </conditionalFormatting>
  <conditionalFormatting sqref="E7230">
    <cfRule type="containsText" dxfId="235" priority="678" operator="containsText" text="Pesquisa de Preços">
      <formula>NOT(ISERROR(SEARCH("Pesquisa de Preços",E7230)))</formula>
    </cfRule>
  </conditionalFormatting>
  <conditionalFormatting sqref="E7233">
    <cfRule type="containsText" dxfId="234" priority="677" operator="containsText" text="Pesquisa de Preços">
      <formula>NOT(ISERROR(SEARCH("Pesquisa de Preços",E7233)))</formula>
    </cfRule>
  </conditionalFormatting>
  <conditionalFormatting sqref="D7230">
    <cfRule type="containsText" dxfId="233" priority="682" operator="containsText" text="Pesquisa de Preços">
      <formula>NOT(ISERROR(SEARCH("Pesquisa de Preços",D7230)))</formula>
    </cfRule>
  </conditionalFormatting>
  <conditionalFormatting sqref="D7233">
    <cfRule type="containsText" dxfId="232" priority="680" operator="containsText" text="Pesquisa de Preços">
      <formula>NOT(ISERROR(SEARCH("Pesquisa de Preços",D7233)))</formula>
    </cfRule>
  </conditionalFormatting>
  <conditionalFormatting sqref="D7231:D7232 D7234:D7235">
    <cfRule type="containsText" dxfId="231" priority="681" operator="containsText" text="Pesquisa de Preços">
      <formula>NOT(ISERROR(SEARCH("Pesquisa de Preços",D7231)))</formula>
    </cfRule>
  </conditionalFormatting>
  <conditionalFormatting sqref="E7231:E7232 E7234:E7235">
    <cfRule type="containsText" dxfId="230" priority="679" operator="containsText" text="Pesquisa de Preços">
      <formula>NOT(ISERROR(SEARCH("Pesquisa de Preços",E7231)))</formula>
    </cfRule>
  </conditionalFormatting>
  <conditionalFormatting sqref="E7246">
    <cfRule type="containsText" dxfId="229" priority="666" operator="containsText" text="Pesquisa de Preços">
      <formula>NOT(ISERROR(SEARCH("Pesquisa de Preços",E7246)))</formula>
    </cfRule>
  </conditionalFormatting>
  <conditionalFormatting sqref="E7247">
    <cfRule type="containsText" dxfId="228" priority="665" operator="containsText" text="Pesquisa de Preços">
      <formula>NOT(ISERROR(SEARCH("Pesquisa de Preços",E7247)))</formula>
    </cfRule>
  </conditionalFormatting>
  <conditionalFormatting sqref="D6433">
    <cfRule type="containsText" dxfId="227" priority="663" operator="containsText" text="Pesquisa de Preços">
      <formula>NOT(ISERROR(SEARCH("Pesquisa de Preços",D6433)))</formula>
    </cfRule>
  </conditionalFormatting>
  <conditionalFormatting sqref="D6438">
    <cfRule type="containsText" dxfId="226" priority="657" operator="containsText" text="Pesquisa de Preços">
      <formula>NOT(ISERROR(SEARCH("Pesquisa de Preços",D6438)))</formula>
    </cfRule>
  </conditionalFormatting>
  <conditionalFormatting sqref="D7277">
    <cfRule type="containsText" dxfId="225" priority="650" operator="containsText" text="Pesquisa de Preços">
      <formula>NOT(ISERROR(SEARCH("Pesquisa de Preços",D7277)))</formula>
    </cfRule>
  </conditionalFormatting>
  <conditionalFormatting sqref="E7276">
    <cfRule type="containsText" dxfId="224" priority="648" operator="containsText" text="Pesquisa de Preços">
      <formula>NOT(ISERROR(SEARCH("Pesquisa de Preços",E7276)))</formula>
    </cfRule>
  </conditionalFormatting>
  <conditionalFormatting sqref="D7279">
    <cfRule type="containsText" dxfId="223" priority="652" operator="containsText" text="Pesquisa de Preços">
      <formula>NOT(ISERROR(SEARCH("Pesquisa de Preços",D7279)))</formula>
    </cfRule>
  </conditionalFormatting>
  <conditionalFormatting sqref="D7276">
    <cfRule type="containsText" dxfId="222" priority="651" operator="containsText" text="Pesquisa de Preços">
      <formula>NOT(ISERROR(SEARCH("Pesquisa de Preços",D7276)))</formula>
    </cfRule>
  </conditionalFormatting>
  <conditionalFormatting sqref="E7277 E7279">
    <cfRule type="containsText" dxfId="221" priority="649" operator="containsText" text="Pesquisa de Preços">
      <formula>NOT(ISERROR(SEARCH("Pesquisa de Preços",E7277)))</formula>
    </cfRule>
  </conditionalFormatting>
  <conditionalFormatting sqref="D7281">
    <cfRule type="containsText" dxfId="220" priority="642" operator="containsText" text="Pesquisa de Preços">
      <formula>NOT(ISERROR(SEARCH("Pesquisa de Preços",D7281)))</formula>
    </cfRule>
  </conditionalFormatting>
  <conditionalFormatting sqref="E7280">
    <cfRule type="containsText" dxfId="219" priority="640" operator="containsText" text="Pesquisa de Preços">
      <formula>NOT(ISERROR(SEARCH("Pesquisa de Preços",E7280)))</formula>
    </cfRule>
  </conditionalFormatting>
  <conditionalFormatting sqref="D7283">
    <cfRule type="containsText" dxfId="218" priority="644" operator="containsText" text="Pesquisa de Preços">
      <formula>NOT(ISERROR(SEARCH("Pesquisa de Preços",D7283)))</formula>
    </cfRule>
  </conditionalFormatting>
  <conditionalFormatting sqref="D7280">
    <cfRule type="containsText" dxfId="217" priority="643" operator="containsText" text="Pesquisa de Preços">
      <formula>NOT(ISERROR(SEARCH("Pesquisa de Preços",D7280)))</formula>
    </cfRule>
  </conditionalFormatting>
  <conditionalFormatting sqref="E7281 E7283">
    <cfRule type="containsText" dxfId="216" priority="641" operator="containsText" text="Pesquisa de Preços">
      <formula>NOT(ISERROR(SEARCH("Pesquisa de Preços",E7281)))</formula>
    </cfRule>
  </conditionalFormatting>
  <conditionalFormatting sqref="D2639">
    <cfRule type="containsText" dxfId="215" priority="636" operator="containsText" text="Pesquisa de Preços">
      <formula>NOT(ISERROR(SEARCH("Pesquisa de Preços",D2639)))</formula>
    </cfRule>
  </conditionalFormatting>
  <conditionalFormatting sqref="D4760">
    <cfRule type="containsText" dxfId="214" priority="628" operator="containsText" text="Pesquisa de Preços">
      <formula>NOT(ISERROR(SEARCH("Pesquisa de Preços",D4760)))</formula>
    </cfRule>
  </conditionalFormatting>
  <conditionalFormatting sqref="D4764">
    <cfRule type="containsText" dxfId="213" priority="622" operator="containsText" text="Pesquisa de Preços">
      <formula>NOT(ISERROR(SEARCH("Pesquisa de Preços",D4764)))</formula>
    </cfRule>
  </conditionalFormatting>
  <conditionalFormatting sqref="D7296">
    <cfRule type="containsText" dxfId="212" priority="616" operator="containsText" text="Pesquisa de Preços">
      <formula>NOT(ISERROR(SEARCH("Pesquisa de Preços",D7296)))</formula>
    </cfRule>
  </conditionalFormatting>
  <conditionalFormatting sqref="D7288">
    <cfRule type="containsText" dxfId="211" priority="612" operator="containsText" text="Pesquisa de Preços">
      <formula>NOT(ISERROR(SEARCH("Pesquisa de Preços",D7288)))</formula>
    </cfRule>
  </conditionalFormatting>
  <conditionalFormatting sqref="D7292">
    <cfRule type="containsText" dxfId="210" priority="608" operator="containsText" text="Pesquisa de Preços">
      <formula>NOT(ISERROR(SEARCH("Pesquisa de Preços",D7292)))</formula>
    </cfRule>
  </conditionalFormatting>
  <conditionalFormatting sqref="D7300">
    <cfRule type="containsText" dxfId="209" priority="596" operator="containsText" text="Pesquisa de Preços">
      <formula>NOT(ISERROR(SEARCH("Pesquisa de Preços",D7300)))</formula>
    </cfRule>
  </conditionalFormatting>
  <conditionalFormatting sqref="D7284">
    <cfRule type="containsText" dxfId="208" priority="588" operator="containsText" text="Pesquisa de Preços">
      <formula>NOT(ISERROR(SEARCH("Pesquisa de Preços",D7284)))</formula>
    </cfRule>
  </conditionalFormatting>
  <conditionalFormatting sqref="D4714">
    <cfRule type="containsText" dxfId="207" priority="592" operator="containsText" text="Pesquisa de Preços">
      <formula>NOT(ISERROR(SEARCH("Pesquisa de Preços",D4714)))</formula>
    </cfRule>
  </conditionalFormatting>
  <conditionalFormatting sqref="D7278">
    <cfRule type="containsText" dxfId="206" priority="585" operator="containsText" text="Pesquisa de Preços">
      <formula>NOT(ISERROR(SEARCH("Pesquisa de Preços",D7278)))</formula>
    </cfRule>
  </conditionalFormatting>
  <conditionalFormatting sqref="D7282">
    <cfRule type="containsText" dxfId="205" priority="584" operator="containsText" text="Pesquisa de Preços">
      <formula>NOT(ISERROR(SEARCH("Pesquisa de Preços",D7282)))</formula>
    </cfRule>
  </conditionalFormatting>
  <conditionalFormatting sqref="D7286">
    <cfRule type="containsText" dxfId="204" priority="583" operator="containsText" text="Pesquisa de Preços">
      <formula>NOT(ISERROR(SEARCH("Pesquisa de Preços",D7286)))</formula>
    </cfRule>
  </conditionalFormatting>
  <conditionalFormatting sqref="D7316 D7320">
    <cfRule type="containsText" dxfId="203" priority="548" operator="containsText" text="Pesquisa de Preços">
      <formula>NOT(ISERROR(SEARCH("Pesquisa de Preços",D7316)))</formula>
    </cfRule>
  </conditionalFormatting>
  <conditionalFormatting sqref="D7304 D7308 D7312">
    <cfRule type="containsText" dxfId="202" priority="523" operator="containsText" text="Pesquisa de Preços">
      <formula>NOT(ISERROR(SEARCH("Pesquisa de Preços",D7304)))</formula>
    </cfRule>
  </conditionalFormatting>
  <conditionalFormatting sqref="D4736">
    <cfRule type="containsText" dxfId="201" priority="487" operator="containsText" text="Pesquisa de Preços">
      <formula>NOT(ISERROR(SEARCH("Pesquisa de Preços",D4736)))</formula>
    </cfRule>
  </conditionalFormatting>
  <conditionalFormatting sqref="D4732">
    <cfRule type="containsText" dxfId="200" priority="484" operator="containsText" text="Pesquisa de Preços">
      <formula>NOT(ISERROR(SEARCH("Pesquisa de Preços",D4732)))</formula>
    </cfRule>
  </conditionalFormatting>
  <conditionalFormatting sqref="D7265">
    <cfRule type="containsText" dxfId="199" priority="478" operator="containsText" text="Pesquisa de Preços">
      <formula>NOT(ISERROR(SEARCH("Pesquisa de Preços",D7265)))</formula>
    </cfRule>
  </conditionalFormatting>
  <conditionalFormatting sqref="E7264">
    <cfRule type="containsText" dxfId="198" priority="476" operator="containsText" text="Pesquisa de Preços">
      <formula>NOT(ISERROR(SEARCH("Pesquisa de Preços",E7264)))</formula>
    </cfRule>
  </conditionalFormatting>
  <conditionalFormatting sqref="D7267">
    <cfRule type="containsText" dxfId="197" priority="480" operator="containsText" text="Pesquisa de Preços">
      <formula>NOT(ISERROR(SEARCH("Pesquisa de Preços",D7267)))</formula>
    </cfRule>
  </conditionalFormatting>
  <conditionalFormatting sqref="D7264">
    <cfRule type="containsText" dxfId="196" priority="479" operator="containsText" text="Pesquisa de Preços">
      <formula>NOT(ISERROR(SEARCH("Pesquisa de Preços",D7264)))</formula>
    </cfRule>
  </conditionalFormatting>
  <conditionalFormatting sqref="E7265 E7267">
    <cfRule type="containsText" dxfId="195" priority="477" operator="containsText" text="Pesquisa de Preços">
      <formula>NOT(ISERROR(SEARCH("Pesquisa de Preços",E7265)))</formula>
    </cfRule>
  </conditionalFormatting>
  <conditionalFormatting sqref="D7269">
    <cfRule type="containsText" dxfId="194" priority="472" operator="containsText" text="Pesquisa de Preços">
      <formula>NOT(ISERROR(SEARCH("Pesquisa de Preços",D7269)))</formula>
    </cfRule>
  </conditionalFormatting>
  <conditionalFormatting sqref="E7268">
    <cfRule type="containsText" dxfId="193" priority="470" operator="containsText" text="Pesquisa de Preços">
      <formula>NOT(ISERROR(SEARCH("Pesquisa de Preços",E7268)))</formula>
    </cfRule>
  </conditionalFormatting>
  <conditionalFormatting sqref="D7271">
    <cfRule type="containsText" dxfId="192" priority="474" operator="containsText" text="Pesquisa de Preços">
      <formula>NOT(ISERROR(SEARCH("Pesquisa de Preços",D7271)))</formula>
    </cfRule>
  </conditionalFormatting>
  <conditionalFormatting sqref="D7268">
    <cfRule type="containsText" dxfId="191" priority="473" operator="containsText" text="Pesquisa de Preços">
      <formula>NOT(ISERROR(SEARCH("Pesquisa de Preços",D7268)))</formula>
    </cfRule>
  </conditionalFormatting>
  <conditionalFormatting sqref="E7269 E7271">
    <cfRule type="containsText" dxfId="190" priority="471" operator="containsText" text="Pesquisa de Preços">
      <formula>NOT(ISERROR(SEARCH("Pesquisa de Preços",E7269)))</formula>
    </cfRule>
  </conditionalFormatting>
  <conditionalFormatting sqref="D7272">
    <cfRule type="containsText" dxfId="189" priority="468" operator="containsText" text="Pesquisa de Preços">
      <formula>NOT(ISERROR(SEARCH("Pesquisa de Preços",D7272)))</formula>
    </cfRule>
  </conditionalFormatting>
  <conditionalFormatting sqref="D7266">
    <cfRule type="containsText" dxfId="188" priority="467" operator="containsText" text="Pesquisa de Preços">
      <formula>NOT(ISERROR(SEARCH("Pesquisa de Preços",D7266)))</formula>
    </cfRule>
  </conditionalFormatting>
  <conditionalFormatting sqref="D7270">
    <cfRule type="containsText" dxfId="187" priority="466" operator="containsText" text="Pesquisa de Preços">
      <formula>NOT(ISERROR(SEARCH("Pesquisa de Preços",D7270)))</formula>
    </cfRule>
  </conditionalFormatting>
  <conditionalFormatting sqref="D7274">
    <cfRule type="containsText" dxfId="186" priority="465" operator="containsText" text="Pesquisa de Preços">
      <formula>NOT(ISERROR(SEARCH("Pesquisa de Preços",D7274)))</formula>
    </cfRule>
  </conditionalFormatting>
  <conditionalFormatting sqref="D7250">
    <cfRule type="containsText" dxfId="185" priority="453" operator="containsText" text="Pesquisa de Preços">
      <formula>NOT(ISERROR(SEARCH("Pesquisa de Preços",D7250)))</formula>
    </cfRule>
  </conditionalFormatting>
  <conditionalFormatting sqref="E7249">
    <cfRule type="containsText" dxfId="184" priority="451" operator="containsText" text="Pesquisa de Preços">
      <formula>NOT(ISERROR(SEARCH("Pesquisa de Preços",E7249)))</formula>
    </cfRule>
  </conditionalFormatting>
  <conditionalFormatting sqref="D7253">
    <cfRule type="containsText" dxfId="183" priority="455" operator="containsText" text="Pesquisa de Preços">
      <formula>NOT(ISERROR(SEARCH("Pesquisa de Preços",D7253)))</formula>
    </cfRule>
  </conditionalFormatting>
  <conditionalFormatting sqref="D7249">
    <cfRule type="containsText" dxfId="182" priority="454" operator="containsText" text="Pesquisa de Preços">
      <formula>NOT(ISERROR(SEARCH("Pesquisa de Preços",D7249)))</formula>
    </cfRule>
  </conditionalFormatting>
  <conditionalFormatting sqref="E7250 E7253">
    <cfRule type="containsText" dxfId="181" priority="452" operator="containsText" text="Pesquisa de Preços">
      <formula>NOT(ISERROR(SEARCH("Pesquisa de Preços",E7250)))</formula>
    </cfRule>
  </conditionalFormatting>
  <conditionalFormatting sqref="D7255">
    <cfRule type="containsText" dxfId="180" priority="447" operator="containsText" text="Pesquisa de Preços">
      <formula>NOT(ISERROR(SEARCH("Pesquisa de Preços",D7255)))</formula>
    </cfRule>
  </conditionalFormatting>
  <conditionalFormatting sqref="E7254">
    <cfRule type="containsText" dxfId="179" priority="445" operator="containsText" text="Pesquisa de Preços">
      <formula>NOT(ISERROR(SEARCH("Pesquisa de Preços",E7254)))</formula>
    </cfRule>
  </conditionalFormatting>
  <conditionalFormatting sqref="D7258">
    <cfRule type="containsText" dxfId="178" priority="449" operator="containsText" text="Pesquisa de Preços">
      <formula>NOT(ISERROR(SEARCH("Pesquisa de Preços",D7258)))</formula>
    </cfRule>
  </conditionalFormatting>
  <conditionalFormatting sqref="D7254">
    <cfRule type="containsText" dxfId="177" priority="448" operator="containsText" text="Pesquisa de Preços">
      <formula>NOT(ISERROR(SEARCH("Pesquisa de Preços",D7254)))</formula>
    </cfRule>
  </conditionalFormatting>
  <conditionalFormatting sqref="E7255 E7258">
    <cfRule type="containsText" dxfId="176" priority="446" operator="containsText" text="Pesquisa de Preços">
      <formula>NOT(ISERROR(SEARCH("Pesquisa de Preços",E7255)))</formula>
    </cfRule>
  </conditionalFormatting>
  <conditionalFormatting sqref="D7259">
    <cfRule type="containsText" dxfId="175" priority="443" operator="containsText" text="Pesquisa de Preços">
      <formula>NOT(ISERROR(SEARCH("Pesquisa de Preços",D7259)))</formula>
    </cfRule>
  </conditionalFormatting>
  <conditionalFormatting sqref="E7256:E7257">
    <cfRule type="containsText" dxfId="174" priority="417" operator="containsText" text="Pesquisa de Preços">
      <formula>NOT(ISERROR(SEARCH("Pesquisa de Preços",E7256)))</formula>
    </cfRule>
  </conditionalFormatting>
  <conditionalFormatting sqref="E7261:E7262">
    <cfRule type="containsText" dxfId="173" priority="416" operator="containsText" text="Pesquisa de Preços">
      <formula>NOT(ISERROR(SEARCH("Pesquisa de Preços",E7261)))</formula>
    </cfRule>
  </conditionalFormatting>
  <conditionalFormatting sqref="D7333">
    <cfRule type="containsText" dxfId="172" priority="412" operator="containsText" text="Pesquisa de Preços">
      <formula>NOT(ISERROR(SEARCH("Pesquisa de Preços",D7333)))</formula>
    </cfRule>
  </conditionalFormatting>
  <conditionalFormatting sqref="D7331">
    <cfRule type="containsText" dxfId="171" priority="411" operator="containsText" text="Pesquisa de Preços">
      <formula>NOT(ISERROR(SEARCH("Pesquisa de Preços",D7331)))</formula>
    </cfRule>
  </conditionalFormatting>
  <conditionalFormatting sqref="D7334">
    <cfRule type="containsText" dxfId="170" priority="409" operator="containsText" text="Pesquisa de Preços">
      <formula>NOT(ISERROR(SEARCH("Pesquisa de Preços",D7334)))</formula>
    </cfRule>
  </conditionalFormatting>
  <conditionalFormatting sqref="D7335">
    <cfRule type="containsText" dxfId="169" priority="410" operator="containsText" text="Pesquisa de Preços">
      <formula>NOT(ISERROR(SEARCH("Pesquisa de Preços",D7335)))</formula>
    </cfRule>
  </conditionalFormatting>
  <conditionalFormatting sqref="E7334">
    <cfRule type="containsText" dxfId="168" priority="408" operator="containsText" text="Pesquisa de Preços">
      <formula>NOT(ISERROR(SEARCH("Pesquisa de Preços",E7334)))</formula>
    </cfRule>
  </conditionalFormatting>
  <conditionalFormatting sqref="E7335">
    <cfRule type="containsText" dxfId="167" priority="407" operator="containsText" text="Pesquisa de Preços">
      <formula>NOT(ISERROR(SEARCH("Pesquisa de Preços",E7335)))</formula>
    </cfRule>
  </conditionalFormatting>
  <conditionalFormatting sqref="D7326">
    <cfRule type="containsText" dxfId="166" priority="398" operator="containsText" text="Pesquisa de Preços">
      <formula>NOT(ISERROR(SEARCH("Pesquisa de Preços",D7326)))</formula>
    </cfRule>
  </conditionalFormatting>
  <conditionalFormatting sqref="D7324">
    <cfRule type="containsText" dxfId="165" priority="397" operator="containsText" text="Pesquisa de Preços">
      <formula>NOT(ISERROR(SEARCH("Pesquisa de Preços",D7324)))</formula>
    </cfRule>
  </conditionalFormatting>
  <conditionalFormatting sqref="D7327">
    <cfRule type="containsText" dxfId="164" priority="395" operator="containsText" text="Pesquisa de Preços">
      <formula>NOT(ISERROR(SEARCH("Pesquisa de Preços",D7327)))</formula>
    </cfRule>
  </conditionalFormatting>
  <conditionalFormatting sqref="D7328:D7329">
    <cfRule type="containsText" dxfId="163" priority="396" operator="containsText" text="Pesquisa de Preços">
      <formula>NOT(ISERROR(SEARCH("Pesquisa de Preços",D7328)))</formula>
    </cfRule>
  </conditionalFormatting>
  <conditionalFormatting sqref="E7327">
    <cfRule type="containsText" dxfId="162" priority="394" operator="containsText" text="Pesquisa de Preços">
      <formula>NOT(ISERROR(SEARCH("Pesquisa de Preços",E7327)))</formula>
    </cfRule>
  </conditionalFormatting>
  <conditionalFormatting sqref="E7328">
    <cfRule type="containsText" dxfId="161" priority="393" operator="containsText" text="Pesquisa de Preços">
      <formula>NOT(ISERROR(SEARCH("Pesquisa de Preços",E7328)))</formula>
    </cfRule>
  </conditionalFormatting>
  <conditionalFormatting sqref="E7329">
    <cfRule type="containsText" dxfId="160" priority="392" operator="containsText" text="Pesquisa de Preços">
      <formula>NOT(ISERROR(SEARCH("Pesquisa de Preços",E7329)))</formula>
    </cfRule>
  </conditionalFormatting>
  <conditionalFormatting sqref="D7339">
    <cfRule type="containsText" dxfId="159" priority="384" operator="containsText" text="Pesquisa de Preços">
      <formula>NOT(ISERROR(SEARCH("Pesquisa de Preços",D7339)))</formula>
    </cfRule>
  </conditionalFormatting>
  <conditionalFormatting sqref="D7337">
    <cfRule type="containsText" dxfId="158" priority="383" operator="containsText" text="Pesquisa de Preços">
      <formula>NOT(ISERROR(SEARCH("Pesquisa de Preços",D7337)))</formula>
    </cfRule>
  </conditionalFormatting>
  <conditionalFormatting sqref="D7340">
    <cfRule type="containsText" dxfId="157" priority="381" operator="containsText" text="Pesquisa de Preços">
      <formula>NOT(ISERROR(SEARCH("Pesquisa de Preços",D7340)))</formula>
    </cfRule>
  </conditionalFormatting>
  <conditionalFormatting sqref="D7341">
    <cfRule type="containsText" dxfId="156" priority="382" operator="containsText" text="Pesquisa de Preços">
      <formula>NOT(ISERROR(SEARCH("Pesquisa de Preços",D7341)))</formula>
    </cfRule>
  </conditionalFormatting>
  <conditionalFormatting sqref="E7340">
    <cfRule type="containsText" dxfId="155" priority="380" operator="containsText" text="Pesquisa de Preços">
      <formula>NOT(ISERROR(SEARCH("Pesquisa de Preços",E7340)))</formula>
    </cfRule>
  </conditionalFormatting>
  <conditionalFormatting sqref="E7341">
    <cfRule type="containsText" dxfId="154" priority="379" operator="containsText" text="Pesquisa de Preços">
      <formula>NOT(ISERROR(SEARCH("Pesquisa de Preços",E7341)))</formula>
    </cfRule>
  </conditionalFormatting>
  <conditionalFormatting sqref="D7342">
    <cfRule type="containsText" dxfId="153" priority="371" operator="containsText" text="Pesquisa de Preços">
      <formula>NOT(ISERROR(SEARCH("Pesquisa de Preços",D7342)))</formula>
    </cfRule>
  </conditionalFormatting>
  <conditionalFormatting sqref="E7342">
    <cfRule type="containsText" dxfId="152" priority="370" operator="containsText" text="Pesquisa de Preços">
      <formula>NOT(ISERROR(SEARCH("Pesquisa de Preços",E7342)))</formula>
    </cfRule>
  </conditionalFormatting>
  <conditionalFormatting sqref="E7348">
    <cfRule type="containsText" dxfId="151" priority="355" operator="containsText" text="Pesquisa de Preços">
      <formula>NOT(ISERROR(SEARCH("Pesquisa de Preços",E7348)))</formula>
    </cfRule>
  </conditionalFormatting>
  <conditionalFormatting sqref="E7361">
    <cfRule type="containsText" dxfId="150" priority="309" operator="containsText" text="Pesquisa de Preços">
      <formula>NOT(ISERROR(SEARCH("Pesquisa de Preços",E7361)))</formula>
    </cfRule>
  </conditionalFormatting>
  <conditionalFormatting sqref="E7343">
    <cfRule type="containsText" dxfId="149" priority="363" operator="containsText" text="Pesquisa de Preços">
      <formula>NOT(ISERROR(SEARCH("Pesquisa de Preços",E7343)))</formula>
    </cfRule>
  </conditionalFormatting>
  <conditionalFormatting sqref="D7347">
    <cfRule type="containsText" dxfId="148" priority="359" operator="containsText" text="Pesquisa de Preços">
      <formula>NOT(ISERROR(SEARCH("Pesquisa de Preços",D7347)))</formula>
    </cfRule>
  </conditionalFormatting>
  <conditionalFormatting sqref="D7345">
    <cfRule type="containsText" dxfId="147" priority="358" operator="containsText" text="Pesquisa de Preços">
      <formula>NOT(ISERROR(SEARCH("Pesquisa de Preços",D7345)))</formula>
    </cfRule>
  </conditionalFormatting>
  <conditionalFormatting sqref="D7348">
    <cfRule type="containsText" dxfId="146" priority="356" operator="containsText" text="Pesquisa de Preços">
      <formula>NOT(ISERROR(SEARCH("Pesquisa de Preços",D7348)))</formula>
    </cfRule>
  </conditionalFormatting>
  <conditionalFormatting sqref="D7349">
    <cfRule type="containsText" dxfId="145" priority="357" operator="containsText" text="Pesquisa de Preços">
      <formula>NOT(ISERROR(SEARCH("Pesquisa de Preços",D7349)))</formula>
    </cfRule>
  </conditionalFormatting>
  <conditionalFormatting sqref="E7349">
    <cfRule type="containsText" dxfId="144" priority="354" operator="containsText" text="Pesquisa de Preços">
      <formula>NOT(ISERROR(SEARCH("Pesquisa de Preços",E7349)))</formula>
    </cfRule>
  </conditionalFormatting>
  <conditionalFormatting sqref="D7350">
    <cfRule type="containsText" dxfId="143" priority="346" operator="containsText" text="Pesquisa de Preços">
      <formula>NOT(ISERROR(SEARCH("Pesquisa de Preços",D7350)))</formula>
    </cfRule>
  </conditionalFormatting>
  <conditionalFormatting sqref="E7350">
    <cfRule type="containsText" dxfId="142" priority="345" operator="containsText" text="Pesquisa de Preços">
      <formula>NOT(ISERROR(SEARCH("Pesquisa de Preços",E7350)))</formula>
    </cfRule>
  </conditionalFormatting>
  <conditionalFormatting sqref="E7357">
    <cfRule type="containsText" dxfId="141" priority="330" operator="containsText" text="Pesquisa de Preços">
      <formula>NOT(ISERROR(SEARCH("Pesquisa de Preços",E7357)))</formula>
    </cfRule>
  </conditionalFormatting>
  <conditionalFormatting sqref="E7351">
    <cfRule type="containsText" dxfId="140" priority="339" operator="containsText" text="Pesquisa de Preços">
      <formula>NOT(ISERROR(SEARCH("Pesquisa de Preços",E7351)))</formula>
    </cfRule>
  </conditionalFormatting>
  <conditionalFormatting sqref="D7353">
    <cfRule type="containsText" dxfId="139" priority="334" operator="containsText" text="Pesquisa de Preços">
      <formula>NOT(ISERROR(SEARCH("Pesquisa de Preços",D7353)))</formula>
    </cfRule>
  </conditionalFormatting>
  <conditionalFormatting sqref="D7356">
    <cfRule type="containsText" dxfId="138" priority="332" operator="containsText" text="Pesquisa de Preços">
      <formula>NOT(ISERROR(SEARCH("Pesquisa de Preços",D7356)))</formula>
    </cfRule>
  </conditionalFormatting>
  <conditionalFormatting sqref="D7357">
    <cfRule type="containsText" dxfId="137" priority="333" operator="containsText" text="Pesquisa de Preços">
      <formula>NOT(ISERROR(SEARCH("Pesquisa de Preços",D7357)))</formula>
    </cfRule>
  </conditionalFormatting>
  <conditionalFormatting sqref="E7356">
    <cfRule type="containsText" dxfId="136" priority="331" operator="containsText" text="Pesquisa de Preços">
      <formula>NOT(ISERROR(SEARCH("Pesquisa de Preços",E7356)))</formula>
    </cfRule>
  </conditionalFormatting>
  <conditionalFormatting sqref="E7355">
    <cfRule type="containsText" dxfId="135" priority="325" operator="containsText" text="Pesquisa de Preços">
      <formula>NOT(ISERROR(SEARCH("Pesquisa de Preços",E7355)))</formula>
    </cfRule>
  </conditionalFormatting>
  <conditionalFormatting sqref="D7359">
    <cfRule type="containsText" dxfId="134" priority="321" operator="containsText" text="Pesquisa de Preços">
      <formula>NOT(ISERROR(SEARCH("Pesquisa de Preços",D7359)))</formula>
    </cfRule>
  </conditionalFormatting>
  <conditionalFormatting sqref="D7362">
    <cfRule type="containsText" dxfId="133" priority="319" operator="containsText" text="Pesquisa de Preços">
      <formula>NOT(ISERROR(SEARCH("Pesquisa de Preços",D7362)))</formula>
    </cfRule>
  </conditionalFormatting>
  <conditionalFormatting sqref="E7362">
    <cfRule type="containsText" dxfId="132" priority="318" operator="containsText" text="Pesquisa de Preços">
      <formula>NOT(ISERROR(SEARCH("Pesquisa de Preços",E7362)))</formula>
    </cfRule>
  </conditionalFormatting>
  <conditionalFormatting sqref="E7361">
    <cfRule type="containsText" dxfId="131" priority="312" operator="containsText" text="Pesquisa de Preços">
      <formula>NOT(ISERROR(SEARCH("Pesquisa de Preços",E7361)))</formula>
    </cfRule>
  </conditionalFormatting>
  <conditionalFormatting sqref="D7361">
    <cfRule type="containsText" dxfId="130" priority="310" operator="containsText" text="Pesquisa de Preços">
      <formula>NOT(ISERROR(SEARCH("Pesquisa de Preços",D7361)))</formula>
    </cfRule>
  </conditionalFormatting>
  <conditionalFormatting sqref="D7362">
    <cfRule type="containsText" dxfId="129" priority="311" operator="containsText" text="Pesquisa de Preços">
      <formula>NOT(ISERROR(SEARCH("Pesquisa de Preços",D7362)))</formula>
    </cfRule>
  </conditionalFormatting>
  <conditionalFormatting sqref="E7362">
    <cfRule type="containsText" dxfId="128" priority="308" operator="containsText" text="Pesquisa de Preços">
      <formula>NOT(ISERROR(SEARCH("Pesquisa de Preços",E7362)))</formula>
    </cfRule>
  </conditionalFormatting>
  <conditionalFormatting sqref="D7366">
    <cfRule type="containsText" dxfId="127" priority="295" operator="containsText" text="Pesquisa de Preços">
      <formula>NOT(ISERROR(SEARCH("Pesquisa de Preços",D7366)))</formula>
    </cfRule>
  </conditionalFormatting>
  <conditionalFormatting sqref="E7366">
    <cfRule type="containsText" dxfId="126" priority="294" operator="containsText" text="Pesquisa de Preços">
      <formula>NOT(ISERROR(SEARCH("Pesquisa de Preços",E7366)))</formula>
    </cfRule>
  </conditionalFormatting>
  <conditionalFormatting sqref="D7364">
    <cfRule type="containsText" dxfId="125" priority="304" operator="containsText" text="Pesquisa de Preços">
      <formula>NOT(ISERROR(SEARCH("Pesquisa de Preços",D7364)))</formula>
    </cfRule>
  </conditionalFormatting>
  <conditionalFormatting sqref="D7367">
    <cfRule type="containsText" dxfId="124" priority="303" operator="containsText" text="Pesquisa de Preços">
      <formula>NOT(ISERROR(SEARCH("Pesquisa de Preços",D7367)))</formula>
    </cfRule>
  </conditionalFormatting>
  <conditionalFormatting sqref="E7367">
    <cfRule type="containsText" dxfId="123" priority="302" operator="containsText" text="Pesquisa de Preços">
      <formula>NOT(ISERROR(SEARCH("Pesquisa de Preços",E7367)))</formula>
    </cfRule>
  </conditionalFormatting>
  <conditionalFormatting sqref="E7366">
    <cfRule type="containsText" dxfId="122" priority="297" operator="containsText" text="Pesquisa de Preços">
      <formula>NOT(ISERROR(SEARCH("Pesquisa de Preços",E7366)))</formula>
    </cfRule>
  </conditionalFormatting>
  <conditionalFormatting sqref="D7367">
    <cfRule type="containsText" dxfId="121" priority="296" operator="containsText" text="Pesquisa de Preços">
      <formula>NOT(ISERROR(SEARCH("Pesquisa de Preços",D7367)))</formula>
    </cfRule>
  </conditionalFormatting>
  <conditionalFormatting sqref="E7367">
    <cfRule type="containsText" dxfId="120" priority="293" operator="containsText" text="Pesquisa de Preços">
      <formula>NOT(ISERROR(SEARCH("Pesquisa de Preços",E7367)))</formula>
    </cfRule>
  </conditionalFormatting>
  <conditionalFormatting sqref="D7369">
    <cfRule type="containsText" dxfId="119" priority="291" operator="containsText" text="Pesquisa de Preços">
      <formula>NOT(ISERROR(SEARCH("Pesquisa de Preços",D7369)))</formula>
    </cfRule>
  </conditionalFormatting>
  <conditionalFormatting sqref="D7374:D7375 D7370:D7371">
    <cfRule type="containsText" dxfId="118" priority="289" operator="containsText" text="Pesquisa de Preços">
      <formula>NOT(ISERROR(SEARCH("Pesquisa de Preços",D7370)))</formula>
    </cfRule>
  </conditionalFormatting>
  <conditionalFormatting sqref="D7372:D7373">
    <cfRule type="containsText" dxfId="117" priority="288" operator="containsText" text="Pesquisa de Preços">
      <formula>NOT(ISERROR(SEARCH("Pesquisa de Preços",D7372)))</formula>
    </cfRule>
  </conditionalFormatting>
  <conditionalFormatting sqref="E7370 E7375">
    <cfRule type="containsText" dxfId="116" priority="287" operator="containsText" text="Pesquisa de Preços">
      <formula>NOT(ISERROR(SEARCH("Pesquisa de Preços",E7370)))</formula>
    </cfRule>
  </conditionalFormatting>
  <conditionalFormatting sqref="E7369">
    <cfRule type="containsText" dxfId="115" priority="286" operator="containsText" text="Pesquisa de Preços">
      <formula>NOT(ISERROR(SEARCH("Pesquisa de Preços",E7369)))</formula>
    </cfRule>
  </conditionalFormatting>
  <conditionalFormatting sqref="D6480">
    <cfRule type="containsText" dxfId="114" priority="282" operator="containsText" text="Pesquisa de Preços">
      <formula>NOT(ISERROR(SEARCH("Pesquisa de Preços",D6480)))</formula>
    </cfRule>
  </conditionalFormatting>
  <conditionalFormatting sqref="D6487">
    <cfRule type="containsText" dxfId="113" priority="276" operator="containsText" text="Pesquisa de Preços">
      <formula>NOT(ISERROR(SEARCH("Pesquisa de Preços",D6487)))</formula>
    </cfRule>
  </conditionalFormatting>
  <conditionalFormatting sqref="D7376">
    <cfRule type="containsText" dxfId="112" priority="270" operator="containsText" text="Pesquisa de Preços">
      <formula>NOT(ISERROR(SEARCH("Pesquisa de Preços",D7376)))</formula>
    </cfRule>
  </conditionalFormatting>
  <conditionalFormatting sqref="D7383">
    <cfRule type="containsText" dxfId="111" priority="264" operator="containsText" text="Pesquisa de Preços">
      <formula>NOT(ISERROR(SEARCH("Pesquisa de Preços",D7383)))</formula>
    </cfRule>
  </conditionalFormatting>
  <conditionalFormatting sqref="D7393">
    <cfRule type="containsText" dxfId="110" priority="253" operator="containsText" text="Pesquisa de Preços">
      <formula>NOT(ISERROR(SEARCH("Pesquisa de Preços",D7393)))</formula>
    </cfRule>
  </conditionalFormatting>
  <conditionalFormatting sqref="D7391">
    <cfRule type="containsText" dxfId="109" priority="252" operator="containsText" text="Pesquisa de Preços">
      <formula>NOT(ISERROR(SEARCH("Pesquisa de Preços",D7391)))</formula>
    </cfRule>
  </conditionalFormatting>
  <conditionalFormatting sqref="D7394">
    <cfRule type="containsText" dxfId="108" priority="250" operator="containsText" text="Pesquisa de Preços">
      <formula>NOT(ISERROR(SEARCH("Pesquisa de Preços",D7394)))</formula>
    </cfRule>
  </conditionalFormatting>
  <conditionalFormatting sqref="D7395">
    <cfRule type="containsText" dxfId="107" priority="251" operator="containsText" text="Pesquisa de Preços">
      <formula>NOT(ISERROR(SEARCH("Pesquisa de Preços",D7395)))</formula>
    </cfRule>
  </conditionalFormatting>
  <conditionalFormatting sqref="E7394">
    <cfRule type="containsText" dxfId="106" priority="249" operator="containsText" text="Pesquisa de Preços">
      <formula>NOT(ISERROR(SEARCH("Pesquisa de Preços",E7394)))</formula>
    </cfRule>
  </conditionalFormatting>
  <conditionalFormatting sqref="E7395">
    <cfRule type="containsText" dxfId="105" priority="248" operator="containsText" text="Pesquisa de Preços">
      <formula>NOT(ISERROR(SEARCH("Pesquisa de Preços",E7395)))</formula>
    </cfRule>
  </conditionalFormatting>
  <conditionalFormatting sqref="D7397">
    <cfRule type="containsText" dxfId="104" priority="196" operator="containsText" text="Pesquisa de Preços">
      <formula>NOT(ISERROR(SEARCH("Pesquisa de Preços",D7397)))</formula>
    </cfRule>
  </conditionalFormatting>
  <conditionalFormatting sqref="D7402:D7403 D7398:D7399">
    <cfRule type="containsText" dxfId="103" priority="194" operator="containsText" text="Pesquisa de Preços">
      <formula>NOT(ISERROR(SEARCH("Pesquisa de Preços",D7398)))</formula>
    </cfRule>
  </conditionalFormatting>
  <conditionalFormatting sqref="D7400">
    <cfRule type="containsText" dxfId="102" priority="193" operator="containsText" text="Pesquisa de Preços">
      <formula>NOT(ISERROR(SEARCH("Pesquisa de Preços",D7400)))</formula>
    </cfRule>
  </conditionalFormatting>
  <conditionalFormatting sqref="E7398 E7403">
    <cfRule type="containsText" dxfId="101" priority="192" operator="containsText" text="Pesquisa de Preços">
      <formula>NOT(ISERROR(SEARCH("Pesquisa de Preços",E7398)))</formula>
    </cfRule>
  </conditionalFormatting>
  <conditionalFormatting sqref="E7397">
    <cfRule type="containsText" dxfId="100" priority="191" operator="containsText" text="Pesquisa de Preços">
      <formula>NOT(ISERROR(SEARCH("Pesquisa de Preços",E7397)))</formula>
    </cfRule>
  </conditionalFormatting>
  <conditionalFormatting sqref="D7433">
    <cfRule type="containsText" dxfId="99" priority="187" operator="containsText" text="Pesquisa de Preços">
      <formula>NOT(ISERROR(SEARCH("Pesquisa de Preços",D7433)))</formula>
    </cfRule>
  </conditionalFormatting>
  <conditionalFormatting sqref="D7447">
    <cfRule type="containsText" dxfId="98" priority="160" operator="containsText" text="Pesquisa de Preços">
      <formula>NOT(ISERROR(SEARCH("Pesquisa de Preços",D7447)))</formula>
    </cfRule>
  </conditionalFormatting>
  <conditionalFormatting sqref="D7428">
    <cfRule type="containsText" dxfId="97" priority="128" operator="containsText" text="Pesquisa de Preços">
      <formula>NOT(ISERROR(SEARCH("Pesquisa de Preços",D7428)))</formula>
    </cfRule>
  </conditionalFormatting>
  <conditionalFormatting sqref="E7445">
    <cfRule type="containsText" dxfId="96" priority="115" operator="containsText" text="Pesquisa de Preços">
      <formula>NOT(ISERROR(SEARCH("Pesquisa de Preços",E7445)))</formula>
    </cfRule>
  </conditionalFormatting>
  <conditionalFormatting sqref="D7441">
    <cfRule type="containsText" dxfId="95" priority="119" operator="containsText" text="Pesquisa de Preços">
      <formula>NOT(ISERROR(SEARCH("Pesquisa de Preços",D7441)))</formula>
    </cfRule>
  </conditionalFormatting>
  <conditionalFormatting sqref="D7444">
    <cfRule type="containsText" dxfId="94" priority="117" operator="containsText" text="Pesquisa de Preços">
      <formula>NOT(ISERROR(SEARCH("Pesquisa de Preços",D7444)))</formula>
    </cfRule>
  </conditionalFormatting>
  <conditionalFormatting sqref="D7445">
    <cfRule type="containsText" dxfId="93" priority="118" operator="containsText" text="Pesquisa de Preços">
      <formula>NOT(ISERROR(SEARCH("Pesquisa de Preços",D7445)))</formula>
    </cfRule>
  </conditionalFormatting>
  <conditionalFormatting sqref="E7444">
    <cfRule type="containsText" dxfId="92" priority="116" operator="containsText" text="Pesquisa de Preços">
      <formula>NOT(ISERROR(SEARCH("Pesquisa de Preços",E7444)))</formula>
    </cfRule>
  </conditionalFormatting>
  <conditionalFormatting sqref="E7443">
    <cfRule type="containsText" dxfId="91" priority="112" operator="containsText" text="Pesquisa de Preços">
      <formula>NOT(ISERROR(SEARCH("Pesquisa de Preços",E7443)))</formula>
    </cfRule>
  </conditionalFormatting>
  <conditionalFormatting sqref="D7409">
    <cfRule type="containsText" dxfId="90" priority="108" operator="containsText" text="Pesquisa de Preços">
      <formula>NOT(ISERROR(SEARCH("Pesquisa de Preços",D7409)))</formula>
    </cfRule>
  </conditionalFormatting>
  <conditionalFormatting sqref="D7405">
    <cfRule type="containsText" dxfId="89" priority="107" operator="containsText" text="Pesquisa de Preços">
      <formula>NOT(ISERROR(SEARCH("Pesquisa de Preços",D7405)))</formula>
    </cfRule>
  </conditionalFormatting>
  <conditionalFormatting sqref="E7409">
    <cfRule type="containsText" dxfId="88" priority="106" operator="containsText" text="Pesquisa de Preços">
      <formula>NOT(ISERROR(SEARCH("Pesquisa de Preços",E7409)))</formula>
    </cfRule>
  </conditionalFormatting>
  <conditionalFormatting sqref="E7405">
    <cfRule type="containsText" dxfId="87" priority="105" operator="containsText" text="Pesquisa de Preços">
      <formula>NOT(ISERROR(SEARCH("Pesquisa de Preços",E7405)))</formula>
    </cfRule>
  </conditionalFormatting>
  <conditionalFormatting sqref="D7410">
    <cfRule type="containsText" dxfId="86" priority="104" operator="containsText" text="Pesquisa de Preços">
      <formula>NOT(ISERROR(SEARCH("Pesquisa de Preços",D7410)))</formula>
    </cfRule>
  </conditionalFormatting>
  <conditionalFormatting sqref="D7415">
    <cfRule type="containsText" dxfId="85" priority="103" operator="containsText" text="Pesquisa de Preços">
      <formula>NOT(ISERROR(SEARCH("Pesquisa de Preços",D7415)))</formula>
    </cfRule>
  </conditionalFormatting>
  <conditionalFormatting sqref="D7411">
    <cfRule type="containsText" dxfId="84" priority="102" operator="containsText" text="Pesquisa de Preços">
      <formula>NOT(ISERROR(SEARCH("Pesquisa de Preços",D7411)))</formula>
    </cfRule>
  </conditionalFormatting>
  <conditionalFormatting sqref="E7415">
    <cfRule type="containsText" dxfId="83" priority="101" operator="containsText" text="Pesquisa de Preços">
      <formula>NOT(ISERROR(SEARCH("Pesquisa de Preços",E7415)))</formula>
    </cfRule>
  </conditionalFormatting>
  <conditionalFormatting sqref="E7411">
    <cfRule type="containsText" dxfId="82" priority="100" operator="containsText" text="Pesquisa de Preços">
      <formula>NOT(ISERROR(SEARCH("Pesquisa de Preços",E7411)))</formula>
    </cfRule>
  </conditionalFormatting>
  <conditionalFormatting sqref="D7416">
    <cfRule type="containsText" dxfId="81" priority="99" operator="containsText" text="Pesquisa de Preços">
      <formula>NOT(ISERROR(SEARCH("Pesquisa de Preços",D7416)))</formula>
    </cfRule>
  </conditionalFormatting>
  <conditionalFormatting sqref="D7421">
    <cfRule type="containsText" dxfId="80" priority="98" operator="containsText" text="Pesquisa de Preços">
      <formula>NOT(ISERROR(SEARCH("Pesquisa de Preços",D7421)))</formula>
    </cfRule>
  </conditionalFormatting>
  <conditionalFormatting sqref="D7417">
    <cfRule type="containsText" dxfId="79" priority="97" operator="containsText" text="Pesquisa de Preços">
      <formula>NOT(ISERROR(SEARCH("Pesquisa de Preços",D7417)))</formula>
    </cfRule>
  </conditionalFormatting>
  <conditionalFormatting sqref="E7421">
    <cfRule type="containsText" dxfId="78" priority="96" operator="containsText" text="Pesquisa de Preços">
      <formula>NOT(ISERROR(SEARCH("Pesquisa de Preços",E7421)))</formula>
    </cfRule>
  </conditionalFormatting>
  <conditionalFormatting sqref="E7417">
    <cfRule type="containsText" dxfId="77" priority="95" operator="containsText" text="Pesquisa de Preços">
      <formula>NOT(ISERROR(SEARCH("Pesquisa de Preços",E7417)))</formula>
    </cfRule>
  </conditionalFormatting>
  <conditionalFormatting sqref="D7422">
    <cfRule type="containsText" dxfId="76" priority="92" operator="containsText" text="Pesquisa de Preços">
      <formula>NOT(ISERROR(SEARCH("Pesquisa de Preços",D7422)))</formula>
    </cfRule>
  </conditionalFormatting>
  <conditionalFormatting sqref="D7427">
    <cfRule type="containsText" dxfId="75" priority="91" operator="containsText" text="Pesquisa de Preços">
      <formula>NOT(ISERROR(SEARCH("Pesquisa de Preços",D7427)))</formula>
    </cfRule>
  </conditionalFormatting>
  <conditionalFormatting sqref="D7423">
    <cfRule type="containsText" dxfId="74" priority="90" operator="containsText" text="Pesquisa de Preços">
      <formula>NOT(ISERROR(SEARCH("Pesquisa de Preços",D7423)))</formula>
    </cfRule>
  </conditionalFormatting>
  <conditionalFormatting sqref="E7427">
    <cfRule type="containsText" dxfId="73" priority="89" operator="containsText" text="Pesquisa de Preços">
      <formula>NOT(ISERROR(SEARCH("Pesquisa de Preços",E7427)))</formula>
    </cfRule>
  </conditionalFormatting>
  <conditionalFormatting sqref="E7423">
    <cfRule type="containsText" dxfId="72" priority="88" operator="containsText" text="Pesquisa de Preços">
      <formula>NOT(ISERROR(SEARCH("Pesquisa de Preços",E7423)))</formula>
    </cfRule>
  </conditionalFormatting>
  <conditionalFormatting sqref="D7404">
    <cfRule type="containsText" dxfId="71" priority="81" operator="containsText" text="Pesquisa de Preços">
      <formula>NOT(ISERROR(SEARCH("Pesquisa de Preços",D7404)))</formula>
    </cfRule>
  </conditionalFormatting>
  <conditionalFormatting sqref="D7401">
    <cfRule type="containsText" dxfId="70" priority="78" operator="containsText" text="Pesquisa de Preços">
      <formula>NOT(ISERROR(SEARCH("Pesquisa de Preços",D7401)))</formula>
    </cfRule>
  </conditionalFormatting>
  <conditionalFormatting sqref="E7465">
    <cfRule type="containsText" dxfId="69" priority="69" operator="containsText" text="Pesquisa de Preços">
      <formula>NOT(ISERROR(SEARCH("Pesquisa de Preços",E7465)))</formula>
    </cfRule>
  </conditionalFormatting>
  <conditionalFormatting sqref="D7463">
    <cfRule type="containsText" dxfId="68" priority="74" operator="containsText" text="Pesquisa de Preços">
      <formula>NOT(ISERROR(SEARCH("Pesquisa de Preços",D7463)))</formula>
    </cfRule>
  </conditionalFormatting>
  <conditionalFormatting sqref="D7461">
    <cfRule type="containsText" dxfId="67" priority="73" operator="containsText" text="Pesquisa de Preços">
      <formula>NOT(ISERROR(SEARCH("Pesquisa de Preços",D7461)))</formula>
    </cfRule>
  </conditionalFormatting>
  <conditionalFormatting sqref="D7464">
    <cfRule type="containsText" dxfId="66" priority="71" operator="containsText" text="Pesquisa de Preços">
      <formula>NOT(ISERROR(SEARCH("Pesquisa de Preços",D7464)))</formula>
    </cfRule>
  </conditionalFormatting>
  <conditionalFormatting sqref="D7465:D7466">
    <cfRule type="containsText" dxfId="65" priority="72" operator="containsText" text="Pesquisa de Preços">
      <formula>NOT(ISERROR(SEARCH("Pesquisa de Preços",D7465)))</formula>
    </cfRule>
  </conditionalFormatting>
  <conditionalFormatting sqref="E7464">
    <cfRule type="containsText" dxfId="64" priority="70" operator="containsText" text="Pesquisa de Preços">
      <formula>NOT(ISERROR(SEARCH("Pesquisa de Preços",E7464)))</formula>
    </cfRule>
  </conditionalFormatting>
  <conditionalFormatting sqref="E7466">
    <cfRule type="containsText" dxfId="63" priority="68" operator="containsText" text="Pesquisa de Preços">
      <formula>NOT(ISERROR(SEARCH("Pesquisa de Preços",E7466)))</formula>
    </cfRule>
  </conditionalFormatting>
  <conditionalFormatting sqref="E7472">
    <cfRule type="containsText" dxfId="62" priority="57" operator="containsText" text="Pesquisa de Preços">
      <formula>NOT(ISERROR(SEARCH("Pesquisa de Preços",E7472)))</formula>
    </cfRule>
  </conditionalFormatting>
  <conditionalFormatting sqref="D7470">
    <cfRule type="containsText" dxfId="61" priority="62" operator="containsText" text="Pesquisa de Preços">
      <formula>NOT(ISERROR(SEARCH("Pesquisa de Preços",D7470)))</formula>
    </cfRule>
  </conditionalFormatting>
  <conditionalFormatting sqref="D7468">
    <cfRule type="containsText" dxfId="60" priority="61" operator="containsText" text="Pesquisa de Preços">
      <formula>NOT(ISERROR(SEARCH("Pesquisa de Preços",D7468)))</formula>
    </cfRule>
  </conditionalFormatting>
  <conditionalFormatting sqref="D7471">
    <cfRule type="containsText" dxfId="59" priority="59" operator="containsText" text="Pesquisa de Preços">
      <formula>NOT(ISERROR(SEARCH("Pesquisa de Preços",D7471)))</formula>
    </cfRule>
  </conditionalFormatting>
  <conditionalFormatting sqref="D7472:D7473">
    <cfRule type="containsText" dxfId="58" priority="60" operator="containsText" text="Pesquisa de Preços">
      <formula>NOT(ISERROR(SEARCH("Pesquisa de Preços",D7472)))</formula>
    </cfRule>
  </conditionalFormatting>
  <conditionalFormatting sqref="E7471">
    <cfRule type="containsText" dxfId="57" priority="58" operator="containsText" text="Pesquisa de Preços">
      <formula>NOT(ISERROR(SEARCH("Pesquisa de Preços",E7471)))</formula>
    </cfRule>
  </conditionalFormatting>
  <conditionalFormatting sqref="E7473">
    <cfRule type="containsText" dxfId="56" priority="56" operator="containsText" text="Pesquisa de Preços">
      <formula>NOT(ISERROR(SEARCH("Pesquisa de Preços",E7473)))</formula>
    </cfRule>
  </conditionalFormatting>
  <conditionalFormatting sqref="D7454">
    <cfRule type="containsText" dxfId="55" priority="32" operator="containsText" text="Pesquisa de Preços">
      <formula>NOT(ISERROR(SEARCH("Pesquisa de Preços",D7454)))</formula>
    </cfRule>
  </conditionalFormatting>
  <conditionalFormatting sqref="D7475">
    <cfRule type="containsText" dxfId="54" priority="22" operator="containsText" text="Pesquisa de Preços">
      <formula>NOT(ISERROR(SEARCH("Pesquisa de Preços",D7475)))</formula>
    </cfRule>
  </conditionalFormatting>
  <conditionalFormatting sqref="E36">
    <cfRule type="containsText" dxfId="53" priority="13" operator="containsText" text="Pesquisa de Preços">
      <formula>NOT(ISERROR(SEARCH("Pesquisa de Preços",E36)))</formula>
    </cfRule>
  </conditionalFormatting>
  <conditionalFormatting sqref="D7483">
    <cfRule type="containsText" dxfId="52" priority="18" operator="containsText" text="Pesquisa de Preços">
      <formula>NOT(ISERROR(SEARCH("Pesquisa de Preços",D7483)))</formula>
    </cfRule>
  </conditionalFormatting>
  <conditionalFormatting sqref="D7491">
    <cfRule type="containsText" dxfId="51" priority="16" operator="containsText" text="Pesquisa de Preços">
      <formula>NOT(ISERROR(SEARCH("Pesquisa de Preços",D7491)))</formula>
    </cfRule>
  </conditionalFormatting>
  <conditionalFormatting sqref="D36">
    <cfRule type="containsText" dxfId="50" priority="14" operator="containsText" text="Pesquisa de Preços">
      <formula>NOT(ISERROR(SEARCH("Pesquisa de Preços",D36)))</formula>
    </cfRule>
  </conditionalFormatting>
  <hyperlinks>
    <hyperlink ref="C463" r:id="rId1" xr:uid="{00000000-0004-0000-0300-000000000000}"/>
    <hyperlink ref="C497" r:id="rId2" xr:uid="{00000000-0004-0000-0300-000001000000}"/>
    <hyperlink ref="C496" r:id="rId3" xr:uid="{00000000-0004-0000-0300-000002000000}"/>
    <hyperlink ref="C482" r:id="rId4" xr:uid="{00000000-0004-0000-0300-000003000000}"/>
    <hyperlink ref="C4645" r:id="rId5" xr:uid="{00000000-0004-0000-0300-000004000000}"/>
    <hyperlink ref="C4712" r:id="rId6" xr:uid="{00000000-0004-0000-0300-000005000000}"/>
    <hyperlink ref="C4691" r:id="rId7" xr:uid="{00000000-0004-0000-0300-000006000000}"/>
    <hyperlink ref="C3179" r:id="rId8" xr:uid="{00000000-0004-0000-0300-000007000000}"/>
    <hyperlink ref="C481" r:id="rId9" xr:uid="{00000000-0004-0000-0300-000008000000}"/>
  </hyperlinks>
  <printOptions horizontalCentered="1"/>
  <pageMargins left="0.19685039370078741" right="0.19685039370078741" top="0.98425196850393704" bottom="0.59055118110236227" header="0.19685039370078741" footer="0.19685039370078741"/>
  <pageSetup paperSize="9" scale="47" fitToHeight="0" orientation="landscape"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2" manualBreakCount="2">
    <brk id="5075" max="10" man="1"/>
    <brk id="7115" max="10" man="1"/>
  </rowBreaks>
  <drawing r:id="rId11"/>
  <legacyDrawingHF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filterMode="1">
    <pageSetUpPr fitToPage="1"/>
  </sheetPr>
  <dimension ref="A1:I643"/>
  <sheetViews>
    <sheetView zoomScale="80" zoomScaleNormal="80" workbookViewId="0">
      <pane ySplit="5" topLeftCell="A6" activePane="bottomLeft" state="frozen"/>
      <selection pane="bottomLeft" activeCell="E8" sqref="E8"/>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tr">
        <f>Composições!A1</f>
        <v>ARP para fornecimento de serviços comuns de engenharia - 2023</v>
      </c>
      <c r="B1" s="104"/>
      <c r="C1" s="80"/>
      <c r="D1" s="80"/>
      <c r="E1" s="80"/>
      <c r="F1" s="80"/>
      <c r="G1" s="80"/>
      <c r="H1" s="81"/>
      <c r="I1" s="82"/>
    </row>
    <row r="2" spans="1:9" ht="24.95" customHeight="1" x14ac:dyDescent="0.25">
      <c r="A2" s="9" t="s">
        <v>1436</v>
      </c>
      <c r="B2" s="10"/>
      <c r="C2" s="130"/>
      <c r="D2" s="10"/>
      <c r="E2" s="10"/>
      <c r="F2" s="10"/>
      <c r="G2" s="10"/>
      <c r="H2" s="12"/>
      <c r="I2" s="82"/>
    </row>
    <row r="3" spans="1:9" ht="20.100000000000001" customHeight="1" x14ac:dyDescent="0.25">
      <c r="A3" s="215" t="s">
        <v>8066</v>
      </c>
      <c r="B3" s="215"/>
      <c r="C3" s="215"/>
      <c r="D3" s="215"/>
      <c r="E3" s="215"/>
      <c r="F3" s="215"/>
      <c r="G3" s="215"/>
      <c r="H3" s="13"/>
      <c r="I3" s="83"/>
    </row>
    <row r="4" spans="1:9" ht="15.75" thickBot="1" x14ac:dyDescent="0.3">
      <c r="A4" s="84"/>
      <c r="B4" s="85"/>
      <c r="C4" s="85"/>
      <c r="D4" s="85"/>
      <c r="E4" s="85"/>
      <c r="F4" s="85"/>
      <c r="G4" s="85"/>
      <c r="H4" s="86"/>
      <c r="I4" s="87"/>
    </row>
    <row r="5" spans="1:9" ht="30.75" thickBot="1" x14ac:dyDescent="0.3">
      <c r="A5" s="19" t="s">
        <v>2</v>
      </c>
      <c r="B5" s="20" t="s">
        <v>3</v>
      </c>
      <c r="C5" s="20" t="s">
        <v>4</v>
      </c>
      <c r="D5" s="20" t="s">
        <v>5</v>
      </c>
      <c r="E5" s="20" t="s">
        <v>6</v>
      </c>
      <c r="F5" s="20" t="s">
        <v>7</v>
      </c>
      <c r="G5" s="22" t="s">
        <v>1404</v>
      </c>
      <c r="H5" s="23"/>
      <c r="I5" s="88" t="s">
        <v>9</v>
      </c>
    </row>
    <row r="6" spans="1:9" ht="26.25" customHeight="1" thickBot="1" x14ac:dyDescent="0.3">
      <c r="A6" s="216" t="s">
        <v>107</v>
      </c>
      <c r="B6" s="151" t="s">
        <v>514</v>
      </c>
      <c r="C6" s="89" t="s">
        <v>119</v>
      </c>
      <c r="D6" s="90"/>
      <c r="E6" s="70" t="s">
        <v>514</v>
      </c>
      <c r="F6" s="70" t="str">
        <f t="shared" ref="F6:F69" si="0">IF(ISNUMBER(E6),E6*$D6,"")</f>
        <v/>
      </c>
      <c r="G6" s="71"/>
      <c r="H6" s="29"/>
      <c r="I6" s="149">
        <v>9.3840000000000003</v>
      </c>
    </row>
    <row r="7" spans="1:9" x14ac:dyDescent="0.25">
      <c r="A7" s="214"/>
      <c r="B7" s="31" t="s">
        <v>514</v>
      </c>
      <c r="C7" s="31"/>
      <c r="D7" s="91"/>
      <c r="E7" s="30" t="s">
        <v>514</v>
      </c>
      <c r="F7" s="30" t="str">
        <f t="shared" si="0"/>
        <v/>
      </c>
      <c r="G7" s="34"/>
      <c r="H7" s="30"/>
      <c r="I7" s="149">
        <v>9.3840000000000003</v>
      </c>
    </row>
    <row r="8" spans="1:9" ht="25.5" x14ac:dyDescent="0.25">
      <c r="A8" s="214"/>
      <c r="B8" s="35" t="s">
        <v>744</v>
      </c>
      <c r="C8" s="35" t="s">
        <v>119</v>
      </c>
      <c r="D8" s="36">
        <v>1.07</v>
      </c>
      <c r="E8" s="30">
        <v>185.66799999999998</v>
      </c>
      <c r="F8" s="33">
        <f t="shared" si="0"/>
        <v>198.66476</v>
      </c>
      <c r="G8" s="44">
        <f>SUM(F8:F12)</f>
        <v>723.94562965900002</v>
      </c>
      <c r="H8" s="45"/>
      <c r="I8" s="149">
        <v>9.3840000000000003</v>
      </c>
    </row>
    <row r="9" spans="1:9" x14ac:dyDescent="0.25">
      <c r="A9" s="214"/>
      <c r="B9" s="35" t="s">
        <v>740</v>
      </c>
      <c r="C9" s="35" t="s">
        <v>891</v>
      </c>
      <c r="D9" s="36">
        <v>482.96</v>
      </c>
      <c r="E9" s="33">
        <v>0.627</v>
      </c>
      <c r="F9" s="33">
        <f t="shared" si="0"/>
        <v>302.81592000000001</v>
      </c>
      <c r="G9" s="44"/>
      <c r="H9" s="45"/>
      <c r="I9" s="149">
        <v>9.3840000000000003</v>
      </c>
    </row>
    <row r="10" spans="1:9" x14ac:dyDescent="0.25">
      <c r="A10" s="214"/>
      <c r="B10" s="35" t="s">
        <v>1405</v>
      </c>
      <c r="C10" s="35" t="s">
        <v>695</v>
      </c>
      <c r="D10" s="36">
        <v>8.57</v>
      </c>
      <c r="E10" s="30">
        <v>18.420500000000001</v>
      </c>
      <c r="F10" s="33">
        <f t="shared" si="0"/>
        <v>157.863685</v>
      </c>
      <c r="G10" s="44"/>
      <c r="H10" s="45"/>
      <c r="I10" s="149">
        <v>9.3840000000000003</v>
      </c>
    </row>
    <row r="11" spans="1:9" ht="51" x14ac:dyDescent="0.25">
      <c r="A11" s="214"/>
      <c r="B11" s="35" t="s">
        <v>3507</v>
      </c>
      <c r="C11" s="35" t="s">
        <v>119</v>
      </c>
      <c r="D11" s="36">
        <f>ROUND(1*D8,4)</f>
        <v>1.07</v>
      </c>
      <c r="E11" s="30">
        <v>7.9145696999999986</v>
      </c>
      <c r="F11" s="33">
        <f t="shared" si="0"/>
        <v>8.4685895789999996</v>
      </c>
      <c r="G11" s="44"/>
      <c r="H11" s="45"/>
      <c r="I11" s="149">
        <v>9.3840000000000003</v>
      </c>
    </row>
    <row r="12" spans="1:9" ht="38.25" x14ac:dyDescent="0.25">
      <c r="A12" s="214"/>
      <c r="B12" s="35" t="s">
        <v>3504</v>
      </c>
      <c r="C12" s="46" t="s">
        <v>121</v>
      </c>
      <c r="D12" s="36">
        <f>ROUND(D8*20,4)</f>
        <v>21.4</v>
      </c>
      <c r="E12" s="30">
        <v>2.6230221999999994</v>
      </c>
      <c r="F12" s="33">
        <f t="shared" si="0"/>
        <v>56.132675079999984</v>
      </c>
      <c r="G12" s="44"/>
      <c r="H12" s="45"/>
      <c r="I12" s="149">
        <v>9.3840000000000003</v>
      </c>
    </row>
    <row r="13" spans="1:9" x14ac:dyDescent="0.25">
      <c r="A13" s="214"/>
      <c r="B13" s="50"/>
      <c r="C13" s="46"/>
      <c r="D13" s="36"/>
      <c r="E13" s="30" t="s">
        <v>514</v>
      </c>
      <c r="F13" s="33" t="str">
        <f t="shared" si="0"/>
        <v/>
      </c>
      <c r="G13" s="44"/>
      <c r="H13" s="45"/>
      <c r="I13" s="149">
        <v>9.3840000000000003</v>
      </c>
    </row>
    <row r="14" spans="1:9" x14ac:dyDescent="0.25">
      <c r="A14" s="214"/>
      <c r="B14" s="47" t="s">
        <v>747</v>
      </c>
      <c r="C14" s="46"/>
      <c r="D14" s="36"/>
      <c r="E14" s="30" t="s">
        <v>514</v>
      </c>
      <c r="F14" s="33" t="str">
        <f t="shared" si="0"/>
        <v/>
      </c>
      <c r="G14" s="44"/>
      <c r="H14" s="45"/>
      <c r="I14" s="149">
        <v>9.3840000000000003</v>
      </c>
    </row>
    <row r="15" spans="1:9" ht="15.75" thickBot="1" x14ac:dyDescent="0.3">
      <c r="A15" s="217"/>
      <c r="B15" s="35" t="s">
        <v>514</v>
      </c>
      <c r="C15" s="35"/>
      <c r="D15" s="92"/>
      <c r="E15" s="30" t="s">
        <v>514</v>
      </c>
      <c r="F15" s="33" t="str">
        <f t="shared" si="0"/>
        <v/>
      </c>
      <c r="G15" s="34"/>
      <c r="H15" s="30"/>
      <c r="I15" s="149">
        <v>9.3840000000000003</v>
      </c>
    </row>
    <row r="16" spans="1:9" ht="15.75" hidden="1" customHeight="1" x14ac:dyDescent="0.25">
      <c r="A16" s="216" t="s">
        <v>3205</v>
      </c>
      <c r="B16" s="40" t="s">
        <v>514</v>
      </c>
      <c r="C16" s="25" t="s">
        <v>278</v>
      </c>
      <c r="D16" s="93"/>
      <c r="E16" s="41" t="s">
        <v>514</v>
      </c>
      <c r="F16" s="41" t="str">
        <f t="shared" si="0"/>
        <v/>
      </c>
      <c r="G16" s="28"/>
      <c r="H16" s="29"/>
      <c r="I16" s="149">
        <v>0</v>
      </c>
    </row>
    <row r="17" spans="1:9" ht="15.75" hidden="1" thickBot="1" x14ac:dyDescent="0.3">
      <c r="A17" s="214"/>
      <c r="B17" s="31" t="s">
        <v>514</v>
      </c>
      <c r="C17" s="31"/>
      <c r="D17" s="91"/>
      <c r="E17" s="42" t="s">
        <v>514</v>
      </c>
      <c r="F17" s="30" t="str">
        <f t="shared" si="0"/>
        <v/>
      </c>
      <c r="G17" s="34"/>
      <c r="H17" s="30"/>
      <c r="I17" s="149">
        <v>0</v>
      </c>
    </row>
    <row r="18" spans="1:9" ht="26.25" hidden="1" thickBot="1" x14ac:dyDescent="0.3">
      <c r="A18" s="214"/>
      <c r="B18" s="35" t="s">
        <v>106</v>
      </c>
      <c r="C18" s="35" t="s">
        <v>695</v>
      </c>
      <c r="D18" s="36">
        <v>2.2700000000000001E-2</v>
      </c>
      <c r="E18" s="30">
        <v>19.094999999999999</v>
      </c>
      <c r="F18" s="33">
        <f t="shared" si="0"/>
        <v>0.43345650000000002</v>
      </c>
      <c r="G18" s="44">
        <f>SUM(F18:F19)</f>
        <v>4.3726485999999998</v>
      </c>
      <c r="H18" s="45"/>
      <c r="I18" s="149">
        <v>0</v>
      </c>
    </row>
    <row r="19" spans="1:9" ht="15.75" hidden="1" thickBot="1" x14ac:dyDescent="0.3">
      <c r="A19" s="214"/>
      <c r="B19" s="35" t="s">
        <v>1406</v>
      </c>
      <c r="C19" s="35" t="s">
        <v>695</v>
      </c>
      <c r="D19" s="36">
        <v>0.16209999999999999</v>
      </c>
      <c r="E19" s="30">
        <v>24.300999999999998</v>
      </c>
      <c r="F19" s="33">
        <f t="shared" si="0"/>
        <v>3.9391920999999996</v>
      </c>
      <c r="G19" s="44"/>
      <c r="H19" s="45"/>
      <c r="I19" s="149">
        <v>0</v>
      </c>
    </row>
    <row r="20" spans="1:9" ht="15.75" hidden="1" thickBot="1" x14ac:dyDescent="0.3">
      <c r="A20" s="217"/>
      <c r="B20" s="35" t="s">
        <v>514</v>
      </c>
      <c r="C20" s="35"/>
      <c r="D20" s="92"/>
      <c r="E20" s="30" t="s">
        <v>514</v>
      </c>
      <c r="F20" s="30" t="str">
        <f t="shared" si="0"/>
        <v/>
      </c>
      <c r="G20" s="34"/>
      <c r="H20" s="30"/>
      <c r="I20" s="149">
        <v>0</v>
      </c>
    </row>
    <row r="21" spans="1:9" ht="15.75" customHeight="1" thickBot="1" x14ac:dyDescent="0.3">
      <c r="A21" s="216" t="s">
        <v>3202</v>
      </c>
      <c r="B21" s="40" t="s">
        <v>514</v>
      </c>
      <c r="C21" s="25" t="s">
        <v>473</v>
      </c>
      <c r="D21" s="93"/>
      <c r="E21" s="41" t="s">
        <v>514</v>
      </c>
      <c r="F21" s="41" t="str">
        <f t="shared" si="0"/>
        <v/>
      </c>
      <c r="G21" s="28"/>
      <c r="H21" s="29"/>
      <c r="I21" s="149">
        <v>2000</v>
      </c>
    </row>
    <row r="22" spans="1:9" x14ac:dyDescent="0.25">
      <c r="A22" s="214"/>
      <c r="B22" s="31" t="s">
        <v>514</v>
      </c>
      <c r="C22" s="31"/>
      <c r="D22" s="91"/>
      <c r="E22" s="42" t="s">
        <v>514</v>
      </c>
      <c r="F22" s="30" t="str">
        <f t="shared" si="0"/>
        <v/>
      </c>
      <c r="G22" s="34"/>
      <c r="H22" s="30"/>
      <c r="I22" s="149">
        <v>2000</v>
      </c>
    </row>
    <row r="23" spans="1:9" ht="25.5" x14ac:dyDescent="0.25">
      <c r="A23" s="214"/>
      <c r="B23" s="35" t="s">
        <v>6628</v>
      </c>
      <c r="C23" s="35" t="s">
        <v>278</v>
      </c>
      <c r="D23" s="36">
        <v>0.65</v>
      </c>
      <c r="E23" s="33">
        <v>1.6719999999999999</v>
      </c>
      <c r="F23" s="33">
        <f t="shared" si="0"/>
        <v>1.0868</v>
      </c>
      <c r="G23" s="44">
        <f>SUM(F23:F25)</f>
        <v>2.9545189999999999</v>
      </c>
      <c r="H23" s="45"/>
      <c r="I23" s="149">
        <v>2000</v>
      </c>
    </row>
    <row r="24" spans="1:9" ht="25.5" x14ac:dyDescent="0.25">
      <c r="A24" s="214"/>
      <c r="B24" s="35" t="s">
        <v>106</v>
      </c>
      <c r="C24" s="35" t="s">
        <v>695</v>
      </c>
      <c r="D24" s="36">
        <v>0.01</v>
      </c>
      <c r="E24" s="30">
        <v>19.094999999999999</v>
      </c>
      <c r="F24" s="33">
        <f t="shared" si="0"/>
        <v>0.19094999999999998</v>
      </c>
      <c r="G24" s="44"/>
      <c r="H24" s="45"/>
      <c r="I24" s="149">
        <v>2000</v>
      </c>
    </row>
    <row r="25" spans="1:9" x14ac:dyDescent="0.25">
      <c r="A25" s="214"/>
      <c r="B25" s="35" t="s">
        <v>1406</v>
      </c>
      <c r="C25" s="35" t="s">
        <v>695</v>
      </c>
      <c r="D25" s="36">
        <v>6.9000000000000006E-2</v>
      </c>
      <c r="E25" s="30">
        <v>24.300999999999998</v>
      </c>
      <c r="F25" s="33">
        <f t="shared" si="0"/>
        <v>1.676769</v>
      </c>
      <c r="G25" s="44"/>
      <c r="H25" s="45"/>
      <c r="I25" s="149">
        <v>2000</v>
      </c>
    </row>
    <row r="26" spans="1:9" ht="15.75" thickBot="1" x14ac:dyDescent="0.3">
      <c r="A26" s="217"/>
      <c r="B26" s="35" t="s">
        <v>514</v>
      </c>
      <c r="C26" s="35"/>
      <c r="D26" s="92"/>
      <c r="E26" s="30" t="s">
        <v>514</v>
      </c>
      <c r="F26" s="30" t="str">
        <f t="shared" si="0"/>
        <v/>
      </c>
      <c r="G26" s="34"/>
      <c r="H26" s="30"/>
      <c r="I26" s="149">
        <v>2000</v>
      </c>
    </row>
    <row r="27" spans="1:9" ht="15.75" customHeight="1" thickBot="1" x14ac:dyDescent="0.3">
      <c r="A27" s="216" t="s">
        <v>3667</v>
      </c>
      <c r="B27" s="40" t="s">
        <v>514</v>
      </c>
      <c r="C27" s="25" t="s">
        <v>982</v>
      </c>
      <c r="D27" s="93"/>
      <c r="E27" s="41" t="s">
        <v>514</v>
      </c>
      <c r="F27" s="41" t="str">
        <f t="shared" si="0"/>
        <v/>
      </c>
      <c r="G27" s="28"/>
      <c r="H27" s="29"/>
      <c r="I27" s="149">
        <v>46.575000000000003</v>
      </c>
    </row>
    <row r="28" spans="1:9" x14ac:dyDescent="0.25">
      <c r="A28" s="214"/>
      <c r="B28" s="31" t="s">
        <v>514</v>
      </c>
      <c r="C28" s="31"/>
      <c r="D28" s="91"/>
      <c r="E28" s="42" t="s">
        <v>514</v>
      </c>
      <c r="F28" s="30" t="str">
        <f t="shared" si="0"/>
        <v/>
      </c>
      <c r="G28" s="34"/>
      <c r="H28" s="30"/>
      <c r="I28" s="149">
        <v>46.575000000000003</v>
      </c>
    </row>
    <row r="29" spans="1:9" ht="38.25" x14ac:dyDescent="0.25">
      <c r="A29" s="214"/>
      <c r="B29" s="35" t="s">
        <v>6768</v>
      </c>
      <c r="C29" s="35" t="s">
        <v>982</v>
      </c>
      <c r="D29" s="36">
        <v>1.1459999999999999</v>
      </c>
      <c r="E29" s="33">
        <v>60.391500000000001</v>
      </c>
      <c r="F29" s="33">
        <f t="shared" si="0"/>
        <v>69.208658999999997</v>
      </c>
      <c r="G29" s="44">
        <f>SUM(F29:F36)</f>
        <v>127.230384</v>
      </c>
      <c r="H29" s="45"/>
      <c r="I29" s="149">
        <v>46.575000000000003</v>
      </c>
    </row>
    <row r="30" spans="1:9" ht="25.5" x14ac:dyDescent="0.25">
      <c r="A30" s="214"/>
      <c r="B30" s="35" t="s">
        <v>3684</v>
      </c>
      <c r="C30" s="35" t="s">
        <v>473</v>
      </c>
      <c r="D30" s="36">
        <v>0.16600000000000001</v>
      </c>
      <c r="E30" s="33">
        <v>8.302999999999999</v>
      </c>
      <c r="F30" s="33">
        <f t="shared" si="0"/>
        <v>1.378298</v>
      </c>
      <c r="G30" s="44"/>
      <c r="H30" s="45"/>
      <c r="I30" s="149">
        <v>46.575000000000003</v>
      </c>
    </row>
    <row r="31" spans="1:9" ht="25.5" x14ac:dyDescent="0.25">
      <c r="A31" s="214"/>
      <c r="B31" s="35" t="s">
        <v>3686</v>
      </c>
      <c r="C31" s="35" t="s">
        <v>473</v>
      </c>
      <c r="D31" s="36">
        <v>6.952</v>
      </c>
      <c r="E31" s="33">
        <v>2.907</v>
      </c>
      <c r="F31" s="33">
        <f t="shared" si="0"/>
        <v>20.209464000000001</v>
      </c>
      <c r="G31" s="44"/>
      <c r="H31" s="45"/>
      <c r="I31" s="149">
        <v>46.575000000000003</v>
      </c>
    </row>
    <row r="32" spans="1:9" x14ac:dyDescent="0.25">
      <c r="A32" s="214"/>
      <c r="B32" s="35" t="s">
        <v>1407</v>
      </c>
      <c r="C32" s="35" t="s">
        <v>891</v>
      </c>
      <c r="D32" s="36">
        <v>0.159</v>
      </c>
      <c r="E32" s="33">
        <v>22.628999999999998</v>
      </c>
      <c r="F32" s="33">
        <f t="shared" si="0"/>
        <v>3.5980109999999996</v>
      </c>
      <c r="G32" s="44"/>
      <c r="H32" s="45"/>
      <c r="I32" s="149">
        <v>46.575000000000003</v>
      </c>
    </row>
    <row r="33" spans="1:9" x14ac:dyDescent="0.25">
      <c r="A33" s="214"/>
      <c r="B33" s="35" t="s">
        <v>127</v>
      </c>
      <c r="C33" s="35" t="s">
        <v>695</v>
      </c>
      <c r="D33" s="36">
        <v>0.20200000000000001</v>
      </c>
      <c r="E33" s="30">
        <v>19.494</v>
      </c>
      <c r="F33" s="33">
        <f t="shared" si="0"/>
        <v>3.9377880000000003</v>
      </c>
      <c r="G33" s="44"/>
      <c r="H33" s="45"/>
      <c r="I33" s="149">
        <v>46.575000000000003</v>
      </c>
    </row>
    <row r="34" spans="1:9" x14ac:dyDescent="0.25">
      <c r="A34" s="214"/>
      <c r="B34" s="35" t="s">
        <v>78</v>
      </c>
      <c r="C34" s="35" t="s">
        <v>695</v>
      </c>
      <c r="D34" s="36">
        <v>1.012</v>
      </c>
      <c r="E34" s="30">
        <v>24.633499999999998</v>
      </c>
      <c r="F34" s="33">
        <f t="shared" si="0"/>
        <v>24.929101999999997</v>
      </c>
      <c r="G34" s="44"/>
      <c r="H34" s="45"/>
      <c r="I34" s="149">
        <v>46.575000000000003</v>
      </c>
    </row>
    <row r="35" spans="1:9" ht="25.5" x14ac:dyDescent="0.25">
      <c r="A35" s="214"/>
      <c r="B35" s="35" t="s">
        <v>1408</v>
      </c>
      <c r="C35" s="35" t="s">
        <v>932</v>
      </c>
      <c r="D35" s="36">
        <v>0.05</v>
      </c>
      <c r="E35" s="30">
        <v>20.234999999999999</v>
      </c>
      <c r="F35" s="30">
        <f t="shared" si="0"/>
        <v>1.0117499999999999</v>
      </c>
      <c r="G35" s="44"/>
      <c r="H35" s="45"/>
      <c r="I35" s="149">
        <v>46.575000000000003</v>
      </c>
    </row>
    <row r="36" spans="1:9" ht="25.5" x14ac:dyDescent="0.25">
      <c r="A36" s="214"/>
      <c r="B36" s="35" t="s">
        <v>1409</v>
      </c>
      <c r="C36" s="35" t="s">
        <v>934</v>
      </c>
      <c r="D36" s="36">
        <v>0.152</v>
      </c>
      <c r="E36" s="30">
        <v>19.456</v>
      </c>
      <c r="F36" s="30">
        <f t="shared" si="0"/>
        <v>2.9573119999999999</v>
      </c>
      <c r="G36" s="44"/>
      <c r="H36" s="45"/>
      <c r="I36" s="149">
        <v>46.575000000000003</v>
      </c>
    </row>
    <row r="37" spans="1:9" ht="15.75" thickBot="1" x14ac:dyDescent="0.3">
      <c r="A37" s="217"/>
      <c r="B37" s="35" t="s">
        <v>514</v>
      </c>
      <c r="C37" s="35"/>
      <c r="D37" s="92"/>
      <c r="E37" s="30" t="s">
        <v>514</v>
      </c>
      <c r="F37" s="30" t="str">
        <f t="shared" si="0"/>
        <v/>
      </c>
      <c r="G37" s="34"/>
      <c r="H37" s="30"/>
      <c r="I37" s="149">
        <v>46.575000000000003</v>
      </c>
    </row>
    <row r="38" spans="1:9" ht="15.75" customHeight="1" thickBot="1" x14ac:dyDescent="0.3">
      <c r="A38" s="216" t="s">
        <v>3669</v>
      </c>
      <c r="B38" s="40" t="s">
        <v>514</v>
      </c>
      <c r="C38" s="25" t="s">
        <v>473</v>
      </c>
      <c r="D38" s="93"/>
      <c r="E38" s="41" t="s">
        <v>514</v>
      </c>
      <c r="F38" s="41" t="str">
        <f t="shared" si="0"/>
        <v/>
      </c>
      <c r="G38" s="28"/>
      <c r="H38" s="29"/>
      <c r="I38" s="149">
        <v>136.20000000000002</v>
      </c>
    </row>
    <row r="39" spans="1:9" x14ac:dyDescent="0.25">
      <c r="A39" s="214"/>
      <c r="B39" s="31" t="s">
        <v>514</v>
      </c>
      <c r="C39" s="31"/>
      <c r="D39" s="91"/>
      <c r="E39" s="42" t="s">
        <v>514</v>
      </c>
      <c r="F39" s="30" t="str">
        <f t="shared" si="0"/>
        <v/>
      </c>
      <c r="G39" s="34"/>
      <c r="H39" s="30"/>
      <c r="I39" s="149">
        <v>136.20000000000002</v>
      </c>
    </row>
    <row r="40" spans="1:9" ht="38.25" x14ac:dyDescent="0.25">
      <c r="A40" s="214"/>
      <c r="B40" s="35" t="s">
        <v>6767</v>
      </c>
      <c r="C40" s="35" t="s">
        <v>982</v>
      </c>
      <c r="D40" s="36">
        <v>0.13600000000000001</v>
      </c>
      <c r="E40" s="30">
        <v>102.2675</v>
      </c>
      <c r="F40" s="30">
        <f t="shared" si="0"/>
        <v>13.908380000000001</v>
      </c>
      <c r="G40" s="44">
        <f>SUM(F40:F46)</f>
        <v>38.855085500000001</v>
      </c>
      <c r="H40" s="45"/>
      <c r="I40" s="149">
        <v>136.20000000000002</v>
      </c>
    </row>
    <row r="41" spans="1:9" ht="25.5" x14ac:dyDescent="0.25">
      <c r="A41" s="214"/>
      <c r="B41" s="35" t="s">
        <v>3684</v>
      </c>
      <c r="C41" s="35" t="s">
        <v>473</v>
      </c>
      <c r="D41" s="36">
        <v>2.3420000000000001</v>
      </c>
      <c r="E41" s="30">
        <v>8.302999999999999</v>
      </c>
      <c r="F41" s="30">
        <f t="shared" si="0"/>
        <v>19.445625999999997</v>
      </c>
      <c r="G41" s="44"/>
      <c r="H41" s="45"/>
      <c r="I41" s="149">
        <v>136.20000000000002</v>
      </c>
    </row>
    <row r="42" spans="1:9" x14ac:dyDescent="0.25">
      <c r="A42" s="214"/>
      <c r="B42" s="35" t="s">
        <v>1356</v>
      </c>
      <c r="C42" s="35" t="s">
        <v>891</v>
      </c>
      <c r="D42" s="36">
        <v>1.2E-2</v>
      </c>
      <c r="E42" s="30">
        <v>22.628999999999998</v>
      </c>
      <c r="F42" s="30">
        <f t="shared" si="0"/>
        <v>0.27154799999999996</v>
      </c>
      <c r="G42" s="44"/>
      <c r="H42" s="45"/>
      <c r="I42" s="149">
        <v>136.20000000000002</v>
      </c>
    </row>
    <row r="43" spans="1:9" x14ac:dyDescent="0.25">
      <c r="A43" s="214"/>
      <c r="B43" s="35" t="s">
        <v>778</v>
      </c>
      <c r="C43" s="35" t="s">
        <v>695</v>
      </c>
      <c r="D43" s="36">
        <v>3.2000000000000001E-2</v>
      </c>
      <c r="E43" s="30">
        <v>19.494</v>
      </c>
      <c r="F43" s="30">
        <f t="shared" si="0"/>
        <v>0.62380800000000003</v>
      </c>
      <c r="G43" s="44"/>
      <c r="H43" s="45"/>
      <c r="I43" s="149">
        <v>136.20000000000002</v>
      </c>
    </row>
    <row r="44" spans="1:9" x14ac:dyDescent="0.25">
      <c r="A44" s="214"/>
      <c r="B44" s="35" t="s">
        <v>983</v>
      </c>
      <c r="C44" s="35" t="s">
        <v>695</v>
      </c>
      <c r="D44" s="36">
        <v>0.161</v>
      </c>
      <c r="E44" s="30">
        <v>24.633499999999998</v>
      </c>
      <c r="F44" s="30">
        <f t="shared" si="0"/>
        <v>3.9659934999999997</v>
      </c>
      <c r="G44" s="44"/>
      <c r="H44" s="45"/>
      <c r="I44" s="149">
        <v>136.20000000000002</v>
      </c>
    </row>
    <row r="45" spans="1:9" ht="25.5" x14ac:dyDescent="0.25">
      <c r="A45" s="214"/>
      <c r="B45" s="35" t="s">
        <v>1146</v>
      </c>
      <c r="C45" s="35" t="s">
        <v>932</v>
      </c>
      <c r="D45" s="36">
        <v>2.1999999999999999E-2</v>
      </c>
      <c r="E45" s="30">
        <v>20.234999999999999</v>
      </c>
      <c r="F45" s="30">
        <f t="shared" si="0"/>
        <v>0.44516999999999995</v>
      </c>
      <c r="G45" s="44"/>
      <c r="H45" s="45"/>
      <c r="I45" s="149">
        <v>136.20000000000002</v>
      </c>
    </row>
    <row r="46" spans="1:9" ht="25.5" x14ac:dyDescent="0.25">
      <c r="A46" s="214"/>
      <c r="B46" s="35" t="s">
        <v>1147</v>
      </c>
      <c r="C46" s="35" t="s">
        <v>934</v>
      </c>
      <c r="D46" s="36">
        <v>0.01</v>
      </c>
      <c r="E46" s="30">
        <v>19.456</v>
      </c>
      <c r="F46" s="33">
        <f t="shared" si="0"/>
        <v>0.19456000000000001</v>
      </c>
      <c r="G46" s="44"/>
      <c r="H46" s="45"/>
      <c r="I46" s="149">
        <v>136.20000000000002</v>
      </c>
    </row>
    <row r="47" spans="1:9" ht="15.75" thickBot="1" x14ac:dyDescent="0.3">
      <c r="A47" s="217"/>
      <c r="B47" s="35" t="s">
        <v>514</v>
      </c>
      <c r="C47" s="35"/>
      <c r="D47" s="92"/>
      <c r="E47" s="30" t="s">
        <v>514</v>
      </c>
      <c r="F47" s="30" t="str">
        <f t="shared" si="0"/>
        <v/>
      </c>
      <c r="G47" s="34"/>
      <c r="H47" s="30"/>
      <c r="I47" s="149">
        <v>136.20000000000002</v>
      </c>
    </row>
    <row r="48" spans="1:9" ht="26.25" customHeight="1" thickBot="1" x14ac:dyDescent="0.3">
      <c r="A48" s="216" t="s">
        <v>152</v>
      </c>
      <c r="B48" s="40" t="s">
        <v>514</v>
      </c>
      <c r="C48" s="25" t="s">
        <v>119</v>
      </c>
      <c r="D48" s="93"/>
      <c r="E48" s="41" t="s">
        <v>514</v>
      </c>
      <c r="F48" s="41" t="str">
        <f t="shared" si="0"/>
        <v/>
      </c>
      <c r="G48" s="28"/>
      <c r="H48" s="29"/>
      <c r="I48" s="149">
        <v>5.5905000000000005</v>
      </c>
    </row>
    <row r="49" spans="1:9" x14ac:dyDescent="0.25">
      <c r="A49" s="214"/>
      <c r="B49" s="31" t="s">
        <v>514</v>
      </c>
      <c r="C49" s="31"/>
      <c r="D49" s="91"/>
      <c r="E49" s="42" t="s">
        <v>514</v>
      </c>
      <c r="F49" s="30" t="str">
        <f t="shared" si="0"/>
        <v/>
      </c>
      <c r="G49" s="34"/>
      <c r="H49" s="30"/>
      <c r="I49" s="149">
        <v>5.5905000000000005</v>
      </c>
    </row>
    <row r="50" spans="1:9" ht="25.5" x14ac:dyDescent="0.25">
      <c r="A50" s="214"/>
      <c r="B50" s="35" t="s">
        <v>744</v>
      </c>
      <c r="C50" s="35" t="s">
        <v>119</v>
      </c>
      <c r="D50" s="36">
        <v>1.1599999999999999</v>
      </c>
      <c r="E50" s="33">
        <v>185.66799999999998</v>
      </c>
      <c r="F50" s="33">
        <f t="shared" si="0"/>
        <v>215.37487999999996</v>
      </c>
      <c r="G50" s="44">
        <f>SUM(F50:F57)</f>
        <v>692.78519089200006</v>
      </c>
      <c r="H50" s="45"/>
      <c r="I50" s="149">
        <v>5.5905000000000005</v>
      </c>
    </row>
    <row r="51" spans="1:9" x14ac:dyDescent="0.25">
      <c r="A51" s="214"/>
      <c r="B51" s="35" t="s">
        <v>1410</v>
      </c>
      <c r="C51" s="35" t="s">
        <v>891</v>
      </c>
      <c r="D51" s="36">
        <v>174.1</v>
      </c>
      <c r="E51" s="33">
        <v>1.1399999999999999</v>
      </c>
      <c r="F51" s="33">
        <f t="shared" si="0"/>
        <v>198.47399999999999</v>
      </c>
      <c r="G51" s="44"/>
      <c r="H51" s="45"/>
      <c r="I51" s="149">
        <v>5.5905000000000005</v>
      </c>
    </row>
    <row r="52" spans="1:9" x14ac:dyDescent="0.25">
      <c r="A52" s="214"/>
      <c r="B52" s="35" t="s">
        <v>740</v>
      </c>
      <c r="C52" s="35" t="s">
        <v>891</v>
      </c>
      <c r="D52" s="36">
        <v>195.86</v>
      </c>
      <c r="E52" s="33">
        <v>0.627</v>
      </c>
      <c r="F52" s="33">
        <f t="shared" si="0"/>
        <v>122.80422000000002</v>
      </c>
      <c r="G52" s="44"/>
      <c r="H52" s="45"/>
      <c r="I52" s="149">
        <v>5.5905000000000005</v>
      </c>
    </row>
    <row r="53" spans="1:9" ht="25.5" x14ac:dyDescent="0.25">
      <c r="A53" s="214"/>
      <c r="B53" s="35" t="s">
        <v>115</v>
      </c>
      <c r="C53" s="35" t="s">
        <v>695</v>
      </c>
      <c r="D53" s="36">
        <v>4.5</v>
      </c>
      <c r="E53" s="30">
        <v>18.534500000000001</v>
      </c>
      <c r="F53" s="33">
        <f t="shared" si="0"/>
        <v>83.405250000000009</v>
      </c>
      <c r="G53" s="44"/>
      <c r="H53" s="45"/>
      <c r="I53" s="149">
        <v>5.5905000000000005</v>
      </c>
    </row>
    <row r="54" spans="1:9" ht="38.25" x14ac:dyDescent="0.25">
      <c r="A54" s="214"/>
      <c r="B54" s="35" t="s">
        <v>1411</v>
      </c>
      <c r="C54" s="35" t="s">
        <v>932</v>
      </c>
      <c r="D54" s="36">
        <v>1.05</v>
      </c>
      <c r="E54" s="30">
        <v>1.3774999999999999</v>
      </c>
      <c r="F54" s="33">
        <f t="shared" si="0"/>
        <v>1.446375</v>
      </c>
      <c r="G54" s="44"/>
      <c r="H54" s="45"/>
      <c r="I54" s="149">
        <v>5.5905000000000005</v>
      </c>
    </row>
    <row r="55" spans="1:9" ht="38.25" x14ac:dyDescent="0.25">
      <c r="A55" s="214"/>
      <c r="B55" s="35" t="s">
        <v>1412</v>
      </c>
      <c r="C55" s="35" t="s">
        <v>934</v>
      </c>
      <c r="D55" s="36">
        <v>3.45</v>
      </c>
      <c r="E55" s="30">
        <v>0.36099999999999999</v>
      </c>
      <c r="F55" s="33">
        <f t="shared" si="0"/>
        <v>1.2454499999999999</v>
      </c>
      <c r="G55" s="44"/>
      <c r="H55" s="45"/>
      <c r="I55" s="149">
        <v>5.5905000000000005</v>
      </c>
    </row>
    <row r="56" spans="1:9" ht="51" x14ac:dyDescent="0.25">
      <c r="A56" s="214"/>
      <c r="B56" s="35" t="s">
        <v>3507</v>
      </c>
      <c r="C56" s="35" t="s">
        <v>119</v>
      </c>
      <c r="D56" s="36">
        <f>ROUND(1*D50,4)</f>
        <v>1.1599999999999999</v>
      </c>
      <c r="E56" s="30">
        <v>7.9145696999999986</v>
      </c>
      <c r="F56" s="33">
        <f t="shared" si="0"/>
        <v>9.1809008519999971</v>
      </c>
      <c r="G56" s="44"/>
      <c r="H56" s="45"/>
      <c r="I56" s="149">
        <v>5.5905000000000005</v>
      </c>
    </row>
    <row r="57" spans="1:9" ht="38.25" x14ac:dyDescent="0.25">
      <c r="A57" s="214"/>
      <c r="B57" s="35" t="s">
        <v>3504</v>
      </c>
      <c r="C57" s="46" t="s">
        <v>121</v>
      </c>
      <c r="D57" s="36">
        <f>ROUND(D50*20,4)</f>
        <v>23.2</v>
      </c>
      <c r="E57" s="30">
        <v>2.6230221999999994</v>
      </c>
      <c r="F57" s="33">
        <f t="shared" si="0"/>
        <v>60.854115039999982</v>
      </c>
      <c r="G57" s="44"/>
      <c r="H57" s="45"/>
      <c r="I57" s="149">
        <v>5.5905000000000005</v>
      </c>
    </row>
    <row r="58" spans="1:9" x14ac:dyDescent="0.25">
      <c r="A58" s="214"/>
      <c r="B58" s="50"/>
      <c r="C58" s="46"/>
      <c r="D58" s="36"/>
      <c r="E58" s="30" t="s">
        <v>514</v>
      </c>
      <c r="F58" s="33" t="str">
        <f t="shared" si="0"/>
        <v/>
      </c>
      <c r="G58" s="44"/>
      <c r="H58" s="45"/>
      <c r="I58" s="149">
        <v>5.5905000000000005</v>
      </c>
    </row>
    <row r="59" spans="1:9" x14ac:dyDescent="0.25">
      <c r="A59" s="214"/>
      <c r="B59" s="47" t="s">
        <v>747</v>
      </c>
      <c r="C59" s="46"/>
      <c r="D59" s="36"/>
      <c r="E59" s="30" t="s">
        <v>514</v>
      </c>
      <c r="F59" s="33" t="str">
        <f t="shared" si="0"/>
        <v/>
      </c>
      <c r="G59" s="44"/>
      <c r="H59" s="45"/>
      <c r="I59" s="149">
        <v>5.5905000000000005</v>
      </c>
    </row>
    <row r="60" spans="1:9" ht="15.75" thickBot="1" x14ac:dyDescent="0.3">
      <c r="A60" s="217"/>
      <c r="B60" s="35" t="s">
        <v>514</v>
      </c>
      <c r="C60" s="35"/>
      <c r="D60" s="92"/>
      <c r="E60" s="30" t="s">
        <v>514</v>
      </c>
      <c r="F60" s="30" t="str">
        <f t="shared" si="0"/>
        <v/>
      </c>
      <c r="G60" s="34"/>
      <c r="H60" s="30"/>
      <c r="I60" s="149">
        <v>5.5905000000000005</v>
      </c>
    </row>
    <row r="61" spans="1:9" ht="26.25" hidden="1" customHeight="1" x14ac:dyDescent="0.25">
      <c r="A61" s="216" t="s">
        <v>6593</v>
      </c>
      <c r="B61" s="40" t="s">
        <v>514</v>
      </c>
      <c r="C61" s="25" t="s">
        <v>982</v>
      </c>
      <c r="D61" s="93"/>
      <c r="E61" s="41" t="s">
        <v>514</v>
      </c>
      <c r="F61" s="41" t="str">
        <f t="shared" si="0"/>
        <v/>
      </c>
      <c r="G61" s="28"/>
      <c r="H61" s="29"/>
      <c r="I61" s="149">
        <v>0</v>
      </c>
    </row>
    <row r="62" spans="1:9" ht="15.75" hidden="1" thickBot="1" x14ac:dyDescent="0.3">
      <c r="A62" s="214"/>
      <c r="B62" s="31" t="s">
        <v>514</v>
      </c>
      <c r="C62" s="31"/>
      <c r="D62" s="91"/>
      <c r="E62" s="97" t="s">
        <v>514</v>
      </c>
      <c r="F62" s="98" t="str">
        <f t="shared" si="0"/>
        <v/>
      </c>
      <c r="G62" s="34"/>
      <c r="H62" s="30"/>
      <c r="I62" s="149">
        <v>0</v>
      </c>
    </row>
    <row r="63" spans="1:9" ht="15.75" hidden="1" thickBot="1" x14ac:dyDescent="0.3">
      <c r="A63" s="214"/>
      <c r="B63" s="35" t="s">
        <v>740</v>
      </c>
      <c r="C63" s="35" t="s">
        <v>891</v>
      </c>
      <c r="D63" s="36">
        <v>0.5</v>
      </c>
      <c r="E63" s="33">
        <v>0.627</v>
      </c>
      <c r="F63" s="33">
        <f t="shared" si="0"/>
        <v>0.3135</v>
      </c>
      <c r="G63" s="44">
        <f>SUM(F63:F67)</f>
        <v>42.486084678039198</v>
      </c>
      <c r="H63" s="45"/>
      <c r="I63" s="149">
        <v>0</v>
      </c>
    </row>
    <row r="64" spans="1:9" ht="15.75" hidden="1" thickBot="1" x14ac:dyDescent="0.3">
      <c r="A64" s="214"/>
      <c r="B64" s="35" t="s">
        <v>209</v>
      </c>
      <c r="C64" s="35" t="s">
        <v>101</v>
      </c>
      <c r="D64" s="36">
        <v>0.21</v>
      </c>
      <c r="E64" s="33">
        <v>14.097999999999999</v>
      </c>
      <c r="F64" s="33">
        <f t="shared" si="0"/>
        <v>2.9605799999999998</v>
      </c>
      <c r="G64" s="44"/>
      <c r="H64" s="45"/>
      <c r="I64" s="149">
        <v>0</v>
      </c>
    </row>
    <row r="65" spans="1:9" ht="39" hidden="1" thickBot="1" x14ac:dyDescent="0.3">
      <c r="A65" s="214"/>
      <c r="B65" s="35" t="s">
        <v>1333</v>
      </c>
      <c r="C65" s="35" t="s">
        <v>119</v>
      </c>
      <c r="D65" s="36">
        <v>4.3099999999999999E-2</v>
      </c>
      <c r="E65" s="30">
        <v>715.73626863200002</v>
      </c>
      <c r="F65" s="33">
        <f t="shared" si="0"/>
        <v>30.848233178039202</v>
      </c>
      <c r="G65" s="44"/>
      <c r="H65" s="45"/>
      <c r="I65" s="149">
        <v>0</v>
      </c>
    </row>
    <row r="66" spans="1:9" ht="15.75" hidden="1" thickBot="1" x14ac:dyDescent="0.3">
      <c r="A66" s="214"/>
      <c r="B66" s="35" t="s">
        <v>1124</v>
      </c>
      <c r="C66" s="35" t="s">
        <v>695</v>
      </c>
      <c r="D66" s="36">
        <v>0.245</v>
      </c>
      <c r="E66" s="30">
        <v>24.889999999999997</v>
      </c>
      <c r="F66" s="33">
        <f t="shared" si="0"/>
        <v>6.0980499999999989</v>
      </c>
      <c r="G66" s="44"/>
      <c r="H66" s="45"/>
      <c r="I66" s="149">
        <v>0</v>
      </c>
    </row>
    <row r="67" spans="1:9" ht="15.75" hidden="1" thickBot="1" x14ac:dyDescent="0.3">
      <c r="A67" s="214"/>
      <c r="B67" s="35" t="s">
        <v>1405</v>
      </c>
      <c r="C67" s="35" t="s">
        <v>695</v>
      </c>
      <c r="D67" s="36">
        <v>0.123</v>
      </c>
      <c r="E67" s="30">
        <v>18.420500000000001</v>
      </c>
      <c r="F67" s="33">
        <f t="shared" si="0"/>
        <v>2.2657215000000002</v>
      </c>
      <c r="G67" s="44"/>
      <c r="H67" s="45"/>
      <c r="I67" s="149">
        <v>0</v>
      </c>
    </row>
    <row r="68" spans="1:9" ht="15.75" hidden="1" thickBot="1" x14ac:dyDescent="0.3">
      <c r="A68" s="217"/>
      <c r="B68" s="35" t="s">
        <v>514</v>
      </c>
      <c r="C68" s="35"/>
      <c r="D68" s="92"/>
      <c r="E68" s="30" t="s">
        <v>514</v>
      </c>
      <c r="F68" s="30" t="str">
        <f t="shared" si="0"/>
        <v/>
      </c>
      <c r="G68" s="34"/>
      <c r="H68" s="30"/>
      <c r="I68" s="149">
        <v>0</v>
      </c>
    </row>
    <row r="69" spans="1:9" ht="27" customHeight="1" thickBot="1" x14ac:dyDescent="0.3">
      <c r="A69" s="216" t="s">
        <v>176</v>
      </c>
      <c r="B69" s="40" t="s">
        <v>514</v>
      </c>
      <c r="C69" s="25" t="s">
        <v>119</v>
      </c>
      <c r="D69" s="93"/>
      <c r="E69" s="41" t="s">
        <v>514</v>
      </c>
      <c r="F69" s="41" t="str">
        <f t="shared" si="0"/>
        <v/>
      </c>
      <c r="G69" s="28"/>
      <c r="H69" s="29"/>
      <c r="I69" s="149">
        <v>3.9899999999999998</v>
      </c>
    </row>
    <row r="70" spans="1:9" x14ac:dyDescent="0.25">
      <c r="A70" s="214"/>
      <c r="B70" s="31" t="s">
        <v>514</v>
      </c>
      <c r="C70" s="31"/>
      <c r="D70" s="91"/>
      <c r="E70" s="42" t="s">
        <v>514</v>
      </c>
      <c r="F70" s="30" t="str">
        <f t="shared" ref="F70:F133" si="1">IF(ISNUMBER(E70),E70*$D70,"")</f>
        <v/>
      </c>
      <c r="G70" s="34"/>
      <c r="H70" s="30"/>
      <c r="I70" s="149">
        <v>3.9899999999999998</v>
      </c>
    </row>
    <row r="71" spans="1:9" ht="15.75" customHeight="1" x14ac:dyDescent="0.25">
      <c r="A71" s="214"/>
      <c r="B71" s="35" t="s">
        <v>1413</v>
      </c>
      <c r="C71" s="35" t="s">
        <v>119</v>
      </c>
      <c r="D71" s="36">
        <v>0.94</v>
      </c>
      <c r="E71" s="33">
        <v>188.09049999999999</v>
      </c>
      <c r="F71" s="33">
        <f t="shared" si="1"/>
        <v>176.80506999999997</v>
      </c>
      <c r="G71" s="44">
        <f>SUM(F71:F75)</f>
        <v>701.54050287799998</v>
      </c>
      <c r="H71" s="45"/>
      <c r="I71" s="149">
        <v>3.9899999999999998</v>
      </c>
    </row>
    <row r="72" spans="1:9" x14ac:dyDescent="0.25">
      <c r="A72" s="214"/>
      <c r="B72" s="35" t="s">
        <v>740</v>
      </c>
      <c r="C72" s="35" t="s">
        <v>891</v>
      </c>
      <c r="D72" s="36">
        <v>422.63</v>
      </c>
      <c r="E72" s="33">
        <v>0.627</v>
      </c>
      <c r="F72" s="33">
        <f t="shared" si="1"/>
        <v>264.98901000000001</v>
      </c>
      <c r="G72" s="44"/>
      <c r="H72" s="45"/>
      <c r="I72" s="149">
        <v>3.9899999999999998</v>
      </c>
    </row>
    <row r="73" spans="1:9" x14ac:dyDescent="0.25">
      <c r="A73" s="214"/>
      <c r="B73" s="35" t="s">
        <v>1405</v>
      </c>
      <c r="C73" s="35" t="s">
        <v>695</v>
      </c>
      <c r="D73" s="36">
        <v>11.02</v>
      </c>
      <c r="E73" s="30">
        <v>18.420500000000001</v>
      </c>
      <c r="F73" s="33">
        <f t="shared" si="1"/>
        <v>202.99391</v>
      </c>
      <c r="G73" s="44"/>
      <c r="H73" s="45"/>
      <c r="I73" s="149">
        <v>3.9899999999999998</v>
      </c>
    </row>
    <row r="74" spans="1:9" ht="51" x14ac:dyDescent="0.25">
      <c r="A74" s="214"/>
      <c r="B74" s="35" t="s">
        <v>3507</v>
      </c>
      <c r="C74" s="35" t="s">
        <v>119</v>
      </c>
      <c r="D74" s="36">
        <f>ROUND(1*D71,4)</f>
        <v>0.94</v>
      </c>
      <c r="E74" s="30">
        <v>7.9145696999999986</v>
      </c>
      <c r="F74" s="33">
        <f t="shared" si="1"/>
        <v>7.439695517999998</v>
      </c>
      <c r="G74" s="44"/>
      <c r="H74" s="45"/>
      <c r="I74" s="149">
        <v>3.9899999999999998</v>
      </c>
    </row>
    <row r="75" spans="1:9" ht="38.25" x14ac:dyDescent="0.25">
      <c r="A75" s="214"/>
      <c r="B75" s="35" t="s">
        <v>3504</v>
      </c>
      <c r="C75" s="46" t="s">
        <v>121</v>
      </c>
      <c r="D75" s="36">
        <f>ROUND(D71*20,4)</f>
        <v>18.8</v>
      </c>
      <c r="E75" s="30">
        <v>2.6230221999999994</v>
      </c>
      <c r="F75" s="33">
        <f t="shared" si="1"/>
        <v>49.31281735999999</v>
      </c>
      <c r="G75" s="44"/>
      <c r="H75" s="45"/>
      <c r="I75" s="149">
        <v>3.9899999999999998</v>
      </c>
    </row>
    <row r="76" spans="1:9" x14ac:dyDescent="0.25">
      <c r="A76" s="214"/>
      <c r="B76" s="50"/>
      <c r="C76" s="46"/>
      <c r="D76" s="36"/>
      <c r="E76" s="30" t="s">
        <v>514</v>
      </c>
      <c r="F76" s="33" t="str">
        <f t="shared" si="1"/>
        <v/>
      </c>
      <c r="G76" s="44"/>
      <c r="H76" s="45"/>
      <c r="I76" s="149">
        <v>3.9899999999999998</v>
      </c>
    </row>
    <row r="77" spans="1:9" x14ac:dyDescent="0.25">
      <c r="A77" s="214"/>
      <c r="B77" s="47" t="s">
        <v>747</v>
      </c>
      <c r="C77" s="46"/>
      <c r="D77" s="36"/>
      <c r="E77" s="30" t="s">
        <v>514</v>
      </c>
      <c r="F77" s="33" t="str">
        <f t="shared" si="1"/>
        <v/>
      </c>
      <c r="G77" s="44"/>
      <c r="H77" s="45"/>
      <c r="I77" s="149">
        <v>3.9899999999999998</v>
      </c>
    </row>
    <row r="78" spans="1:9" ht="26.25" customHeight="1" thickBot="1" x14ac:dyDescent="0.3">
      <c r="A78" s="217"/>
      <c r="B78" s="35" t="s">
        <v>514</v>
      </c>
      <c r="C78" s="35"/>
      <c r="D78" s="92"/>
      <c r="E78" s="30" t="s">
        <v>514</v>
      </c>
      <c r="F78" s="30" t="str">
        <f t="shared" si="1"/>
        <v/>
      </c>
      <c r="G78" s="34"/>
      <c r="H78" s="30"/>
      <c r="I78" s="149">
        <v>3.9899999999999998</v>
      </c>
    </row>
    <row r="79" spans="1:9" ht="27" customHeight="1" thickBot="1" x14ac:dyDescent="0.3">
      <c r="A79" s="216" t="s">
        <v>174</v>
      </c>
      <c r="B79" s="40" t="s">
        <v>514</v>
      </c>
      <c r="C79" s="25" t="s">
        <v>119</v>
      </c>
      <c r="D79" s="93"/>
      <c r="E79" s="41" t="s">
        <v>514</v>
      </c>
      <c r="F79" s="41" t="str">
        <f t="shared" si="1"/>
        <v/>
      </c>
      <c r="G79" s="28"/>
      <c r="H79" s="29"/>
      <c r="I79" s="149">
        <v>9.6000000000000002E-2</v>
      </c>
    </row>
    <row r="80" spans="1:9" x14ac:dyDescent="0.25">
      <c r="A80" s="214"/>
      <c r="B80" s="31" t="s">
        <v>514</v>
      </c>
      <c r="C80" s="31"/>
      <c r="D80" s="91"/>
      <c r="E80" s="42" t="s">
        <v>514</v>
      </c>
      <c r="F80" s="30" t="str">
        <f t="shared" si="1"/>
        <v/>
      </c>
      <c r="G80" s="34"/>
      <c r="H80" s="30"/>
      <c r="I80" s="149">
        <v>9.6000000000000002E-2</v>
      </c>
    </row>
    <row r="81" spans="1:9" x14ac:dyDescent="0.25">
      <c r="A81" s="214"/>
      <c r="B81" s="35" t="s">
        <v>1414</v>
      </c>
      <c r="C81" s="35" t="s">
        <v>891</v>
      </c>
      <c r="D81" s="36">
        <v>1981.23</v>
      </c>
      <c r="E81" s="33">
        <v>1.0640000000000001</v>
      </c>
      <c r="F81" s="33">
        <f t="shared" si="1"/>
        <v>2108.0287200000002</v>
      </c>
      <c r="G81" s="44">
        <f>SUM(F81:F84)</f>
        <v>2202.9037000000003</v>
      </c>
      <c r="H81" s="45"/>
      <c r="I81" s="149">
        <v>9.6000000000000002E-2</v>
      </c>
    </row>
    <row r="82" spans="1:9" ht="25.5" x14ac:dyDescent="0.25">
      <c r="A82" s="214"/>
      <c r="B82" s="35" t="s">
        <v>115</v>
      </c>
      <c r="C82" s="35" t="s">
        <v>695</v>
      </c>
      <c r="D82" s="36">
        <v>4.72</v>
      </c>
      <c r="E82" s="30">
        <v>18.534500000000001</v>
      </c>
      <c r="F82" s="33">
        <f t="shared" si="1"/>
        <v>87.482839999999996</v>
      </c>
      <c r="G82" s="44"/>
      <c r="H82" s="45"/>
      <c r="I82" s="149">
        <v>9.6000000000000002E-2</v>
      </c>
    </row>
    <row r="83" spans="1:9" ht="25.5" x14ac:dyDescent="0.25">
      <c r="A83" s="214"/>
      <c r="B83" s="35" t="s">
        <v>1415</v>
      </c>
      <c r="C83" s="35" t="s">
        <v>932</v>
      </c>
      <c r="D83" s="36">
        <v>1.1000000000000001</v>
      </c>
      <c r="E83" s="30">
        <v>3.5625</v>
      </c>
      <c r="F83" s="94">
        <f t="shared" si="1"/>
        <v>3.9187500000000002</v>
      </c>
      <c r="G83" s="44"/>
      <c r="H83" s="45"/>
      <c r="I83" s="149">
        <v>9.6000000000000002E-2</v>
      </c>
    </row>
    <row r="84" spans="1:9" ht="25.5" x14ac:dyDescent="0.25">
      <c r="A84" s="214"/>
      <c r="B84" s="35" t="s">
        <v>1416</v>
      </c>
      <c r="C84" s="35" t="s">
        <v>934</v>
      </c>
      <c r="D84" s="36">
        <v>3.62</v>
      </c>
      <c r="E84" s="30">
        <v>0.95949999999999991</v>
      </c>
      <c r="F84" s="94">
        <f t="shared" si="1"/>
        <v>3.4733899999999998</v>
      </c>
      <c r="G84" s="44"/>
      <c r="H84" s="45"/>
      <c r="I84" s="149">
        <v>9.6000000000000002E-2</v>
      </c>
    </row>
    <row r="85" spans="1:9" ht="15.75" thickBot="1" x14ac:dyDescent="0.3">
      <c r="A85" s="217"/>
      <c r="B85" s="35" t="s">
        <v>514</v>
      </c>
      <c r="C85" s="35"/>
      <c r="D85" s="92"/>
      <c r="E85" s="30" t="s">
        <v>514</v>
      </c>
      <c r="F85" s="30" t="str">
        <f t="shared" si="1"/>
        <v/>
      </c>
      <c r="G85" s="34"/>
      <c r="H85" s="30"/>
      <c r="I85" s="149">
        <v>9.6000000000000002E-2</v>
      </c>
    </row>
    <row r="86" spans="1:9" ht="27" customHeight="1" thickBot="1" x14ac:dyDescent="0.3">
      <c r="A86" s="216" t="s">
        <v>208</v>
      </c>
      <c r="B86" s="40" t="s">
        <v>514</v>
      </c>
      <c r="C86" s="25" t="s">
        <v>119</v>
      </c>
      <c r="D86" s="93"/>
      <c r="E86" s="41" t="s">
        <v>514</v>
      </c>
      <c r="F86" s="41" t="str">
        <f t="shared" si="1"/>
        <v/>
      </c>
      <c r="G86" s="28"/>
      <c r="H86" s="29"/>
      <c r="I86" s="149">
        <v>36.5</v>
      </c>
    </row>
    <row r="87" spans="1:9" x14ac:dyDescent="0.25">
      <c r="A87" s="214"/>
      <c r="B87" s="31" t="s">
        <v>514</v>
      </c>
      <c r="C87" s="31"/>
      <c r="D87" s="91"/>
      <c r="E87" s="42" t="s">
        <v>514</v>
      </c>
      <c r="F87" s="30" t="str">
        <f t="shared" si="1"/>
        <v/>
      </c>
      <c r="G87" s="34"/>
      <c r="H87" s="30"/>
      <c r="I87" s="149">
        <v>36.5</v>
      </c>
    </row>
    <row r="88" spans="1:9" ht="26.25" customHeight="1" x14ac:dyDescent="0.25">
      <c r="A88" s="214"/>
      <c r="B88" s="35" t="s">
        <v>744</v>
      </c>
      <c r="C88" s="35" t="s">
        <v>119</v>
      </c>
      <c r="D88" s="36">
        <v>1.35</v>
      </c>
      <c r="E88" s="33">
        <v>185.66799999999998</v>
      </c>
      <c r="F88" s="33">
        <f t="shared" si="1"/>
        <v>250.65179999999998</v>
      </c>
      <c r="G88" s="44">
        <f>SUM(F88:F92)</f>
        <v>820.17363849499998</v>
      </c>
      <c r="H88" s="45"/>
      <c r="I88" s="149">
        <v>36.5</v>
      </c>
    </row>
    <row r="89" spans="1:9" x14ac:dyDescent="0.25">
      <c r="A89" s="214"/>
      <c r="B89" s="35" t="s">
        <v>740</v>
      </c>
      <c r="C89" s="35" t="s">
        <v>891</v>
      </c>
      <c r="D89" s="36">
        <v>454.58</v>
      </c>
      <c r="E89" s="33">
        <v>0.627</v>
      </c>
      <c r="F89" s="33">
        <f t="shared" si="1"/>
        <v>285.02166</v>
      </c>
      <c r="G89" s="44"/>
      <c r="H89" s="45"/>
      <c r="I89" s="149">
        <v>36.5</v>
      </c>
    </row>
    <row r="90" spans="1:9" x14ac:dyDescent="0.25">
      <c r="A90" s="214"/>
      <c r="B90" s="35" t="s">
        <v>1405</v>
      </c>
      <c r="C90" s="35" t="s">
        <v>695</v>
      </c>
      <c r="D90" s="36">
        <v>11.02</v>
      </c>
      <c r="E90" s="30">
        <v>18.420500000000001</v>
      </c>
      <c r="F90" s="33">
        <f t="shared" si="1"/>
        <v>202.99391</v>
      </c>
      <c r="G90" s="44"/>
      <c r="H90" s="45"/>
      <c r="I90" s="149">
        <v>36.5</v>
      </c>
    </row>
    <row r="91" spans="1:9" ht="51" x14ac:dyDescent="0.25">
      <c r="A91" s="214"/>
      <c r="B91" s="35" t="s">
        <v>3507</v>
      </c>
      <c r="C91" s="35" t="s">
        <v>119</v>
      </c>
      <c r="D91" s="36">
        <f>ROUND(1*D88,4)</f>
        <v>1.35</v>
      </c>
      <c r="E91" s="30">
        <v>7.9145696999999986</v>
      </c>
      <c r="F91" s="33">
        <f t="shared" si="1"/>
        <v>10.684669094999999</v>
      </c>
      <c r="G91" s="44"/>
      <c r="H91" s="45"/>
      <c r="I91" s="149">
        <v>36.5</v>
      </c>
    </row>
    <row r="92" spans="1:9" ht="38.25" x14ac:dyDescent="0.25">
      <c r="A92" s="214"/>
      <c r="B92" s="35" t="s">
        <v>3504</v>
      </c>
      <c r="C92" s="46" t="s">
        <v>121</v>
      </c>
      <c r="D92" s="36">
        <f>ROUND(D88*20,4)</f>
        <v>27</v>
      </c>
      <c r="E92" s="30">
        <v>2.6230221999999994</v>
      </c>
      <c r="F92" s="33">
        <f t="shared" si="1"/>
        <v>70.821599399999982</v>
      </c>
      <c r="G92" s="44"/>
      <c r="H92" s="45"/>
      <c r="I92" s="149">
        <v>36.5</v>
      </c>
    </row>
    <row r="93" spans="1:9" x14ac:dyDescent="0.25">
      <c r="A93" s="214"/>
      <c r="B93" s="50"/>
      <c r="C93" s="46"/>
      <c r="D93" s="36"/>
      <c r="E93" s="30" t="s">
        <v>514</v>
      </c>
      <c r="F93" s="33" t="str">
        <f t="shared" si="1"/>
        <v/>
      </c>
      <c r="G93" s="44"/>
      <c r="H93" s="45"/>
      <c r="I93" s="149">
        <v>36.5</v>
      </c>
    </row>
    <row r="94" spans="1:9" x14ac:dyDescent="0.25">
      <c r="A94" s="214"/>
      <c r="B94" s="47" t="s">
        <v>747</v>
      </c>
      <c r="C94" s="46"/>
      <c r="D94" s="36"/>
      <c r="E94" s="30" t="s">
        <v>514</v>
      </c>
      <c r="F94" s="33" t="str">
        <f t="shared" si="1"/>
        <v/>
      </c>
      <c r="G94" s="44"/>
      <c r="H94" s="45"/>
      <c r="I94" s="149">
        <v>36.5</v>
      </c>
    </row>
    <row r="95" spans="1:9" ht="15.75" thickBot="1" x14ac:dyDescent="0.3">
      <c r="A95" s="217"/>
      <c r="B95" s="35" t="s">
        <v>514</v>
      </c>
      <c r="C95" s="35"/>
      <c r="D95" s="92"/>
      <c r="E95" s="30" t="s">
        <v>514</v>
      </c>
      <c r="F95" s="30" t="str">
        <f t="shared" si="1"/>
        <v/>
      </c>
      <c r="G95" s="34"/>
      <c r="H95" s="30"/>
      <c r="I95" s="149">
        <v>36.5</v>
      </c>
    </row>
    <row r="96" spans="1:9" ht="27" hidden="1" customHeight="1" x14ac:dyDescent="0.25">
      <c r="A96" s="216" t="s">
        <v>244</v>
      </c>
      <c r="B96" s="40" t="s">
        <v>514</v>
      </c>
      <c r="C96" s="25" t="s">
        <v>119</v>
      </c>
      <c r="D96" s="93"/>
      <c r="E96" s="41" t="s">
        <v>514</v>
      </c>
      <c r="F96" s="41" t="str">
        <f t="shared" si="1"/>
        <v/>
      </c>
      <c r="G96" s="28"/>
      <c r="H96" s="29"/>
      <c r="I96" s="149">
        <v>0</v>
      </c>
    </row>
    <row r="97" spans="1:9" ht="15.75" hidden="1" thickBot="1" x14ac:dyDescent="0.3">
      <c r="A97" s="214"/>
      <c r="B97" s="31" t="s">
        <v>514</v>
      </c>
      <c r="C97" s="31"/>
      <c r="D97" s="91"/>
      <c r="E97" s="42" t="s">
        <v>514</v>
      </c>
      <c r="F97" s="30" t="str">
        <f t="shared" si="1"/>
        <v/>
      </c>
      <c r="G97" s="34"/>
      <c r="H97" s="30"/>
      <c r="I97" s="149">
        <v>0</v>
      </c>
    </row>
    <row r="98" spans="1:9" ht="15.75" hidden="1" customHeight="1" thickBot="1" x14ac:dyDescent="0.3">
      <c r="A98" s="214"/>
      <c r="B98" s="35" t="s">
        <v>744</v>
      </c>
      <c r="C98" s="35" t="s">
        <v>119</v>
      </c>
      <c r="D98" s="36">
        <v>1.1499999999999999</v>
      </c>
      <c r="E98" s="33">
        <v>185.66799999999998</v>
      </c>
      <c r="F98" s="33">
        <f t="shared" si="1"/>
        <v>213.51819999999995</v>
      </c>
      <c r="G98" s="44">
        <f>SUM(F98:F102)</f>
        <v>679.89699075499993</v>
      </c>
      <c r="H98" s="45"/>
      <c r="I98" s="149">
        <v>0</v>
      </c>
    </row>
    <row r="99" spans="1:9" ht="15.75" hidden="1" thickBot="1" x14ac:dyDescent="0.3">
      <c r="A99" s="214"/>
      <c r="B99" s="35" t="s">
        <v>740</v>
      </c>
      <c r="C99" s="35" t="s">
        <v>891</v>
      </c>
      <c r="D99" s="36">
        <v>389.54</v>
      </c>
      <c r="E99" s="33">
        <v>0.627</v>
      </c>
      <c r="F99" s="33">
        <f t="shared" si="1"/>
        <v>244.24158000000003</v>
      </c>
      <c r="G99" s="44"/>
      <c r="H99" s="45"/>
      <c r="I99" s="149">
        <v>0</v>
      </c>
    </row>
    <row r="100" spans="1:9" ht="15.75" hidden="1" thickBot="1" x14ac:dyDescent="0.3">
      <c r="A100" s="214"/>
      <c r="B100" s="35" t="s">
        <v>1405</v>
      </c>
      <c r="C100" s="35" t="s">
        <v>695</v>
      </c>
      <c r="D100" s="36">
        <v>8.2899999999999991</v>
      </c>
      <c r="E100" s="30">
        <v>18.420500000000001</v>
      </c>
      <c r="F100" s="33">
        <f t="shared" si="1"/>
        <v>152.70594499999999</v>
      </c>
      <c r="G100" s="44"/>
      <c r="H100" s="45"/>
      <c r="I100" s="149">
        <v>0</v>
      </c>
    </row>
    <row r="101" spans="1:9" ht="51.75" hidden="1" thickBot="1" x14ac:dyDescent="0.3">
      <c r="A101" s="214"/>
      <c r="B101" s="35" t="s">
        <v>3507</v>
      </c>
      <c r="C101" s="35" t="s">
        <v>119</v>
      </c>
      <c r="D101" s="36">
        <f>ROUND(1*D98,4)</f>
        <v>1.1499999999999999</v>
      </c>
      <c r="E101" s="30">
        <v>7.9145696999999986</v>
      </c>
      <c r="F101" s="33">
        <f t="shared" si="1"/>
        <v>9.1017551549999975</v>
      </c>
      <c r="G101" s="44"/>
      <c r="H101" s="45"/>
      <c r="I101" s="149">
        <v>0</v>
      </c>
    </row>
    <row r="102" spans="1:9" ht="39" hidden="1" thickBot="1" x14ac:dyDescent="0.3">
      <c r="A102" s="214"/>
      <c r="B102" s="35" t="s">
        <v>3504</v>
      </c>
      <c r="C102" s="46" t="s">
        <v>121</v>
      </c>
      <c r="D102" s="36">
        <f>ROUND(D98*20,4)</f>
        <v>23</v>
      </c>
      <c r="E102" s="30">
        <v>2.6230221999999994</v>
      </c>
      <c r="F102" s="33">
        <f t="shared" si="1"/>
        <v>60.329510599999985</v>
      </c>
      <c r="G102" s="44"/>
      <c r="H102" s="45"/>
      <c r="I102" s="149">
        <v>0</v>
      </c>
    </row>
    <row r="103" spans="1:9" ht="15.75" hidden="1" thickBot="1" x14ac:dyDescent="0.3">
      <c r="A103" s="214"/>
      <c r="B103" s="50"/>
      <c r="C103" s="46"/>
      <c r="D103" s="36"/>
      <c r="E103" s="30" t="s">
        <v>514</v>
      </c>
      <c r="F103" s="33" t="str">
        <f t="shared" si="1"/>
        <v/>
      </c>
      <c r="G103" s="44"/>
      <c r="H103" s="45"/>
      <c r="I103" s="149">
        <v>0</v>
      </c>
    </row>
    <row r="104" spans="1:9" ht="15.75" hidden="1" customHeight="1" thickBot="1" x14ac:dyDescent="0.3">
      <c r="A104" s="214"/>
      <c r="B104" s="47" t="s">
        <v>747</v>
      </c>
      <c r="C104" s="46"/>
      <c r="D104" s="36"/>
      <c r="E104" s="30" t="s">
        <v>514</v>
      </c>
      <c r="F104" s="33" t="str">
        <f t="shared" si="1"/>
        <v/>
      </c>
      <c r="G104" s="44"/>
      <c r="H104" s="45"/>
      <c r="I104" s="149">
        <v>0</v>
      </c>
    </row>
    <row r="105" spans="1:9" ht="15.75" hidden="1" thickBot="1" x14ac:dyDescent="0.3">
      <c r="A105" s="217"/>
      <c r="B105" s="35" t="s">
        <v>514</v>
      </c>
      <c r="C105" s="35"/>
      <c r="D105" s="92"/>
      <c r="E105" s="30" t="s">
        <v>514</v>
      </c>
      <c r="F105" s="30" t="str">
        <f t="shared" si="1"/>
        <v/>
      </c>
      <c r="G105" s="34"/>
      <c r="H105" s="30"/>
      <c r="I105" s="149">
        <v>0</v>
      </c>
    </row>
    <row r="106" spans="1:9" ht="40.15" hidden="1" customHeight="1" thickBot="1" x14ac:dyDescent="0.3">
      <c r="A106" s="216" t="s">
        <v>3203</v>
      </c>
      <c r="B106" s="40" t="s">
        <v>514</v>
      </c>
      <c r="C106" s="25" t="s">
        <v>473</v>
      </c>
      <c r="D106" s="93"/>
      <c r="E106" s="41" t="s">
        <v>514</v>
      </c>
      <c r="F106" s="41" t="str">
        <f t="shared" si="1"/>
        <v/>
      </c>
      <c r="G106" s="28"/>
      <c r="H106" s="29"/>
      <c r="I106" s="149">
        <v>0</v>
      </c>
    </row>
    <row r="107" spans="1:9" ht="15.75" hidden="1" thickBot="1" x14ac:dyDescent="0.3">
      <c r="A107" s="214"/>
      <c r="B107" s="31" t="s">
        <v>514</v>
      </c>
      <c r="C107" s="31"/>
      <c r="D107" s="91"/>
      <c r="E107" s="42" t="s">
        <v>514</v>
      </c>
      <c r="F107" s="30" t="str">
        <f t="shared" si="1"/>
        <v/>
      </c>
      <c r="G107" s="34"/>
      <c r="H107" s="30"/>
      <c r="I107" s="149">
        <v>0</v>
      </c>
    </row>
    <row r="108" spans="1:9" ht="26.25" hidden="1" thickBot="1" x14ac:dyDescent="0.3">
      <c r="A108" s="214"/>
      <c r="B108" s="35" t="s">
        <v>6628</v>
      </c>
      <c r="C108" s="35" t="s">
        <v>278</v>
      </c>
      <c r="D108" s="36">
        <v>0.33300000000000002</v>
      </c>
      <c r="E108" s="33">
        <v>1.6719999999999999</v>
      </c>
      <c r="F108" s="33">
        <f t="shared" si="1"/>
        <v>0.55677600000000005</v>
      </c>
      <c r="G108" s="44">
        <f>SUM(F108:F110)</f>
        <v>1.502786</v>
      </c>
      <c r="H108" s="45"/>
      <c r="I108" s="149">
        <v>0</v>
      </c>
    </row>
    <row r="109" spans="1:9" ht="26.25" hidden="1" thickBot="1" x14ac:dyDescent="0.3">
      <c r="A109" s="214"/>
      <c r="B109" s="35" t="s">
        <v>106</v>
      </c>
      <c r="C109" s="35" t="s">
        <v>695</v>
      </c>
      <c r="D109" s="36">
        <v>5.0000000000000001E-3</v>
      </c>
      <c r="E109" s="30">
        <v>19.094999999999999</v>
      </c>
      <c r="F109" s="33">
        <f t="shared" si="1"/>
        <v>9.547499999999999E-2</v>
      </c>
      <c r="G109" s="44"/>
      <c r="H109" s="45"/>
      <c r="I109" s="149">
        <v>0</v>
      </c>
    </row>
    <row r="110" spans="1:9" ht="15.75" hidden="1" customHeight="1" thickBot="1" x14ac:dyDescent="0.3">
      <c r="A110" s="214"/>
      <c r="B110" s="35" t="s">
        <v>1406</v>
      </c>
      <c r="C110" s="35" t="s">
        <v>695</v>
      </c>
      <c r="D110" s="36">
        <v>3.5000000000000003E-2</v>
      </c>
      <c r="E110" s="30">
        <v>24.300999999999998</v>
      </c>
      <c r="F110" s="33">
        <f t="shared" si="1"/>
        <v>0.85053500000000004</v>
      </c>
      <c r="G110" s="44"/>
      <c r="H110" s="45"/>
      <c r="I110" s="149">
        <v>0</v>
      </c>
    </row>
    <row r="111" spans="1:9" ht="15.75" hidden="1" thickBot="1" x14ac:dyDescent="0.3">
      <c r="A111" s="217"/>
      <c r="B111" s="35" t="s">
        <v>514</v>
      </c>
      <c r="C111" s="35"/>
      <c r="D111" s="92"/>
      <c r="E111" s="30" t="s">
        <v>514</v>
      </c>
      <c r="F111" s="30" t="str">
        <f t="shared" si="1"/>
        <v/>
      </c>
      <c r="G111" s="34"/>
      <c r="H111" s="30"/>
      <c r="I111" s="149">
        <v>0</v>
      </c>
    </row>
    <row r="112" spans="1:9" ht="15.75" hidden="1" customHeight="1" thickBot="1" x14ac:dyDescent="0.3">
      <c r="A112" s="216" t="s">
        <v>8044</v>
      </c>
      <c r="B112" s="40" t="s">
        <v>514</v>
      </c>
      <c r="C112" s="25" t="s">
        <v>278</v>
      </c>
      <c r="D112" s="93"/>
      <c r="E112" s="41" t="s">
        <v>514</v>
      </c>
      <c r="F112" s="41" t="str">
        <f t="shared" si="1"/>
        <v/>
      </c>
      <c r="G112" s="28"/>
      <c r="H112" s="29"/>
      <c r="I112" s="149">
        <v>0</v>
      </c>
    </row>
    <row r="113" spans="1:9" ht="15.75" hidden="1" thickBot="1" x14ac:dyDescent="0.3">
      <c r="A113" s="214"/>
      <c r="B113" s="31" t="s">
        <v>514</v>
      </c>
      <c r="C113" s="31"/>
      <c r="D113" s="91"/>
      <c r="E113" s="42" t="s">
        <v>514</v>
      </c>
      <c r="F113" s="30" t="str">
        <f t="shared" si="1"/>
        <v/>
      </c>
      <c r="G113" s="34"/>
      <c r="H113" s="30"/>
      <c r="I113" s="149">
        <v>0</v>
      </c>
    </row>
    <row r="114" spans="1:9" ht="26.25" hidden="1" thickBot="1" x14ac:dyDescent="0.3">
      <c r="A114" s="214"/>
      <c r="B114" s="35" t="s">
        <v>1417</v>
      </c>
      <c r="C114" s="35" t="s">
        <v>278</v>
      </c>
      <c r="D114" s="36">
        <v>1</v>
      </c>
      <c r="E114" s="33">
        <v>2.4319999999999999</v>
      </c>
      <c r="F114" s="33">
        <f t="shared" si="1"/>
        <v>2.4319999999999999</v>
      </c>
      <c r="G114" s="44">
        <f>SUM(F114:F116)</f>
        <v>5.1052999999999997</v>
      </c>
      <c r="H114" s="45"/>
      <c r="I114" s="149">
        <v>0</v>
      </c>
    </row>
    <row r="115" spans="1:9" ht="15.75" hidden="1" thickBot="1" x14ac:dyDescent="0.3">
      <c r="A115" s="214"/>
      <c r="B115" s="35" t="s">
        <v>74</v>
      </c>
      <c r="C115" s="35" t="s">
        <v>695</v>
      </c>
      <c r="D115" s="36">
        <v>0.06</v>
      </c>
      <c r="E115" s="30">
        <v>19.4085</v>
      </c>
      <c r="F115" s="33">
        <f t="shared" si="1"/>
        <v>1.1645099999999999</v>
      </c>
      <c r="G115" s="44"/>
      <c r="H115" s="45"/>
      <c r="I115" s="149">
        <v>0</v>
      </c>
    </row>
    <row r="116" spans="1:9" ht="15.75" hidden="1" customHeight="1" thickBot="1" x14ac:dyDescent="0.3">
      <c r="A116" s="214"/>
      <c r="B116" s="35" t="s">
        <v>30</v>
      </c>
      <c r="C116" s="35" t="s">
        <v>695</v>
      </c>
      <c r="D116" s="36">
        <v>0.06</v>
      </c>
      <c r="E116" s="30">
        <v>25.146499999999996</v>
      </c>
      <c r="F116" s="33">
        <f t="shared" si="1"/>
        <v>1.5087899999999996</v>
      </c>
      <c r="G116" s="44"/>
      <c r="H116" s="45"/>
      <c r="I116" s="149">
        <v>0</v>
      </c>
    </row>
    <row r="117" spans="1:9" ht="15.75" hidden="1" thickBot="1" x14ac:dyDescent="0.3">
      <c r="A117" s="217"/>
      <c r="B117" s="35" t="s">
        <v>514</v>
      </c>
      <c r="C117" s="35"/>
      <c r="D117" s="92"/>
      <c r="E117" s="30" t="s">
        <v>514</v>
      </c>
      <c r="F117" s="30" t="str">
        <f t="shared" si="1"/>
        <v/>
      </c>
      <c r="G117" s="34"/>
      <c r="H117" s="30"/>
      <c r="I117" s="149">
        <v>0</v>
      </c>
    </row>
    <row r="118" spans="1:9" ht="15.75" hidden="1" customHeight="1" thickBot="1" x14ac:dyDescent="0.3">
      <c r="A118" s="216" t="s">
        <v>8045</v>
      </c>
      <c r="B118" s="40" t="s">
        <v>514</v>
      </c>
      <c r="C118" s="25" t="s">
        <v>278</v>
      </c>
      <c r="D118" s="93"/>
      <c r="E118" s="41" t="s">
        <v>514</v>
      </c>
      <c r="F118" s="41" t="str">
        <f t="shared" si="1"/>
        <v/>
      </c>
      <c r="G118" s="28"/>
      <c r="H118" s="29"/>
      <c r="I118" s="149">
        <v>0</v>
      </c>
    </row>
    <row r="119" spans="1:9" ht="15.75" hidden="1" thickBot="1" x14ac:dyDescent="0.3">
      <c r="A119" s="214"/>
      <c r="B119" s="31" t="s">
        <v>514</v>
      </c>
      <c r="C119" s="31"/>
      <c r="D119" s="91"/>
      <c r="E119" s="42" t="s">
        <v>514</v>
      </c>
      <c r="F119" s="30" t="str">
        <f t="shared" si="1"/>
        <v/>
      </c>
      <c r="G119" s="34"/>
      <c r="H119" s="30"/>
      <c r="I119" s="149">
        <v>0</v>
      </c>
    </row>
    <row r="120" spans="1:9" ht="26.25" hidden="1" thickBot="1" x14ac:dyDescent="0.3">
      <c r="A120" s="214"/>
      <c r="B120" s="35" t="s">
        <v>1418</v>
      </c>
      <c r="C120" s="35" t="s">
        <v>278</v>
      </c>
      <c r="D120" s="36">
        <v>1</v>
      </c>
      <c r="E120" s="33">
        <v>2.831</v>
      </c>
      <c r="F120" s="33">
        <f t="shared" si="1"/>
        <v>2.831</v>
      </c>
      <c r="G120" s="44">
        <f>SUM(F120:F122)</f>
        <v>5.5042999999999997</v>
      </c>
      <c r="H120" s="45"/>
      <c r="I120" s="149">
        <v>0</v>
      </c>
    </row>
    <row r="121" spans="1:9" ht="15.75" hidden="1" thickBot="1" x14ac:dyDescent="0.3">
      <c r="A121" s="214"/>
      <c r="B121" s="35" t="s">
        <v>74</v>
      </c>
      <c r="C121" s="35" t="s">
        <v>695</v>
      </c>
      <c r="D121" s="36">
        <v>0.06</v>
      </c>
      <c r="E121" s="30">
        <v>19.4085</v>
      </c>
      <c r="F121" s="33">
        <f t="shared" si="1"/>
        <v>1.1645099999999999</v>
      </c>
      <c r="G121" s="44"/>
      <c r="H121" s="45"/>
      <c r="I121" s="149">
        <v>0</v>
      </c>
    </row>
    <row r="122" spans="1:9" ht="15.75" hidden="1" customHeight="1" thickBot="1" x14ac:dyDescent="0.3">
      <c r="A122" s="214"/>
      <c r="B122" s="35" t="s">
        <v>30</v>
      </c>
      <c r="C122" s="35" t="s">
        <v>695</v>
      </c>
      <c r="D122" s="36">
        <v>0.06</v>
      </c>
      <c r="E122" s="30">
        <v>25.146499999999996</v>
      </c>
      <c r="F122" s="33">
        <f t="shared" si="1"/>
        <v>1.5087899999999996</v>
      </c>
      <c r="G122" s="44"/>
      <c r="H122" s="45"/>
      <c r="I122" s="149">
        <v>0</v>
      </c>
    </row>
    <row r="123" spans="1:9" ht="15.75" hidden="1" thickBot="1" x14ac:dyDescent="0.3">
      <c r="A123" s="217"/>
      <c r="B123" s="35" t="s">
        <v>514</v>
      </c>
      <c r="C123" s="35"/>
      <c r="D123" s="92"/>
      <c r="E123" s="30" t="s">
        <v>514</v>
      </c>
      <c r="F123" s="30" t="str">
        <f t="shared" si="1"/>
        <v/>
      </c>
      <c r="G123" s="34"/>
      <c r="H123" s="30"/>
      <c r="I123" s="149">
        <v>0</v>
      </c>
    </row>
    <row r="124" spans="1:9" ht="15" hidden="1" customHeight="1" thickBot="1" x14ac:dyDescent="0.3">
      <c r="A124" s="216" t="s">
        <v>8046</v>
      </c>
      <c r="B124" s="40" t="s">
        <v>514</v>
      </c>
      <c r="C124" s="25" t="s">
        <v>278</v>
      </c>
      <c r="D124" s="93"/>
      <c r="E124" s="41" t="s">
        <v>514</v>
      </c>
      <c r="F124" s="41" t="str">
        <f t="shared" si="1"/>
        <v/>
      </c>
      <c r="G124" s="28"/>
      <c r="H124" s="29"/>
      <c r="I124" s="149">
        <v>0</v>
      </c>
    </row>
    <row r="125" spans="1:9" ht="15.75" hidden="1" thickBot="1" x14ac:dyDescent="0.3">
      <c r="A125" s="214"/>
      <c r="B125" s="31" t="s">
        <v>514</v>
      </c>
      <c r="C125" s="31"/>
      <c r="D125" s="91"/>
      <c r="E125" s="42" t="s">
        <v>514</v>
      </c>
      <c r="F125" s="30" t="str">
        <f t="shared" si="1"/>
        <v/>
      </c>
      <c r="G125" s="34"/>
      <c r="H125" s="30"/>
      <c r="I125" s="149">
        <v>0</v>
      </c>
    </row>
    <row r="126" spans="1:9" ht="26.25" hidden="1" thickBot="1" x14ac:dyDescent="0.3">
      <c r="A126" s="214"/>
      <c r="B126" s="35" t="s">
        <v>1419</v>
      </c>
      <c r="C126" s="35" t="s">
        <v>278</v>
      </c>
      <c r="D126" s="36">
        <v>1</v>
      </c>
      <c r="E126" s="33">
        <v>5.016</v>
      </c>
      <c r="F126" s="33">
        <f t="shared" si="1"/>
        <v>5.016</v>
      </c>
      <c r="G126" s="44">
        <f>SUM(F126:F128)</f>
        <v>9.0259499999999999</v>
      </c>
      <c r="H126" s="45"/>
      <c r="I126" s="149">
        <v>0</v>
      </c>
    </row>
    <row r="127" spans="1:9" ht="15.75" hidden="1" thickBot="1" x14ac:dyDescent="0.3">
      <c r="A127" s="214"/>
      <c r="B127" s="35" t="s">
        <v>74</v>
      </c>
      <c r="C127" s="35" t="s">
        <v>695</v>
      </c>
      <c r="D127" s="36">
        <v>0.09</v>
      </c>
      <c r="E127" s="30">
        <v>19.4085</v>
      </c>
      <c r="F127" s="33">
        <f t="shared" si="1"/>
        <v>1.7467649999999999</v>
      </c>
      <c r="G127" s="44"/>
      <c r="H127" s="45"/>
      <c r="I127" s="149">
        <v>0</v>
      </c>
    </row>
    <row r="128" spans="1:9" ht="15.75" hidden="1" customHeight="1" thickBot="1" x14ac:dyDescent="0.3">
      <c r="A128" s="214"/>
      <c r="B128" s="35" t="s">
        <v>30</v>
      </c>
      <c r="C128" s="35" t="s">
        <v>695</v>
      </c>
      <c r="D128" s="36">
        <v>0.09</v>
      </c>
      <c r="E128" s="30">
        <v>25.146499999999996</v>
      </c>
      <c r="F128" s="33">
        <f t="shared" si="1"/>
        <v>2.2631849999999996</v>
      </c>
      <c r="G128" s="44"/>
      <c r="H128" s="45"/>
      <c r="I128" s="149">
        <v>0</v>
      </c>
    </row>
    <row r="129" spans="1:9" ht="15.75" hidden="1" thickBot="1" x14ac:dyDescent="0.3">
      <c r="A129" s="217"/>
      <c r="B129" s="35" t="s">
        <v>514</v>
      </c>
      <c r="C129" s="35"/>
      <c r="D129" s="92"/>
      <c r="E129" s="30" t="s">
        <v>514</v>
      </c>
      <c r="F129" s="30" t="str">
        <f t="shared" si="1"/>
        <v/>
      </c>
      <c r="G129" s="34"/>
      <c r="H129" s="30"/>
      <c r="I129" s="149">
        <v>0</v>
      </c>
    </row>
    <row r="130" spans="1:9" ht="15" hidden="1" customHeight="1" thickBot="1" x14ac:dyDescent="0.3">
      <c r="A130" s="216" t="s">
        <v>8047</v>
      </c>
      <c r="B130" s="40" t="s">
        <v>514</v>
      </c>
      <c r="C130" s="25" t="s">
        <v>278</v>
      </c>
      <c r="D130" s="93"/>
      <c r="E130" s="41" t="s">
        <v>514</v>
      </c>
      <c r="F130" s="41" t="str">
        <f t="shared" si="1"/>
        <v/>
      </c>
      <c r="G130" s="28"/>
      <c r="H130" s="29"/>
      <c r="I130" s="149">
        <v>0</v>
      </c>
    </row>
    <row r="131" spans="1:9" ht="15.75" hidden="1" thickBot="1" x14ac:dyDescent="0.3">
      <c r="A131" s="214"/>
      <c r="B131" s="31" t="s">
        <v>514</v>
      </c>
      <c r="C131" s="31"/>
      <c r="D131" s="91"/>
      <c r="E131" s="42" t="s">
        <v>514</v>
      </c>
      <c r="F131" s="30" t="str">
        <f t="shared" si="1"/>
        <v/>
      </c>
      <c r="G131" s="34"/>
      <c r="H131" s="30"/>
      <c r="I131" s="149">
        <v>0</v>
      </c>
    </row>
    <row r="132" spans="1:9" ht="26.25" hidden="1" thickBot="1" x14ac:dyDescent="0.3">
      <c r="A132" s="214"/>
      <c r="B132" s="35" t="s">
        <v>1420</v>
      </c>
      <c r="C132" s="35" t="s">
        <v>278</v>
      </c>
      <c r="D132" s="36">
        <v>1</v>
      </c>
      <c r="E132" s="33">
        <v>7.2579999999999991</v>
      </c>
      <c r="F132" s="33">
        <f t="shared" si="1"/>
        <v>7.2579999999999991</v>
      </c>
      <c r="G132" s="44">
        <f>SUM(F132:F134)</f>
        <v>11.267949999999999</v>
      </c>
      <c r="H132" s="45"/>
      <c r="I132" s="149">
        <v>0</v>
      </c>
    </row>
    <row r="133" spans="1:9" ht="15.75" hidden="1" thickBot="1" x14ac:dyDescent="0.3">
      <c r="A133" s="214"/>
      <c r="B133" s="35" t="s">
        <v>74</v>
      </c>
      <c r="C133" s="35" t="s">
        <v>695</v>
      </c>
      <c r="D133" s="36">
        <v>0.09</v>
      </c>
      <c r="E133" s="30">
        <v>19.4085</v>
      </c>
      <c r="F133" s="33">
        <f t="shared" si="1"/>
        <v>1.7467649999999999</v>
      </c>
      <c r="G133" s="44"/>
      <c r="H133" s="45"/>
      <c r="I133" s="149">
        <v>0</v>
      </c>
    </row>
    <row r="134" spans="1:9" ht="15.75" hidden="1" customHeight="1" thickBot="1" x14ac:dyDescent="0.3">
      <c r="A134" s="214"/>
      <c r="B134" s="35" t="s">
        <v>30</v>
      </c>
      <c r="C134" s="35" t="s">
        <v>695</v>
      </c>
      <c r="D134" s="36">
        <v>0.09</v>
      </c>
      <c r="E134" s="30">
        <v>25.146499999999996</v>
      </c>
      <c r="F134" s="33">
        <f t="shared" ref="F134:F197" si="2">IF(ISNUMBER(E134),E134*$D134,"")</f>
        <v>2.2631849999999996</v>
      </c>
      <c r="G134" s="44"/>
      <c r="H134" s="45"/>
      <c r="I134" s="149">
        <v>0</v>
      </c>
    </row>
    <row r="135" spans="1:9" ht="15.75" hidden="1" thickBot="1" x14ac:dyDescent="0.3">
      <c r="A135" s="217"/>
      <c r="B135" s="35" t="s">
        <v>514</v>
      </c>
      <c r="C135" s="35"/>
      <c r="D135" s="92"/>
      <c r="E135" s="30" t="s">
        <v>514</v>
      </c>
      <c r="F135" s="30" t="str">
        <f t="shared" si="2"/>
        <v/>
      </c>
      <c r="G135" s="34"/>
      <c r="H135" s="30"/>
      <c r="I135" s="149">
        <v>0</v>
      </c>
    </row>
    <row r="136" spans="1:9" ht="40.15" hidden="1" customHeight="1" thickBot="1" x14ac:dyDescent="0.3">
      <c r="A136" s="216" t="s">
        <v>3204</v>
      </c>
      <c r="B136" s="40" t="s">
        <v>514</v>
      </c>
      <c r="C136" s="25" t="s">
        <v>473</v>
      </c>
      <c r="D136" s="93"/>
      <c r="E136" s="41" t="s">
        <v>514</v>
      </c>
      <c r="F136" s="41" t="str">
        <f t="shared" si="2"/>
        <v/>
      </c>
      <c r="G136" s="28"/>
      <c r="H136" s="29"/>
      <c r="I136" s="149">
        <v>0</v>
      </c>
    </row>
    <row r="137" spans="1:9" ht="15.75" hidden="1" thickBot="1" x14ac:dyDescent="0.3">
      <c r="A137" s="214"/>
      <c r="B137" s="31" t="s">
        <v>514</v>
      </c>
      <c r="C137" s="31"/>
      <c r="D137" s="91"/>
      <c r="E137" s="97" t="s">
        <v>514</v>
      </c>
      <c r="F137" s="98" t="str">
        <f t="shared" si="2"/>
        <v/>
      </c>
      <c r="G137" s="34"/>
      <c r="H137" s="30"/>
      <c r="I137" s="149">
        <v>0</v>
      </c>
    </row>
    <row r="138" spans="1:9" ht="26.25" hidden="1" thickBot="1" x14ac:dyDescent="0.3">
      <c r="A138" s="214"/>
      <c r="B138" s="35" t="s">
        <v>1433</v>
      </c>
      <c r="C138" s="35" t="s">
        <v>278</v>
      </c>
      <c r="D138" s="36">
        <v>0.33300000000000002</v>
      </c>
      <c r="E138" s="33">
        <v>3.4294999999999995</v>
      </c>
      <c r="F138" s="33">
        <f t="shared" si="2"/>
        <v>1.1420234999999999</v>
      </c>
      <c r="G138" s="44">
        <f>SUM(F138:F140)</f>
        <v>2.9420454999999999</v>
      </c>
      <c r="H138" s="45"/>
      <c r="I138" s="149">
        <v>0</v>
      </c>
    </row>
    <row r="139" spans="1:9" ht="26.25" hidden="1" thickBot="1" x14ac:dyDescent="0.3">
      <c r="A139" s="214"/>
      <c r="B139" s="35" t="s">
        <v>106</v>
      </c>
      <c r="C139" s="35" t="s">
        <v>695</v>
      </c>
      <c r="D139" s="36">
        <v>8.9999999999999993E-3</v>
      </c>
      <c r="E139" s="30">
        <v>19.094999999999999</v>
      </c>
      <c r="F139" s="33">
        <f t="shared" si="2"/>
        <v>0.17185499999999998</v>
      </c>
      <c r="G139" s="44"/>
      <c r="H139" s="45"/>
      <c r="I139" s="149">
        <v>0</v>
      </c>
    </row>
    <row r="140" spans="1:9" ht="15.75" hidden="1" thickBot="1" x14ac:dyDescent="0.3">
      <c r="A140" s="214"/>
      <c r="B140" s="35" t="s">
        <v>1406</v>
      </c>
      <c r="C140" s="35" t="s">
        <v>695</v>
      </c>
      <c r="D140" s="36">
        <v>6.7000000000000004E-2</v>
      </c>
      <c r="E140" s="30">
        <v>24.300999999999998</v>
      </c>
      <c r="F140" s="33">
        <f t="shared" si="2"/>
        <v>1.6281669999999999</v>
      </c>
      <c r="G140" s="44"/>
      <c r="H140" s="45"/>
      <c r="I140" s="149">
        <v>0</v>
      </c>
    </row>
    <row r="141" spans="1:9" ht="15.75" hidden="1" thickBot="1" x14ac:dyDescent="0.3">
      <c r="A141" s="217"/>
      <c r="B141" s="35" t="s">
        <v>514</v>
      </c>
      <c r="C141" s="35"/>
      <c r="D141" s="92"/>
      <c r="E141" s="30" t="s">
        <v>514</v>
      </c>
      <c r="F141" s="30" t="str">
        <f t="shared" si="2"/>
        <v/>
      </c>
      <c r="G141" s="34"/>
      <c r="H141" s="30"/>
      <c r="I141" s="149">
        <v>0</v>
      </c>
    </row>
    <row r="142" spans="1:9" ht="26.25" customHeight="1" thickBot="1" x14ac:dyDescent="0.3">
      <c r="A142" s="216" t="s">
        <v>162</v>
      </c>
      <c r="B142" s="40" t="s">
        <v>514</v>
      </c>
      <c r="C142" s="25" t="s">
        <v>119</v>
      </c>
      <c r="D142" s="93"/>
      <c r="E142" s="41" t="s">
        <v>514</v>
      </c>
      <c r="F142" s="41" t="str">
        <f t="shared" si="2"/>
        <v/>
      </c>
      <c r="G142" s="28"/>
      <c r="H142" s="29"/>
      <c r="I142" s="149">
        <v>1.4039999999999999</v>
      </c>
    </row>
    <row r="143" spans="1:9" x14ac:dyDescent="0.25">
      <c r="A143" s="214"/>
      <c r="B143" s="31" t="s">
        <v>514</v>
      </c>
      <c r="C143" s="31"/>
      <c r="D143" s="91"/>
      <c r="E143" s="42" t="s">
        <v>514</v>
      </c>
      <c r="F143" s="30" t="str">
        <f t="shared" si="2"/>
        <v/>
      </c>
      <c r="G143" s="34"/>
      <c r="H143" s="30"/>
      <c r="I143" s="149">
        <v>1.4039999999999999</v>
      </c>
    </row>
    <row r="144" spans="1:9" ht="25.5" x14ac:dyDescent="0.25">
      <c r="A144" s="214"/>
      <c r="B144" s="35" t="s">
        <v>744</v>
      </c>
      <c r="C144" s="35" t="s">
        <v>119</v>
      </c>
      <c r="D144" s="36">
        <v>1.18</v>
      </c>
      <c r="E144" s="33">
        <v>185.66799999999998</v>
      </c>
      <c r="F144" s="33">
        <f t="shared" si="2"/>
        <v>219.08823999999996</v>
      </c>
      <c r="G144" s="44">
        <f>SUM(F144:F152)</f>
        <v>670.81031616600012</v>
      </c>
      <c r="H144" s="45"/>
      <c r="I144" s="149">
        <v>1.4039999999999999</v>
      </c>
    </row>
    <row r="145" spans="1:9" x14ac:dyDescent="0.25">
      <c r="A145" s="214"/>
      <c r="B145" s="35" t="s">
        <v>1410</v>
      </c>
      <c r="C145" s="35" t="s">
        <v>891</v>
      </c>
      <c r="D145" s="36">
        <v>157.44</v>
      </c>
      <c r="E145" s="33">
        <v>1.1399999999999999</v>
      </c>
      <c r="F145" s="33">
        <f t="shared" si="2"/>
        <v>179.48159999999999</v>
      </c>
      <c r="G145" s="44"/>
      <c r="H145" s="45"/>
      <c r="I145" s="149">
        <v>1.4039999999999999</v>
      </c>
    </row>
    <row r="146" spans="1:9" x14ac:dyDescent="0.25">
      <c r="A146" s="214"/>
      <c r="B146" s="35" t="s">
        <v>740</v>
      </c>
      <c r="C146" s="35" t="s">
        <v>891</v>
      </c>
      <c r="D146" s="36">
        <v>177.12</v>
      </c>
      <c r="E146" s="33">
        <v>0.627</v>
      </c>
      <c r="F146" s="33">
        <f t="shared" si="2"/>
        <v>111.05424000000001</v>
      </c>
      <c r="G146" s="44"/>
      <c r="H146" s="45"/>
      <c r="I146" s="149">
        <v>1.4039999999999999</v>
      </c>
    </row>
    <row r="147" spans="1:9" x14ac:dyDescent="0.25">
      <c r="A147" s="214"/>
      <c r="B147" s="35" t="s">
        <v>1405</v>
      </c>
      <c r="C147" s="35" t="s">
        <v>695</v>
      </c>
      <c r="D147" s="36">
        <v>0.79</v>
      </c>
      <c r="E147" s="30">
        <v>18.420500000000001</v>
      </c>
      <c r="F147" s="33">
        <f t="shared" si="2"/>
        <v>14.552195000000001</v>
      </c>
      <c r="G147" s="44"/>
      <c r="H147" s="45"/>
      <c r="I147" s="149">
        <v>1.4039999999999999</v>
      </c>
    </row>
    <row r="148" spans="1:9" ht="25.5" x14ac:dyDescent="0.25">
      <c r="A148" s="214"/>
      <c r="B148" s="35" t="s">
        <v>115</v>
      </c>
      <c r="C148" s="35" t="s">
        <v>695</v>
      </c>
      <c r="D148" s="36">
        <v>3.65</v>
      </c>
      <c r="E148" s="30">
        <v>18.534500000000001</v>
      </c>
      <c r="F148" s="33">
        <f t="shared" si="2"/>
        <v>67.650925000000001</v>
      </c>
      <c r="G148" s="44"/>
      <c r="H148" s="45"/>
      <c r="I148" s="149">
        <v>1.4039999999999999</v>
      </c>
    </row>
    <row r="149" spans="1:9" ht="38.25" x14ac:dyDescent="0.25">
      <c r="A149" s="214"/>
      <c r="B149" s="35" t="s">
        <v>1421</v>
      </c>
      <c r="C149" s="35" t="s">
        <v>932</v>
      </c>
      <c r="D149" s="36">
        <v>0.85</v>
      </c>
      <c r="E149" s="30">
        <v>4.2560000000000002</v>
      </c>
      <c r="F149" s="33">
        <f t="shared" si="2"/>
        <v>3.6175999999999999</v>
      </c>
      <c r="G149" s="44"/>
      <c r="H149" s="45"/>
      <c r="I149" s="149">
        <v>1.4039999999999999</v>
      </c>
    </row>
    <row r="150" spans="1:9" ht="38.25" x14ac:dyDescent="0.25">
      <c r="A150" s="214"/>
      <c r="B150" s="35" t="s">
        <v>1422</v>
      </c>
      <c r="C150" s="35" t="s">
        <v>934</v>
      </c>
      <c r="D150" s="36">
        <v>2.8</v>
      </c>
      <c r="E150" s="30">
        <v>1.4724999999999999</v>
      </c>
      <c r="F150" s="33">
        <f t="shared" si="2"/>
        <v>4.1229999999999993</v>
      </c>
      <c r="G150" s="44"/>
      <c r="H150" s="45"/>
      <c r="I150" s="149">
        <v>1.4039999999999999</v>
      </c>
    </row>
    <row r="151" spans="1:9" ht="51" x14ac:dyDescent="0.25">
      <c r="A151" s="214"/>
      <c r="B151" s="35" t="s">
        <v>3507</v>
      </c>
      <c r="C151" s="35" t="s">
        <v>119</v>
      </c>
      <c r="D151" s="36">
        <f>ROUND(1*D144,4)</f>
        <v>1.18</v>
      </c>
      <c r="E151" s="30">
        <v>7.9145696999999986</v>
      </c>
      <c r="F151" s="33">
        <f t="shared" si="2"/>
        <v>9.3391922459999979</v>
      </c>
      <c r="G151" s="44"/>
      <c r="H151" s="45"/>
      <c r="I151" s="149">
        <v>1.4039999999999999</v>
      </c>
    </row>
    <row r="152" spans="1:9" ht="38.25" x14ac:dyDescent="0.25">
      <c r="A152" s="214"/>
      <c r="B152" s="35" t="s">
        <v>3504</v>
      </c>
      <c r="C152" s="46" t="s">
        <v>121</v>
      </c>
      <c r="D152" s="36">
        <f>ROUND(D144*20,4)</f>
        <v>23.6</v>
      </c>
      <c r="E152" s="30">
        <v>2.6230221999999994</v>
      </c>
      <c r="F152" s="33">
        <f t="shared" si="2"/>
        <v>61.903323919999991</v>
      </c>
      <c r="G152" s="44"/>
      <c r="H152" s="45"/>
      <c r="I152" s="149">
        <v>1.4039999999999999</v>
      </c>
    </row>
    <row r="153" spans="1:9" x14ac:dyDescent="0.25">
      <c r="A153" s="214"/>
      <c r="B153" s="50"/>
      <c r="C153" s="46"/>
      <c r="D153" s="36"/>
      <c r="E153" s="30" t="s">
        <v>514</v>
      </c>
      <c r="F153" s="33" t="str">
        <f t="shared" si="2"/>
        <v/>
      </c>
      <c r="G153" s="44"/>
      <c r="H153" s="45"/>
      <c r="I153" s="149">
        <v>1.4039999999999999</v>
      </c>
    </row>
    <row r="154" spans="1:9" ht="15.75" customHeight="1" x14ac:dyDescent="0.25">
      <c r="A154" s="214"/>
      <c r="B154" s="47" t="s">
        <v>747</v>
      </c>
      <c r="C154" s="46"/>
      <c r="D154" s="36"/>
      <c r="E154" s="30" t="s">
        <v>514</v>
      </c>
      <c r="F154" s="33" t="str">
        <f t="shared" si="2"/>
        <v/>
      </c>
      <c r="G154" s="44"/>
      <c r="H154" s="45"/>
      <c r="I154" s="149">
        <v>1.4039999999999999</v>
      </c>
    </row>
    <row r="155" spans="1:9" ht="15.75" thickBot="1" x14ac:dyDescent="0.3">
      <c r="A155" s="217"/>
      <c r="B155" s="35"/>
      <c r="C155" s="35"/>
      <c r="D155" s="92"/>
      <c r="E155" s="30" t="s">
        <v>514</v>
      </c>
      <c r="F155" s="30" t="str">
        <f t="shared" si="2"/>
        <v/>
      </c>
      <c r="G155" s="34"/>
      <c r="H155" s="30"/>
      <c r="I155" s="149">
        <v>1.4039999999999999</v>
      </c>
    </row>
    <row r="156" spans="1:9" ht="27" hidden="1" customHeight="1" x14ac:dyDescent="0.25">
      <c r="A156" s="216" t="s">
        <v>1333</v>
      </c>
      <c r="B156" s="40" t="s">
        <v>514</v>
      </c>
      <c r="C156" s="25" t="s">
        <v>119</v>
      </c>
      <c r="D156" s="93"/>
      <c r="E156" s="41" t="s">
        <v>514</v>
      </c>
      <c r="F156" s="41" t="str">
        <f t="shared" si="2"/>
        <v/>
      </c>
      <c r="G156" s="28"/>
      <c r="H156" s="29"/>
      <c r="I156" s="149">
        <v>0</v>
      </c>
    </row>
    <row r="157" spans="1:9" ht="15.75" hidden="1" thickBot="1" x14ac:dyDescent="0.3">
      <c r="A157" s="214"/>
      <c r="B157" s="31" t="s">
        <v>514</v>
      </c>
      <c r="C157" s="31"/>
      <c r="D157" s="91"/>
      <c r="E157" s="42" t="s">
        <v>514</v>
      </c>
      <c r="F157" s="30" t="str">
        <f t="shared" si="2"/>
        <v/>
      </c>
      <c r="G157" s="34"/>
      <c r="H157" s="30"/>
      <c r="I157" s="149">
        <v>0</v>
      </c>
    </row>
    <row r="158" spans="1:9" ht="26.25" hidden="1" thickBot="1" x14ac:dyDescent="0.3">
      <c r="A158" s="214"/>
      <c r="B158" s="35" t="s">
        <v>744</v>
      </c>
      <c r="C158" s="35" t="s">
        <v>119</v>
      </c>
      <c r="D158" s="36">
        <v>1.36</v>
      </c>
      <c r="E158" s="33">
        <v>185.66799999999998</v>
      </c>
      <c r="F158" s="33">
        <f t="shared" si="2"/>
        <v>252.50847999999999</v>
      </c>
      <c r="G158" s="44">
        <f>SUM(F158:F164)</f>
        <v>715.73626863200002</v>
      </c>
      <c r="H158" s="45"/>
      <c r="I158" s="149">
        <v>0</v>
      </c>
    </row>
    <row r="159" spans="1:9" ht="15.75" hidden="1" thickBot="1" x14ac:dyDescent="0.3">
      <c r="A159" s="214"/>
      <c r="B159" s="35" t="s">
        <v>740</v>
      </c>
      <c r="C159" s="35" t="s">
        <v>891</v>
      </c>
      <c r="D159" s="36">
        <v>459.85</v>
      </c>
      <c r="E159" s="33">
        <v>0.627</v>
      </c>
      <c r="F159" s="33">
        <f t="shared" si="2"/>
        <v>288.32595000000003</v>
      </c>
      <c r="G159" s="44"/>
      <c r="H159" s="45"/>
      <c r="I159" s="149">
        <v>0</v>
      </c>
    </row>
    <row r="160" spans="1:9" ht="15.75" hidden="1" customHeight="1" thickBot="1" x14ac:dyDescent="0.3">
      <c r="A160" s="214"/>
      <c r="B160" s="35" t="s">
        <v>115</v>
      </c>
      <c r="C160" s="35" t="s">
        <v>695</v>
      </c>
      <c r="D160" s="36">
        <v>4.8499999999999996</v>
      </c>
      <c r="E160" s="30">
        <v>18.534500000000001</v>
      </c>
      <c r="F160" s="33">
        <f t="shared" si="2"/>
        <v>89.892325</v>
      </c>
      <c r="G160" s="44"/>
      <c r="H160" s="45"/>
      <c r="I160" s="149">
        <v>0</v>
      </c>
    </row>
    <row r="161" spans="1:9" ht="39" hidden="1" thickBot="1" x14ac:dyDescent="0.3">
      <c r="A161" s="214"/>
      <c r="B161" s="35" t="s">
        <v>1411</v>
      </c>
      <c r="C161" s="35" t="s">
        <v>932</v>
      </c>
      <c r="D161" s="36">
        <v>1.1299999999999999</v>
      </c>
      <c r="E161" s="30">
        <v>1.3774999999999999</v>
      </c>
      <c r="F161" s="33">
        <f t="shared" si="2"/>
        <v>1.5565749999999998</v>
      </c>
      <c r="G161" s="44"/>
      <c r="H161" s="45"/>
      <c r="I161" s="149">
        <v>0</v>
      </c>
    </row>
    <row r="162" spans="1:9" ht="39" hidden="1" thickBot="1" x14ac:dyDescent="0.3">
      <c r="A162" s="214"/>
      <c r="B162" s="35" t="s">
        <v>1412</v>
      </c>
      <c r="C162" s="35" t="s">
        <v>934</v>
      </c>
      <c r="D162" s="36">
        <v>3.72</v>
      </c>
      <c r="E162" s="30">
        <v>0.36099999999999999</v>
      </c>
      <c r="F162" s="33">
        <f t="shared" si="2"/>
        <v>1.3429200000000001</v>
      </c>
      <c r="G162" s="44"/>
      <c r="H162" s="45"/>
      <c r="I162" s="149">
        <v>0</v>
      </c>
    </row>
    <row r="163" spans="1:9" ht="51.75" hidden="1" thickBot="1" x14ac:dyDescent="0.3">
      <c r="A163" s="214"/>
      <c r="B163" s="35" t="s">
        <v>3507</v>
      </c>
      <c r="C163" s="35" t="s">
        <v>119</v>
      </c>
      <c r="D163" s="36">
        <f>ROUND(1*D158,4)</f>
        <v>1.36</v>
      </c>
      <c r="E163" s="30">
        <v>7.9145696999999986</v>
      </c>
      <c r="F163" s="33">
        <f t="shared" si="2"/>
        <v>10.763814791999998</v>
      </c>
      <c r="G163" s="44"/>
      <c r="H163" s="45"/>
      <c r="I163" s="149">
        <v>0</v>
      </c>
    </row>
    <row r="164" spans="1:9" ht="39" hidden="1" thickBot="1" x14ac:dyDescent="0.3">
      <c r="A164" s="214"/>
      <c r="B164" s="35" t="s">
        <v>3504</v>
      </c>
      <c r="C164" s="46" t="s">
        <v>121</v>
      </c>
      <c r="D164" s="36">
        <f>ROUND(D158*20,4)</f>
        <v>27.2</v>
      </c>
      <c r="E164" s="30">
        <v>2.6230221999999994</v>
      </c>
      <c r="F164" s="33">
        <f t="shared" si="2"/>
        <v>71.346203839999987</v>
      </c>
      <c r="G164" s="44"/>
      <c r="H164" s="45"/>
      <c r="I164" s="149">
        <v>0</v>
      </c>
    </row>
    <row r="165" spans="1:9" ht="15.75" hidden="1" thickBot="1" x14ac:dyDescent="0.3">
      <c r="A165" s="214"/>
      <c r="B165" s="50"/>
      <c r="C165" s="46"/>
      <c r="D165" s="36"/>
      <c r="E165" s="30" t="s">
        <v>514</v>
      </c>
      <c r="F165" s="33" t="str">
        <f t="shared" si="2"/>
        <v/>
      </c>
      <c r="G165" s="44"/>
      <c r="H165" s="45"/>
      <c r="I165" s="149">
        <v>0</v>
      </c>
    </row>
    <row r="166" spans="1:9" ht="15.75" hidden="1" customHeight="1" thickBot="1" x14ac:dyDescent="0.3">
      <c r="A166" s="214"/>
      <c r="B166" s="47" t="s">
        <v>747</v>
      </c>
      <c r="C166" s="46"/>
      <c r="D166" s="36"/>
      <c r="E166" s="30" t="s">
        <v>514</v>
      </c>
      <c r="F166" s="33" t="str">
        <f t="shared" si="2"/>
        <v/>
      </c>
      <c r="G166" s="44"/>
      <c r="H166" s="45"/>
      <c r="I166" s="149">
        <v>0</v>
      </c>
    </row>
    <row r="167" spans="1:9" ht="15.75" hidden="1" thickBot="1" x14ac:dyDescent="0.3">
      <c r="A167" s="217"/>
      <c r="B167" s="35"/>
      <c r="C167" s="35"/>
      <c r="D167" s="92"/>
      <c r="E167" s="30" t="s">
        <v>514</v>
      </c>
      <c r="F167" s="30" t="str">
        <f t="shared" si="2"/>
        <v/>
      </c>
      <c r="G167" s="34"/>
      <c r="H167" s="30"/>
      <c r="I167" s="149">
        <v>0</v>
      </c>
    </row>
    <row r="168" spans="1:9" ht="15" customHeight="1" thickBot="1" x14ac:dyDescent="0.3">
      <c r="A168" s="216" t="s">
        <v>935</v>
      </c>
      <c r="B168" s="40" t="s">
        <v>514</v>
      </c>
      <c r="C168" s="25" t="s">
        <v>119</v>
      </c>
      <c r="D168" s="93"/>
      <c r="E168" s="41" t="s">
        <v>514</v>
      </c>
      <c r="F168" s="41" t="str">
        <f t="shared" si="2"/>
        <v/>
      </c>
      <c r="G168" s="28"/>
      <c r="H168" s="29"/>
      <c r="I168" s="149">
        <v>15</v>
      </c>
    </row>
    <row r="169" spans="1:9" x14ac:dyDescent="0.25">
      <c r="A169" s="214"/>
      <c r="B169" s="31" t="s">
        <v>514</v>
      </c>
      <c r="C169" s="31"/>
      <c r="D169" s="91"/>
      <c r="E169" s="42" t="s">
        <v>514</v>
      </c>
      <c r="F169" s="30" t="str">
        <f t="shared" si="2"/>
        <v/>
      </c>
      <c r="G169" s="34"/>
      <c r="H169" s="30"/>
      <c r="I169" s="149">
        <v>15</v>
      </c>
    </row>
    <row r="170" spans="1:9" ht="51" x14ac:dyDescent="0.25">
      <c r="A170" s="214"/>
      <c r="B170" s="35" t="s">
        <v>937</v>
      </c>
      <c r="C170" s="35" t="s">
        <v>932</v>
      </c>
      <c r="D170" s="36">
        <v>6.0000000000000001E-3</v>
      </c>
      <c r="E170" s="33">
        <v>312.78749999999997</v>
      </c>
      <c r="F170" s="33">
        <f t="shared" si="2"/>
        <v>1.8767249999999998</v>
      </c>
      <c r="G170" s="44">
        <f>SUM(F170:F172)</f>
        <v>2.1980909999999998</v>
      </c>
      <c r="H170" s="45"/>
      <c r="I170" s="149">
        <v>15</v>
      </c>
    </row>
    <row r="171" spans="1:9" ht="51" x14ac:dyDescent="0.25">
      <c r="A171" s="214"/>
      <c r="B171" s="35" t="s">
        <v>938</v>
      </c>
      <c r="C171" s="35" t="s">
        <v>934</v>
      </c>
      <c r="D171" s="36">
        <v>3.0000000000000001E-3</v>
      </c>
      <c r="E171" s="33">
        <v>51.860500000000002</v>
      </c>
      <c r="F171" s="33">
        <f t="shared" si="2"/>
        <v>0.15558150000000001</v>
      </c>
      <c r="G171" s="44"/>
      <c r="H171" s="45"/>
      <c r="I171" s="149">
        <v>15</v>
      </c>
    </row>
    <row r="172" spans="1:9" ht="15.75" customHeight="1" x14ac:dyDescent="0.25">
      <c r="A172" s="214"/>
      <c r="B172" s="35" t="s">
        <v>696</v>
      </c>
      <c r="C172" s="35" t="s">
        <v>695</v>
      </c>
      <c r="D172" s="36">
        <v>8.9999999999999993E-3</v>
      </c>
      <c r="E172" s="33">
        <v>18.420500000000001</v>
      </c>
      <c r="F172" s="33">
        <f t="shared" si="2"/>
        <v>0.1657845</v>
      </c>
      <c r="G172" s="44"/>
      <c r="H172" s="45"/>
      <c r="I172" s="149">
        <v>15</v>
      </c>
    </row>
    <row r="173" spans="1:9" ht="15.75" thickBot="1" x14ac:dyDescent="0.3">
      <c r="A173" s="217"/>
      <c r="B173" s="35"/>
      <c r="C173" s="35"/>
      <c r="D173" s="92"/>
      <c r="E173" s="30" t="s">
        <v>514</v>
      </c>
      <c r="F173" s="30" t="str">
        <f t="shared" si="2"/>
        <v/>
      </c>
      <c r="G173" s="34"/>
      <c r="H173" s="30"/>
      <c r="I173" s="149">
        <v>15</v>
      </c>
    </row>
    <row r="174" spans="1:9" ht="15" customHeight="1" thickBot="1" x14ac:dyDescent="0.3">
      <c r="A174" s="216" t="s">
        <v>8006</v>
      </c>
      <c r="B174" s="40" t="s">
        <v>514</v>
      </c>
      <c r="C174" s="25" t="s">
        <v>891</v>
      </c>
      <c r="D174" s="93"/>
      <c r="E174" s="41" t="s">
        <v>514</v>
      </c>
      <c r="F174" s="41" t="str">
        <f t="shared" si="2"/>
        <v/>
      </c>
      <c r="G174" s="28"/>
      <c r="H174" s="29"/>
      <c r="I174" s="149">
        <v>100</v>
      </c>
    </row>
    <row r="175" spans="1:9" x14ac:dyDescent="0.25">
      <c r="A175" s="214"/>
      <c r="B175" s="31" t="s">
        <v>514</v>
      </c>
      <c r="C175" s="31"/>
      <c r="D175" s="91"/>
      <c r="E175" s="42" t="s">
        <v>514</v>
      </c>
      <c r="F175" s="30" t="str">
        <f t="shared" si="2"/>
        <v/>
      </c>
      <c r="G175" s="34"/>
      <c r="H175" s="30"/>
      <c r="I175" s="149">
        <v>100</v>
      </c>
    </row>
    <row r="176" spans="1:9" x14ac:dyDescent="0.25">
      <c r="A176" s="214"/>
      <c r="B176" s="35" t="s">
        <v>761</v>
      </c>
      <c r="C176" s="35" t="s">
        <v>891</v>
      </c>
      <c r="D176" s="36">
        <v>1.1100000000000001</v>
      </c>
      <c r="E176" s="33">
        <v>10.782499999999999</v>
      </c>
      <c r="F176" s="33">
        <f t="shared" si="2"/>
        <v>11.968575</v>
      </c>
      <c r="G176" s="44">
        <f>SUM(F176:F178)</f>
        <v>12.417278999999999</v>
      </c>
      <c r="H176" s="45"/>
      <c r="I176" s="149">
        <v>100</v>
      </c>
    </row>
    <row r="177" spans="1:9" ht="15.75" customHeight="1" x14ac:dyDescent="0.25">
      <c r="A177" s="214"/>
      <c r="B177" s="35" t="s">
        <v>893</v>
      </c>
      <c r="C177" s="35" t="s">
        <v>695</v>
      </c>
      <c r="D177" s="36">
        <v>2.5999999999999999E-3</v>
      </c>
      <c r="E177" s="33">
        <v>18.3825</v>
      </c>
      <c r="F177" s="33">
        <f t="shared" si="2"/>
        <v>4.7794499999999997E-2</v>
      </c>
      <c r="G177" s="44"/>
      <c r="H177" s="45"/>
      <c r="I177" s="149">
        <v>100</v>
      </c>
    </row>
    <row r="178" spans="1:9" x14ac:dyDescent="0.25">
      <c r="A178" s="214"/>
      <c r="B178" s="35" t="s">
        <v>894</v>
      </c>
      <c r="C178" s="35" t="s">
        <v>695</v>
      </c>
      <c r="D178" s="36">
        <v>1.6199999999999999E-2</v>
      </c>
      <c r="E178" s="33">
        <v>24.747499999999999</v>
      </c>
      <c r="F178" s="33">
        <f t="shared" si="2"/>
        <v>0.40090949999999997</v>
      </c>
      <c r="G178" s="44"/>
      <c r="H178" s="45"/>
      <c r="I178" s="149">
        <v>100</v>
      </c>
    </row>
    <row r="179" spans="1:9" ht="15.75" thickBot="1" x14ac:dyDescent="0.3">
      <c r="A179" s="217"/>
      <c r="B179" s="35" t="s">
        <v>514</v>
      </c>
      <c r="C179" s="35"/>
      <c r="D179" s="92"/>
      <c r="E179" s="30" t="s">
        <v>514</v>
      </c>
      <c r="F179" s="30" t="str">
        <f t="shared" si="2"/>
        <v/>
      </c>
      <c r="G179" s="34"/>
      <c r="H179" s="30"/>
      <c r="I179" s="149">
        <v>100</v>
      </c>
    </row>
    <row r="180" spans="1:9" ht="15" customHeight="1" thickBot="1" x14ac:dyDescent="0.3">
      <c r="A180" s="216" t="s">
        <v>8007</v>
      </c>
      <c r="B180" s="40" t="s">
        <v>514</v>
      </c>
      <c r="C180" s="25" t="s">
        <v>891</v>
      </c>
      <c r="D180" s="93"/>
      <c r="E180" s="41" t="s">
        <v>514</v>
      </c>
      <c r="F180" s="41" t="str">
        <f t="shared" si="2"/>
        <v/>
      </c>
      <c r="G180" s="28"/>
      <c r="H180" s="29"/>
      <c r="I180" s="149">
        <v>100</v>
      </c>
    </row>
    <row r="181" spans="1:9" ht="15.75" customHeight="1" x14ac:dyDescent="0.25">
      <c r="A181" s="214"/>
      <c r="B181" s="31" t="s">
        <v>514</v>
      </c>
      <c r="C181" s="31"/>
      <c r="D181" s="91"/>
      <c r="E181" s="42" t="s">
        <v>514</v>
      </c>
      <c r="F181" s="30" t="str">
        <f t="shared" si="2"/>
        <v/>
      </c>
      <c r="G181" s="34"/>
      <c r="H181" s="30"/>
      <c r="I181" s="149">
        <v>100</v>
      </c>
    </row>
    <row r="182" spans="1:9" x14ac:dyDescent="0.25">
      <c r="A182" s="214"/>
      <c r="B182" s="35" t="s">
        <v>765</v>
      </c>
      <c r="C182" s="35" t="s">
        <v>891</v>
      </c>
      <c r="D182" s="36">
        <v>1.1100000000000001</v>
      </c>
      <c r="E182" s="33">
        <v>8.8064999999999998</v>
      </c>
      <c r="F182" s="33">
        <f t="shared" si="2"/>
        <v>9.7752150000000011</v>
      </c>
      <c r="G182" s="44">
        <f>SUM(F182:F184)</f>
        <v>9.9087090000000018</v>
      </c>
      <c r="H182" s="45"/>
      <c r="I182" s="149">
        <v>100</v>
      </c>
    </row>
    <row r="183" spans="1:9" x14ac:dyDescent="0.25">
      <c r="A183" s="214"/>
      <c r="B183" s="35" t="s">
        <v>893</v>
      </c>
      <c r="C183" s="35" t="s">
        <v>695</v>
      </c>
      <c r="D183" s="36">
        <v>8.0000000000000004E-4</v>
      </c>
      <c r="E183" s="33">
        <v>18.3825</v>
      </c>
      <c r="F183" s="33">
        <f t="shared" si="2"/>
        <v>1.4706E-2</v>
      </c>
      <c r="G183" s="44"/>
      <c r="H183" s="45"/>
      <c r="I183" s="149">
        <v>100</v>
      </c>
    </row>
    <row r="184" spans="1:9" x14ac:dyDescent="0.25">
      <c r="A184" s="214"/>
      <c r="B184" s="35" t="s">
        <v>894</v>
      </c>
      <c r="C184" s="35" t="s">
        <v>695</v>
      </c>
      <c r="D184" s="36">
        <v>4.7999999999999996E-3</v>
      </c>
      <c r="E184" s="33">
        <v>24.747499999999999</v>
      </c>
      <c r="F184" s="33">
        <f t="shared" si="2"/>
        <v>0.11878799999999998</v>
      </c>
      <c r="G184" s="44"/>
      <c r="H184" s="45"/>
      <c r="I184" s="149">
        <v>100</v>
      </c>
    </row>
    <row r="185" spans="1:9" ht="15.75" thickBot="1" x14ac:dyDescent="0.3">
      <c r="A185" s="217"/>
      <c r="B185" s="35" t="s">
        <v>514</v>
      </c>
      <c r="C185" s="35"/>
      <c r="D185" s="92"/>
      <c r="E185" s="30" t="s">
        <v>514</v>
      </c>
      <c r="F185" s="30" t="str">
        <f t="shared" si="2"/>
        <v/>
      </c>
      <c r="G185" s="34"/>
      <c r="H185" s="30"/>
      <c r="I185" s="149">
        <v>100</v>
      </c>
    </row>
    <row r="186" spans="1:9" ht="15" customHeight="1" thickBot="1" x14ac:dyDescent="0.3">
      <c r="A186" s="216" t="s">
        <v>8008</v>
      </c>
      <c r="B186" s="40" t="s">
        <v>514</v>
      </c>
      <c r="C186" s="25" t="s">
        <v>891</v>
      </c>
      <c r="D186" s="93"/>
      <c r="E186" s="41" t="s">
        <v>514</v>
      </c>
      <c r="F186" s="41" t="str">
        <f t="shared" si="2"/>
        <v/>
      </c>
      <c r="G186" s="28"/>
      <c r="H186" s="29"/>
      <c r="I186" s="149">
        <v>100</v>
      </c>
    </row>
    <row r="187" spans="1:9" x14ac:dyDescent="0.25">
      <c r="A187" s="214"/>
      <c r="B187" s="31" t="s">
        <v>514</v>
      </c>
      <c r="C187" s="31"/>
      <c r="D187" s="91"/>
      <c r="E187" s="42" t="s">
        <v>514</v>
      </c>
      <c r="F187" s="30" t="str">
        <f t="shared" si="2"/>
        <v/>
      </c>
      <c r="G187" s="34"/>
      <c r="H187" s="30"/>
      <c r="I187" s="149">
        <v>100</v>
      </c>
    </row>
    <row r="188" spans="1:9" x14ac:dyDescent="0.25">
      <c r="A188" s="214"/>
      <c r="B188" s="35" t="s">
        <v>765</v>
      </c>
      <c r="C188" s="35" t="s">
        <v>891</v>
      </c>
      <c r="D188" s="36">
        <v>1.1100000000000001</v>
      </c>
      <c r="E188" s="33">
        <v>8.8064999999999998</v>
      </c>
      <c r="F188" s="33">
        <f t="shared" si="2"/>
        <v>9.7752150000000011</v>
      </c>
      <c r="G188" s="44">
        <f>SUM(F188:F189)</f>
        <v>9.8370837500000015</v>
      </c>
      <c r="H188" s="45"/>
      <c r="I188" s="149">
        <v>100</v>
      </c>
    </row>
    <row r="189" spans="1:9" ht="15.75" customHeight="1" x14ac:dyDescent="0.25">
      <c r="A189" s="214"/>
      <c r="B189" s="35" t="s">
        <v>894</v>
      </c>
      <c r="C189" s="35" t="s">
        <v>695</v>
      </c>
      <c r="D189" s="36">
        <v>2.5000000000000001E-3</v>
      </c>
      <c r="E189" s="33">
        <v>24.747499999999999</v>
      </c>
      <c r="F189" s="33">
        <f t="shared" si="2"/>
        <v>6.186875E-2</v>
      </c>
      <c r="G189" s="44"/>
      <c r="H189" s="45"/>
      <c r="I189" s="149">
        <v>100</v>
      </c>
    </row>
    <row r="190" spans="1:9" ht="15.75" thickBot="1" x14ac:dyDescent="0.3">
      <c r="A190" s="217"/>
      <c r="B190" s="35" t="s">
        <v>514</v>
      </c>
      <c r="C190" s="35"/>
      <c r="D190" s="92"/>
      <c r="E190" s="30" t="s">
        <v>514</v>
      </c>
      <c r="F190" s="30" t="str">
        <f t="shared" si="2"/>
        <v/>
      </c>
      <c r="G190" s="34"/>
      <c r="H190" s="30"/>
      <c r="I190" s="149">
        <v>100</v>
      </c>
    </row>
    <row r="191" spans="1:9" ht="40.15" customHeight="1" thickBot="1" x14ac:dyDescent="0.3">
      <c r="A191" s="216" t="s">
        <v>976</v>
      </c>
      <c r="B191" s="40" t="s">
        <v>514</v>
      </c>
      <c r="C191" s="25" t="s">
        <v>977</v>
      </c>
      <c r="D191" s="93"/>
      <c r="E191" s="41" t="s">
        <v>514</v>
      </c>
      <c r="F191" s="41" t="str">
        <f t="shared" si="2"/>
        <v/>
      </c>
      <c r="G191" s="28"/>
      <c r="H191" s="29"/>
      <c r="I191" s="149">
        <v>66.444500000000005</v>
      </c>
    </row>
    <row r="192" spans="1:9" x14ac:dyDescent="0.25">
      <c r="A192" s="214"/>
      <c r="B192" s="31" t="s">
        <v>514</v>
      </c>
      <c r="C192" s="31"/>
      <c r="D192" s="91"/>
      <c r="E192" s="42" t="s">
        <v>514</v>
      </c>
      <c r="F192" s="30" t="str">
        <f t="shared" si="2"/>
        <v/>
      </c>
      <c r="G192" s="34"/>
      <c r="H192" s="30"/>
      <c r="I192" s="149">
        <v>66.444500000000005</v>
      </c>
    </row>
    <row r="193" spans="1:9" x14ac:dyDescent="0.25">
      <c r="A193" s="214"/>
      <c r="B193" s="35" t="s">
        <v>696</v>
      </c>
      <c r="C193" s="35" t="s">
        <v>695</v>
      </c>
      <c r="D193" s="36">
        <v>0.61180000000000001</v>
      </c>
      <c r="E193" s="33">
        <v>18.420500000000001</v>
      </c>
      <c r="F193" s="33">
        <f t="shared" si="2"/>
        <v>11.269661900000001</v>
      </c>
      <c r="G193" s="44">
        <f>SUM(F193:F193)</f>
        <v>11.269661900000001</v>
      </c>
      <c r="H193" s="45"/>
      <c r="I193" s="149">
        <v>66.444500000000005</v>
      </c>
    </row>
    <row r="194" spans="1:9" ht="15.75" customHeight="1" thickBot="1" x14ac:dyDescent="0.3">
      <c r="A194" s="217"/>
      <c r="B194" s="54" t="s">
        <v>514</v>
      </c>
      <c r="C194" s="54"/>
      <c r="D194" s="95"/>
      <c r="E194" s="66" t="s">
        <v>514</v>
      </c>
      <c r="F194" s="66" t="str">
        <f t="shared" si="2"/>
        <v/>
      </c>
      <c r="G194" s="68"/>
      <c r="H194" s="30"/>
      <c r="I194" s="149">
        <v>66.444500000000005</v>
      </c>
    </row>
    <row r="195" spans="1:9" ht="27" customHeight="1" thickBot="1" x14ac:dyDescent="0.3">
      <c r="A195" s="216" t="s">
        <v>7764</v>
      </c>
      <c r="B195" s="40" t="s">
        <v>514</v>
      </c>
      <c r="C195" s="25" t="s">
        <v>119</v>
      </c>
      <c r="D195" s="93"/>
      <c r="E195" s="41" t="s">
        <v>514</v>
      </c>
      <c r="F195" s="41" t="str">
        <f t="shared" si="2"/>
        <v/>
      </c>
      <c r="G195" s="28"/>
      <c r="H195" s="29"/>
      <c r="I195" s="149">
        <v>30</v>
      </c>
    </row>
    <row r="196" spans="1:9" x14ac:dyDescent="0.25">
      <c r="A196" s="214"/>
      <c r="B196" s="31" t="s">
        <v>514</v>
      </c>
      <c r="C196" s="31"/>
      <c r="D196" s="91"/>
      <c r="E196" s="42" t="s">
        <v>514</v>
      </c>
      <c r="F196" s="30" t="str">
        <f t="shared" si="2"/>
        <v/>
      </c>
      <c r="G196" s="34"/>
      <c r="H196" s="30"/>
      <c r="I196" s="149">
        <v>30</v>
      </c>
    </row>
    <row r="197" spans="1:9" x14ac:dyDescent="0.25">
      <c r="A197" s="214"/>
      <c r="B197" s="35" t="s">
        <v>78</v>
      </c>
      <c r="C197" s="35" t="s">
        <v>12</v>
      </c>
      <c r="D197" s="36">
        <v>2.4590000000000001</v>
      </c>
      <c r="E197" s="33">
        <v>24.633499999999998</v>
      </c>
      <c r="F197" s="33">
        <f t="shared" si="2"/>
        <v>60.573776499999994</v>
      </c>
      <c r="G197" s="44">
        <f>SUM(F197:F201)</f>
        <v>259.64763499999998</v>
      </c>
      <c r="H197" s="45"/>
      <c r="I197" s="149">
        <v>30</v>
      </c>
    </row>
    <row r="198" spans="1:9" x14ac:dyDescent="0.25">
      <c r="A198" s="214"/>
      <c r="B198" s="35" t="s">
        <v>22</v>
      </c>
      <c r="C198" s="35" t="s">
        <v>12</v>
      </c>
      <c r="D198" s="36">
        <v>2.4590000000000001</v>
      </c>
      <c r="E198" s="33">
        <v>24.889999999999997</v>
      </c>
      <c r="F198" s="33">
        <f t="shared" ref="F198:F261" si="3">IF(ISNUMBER(E198),E198*$D198,"")</f>
        <v>61.204509999999992</v>
      </c>
      <c r="G198" s="44"/>
      <c r="H198" s="45"/>
      <c r="I198" s="149">
        <v>30</v>
      </c>
    </row>
    <row r="199" spans="1:9" ht="15.75" customHeight="1" x14ac:dyDescent="0.25">
      <c r="A199" s="214"/>
      <c r="B199" s="35" t="s">
        <v>23</v>
      </c>
      <c r="C199" s="35" t="s">
        <v>12</v>
      </c>
      <c r="D199" s="36">
        <v>7.3769999999999998</v>
      </c>
      <c r="E199" s="30">
        <v>18.420500000000001</v>
      </c>
      <c r="F199" s="33">
        <f t="shared" si="3"/>
        <v>135.88802849999999</v>
      </c>
      <c r="G199" s="44"/>
      <c r="H199" s="45"/>
      <c r="I199" s="149">
        <v>30</v>
      </c>
    </row>
    <row r="200" spans="1:9" ht="25.5" x14ac:dyDescent="0.25">
      <c r="A200" s="214"/>
      <c r="B200" s="35" t="s">
        <v>1423</v>
      </c>
      <c r="C200" s="46" t="s">
        <v>33</v>
      </c>
      <c r="D200" s="36">
        <v>1.042</v>
      </c>
      <c r="E200" s="30">
        <v>1.1779999999999999</v>
      </c>
      <c r="F200" s="94">
        <f t="shared" si="3"/>
        <v>1.227476</v>
      </c>
      <c r="G200" s="44"/>
      <c r="H200" s="45"/>
      <c r="I200" s="149">
        <v>30</v>
      </c>
    </row>
    <row r="201" spans="1:9" ht="25.5" x14ac:dyDescent="0.25">
      <c r="A201" s="214"/>
      <c r="B201" s="35" t="s">
        <v>1424</v>
      </c>
      <c r="C201" s="46" t="s">
        <v>35</v>
      </c>
      <c r="D201" s="36">
        <v>1.417</v>
      </c>
      <c r="E201" s="30">
        <v>0.53200000000000003</v>
      </c>
      <c r="F201" s="94">
        <f t="shared" si="3"/>
        <v>0.75384400000000007</v>
      </c>
      <c r="G201" s="44"/>
      <c r="H201" s="45"/>
      <c r="I201" s="149">
        <v>30</v>
      </c>
    </row>
    <row r="202" spans="1:9" ht="15.75" thickBot="1" x14ac:dyDescent="0.3">
      <c r="A202" s="217"/>
      <c r="B202" s="35"/>
      <c r="C202" s="35"/>
      <c r="D202" s="92"/>
      <c r="E202" s="30" t="s">
        <v>514</v>
      </c>
      <c r="F202" s="30" t="str">
        <f t="shared" si="3"/>
        <v/>
      </c>
      <c r="G202" s="34"/>
      <c r="H202" s="30"/>
      <c r="I202" s="149">
        <v>30</v>
      </c>
    </row>
    <row r="203" spans="1:9" ht="27" customHeight="1" thickBot="1" x14ac:dyDescent="0.3">
      <c r="A203" s="216" t="s">
        <v>3504</v>
      </c>
      <c r="B203" s="40" t="s">
        <v>514</v>
      </c>
      <c r="C203" s="25" t="s">
        <v>121</v>
      </c>
      <c r="D203" s="93"/>
      <c r="E203" s="41" t="s">
        <v>514</v>
      </c>
      <c r="F203" s="41" t="str">
        <f t="shared" si="3"/>
        <v/>
      </c>
      <c r="G203" s="28"/>
      <c r="H203" s="29"/>
      <c r="I203" s="149">
        <v>1196.8399999999999</v>
      </c>
    </row>
    <row r="204" spans="1:9" x14ac:dyDescent="0.25">
      <c r="A204" s="214"/>
      <c r="B204" s="31" t="s">
        <v>514</v>
      </c>
      <c r="C204" s="31"/>
      <c r="D204" s="91"/>
      <c r="E204" s="42" t="s">
        <v>514</v>
      </c>
      <c r="F204" s="30" t="str">
        <f t="shared" si="3"/>
        <v/>
      </c>
      <c r="G204" s="34"/>
      <c r="H204" s="30"/>
      <c r="I204" s="149">
        <v>1196.8399999999999</v>
      </c>
    </row>
    <row r="205" spans="1:9" ht="51" x14ac:dyDescent="0.25">
      <c r="A205" s="214"/>
      <c r="B205" s="35" t="s">
        <v>1067</v>
      </c>
      <c r="C205" s="35" t="s">
        <v>932</v>
      </c>
      <c r="D205" s="36">
        <v>1.3899999999999999E-2</v>
      </c>
      <c r="E205" s="33">
        <v>169.70799999999997</v>
      </c>
      <c r="F205" s="33">
        <f t="shared" si="3"/>
        <v>2.3589411999999994</v>
      </c>
      <c r="G205" s="44">
        <f>SUM(F205:F206)</f>
        <v>2.6230221999999994</v>
      </c>
      <c r="H205" s="45"/>
      <c r="I205" s="149">
        <v>1196.8399999999999</v>
      </c>
    </row>
    <row r="206" spans="1:9" ht="51" x14ac:dyDescent="0.25">
      <c r="A206" s="214"/>
      <c r="B206" s="35" t="s">
        <v>1068</v>
      </c>
      <c r="C206" s="35" t="s">
        <v>934</v>
      </c>
      <c r="D206" s="36">
        <v>6.0000000000000001E-3</v>
      </c>
      <c r="E206" s="33">
        <v>44.013499999999993</v>
      </c>
      <c r="F206" s="33">
        <f t="shared" si="3"/>
        <v>0.26408099999999995</v>
      </c>
      <c r="G206" s="44"/>
      <c r="H206" s="45"/>
      <c r="I206" s="149">
        <v>1196.8399999999999</v>
      </c>
    </row>
    <row r="207" spans="1:9" ht="15.75" thickBot="1" x14ac:dyDescent="0.3">
      <c r="A207" s="217"/>
      <c r="B207" s="54" t="s">
        <v>514</v>
      </c>
      <c r="C207" s="54"/>
      <c r="D207" s="95"/>
      <c r="E207" s="66" t="s">
        <v>514</v>
      </c>
      <c r="F207" s="66" t="str">
        <f t="shared" si="3"/>
        <v/>
      </c>
      <c r="G207" s="68"/>
      <c r="H207" s="30"/>
      <c r="I207" s="149">
        <v>1196.8399999999999</v>
      </c>
    </row>
    <row r="208" spans="1:9" ht="27" hidden="1" customHeight="1" x14ac:dyDescent="0.25">
      <c r="A208" s="216" t="s">
        <v>3502</v>
      </c>
      <c r="B208" s="40" t="s">
        <v>514</v>
      </c>
      <c r="C208" s="25" t="s">
        <v>746</v>
      </c>
      <c r="D208" s="93"/>
      <c r="E208" s="41" t="s">
        <v>514</v>
      </c>
      <c r="F208" s="41" t="str">
        <f t="shared" si="3"/>
        <v/>
      </c>
      <c r="G208" s="28"/>
      <c r="H208" s="29"/>
      <c r="I208" s="149">
        <v>0</v>
      </c>
    </row>
    <row r="209" spans="1:9" ht="15.75" hidden="1" thickBot="1" x14ac:dyDescent="0.3">
      <c r="A209" s="214"/>
      <c r="B209" s="31" t="s">
        <v>514</v>
      </c>
      <c r="C209" s="31"/>
      <c r="D209" s="91"/>
      <c r="E209" s="42" t="s">
        <v>514</v>
      </c>
      <c r="F209" s="30" t="str">
        <f t="shared" si="3"/>
        <v/>
      </c>
      <c r="G209" s="34"/>
      <c r="H209" s="30"/>
      <c r="I209" s="149">
        <v>0</v>
      </c>
    </row>
    <row r="210" spans="1:9" ht="51.75" hidden="1" thickBot="1" x14ac:dyDescent="0.3">
      <c r="A210" s="214"/>
      <c r="B210" s="35" t="s">
        <v>1067</v>
      </c>
      <c r="C210" s="35" t="s">
        <v>932</v>
      </c>
      <c r="D210" s="36">
        <v>9.2999999999999992E-3</v>
      </c>
      <c r="E210" s="33">
        <v>169.70799999999997</v>
      </c>
      <c r="F210" s="33">
        <f t="shared" si="3"/>
        <v>1.5782843999999996</v>
      </c>
      <c r="G210" s="44">
        <f>SUM(F210:F211)</f>
        <v>1.7543383999999995</v>
      </c>
      <c r="H210" s="45"/>
      <c r="I210" s="149">
        <v>0</v>
      </c>
    </row>
    <row r="211" spans="1:9" ht="51.75" hidden="1" thickBot="1" x14ac:dyDescent="0.3">
      <c r="A211" s="214"/>
      <c r="B211" s="35" t="s">
        <v>1068</v>
      </c>
      <c r="C211" s="35" t="s">
        <v>934</v>
      </c>
      <c r="D211" s="36">
        <v>4.0000000000000001E-3</v>
      </c>
      <c r="E211" s="33">
        <v>44.013499999999993</v>
      </c>
      <c r="F211" s="33">
        <f t="shared" si="3"/>
        <v>0.17605399999999999</v>
      </c>
      <c r="G211" s="44"/>
      <c r="H211" s="45"/>
      <c r="I211" s="149">
        <v>0</v>
      </c>
    </row>
    <row r="212" spans="1:9" ht="15.75" hidden="1" thickBot="1" x14ac:dyDescent="0.3">
      <c r="A212" s="217"/>
      <c r="B212" s="54" t="s">
        <v>514</v>
      </c>
      <c r="C212" s="54"/>
      <c r="D212" s="95"/>
      <c r="E212" s="66" t="s">
        <v>514</v>
      </c>
      <c r="F212" s="66" t="str">
        <f t="shared" si="3"/>
        <v/>
      </c>
      <c r="G212" s="68"/>
      <c r="H212" s="30"/>
      <c r="I212" s="149">
        <v>0</v>
      </c>
    </row>
    <row r="213" spans="1:9" ht="15.75" hidden="1" customHeight="1" thickBot="1" x14ac:dyDescent="0.3">
      <c r="A213" s="216" t="s">
        <v>6590</v>
      </c>
      <c r="B213" s="40" t="s">
        <v>514</v>
      </c>
      <c r="C213" s="25" t="s">
        <v>119</v>
      </c>
      <c r="D213" s="93"/>
      <c r="E213" s="41" t="s">
        <v>514</v>
      </c>
      <c r="F213" s="41" t="str">
        <f t="shared" si="3"/>
        <v/>
      </c>
      <c r="G213" s="28"/>
      <c r="H213" s="29"/>
      <c r="I213" s="149">
        <v>0</v>
      </c>
    </row>
    <row r="214" spans="1:9" ht="15.75" hidden="1" thickBot="1" x14ac:dyDescent="0.3">
      <c r="A214" s="214"/>
      <c r="B214" s="31" t="s">
        <v>514</v>
      </c>
      <c r="C214" s="31"/>
      <c r="D214" s="91"/>
      <c r="E214" s="42" t="s">
        <v>514</v>
      </c>
      <c r="F214" s="30" t="str">
        <f t="shared" si="3"/>
        <v/>
      </c>
      <c r="G214" s="34"/>
      <c r="H214" s="30"/>
      <c r="I214" s="149">
        <v>0</v>
      </c>
    </row>
    <row r="215" spans="1:9" ht="26.25" hidden="1" thickBot="1" x14ac:dyDescent="0.3">
      <c r="A215" s="214"/>
      <c r="B215" s="35" t="s">
        <v>744</v>
      </c>
      <c r="C215" s="35" t="s">
        <v>119</v>
      </c>
      <c r="D215" s="36">
        <v>0.76090000000000002</v>
      </c>
      <c r="E215" s="33">
        <v>185.66799999999998</v>
      </c>
      <c r="F215" s="33">
        <f t="shared" si="3"/>
        <v>141.27478119999998</v>
      </c>
      <c r="G215" s="44">
        <f>SUM(F215:F223)</f>
        <v>580.88031832376998</v>
      </c>
      <c r="H215" s="45"/>
      <c r="I215" s="149">
        <v>0</v>
      </c>
    </row>
    <row r="216" spans="1:9" ht="15.75" hidden="1" thickBot="1" x14ac:dyDescent="0.3">
      <c r="A216" s="214"/>
      <c r="B216" s="35" t="s">
        <v>740</v>
      </c>
      <c r="C216" s="35" t="s">
        <v>891</v>
      </c>
      <c r="D216" s="36">
        <v>325.15890000000002</v>
      </c>
      <c r="E216" s="33">
        <v>0.627</v>
      </c>
      <c r="F216" s="33">
        <f t="shared" si="3"/>
        <v>203.87463030000001</v>
      </c>
      <c r="G216" s="44"/>
      <c r="H216" s="45"/>
      <c r="I216" s="149">
        <v>0</v>
      </c>
    </row>
    <row r="217" spans="1:9" ht="26.25" hidden="1" thickBot="1" x14ac:dyDescent="0.3">
      <c r="A217" s="214"/>
      <c r="B217" s="35" t="s">
        <v>752</v>
      </c>
      <c r="C217" s="35" t="s">
        <v>119</v>
      </c>
      <c r="D217" s="36">
        <v>0.59119999999999995</v>
      </c>
      <c r="E217" s="33">
        <v>151.202</v>
      </c>
      <c r="F217" s="33">
        <f t="shared" si="3"/>
        <v>89.390622399999998</v>
      </c>
      <c r="G217" s="44"/>
      <c r="H217" s="45"/>
      <c r="I217" s="149">
        <v>0</v>
      </c>
    </row>
    <row r="218" spans="1:9" ht="15.75" hidden="1" thickBot="1" x14ac:dyDescent="0.3">
      <c r="A218" s="214"/>
      <c r="B218" s="35" t="s">
        <v>696</v>
      </c>
      <c r="C218" s="35" t="s">
        <v>695</v>
      </c>
      <c r="D218" s="36">
        <v>2.0266999999999999</v>
      </c>
      <c r="E218" s="30">
        <v>18.420500000000001</v>
      </c>
      <c r="F218" s="33">
        <f t="shared" si="3"/>
        <v>37.332827350000002</v>
      </c>
      <c r="G218" s="44"/>
      <c r="H218" s="45"/>
      <c r="I218" s="149">
        <v>0</v>
      </c>
    </row>
    <row r="219" spans="1:9" ht="26.25" hidden="1" thickBot="1" x14ac:dyDescent="0.3">
      <c r="A219" s="214"/>
      <c r="B219" s="35" t="s">
        <v>1427</v>
      </c>
      <c r="C219" s="35" t="s">
        <v>695</v>
      </c>
      <c r="D219" s="36">
        <v>1.2767999999999999</v>
      </c>
      <c r="E219" s="30">
        <v>18.534500000000001</v>
      </c>
      <c r="F219" s="94">
        <f t="shared" si="3"/>
        <v>23.6648496</v>
      </c>
      <c r="G219" s="44"/>
      <c r="H219" s="45"/>
      <c r="I219" s="149">
        <v>0</v>
      </c>
    </row>
    <row r="220" spans="1:9" ht="39" hidden="1" thickBot="1" x14ac:dyDescent="0.3">
      <c r="A220" s="214"/>
      <c r="B220" s="35" t="s">
        <v>1355</v>
      </c>
      <c r="C220" s="35" t="s">
        <v>932</v>
      </c>
      <c r="D220" s="36">
        <v>0.65720000000000001</v>
      </c>
      <c r="E220" s="30">
        <v>4.2560000000000002</v>
      </c>
      <c r="F220" s="94">
        <f t="shared" si="3"/>
        <v>2.7970432000000001</v>
      </c>
      <c r="G220" s="44"/>
      <c r="H220" s="45"/>
      <c r="I220" s="149">
        <v>0</v>
      </c>
    </row>
    <row r="221" spans="1:9" ht="39" hidden="1" thickBot="1" x14ac:dyDescent="0.3">
      <c r="A221" s="214"/>
      <c r="B221" s="35" t="s">
        <v>1428</v>
      </c>
      <c r="C221" s="46" t="s">
        <v>934</v>
      </c>
      <c r="D221" s="36">
        <v>0.61970000000000003</v>
      </c>
      <c r="E221" s="30">
        <v>1.4724999999999999</v>
      </c>
      <c r="F221" s="33">
        <f t="shared" si="3"/>
        <v>0.91250825000000002</v>
      </c>
      <c r="G221" s="44"/>
      <c r="H221" s="45"/>
      <c r="I221" s="149">
        <v>0</v>
      </c>
    </row>
    <row r="222" spans="1:9" ht="51.75" hidden="1" thickBot="1" x14ac:dyDescent="0.3">
      <c r="A222" s="214"/>
      <c r="B222" s="35" t="s">
        <v>3507</v>
      </c>
      <c r="C222" s="35" t="s">
        <v>119</v>
      </c>
      <c r="D222" s="36">
        <f>ROUND(1*(D215+D217),4)</f>
        <v>1.3521000000000001</v>
      </c>
      <c r="E222" s="30">
        <v>7.9145696999999986</v>
      </c>
      <c r="F222" s="33">
        <f t="shared" si="3"/>
        <v>10.701289691369999</v>
      </c>
      <c r="G222" s="44"/>
      <c r="H222" s="45"/>
      <c r="I222" s="149">
        <v>0</v>
      </c>
    </row>
    <row r="223" spans="1:9" ht="39" hidden="1" thickBot="1" x14ac:dyDescent="0.3">
      <c r="A223" s="214"/>
      <c r="B223" s="35" t="s">
        <v>3504</v>
      </c>
      <c r="C223" s="46" t="s">
        <v>121</v>
      </c>
      <c r="D223" s="36">
        <f>ROUND((D215+D217)*20,4)</f>
        <v>27.042000000000002</v>
      </c>
      <c r="E223" s="30">
        <v>2.6230221999999994</v>
      </c>
      <c r="F223" s="33">
        <f t="shared" si="3"/>
        <v>70.931766332399988</v>
      </c>
      <c r="G223" s="44"/>
      <c r="H223" s="45"/>
      <c r="I223" s="149">
        <v>0</v>
      </c>
    </row>
    <row r="224" spans="1:9" ht="15.75" hidden="1" thickBot="1" x14ac:dyDescent="0.3">
      <c r="A224" s="214"/>
      <c r="B224" s="50"/>
      <c r="C224" s="46"/>
      <c r="D224" s="36"/>
      <c r="E224" s="30" t="s">
        <v>514</v>
      </c>
      <c r="F224" s="33" t="str">
        <f t="shared" si="3"/>
        <v/>
      </c>
      <c r="G224" s="44"/>
      <c r="H224" s="45"/>
      <c r="I224" s="149">
        <v>0</v>
      </c>
    </row>
    <row r="225" spans="1:9" ht="26.25" hidden="1" thickBot="1" x14ac:dyDescent="0.3">
      <c r="A225" s="214"/>
      <c r="B225" s="47" t="s">
        <v>122</v>
      </c>
      <c r="C225" s="46"/>
      <c r="D225" s="36"/>
      <c r="E225" s="30" t="s">
        <v>514</v>
      </c>
      <c r="F225" s="33" t="str">
        <f t="shared" si="3"/>
        <v/>
      </c>
      <c r="G225" s="44"/>
      <c r="H225" s="45"/>
      <c r="I225" s="149">
        <v>0</v>
      </c>
    </row>
    <row r="226" spans="1:9" ht="15.75" hidden="1" thickBot="1" x14ac:dyDescent="0.3">
      <c r="A226" s="217"/>
      <c r="B226" s="35" t="s">
        <v>514</v>
      </c>
      <c r="C226" s="35"/>
      <c r="D226" s="92"/>
      <c r="E226" s="30" t="s">
        <v>514</v>
      </c>
      <c r="F226" s="30" t="str">
        <f t="shared" si="3"/>
        <v/>
      </c>
      <c r="G226" s="34"/>
      <c r="H226" s="30"/>
      <c r="I226" s="149">
        <v>0</v>
      </c>
    </row>
    <row r="227" spans="1:9" ht="26.25" hidden="1" customHeight="1" thickBot="1" x14ac:dyDescent="0.3">
      <c r="A227" s="216" t="s">
        <v>6587</v>
      </c>
      <c r="B227" s="40" t="s">
        <v>514</v>
      </c>
      <c r="C227" s="25" t="s">
        <v>119</v>
      </c>
      <c r="D227" s="93"/>
      <c r="E227" s="41" t="s">
        <v>514</v>
      </c>
      <c r="F227" s="41" t="str">
        <f t="shared" si="3"/>
        <v/>
      </c>
      <c r="G227" s="28"/>
      <c r="H227" s="29"/>
      <c r="I227" s="149">
        <v>0</v>
      </c>
    </row>
    <row r="228" spans="1:9" ht="15.75" hidden="1" thickBot="1" x14ac:dyDescent="0.3">
      <c r="A228" s="214"/>
      <c r="B228" s="31" t="s">
        <v>514</v>
      </c>
      <c r="C228" s="31"/>
      <c r="D228" s="91"/>
      <c r="E228" s="97" t="s">
        <v>514</v>
      </c>
      <c r="F228" s="98" t="str">
        <f t="shared" si="3"/>
        <v/>
      </c>
      <c r="G228" s="34"/>
      <c r="H228" s="30"/>
      <c r="I228" s="149">
        <v>0</v>
      </c>
    </row>
    <row r="229" spans="1:9" ht="26.25" hidden="1" thickBot="1" x14ac:dyDescent="0.3">
      <c r="A229" s="214"/>
      <c r="B229" s="35" t="s">
        <v>744</v>
      </c>
      <c r="C229" s="35" t="s">
        <v>119</v>
      </c>
      <c r="D229" s="36">
        <v>0.82689999999999997</v>
      </c>
      <c r="E229" s="33">
        <v>185.66799999999998</v>
      </c>
      <c r="F229" s="33">
        <f t="shared" si="3"/>
        <v>153.52886919999997</v>
      </c>
      <c r="G229" s="44">
        <f>SUM(F229:F237)</f>
        <v>530.64872179986992</v>
      </c>
      <c r="H229" s="45"/>
      <c r="I229" s="149">
        <v>0</v>
      </c>
    </row>
    <row r="230" spans="1:9" ht="15.75" hidden="1" thickBot="1" x14ac:dyDescent="0.3">
      <c r="A230" s="214"/>
      <c r="B230" s="35" t="s">
        <v>740</v>
      </c>
      <c r="C230" s="35" t="s">
        <v>891</v>
      </c>
      <c r="D230" s="36">
        <v>212.01939999999999</v>
      </c>
      <c r="E230" s="33">
        <v>0.627</v>
      </c>
      <c r="F230" s="33">
        <f t="shared" si="3"/>
        <v>132.9361638</v>
      </c>
      <c r="G230" s="44"/>
      <c r="H230" s="45"/>
      <c r="I230" s="149">
        <v>0</v>
      </c>
    </row>
    <row r="231" spans="1:9" ht="26.25" hidden="1" thickBot="1" x14ac:dyDescent="0.3">
      <c r="A231" s="214"/>
      <c r="B231" s="35" t="s">
        <v>752</v>
      </c>
      <c r="C231" s="35" t="s">
        <v>119</v>
      </c>
      <c r="D231" s="36">
        <v>0.57820000000000005</v>
      </c>
      <c r="E231" s="33">
        <v>151.202</v>
      </c>
      <c r="F231" s="33">
        <f t="shared" si="3"/>
        <v>87.424996400000012</v>
      </c>
      <c r="G231" s="44"/>
      <c r="H231" s="45"/>
      <c r="I231" s="149">
        <v>0</v>
      </c>
    </row>
    <row r="232" spans="1:9" ht="15.75" hidden="1" thickBot="1" x14ac:dyDescent="0.3">
      <c r="A232" s="214"/>
      <c r="B232" s="35" t="s">
        <v>696</v>
      </c>
      <c r="C232" s="35" t="s">
        <v>695</v>
      </c>
      <c r="D232" s="36">
        <v>2.3433000000000002</v>
      </c>
      <c r="E232" s="30">
        <v>18.420500000000001</v>
      </c>
      <c r="F232" s="33">
        <f t="shared" si="3"/>
        <v>43.164757650000006</v>
      </c>
      <c r="G232" s="44"/>
      <c r="H232" s="45"/>
      <c r="I232" s="149">
        <v>0</v>
      </c>
    </row>
    <row r="233" spans="1:9" ht="26.25" hidden="1" thickBot="1" x14ac:dyDescent="0.3">
      <c r="A233" s="214"/>
      <c r="B233" s="35" t="s">
        <v>1427</v>
      </c>
      <c r="C233" s="35" t="s">
        <v>695</v>
      </c>
      <c r="D233" s="36">
        <v>1.4811000000000001</v>
      </c>
      <c r="E233" s="30">
        <v>18.534500000000001</v>
      </c>
      <c r="F233" s="99">
        <f t="shared" si="3"/>
        <v>27.451447950000002</v>
      </c>
      <c r="G233" s="44"/>
      <c r="H233" s="45"/>
      <c r="I233" s="149">
        <v>0</v>
      </c>
    </row>
    <row r="234" spans="1:9" ht="39" hidden="1" thickBot="1" x14ac:dyDescent="0.3">
      <c r="A234" s="214"/>
      <c r="B234" s="35" t="s">
        <v>116</v>
      </c>
      <c r="C234" s="35" t="s">
        <v>932</v>
      </c>
      <c r="D234" s="36">
        <v>0.76229999999999998</v>
      </c>
      <c r="E234" s="30">
        <v>1.3774999999999999</v>
      </c>
      <c r="F234" s="99">
        <f t="shared" si="3"/>
        <v>1.05006825</v>
      </c>
      <c r="G234" s="44"/>
      <c r="H234" s="45"/>
      <c r="I234" s="149">
        <v>0</v>
      </c>
    </row>
    <row r="235" spans="1:9" ht="39" hidden="1" thickBot="1" x14ac:dyDescent="0.3">
      <c r="A235" s="214"/>
      <c r="B235" s="35" t="s">
        <v>117</v>
      </c>
      <c r="C235" s="46" t="s">
        <v>934</v>
      </c>
      <c r="D235" s="36">
        <v>0.71879999999999999</v>
      </c>
      <c r="E235" s="30">
        <v>0.36099999999999999</v>
      </c>
      <c r="F235" s="33">
        <f t="shared" si="3"/>
        <v>0.25948679999999996</v>
      </c>
      <c r="G235" s="44"/>
      <c r="H235" s="45"/>
      <c r="I235" s="149">
        <v>0</v>
      </c>
    </row>
    <row r="236" spans="1:9" ht="51.75" hidden="1" thickBot="1" x14ac:dyDescent="0.3">
      <c r="A236" s="214"/>
      <c r="B236" s="35" t="s">
        <v>3507</v>
      </c>
      <c r="C236" s="35" t="s">
        <v>119</v>
      </c>
      <c r="D236" s="36">
        <f>ROUND(1*(D229+D231),4)</f>
        <v>1.4051</v>
      </c>
      <c r="E236" s="30">
        <v>7.9145696999999986</v>
      </c>
      <c r="F236" s="33">
        <f t="shared" si="3"/>
        <v>11.120761885469998</v>
      </c>
      <c r="G236" s="44"/>
      <c r="H236" s="45"/>
      <c r="I236" s="149">
        <v>0</v>
      </c>
    </row>
    <row r="237" spans="1:9" ht="15.75" hidden="1" customHeight="1" thickBot="1" x14ac:dyDescent="0.3">
      <c r="A237" s="214"/>
      <c r="B237" s="35" t="s">
        <v>3504</v>
      </c>
      <c r="C237" s="46" t="s">
        <v>121</v>
      </c>
      <c r="D237" s="36">
        <f>ROUND((D229+D231)*20,4)</f>
        <v>28.102</v>
      </c>
      <c r="E237" s="30">
        <v>2.6230221999999994</v>
      </c>
      <c r="F237" s="33">
        <f t="shared" si="3"/>
        <v>73.712169864399982</v>
      </c>
      <c r="G237" s="44"/>
      <c r="H237" s="45"/>
      <c r="I237" s="149">
        <v>0</v>
      </c>
    </row>
    <row r="238" spans="1:9" ht="15.75" hidden="1" thickBot="1" x14ac:dyDescent="0.3">
      <c r="A238" s="214"/>
      <c r="B238" s="50"/>
      <c r="C238" s="46"/>
      <c r="D238" s="36"/>
      <c r="E238" s="30" t="s">
        <v>514</v>
      </c>
      <c r="F238" s="33" t="str">
        <f t="shared" si="3"/>
        <v/>
      </c>
      <c r="G238" s="44"/>
      <c r="H238" s="45"/>
      <c r="I238" s="149">
        <v>0</v>
      </c>
    </row>
    <row r="239" spans="1:9" ht="26.25" hidden="1" thickBot="1" x14ac:dyDescent="0.3">
      <c r="A239" s="214"/>
      <c r="B239" s="47" t="s">
        <v>122</v>
      </c>
      <c r="C239" s="46"/>
      <c r="D239" s="36"/>
      <c r="E239" s="30" t="s">
        <v>514</v>
      </c>
      <c r="F239" s="33" t="str">
        <f t="shared" si="3"/>
        <v/>
      </c>
      <c r="G239" s="44"/>
      <c r="H239" s="45"/>
      <c r="I239" s="149">
        <v>0</v>
      </c>
    </row>
    <row r="240" spans="1:9" ht="15.75" hidden="1" thickBot="1" x14ac:dyDescent="0.3">
      <c r="A240" s="217"/>
      <c r="B240" s="35" t="s">
        <v>514</v>
      </c>
      <c r="C240" s="35"/>
      <c r="D240" s="92"/>
      <c r="E240" s="30" t="s">
        <v>514</v>
      </c>
      <c r="F240" s="30" t="str">
        <f t="shared" si="3"/>
        <v/>
      </c>
      <c r="G240" s="34"/>
      <c r="H240" s="30"/>
      <c r="I240" s="149">
        <v>0</v>
      </c>
    </row>
    <row r="241" spans="1:9" ht="27" hidden="1" customHeight="1" thickBot="1" x14ac:dyDescent="0.3">
      <c r="A241" s="216" t="s">
        <v>6685</v>
      </c>
      <c r="B241" s="40" t="s">
        <v>514</v>
      </c>
      <c r="C241" s="25" t="s">
        <v>119</v>
      </c>
      <c r="D241" s="93"/>
      <c r="E241" s="41" t="s">
        <v>514</v>
      </c>
      <c r="F241" s="48" t="str">
        <f t="shared" si="3"/>
        <v/>
      </c>
      <c r="G241" s="28"/>
      <c r="H241" s="29"/>
      <c r="I241" s="149">
        <v>0</v>
      </c>
    </row>
    <row r="242" spans="1:9" ht="15.75" hidden="1" thickBot="1" x14ac:dyDescent="0.3">
      <c r="A242" s="214"/>
      <c r="B242" s="31" t="s">
        <v>514</v>
      </c>
      <c r="C242" s="31"/>
      <c r="D242" s="91"/>
      <c r="E242" s="42" t="s">
        <v>514</v>
      </c>
      <c r="F242" s="30" t="str">
        <f t="shared" si="3"/>
        <v/>
      </c>
      <c r="G242" s="34"/>
      <c r="H242" s="30"/>
      <c r="I242" s="149">
        <v>0</v>
      </c>
    </row>
    <row r="243" spans="1:9" ht="26.25" hidden="1" thickBot="1" x14ac:dyDescent="0.3">
      <c r="A243" s="214"/>
      <c r="B243" s="35" t="s">
        <v>1276</v>
      </c>
      <c r="C243" s="35" t="s">
        <v>119</v>
      </c>
      <c r="D243" s="36">
        <v>0.57979999999999998</v>
      </c>
      <c r="E243" s="33">
        <v>188.09049999999999</v>
      </c>
      <c r="F243" s="33">
        <f t="shared" si="3"/>
        <v>109.05487189999999</v>
      </c>
      <c r="G243" s="44">
        <f>SUM(F243:F252)</f>
        <v>692.99983396115999</v>
      </c>
      <c r="H243" s="45"/>
      <c r="I243" s="149">
        <v>0</v>
      </c>
    </row>
    <row r="244" spans="1:9" ht="15.75" hidden="1" thickBot="1" x14ac:dyDescent="0.3">
      <c r="A244" s="214"/>
      <c r="B244" s="35" t="s">
        <v>1429</v>
      </c>
      <c r="C244" s="35" t="s">
        <v>891</v>
      </c>
      <c r="D244" s="36">
        <v>12.3698</v>
      </c>
      <c r="E244" s="33">
        <v>1.1399999999999999</v>
      </c>
      <c r="F244" s="33">
        <f t="shared" si="3"/>
        <v>14.101571999999999</v>
      </c>
      <c r="G244" s="44"/>
      <c r="H244" s="45"/>
      <c r="I244" s="149">
        <v>0</v>
      </c>
    </row>
    <row r="245" spans="1:9" ht="15.75" hidden="1" customHeight="1" thickBot="1" x14ac:dyDescent="0.3">
      <c r="A245" s="214"/>
      <c r="B245" s="35" t="s">
        <v>740</v>
      </c>
      <c r="C245" s="35" t="s">
        <v>891</v>
      </c>
      <c r="D245" s="36">
        <v>515.40949999999998</v>
      </c>
      <c r="E245" s="33">
        <v>0.627</v>
      </c>
      <c r="F245" s="33">
        <f t="shared" si="3"/>
        <v>323.16175649999997</v>
      </c>
      <c r="G245" s="44"/>
      <c r="H245" s="45"/>
      <c r="I245" s="149">
        <v>0</v>
      </c>
    </row>
    <row r="246" spans="1:9" ht="26.25" hidden="1" thickBot="1" x14ac:dyDescent="0.3">
      <c r="A246" s="214"/>
      <c r="B246" s="35" t="s">
        <v>749</v>
      </c>
      <c r="C246" s="35" t="s">
        <v>119</v>
      </c>
      <c r="D246" s="36">
        <v>0.56699999999999995</v>
      </c>
      <c r="E246" s="30">
        <v>174.5625</v>
      </c>
      <c r="F246" s="33">
        <f t="shared" si="3"/>
        <v>98.976937499999991</v>
      </c>
      <c r="G246" s="44"/>
      <c r="H246" s="45"/>
      <c r="I246" s="149">
        <v>0</v>
      </c>
    </row>
    <row r="247" spans="1:9" ht="15.75" hidden="1" thickBot="1" x14ac:dyDescent="0.3">
      <c r="A247" s="214"/>
      <c r="B247" s="35" t="s">
        <v>696</v>
      </c>
      <c r="C247" s="35" t="s">
        <v>695</v>
      </c>
      <c r="D247" s="36">
        <v>2.5491999999999999</v>
      </c>
      <c r="E247" s="30">
        <v>18.420500000000001</v>
      </c>
      <c r="F247" s="33">
        <f t="shared" si="3"/>
        <v>46.957538599999999</v>
      </c>
      <c r="G247" s="44"/>
      <c r="H247" s="45"/>
      <c r="I247" s="149">
        <v>0</v>
      </c>
    </row>
    <row r="248" spans="1:9" ht="26.25" hidden="1" thickBot="1" x14ac:dyDescent="0.3">
      <c r="A248" s="214"/>
      <c r="B248" s="35" t="s">
        <v>1427</v>
      </c>
      <c r="C248" s="35" t="s">
        <v>695</v>
      </c>
      <c r="D248" s="36">
        <v>1.6075999999999999</v>
      </c>
      <c r="E248" s="30">
        <v>18.534500000000001</v>
      </c>
      <c r="F248" s="33">
        <f t="shared" si="3"/>
        <v>29.796062200000001</v>
      </c>
      <c r="G248" s="44"/>
      <c r="H248" s="45"/>
      <c r="I248" s="149">
        <v>0</v>
      </c>
    </row>
    <row r="249" spans="1:9" ht="39" hidden="1" thickBot="1" x14ac:dyDescent="0.3">
      <c r="A249" s="214"/>
      <c r="B249" s="35" t="s">
        <v>116</v>
      </c>
      <c r="C249" s="35" t="s">
        <v>932</v>
      </c>
      <c r="D249" s="36">
        <v>1.1143000000000001</v>
      </c>
      <c r="E249" s="30">
        <v>1.3774999999999999</v>
      </c>
      <c r="F249" s="96">
        <f t="shared" si="3"/>
        <v>1.53494825</v>
      </c>
      <c r="G249" s="44"/>
      <c r="H249" s="45"/>
      <c r="I249" s="149">
        <v>0</v>
      </c>
    </row>
    <row r="250" spans="1:9" ht="39" hidden="1" thickBot="1" x14ac:dyDescent="0.3">
      <c r="A250" s="214"/>
      <c r="B250" s="35" t="s">
        <v>117</v>
      </c>
      <c r="C250" s="35" t="s">
        <v>934</v>
      </c>
      <c r="D250" s="36">
        <v>0.49330000000000002</v>
      </c>
      <c r="E250" s="30">
        <v>0.36099999999999999</v>
      </c>
      <c r="F250" s="96">
        <f t="shared" si="3"/>
        <v>0.1780813</v>
      </c>
      <c r="G250" s="44"/>
      <c r="H250" s="45"/>
      <c r="I250" s="149">
        <v>0</v>
      </c>
    </row>
    <row r="251" spans="1:9" ht="51.75" hidden="1" thickBot="1" x14ac:dyDescent="0.3">
      <c r="A251" s="214"/>
      <c r="B251" s="35" t="s">
        <v>3507</v>
      </c>
      <c r="C251" s="35" t="s">
        <v>119</v>
      </c>
      <c r="D251" s="36">
        <f>ROUND(1*(D243+D246),4)</f>
        <v>1.1468</v>
      </c>
      <c r="E251" s="30">
        <v>7.9145696999999986</v>
      </c>
      <c r="F251" s="33">
        <f t="shared" si="3"/>
        <v>9.0764285319599995</v>
      </c>
      <c r="G251" s="44"/>
      <c r="H251" s="45"/>
      <c r="I251" s="149">
        <v>0</v>
      </c>
    </row>
    <row r="252" spans="1:9" ht="39" hidden="1" thickBot="1" x14ac:dyDescent="0.3">
      <c r="A252" s="214"/>
      <c r="B252" s="35" t="s">
        <v>3504</v>
      </c>
      <c r="C252" s="46" t="s">
        <v>121</v>
      </c>
      <c r="D252" s="36">
        <f>ROUND((D243+D246)*20,4)</f>
        <v>22.936</v>
      </c>
      <c r="E252" s="30">
        <v>2.6230221999999994</v>
      </c>
      <c r="F252" s="33">
        <f t="shared" si="3"/>
        <v>60.161637179199985</v>
      </c>
      <c r="G252" s="44"/>
      <c r="H252" s="45"/>
      <c r="I252" s="149">
        <v>0</v>
      </c>
    </row>
    <row r="253" spans="1:9" ht="15.75" hidden="1" thickBot="1" x14ac:dyDescent="0.3">
      <c r="A253" s="214"/>
      <c r="B253" s="50"/>
      <c r="C253" s="46"/>
      <c r="D253" s="36"/>
      <c r="E253" s="30" t="s">
        <v>514</v>
      </c>
      <c r="F253" s="33" t="str">
        <f t="shared" si="3"/>
        <v/>
      </c>
      <c r="G253" s="44"/>
      <c r="H253" s="45"/>
      <c r="I253" s="149">
        <v>0</v>
      </c>
    </row>
    <row r="254" spans="1:9" ht="15.75" hidden="1" customHeight="1" thickBot="1" x14ac:dyDescent="0.3">
      <c r="A254" s="214"/>
      <c r="B254" s="47" t="s">
        <v>122</v>
      </c>
      <c r="C254" s="46"/>
      <c r="D254" s="36"/>
      <c r="E254" s="30" t="s">
        <v>514</v>
      </c>
      <c r="F254" s="33" t="str">
        <f t="shared" si="3"/>
        <v/>
      </c>
      <c r="G254" s="44"/>
      <c r="H254" s="45"/>
      <c r="I254" s="149">
        <v>0</v>
      </c>
    </row>
    <row r="255" spans="1:9" ht="15.75" hidden="1" thickBot="1" x14ac:dyDescent="0.3">
      <c r="A255" s="214"/>
      <c r="B255" s="35"/>
      <c r="C255" s="35"/>
      <c r="D255" s="92"/>
      <c r="E255" s="30" t="s">
        <v>514</v>
      </c>
      <c r="F255" s="30" t="str">
        <f t="shared" si="3"/>
        <v/>
      </c>
      <c r="G255" s="34"/>
      <c r="H255" s="30"/>
      <c r="I255" s="149">
        <v>0</v>
      </c>
    </row>
    <row r="256" spans="1:9" ht="27" hidden="1" customHeight="1" thickBot="1" x14ac:dyDescent="0.3">
      <c r="A256" s="214" t="s">
        <v>1007</v>
      </c>
      <c r="B256" s="40" t="s">
        <v>514</v>
      </c>
      <c r="C256" s="25" t="s">
        <v>119</v>
      </c>
      <c r="D256" s="93"/>
      <c r="E256" s="27" t="s">
        <v>514</v>
      </c>
      <c r="F256" s="25" t="str">
        <f t="shared" si="3"/>
        <v/>
      </c>
      <c r="G256" s="28"/>
      <c r="H256" s="29"/>
      <c r="I256" s="149">
        <v>0</v>
      </c>
    </row>
    <row r="257" spans="1:9" ht="15.75" hidden="1" thickBot="1" x14ac:dyDescent="0.3">
      <c r="A257" s="214"/>
      <c r="B257" s="31" t="s">
        <v>514</v>
      </c>
      <c r="C257" s="31"/>
      <c r="D257" s="91"/>
      <c r="E257" s="30" t="s">
        <v>514</v>
      </c>
      <c r="F257" s="30" t="str">
        <f t="shared" si="3"/>
        <v/>
      </c>
      <c r="G257" s="34"/>
      <c r="H257" s="30"/>
      <c r="I257" s="149">
        <v>0</v>
      </c>
    </row>
    <row r="258" spans="1:9" ht="26.25" hidden="1" thickBot="1" x14ac:dyDescent="0.3">
      <c r="A258" s="214"/>
      <c r="B258" s="35" t="s">
        <v>744</v>
      </c>
      <c r="C258" s="35" t="s">
        <v>119</v>
      </c>
      <c r="D258" s="36">
        <v>1.25</v>
      </c>
      <c r="E258" s="30">
        <v>185.66799999999998</v>
      </c>
      <c r="F258" s="33">
        <f t="shared" si="3"/>
        <v>232.08499999999998</v>
      </c>
      <c r="G258" s="44">
        <f>SUM(F258:F262)</f>
        <v>875.52352212500011</v>
      </c>
      <c r="H258" s="45"/>
      <c r="I258" s="149">
        <v>0</v>
      </c>
    </row>
    <row r="259" spans="1:9" ht="15.75" hidden="1" thickBot="1" x14ac:dyDescent="0.3">
      <c r="A259" s="214"/>
      <c r="B259" s="35" t="s">
        <v>740</v>
      </c>
      <c r="C259" s="35" t="s">
        <v>891</v>
      </c>
      <c r="D259" s="36">
        <v>563.59</v>
      </c>
      <c r="E259" s="33">
        <v>0.627</v>
      </c>
      <c r="F259" s="33">
        <f t="shared" si="3"/>
        <v>353.37093000000004</v>
      </c>
      <c r="G259" s="44"/>
      <c r="H259" s="45"/>
      <c r="I259" s="149">
        <v>0</v>
      </c>
    </row>
    <row r="260" spans="1:9" ht="15.75" hidden="1" thickBot="1" x14ac:dyDescent="0.3">
      <c r="A260" s="214"/>
      <c r="B260" s="35" t="s">
        <v>1405</v>
      </c>
      <c r="C260" s="35" t="s">
        <v>695</v>
      </c>
      <c r="D260" s="36">
        <v>11.65</v>
      </c>
      <c r="E260" s="30">
        <v>18.420500000000001</v>
      </c>
      <c r="F260" s="33">
        <f t="shared" si="3"/>
        <v>214.59882500000001</v>
      </c>
      <c r="G260" s="44"/>
      <c r="H260" s="45"/>
      <c r="I260" s="149">
        <v>0</v>
      </c>
    </row>
    <row r="261" spans="1:9" ht="51.75" hidden="1" thickBot="1" x14ac:dyDescent="0.3">
      <c r="A261" s="214"/>
      <c r="B261" s="35" t="s">
        <v>3507</v>
      </c>
      <c r="C261" s="35" t="s">
        <v>119</v>
      </c>
      <c r="D261" s="36">
        <f>ROUND(1*(D258),4)</f>
        <v>1.25</v>
      </c>
      <c r="E261" s="30">
        <v>7.9145696999999986</v>
      </c>
      <c r="F261" s="33">
        <f t="shared" si="3"/>
        <v>9.893212124999998</v>
      </c>
      <c r="G261" s="44"/>
      <c r="H261" s="45"/>
      <c r="I261" s="149">
        <v>0</v>
      </c>
    </row>
    <row r="262" spans="1:9" ht="39" hidden="1" thickBot="1" x14ac:dyDescent="0.3">
      <c r="A262" s="214"/>
      <c r="B262" s="35" t="s">
        <v>3504</v>
      </c>
      <c r="C262" s="46" t="s">
        <v>121</v>
      </c>
      <c r="D262" s="36">
        <f>ROUND(D258*20,4)</f>
        <v>25</v>
      </c>
      <c r="E262" s="30">
        <v>2.6230221999999994</v>
      </c>
      <c r="F262" s="33">
        <f t="shared" ref="F262:F325" si="4">IF(ISNUMBER(E262),E262*$D262,"")</f>
        <v>65.57555499999998</v>
      </c>
      <c r="G262" s="44"/>
      <c r="H262" s="45"/>
      <c r="I262" s="149">
        <v>0</v>
      </c>
    </row>
    <row r="263" spans="1:9" ht="15.75" hidden="1" thickBot="1" x14ac:dyDescent="0.3">
      <c r="A263" s="214"/>
      <c r="B263" s="50"/>
      <c r="C263" s="46"/>
      <c r="D263" s="36"/>
      <c r="E263" s="30" t="s">
        <v>514</v>
      </c>
      <c r="F263" s="33" t="str">
        <f t="shared" si="4"/>
        <v/>
      </c>
      <c r="G263" s="44"/>
      <c r="H263" s="45"/>
      <c r="I263" s="149">
        <v>0</v>
      </c>
    </row>
    <row r="264" spans="1:9" ht="15.75" hidden="1" thickBot="1" x14ac:dyDescent="0.3">
      <c r="A264" s="214"/>
      <c r="B264" s="47" t="s">
        <v>747</v>
      </c>
      <c r="C264" s="46"/>
      <c r="D264" s="36"/>
      <c r="E264" s="30" t="s">
        <v>514</v>
      </c>
      <c r="F264" s="33" t="str">
        <f t="shared" si="4"/>
        <v/>
      </c>
      <c r="G264" s="44"/>
      <c r="H264" s="45"/>
      <c r="I264" s="149">
        <v>0</v>
      </c>
    </row>
    <row r="265" spans="1:9" ht="15.75" hidden="1" thickBot="1" x14ac:dyDescent="0.3">
      <c r="A265" s="217"/>
      <c r="B265" s="35" t="s">
        <v>514</v>
      </c>
      <c r="C265" s="35"/>
      <c r="D265" s="92"/>
      <c r="E265" s="30" t="s">
        <v>514</v>
      </c>
      <c r="F265" s="33" t="str">
        <f t="shared" si="4"/>
        <v/>
      </c>
      <c r="G265" s="34"/>
      <c r="H265" s="30"/>
      <c r="I265" s="149">
        <v>0</v>
      </c>
    </row>
    <row r="266" spans="1:9" ht="27" hidden="1" customHeight="1" thickBot="1" x14ac:dyDescent="0.3">
      <c r="A266" s="216" t="s">
        <v>688</v>
      </c>
      <c r="B266" s="40" t="s">
        <v>514</v>
      </c>
      <c r="C266" s="25" t="s">
        <v>20</v>
      </c>
      <c r="D266" s="93"/>
      <c r="E266" s="27" t="s">
        <v>514</v>
      </c>
      <c r="F266" s="25" t="str">
        <f t="shared" si="4"/>
        <v/>
      </c>
      <c r="G266" s="28"/>
      <c r="H266" s="29"/>
      <c r="I266" s="149">
        <v>0</v>
      </c>
    </row>
    <row r="267" spans="1:9" ht="15.75" hidden="1" thickBot="1" x14ac:dyDescent="0.3">
      <c r="A267" s="214"/>
      <c r="B267" s="31" t="s">
        <v>514</v>
      </c>
      <c r="C267" s="31"/>
      <c r="D267" s="91"/>
      <c r="E267" s="30" t="s">
        <v>514</v>
      </c>
      <c r="F267" s="30" t="str">
        <f t="shared" si="4"/>
        <v/>
      </c>
      <c r="G267" s="34"/>
      <c r="H267" s="30"/>
      <c r="I267" s="149">
        <v>0</v>
      </c>
    </row>
    <row r="268" spans="1:9" ht="15.75" hidden="1" customHeight="1" thickBot="1" x14ac:dyDescent="0.3">
      <c r="A268" s="214"/>
      <c r="B268" s="35" t="s">
        <v>6629</v>
      </c>
      <c r="C268" s="35" t="s">
        <v>1430</v>
      </c>
      <c r="D268" s="36">
        <v>1</v>
      </c>
      <c r="E268" s="30">
        <v>256.5</v>
      </c>
      <c r="F268" s="33">
        <f t="shared" si="4"/>
        <v>256.5</v>
      </c>
      <c r="G268" s="44">
        <f>SUM(F268:F272)</f>
        <v>347.10193700000002</v>
      </c>
      <c r="H268" s="45"/>
      <c r="I268" s="149">
        <v>0</v>
      </c>
    </row>
    <row r="269" spans="1:9" ht="15.75" hidden="1" thickBot="1" x14ac:dyDescent="0.3">
      <c r="A269" s="214"/>
      <c r="B269" s="35" t="s">
        <v>1431</v>
      </c>
      <c r="C269" s="35" t="s">
        <v>891</v>
      </c>
      <c r="D269" s="36">
        <v>1.0999999999999999E-2</v>
      </c>
      <c r="E269" s="33">
        <v>29.820499999999999</v>
      </c>
      <c r="F269" s="33">
        <f t="shared" si="4"/>
        <v>0.32802549999999997</v>
      </c>
      <c r="G269" s="44"/>
      <c r="H269" s="45"/>
      <c r="I269" s="149">
        <v>0</v>
      </c>
    </row>
    <row r="270" spans="1:9" ht="15.75" hidden="1" thickBot="1" x14ac:dyDescent="0.3">
      <c r="A270" s="214"/>
      <c r="B270" s="35" t="s">
        <v>97</v>
      </c>
      <c r="C270" s="35" t="s">
        <v>891</v>
      </c>
      <c r="D270" s="36">
        <v>2.4E-2</v>
      </c>
      <c r="E270" s="30">
        <v>22.628999999999998</v>
      </c>
      <c r="F270" s="33">
        <f t="shared" si="4"/>
        <v>0.54309599999999991</v>
      </c>
      <c r="G270" s="44"/>
      <c r="H270" s="45"/>
      <c r="I270" s="149">
        <v>0</v>
      </c>
    </row>
    <row r="271" spans="1:9" ht="15.75" hidden="1" thickBot="1" x14ac:dyDescent="0.3">
      <c r="A271" s="214"/>
      <c r="B271" s="35" t="s">
        <v>694</v>
      </c>
      <c r="C271" s="35" t="s">
        <v>695</v>
      </c>
      <c r="D271" s="36">
        <v>2.7410000000000001</v>
      </c>
      <c r="E271" s="30">
        <v>23.616999999999997</v>
      </c>
      <c r="F271" s="33">
        <f t="shared" si="4"/>
        <v>64.734196999999995</v>
      </c>
      <c r="G271" s="44"/>
      <c r="H271" s="45"/>
      <c r="I271" s="149">
        <v>0</v>
      </c>
    </row>
    <row r="272" spans="1:9" ht="15.75" hidden="1" thickBot="1" x14ac:dyDescent="0.3">
      <c r="A272" s="214"/>
      <c r="B272" s="35" t="s">
        <v>696</v>
      </c>
      <c r="C272" s="46" t="s">
        <v>695</v>
      </c>
      <c r="D272" s="36">
        <v>1.357</v>
      </c>
      <c r="E272" s="30">
        <v>18.420500000000001</v>
      </c>
      <c r="F272" s="33">
        <f t="shared" si="4"/>
        <v>24.9966185</v>
      </c>
      <c r="G272" s="44"/>
      <c r="H272" s="45"/>
      <c r="I272" s="149">
        <v>0</v>
      </c>
    </row>
    <row r="273" spans="1:9" ht="15.75" hidden="1" thickBot="1" x14ac:dyDescent="0.3">
      <c r="A273" s="217"/>
      <c r="B273" s="50"/>
      <c r="C273" s="46"/>
      <c r="D273" s="36"/>
      <c r="E273" s="30" t="s">
        <v>514</v>
      </c>
      <c r="F273" s="33" t="str">
        <f t="shared" si="4"/>
        <v/>
      </c>
      <c r="G273" s="44"/>
      <c r="H273" s="45"/>
      <c r="I273" s="149">
        <v>0</v>
      </c>
    </row>
    <row r="274" spans="1:9" ht="27" hidden="1" customHeight="1" thickBot="1" x14ac:dyDescent="0.3">
      <c r="A274" s="216" t="s">
        <v>1434</v>
      </c>
      <c r="B274" s="40" t="s">
        <v>514</v>
      </c>
      <c r="C274" s="25" t="s">
        <v>119</v>
      </c>
      <c r="D274" s="93"/>
      <c r="E274" s="27" t="s">
        <v>514</v>
      </c>
      <c r="F274" s="27" t="str">
        <f t="shared" si="4"/>
        <v/>
      </c>
      <c r="G274" s="28"/>
      <c r="H274" s="29"/>
      <c r="I274" s="149">
        <v>0</v>
      </c>
    </row>
    <row r="275" spans="1:9" ht="15.75" hidden="1" thickBot="1" x14ac:dyDescent="0.3">
      <c r="A275" s="214"/>
      <c r="B275" s="31" t="s">
        <v>514</v>
      </c>
      <c r="C275" s="31"/>
      <c r="D275" s="91"/>
      <c r="E275" s="30" t="s">
        <v>514</v>
      </c>
      <c r="F275" s="98" t="str">
        <f t="shared" si="4"/>
        <v/>
      </c>
      <c r="G275" s="100"/>
      <c r="H275" s="98"/>
      <c r="I275" s="149">
        <v>0</v>
      </c>
    </row>
    <row r="276" spans="1:9" ht="26.25" hidden="1" thickBot="1" x14ac:dyDescent="0.3">
      <c r="A276" s="214"/>
      <c r="B276" s="35" t="s">
        <v>744</v>
      </c>
      <c r="C276" s="35" t="s">
        <v>119</v>
      </c>
      <c r="D276" s="36">
        <v>1.07</v>
      </c>
      <c r="E276" s="30">
        <v>185.66799999999998</v>
      </c>
      <c r="F276" s="33">
        <f t="shared" si="4"/>
        <v>198.66476</v>
      </c>
      <c r="G276" s="44">
        <f>SUM(F276:F281)</f>
        <v>723.97555465899995</v>
      </c>
      <c r="H276" s="45"/>
      <c r="I276" s="149">
        <v>0</v>
      </c>
    </row>
    <row r="277" spans="1:9" ht="15.75" hidden="1" thickBot="1" x14ac:dyDescent="0.3">
      <c r="A277" s="214"/>
      <c r="B277" s="35" t="s">
        <v>1429</v>
      </c>
      <c r="C277" s="35" t="s">
        <v>891</v>
      </c>
      <c r="D277" s="36">
        <v>75.47</v>
      </c>
      <c r="E277" s="30">
        <v>1.1399999999999999</v>
      </c>
      <c r="F277" s="33">
        <f t="shared" si="4"/>
        <v>86.035799999999995</v>
      </c>
      <c r="G277" s="44"/>
      <c r="H277" s="45"/>
      <c r="I277" s="149">
        <v>0</v>
      </c>
    </row>
    <row r="278" spans="1:9" ht="15.75" hidden="1" customHeight="1" thickBot="1" x14ac:dyDescent="0.3">
      <c r="A278" s="214"/>
      <c r="B278" s="35" t="s">
        <v>740</v>
      </c>
      <c r="C278" s="35" t="s">
        <v>891</v>
      </c>
      <c r="D278" s="36">
        <v>339.62</v>
      </c>
      <c r="E278" s="33">
        <v>0.627</v>
      </c>
      <c r="F278" s="33">
        <f t="shared" si="4"/>
        <v>212.94174000000001</v>
      </c>
      <c r="G278" s="44"/>
      <c r="H278" s="45"/>
      <c r="I278" s="149">
        <v>0</v>
      </c>
    </row>
    <row r="279" spans="1:9" ht="15.75" hidden="1" thickBot="1" x14ac:dyDescent="0.3">
      <c r="A279" s="214"/>
      <c r="B279" s="35" t="s">
        <v>1405</v>
      </c>
      <c r="C279" s="35" t="s">
        <v>695</v>
      </c>
      <c r="D279" s="36">
        <v>8.7799999999999994</v>
      </c>
      <c r="E279" s="30">
        <v>18.420500000000001</v>
      </c>
      <c r="F279" s="33">
        <f t="shared" si="4"/>
        <v>161.73199</v>
      </c>
      <c r="G279" s="44"/>
      <c r="H279" s="45"/>
      <c r="I279" s="149">
        <v>0</v>
      </c>
    </row>
    <row r="280" spans="1:9" ht="51.75" hidden="1" thickBot="1" x14ac:dyDescent="0.3">
      <c r="A280" s="214"/>
      <c r="B280" s="35" t="s">
        <v>3507</v>
      </c>
      <c r="C280" s="35" t="s">
        <v>119</v>
      </c>
      <c r="D280" s="36">
        <f>ROUND(1*D276,4)</f>
        <v>1.07</v>
      </c>
      <c r="E280" s="30">
        <v>7.9145696999999986</v>
      </c>
      <c r="F280" s="33">
        <f t="shared" si="4"/>
        <v>8.4685895789999996</v>
      </c>
      <c r="G280" s="44"/>
      <c r="H280" s="45"/>
      <c r="I280" s="149">
        <v>0</v>
      </c>
    </row>
    <row r="281" spans="1:9" ht="39" hidden="1" thickBot="1" x14ac:dyDescent="0.3">
      <c r="A281" s="214"/>
      <c r="B281" s="35" t="s">
        <v>3504</v>
      </c>
      <c r="C281" s="46" t="s">
        <v>121</v>
      </c>
      <c r="D281" s="36">
        <f>ROUND(D276*20,4)</f>
        <v>21.4</v>
      </c>
      <c r="E281" s="30">
        <v>2.6230221999999994</v>
      </c>
      <c r="F281" s="33">
        <f t="shared" si="4"/>
        <v>56.132675079999984</v>
      </c>
      <c r="G281" s="44"/>
      <c r="H281" s="45"/>
      <c r="I281" s="149">
        <v>0</v>
      </c>
    </row>
    <row r="282" spans="1:9" ht="15.75" hidden="1" thickBot="1" x14ac:dyDescent="0.3">
      <c r="A282" s="214"/>
      <c r="B282" s="50"/>
      <c r="C282" s="46"/>
      <c r="D282" s="36"/>
      <c r="E282" s="30" t="s">
        <v>514</v>
      </c>
      <c r="F282" s="33" t="str">
        <f t="shared" si="4"/>
        <v/>
      </c>
      <c r="G282" s="44"/>
      <c r="H282" s="45"/>
      <c r="I282" s="149">
        <v>0</v>
      </c>
    </row>
    <row r="283" spans="1:9" ht="15.75" hidden="1" thickBot="1" x14ac:dyDescent="0.3">
      <c r="A283" s="214"/>
      <c r="B283" s="47" t="s">
        <v>747</v>
      </c>
      <c r="C283" s="46"/>
      <c r="D283" s="36"/>
      <c r="E283" s="30" t="s">
        <v>514</v>
      </c>
      <c r="F283" s="33" t="str">
        <f t="shared" si="4"/>
        <v/>
      </c>
      <c r="G283" s="44"/>
      <c r="H283" s="45"/>
      <c r="I283" s="149">
        <v>0</v>
      </c>
    </row>
    <row r="284" spans="1:9" ht="15.75" hidden="1" thickBot="1" x14ac:dyDescent="0.3">
      <c r="A284" s="217"/>
      <c r="B284" s="54" t="s">
        <v>514</v>
      </c>
      <c r="C284" s="54"/>
      <c r="D284" s="95"/>
      <c r="E284" s="66" t="s">
        <v>514</v>
      </c>
      <c r="F284" s="66" t="str">
        <f t="shared" si="4"/>
        <v/>
      </c>
      <c r="G284" s="68"/>
      <c r="H284" s="30"/>
      <c r="I284" s="149">
        <v>0</v>
      </c>
    </row>
    <row r="285" spans="1:9" ht="27" hidden="1" customHeight="1" thickBot="1" x14ac:dyDescent="0.3">
      <c r="A285" s="216" t="s">
        <v>8002</v>
      </c>
      <c r="B285" s="151" t="s">
        <v>514</v>
      </c>
      <c r="C285" s="89" t="s">
        <v>891</v>
      </c>
      <c r="D285" s="90"/>
      <c r="E285" s="70" t="s">
        <v>514</v>
      </c>
      <c r="F285" s="70" t="str">
        <f t="shared" si="4"/>
        <v/>
      </c>
      <c r="G285" s="71"/>
      <c r="H285" s="29"/>
      <c r="I285" s="149">
        <v>0</v>
      </c>
    </row>
    <row r="286" spans="1:9" ht="15.75" hidden="1" thickBot="1" x14ac:dyDescent="0.3">
      <c r="A286" s="214"/>
      <c r="B286" s="31" t="s">
        <v>514</v>
      </c>
      <c r="C286" s="31"/>
      <c r="D286" s="91"/>
      <c r="E286" s="30" t="s">
        <v>514</v>
      </c>
      <c r="F286" s="30" t="str">
        <f t="shared" si="4"/>
        <v/>
      </c>
      <c r="G286" s="34"/>
      <c r="H286" s="30"/>
      <c r="I286" s="149">
        <v>0</v>
      </c>
    </row>
    <row r="287" spans="1:9" ht="39" hidden="1" thickBot="1" x14ac:dyDescent="0.3">
      <c r="A287" s="214"/>
      <c r="B287" s="35" t="s">
        <v>892</v>
      </c>
      <c r="C287" s="35" t="s">
        <v>278</v>
      </c>
      <c r="D287" s="36">
        <v>2.8159999999999998</v>
      </c>
      <c r="E287" s="30">
        <v>0.20899999999999999</v>
      </c>
      <c r="F287" s="33">
        <f t="shared" si="4"/>
        <v>0.58854399999999996</v>
      </c>
      <c r="G287" s="44">
        <f>SUM(F287:F291)</f>
        <v>16.921556750000001</v>
      </c>
      <c r="H287" s="45"/>
      <c r="I287" s="149">
        <v>0</v>
      </c>
    </row>
    <row r="288" spans="1:9" ht="26.25" hidden="1" thickBot="1" x14ac:dyDescent="0.3">
      <c r="A288" s="214"/>
      <c r="B288" s="35" t="s">
        <v>3489</v>
      </c>
      <c r="C288" s="35" t="s">
        <v>891</v>
      </c>
      <c r="D288" s="36">
        <v>2.5000000000000001E-2</v>
      </c>
      <c r="E288" s="30">
        <v>22.363</v>
      </c>
      <c r="F288" s="33">
        <f t="shared" si="4"/>
        <v>0.55907499999999999</v>
      </c>
      <c r="G288" s="44"/>
      <c r="H288" s="45"/>
      <c r="I288" s="149">
        <v>0</v>
      </c>
    </row>
    <row r="289" spans="1:9" ht="15.75" hidden="1" thickBot="1" x14ac:dyDescent="0.3">
      <c r="A289" s="214"/>
      <c r="B289" s="35" t="s">
        <v>893</v>
      </c>
      <c r="C289" s="35" t="s">
        <v>695</v>
      </c>
      <c r="D289" s="36">
        <v>1.72E-2</v>
      </c>
      <c r="E289" s="33">
        <v>18.3825</v>
      </c>
      <c r="F289" s="33">
        <f t="shared" si="4"/>
        <v>0.31617899999999999</v>
      </c>
      <c r="G289" s="44"/>
      <c r="H289" s="45"/>
      <c r="I289" s="149">
        <v>0</v>
      </c>
    </row>
    <row r="290" spans="1:9" ht="15.75" hidden="1" customHeight="1" thickBot="1" x14ac:dyDescent="0.3">
      <c r="A290" s="214"/>
      <c r="B290" s="35" t="s">
        <v>894</v>
      </c>
      <c r="C290" s="35" t="s">
        <v>695</v>
      </c>
      <c r="D290" s="36">
        <v>0.1055</v>
      </c>
      <c r="E290" s="30">
        <v>24.747499999999999</v>
      </c>
      <c r="F290" s="33">
        <f t="shared" si="4"/>
        <v>2.6108612499999997</v>
      </c>
      <c r="G290" s="44"/>
      <c r="H290" s="45"/>
      <c r="I290" s="149">
        <v>0</v>
      </c>
    </row>
    <row r="291" spans="1:9" ht="26.25" hidden="1" thickBot="1" x14ac:dyDescent="0.3">
      <c r="A291" s="214"/>
      <c r="B291" s="35" t="s">
        <v>1432</v>
      </c>
      <c r="C291" s="46" t="s">
        <v>891</v>
      </c>
      <c r="D291" s="36">
        <v>1</v>
      </c>
      <c r="E291" s="30">
        <v>12.846897500000001</v>
      </c>
      <c r="F291" s="33">
        <f t="shared" si="4"/>
        <v>12.846897500000001</v>
      </c>
      <c r="G291" s="44"/>
      <c r="H291" s="45"/>
      <c r="I291" s="149">
        <v>0</v>
      </c>
    </row>
    <row r="292" spans="1:9" ht="15.75" hidden="1" thickBot="1" x14ac:dyDescent="0.3">
      <c r="A292" s="217"/>
      <c r="B292" s="50"/>
      <c r="C292" s="46"/>
      <c r="D292" s="36"/>
      <c r="E292" s="30" t="s">
        <v>514</v>
      </c>
      <c r="F292" s="33" t="str">
        <f t="shared" si="4"/>
        <v/>
      </c>
      <c r="G292" s="44"/>
      <c r="H292" s="45"/>
      <c r="I292" s="149">
        <v>0</v>
      </c>
    </row>
    <row r="293" spans="1:9" ht="15" hidden="1" customHeight="1" thickBot="1" x14ac:dyDescent="0.3">
      <c r="A293" s="216" t="s">
        <v>8004</v>
      </c>
      <c r="B293" s="40" t="s">
        <v>514</v>
      </c>
      <c r="C293" s="25" t="s">
        <v>891</v>
      </c>
      <c r="D293" s="93"/>
      <c r="E293" s="27" t="s">
        <v>514</v>
      </c>
      <c r="F293" s="25" t="str">
        <f t="shared" si="4"/>
        <v/>
      </c>
      <c r="G293" s="28"/>
      <c r="H293" s="29"/>
      <c r="I293" s="149">
        <v>0</v>
      </c>
    </row>
    <row r="294" spans="1:9" ht="15.75" hidden="1" customHeight="1" thickBot="1" x14ac:dyDescent="0.3">
      <c r="A294" s="214"/>
      <c r="B294" s="31" t="s">
        <v>514</v>
      </c>
      <c r="C294" s="31"/>
      <c r="D294" s="91"/>
      <c r="E294" s="30" t="s">
        <v>514</v>
      </c>
      <c r="F294" s="98" t="str">
        <f t="shared" si="4"/>
        <v/>
      </c>
      <c r="G294" s="100"/>
      <c r="H294" s="98"/>
      <c r="I294" s="149">
        <v>0</v>
      </c>
    </row>
    <row r="295" spans="1:9" ht="15.75" hidden="1" thickBot="1" x14ac:dyDescent="0.3">
      <c r="A295" s="214"/>
      <c r="B295" s="35" t="s">
        <v>1435</v>
      </c>
      <c r="C295" s="35" t="s">
        <v>891</v>
      </c>
      <c r="D295" s="36">
        <v>1.07</v>
      </c>
      <c r="E295" s="33">
        <v>9.6234999999999999</v>
      </c>
      <c r="F295" s="33">
        <f t="shared" si="4"/>
        <v>10.297145</v>
      </c>
      <c r="G295" s="44">
        <f>SUM(F295:F297)</f>
        <v>12.846897500000001</v>
      </c>
      <c r="H295" s="45"/>
      <c r="I295" s="149">
        <v>0</v>
      </c>
    </row>
    <row r="296" spans="1:9" ht="15.75" hidden="1" thickBot="1" x14ac:dyDescent="0.3">
      <c r="A296" s="214"/>
      <c r="B296" s="35" t="s">
        <v>893</v>
      </c>
      <c r="C296" s="35" t="s">
        <v>695</v>
      </c>
      <c r="D296" s="36">
        <v>1.3100000000000001E-2</v>
      </c>
      <c r="E296" s="33">
        <v>18.3825</v>
      </c>
      <c r="F296" s="33">
        <f t="shared" si="4"/>
        <v>0.24081075000000002</v>
      </c>
      <c r="G296" s="44"/>
      <c r="H296" s="45"/>
      <c r="I296" s="149">
        <v>0</v>
      </c>
    </row>
    <row r="297" spans="1:9" ht="15.75" hidden="1" thickBot="1" x14ac:dyDescent="0.3">
      <c r="A297" s="214"/>
      <c r="B297" s="35" t="s">
        <v>894</v>
      </c>
      <c r="C297" s="35" t="s">
        <v>695</v>
      </c>
      <c r="D297" s="36">
        <v>9.3299999999999994E-2</v>
      </c>
      <c r="E297" s="30">
        <v>24.747499999999999</v>
      </c>
      <c r="F297" s="33">
        <f t="shared" si="4"/>
        <v>2.3089417499999998</v>
      </c>
      <c r="G297" s="44"/>
      <c r="H297" s="45"/>
      <c r="I297" s="149">
        <v>0</v>
      </c>
    </row>
    <row r="298" spans="1:9" ht="15.75" hidden="1" thickBot="1" x14ac:dyDescent="0.3">
      <c r="A298" s="217"/>
      <c r="B298" s="54" t="s">
        <v>514</v>
      </c>
      <c r="C298" s="54"/>
      <c r="D298" s="95"/>
      <c r="E298" s="66" t="s">
        <v>514</v>
      </c>
      <c r="F298" s="67" t="str">
        <f t="shared" si="4"/>
        <v/>
      </c>
      <c r="G298" s="68"/>
      <c r="H298" s="30"/>
      <c r="I298" s="149">
        <v>0</v>
      </c>
    </row>
    <row r="299" spans="1:9" ht="27" hidden="1" customHeight="1" thickBot="1" x14ac:dyDescent="0.3">
      <c r="A299" s="216" t="s">
        <v>6589</v>
      </c>
      <c r="B299" s="40" t="s">
        <v>514</v>
      </c>
      <c r="C299" s="25" t="s">
        <v>119</v>
      </c>
      <c r="D299" s="93"/>
      <c r="E299" s="41" t="s">
        <v>514</v>
      </c>
      <c r="F299" s="41" t="str">
        <f t="shared" si="4"/>
        <v/>
      </c>
      <c r="G299" s="28"/>
      <c r="H299" s="29"/>
      <c r="I299" s="149">
        <v>0</v>
      </c>
    </row>
    <row r="300" spans="1:9" ht="15.75" hidden="1" thickBot="1" x14ac:dyDescent="0.3">
      <c r="A300" s="214"/>
      <c r="B300" s="31" t="s">
        <v>514</v>
      </c>
      <c r="C300" s="31"/>
      <c r="D300" s="91"/>
      <c r="E300" s="42" t="s">
        <v>514</v>
      </c>
      <c r="F300" s="30" t="str">
        <f t="shared" si="4"/>
        <v/>
      </c>
      <c r="G300" s="34"/>
      <c r="H300" s="30"/>
      <c r="I300" s="149">
        <v>0</v>
      </c>
    </row>
    <row r="301" spans="1:9" ht="26.25" hidden="1" thickBot="1" x14ac:dyDescent="0.3">
      <c r="A301" s="214"/>
      <c r="B301" s="35" t="s">
        <v>744</v>
      </c>
      <c r="C301" s="35" t="s">
        <v>119</v>
      </c>
      <c r="D301" s="36">
        <v>0.80759999999999998</v>
      </c>
      <c r="E301" s="33">
        <v>185.66799999999998</v>
      </c>
      <c r="F301" s="33">
        <f t="shared" si="4"/>
        <v>149.94547679999997</v>
      </c>
      <c r="G301" s="44">
        <f>SUM(F301:F309)</f>
        <v>558.35450482792999</v>
      </c>
      <c r="H301" s="45"/>
      <c r="I301" s="149">
        <v>0</v>
      </c>
    </row>
    <row r="302" spans="1:9" ht="15.75" hidden="1" thickBot="1" x14ac:dyDescent="0.3">
      <c r="A302" s="214"/>
      <c r="B302" s="35" t="s">
        <v>740</v>
      </c>
      <c r="C302" s="35" t="s">
        <v>891</v>
      </c>
      <c r="D302" s="36">
        <v>274.06349999999998</v>
      </c>
      <c r="E302" s="33">
        <v>0.627</v>
      </c>
      <c r="F302" s="33">
        <f t="shared" si="4"/>
        <v>171.83781449999998</v>
      </c>
      <c r="G302" s="44"/>
      <c r="H302" s="45"/>
      <c r="I302" s="149">
        <v>0</v>
      </c>
    </row>
    <row r="303" spans="1:9" ht="26.25" hidden="1" thickBot="1" x14ac:dyDescent="0.3">
      <c r="A303" s="214"/>
      <c r="B303" s="35" t="s">
        <v>752</v>
      </c>
      <c r="C303" s="35" t="s">
        <v>119</v>
      </c>
      <c r="D303" s="36">
        <v>0.58130000000000004</v>
      </c>
      <c r="E303" s="33">
        <v>151.202</v>
      </c>
      <c r="F303" s="33">
        <f t="shared" si="4"/>
        <v>87.893722600000004</v>
      </c>
      <c r="G303" s="44"/>
      <c r="H303" s="45"/>
      <c r="I303" s="149">
        <v>0</v>
      </c>
    </row>
    <row r="304" spans="1:9" ht="15.75" hidden="1" thickBot="1" x14ac:dyDescent="0.3">
      <c r="A304" s="214"/>
      <c r="B304" s="35" t="s">
        <v>696</v>
      </c>
      <c r="C304" s="35" t="s">
        <v>695</v>
      </c>
      <c r="D304" s="36">
        <v>2.0266999999999999</v>
      </c>
      <c r="E304" s="30">
        <v>18.420500000000001</v>
      </c>
      <c r="F304" s="33">
        <f t="shared" si="4"/>
        <v>37.332827350000002</v>
      </c>
      <c r="G304" s="44"/>
      <c r="H304" s="45"/>
      <c r="I304" s="149">
        <v>0</v>
      </c>
    </row>
    <row r="305" spans="1:9" ht="26.25" hidden="1" thickBot="1" x14ac:dyDescent="0.3">
      <c r="A305" s="214"/>
      <c r="B305" s="35" t="s">
        <v>1427</v>
      </c>
      <c r="C305" s="35" t="s">
        <v>695</v>
      </c>
      <c r="D305" s="36">
        <v>1.2822</v>
      </c>
      <c r="E305" s="30">
        <v>18.534500000000001</v>
      </c>
      <c r="F305" s="94">
        <f t="shared" si="4"/>
        <v>23.764935900000001</v>
      </c>
      <c r="G305" s="44"/>
      <c r="H305" s="45"/>
      <c r="I305" s="149">
        <v>0</v>
      </c>
    </row>
    <row r="306" spans="1:9" ht="39" hidden="1" thickBot="1" x14ac:dyDescent="0.3">
      <c r="A306" s="214"/>
      <c r="B306" s="35" t="s">
        <v>1355</v>
      </c>
      <c r="C306" s="35" t="s">
        <v>932</v>
      </c>
      <c r="D306" s="36">
        <v>0.65990000000000004</v>
      </c>
      <c r="E306" s="30">
        <v>4.2560000000000002</v>
      </c>
      <c r="F306" s="94">
        <f t="shared" si="4"/>
        <v>2.8085344000000005</v>
      </c>
      <c r="G306" s="44"/>
      <c r="H306" s="45"/>
      <c r="I306" s="149">
        <v>0</v>
      </c>
    </row>
    <row r="307" spans="1:9" ht="39" hidden="1" thickBot="1" x14ac:dyDescent="0.3">
      <c r="A307" s="214"/>
      <c r="B307" s="35" t="s">
        <v>1428</v>
      </c>
      <c r="C307" s="46" t="s">
        <v>934</v>
      </c>
      <c r="D307" s="36">
        <v>0.62229999999999996</v>
      </c>
      <c r="E307" s="30">
        <v>1.4724999999999999</v>
      </c>
      <c r="F307" s="33">
        <f t="shared" si="4"/>
        <v>0.91633674999999992</v>
      </c>
      <c r="G307" s="44"/>
      <c r="H307" s="45"/>
      <c r="I307" s="149">
        <v>0</v>
      </c>
    </row>
    <row r="308" spans="1:9" ht="51.75" hidden="1" thickBot="1" x14ac:dyDescent="0.3">
      <c r="A308" s="214"/>
      <c r="B308" s="35" t="s">
        <v>3507</v>
      </c>
      <c r="C308" s="35" t="s">
        <v>119</v>
      </c>
      <c r="D308" s="36">
        <f>ROUND(1*(D301+D303),4)</f>
        <v>1.3889</v>
      </c>
      <c r="E308" s="30">
        <v>7.9145696999999986</v>
      </c>
      <c r="F308" s="33">
        <f t="shared" si="4"/>
        <v>10.992545856329999</v>
      </c>
      <c r="G308" s="44"/>
      <c r="H308" s="45"/>
      <c r="I308" s="149">
        <v>0</v>
      </c>
    </row>
    <row r="309" spans="1:9" ht="39" hidden="1" thickBot="1" x14ac:dyDescent="0.3">
      <c r="A309" s="214"/>
      <c r="B309" s="35" t="s">
        <v>3504</v>
      </c>
      <c r="C309" s="46" t="s">
        <v>121</v>
      </c>
      <c r="D309" s="36">
        <f>ROUND((D301+D303)*20,4)</f>
        <v>27.777999999999999</v>
      </c>
      <c r="E309" s="30">
        <v>2.6230221999999994</v>
      </c>
      <c r="F309" s="33">
        <f t="shared" si="4"/>
        <v>72.862310671599985</v>
      </c>
      <c r="G309" s="44"/>
      <c r="H309" s="45"/>
      <c r="I309" s="149">
        <v>0</v>
      </c>
    </row>
    <row r="310" spans="1:9" ht="15.75" hidden="1" thickBot="1" x14ac:dyDescent="0.3">
      <c r="A310" s="214"/>
      <c r="B310" s="50"/>
      <c r="C310" s="46"/>
      <c r="D310" s="36"/>
      <c r="E310" s="30" t="s">
        <v>514</v>
      </c>
      <c r="F310" s="33" t="str">
        <f t="shared" si="4"/>
        <v/>
      </c>
      <c r="G310" s="44"/>
      <c r="H310" s="45"/>
      <c r="I310" s="149">
        <v>0</v>
      </c>
    </row>
    <row r="311" spans="1:9" ht="26.25" hidden="1" thickBot="1" x14ac:dyDescent="0.3">
      <c r="A311" s="214"/>
      <c r="B311" s="47" t="s">
        <v>122</v>
      </c>
      <c r="C311" s="46"/>
      <c r="D311" s="36"/>
      <c r="E311" s="30" t="s">
        <v>514</v>
      </c>
      <c r="F311" s="33" t="str">
        <f t="shared" si="4"/>
        <v/>
      </c>
      <c r="G311" s="44"/>
      <c r="H311" s="45"/>
      <c r="I311" s="149">
        <v>0</v>
      </c>
    </row>
    <row r="312" spans="1:9" ht="15.75" hidden="1" thickBot="1" x14ac:dyDescent="0.3">
      <c r="A312" s="217"/>
      <c r="B312" s="35" t="s">
        <v>514</v>
      </c>
      <c r="C312" s="35"/>
      <c r="D312" s="92"/>
      <c r="E312" s="30" t="s">
        <v>514</v>
      </c>
      <c r="F312" s="30" t="str">
        <f t="shared" si="4"/>
        <v/>
      </c>
      <c r="G312" s="34"/>
      <c r="H312" s="30"/>
      <c r="I312" s="149">
        <v>0</v>
      </c>
    </row>
    <row r="313" spans="1:9" ht="27" hidden="1" customHeight="1" thickBot="1" x14ac:dyDescent="0.3">
      <c r="A313" s="216" t="s">
        <v>6588</v>
      </c>
      <c r="B313" s="40" t="s">
        <v>514</v>
      </c>
      <c r="C313" s="25" t="s">
        <v>119</v>
      </c>
      <c r="D313" s="93"/>
      <c r="E313" s="41" t="s">
        <v>514</v>
      </c>
      <c r="F313" s="41" t="str">
        <f t="shared" si="4"/>
        <v/>
      </c>
      <c r="G313" s="28"/>
      <c r="H313" s="29"/>
      <c r="I313" s="149">
        <v>0</v>
      </c>
    </row>
    <row r="314" spans="1:9" ht="15.75" hidden="1" thickBot="1" x14ac:dyDescent="0.3">
      <c r="A314" s="214"/>
      <c r="B314" s="31" t="s">
        <v>514</v>
      </c>
      <c r="C314" s="31"/>
      <c r="D314" s="91"/>
      <c r="E314" s="42" t="s">
        <v>514</v>
      </c>
      <c r="F314" s="30" t="str">
        <f t="shared" si="4"/>
        <v/>
      </c>
      <c r="G314" s="34"/>
      <c r="H314" s="30"/>
      <c r="I314" s="149">
        <v>0</v>
      </c>
    </row>
    <row r="315" spans="1:9" ht="26.25" hidden="1" thickBot="1" x14ac:dyDescent="0.3">
      <c r="A315" s="214"/>
      <c r="B315" s="35" t="s">
        <v>744</v>
      </c>
      <c r="C315" s="35" t="s">
        <v>119</v>
      </c>
      <c r="D315" s="36">
        <v>0.83250000000000002</v>
      </c>
      <c r="E315" s="33">
        <v>185.66799999999998</v>
      </c>
      <c r="F315" s="33">
        <f t="shared" si="4"/>
        <v>154.56860999999998</v>
      </c>
      <c r="G315" s="44">
        <f>SUM(F315:F323)</f>
        <v>529.16162423001992</v>
      </c>
      <c r="H315" s="45"/>
      <c r="I315" s="149">
        <v>0</v>
      </c>
    </row>
    <row r="316" spans="1:9" ht="15.75" hidden="1" thickBot="1" x14ac:dyDescent="0.3">
      <c r="A316" s="214"/>
      <c r="B316" s="35" t="s">
        <v>740</v>
      </c>
      <c r="C316" s="35" t="s">
        <v>891</v>
      </c>
      <c r="D316" s="36">
        <v>213.45310000000001</v>
      </c>
      <c r="E316" s="33">
        <v>0.627</v>
      </c>
      <c r="F316" s="33">
        <f t="shared" si="4"/>
        <v>133.83509370000002</v>
      </c>
      <c r="G316" s="44"/>
      <c r="H316" s="45"/>
      <c r="I316" s="149">
        <v>0</v>
      </c>
    </row>
    <row r="317" spans="1:9" ht="26.25" hidden="1" thickBot="1" x14ac:dyDescent="0.3">
      <c r="A317" s="214"/>
      <c r="B317" s="35" t="s">
        <v>752</v>
      </c>
      <c r="C317" s="35" t="s">
        <v>119</v>
      </c>
      <c r="D317" s="36">
        <v>0.58209999999999995</v>
      </c>
      <c r="E317" s="33">
        <v>151.202</v>
      </c>
      <c r="F317" s="33">
        <f t="shared" si="4"/>
        <v>88.014684199999991</v>
      </c>
      <c r="G317" s="44"/>
      <c r="H317" s="45"/>
      <c r="I317" s="149">
        <v>0</v>
      </c>
    </row>
    <row r="318" spans="1:9" ht="15.75" hidden="1" thickBot="1" x14ac:dyDescent="0.3">
      <c r="A318" s="214"/>
      <c r="B318" s="35" t="s">
        <v>696</v>
      </c>
      <c r="C318" s="35" t="s">
        <v>695</v>
      </c>
      <c r="D318" s="36">
        <v>2.1057999999999999</v>
      </c>
      <c r="E318" s="30">
        <v>18.420500000000001</v>
      </c>
      <c r="F318" s="33">
        <f t="shared" si="4"/>
        <v>38.789888900000001</v>
      </c>
      <c r="G318" s="44"/>
      <c r="H318" s="45"/>
      <c r="I318" s="149">
        <v>0</v>
      </c>
    </row>
    <row r="319" spans="1:9" ht="26.25" hidden="1" thickBot="1" x14ac:dyDescent="0.3">
      <c r="A319" s="214"/>
      <c r="B319" s="35" t="s">
        <v>1427</v>
      </c>
      <c r="C319" s="35" t="s">
        <v>695</v>
      </c>
      <c r="D319" s="36">
        <v>1.3314999999999999</v>
      </c>
      <c r="E319" s="30">
        <v>18.534500000000001</v>
      </c>
      <c r="F319" s="94">
        <f t="shared" si="4"/>
        <v>24.678686750000001</v>
      </c>
      <c r="G319" s="44"/>
      <c r="H319" s="45"/>
      <c r="I319" s="149">
        <v>0</v>
      </c>
    </row>
    <row r="320" spans="1:9" ht="39" hidden="1" thickBot="1" x14ac:dyDescent="0.3">
      <c r="A320" s="214"/>
      <c r="B320" s="35" t="s">
        <v>1355</v>
      </c>
      <c r="C320" s="35" t="s">
        <v>932</v>
      </c>
      <c r="D320" s="36">
        <v>0.68530000000000002</v>
      </c>
      <c r="E320" s="30">
        <v>4.2560000000000002</v>
      </c>
      <c r="F320" s="94">
        <f t="shared" si="4"/>
        <v>2.9166368</v>
      </c>
      <c r="G320" s="44"/>
      <c r="H320" s="45"/>
      <c r="I320" s="149">
        <v>0</v>
      </c>
    </row>
    <row r="321" spans="1:9" ht="39" hidden="1" thickBot="1" x14ac:dyDescent="0.3">
      <c r="A321" s="214"/>
      <c r="B321" s="35" t="s">
        <v>1428</v>
      </c>
      <c r="C321" s="46" t="s">
        <v>934</v>
      </c>
      <c r="D321" s="36">
        <v>0.6462</v>
      </c>
      <c r="E321" s="30">
        <v>1.4724999999999999</v>
      </c>
      <c r="F321" s="33">
        <f t="shared" si="4"/>
        <v>0.95152949999999992</v>
      </c>
      <c r="G321" s="44"/>
      <c r="H321" s="45"/>
      <c r="I321" s="149">
        <v>0</v>
      </c>
    </row>
    <row r="322" spans="1:9" ht="51.75" hidden="1" thickBot="1" x14ac:dyDescent="0.3">
      <c r="A322" s="214"/>
      <c r="B322" s="35" t="s">
        <v>3507</v>
      </c>
      <c r="C322" s="35" t="s">
        <v>119</v>
      </c>
      <c r="D322" s="36">
        <f>ROUND(1*(D315+D317),4)</f>
        <v>1.4146000000000001</v>
      </c>
      <c r="E322" s="30">
        <v>7.9145696999999986</v>
      </c>
      <c r="F322" s="33">
        <f t="shared" si="4"/>
        <v>11.195950297619998</v>
      </c>
      <c r="G322" s="44"/>
      <c r="H322" s="45"/>
      <c r="I322" s="149">
        <v>0</v>
      </c>
    </row>
    <row r="323" spans="1:9" ht="39" hidden="1" thickBot="1" x14ac:dyDescent="0.3">
      <c r="A323" s="214"/>
      <c r="B323" s="35" t="s">
        <v>3504</v>
      </c>
      <c r="C323" s="46" t="s">
        <v>121</v>
      </c>
      <c r="D323" s="36">
        <f>ROUND((D315+D317)*20,4)</f>
        <v>28.292000000000002</v>
      </c>
      <c r="E323" s="30">
        <v>2.6230221999999994</v>
      </c>
      <c r="F323" s="33">
        <f t="shared" si="4"/>
        <v>74.210544082399991</v>
      </c>
      <c r="G323" s="44"/>
      <c r="H323" s="45"/>
      <c r="I323" s="149">
        <v>0</v>
      </c>
    </row>
    <row r="324" spans="1:9" ht="15.75" hidden="1" thickBot="1" x14ac:dyDescent="0.3">
      <c r="A324" s="214"/>
      <c r="B324" s="50"/>
      <c r="C324" s="46"/>
      <c r="D324" s="36"/>
      <c r="E324" s="30" t="s">
        <v>514</v>
      </c>
      <c r="F324" s="33" t="str">
        <f t="shared" si="4"/>
        <v/>
      </c>
      <c r="G324" s="44"/>
      <c r="H324" s="45"/>
      <c r="I324" s="149">
        <v>0</v>
      </c>
    </row>
    <row r="325" spans="1:9" ht="26.25" hidden="1" thickBot="1" x14ac:dyDescent="0.3">
      <c r="A325" s="214"/>
      <c r="B325" s="47" t="s">
        <v>122</v>
      </c>
      <c r="C325" s="46"/>
      <c r="D325" s="36"/>
      <c r="E325" s="30" t="s">
        <v>514</v>
      </c>
      <c r="F325" s="33" t="str">
        <f t="shared" si="4"/>
        <v/>
      </c>
      <c r="G325" s="44"/>
      <c r="H325" s="45"/>
      <c r="I325" s="149">
        <v>0</v>
      </c>
    </row>
    <row r="326" spans="1:9" ht="15.75" hidden="1" thickBot="1" x14ac:dyDescent="0.3">
      <c r="A326" s="217"/>
      <c r="B326" s="35" t="s">
        <v>514</v>
      </c>
      <c r="C326" s="35"/>
      <c r="D326" s="92"/>
      <c r="E326" s="30" t="s">
        <v>514</v>
      </c>
      <c r="F326" s="30" t="str">
        <f t="shared" ref="F326:F389" si="5">IF(ISNUMBER(E326),E326*$D326,"")</f>
        <v/>
      </c>
      <c r="G326" s="34"/>
      <c r="H326" s="30"/>
      <c r="I326" s="149">
        <v>0</v>
      </c>
    </row>
    <row r="327" spans="1:9" ht="27" hidden="1" customHeight="1" thickBot="1" x14ac:dyDescent="0.3">
      <c r="A327" s="216" t="s">
        <v>992</v>
      </c>
      <c r="B327" s="40" t="s">
        <v>514</v>
      </c>
      <c r="C327" s="25" t="s">
        <v>119</v>
      </c>
      <c r="D327" s="93"/>
      <c r="E327" s="27" t="s">
        <v>514</v>
      </c>
      <c r="F327" s="27" t="str">
        <f t="shared" si="5"/>
        <v/>
      </c>
      <c r="G327" s="28"/>
      <c r="H327" s="29"/>
      <c r="I327" s="149">
        <v>0</v>
      </c>
    </row>
    <row r="328" spans="1:9" ht="15.75" hidden="1" thickBot="1" x14ac:dyDescent="0.3">
      <c r="A328" s="214"/>
      <c r="B328" s="31" t="s">
        <v>514</v>
      </c>
      <c r="C328" s="31"/>
      <c r="D328" s="91"/>
      <c r="E328" s="30" t="s">
        <v>514</v>
      </c>
      <c r="F328" s="30" t="str">
        <f t="shared" si="5"/>
        <v/>
      </c>
      <c r="G328" s="34"/>
      <c r="H328" s="30"/>
      <c r="I328" s="149">
        <v>0</v>
      </c>
    </row>
    <row r="329" spans="1:9" ht="26.25" hidden="1" thickBot="1" x14ac:dyDescent="0.3">
      <c r="A329" s="214"/>
      <c r="B329" s="35" t="s">
        <v>1276</v>
      </c>
      <c r="C329" s="35" t="s">
        <v>119</v>
      </c>
      <c r="D329" s="36">
        <v>1.02</v>
      </c>
      <c r="E329" s="30">
        <v>188.09049999999999</v>
      </c>
      <c r="F329" s="33">
        <f t="shared" si="5"/>
        <v>191.85230999999999</v>
      </c>
      <c r="G329" s="44">
        <f>SUM(F329:F335)</f>
        <v>557.594803974</v>
      </c>
      <c r="H329" s="45"/>
      <c r="I329" s="149">
        <v>0</v>
      </c>
    </row>
    <row r="330" spans="1:9" ht="15.75" hidden="1" thickBot="1" x14ac:dyDescent="0.3">
      <c r="A330" s="214"/>
      <c r="B330" s="35" t="s">
        <v>740</v>
      </c>
      <c r="C330" s="35" t="s">
        <v>891</v>
      </c>
      <c r="D330" s="36">
        <v>343.52</v>
      </c>
      <c r="E330" s="33">
        <v>0.627</v>
      </c>
      <c r="F330" s="33">
        <f t="shared" si="5"/>
        <v>215.38703999999998</v>
      </c>
      <c r="G330" s="44"/>
      <c r="H330" s="45"/>
      <c r="I330" s="149">
        <v>0</v>
      </c>
    </row>
    <row r="331" spans="1:9" ht="26.25" hidden="1" thickBot="1" x14ac:dyDescent="0.3">
      <c r="A331" s="214"/>
      <c r="B331" s="35" t="s">
        <v>1427</v>
      </c>
      <c r="C331" s="35" t="s">
        <v>695</v>
      </c>
      <c r="D331" s="36">
        <v>4.6399999999999997</v>
      </c>
      <c r="E331" s="30">
        <v>18.534500000000001</v>
      </c>
      <c r="F331" s="33">
        <f t="shared" si="5"/>
        <v>86.000079999999997</v>
      </c>
      <c r="G331" s="44"/>
      <c r="H331" s="45"/>
      <c r="I331" s="149">
        <v>0</v>
      </c>
    </row>
    <row r="332" spans="1:9" ht="39" hidden="1" thickBot="1" x14ac:dyDescent="0.3">
      <c r="A332" s="214"/>
      <c r="B332" s="35" t="s">
        <v>116</v>
      </c>
      <c r="C332" s="35" t="s">
        <v>932</v>
      </c>
      <c r="D332" s="36">
        <v>1.08</v>
      </c>
      <c r="E332" s="30">
        <v>1.3774999999999999</v>
      </c>
      <c r="F332" s="33">
        <f t="shared" si="5"/>
        <v>1.4877</v>
      </c>
      <c r="G332" s="44"/>
      <c r="H332" s="45"/>
      <c r="I332" s="149">
        <v>0</v>
      </c>
    </row>
    <row r="333" spans="1:9" ht="39" hidden="1" thickBot="1" x14ac:dyDescent="0.3">
      <c r="A333" s="214"/>
      <c r="B333" s="35" t="s">
        <v>117</v>
      </c>
      <c r="C333" s="35" t="s">
        <v>934</v>
      </c>
      <c r="D333" s="36">
        <v>3.56</v>
      </c>
      <c r="E333" s="30">
        <v>0.36099999999999999</v>
      </c>
      <c r="F333" s="33">
        <f t="shared" si="5"/>
        <v>1.2851600000000001</v>
      </c>
      <c r="G333" s="44"/>
      <c r="H333" s="45"/>
      <c r="I333" s="149">
        <v>0</v>
      </c>
    </row>
    <row r="334" spans="1:9" ht="51.75" hidden="1" thickBot="1" x14ac:dyDescent="0.3">
      <c r="A334" s="214"/>
      <c r="B334" s="35" t="s">
        <v>3507</v>
      </c>
      <c r="C334" s="35" t="s">
        <v>119</v>
      </c>
      <c r="D334" s="36">
        <f>ROUND(1*(D329),4)</f>
        <v>1.02</v>
      </c>
      <c r="E334" s="30">
        <v>7.9145696999999986</v>
      </c>
      <c r="F334" s="33">
        <f t="shared" si="5"/>
        <v>8.0728610939999985</v>
      </c>
      <c r="G334" s="44"/>
      <c r="H334" s="45"/>
      <c r="I334" s="149">
        <v>0</v>
      </c>
    </row>
    <row r="335" spans="1:9" ht="39" hidden="1" thickBot="1" x14ac:dyDescent="0.3">
      <c r="A335" s="214"/>
      <c r="B335" s="35" t="s">
        <v>3504</v>
      </c>
      <c r="C335" s="46" t="s">
        <v>121</v>
      </c>
      <c r="D335" s="36">
        <f>ROUND(D329*20,4)</f>
        <v>20.399999999999999</v>
      </c>
      <c r="E335" s="30">
        <v>2.6230221999999994</v>
      </c>
      <c r="F335" s="33">
        <f t="shared" si="5"/>
        <v>53.509652879999983</v>
      </c>
      <c r="G335" s="44"/>
      <c r="H335" s="45"/>
      <c r="I335" s="149">
        <v>0</v>
      </c>
    </row>
    <row r="336" spans="1:9" ht="15.75" hidden="1" thickBot="1" x14ac:dyDescent="0.3">
      <c r="A336" s="214"/>
      <c r="B336" s="35"/>
      <c r="C336" s="35"/>
      <c r="D336" s="36"/>
      <c r="E336" s="30" t="s">
        <v>514</v>
      </c>
      <c r="F336" s="33" t="str">
        <f t="shared" si="5"/>
        <v/>
      </c>
      <c r="G336" s="44"/>
      <c r="H336" s="45"/>
      <c r="I336" s="149">
        <v>0</v>
      </c>
    </row>
    <row r="337" spans="1:9" ht="24.95" hidden="1" customHeight="1" thickBot="1" x14ac:dyDescent="0.3">
      <c r="A337" s="214"/>
      <c r="B337" s="47" t="s">
        <v>747</v>
      </c>
      <c r="C337" s="46"/>
      <c r="D337" s="36"/>
      <c r="E337" s="30" t="s">
        <v>514</v>
      </c>
      <c r="F337" s="33" t="str">
        <f t="shared" si="5"/>
        <v/>
      </c>
      <c r="G337" s="44"/>
      <c r="H337" s="45"/>
      <c r="I337" s="149">
        <v>0</v>
      </c>
    </row>
    <row r="338" spans="1:9" ht="15.75" hidden="1" thickBot="1" x14ac:dyDescent="0.3">
      <c r="A338" s="217"/>
      <c r="B338" s="54" t="s">
        <v>514</v>
      </c>
      <c r="C338" s="54"/>
      <c r="D338" s="95"/>
      <c r="E338" s="66" t="s">
        <v>514</v>
      </c>
      <c r="F338" s="67" t="str">
        <f t="shared" si="5"/>
        <v/>
      </c>
      <c r="G338" s="68"/>
      <c r="H338" s="30"/>
      <c r="I338" s="149">
        <v>0</v>
      </c>
    </row>
    <row r="339" spans="1:9" ht="40.15" customHeight="1" thickBot="1" x14ac:dyDescent="0.3">
      <c r="A339" s="216" t="s">
        <v>3507</v>
      </c>
      <c r="B339" s="40" t="s">
        <v>514</v>
      </c>
      <c r="C339" s="25" t="s">
        <v>119</v>
      </c>
      <c r="D339" s="93"/>
      <c r="E339" s="27" t="s">
        <v>514</v>
      </c>
      <c r="F339" s="25" t="str">
        <f t="shared" si="5"/>
        <v/>
      </c>
      <c r="G339" s="28"/>
      <c r="H339" s="29"/>
      <c r="I339" s="149">
        <v>59.841999999999999</v>
      </c>
    </row>
    <row r="340" spans="1:9" x14ac:dyDescent="0.25">
      <c r="A340" s="214"/>
      <c r="B340" s="31" t="s">
        <v>514</v>
      </c>
      <c r="C340" s="31"/>
      <c r="D340" s="91"/>
      <c r="E340" s="30" t="s">
        <v>514</v>
      </c>
      <c r="F340" s="30" t="str">
        <f t="shared" si="5"/>
        <v/>
      </c>
      <c r="G340" s="34"/>
      <c r="H340" s="30"/>
      <c r="I340" s="149">
        <v>59.841999999999999</v>
      </c>
    </row>
    <row r="341" spans="1:9" ht="38.25" x14ac:dyDescent="0.25">
      <c r="A341" s="214"/>
      <c r="B341" s="35" t="s">
        <v>3181</v>
      </c>
      <c r="C341" s="35" t="s">
        <v>932</v>
      </c>
      <c r="D341" s="36">
        <v>8.3000000000000001E-3</v>
      </c>
      <c r="E341" s="30">
        <v>173.64099999999999</v>
      </c>
      <c r="F341" s="33">
        <f t="shared" si="5"/>
        <v>1.4412202999999999</v>
      </c>
      <c r="G341" s="44">
        <f>SUM(F341:F344)</f>
        <v>7.7750840499999994</v>
      </c>
      <c r="H341" s="45"/>
      <c r="I341" s="149">
        <v>59.841999999999999</v>
      </c>
    </row>
    <row r="342" spans="1:9" ht="38.25" x14ac:dyDescent="0.25">
      <c r="A342" s="214"/>
      <c r="B342" s="35" t="s">
        <v>3187</v>
      </c>
      <c r="C342" s="46" t="s">
        <v>934</v>
      </c>
      <c r="D342" s="36">
        <v>1.5100000000000001E-2</v>
      </c>
      <c r="E342" s="30">
        <v>60.210999999999999</v>
      </c>
      <c r="F342" s="33">
        <f t="shared" si="5"/>
        <v>0.9091861</v>
      </c>
      <c r="G342" s="44"/>
      <c r="H342" s="45"/>
      <c r="I342" s="149">
        <v>59.841999999999999</v>
      </c>
    </row>
    <row r="343" spans="1:9" ht="51" x14ac:dyDescent="0.25">
      <c r="A343" s="214"/>
      <c r="B343" s="35" t="s">
        <v>1067</v>
      </c>
      <c r="C343" s="46" t="s">
        <v>932</v>
      </c>
      <c r="D343" s="36">
        <v>2.6700000000000002E-2</v>
      </c>
      <c r="E343" s="30">
        <v>169.70799999999997</v>
      </c>
      <c r="F343" s="33">
        <f t="shared" si="5"/>
        <v>4.5312035999999996</v>
      </c>
      <c r="G343" s="44"/>
      <c r="H343" s="45"/>
      <c r="I343" s="149">
        <v>59.841999999999999</v>
      </c>
    </row>
    <row r="344" spans="1:9" ht="51" x14ac:dyDescent="0.25">
      <c r="A344" s="214"/>
      <c r="B344" s="35" t="s">
        <v>1068</v>
      </c>
      <c r="C344" s="46" t="s">
        <v>934</v>
      </c>
      <c r="D344" s="36">
        <v>2.0299999999999999E-2</v>
      </c>
      <c r="E344" s="30">
        <v>44.013499999999993</v>
      </c>
      <c r="F344" s="33">
        <f t="shared" si="5"/>
        <v>0.8934740499999998</v>
      </c>
      <c r="G344" s="44"/>
      <c r="H344" s="45"/>
      <c r="I344" s="149">
        <v>59.841999999999999</v>
      </c>
    </row>
    <row r="345" spans="1:9" ht="15.75" thickBot="1" x14ac:dyDescent="0.3">
      <c r="A345" s="217"/>
      <c r="B345" s="54" t="s">
        <v>514</v>
      </c>
      <c r="C345" s="54"/>
      <c r="D345" s="95"/>
      <c r="E345" s="66" t="s">
        <v>514</v>
      </c>
      <c r="F345" s="67" t="str">
        <f t="shared" si="5"/>
        <v/>
      </c>
      <c r="G345" s="68"/>
      <c r="H345" s="30"/>
      <c r="I345" s="149">
        <v>59.841999999999999</v>
      </c>
    </row>
    <row r="346" spans="1:9" ht="40.15" hidden="1" customHeight="1" x14ac:dyDescent="0.25">
      <c r="A346" s="216" t="s">
        <v>3508</v>
      </c>
      <c r="B346" s="40" t="s">
        <v>514</v>
      </c>
      <c r="C346" s="25" t="s">
        <v>1278</v>
      </c>
      <c r="D346" s="93"/>
      <c r="E346" s="27" t="s">
        <v>514</v>
      </c>
      <c r="F346" s="25" t="str">
        <f t="shared" si="5"/>
        <v/>
      </c>
      <c r="G346" s="28"/>
      <c r="H346" s="29"/>
      <c r="I346" s="149">
        <v>0</v>
      </c>
    </row>
    <row r="347" spans="1:9" ht="15.75" hidden="1" thickBot="1" x14ac:dyDescent="0.3">
      <c r="A347" s="214"/>
      <c r="B347" s="31" t="s">
        <v>514</v>
      </c>
      <c r="C347" s="31"/>
      <c r="D347" s="91"/>
      <c r="E347" s="30" t="s">
        <v>514</v>
      </c>
      <c r="F347" s="30" t="str">
        <f t="shared" si="5"/>
        <v/>
      </c>
      <c r="G347" s="34"/>
      <c r="H347" s="30"/>
      <c r="I347" s="149">
        <v>0</v>
      </c>
    </row>
    <row r="348" spans="1:9" ht="39" hidden="1" thickBot="1" x14ac:dyDescent="0.3">
      <c r="A348" s="214"/>
      <c r="B348" s="35" t="s">
        <v>3181</v>
      </c>
      <c r="C348" s="35" t="s">
        <v>932</v>
      </c>
      <c r="D348" s="36">
        <v>5.5599999999999998E-3</v>
      </c>
      <c r="E348" s="30">
        <v>173.64099999999999</v>
      </c>
      <c r="F348" s="33">
        <f t="shared" si="5"/>
        <v>0.96544395999999988</v>
      </c>
      <c r="G348" s="44">
        <f>SUM(F348:F351)</f>
        <v>5.1885597099999998</v>
      </c>
      <c r="H348" s="45"/>
      <c r="I348" s="149">
        <v>0</v>
      </c>
    </row>
    <row r="349" spans="1:9" ht="39" hidden="1" thickBot="1" x14ac:dyDescent="0.3">
      <c r="A349" s="214"/>
      <c r="B349" s="35" t="s">
        <v>3187</v>
      </c>
      <c r="C349" s="46" t="s">
        <v>934</v>
      </c>
      <c r="D349" s="36">
        <v>1.01E-2</v>
      </c>
      <c r="E349" s="30">
        <v>60.210999999999999</v>
      </c>
      <c r="F349" s="33">
        <f t="shared" si="5"/>
        <v>0.60813109999999992</v>
      </c>
      <c r="G349" s="44"/>
      <c r="H349" s="45"/>
      <c r="I349" s="149">
        <v>0</v>
      </c>
    </row>
    <row r="350" spans="1:9" ht="51.75" hidden="1" thickBot="1" x14ac:dyDescent="0.3">
      <c r="A350" s="214"/>
      <c r="B350" s="35" t="s">
        <v>1067</v>
      </c>
      <c r="C350" s="46" t="s">
        <v>932</v>
      </c>
      <c r="D350" s="36">
        <v>1.78E-2</v>
      </c>
      <c r="E350" s="30">
        <v>169.70799999999997</v>
      </c>
      <c r="F350" s="33">
        <f t="shared" si="5"/>
        <v>3.0208023999999996</v>
      </c>
      <c r="G350" s="44"/>
      <c r="H350" s="45"/>
      <c r="I350" s="149">
        <v>0</v>
      </c>
    </row>
    <row r="351" spans="1:9" ht="51.75" hidden="1" thickBot="1" x14ac:dyDescent="0.3">
      <c r="A351" s="214"/>
      <c r="B351" s="35" t="s">
        <v>1068</v>
      </c>
      <c r="C351" s="46" t="s">
        <v>934</v>
      </c>
      <c r="D351" s="36">
        <v>1.35E-2</v>
      </c>
      <c r="E351" s="30">
        <v>44.013499999999993</v>
      </c>
      <c r="F351" s="33">
        <f t="shared" si="5"/>
        <v>0.59418224999999991</v>
      </c>
      <c r="G351" s="44"/>
      <c r="H351" s="45"/>
      <c r="I351" s="149">
        <v>0</v>
      </c>
    </row>
    <row r="352" spans="1:9" ht="15.75" hidden="1" thickBot="1" x14ac:dyDescent="0.3">
      <c r="A352" s="217"/>
      <c r="B352" s="54" t="s">
        <v>514</v>
      </c>
      <c r="C352" s="54"/>
      <c r="D352" s="95"/>
      <c r="E352" s="66" t="s">
        <v>514</v>
      </c>
      <c r="F352" s="67" t="str">
        <f t="shared" si="5"/>
        <v/>
      </c>
      <c r="G352" s="68"/>
      <c r="H352" s="30"/>
      <c r="I352" s="149">
        <v>0</v>
      </c>
    </row>
    <row r="353" spans="1:9" ht="27" hidden="1" customHeight="1" thickBot="1" x14ac:dyDescent="0.3">
      <c r="A353" s="216" t="s">
        <v>3670</v>
      </c>
      <c r="B353" s="40" t="s">
        <v>514</v>
      </c>
      <c r="C353" s="25" t="s">
        <v>982</v>
      </c>
      <c r="D353" s="93"/>
      <c r="E353" s="27" t="s">
        <v>514</v>
      </c>
      <c r="F353" s="27" t="str">
        <f t="shared" si="5"/>
        <v/>
      </c>
      <c r="G353" s="28"/>
      <c r="H353" s="29"/>
      <c r="I353" s="149">
        <v>0</v>
      </c>
    </row>
    <row r="354" spans="1:9" ht="15.75" hidden="1" thickBot="1" x14ac:dyDescent="0.3">
      <c r="A354" s="214"/>
      <c r="B354" s="31" t="s">
        <v>514</v>
      </c>
      <c r="C354" s="31"/>
      <c r="D354" s="91"/>
      <c r="E354" s="30" t="s">
        <v>514</v>
      </c>
      <c r="F354" s="30" t="str">
        <f t="shared" si="5"/>
        <v/>
      </c>
      <c r="G354" s="34"/>
      <c r="H354" s="30"/>
      <c r="I354" s="149">
        <v>0</v>
      </c>
    </row>
    <row r="355" spans="1:9" ht="26.25" hidden="1" thickBot="1" x14ac:dyDescent="0.3">
      <c r="A355" s="214"/>
      <c r="B355" s="35" t="s">
        <v>1142</v>
      </c>
      <c r="C355" s="35" t="s">
        <v>101</v>
      </c>
      <c r="D355" s="36">
        <v>1.7000000000000001E-2</v>
      </c>
      <c r="E355" s="30">
        <v>7.4005000000000001</v>
      </c>
      <c r="F355" s="33">
        <f t="shared" si="5"/>
        <v>0.12580850000000002</v>
      </c>
      <c r="G355" s="44">
        <f>SUM(F355:F359)</f>
        <v>203.42036376499999</v>
      </c>
      <c r="H355" s="45"/>
      <c r="I355" s="149">
        <v>0</v>
      </c>
    </row>
    <row r="356" spans="1:9" ht="15.75" hidden="1" thickBot="1" x14ac:dyDescent="0.3">
      <c r="A356" s="214"/>
      <c r="B356" s="35" t="s">
        <v>3330</v>
      </c>
      <c r="C356" s="35" t="s">
        <v>891</v>
      </c>
      <c r="D356" s="36">
        <v>2.7E-2</v>
      </c>
      <c r="E356" s="33">
        <v>27.929999999999996</v>
      </c>
      <c r="F356" s="33">
        <f t="shared" si="5"/>
        <v>0.75410999999999984</v>
      </c>
      <c r="G356" s="44"/>
      <c r="H356" s="45"/>
      <c r="I356" s="149">
        <v>0</v>
      </c>
    </row>
    <row r="357" spans="1:9" ht="15.75" hidden="1" thickBot="1" x14ac:dyDescent="0.3">
      <c r="A357" s="214"/>
      <c r="B357" s="35" t="s">
        <v>778</v>
      </c>
      <c r="C357" s="35" t="s">
        <v>695</v>
      </c>
      <c r="D357" s="36">
        <v>0.48899999999999999</v>
      </c>
      <c r="E357" s="30">
        <v>19.494</v>
      </c>
      <c r="F357" s="33">
        <f t="shared" si="5"/>
        <v>9.5325659999999992</v>
      </c>
      <c r="G357" s="44"/>
      <c r="H357" s="45"/>
      <c r="I357" s="149">
        <v>0</v>
      </c>
    </row>
    <row r="358" spans="1:9" ht="15.75" hidden="1" thickBot="1" x14ac:dyDescent="0.3">
      <c r="A358" s="214"/>
      <c r="B358" s="35" t="s">
        <v>983</v>
      </c>
      <c r="C358" s="35" t="s">
        <v>695</v>
      </c>
      <c r="D358" s="36">
        <v>2.6680000000000001</v>
      </c>
      <c r="E358" s="30">
        <v>24.633499999999998</v>
      </c>
      <c r="F358" s="33">
        <f t="shared" si="5"/>
        <v>65.722178</v>
      </c>
      <c r="G358" s="44"/>
      <c r="H358" s="45"/>
      <c r="I358" s="149">
        <v>0</v>
      </c>
    </row>
    <row r="359" spans="1:9" ht="26.25" hidden="1" thickBot="1" x14ac:dyDescent="0.3">
      <c r="A359" s="214"/>
      <c r="B359" s="35" t="s">
        <v>3190</v>
      </c>
      <c r="C359" s="35" t="s">
        <v>982</v>
      </c>
      <c r="D359" s="36">
        <v>0.53</v>
      </c>
      <c r="E359" s="30">
        <v>240.16170049999999</v>
      </c>
      <c r="F359" s="33">
        <f t="shared" si="5"/>
        <v>127.285701265</v>
      </c>
      <c r="G359" s="44"/>
      <c r="H359" s="45"/>
      <c r="I359" s="149">
        <v>0</v>
      </c>
    </row>
    <row r="360" spans="1:9" ht="15.75" hidden="1" thickBot="1" x14ac:dyDescent="0.3">
      <c r="A360" s="217"/>
      <c r="B360" s="54" t="s">
        <v>514</v>
      </c>
      <c r="C360" s="54"/>
      <c r="D360" s="95"/>
      <c r="E360" s="66" t="s">
        <v>514</v>
      </c>
      <c r="F360" s="67" t="str">
        <f t="shared" si="5"/>
        <v/>
      </c>
      <c r="G360" s="68"/>
      <c r="H360" s="30"/>
      <c r="I360" s="149">
        <v>0</v>
      </c>
    </row>
    <row r="361" spans="1:9" ht="40.15" hidden="1" customHeight="1" thickBot="1" x14ac:dyDescent="0.3">
      <c r="A361" s="216" t="s">
        <v>3206</v>
      </c>
      <c r="B361" s="40" t="s">
        <v>514</v>
      </c>
      <c r="C361" s="25" t="s">
        <v>982</v>
      </c>
      <c r="D361" s="93"/>
      <c r="E361" s="27" t="s">
        <v>514</v>
      </c>
      <c r="F361" s="27" t="str">
        <f t="shared" si="5"/>
        <v/>
      </c>
      <c r="G361" s="28"/>
      <c r="H361" s="29"/>
      <c r="I361" s="149">
        <v>0</v>
      </c>
    </row>
    <row r="362" spans="1:9" ht="15.75" hidden="1" thickBot="1" x14ac:dyDescent="0.3">
      <c r="A362" s="214"/>
      <c r="B362" s="31" t="s">
        <v>514</v>
      </c>
      <c r="C362" s="31"/>
      <c r="D362" s="91"/>
      <c r="E362" s="30" t="s">
        <v>514</v>
      </c>
      <c r="F362" s="30" t="str">
        <f t="shared" si="5"/>
        <v/>
      </c>
      <c r="G362" s="34"/>
      <c r="H362" s="30"/>
      <c r="I362" s="149">
        <v>0</v>
      </c>
    </row>
    <row r="363" spans="1:9" ht="39" hidden="1" thickBot="1" x14ac:dyDescent="0.3">
      <c r="A363" s="214"/>
      <c r="B363" s="35" t="s">
        <v>3210</v>
      </c>
      <c r="C363" s="35" t="s">
        <v>119</v>
      </c>
      <c r="D363" s="36">
        <v>4.1999999999999997E-3</v>
      </c>
      <c r="E363" s="30">
        <v>586.10669301500002</v>
      </c>
      <c r="F363" s="33">
        <f t="shared" si="5"/>
        <v>2.4616481106629999</v>
      </c>
      <c r="G363" s="44">
        <f>SUM(F363:F365)</f>
        <v>4.3328916106630002</v>
      </c>
      <c r="H363" s="45"/>
      <c r="I363" s="149">
        <v>0</v>
      </c>
    </row>
    <row r="364" spans="1:9" ht="15.75" hidden="1" thickBot="1" x14ac:dyDescent="0.3">
      <c r="A364" s="214"/>
      <c r="B364" s="35" t="s">
        <v>703</v>
      </c>
      <c r="C364" s="35" t="s">
        <v>695</v>
      </c>
      <c r="D364" s="36">
        <v>7.0000000000000007E-2</v>
      </c>
      <c r="E364" s="33">
        <v>24.889999999999997</v>
      </c>
      <c r="F364" s="33">
        <f t="shared" si="5"/>
        <v>1.7423</v>
      </c>
      <c r="G364" s="44"/>
      <c r="H364" s="45"/>
      <c r="I364" s="149">
        <v>0</v>
      </c>
    </row>
    <row r="365" spans="1:9" ht="15.75" hidden="1" thickBot="1" x14ac:dyDescent="0.3">
      <c r="A365" s="214"/>
      <c r="B365" s="35" t="s">
        <v>696</v>
      </c>
      <c r="C365" s="35" t="s">
        <v>695</v>
      </c>
      <c r="D365" s="36">
        <v>7.0000000000000001E-3</v>
      </c>
      <c r="E365" s="30">
        <v>18.420500000000001</v>
      </c>
      <c r="F365" s="33">
        <f t="shared" si="5"/>
        <v>0.12894350000000002</v>
      </c>
      <c r="G365" s="44"/>
      <c r="H365" s="45"/>
      <c r="I365" s="149">
        <v>0</v>
      </c>
    </row>
    <row r="366" spans="1:9" ht="15.75" hidden="1" thickBot="1" x14ac:dyDescent="0.3">
      <c r="A366" s="217"/>
      <c r="B366" s="35"/>
      <c r="C366" s="35"/>
      <c r="D366" s="36"/>
      <c r="E366" s="30" t="s">
        <v>514</v>
      </c>
      <c r="F366" s="33"/>
      <c r="G366" s="44"/>
      <c r="H366" s="45"/>
      <c r="I366" s="149">
        <v>0</v>
      </c>
    </row>
    <row r="367" spans="1:9" ht="53.45" hidden="1" customHeight="1" thickBot="1" x14ac:dyDescent="0.3">
      <c r="A367" s="216" t="s">
        <v>3207</v>
      </c>
      <c r="B367" s="40" t="s">
        <v>514</v>
      </c>
      <c r="C367" s="25" t="s">
        <v>982</v>
      </c>
      <c r="D367" s="93"/>
      <c r="E367" s="27" t="s">
        <v>514</v>
      </c>
      <c r="F367" s="27" t="str">
        <f>IF(ISNUMBER(E367),E367*$D367,"")</f>
        <v/>
      </c>
      <c r="G367" s="28"/>
      <c r="H367" s="29"/>
      <c r="I367" s="149">
        <v>0</v>
      </c>
    </row>
    <row r="368" spans="1:9" ht="15.75" hidden="1" thickBot="1" x14ac:dyDescent="0.3">
      <c r="A368" s="214"/>
      <c r="B368" s="31" t="s">
        <v>514</v>
      </c>
      <c r="C368" s="31"/>
      <c r="D368" s="91"/>
      <c r="E368" s="30" t="s">
        <v>514</v>
      </c>
      <c r="F368" s="30" t="str">
        <f>IF(ISNUMBER(E368),E368*$D368,"")</f>
        <v/>
      </c>
      <c r="G368" s="34"/>
      <c r="H368" s="30"/>
      <c r="I368" s="149">
        <v>0</v>
      </c>
    </row>
    <row r="369" spans="1:9" ht="51.75" hidden="1" thickBot="1" x14ac:dyDescent="0.3">
      <c r="A369" s="214"/>
      <c r="B369" s="35" t="s">
        <v>152</v>
      </c>
      <c r="C369" s="35" t="s">
        <v>119</v>
      </c>
      <c r="D369" s="36">
        <v>2.1299999999999999E-2</v>
      </c>
      <c r="E369" s="30">
        <v>692.78519089199995</v>
      </c>
      <c r="F369" s="33">
        <f>IF(ISNUMBER(E369),E369*$D369,"")</f>
        <v>14.756324565999599</v>
      </c>
      <c r="G369" s="44">
        <f>SUM(F369:F371)</f>
        <v>29.281948065999597</v>
      </c>
      <c r="H369" s="45"/>
      <c r="I369" s="149">
        <v>0</v>
      </c>
    </row>
    <row r="370" spans="1:9" ht="15.75" hidden="1" thickBot="1" x14ac:dyDescent="0.3">
      <c r="A370" s="214"/>
      <c r="B370" s="35" t="s">
        <v>703</v>
      </c>
      <c r="C370" s="35" t="s">
        <v>695</v>
      </c>
      <c r="D370" s="36">
        <v>0.46</v>
      </c>
      <c r="E370" s="33">
        <v>24.889999999999997</v>
      </c>
      <c r="F370" s="33">
        <f>IF(ISNUMBER(E370),E370*$D370,"")</f>
        <v>11.449399999999999</v>
      </c>
      <c r="G370" s="44"/>
      <c r="H370" s="45"/>
      <c r="I370" s="149">
        <v>0</v>
      </c>
    </row>
    <row r="371" spans="1:9" ht="15.75" hidden="1" thickBot="1" x14ac:dyDescent="0.3">
      <c r="A371" s="214"/>
      <c r="B371" s="35" t="s">
        <v>696</v>
      </c>
      <c r="C371" s="35" t="s">
        <v>695</v>
      </c>
      <c r="D371" s="36">
        <v>0.16700000000000001</v>
      </c>
      <c r="E371" s="30">
        <v>18.420500000000001</v>
      </c>
      <c r="F371" s="33">
        <f>IF(ISNUMBER(E371),E371*$D371,"")</f>
        <v>3.0762235000000002</v>
      </c>
      <c r="G371" s="44"/>
      <c r="H371" s="45"/>
      <c r="I371" s="149">
        <v>0</v>
      </c>
    </row>
    <row r="372" spans="1:9" ht="15.75" hidden="1" thickBot="1" x14ac:dyDescent="0.3">
      <c r="A372" s="217"/>
      <c r="B372" s="35"/>
      <c r="C372" s="35"/>
      <c r="D372" s="36"/>
      <c r="E372" s="30" t="s">
        <v>514</v>
      </c>
      <c r="F372" s="33"/>
      <c r="G372" s="44"/>
      <c r="H372" s="45"/>
      <c r="I372" s="149">
        <v>0</v>
      </c>
    </row>
    <row r="373" spans="1:9" ht="40.15" hidden="1" customHeight="1" thickBot="1" x14ac:dyDescent="0.3">
      <c r="A373" s="216" t="s">
        <v>6784</v>
      </c>
      <c r="B373" s="40" t="s">
        <v>514</v>
      </c>
      <c r="C373" s="25" t="s">
        <v>982</v>
      </c>
      <c r="D373" s="93"/>
      <c r="E373" s="27" t="s">
        <v>514</v>
      </c>
      <c r="F373" s="27" t="str">
        <f t="shared" ref="F373:F381" si="6">IF(ISNUMBER(E373),E373*$D373,"")</f>
        <v/>
      </c>
      <c r="G373" s="28"/>
      <c r="H373" s="29"/>
      <c r="I373" s="149">
        <v>0</v>
      </c>
    </row>
    <row r="374" spans="1:9" ht="15.75" hidden="1" thickBot="1" x14ac:dyDescent="0.3">
      <c r="A374" s="214"/>
      <c r="B374" s="31" t="s">
        <v>514</v>
      </c>
      <c r="C374" s="31"/>
      <c r="D374" s="91"/>
      <c r="E374" s="30" t="s">
        <v>514</v>
      </c>
      <c r="F374" s="30" t="str">
        <f t="shared" si="6"/>
        <v/>
      </c>
      <c r="G374" s="34"/>
      <c r="H374" s="30"/>
      <c r="I374" s="149">
        <v>0</v>
      </c>
    </row>
    <row r="375" spans="1:9" ht="26.25" hidden="1" thickBot="1" x14ac:dyDescent="0.3">
      <c r="A375" s="214"/>
      <c r="B375" s="35" t="s">
        <v>3348</v>
      </c>
      <c r="C375" s="35" t="s">
        <v>473</v>
      </c>
      <c r="D375" s="36">
        <v>0.42</v>
      </c>
      <c r="E375" s="30">
        <v>2.964</v>
      </c>
      <c r="F375" s="33">
        <f t="shared" si="6"/>
        <v>1.24488</v>
      </c>
      <c r="G375" s="44">
        <f>SUM(F375:F380)</f>
        <v>55.504960985276789</v>
      </c>
      <c r="H375" s="45"/>
      <c r="I375" s="149">
        <v>0</v>
      </c>
    </row>
    <row r="376" spans="1:9" ht="15.75" hidden="1" thickBot="1" x14ac:dyDescent="0.3">
      <c r="A376" s="214"/>
      <c r="B376" s="35" t="s">
        <v>3327</v>
      </c>
      <c r="C376" s="35" t="s">
        <v>1238</v>
      </c>
      <c r="D376" s="36">
        <v>5.0000000000000001E-3</v>
      </c>
      <c r="E376" s="33">
        <v>38.313499999999998</v>
      </c>
      <c r="F376" s="33">
        <f t="shared" si="6"/>
        <v>0.1915675</v>
      </c>
      <c r="G376" s="44"/>
      <c r="H376" s="45"/>
      <c r="I376" s="149">
        <v>0</v>
      </c>
    </row>
    <row r="377" spans="1:9" ht="26.25" hidden="1" thickBot="1" x14ac:dyDescent="0.3">
      <c r="A377" s="214"/>
      <c r="B377" s="35" t="s">
        <v>6765</v>
      </c>
      <c r="C377" s="35" t="s">
        <v>278</v>
      </c>
      <c r="D377" s="36">
        <v>13.6</v>
      </c>
      <c r="E377" s="30">
        <v>1.9664999999999997</v>
      </c>
      <c r="F377" s="33">
        <f t="shared" si="6"/>
        <v>26.744399999999995</v>
      </c>
      <c r="G377" s="44"/>
      <c r="H377" s="45"/>
      <c r="I377" s="149">
        <v>0</v>
      </c>
    </row>
    <row r="378" spans="1:9" ht="51.75" hidden="1" thickBot="1" x14ac:dyDescent="0.3">
      <c r="A378" s="214"/>
      <c r="B378" s="35" t="s">
        <v>152</v>
      </c>
      <c r="C378" s="35" t="s">
        <v>119</v>
      </c>
      <c r="D378" s="36">
        <v>1.04E-2</v>
      </c>
      <c r="E378" s="30">
        <v>692.78519089199995</v>
      </c>
      <c r="F378" s="33">
        <f t="shared" si="6"/>
        <v>7.2049659852767993</v>
      </c>
      <c r="G378" s="44"/>
      <c r="H378" s="45"/>
      <c r="I378" s="149">
        <v>0</v>
      </c>
    </row>
    <row r="379" spans="1:9" ht="15.75" hidden="1" thickBot="1" x14ac:dyDescent="0.3">
      <c r="A379" s="214"/>
      <c r="B379" s="35" t="s">
        <v>703</v>
      </c>
      <c r="C379" s="35" t="s">
        <v>695</v>
      </c>
      <c r="D379" s="36">
        <v>0.59</v>
      </c>
      <c r="E379" s="30">
        <v>24.889999999999997</v>
      </c>
      <c r="F379" s="33">
        <f t="shared" si="6"/>
        <v>14.685099999999997</v>
      </c>
      <c r="G379" s="44"/>
      <c r="H379" s="45"/>
      <c r="I379" s="149">
        <v>0</v>
      </c>
    </row>
    <row r="380" spans="1:9" ht="15.75" hidden="1" thickBot="1" x14ac:dyDescent="0.3">
      <c r="A380" s="214"/>
      <c r="B380" s="35" t="s">
        <v>696</v>
      </c>
      <c r="C380" s="35" t="s">
        <v>695</v>
      </c>
      <c r="D380" s="36">
        <v>0.29499999999999998</v>
      </c>
      <c r="E380" s="30">
        <v>18.420500000000001</v>
      </c>
      <c r="F380" s="33">
        <f t="shared" si="6"/>
        <v>5.4340475000000001</v>
      </c>
      <c r="G380" s="44"/>
      <c r="H380" s="45"/>
      <c r="I380" s="149">
        <v>0</v>
      </c>
    </row>
    <row r="381" spans="1:9" ht="15.75" hidden="1" thickBot="1" x14ac:dyDescent="0.3">
      <c r="A381" s="217"/>
      <c r="B381" s="54" t="s">
        <v>514</v>
      </c>
      <c r="C381" s="54"/>
      <c r="D381" s="95"/>
      <c r="E381" s="66" t="s">
        <v>514</v>
      </c>
      <c r="F381" s="67" t="str">
        <f t="shared" si="6"/>
        <v/>
      </c>
      <c r="G381" s="68"/>
      <c r="H381" s="30"/>
      <c r="I381" s="149">
        <v>0</v>
      </c>
    </row>
    <row r="382" spans="1:9" ht="26.25" hidden="1" customHeight="1" thickBot="1" x14ac:dyDescent="0.3">
      <c r="A382" s="216" t="s">
        <v>3668</v>
      </c>
      <c r="B382" s="40" t="s">
        <v>514</v>
      </c>
      <c r="C382" s="77" t="s">
        <v>982</v>
      </c>
      <c r="D382" s="93"/>
      <c r="E382" s="41" t="s">
        <v>514</v>
      </c>
      <c r="F382" s="41" t="str">
        <f t="shared" ref="F382:F398" si="7">IF(ISNUMBER(E382),ROUND(E382*$D382,2),"")</f>
        <v/>
      </c>
      <c r="G382" s="28"/>
      <c r="H382" s="29"/>
      <c r="I382" s="149">
        <v>0</v>
      </c>
    </row>
    <row r="383" spans="1:9" ht="15.75" hidden="1" thickBot="1" x14ac:dyDescent="0.3">
      <c r="A383" s="214"/>
      <c r="B383" s="31" t="s">
        <v>514</v>
      </c>
      <c r="C383" s="78"/>
      <c r="D383" s="91"/>
      <c r="E383" s="97" t="s">
        <v>514</v>
      </c>
      <c r="F383" s="98" t="str">
        <f t="shared" si="7"/>
        <v/>
      </c>
      <c r="G383" s="34"/>
      <c r="H383" s="30"/>
      <c r="I383" s="149">
        <v>0</v>
      </c>
    </row>
    <row r="384" spans="1:9" ht="26.25" hidden="1" thickBot="1" x14ac:dyDescent="0.3">
      <c r="A384" s="214"/>
      <c r="B384" s="35" t="s">
        <v>3686</v>
      </c>
      <c r="C384" s="49" t="s">
        <v>473</v>
      </c>
      <c r="D384" s="36">
        <v>4.4320000000000004</v>
      </c>
      <c r="E384" s="33">
        <v>2.907</v>
      </c>
      <c r="F384" s="33">
        <f t="shared" si="7"/>
        <v>12.88</v>
      </c>
      <c r="G384" s="44">
        <f>SUM(F384:F390)</f>
        <v>240.16000000000003</v>
      </c>
      <c r="H384" s="45"/>
      <c r="I384" s="149">
        <v>0</v>
      </c>
    </row>
    <row r="385" spans="1:9" ht="15.75" hidden="1" thickBot="1" x14ac:dyDescent="0.3">
      <c r="A385" s="214"/>
      <c r="B385" s="35" t="s">
        <v>1356</v>
      </c>
      <c r="C385" s="49" t="s">
        <v>891</v>
      </c>
      <c r="D385" s="36">
        <v>8.5999999999999993E-2</v>
      </c>
      <c r="E385" s="33">
        <v>22.628999999999998</v>
      </c>
      <c r="F385" s="33">
        <f t="shared" si="7"/>
        <v>1.95</v>
      </c>
      <c r="G385" s="44"/>
      <c r="H385" s="45"/>
      <c r="I385" s="149">
        <v>0</v>
      </c>
    </row>
    <row r="386" spans="1:9" ht="26.25" hidden="1" thickBot="1" x14ac:dyDescent="0.3">
      <c r="A386" s="214"/>
      <c r="B386" s="35" t="s">
        <v>3732</v>
      </c>
      <c r="C386" s="49" t="s">
        <v>473</v>
      </c>
      <c r="D386" s="36">
        <v>6.53</v>
      </c>
      <c r="E386" s="30">
        <v>30.950999999999997</v>
      </c>
      <c r="F386" s="33">
        <f t="shared" si="7"/>
        <v>202.11</v>
      </c>
      <c r="G386" s="44"/>
      <c r="H386" s="45"/>
      <c r="I386" s="149">
        <v>0</v>
      </c>
    </row>
    <row r="387" spans="1:9" ht="15.75" hidden="1" thickBot="1" x14ac:dyDescent="0.3">
      <c r="A387" s="214"/>
      <c r="B387" s="35" t="s">
        <v>778</v>
      </c>
      <c r="C387" s="49" t="s">
        <v>695</v>
      </c>
      <c r="D387" s="36">
        <v>0.14299999999999999</v>
      </c>
      <c r="E387" s="30">
        <v>19.494</v>
      </c>
      <c r="F387" s="33">
        <f t="shared" si="7"/>
        <v>2.79</v>
      </c>
      <c r="G387" s="44"/>
      <c r="H387" s="45"/>
      <c r="I387" s="149">
        <v>0</v>
      </c>
    </row>
    <row r="388" spans="1:9" ht="15.75" hidden="1" thickBot="1" x14ac:dyDescent="0.3">
      <c r="A388" s="214"/>
      <c r="B388" s="35" t="s">
        <v>983</v>
      </c>
      <c r="C388" s="49" t="s">
        <v>695</v>
      </c>
      <c r="D388" s="36">
        <v>0.71499999999999997</v>
      </c>
      <c r="E388" s="30">
        <v>24.633499999999998</v>
      </c>
      <c r="F388" s="33">
        <f t="shared" si="7"/>
        <v>17.61</v>
      </c>
      <c r="G388" s="44"/>
      <c r="H388" s="45"/>
      <c r="I388" s="149">
        <v>0</v>
      </c>
    </row>
    <row r="389" spans="1:9" ht="26.25" hidden="1" thickBot="1" x14ac:dyDescent="0.3">
      <c r="A389" s="214"/>
      <c r="B389" s="35" t="s">
        <v>1146</v>
      </c>
      <c r="C389" s="49" t="s">
        <v>932</v>
      </c>
      <c r="D389" s="36">
        <v>0.05</v>
      </c>
      <c r="E389" s="30">
        <v>20.234999999999999</v>
      </c>
      <c r="F389" s="33">
        <f t="shared" si="7"/>
        <v>1.01</v>
      </c>
      <c r="G389" s="44"/>
      <c r="H389" s="45"/>
      <c r="I389" s="149">
        <v>0</v>
      </c>
    </row>
    <row r="390" spans="1:9" ht="26.25" hidden="1" thickBot="1" x14ac:dyDescent="0.3">
      <c r="A390" s="214"/>
      <c r="B390" s="35" t="s">
        <v>1147</v>
      </c>
      <c r="C390" s="49" t="s">
        <v>934</v>
      </c>
      <c r="D390" s="36">
        <v>9.2999999999999999E-2</v>
      </c>
      <c r="E390" s="33">
        <v>19.456</v>
      </c>
      <c r="F390" s="33">
        <f t="shared" si="7"/>
        <v>1.81</v>
      </c>
      <c r="G390" s="44"/>
      <c r="H390" s="45"/>
      <c r="I390" s="149">
        <v>0</v>
      </c>
    </row>
    <row r="391" spans="1:9" ht="15.75" hidden="1" thickBot="1" x14ac:dyDescent="0.3">
      <c r="A391" s="217"/>
      <c r="B391" s="103"/>
      <c r="C391" s="79"/>
      <c r="D391" s="95"/>
      <c r="E391" s="66" t="s">
        <v>514</v>
      </c>
      <c r="F391" s="66" t="str">
        <f t="shared" si="7"/>
        <v/>
      </c>
      <c r="G391" s="68"/>
      <c r="H391" s="30"/>
      <c r="I391" s="149">
        <v>0</v>
      </c>
    </row>
    <row r="392" spans="1:9" ht="26.25" hidden="1" customHeight="1" thickBot="1" x14ac:dyDescent="0.3">
      <c r="A392" s="216" t="s">
        <v>3210</v>
      </c>
      <c r="B392" s="40" t="s">
        <v>514</v>
      </c>
      <c r="C392" s="77" t="s">
        <v>119</v>
      </c>
      <c r="D392" s="93"/>
      <c r="E392" s="41" t="s">
        <v>514</v>
      </c>
      <c r="F392" s="41" t="str">
        <f t="shared" si="7"/>
        <v/>
      </c>
      <c r="G392" s="28"/>
      <c r="H392" s="29"/>
      <c r="I392" s="149">
        <v>0</v>
      </c>
    </row>
    <row r="393" spans="1:9" ht="15.75" hidden="1" thickBot="1" x14ac:dyDescent="0.3">
      <c r="A393" s="214"/>
      <c r="B393" s="31" t="s">
        <v>514</v>
      </c>
      <c r="C393" s="78"/>
      <c r="D393" s="91"/>
      <c r="E393" s="97" t="s">
        <v>514</v>
      </c>
      <c r="F393" s="98" t="str">
        <f t="shared" si="7"/>
        <v/>
      </c>
      <c r="G393" s="34"/>
      <c r="H393" s="30"/>
      <c r="I393" s="149">
        <v>0</v>
      </c>
    </row>
    <row r="394" spans="1:9" ht="26.25" hidden="1" thickBot="1" x14ac:dyDescent="0.3">
      <c r="A394" s="214"/>
      <c r="B394" s="35" t="s">
        <v>1276</v>
      </c>
      <c r="C394" s="49" t="s">
        <v>119</v>
      </c>
      <c r="D394" s="36">
        <v>0.95</v>
      </c>
      <c r="E394" s="33">
        <v>188.09049999999999</v>
      </c>
      <c r="F394" s="33">
        <f t="shared" si="7"/>
        <v>178.69</v>
      </c>
      <c r="G394" s="44">
        <f>SUM(F394:F402)</f>
        <v>586.10626301500008</v>
      </c>
      <c r="H394" s="45"/>
      <c r="I394" s="149">
        <v>0</v>
      </c>
    </row>
    <row r="395" spans="1:9" ht="15.75" hidden="1" thickBot="1" x14ac:dyDescent="0.3">
      <c r="A395" s="214"/>
      <c r="B395" s="35" t="s">
        <v>740</v>
      </c>
      <c r="C395" s="49" t="s">
        <v>891</v>
      </c>
      <c r="D395" s="36">
        <v>426.49</v>
      </c>
      <c r="E395" s="33">
        <v>0.627</v>
      </c>
      <c r="F395" s="33">
        <f t="shared" si="7"/>
        <v>267.41000000000003</v>
      </c>
      <c r="G395" s="44"/>
      <c r="H395" s="45"/>
      <c r="I395" s="149">
        <v>0</v>
      </c>
    </row>
    <row r="396" spans="1:9" ht="26.25" hidden="1" thickBot="1" x14ac:dyDescent="0.3">
      <c r="A396" s="214"/>
      <c r="B396" s="35" t="s">
        <v>1427</v>
      </c>
      <c r="C396" s="49" t="s">
        <v>695</v>
      </c>
      <c r="D396" s="36">
        <v>4.32</v>
      </c>
      <c r="E396" s="30">
        <v>18.534500000000001</v>
      </c>
      <c r="F396" s="33">
        <f t="shared" si="7"/>
        <v>80.069999999999993</v>
      </c>
      <c r="G396" s="44"/>
      <c r="H396" s="45"/>
      <c r="I396" s="149">
        <v>0</v>
      </c>
    </row>
    <row r="397" spans="1:9" ht="39" hidden="1" thickBot="1" x14ac:dyDescent="0.3">
      <c r="A397" s="214"/>
      <c r="B397" s="35" t="s">
        <v>116</v>
      </c>
      <c r="C397" s="49" t="s">
        <v>932</v>
      </c>
      <c r="D397" s="36">
        <v>1.01</v>
      </c>
      <c r="E397" s="30">
        <v>1.3774999999999999</v>
      </c>
      <c r="F397" s="33">
        <f t="shared" si="7"/>
        <v>1.39</v>
      </c>
      <c r="G397" s="44"/>
      <c r="H397" s="45"/>
      <c r="I397" s="149">
        <v>0</v>
      </c>
    </row>
    <row r="398" spans="1:9" ht="39" hidden="1" thickBot="1" x14ac:dyDescent="0.3">
      <c r="A398" s="214"/>
      <c r="B398" s="35" t="s">
        <v>117</v>
      </c>
      <c r="C398" s="49" t="s">
        <v>934</v>
      </c>
      <c r="D398" s="36">
        <v>3.31</v>
      </c>
      <c r="E398" s="30">
        <v>0.36099999999999999</v>
      </c>
      <c r="F398" s="33">
        <f t="shared" si="7"/>
        <v>1.19</v>
      </c>
      <c r="G398" s="44"/>
      <c r="H398" s="45"/>
      <c r="I398" s="149">
        <v>0</v>
      </c>
    </row>
    <row r="399" spans="1:9" ht="51.75" hidden="1" thickBot="1" x14ac:dyDescent="0.3">
      <c r="A399" s="214"/>
      <c r="B399" s="35" t="s">
        <v>3507</v>
      </c>
      <c r="C399" s="35" t="s">
        <v>119</v>
      </c>
      <c r="D399" s="36">
        <f>ROUND(1*(D394),4)</f>
        <v>0.95</v>
      </c>
      <c r="E399" s="30">
        <v>7.9145696999999986</v>
      </c>
      <c r="F399" s="33">
        <f>IF(ISNUMBER(E399),E399*$D399,"")</f>
        <v>7.5188412149999984</v>
      </c>
      <c r="G399" s="44"/>
      <c r="H399" s="45"/>
      <c r="I399" s="149">
        <v>0</v>
      </c>
    </row>
    <row r="400" spans="1:9" ht="39" hidden="1" thickBot="1" x14ac:dyDescent="0.3">
      <c r="A400" s="214"/>
      <c r="B400" s="35" t="s">
        <v>3504</v>
      </c>
      <c r="C400" s="46" t="s">
        <v>121</v>
      </c>
      <c r="D400" s="36">
        <f>ROUND(D394*20,4)</f>
        <v>19</v>
      </c>
      <c r="E400" s="30">
        <v>2.6230221999999994</v>
      </c>
      <c r="F400" s="33">
        <f>IF(ISNUMBER(E400),E400*$D400,"")</f>
        <v>49.837421799999987</v>
      </c>
      <c r="G400" s="44"/>
      <c r="H400" s="45"/>
      <c r="I400" s="149">
        <v>0</v>
      </c>
    </row>
    <row r="401" spans="1:9" ht="15.75" hidden="1" thickBot="1" x14ac:dyDescent="0.3">
      <c r="A401" s="214"/>
      <c r="B401" s="50"/>
      <c r="C401" s="129"/>
      <c r="D401" s="36"/>
      <c r="E401" s="30" t="s">
        <v>514</v>
      </c>
      <c r="F401" s="33" t="str">
        <f t="shared" ref="F401:F410" si="8">IF(ISNUMBER(E401),ROUND(E401*$D401,2),"")</f>
        <v/>
      </c>
      <c r="G401" s="44"/>
      <c r="H401" s="45"/>
      <c r="I401" s="149">
        <v>0</v>
      </c>
    </row>
    <row r="402" spans="1:9" ht="15.75" hidden="1" thickBot="1" x14ac:dyDescent="0.3">
      <c r="A402" s="214"/>
      <c r="B402" s="47" t="s">
        <v>747</v>
      </c>
      <c r="C402" s="129"/>
      <c r="D402" s="36"/>
      <c r="E402" s="30" t="s">
        <v>514</v>
      </c>
      <c r="F402" s="33" t="str">
        <f t="shared" si="8"/>
        <v/>
      </c>
      <c r="G402" s="44"/>
      <c r="H402" s="45"/>
      <c r="I402" s="149">
        <v>0</v>
      </c>
    </row>
    <row r="403" spans="1:9" ht="15.75" hidden="1" thickBot="1" x14ac:dyDescent="0.3">
      <c r="A403" s="217"/>
      <c r="B403" s="103"/>
      <c r="C403" s="79"/>
      <c r="D403" s="95"/>
      <c r="E403" s="66" t="s">
        <v>514</v>
      </c>
      <c r="F403" s="66" t="str">
        <f t="shared" si="8"/>
        <v/>
      </c>
      <c r="G403" s="68"/>
      <c r="H403" s="30"/>
      <c r="I403" s="149">
        <v>0</v>
      </c>
    </row>
    <row r="404" spans="1:9" ht="26.25" hidden="1" customHeight="1" thickBot="1" x14ac:dyDescent="0.3">
      <c r="A404" s="216" t="s">
        <v>3209</v>
      </c>
      <c r="B404" s="40" t="s">
        <v>514</v>
      </c>
      <c r="C404" s="77" t="s">
        <v>119</v>
      </c>
      <c r="D404" s="93"/>
      <c r="E404" s="41" t="s">
        <v>514</v>
      </c>
      <c r="F404" s="41" t="str">
        <f t="shared" si="8"/>
        <v/>
      </c>
      <c r="G404" s="28"/>
      <c r="H404" s="29"/>
      <c r="I404" s="149">
        <v>0</v>
      </c>
    </row>
    <row r="405" spans="1:9" ht="15.75" hidden="1" thickBot="1" x14ac:dyDescent="0.3">
      <c r="A405" s="214"/>
      <c r="B405" s="31" t="s">
        <v>514</v>
      </c>
      <c r="C405" s="78"/>
      <c r="D405" s="91"/>
      <c r="E405" s="97" t="s">
        <v>514</v>
      </c>
      <c r="F405" s="98" t="str">
        <f t="shared" si="8"/>
        <v/>
      </c>
      <c r="G405" s="34"/>
      <c r="H405" s="30"/>
      <c r="I405" s="149">
        <v>0</v>
      </c>
    </row>
    <row r="406" spans="1:9" ht="26.25" hidden="1" thickBot="1" x14ac:dyDescent="0.3">
      <c r="A406" s="214"/>
      <c r="B406" s="35" t="s">
        <v>1276</v>
      </c>
      <c r="C406" s="49" t="s">
        <v>119</v>
      </c>
      <c r="D406" s="36">
        <v>1.27</v>
      </c>
      <c r="E406" s="33">
        <v>188.09049999999999</v>
      </c>
      <c r="F406" s="33">
        <f t="shared" si="8"/>
        <v>238.87</v>
      </c>
      <c r="G406" s="44">
        <f>SUM(F406:F414)</f>
        <v>759.75626739899985</v>
      </c>
      <c r="H406" s="45"/>
      <c r="I406" s="149">
        <v>0</v>
      </c>
    </row>
    <row r="407" spans="1:9" ht="15.75" hidden="1" thickBot="1" x14ac:dyDescent="0.3">
      <c r="A407" s="214"/>
      <c r="B407" s="35" t="s">
        <v>740</v>
      </c>
      <c r="C407" s="49" t="s">
        <v>891</v>
      </c>
      <c r="D407" s="36">
        <v>573.61</v>
      </c>
      <c r="E407" s="33">
        <v>0.627</v>
      </c>
      <c r="F407" s="33">
        <f t="shared" si="8"/>
        <v>359.65</v>
      </c>
      <c r="G407" s="44"/>
      <c r="H407" s="45"/>
      <c r="I407" s="149">
        <v>0</v>
      </c>
    </row>
    <row r="408" spans="1:9" ht="26.25" hidden="1" thickBot="1" x14ac:dyDescent="0.3">
      <c r="A408" s="214"/>
      <c r="B408" s="35" t="s">
        <v>1427</v>
      </c>
      <c r="C408" s="49" t="s">
        <v>695</v>
      </c>
      <c r="D408" s="36">
        <v>4.42</v>
      </c>
      <c r="E408" s="30">
        <v>18.534500000000001</v>
      </c>
      <c r="F408" s="33">
        <f t="shared" si="8"/>
        <v>81.92</v>
      </c>
      <c r="G408" s="44"/>
      <c r="H408" s="45"/>
      <c r="I408" s="149">
        <v>0</v>
      </c>
    </row>
    <row r="409" spans="1:9" ht="39" hidden="1" thickBot="1" x14ac:dyDescent="0.3">
      <c r="A409" s="214"/>
      <c r="B409" s="35" t="s">
        <v>116</v>
      </c>
      <c r="C409" s="49" t="s">
        <v>932</v>
      </c>
      <c r="D409" s="36">
        <v>1.03</v>
      </c>
      <c r="E409" s="30">
        <v>1.3774999999999999</v>
      </c>
      <c r="F409" s="33">
        <f t="shared" si="8"/>
        <v>1.42</v>
      </c>
      <c r="G409" s="44"/>
      <c r="H409" s="45"/>
      <c r="I409" s="149">
        <v>0</v>
      </c>
    </row>
    <row r="410" spans="1:9" ht="39" hidden="1" thickBot="1" x14ac:dyDescent="0.3">
      <c r="A410" s="214"/>
      <c r="B410" s="35" t="s">
        <v>117</v>
      </c>
      <c r="C410" s="49" t="s">
        <v>934</v>
      </c>
      <c r="D410" s="36">
        <v>3.39</v>
      </c>
      <c r="E410" s="30">
        <v>0.36099999999999999</v>
      </c>
      <c r="F410" s="33">
        <f t="shared" si="8"/>
        <v>1.22</v>
      </c>
      <c r="G410" s="44"/>
      <c r="H410" s="45"/>
      <c r="I410" s="149">
        <v>0</v>
      </c>
    </row>
    <row r="411" spans="1:9" ht="51.75" hidden="1" thickBot="1" x14ac:dyDescent="0.3">
      <c r="A411" s="214"/>
      <c r="B411" s="35" t="s">
        <v>3507</v>
      </c>
      <c r="C411" s="35" t="s">
        <v>119</v>
      </c>
      <c r="D411" s="36">
        <f>ROUND(1*(D406),4)</f>
        <v>1.27</v>
      </c>
      <c r="E411" s="30">
        <v>7.9145696999999986</v>
      </c>
      <c r="F411" s="33">
        <f>IF(ISNUMBER(E411),E411*$D411,"")</f>
        <v>10.051503518999999</v>
      </c>
      <c r="G411" s="44"/>
      <c r="H411" s="45"/>
      <c r="I411" s="149">
        <v>0</v>
      </c>
    </row>
    <row r="412" spans="1:9" ht="39" hidden="1" thickBot="1" x14ac:dyDescent="0.3">
      <c r="A412" s="214"/>
      <c r="B412" s="35" t="s">
        <v>3504</v>
      </c>
      <c r="C412" s="46" t="s">
        <v>121</v>
      </c>
      <c r="D412" s="36">
        <f>ROUND(D406*20,4)</f>
        <v>25.4</v>
      </c>
      <c r="E412" s="30">
        <v>2.6230221999999994</v>
      </c>
      <c r="F412" s="33">
        <f>IF(ISNUMBER(E412),E412*$D412,"")</f>
        <v>66.624763879999975</v>
      </c>
      <c r="G412" s="44"/>
      <c r="H412" s="45"/>
      <c r="I412" s="149">
        <v>0</v>
      </c>
    </row>
    <row r="413" spans="1:9" ht="15.75" hidden="1" thickBot="1" x14ac:dyDescent="0.3">
      <c r="A413" s="214"/>
      <c r="B413" s="50"/>
      <c r="C413" s="129"/>
      <c r="D413" s="36"/>
      <c r="E413" s="30" t="s">
        <v>514</v>
      </c>
      <c r="F413" s="33" t="str">
        <f t="shared" ref="F413:F421" si="9">IF(ISNUMBER(E413),ROUND(E413*$D413,2),"")</f>
        <v/>
      </c>
      <c r="G413" s="44"/>
      <c r="H413" s="45"/>
      <c r="I413" s="149">
        <v>0</v>
      </c>
    </row>
    <row r="414" spans="1:9" ht="24.95" hidden="1" customHeight="1" thickBot="1" x14ac:dyDescent="0.3">
      <c r="A414" s="214"/>
      <c r="B414" s="47" t="s">
        <v>747</v>
      </c>
      <c r="C414" s="129"/>
      <c r="D414" s="36"/>
      <c r="E414" s="30" t="s">
        <v>514</v>
      </c>
      <c r="F414" s="33" t="str">
        <f t="shared" si="9"/>
        <v/>
      </c>
      <c r="G414" s="44"/>
      <c r="H414" s="45"/>
      <c r="I414" s="149">
        <v>0</v>
      </c>
    </row>
    <row r="415" spans="1:9" ht="15.75" hidden="1" thickBot="1" x14ac:dyDescent="0.3">
      <c r="A415" s="217"/>
      <c r="B415" s="103"/>
      <c r="C415" s="79"/>
      <c r="D415" s="95"/>
      <c r="E415" s="66" t="s">
        <v>514</v>
      </c>
      <c r="F415" s="66" t="str">
        <f t="shared" si="9"/>
        <v/>
      </c>
      <c r="G415" s="68"/>
      <c r="H415" s="30"/>
      <c r="I415" s="149">
        <v>0</v>
      </c>
    </row>
    <row r="416" spans="1:9" ht="26.25" customHeight="1" thickBot="1" x14ac:dyDescent="0.3">
      <c r="A416" s="216" t="s">
        <v>3211</v>
      </c>
      <c r="B416" s="40" t="s">
        <v>514</v>
      </c>
      <c r="C416" s="77" t="s">
        <v>119</v>
      </c>
      <c r="D416" s="93"/>
      <c r="E416" s="41" t="s">
        <v>514</v>
      </c>
      <c r="F416" s="41" t="str">
        <f t="shared" si="9"/>
        <v/>
      </c>
      <c r="G416" s="28"/>
      <c r="H416" s="29"/>
      <c r="I416" s="149">
        <v>0.4032</v>
      </c>
    </row>
    <row r="417" spans="1:9" x14ac:dyDescent="0.25">
      <c r="A417" s="214"/>
      <c r="B417" s="31" t="s">
        <v>514</v>
      </c>
      <c r="C417" s="78"/>
      <c r="D417" s="91"/>
      <c r="E417" s="97" t="s">
        <v>514</v>
      </c>
      <c r="F417" s="98" t="str">
        <f t="shared" si="9"/>
        <v/>
      </c>
      <c r="G417" s="34"/>
      <c r="H417" s="30"/>
      <c r="I417" s="149">
        <v>0.4032</v>
      </c>
    </row>
    <row r="418" spans="1:9" ht="25.5" x14ac:dyDescent="0.25">
      <c r="A418" s="214"/>
      <c r="B418" s="35" t="s">
        <v>744</v>
      </c>
      <c r="C418" s="49" t="s">
        <v>119</v>
      </c>
      <c r="D418" s="36">
        <v>1.1599999999999999</v>
      </c>
      <c r="E418" s="33">
        <v>185.66799999999998</v>
      </c>
      <c r="F418" s="33">
        <f t="shared" si="9"/>
        <v>215.37</v>
      </c>
      <c r="G418" s="44">
        <f>SUM(F418:F425)</f>
        <v>789.17501589200003</v>
      </c>
      <c r="H418" s="45"/>
      <c r="I418" s="149">
        <v>0.4032</v>
      </c>
    </row>
    <row r="419" spans="1:9" x14ac:dyDescent="0.25">
      <c r="A419" s="214"/>
      <c r="B419" s="35" t="s">
        <v>1429</v>
      </c>
      <c r="C419" s="49" t="s">
        <v>891</v>
      </c>
      <c r="D419" s="36">
        <v>116.4</v>
      </c>
      <c r="E419" s="33">
        <v>1.1399999999999999</v>
      </c>
      <c r="F419" s="33">
        <f t="shared" si="9"/>
        <v>132.69999999999999</v>
      </c>
      <c r="G419" s="44"/>
      <c r="H419" s="45"/>
      <c r="I419" s="149">
        <v>0.4032</v>
      </c>
    </row>
    <row r="420" spans="1:9" x14ac:dyDescent="0.25">
      <c r="A420" s="214"/>
      <c r="B420" s="35" t="s">
        <v>740</v>
      </c>
      <c r="C420" s="49" t="s">
        <v>891</v>
      </c>
      <c r="D420" s="36">
        <v>261.89</v>
      </c>
      <c r="E420" s="30">
        <v>0.627</v>
      </c>
      <c r="F420" s="33">
        <f t="shared" si="9"/>
        <v>164.21</v>
      </c>
      <c r="G420" s="44"/>
      <c r="H420" s="45"/>
      <c r="I420" s="149">
        <v>0.4032</v>
      </c>
    </row>
    <row r="421" spans="1:9" x14ac:dyDescent="0.25">
      <c r="A421" s="214"/>
      <c r="B421" s="35" t="s">
        <v>696</v>
      </c>
      <c r="C421" s="49" t="s">
        <v>695</v>
      </c>
      <c r="D421" s="36">
        <v>11.23</v>
      </c>
      <c r="E421" s="30">
        <v>18.420500000000001</v>
      </c>
      <c r="F421" s="33">
        <f t="shared" si="9"/>
        <v>206.86</v>
      </c>
      <c r="G421" s="44"/>
      <c r="H421" s="45"/>
      <c r="I421" s="149">
        <v>0.4032</v>
      </c>
    </row>
    <row r="422" spans="1:9" ht="51" x14ac:dyDescent="0.25">
      <c r="A422" s="214"/>
      <c r="B422" s="35" t="s">
        <v>3507</v>
      </c>
      <c r="C422" s="35" t="s">
        <v>119</v>
      </c>
      <c r="D422" s="36">
        <f>ROUND(1*(D418),4)</f>
        <v>1.1599999999999999</v>
      </c>
      <c r="E422" s="30">
        <v>7.9145696999999986</v>
      </c>
      <c r="F422" s="33">
        <f>IF(ISNUMBER(E422),E422*$D422,"")</f>
        <v>9.1809008519999971</v>
      </c>
      <c r="G422" s="44"/>
      <c r="H422" s="45"/>
      <c r="I422" s="149">
        <v>0.4032</v>
      </c>
    </row>
    <row r="423" spans="1:9" ht="38.25" x14ac:dyDescent="0.25">
      <c r="A423" s="214"/>
      <c r="B423" s="35" t="s">
        <v>3504</v>
      </c>
      <c r="C423" s="46" t="s">
        <v>121</v>
      </c>
      <c r="D423" s="36">
        <f>ROUND(D418*20,4)</f>
        <v>23.2</v>
      </c>
      <c r="E423" s="30">
        <v>2.6230221999999994</v>
      </c>
      <c r="F423" s="33">
        <f>IF(ISNUMBER(E423),E423*$D423,"")</f>
        <v>60.854115039999982</v>
      </c>
      <c r="G423" s="44"/>
      <c r="H423" s="45"/>
      <c r="I423" s="149">
        <v>0.4032</v>
      </c>
    </row>
    <row r="424" spans="1:9" x14ac:dyDescent="0.25">
      <c r="A424" s="214"/>
      <c r="B424" s="50"/>
      <c r="C424" s="129"/>
      <c r="D424" s="36"/>
      <c r="E424" s="30" t="s">
        <v>514</v>
      </c>
      <c r="F424" s="33" t="str">
        <f t="shared" ref="F424:F433" si="10">IF(ISNUMBER(E424),ROUND(E424*$D424,2),"")</f>
        <v/>
      </c>
      <c r="G424" s="44"/>
      <c r="H424" s="45"/>
      <c r="I424" s="149">
        <v>0.4032</v>
      </c>
    </row>
    <row r="425" spans="1:9" ht="24.95" customHeight="1" x14ac:dyDescent="0.25">
      <c r="A425" s="214"/>
      <c r="B425" s="47" t="s">
        <v>747</v>
      </c>
      <c r="C425" s="129"/>
      <c r="D425" s="36"/>
      <c r="E425" s="30" t="s">
        <v>514</v>
      </c>
      <c r="F425" s="33" t="str">
        <f t="shared" si="10"/>
        <v/>
      </c>
      <c r="G425" s="44"/>
      <c r="H425" s="45"/>
      <c r="I425" s="149">
        <v>0.4032</v>
      </c>
    </row>
    <row r="426" spans="1:9" ht="15.75" thickBot="1" x14ac:dyDescent="0.3">
      <c r="A426" s="217"/>
      <c r="B426" s="103"/>
      <c r="C426" s="79"/>
      <c r="D426" s="95"/>
      <c r="E426" s="66" t="s">
        <v>514</v>
      </c>
      <c r="F426" s="66" t="str">
        <f t="shared" si="10"/>
        <v/>
      </c>
      <c r="G426" s="68"/>
      <c r="H426" s="30"/>
      <c r="I426" s="149">
        <v>0.4032</v>
      </c>
    </row>
    <row r="427" spans="1:9" ht="26.25" hidden="1" customHeight="1" x14ac:dyDescent="0.25">
      <c r="A427" s="216" t="s">
        <v>3212</v>
      </c>
      <c r="B427" s="40" t="s">
        <v>514</v>
      </c>
      <c r="C427" s="77" t="s">
        <v>119</v>
      </c>
      <c r="D427" s="93"/>
      <c r="E427" s="41" t="s">
        <v>514</v>
      </c>
      <c r="F427" s="41" t="str">
        <f t="shared" si="10"/>
        <v/>
      </c>
      <c r="G427" s="28"/>
      <c r="H427" s="29"/>
      <c r="I427" s="149">
        <v>0</v>
      </c>
    </row>
    <row r="428" spans="1:9" hidden="1" x14ac:dyDescent="0.25">
      <c r="A428" s="214"/>
      <c r="B428" s="31" t="s">
        <v>514</v>
      </c>
      <c r="C428" s="78"/>
      <c r="D428" s="91"/>
      <c r="E428" s="97" t="s">
        <v>514</v>
      </c>
      <c r="F428" s="98" t="str">
        <f t="shared" si="10"/>
        <v/>
      </c>
      <c r="G428" s="34"/>
      <c r="H428" s="30"/>
      <c r="I428" s="149">
        <v>0</v>
      </c>
    </row>
    <row r="429" spans="1:9" ht="25.5" hidden="1" x14ac:dyDescent="0.25">
      <c r="A429" s="214"/>
      <c r="B429" s="35" t="s">
        <v>744</v>
      </c>
      <c r="C429" s="49" t="s">
        <v>119</v>
      </c>
      <c r="D429" s="36">
        <v>1.07</v>
      </c>
      <c r="E429" s="33">
        <v>185.66799999999998</v>
      </c>
      <c r="F429" s="33">
        <f t="shared" si="10"/>
        <v>198.66</v>
      </c>
      <c r="G429" s="44">
        <f>SUM(F429:F437)</f>
        <v>631.98126465899998</v>
      </c>
      <c r="H429" s="45"/>
      <c r="I429" s="149">
        <v>0</v>
      </c>
    </row>
    <row r="430" spans="1:9" hidden="1" x14ac:dyDescent="0.25">
      <c r="A430" s="214"/>
      <c r="B430" s="35" t="s">
        <v>740</v>
      </c>
      <c r="C430" s="49" t="s">
        <v>891</v>
      </c>
      <c r="D430" s="36">
        <v>483.7</v>
      </c>
      <c r="E430" s="33">
        <v>0.627</v>
      </c>
      <c r="F430" s="33">
        <f t="shared" si="10"/>
        <v>303.27999999999997</v>
      </c>
      <c r="G430" s="44"/>
      <c r="H430" s="45"/>
      <c r="I430" s="149">
        <v>0</v>
      </c>
    </row>
    <row r="431" spans="1:9" ht="25.5" hidden="1" x14ac:dyDescent="0.25">
      <c r="A431" s="214"/>
      <c r="B431" s="35" t="s">
        <v>1427</v>
      </c>
      <c r="C431" s="49" t="s">
        <v>695</v>
      </c>
      <c r="D431" s="36">
        <v>3.42</v>
      </c>
      <c r="E431" s="30">
        <v>18.534500000000001</v>
      </c>
      <c r="F431" s="33">
        <f t="shared" si="10"/>
        <v>63.39</v>
      </c>
      <c r="G431" s="44"/>
      <c r="H431" s="45"/>
      <c r="I431" s="149">
        <v>0</v>
      </c>
    </row>
    <row r="432" spans="1:9" ht="38.25" hidden="1" x14ac:dyDescent="0.25">
      <c r="A432" s="214"/>
      <c r="B432" s="35" t="s">
        <v>116</v>
      </c>
      <c r="C432" s="49" t="s">
        <v>932</v>
      </c>
      <c r="D432" s="36">
        <v>0.8</v>
      </c>
      <c r="E432" s="30">
        <v>1.3774999999999999</v>
      </c>
      <c r="F432" s="33">
        <f t="shared" si="10"/>
        <v>1.1000000000000001</v>
      </c>
      <c r="G432" s="44"/>
      <c r="H432" s="45"/>
      <c r="I432" s="149">
        <v>0</v>
      </c>
    </row>
    <row r="433" spans="1:9" ht="38.25" hidden="1" x14ac:dyDescent="0.25">
      <c r="A433" s="214"/>
      <c r="B433" s="35" t="s">
        <v>117</v>
      </c>
      <c r="C433" s="49" t="s">
        <v>934</v>
      </c>
      <c r="D433" s="36">
        <v>2.62</v>
      </c>
      <c r="E433" s="30">
        <v>0.36099999999999999</v>
      </c>
      <c r="F433" s="33">
        <f t="shared" si="10"/>
        <v>0.95</v>
      </c>
      <c r="G433" s="44"/>
      <c r="H433" s="45"/>
      <c r="I433" s="149">
        <v>0</v>
      </c>
    </row>
    <row r="434" spans="1:9" ht="51" hidden="1" x14ac:dyDescent="0.25">
      <c r="A434" s="214"/>
      <c r="B434" s="35" t="s">
        <v>3507</v>
      </c>
      <c r="C434" s="35" t="s">
        <v>119</v>
      </c>
      <c r="D434" s="36">
        <f>ROUND(1*(D429),4)</f>
        <v>1.07</v>
      </c>
      <c r="E434" s="30">
        <v>7.9145696999999986</v>
      </c>
      <c r="F434" s="33">
        <f>IF(ISNUMBER(E434),E434*$D434,"")</f>
        <v>8.4685895789999996</v>
      </c>
      <c r="G434" s="44"/>
      <c r="H434" s="45"/>
      <c r="I434" s="149">
        <v>0</v>
      </c>
    </row>
    <row r="435" spans="1:9" ht="38.25" hidden="1" x14ac:dyDescent="0.25">
      <c r="A435" s="214"/>
      <c r="B435" s="35" t="s">
        <v>3504</v>
      </c>
      <c r="C435" s="46" t="s">
        <v>121</v>
      </c>
      <c r="D435" s="36">
        <f>ROUND(D429*20,4)</f>
        <v>21.4</v>
      </c>
      <c r="E435" s="30">
        <v>2.6230221999999994</v>
      </c>
      <c r="F435" s="33">
        <f>IF(ISNUMBER(E435),E435*$D435,"")</f>
        <v>56.132675079999984</v>
      </c>
      <c r="G435" s="44"/>
      <c r="H435" s="45"/>
      <c r="I435" s="149">
        <v>0</v>
      </c>
    </row>
    <row r="436" spans="1:9" hidden="1" x14ac:dyDescent="0.25">
      <c r="A436" s="214"/>
      <c r="B436" s="50"/>
      <c r="C436" s="129"/>
      <c r="D436" s="36"/>
      <c r="E436" s="30" t="s">
        <v>514</v>
      </c>
      <c r="F436" s="33" t="str">
        <f t="shared" ref="F436:F445" si="11">IF(ISNUMBER(E436),ROUND(E436*$D436,2),"")</f>
        <v/>
      </c>
      <c r="G436" s="44"/>
      <c r="H436" s="45"/>
      <c r="I436" s="149">
        <v>0</v>
      </c>
    </row>
    <row r="437" spans="1:9" ht="24.95" hidden="1" customHeight="1" x14ac:dyDescent="0.25">
      <c r="A437" s="214"/>
      <c r="B437" s="47" t="s">
        <v>747</v>
      </c>
      <c r="C437" s="129"/>
      <c r="D437" s="36"/>
      <c r="E437" s="30" t="s">
        <v>514</v>
      </c>
      <c r="F437" s="33" t="str">
        <f t="shared" si="11"/>
        <v/>
      </c>
      <c r="G437" s="44"/>
      <c r="H437" s="45"/>
      <c r="I437" s="149">
        <v>0</v>
      </c>
    </row>
    <row r="438" spans="1:9" ht="15.75" hidden="1" thickBot="1" x14ac:dyDescent="0.3">
      <c r="A438" s="217"/>
      <c r="B438" s="103"/>
      <c r="C438" s="79"/>
      <c r="D438" s="95"/>
      <c r="E438" s="66" t="s">
        <v>514</v>
      </c>
      <c r="F438" s="66" t="str">
        <f t="shared" si="11"/>
        <v/>
      </c>
      <c r="G438" s="68"/>
      <c r="H438" s="30"/>
      <c r="I438" s="149">
        <v>0</v>
      </c>
    </row>
    <row r="439" spans="1:9" ht="26.25" hidden="1" customHeight="1" x14ac:dyDescent="0.25">
      <c r="A439" s="216" t="s">
        <v>3201</v>
      </c>
      <c r="B439" s="40" t="s">
        <v>514</v>
      </c>
      <c r="C439" s="77" t="s">
        <v>119</v>
      </c>
      <c r="D439" s="93"/>
      <c r="E439" s="41" t="s">
        <v>514</v>
      </c>
      <c r="F439" s="41" t="str">
        <f t="shared" si="11"/>
        <v/>
      </c>
      <c r="G439" s="28"/>
      <c r="H439" s="29"/>
      <c r="I439" s="149">
        <v>0</v>
      </c>
    </row>
    <row r="440" spans="1:9" hidden="1" x14ac:dyDescent="0.25">
      <c r="A440" s="214"/>
      <c r="B440" s="31" t="s">
        <v>514</v>
      </c>
      <c r="C440" s="78"/>
      <c r="D440" s="91"/>
      <c r="E440" s="97" t="s">
        <v>514</v>
      </c>
      <c r="F440" s="98" t="str">
        <f t="shared" si="11"/>
        <v/>
      </c>
      <c r="G440" s="34"/>
      <c r="H440" s="30"/>
      <c r="I440" s="149">
        <v>0</v>
      </c>
    </row>
    <row r="441" spans="1:9" ht="38.25" hidden="1" x14ac:dyDescent="0.25">
      <c r="A441" s="214"/>
      <c r="B441" s="35" t="s">
        <v>6768</v>
      </c>
      <c r="C441" s="49" t="s">
        <v>982</v>
      </c>
      <c r="D441" s="36">
        <v>1.3111999999999999</v>
      </c>
      <c r="E441" s="33">
        <v>60.391500000000001</v>
      </c>
      <c r="F441" s="33">
        <f t="shared" si="11"/>
        <v>79.19</v>
      </c>
      <c r="G441" s="44">
        <f>SUM(F441:F456)</f>
        <v>2438.7431336266991</v>
      </c>
      <c r="H441" s="45"/>
      <c r="I441" s="149">
        <v>0</v>
      </c>
    </row>
    <row r="442" spans="1:9" ht="25.5" hidden="1" x14ac:dyDescent="0.25">
      <c r="A442" s="214"/>
      <c r="B442" s="35" t="s">
        <v>1142</v>
      </c>
      <c r="C442" s="49" t="s">
        <v>101</v>
      </c>
      <c r="D442" s="36">
        <v>5.67E-2</v>
      </c>
      <c r="E442" s="33">
        <v>7.4005000000000001</v>
      </c>
      <c r="F442" s="33">
        <f t="shared" si="11"/>
        <v>0.42</v>
      </c>
      <c r="G442" s="44"/>
      <c r="H442" s="45"/>
      <c r="I442" s="149">
        <v>0</v>
      </c>
    </row>
    <row r="443" spans="1:9" ht="25.5" hidden="1" x14ac:dyDescent="0.25">
      <c r="A443" s="214"/>
      <c r="B443" s="35" t="s">
        <v>3686</v>
      </c>
      <c r="C443" s="49" t="s">
        <v>473</v>
      </c>
      <c r="D443" s="36">
        <v>4.4770000000000003</v>
      </c>
      <c r="E443" s="30">
        <v>2.907</v>
      </c>
      <c r="F443" s="33">
        <f t="shared" si="11"/>
        <v>13.01</v>
      </c>
      <c r="G443" s="44"/>
      <c r="H443" s="45"/>
      <c r="I443" s="149">
        <v>0</v>
      </c>
    </row>
    <row r="444" spans="1:9" hidden="1" x14ac:dyDescent="0.25">
      <c r="A444" s="214"/>
      <c r="B444" s="35" t="s">
        <v>1143</v>
      </c>
      <c r="C444" s="49" t="s">
        <v>891</v>
      </c>
      <c r="D444" s="36">
        <v>0.26190000000000002</v>
      </c>
      <c r="E444" s="30">
        <v>25.060999999999996</v>
      </c>
      <c r="F444" s="33">
        <f t="shared" si="11"/>
        <v>6.56</v>
      </c>
      <c r="G444" s="44"/>
      <c r="H444" s="45"/>
      <c r="I444" s="149">
        <v>0</v>
      </c>
    </row>
    <row r="445" spans="1:9" hidden="1" x14ac:dyDescent="0.25">
      <c r="A445" s="214"/>
      <c r="B445" s="35" t="s">
        <v>778</v>
      </c>
      <c r="C445" s="49" t="s">
        <v>695</v>
      </c>
      <c r="D445" s="36">
        <v>0.73560000000000003</v>
      </c>
      <c r="E445" s="30">
        <v>19.494</v>
      </c>
      <c r="F445" s="33">
        <f t="shared" si="11"/>
        <v>14.34</v>
      </c>
      <c r="G445" s="44"/>
      <c r="H445" s="45"/>
      <c r="I445" s="149">
        <v>0</v>
      </c>
    </row>
    <row r="446" spans="1:9" hidden="1" x14ac:dyDescent="0.25">
      <c r="A446" s="214"/>
      <c r="B446" s="35" t="s">
        <v>694</v>
      </c>
      <c r="C446" s="35" t="s">
        <v>695</v>
      </c>
      <c r="D446" s="36">
        <v>3.6779999999999999</v>
      </c>
      <c r="E446" s="30">
        <v>23.616999999999997</v>
      </c>
      <c r="F446" s="33">
        <f t="shared" ref="F446:F454" si="12">IF(ISNUMBER(E446),E446*$D446,"")</f>
        <v>86.863325999999986</v>
      </c>
      <c r="G446" s="44"/>
      <c r="H446" s="45"/>
      <c r="I446" s="149">
        <v>0</v>
      </c>
    </row>
    <row r="447" spans="1:9" hidden="1" x14ac:dyDescent="0.25">
      <c r="A447" s="214"/>
      <c r="B447" s="35" t="s">
        <v>703</v>
      </c>
      <c r="C447" s="35" t="s">
        <v>695</v>
      </c>
      <c r="D447" s="36">
        <v>22.888400000000001</v>
      </c>
      <c r="E447" s="30">
        <v>24.889999999999997</v>
      </c>
      <c r="F447" s="33">
        <f t="shared" si="12"/>
        <v>569.69227599999999</v>
      </c>
      <c r="G447" s="44"/>
      <c r="H447" s="45"/>
      <c r="I447" s="149">
        <v>0</v>
      </c>
    </row>
    <row r="448" spans="1:9" hidden="1" x14ac:dyDescent="0.25">
      <c r="A448" s="214"/>
      <c r="B448" s="35" t="s">
        <v>696</v>
      </c>
      <c r="C448" s="35" t="s">
        <v>695</v>
      </c>
      <c r="D448" s="36">
        <v>22.888400000000001</v>
      </c>
      <c r="E448" s="30">
        <v>18.420500000000001</v>
      </c>
      <c r="F448" s="33">
        <f t="shared" si="12"/>
        <v>421.61577220000004</v>
      </c>
      <c r="G448" s="44"/>
      <c r="H448" s="45"/>
      <c r="I448" s="149">
        <v>0</v>
      </c>
    </row>
    <row r="449" spans="1:9" ht="25.5" hidden="1" x14ac:dyDescent="0.25">
      <c r="A449" s="214"/>
      <c r="B449" s="35" t="s">
        <v>1144</v>
      </c>
      <c r="C449" s="35" t="s">
        <v>932</v>
      </c>
      <c r="D449" s="36">
        <v>4.7533000000000003</v>
      </c>
      <c r="E449" s="30">
        <v>1.1779999999999999</v>
      </c>
      <c r="F449" s="33">
        <f t="shared" si="12"/>
        <v>5.5993874000000003</v>
      </c>
      <c r="G449" s="44"/>
      <c r="H449" s="45"/>
      <c r="I449" s="149">
        <v>0</v>
      </c>
    </row>
    <row r="450" spans="1:9" ht="25.5" hidden="1" x14ac:dyDescent="0.25">
      <c r="A450" s="214"/>
      <c r="B450" s="35" t="s">
        <v>1145</v>
      </c>
      <c r="C450" s="35" t="s">
        <v>934</v>
      </c>
      <c r="D450" s="36">
        <v>13.0715</v>
      </c>
      <c r="E450" s="30">
        <v>0.53200000000000003</v>
      </c>
      <c r="F450" s="33">
        <f t="shared" si="12"/>
        <v>6.9540380000000006</v>
      </c>
      <c r="G450" s="44"/>
      <c r="H450" s="45"/>
      <c r="I450" s="149">
        <v>0</v>
      </c>
    </row>
    <row r="451" spans="1:9" ht="25.5" hidden="1" x14ac:dyDescent="0.25">
      <c r="A451" s="214"/>
      <c r="B451" s="35" t="s">
        <v>1146</v>
      </c>
      <c r="C451" s="35" t="s">
        <v>932</v>
      </c>
      <c r="D451" s="36">
        <v>0.313</v>
      </c>
      <c r="E451" s="30">
        <v>20.234999999999999</v>
      </c>
      <c r="F451" s="33">
        <f t="shared" si="12"/>
        <v>6.3335549999999996</v>
      </c>
      <c r="G451" s="44"/>
      <c r="H451" s="45"/>
      <c r="I451" s="149">
        <v>0</v>
      </c>
    </row>
    <row r="452" spans="1:9" ht="25.5" hidden="1" x14ac:dyDescent="0.25">
      <c r="A452" s="214"/>
      <c r="B452" s="35" t="s">
        <v>1147</v>
      </c>
      <c r="C452" s="35" t="s">
        <v>934</v>
      </c>
      <c r="D452" s="36">
        <v>0.42259999999999998</v>
      </c>
      <c r="E452" s="30">
        <v>19.456</v>
      </c>
      <c r="F452" s="33">
        <f t="shared" si="12"/>
        <v>8.222105599999999</v>
      </c>
      <c r="G452" s="44"/>
      <c r="H452" s="45"/>
      <c r="I452" s="149">
        <v>0</v>
      </c>
    </row>
    <row r="453" spans="1:9" ht="38.25" hidden="1" x14ac:dyDescent="0.25">
      <c r="A453" s="214"/>
      <c r="B453" s="35" t="s">
        <v>1148</v>
      </c>
      <c r="C453" s="35" t="s">
        <v>891</v>
      </c>
      <c r="D453" s="36">
        <v>28.936900000000001</v>
      </c>
      <c r="E453" s="30">
        <v>16.921556750000001</v>
      </c>
      <c r="F453" s="33">
        <f t="shared" si="12"/>
        <v>489.65739551907507</v>
      </c>
      <c r="G453" s="44"/>
      <c r="H453" s="45"/>
      <c r="I453" s="149">
        <v>0</v>
      </c>
    </row>
    <row r="454" spans="1:9" ht="25.5" hidden="1" x14ac:dyDescent="0.25">
      <c r="A454" s="214"/>
      <c r="B454" s="35" t="s">
        <v>3199</v>
      </c>
      <c r="C454" s="46" t="s">
        <v>119</v>
      </c>
      <c r="D454" s="36">
        <v>1.2</v>
      </c>
      <c r="E454" s="30">
        <v>608.57106492302</v>
      </c>
      <c r="F454" s="33">
        <f t="shared" si="12"/>
        <v>730.28527790762394</v>
      </c>
      <c r="G454" s="44"/>
      <c r="H454" s="45"/>
      <c r="I454" s="149">
        <v>0</v>
      </c>
    </row>
    <row r="455" spans="1:9" hidden="1" x14ac:dyDescent="0.25">
      <c r="A455" s="214"/>
      <c r="B455" s="50"/>
      <c r="C455" s="129"/>
      <c r="D455" s="36"/>
      <c r="E455" s="30" t="s">
        <v>514</v>
      </c>
      <c r="F455" s="33" t="str">
        <f t="shared" ref="F455:F464" si="13">IF(ISNUMBER(E455),ROUND(E455*$D455,2),"")</f>
        <v/>
      </c>
      <c r="G455" s="44"/>
      <c r="H455" s="45"/>
      <c r="I455" s="149">
        <v>0</v>
      </c>
    </row>
    <row r="456" spans="1:9" ht="24.95" hidden="1" customHeight="1" x14ac:dyDescent="0.25">
      <c r="A456" s="214"/>
      <c r="B456" s="47" t="s">
        <v>747</v>
      </c>
      <c r="C456" s="129"/>
      <c r="D456" s="36"/>
      <c r="E456" s="30" t="s">
        <v>514</v>
      </c>
      <c r="F456" s="33" t="str">
        <f t="shared" si="13"/>
        <v/>
      </c>
      <c r="G456" s="44"/>
      <c r="H456" s="45"/>
      <c r="I456" s="149">
        <v>0</v>
      </c>
    </row>
    <row r="457" spans="1:9" ht="15.75" hidden="1" thickBot="1" x14ac:dyDescent="0.3">
      <c r="A457" s="217"/>
      <c r="B457" s="103"/>
      <c r="C457" s="79"/>
      <c r="D457" s="95"/>
      <c r="E457" s="66" t="s">
        <v>514</v>
      </c>
      <c r="F457" s="66" t="str">
        <f t="shared" si="13"/>
        <v/>
      </c>
      <c r="G457" s="68"/>
      <c r="H457" s="30"/>
      <c r="I457" s="149">
        <v>0</v>
      </c>
    </row>
    <row r="458" spans="1:9" ht="26.25" hidden="1" customHeight="1" x14ac:dyDescent="0.25">
      <c r="A458" s="216" t="s">
        <v>3673</v>
      </c>
      <c r="B458" s="40" t="s">
        <v>514</v>
      </c>
      <c r="C458" s="77" t="s">
        <v>119</v>
      </c>
      <c r="D458" s="93"/>
      <c r="E458" s="41" t="s">
        <v>514</v>
      </c>
      <c r="F458" s="41" t="str">
        <f t="shared" si="13"/>
        <v/>
      </c>
      <c r="G458" s="28"/>
      <c r="H458" s="29"/>
      <c r="I458" s="149">
        <v>0</v>
      </c>
    </row>
    <row r="459" spans="1:9" hidden="1" x14ac:dyDescent="0.25">
      <c r="A459" s="214"/>
      <c r="B459" s="31" t="s">
        <v>514</v>
      </c>
      <c r="C459" s="78"/>
      <c r="D459" s="91"/>
      <c r="E459" s="97" t="s">
        <v>514</v>
      </c>
      <c r="F459" s="98" t="str">
        <f t="shared" si="13"/>
        <v/>
      </c>
      <c r="G459" s="34"/>
      <c r="H459" s="30"/>
      <c r="I459" s="149">
        <v>0</v>
      </c>
    </row>
    <row r="460" spans="1:9" ht="25.5" hidden="1" x14ac:dyDescent="0.25">
      <c r="A460" s="214"/>
      <c r="B460" s="35" t="s">
        <v>749</v>
      </c>
      <c r="C460" s="49" t="s">
        <v>119</v>
      </c>
      <c r="D460" s="36">
        <v>1.1000000000000001</v>
      </c>
      <c r="E460" s="33">
        <v>174.5625</v>
      </c>
      <c r="F460" s="33">
        <f t="shared" si="13"/>
        <v>192.02</v>
      </c>
      <c r="G460" s="44">
        <f>SUM(F460:F470)</f>
        <v>360.37122816999999</v>
      </c>
      <c r="H460" s="45"/>
      <c r="I460" s="149">
        <v>0</v>
      </c>
    </row>
    <row r="461" spans="1:9" ht="63.75" hidden="1" x14ac:dyDescent="0.25">
      <c r="A461" s="214"/>
      <c r="B461" s="35" t="s">
        <v>3179</v>
      </c>
      <c r="C461" s="49" t="s">
        <v>932</v>
      </c>
      <c r="D461" s="36">
        <v>0.128</v>
      </c>
      <c r="E461" s="33">
        <v>138.96600000000001</v>
      </c>
      <c r="F461" s="33">
        <f t="shared" si="13"/>
        <v>17.79</v>
      </c>
      <c r="G461" s="44"/>
      <c r="H461" s="45"/>
      <c r="I461" s="149">
        <v>0</v>
      </c>
    </row>
    <row r="462" spans="1:9" ht="63.75" hidden="1" x14ac:dyDescent="0.25">
      <c r="A462" s="214"/>
      <c r="B462" s="35" t="s">
        <v>3185</v>
      </c>
      <c r="C462" s="49" t="s">
        <v>934</v>
      </c>
      <c r="D462" s="36">
        <v>0.63980000000000004</v>
      </c>
      <c r="E462" s="30">
        <v>50.8155</v>
      </c>
      <c r="F462" s="33">
        <f t="shared" si="13"/>
        <v>32.51</v>
      </c>
      <c r="G462" s="44"/>
      <c r="H462" s="45"/>
      <c r="I462" s="149">
        <v>0</v>
      </c>
    </row>
    <row r="463" spans="1:9" hidden="1" x14ac:dyDescent="0.25">
      <c r="A463" s="214"/>
      <c r="B463" s="35" t="s">
        <v>703</v>
      </c>
      <c r="C463" s="49" t="s">
        <v>695</v>
      </c>
      <c r="D463" s="36">
        <v>0.92130000000000001</v>
      </c>
      <c r="E463" s="30">
        <v>24.889999999999997</v>
      </c>
      <c r="F463" s="33">
        <f t="shared" si="13"/>
        <v>22.93</v>
      </c>
      <c r="G463" s="44"/>
      <c r="H463" s="45"/>
      <c r="I463" s="149">
        <v>0</v>
      </c>
    </row>
    <row r="464" spans="1:9" hidden="1" x14ac:dyDescent="0.25">
      <c r="A464" s="214"/>
      <c r="B464" s="35" t="s">
        <v>696</v>
      </c>
      <c r="C464" s="49" t="s">
        <v>695</v>
      </c>
      <c r="D464" s="36">
        <v>1.3818999999999999</v>
      </c>
      <c r="E464" s="30">
        <v>18.420500000000001</v>
      </c>
      <c r="F464" s="33">
        <f t="shared" si="13"/>
        <v>25.46</v>
      </c>
      <c r="G464" s="44"/>
      <c r="H464" s="45"/>
      <c r="I464" s="149">
        <v>0</v>
      </c>
    </row>
    <row r="465" spans="1:9" ht="38.25" hidden="1" x14ac:dyDescent="0.25">
      <c r="A465" s="214"/>
      <c r="B465" s="35" t="s">
        <v>931</v>
      </c>
      <c r="C465" s="35" t="s">
        <v>932</v>
      </c>
      <c r="D465" s="36">
        <v>7.1800000000000003E-2</v>
      </c>
      <c r="E465" s="30">
        <v>26.485999999999997</v>
      </c>
      <c r="F465" s="33">
        <f>IF(ISNUMBER(E465),E465*$D465,"")</f>
        <v>1.9016947999999998</v>
      </c>
      <c r="G465" s="44"/>
      <c r="H465" s="45"/>
      <c r="I465" s="149">
        <v>0</v>
      </c>
    </row>
    <row r="466" spans="1:9" ht="38.25" hidden="1" x14ac:dyDescent="0.25">
      <c r="A466" s="214"/>
      <c r="B466" s="35" t="s">
        <v>933</v>
      </c>
      <c r="C466" s="46" t="s">
        <v>934</v>
      </c>
      <c r="D466" s="36">
        <v>6.6600000000000006E-2</v>
      </c>
      <c r="E466" s="30">
        <v>20.225499999999997</v>
      </c>
      <c r="F466" s="33">
        <f>IF(ISNUMBER(E466),E466*$D466,"")</f>
        <v>1.3470183</v>
      </c>
      <c r="G466" s="44"/>
      <c r="H466" s="45"/>
      <c r="I466" s="149">
        <v>0</v>
      </c>
    </row>
    <row r="467" spans="1:9" ht="51" hidden="1" x14ac:dyDescent="0.25">
      <c r="A467" s="214"/>
      <c r="B467" s="35" t="s">
        <v>3507</v>
      </c>
      <c r="C467" s="35" t="s">
        <v>119</v>
      </c>
      <c r="D467" s="36">
        <f>ROUND(1*(D460),4)</f>
        <v>1.1000000000000001</v>
      </c>
      <c r="E467" s="30">
        <v>7.9145696999999986</v>
      </c>
      <c r="F467" s="33">
        <f>IF(ISNUMBER(E467),E467*$D467,"")</f>
        <v>8.70602667</v>
      </c>
      <c r="G467" s="44"/>
      <c r="H467" s="45"/>
      <c r="I467" s="149">
        <v>0</v>
      </c>
    </row>
    <row r="468" spans="1:9" ht="38.25" hidden="1" x14ac:dyDescent="0.25">
      <c r="A468" s="214"/>
      <c r="B468" s="35" t="s">
        <v>3504</v>
      </c>
      <c r="C468" s="46" t="s">
        <v>121</v>
      </c>
      <c r="D468" s="36">
        <f>ROUND(D460*20,4)</f>
        <v>22</v>
      </c>
      <c r="E468" s="30">
        <v>2.6230221999999994</v>
      </c>
      <c r="F468" s="33">
        <f>IF(ISNUMBER(E468),E468*$D468,"")</f>
        <v>57.706488399999984</v>
      </c>
      <c r="G468" s="44"/>
      <c r="H468" s="45"/>
      <c r="I468" s="149">
        <v>0</v>
      </c>
    </row>
    <row r="469" spans="1:9" hidden="1" x14ac:dyDescent="0.25">
      <c r="A469" s="214"/>
      <c r="B469" s="50"/>
      <c r="C469" s="129"/>
      <c r="D469" s="36"/>
      <c r="E469" s="30" t="s">
        <v>514</v>
      </c>
      <c r="F469" s="33" t="str">
        <f t="shared" ref="F469:F478" si="14">IF(ISNUMBER(E469),ROUND(E469*$D469,2),"")</f>
        <v/>
      </c>
      <c r="G469" s="44"/>
      <c r="H469" s="45"/>
      <c r="I469" s="149">
        <v>0</v>
      </c>
    </row>
    <row r="470" spans="1:9" ht="24.95" hidden="1" customHeight="1" x14ac:dyDescent="0.25">
      <c r="A470" s="214"/>
      <c r="B470" s="47" t="s">
        <v>747</v>
      </c>
      <c r="C470" s="129"/>
      <c r="D470" s="36"/>
      <c r="E470" s="30" t="s">
        <v>514</v>
      </c>
      <c r="F470" s="33" t="str">
        <f t="shared" si="14"/>
        <v/>
      </c>
      <c r="G470" s="44"/>
      <c r="H470" s="45"/>
      <c r="I470" s="149">
        <v>0</v>
      </c>
    </row>
    <row r="471" spans="1:9" ht="15.75" hidden="1" thickBot="1" x14ac:dyDescent="0.3">
      <c r="A471" s="217"/>
      <c r="B471" s="103"/>
      <c r="C471" s="79"/>
      <c r="D471" s="95"/>
      <c r="E471" s="66" t="s">
        <v>514</v>
      </c>
      <c r="F471" s="66" t="str">
        <f t="shared" si="14"/>
        <v/>
      </c>
      <c r="G471" s="68"/>
      <c r="H471" s="30"/>
      <c r="I471" s="149">
        <v>0</v>
      </c>
    </row>
    <row r="472" spans="1:9" ht="26.25" hidden="1" customHeight="1" x14ac:dyDescent="0.25">
      <c r="A472" s="216" t="s">
        <v>3200</v>
      </c>
      <c r="B472" s="40" t="s">
        <v>514</v>
      </c>
      <c r="C472" s="77" t="s">
        <v>119</v>
      </c>
      <c r="D472" s="93"/>
      <c r="E472" s="41" t="s">
        <v>514</v>
      </c>
      <c r="F472" s="41" t="str">
        <f t="shared" si="14"/>
        <v/>
      </c>
      <c r="G472" s="28"/>
      <c r="H472" s="29"/>
      <c r="I472" s="149">
        <v>0</v>
      </c>
    </row>
    <row r="473" spans="1:9" hidden="1" x14ac:dyDescent="0.25">
      <c r="A473" s="214"/>
      <c r="B473" s="31" t="s">
        <v>514</v>
      </c>
      <c r="C473" s="78"/>
      <c r="D473" s="91"/>
      <c r="E473" s="97" t="s">
        <v>514</v>
      </c>
      <c r="F473" s="98" t="str">
        <f t="shared" si="14"/>
        <v/>
      </c>
      <c r="G473" s="34"/>
      <c r="H473" s="30"/>
      <c r="I473" s="149">
        <v>0</v>
      </c>
    </row>
    <row r="474" spans="1:9" ht="38.25" hidden="1" x14ac:dyDescent="0.25">
      <c r="A474" s="214"/>
      <c r="B474" s="35" t="s">
        <v>6768</v>
      </c>
      <c r="C474" s="49" t="s">
        <v>982</v>
      </c>
      <c r="D474" s="36">
        <v>1.9403999999999999</v>
      </c>
      <c r="E474" s="33">
        <v>60.391500000000001</v>
      </c>
      <c r="F474" s="33">
        <f t="shared" si="14"/>
        <v>117.18</v>
      </c>
      <c r="G474" s="44">
        <f>SUM(F474:F489)</f>
        <v>2905.4664789249678</v>
      </c>
      <c r="H474" s="45"/>
      <c r="I474" s="149">
        <v>0</v>
      </c>
    </row>
    <row r="475" spans="1:9" ht="25.5" hidden="1" x14ac:dyDescent="0.25">
      <c r="A475" s="214"/>
      <c r="B475" s="35" t="s">
        <v>1142</v>
      </c>
      <c r="C475" s="49" t="s">
        <v>101</v>
      </c>
      <c r="D475" s="36">
        <v>8.3299999999999999E-2</v>
      </c>
      <c r="E475" s="33">
        <v>7.4005000000000001</v>
      </c>
      <c r="F475" s="33">
        <f t="shared" si="14"/>
        <v>0.62</v>
      </c>
      <c r="G475" s="44"/>
      <c r="H475" s="45"/>
      <c r="I475" s="149">
        <v>0</v>
      </c>
    </row>
    <row r="476" spans="1:9" ht="25.5" hidden="1" x14ac:dyDescent="0.25">
      <c r="A476" s="214"/>
      <c r="B476" s="35" t="s">
        <v>3686</v>
      </c>
      <c r="C476" s="49" t="s">
        <v>473</v>
      </c>
      <c r="D476" s="36">
        <v>5.6283000000000003</v>
      </c>
      <c r="E476" s="30">
        <v>2.907</v>
      </c>
      <c r="F476" s="33">
        <f t="shared" si="14"/>
        <v>16.36</v>
      </c>
      <c r="G476" s="44"/>
      <c r="H476" s="45"/>
      <c r="I476" s="149">
        <v>0</v>
      </c>
    </row>
    <row r="477" spans="1:9" hidden="1" x14ac:dyDescent="0.25">
      <c r="A477" s="214"/>
      <c r="B477" s="35" t="s">
        <v>1143</v>
      </c>
      <c r="C477" s="49" t="s">
        <v>891</v>
      </c>
      <c r="D477" s="36">
        <v>0.4365</v>
      </c>
      <c r="E477" s="30">
        <v>25.060999999999996</v>
      </c>
      <c r="F477" s="33">
        <f t="shared" si="14"/>
        <v>10.94</v>
      </c>
      <c r="G477" s="44"/>
      <c r="H477" s="45"/>
      <c r="I477" s="149">
        <v>0</v>
      </c>
    </row>
    <row r="478" spans="1:9" hidden="1" x14ac:dyDescent="0.25">
      <c r="A478" s="214"/>
      <c r="B478" s="35" t="s">
        <v>778</v>
      </c>
      <c r="C478" s="49" t="s">
        <v>695</v>
      </c>
      <c r="D478" s="36">
        <v>1.1919999999999999</v>
      </c>
      <c r="E478" s="30">
        <v>19.494</v>
      </c>
      <c r="F478" s="33">
        <f t="shared" si="14"/>
        <v>23.24</v>
      </c>
      <c r="G478" s="44"/>
      <c r="H478" s="45"/>
      <c r="I478" s="149">
        <v>0</v>
      </c>
    </row>
    <row r="479" spans="1:9" hidden="1" x14ac:dyDescent="0.25">
      <c r="A479" s="214"/>
      <c r="B479" s="35" t="s">
        <v>694</v>
      </c>
      <c r="C479" s="35" t="s">
        <v>695</v>
      </c>
      <c r="D479" s="36">
        <v>5.96</v>
      </c>
      <c r="E479" s="30">
        <v>23.616999999999997</v>
      </c>
      <c r="F479" s="33">
        <f t="shared" ref="F479:F487" si="15">IF(ISNUMBER(E479),E479*$D479,"")</f>
        <v>140.75731999999999</v>
      </c>
      <c r="G479" s="44"/>
      <c r="H479" s="45"/>
      <c r="I479" s="149">
        <v>0</v>
      </c>
    </row>
    <row r="480" spans="1:9" hidden="1" x14ac:dyDescent="0.25">
      <c r="A480" s="214"/>
      <c r="B480" s="35" t="s">
        <v>703</v>
      </c>
      <c r="C480" s="35" t="s">
        <v>695</v>
      </c>
      <c r="D480" s="36">
        <v>31.5459</v>
      </c>
      <c r="E480" s="30">
        <v>24.889999999999997</v>
      </c>
      <c r="F480" s="33">
        <f t="shared" si="15"/>
        <v>785.17745099999991</v>
      </c>
      <c r="G480" s="44"/>
      <c r="H480" s="45"/>
      <c r="I480" s="149">
        <v>0</v>
      </c>
    </row>
    <row r="481" spans="1:9" hidden="1" x14ac:dyDescent="0.25">
      <c r="A481" s="214"/>
      <c r="B481" s="35" t="s">
        <v>696</v>
      </c>
      <c r="C481" s="35" t="s">
        <v>695</v>
      </c>
      <c r="D481" s="36">
        <v>31.5459</v>
      </c>
      <c r="E481" s="30">
        <v>18.420500000000001</v>
      </c>
      <c r="F481" s="33">
        <f t="shared" si="15"/>
        <v>581.09125095000002</v>
      </c>
      <c r="G481" s="44"/>
      <c r="H481" s="45"/>
      <c r="I481" s="149">
        <v>0</v>
      </c>
    </row>
    <row r="482" spans="1:9" ht="25.5" hidden="1" x14ac:dyDescent="0.25">
      <c r="A482" s="214"/>
      <c r="B482" s="35" t="s">
        <v>1144</v>
      </c>
      <c r="C482" s="35" t="s">
        <v>932</v>
      </c>
      <c r="D482" s="36">
        <v>6.6349999999999998</v>
      </c>
      <c r="E482" s="30">
        <v>1.1779999999999999</v>
      </c>
      <c r="F482" s="33">
        <f t="shared" si="15"/>
        <v>7.8160299999999996</v>
      </c>
      <c r="G482" s="44"/>
      <c r="H482" s="45"/>
      <c r="I482" s="149">
        <v>0</v>
      </c>
    </row>
    <row r="483" spans="1:9" ht="25.5" hidden="1" x14ac:dyDescent="0.25">
      <c r="A483" s="214"/>
      <c r="B483" s="35" t="s">
        <v>1145</v>
      </c>
      <c r="C483" s="35" t="s">
        <v>934</v>
      </c>
      <c r="D483" s="36">
        <v>18.246200000000002</v>
      </c>
      <c r="E483" s="30">
        <v>0.53200000000000003</v>
      </c>
      <c r="F483" s="33">
        <f t="shared" si="15"/>
        <v>9.7069784000000006</v>
      </c>
      <c r="G483" s="44"/>
      <c r="H483" s="45"/>
      <c r="I483" s="149">
        <v>0</v>
      </c>
    </row>
    <row r="484" spans="1:9" ht="25.5" hidden="1" x14ac:dyDescent="0.25">
      <c r="A484" s="214"/>
      <c r="B484" s="35" t="s">
        <v>1146</v>
      </c>
      <c r="C484" s="35" t="s">
        <v>932</v>
      </c>
      <c r="D484" s="36">
        <v>0.48770000000000002</v>
      </c>
      <c r="E484" s="30">
        <v>20.234999999999999</v>
      </c>
      <c r="F484" s="33">
        <f t="shared" si="15"/>
        <v>9.8686094999999998</v>
      </c>
      <c r="G484" s="44"/>
      <c r="H484" s="45"/>
      <c r="I484" s="149">
        <v>0</v>
      </c>
    </row>
    <row r="485" spans="1:9" ht="25.5" hidden="1" x14ac:dyDescent="0.25">
      <c r="A485" s="214"/>
      <c r="B485" s="35" t="s">
        <v>1147</v>
      </c>
      <c r="C485" s="35" t="s">
        <v>934</v>
      </c>
      <c r="D485" s="36">
        <v>0.70430000000000004</v>
      </c>
      <c r="E485" s="30">
        <v>19.456</v>
      </c>
      <c r="F485" s="33">
        <f t="shared" si="15"/>
        <v>13.7028608</v>
      </c>
      <c r="G485" s="44"/>
      <c r="H485" s="45"/>
      <c r="I485" s="149">
        <v>0</v>
      </c>
    </row>
    <row r="486" spans="1:9" ht="38.25" hidden="1" x14ac:dyDescent="0.25">
      <c r="A486" s="214"/>
      <c r="B486" s="35" t="s">
        <v>1148</v>
      </c>
      <c r="C486" s="35" t="s">
        <v>891</v>
      </c>
      <c r="D486" s="36">
        <v>27.898800000000001</v>
      </c>
      <c r="E486" s="30">
        <v>16.921556750000001</v>
      </c>
      <c r="F486" s="33">
        <f t="shared" si="15"/>
        <v>472.09112745690004</v>
      </c>
      <c r="G486" s="44"/>
      <c r="H486" s="45"/>
      <c r="I486" s="149">
        <v>0</v>
      </c>
    </row>
    <row r="487" spans="1:9" ht="25.5" hidden="1" x14ac:dyDescent="0.25">
      <c r="A487" s="214"/>
      <c r="B487" s="35" t="s">
        <v>3198</v>
      </c>
      <c r="C487" s="46" t="s">
        <v>119</v>
      </c>
      <c r="D487" s="36">
        <v>1.2</v>
      </c>
      <c r="E487" s="30">
        <v>597.42904234839</v>
      </c>
      <c r="F487" s="33">
        <f t="shared" si="15"/>
        <v>716.91485081806798</v>
      </c>
      <c r="G487" s="44"/>
      <c r="H487" s="45"/>
      <c r="I487" s="149">
        <v>0</v>
      </c>
    </row>
    <row r="488" spans="1:9" hidden="1" x14ac:dyDescent="0.25">
      <c r="A488" s="214"/>
      <c r="B488" s="50"/>
      <c r="C488" s="129"/>
      <c r="D488" s="36"/>
      <c r="E488" s="30" t="s">
        <v>514</v>
      </c>
      <c r="F488" s="33" t="str">
        <f t="shared" ref="F488:F495" si="16">IF(ISNUMBER(E488),ROUND(E488*$D488,2),"")</f>
        <v/>
      </c>
      <c r="G488" s="44"/>
      <c r="H488" s="45"/>
      <c r="I488" s="149">
        <v>0</v>
      </c>
    </row>
    <row r="489" spans="1:9" ht="24.95" hidden="1" customHeight="1" x14ac:dyDescent="0.25">
      <c r="A489" s="214"/>
      <c r="B489" s="47" t="s">
        <v>747</v>
      </c>
      <c r="C489" s="129"/>
      <c r="D489" s="36"/>
      <c r="E489" s="30" t="s">
        <v>514</v>
      </c>
      <c r="F489" s="33" t="str">
        <f t="shared" si="16"/>
        <v/>
      </c>
      <c r="G489" s="44"/>
      <c r="H489" s="45"/>
      <c r="I489" s="149">
        <v>0</v>
      </c>
    </row>
    <row r="490" spans="1:9" ht="15.75" hidden="1" thickBot="1" x14ac:dyDescent="0.3">
      <c r="A490" s="217"/>
      <c r="B490" s="103"/>
      <c r="C490" s="79"/>
      <c r="D490" s="95"/>
      <c r="E490" s="66" t="s">
        <v>514</v>
      </c>
      <c r="F490" s="66" t="str">
        <f t="shared" si="16"/>
        <v/>
      </c>
      <c r="G490" s="68"/>
      <c r="H490" s="30"/>
      <c r="I490" s="149">
        <v>0</v>
      </c>
    </row>
    <row r="491" spans="1:9" ht="26.25" hidden="1" customHeight="1" x14ac:dyDescent="0.25">
      <c r="A491" s="216" t="s">
        <v>3672</v>
      </c>
      <c r="B491" s="40" t="s">
        <v>514</v>
      </c>
      <c r="C491" s="77" t="s">
        <v>119</v>
      </c>
      <c r="D491" s="93"/>
      <c r="E491" s="41" t="s">
        <v>514</v>
      </c>
      <c r="F491" s="41" t="str">
        <f t="shared" si="16"/>
        <v/>
      </c>
      <c r="G491" s="28"/>
      <c r="H491" s="29"/>
      <c r="I491" s="149">
        <v>0</v>
      </c>
    </row>
    <row r="492" spans="1:9" hidden="1" x14ac:dyDescent="0.25">
      <c r="A492" s="214"/>
      <c r="B492" s="31" t="s">
        <v>514</v>
      </c>
      <c r="C492" s="78"/>
      <c r="D492" s="91"/>
      <c r="E492" s="97" t="s">
        <v>514</v>
      </c>
      <c r="F492" s="98" t="str">
        <f t="shared" si="16"/>
        <v/>
      </c>
      <c r="G492" s="34"/>
      <c r="H492" s="30"/>
      <c r="I492" s="149">
        <v>0</v>
      </c>
    </row>
    <row r="493" spans="1:9" ht="25.5" hidden="1" x14ac:dyDescent="0.25">
      <c r="A493" s="214"/>
      <c r="B493" s="35" t="s">
        <v>749</v>
      </c>
      <c r="C493" s="49" t="s">
        <v>119</v>
      </c>
      <c r="D493" s="36">
        <v>1.1000000000000001</v>
      </c>
      <c r="E493" s="33">
        <v>174.5625</v>
      </c>
      <c r="F493" s="33">
        <f t="shared" si="16"/>
        <v>192.02</v>
      </c>
      <c r="G493" s="44">
        <f>SUM(F493:F501)</f>
        <v>392.66122816999996</v>
      </c>
      <c r="H493" s="45"/>
      <c r="I493" s="149">
        <v>0</v>
      </c>
    </row>
    <row r="494" spans="1:9" hidden="1" x14ac:dyDescent="0.25">
      <c r="A494" s="214"/>
      <c r="B494" s="35" t="s">
        <v>703</v>
      </c>
      <c r="C494" s="49" t="s">
        <v>695</v>
      </c>
      <c r="D494" s="36">
        <v>2.4937999999999998</v>
      </c>
      <c r="E494" s="30">
        <v>24.889999999999997</v>
      </c>
      <c r="F494" s="33">
        <f t="shared" si="16"/>
        <v>62.07</v>
      </c>
      <c r="G494" s="44"/>
      <c r="H494" s="45"/>
      <c r="I494" s="149">
        <v>0</v>
      </c>
    </row>
    <row r="495" spans="1:9" hidden="1" x14ac:dyDescent="0.25">
      <c r="A495" s="214"/>
      <c r="B495" s="35" t="s">
        <v>696</v>
      </c>
      <c r="C495" s="49" t="s">
        <v>695</v>
      </c>
      <c r="D495" s="36">
        <v>3.7406999999999999</v>
      </c>
      <c r="E495" s="30">
        <v>18.420500000000001</v>
      </c>
      <c r="F495" s="33">
        <f t="shared" si="16"/>
        <v>68.91</v>
      </c>
      <c r="G495" s="44"/>
      <c r="H495" s="45"/>
      <c r="I495" s="149">
        <v>0</v>
      </c>
    </row>
    <row r="496" spans="1:9" ht="38.25" hidden="1" x14ac:dyDescent="0.25">
      <c r="A496" s="214"/>
      <c r="B496" s="35" t="s">
        <v>931</v>
      </c>
      <c r="C496" s="35" t="s">
        <v>932</v>
      </c>
      <c r="D496" s="36">
        <v>7.1800000000000003E-2</v>
      </c>
      <c r="E496" s="30">
        <v>26.485999999999997</v>
      </c>
      <c r="F496" s="33">
        <f>IF(ISNUMBER(E496),E496*$D496,"")</f>
        <v>1.9016947999999998</v>
      </c>
      <c r="G496" s="44"/>
      <c r="H496" s="45"/>
      <c r="I496" s="149">
        <v>0</v>
      </c>
    </row>
    <row r="497" spans="1:9" ht="38.25" hidden="1" x14ac:dyDescent="0.25">
      <c r="A497" s="214"/>
      <c r="B497" s="35" t="s">
        <v>933</v>
      </c>
      <c r="C497" s="46" t="s">
        <v>934</v>
      </c>
      <c r="D497" s="36">
        <v>6.6600000000000006E-2</v>
      </c>
      <c r="E497" s="30">
        <v>20.225499999999997</v>
      </c>
      <c r="F497" s="33">
        <f>IF(ISNUMBER(E497),E497*$D497,"")</f>
        <v>1.3470183</v>
      </c>
      <c r="G497" s="44"/>
      <c r="H497" s="45"/>
      <c r="I497" s="149">
        <v>0</v>
      </c>
    </row>
    <row r="498" spans="1:9" ht="51" hidden="1" x14ac:dyDescent="0.25">
      <c r="A498" s="214"/>
      <c r="B498" s="35" t="s">
        <v>3507</v>
      </c>
      <c r="C498" s="35" t="s">
        <v>119</v>
      </c>
      <c r="D498" s="36">
        <f>ROUND(1*(D493),4)</f>
        <v>1.1000000000000001</v>
      </c>
      <c r="E498" s="30">
        <v>7.9145696999999986</v>
      </c>
      <c r="F498" s="33">
        <f>IF(ISNUMBER(E498),E498*$D498,"")</f>
        <v>8.70602667</v>
      </c>
      <c r="G498" s="44"/>
      <c r="H498" s="45"/>
      <c r="I498" s="149">
        <v>0</v>
      </c>
    </row>
    <row r="499" spans="1:9" ht="38.25" hidden="1" x14ac:dyDescent="0.25">
      <c r="A499" s="214"/>
      <c r="B499" s="35" t="s">
        <v>3504</v>
      </c>
      <c r="C499" s="46" t="s">
        <v>121</v>
      </c>
      <c r="D499" s="36">
        <f>ROUND(D493*20,4)</f>
        <v>22</v>
      </c>
      <c r="E499" s="30">
        <v>2.6230221999999994</v>
      </c>
      <c r="F499" s="33">
        <f>IF(ISNUMBER(E499),E499*$D499,"")</f>
        <v>57.706488399999984</v>
      </c>
      <c r="G499" s="44"/>
      <c r="H499" s="45"/>
      <c r="I499" s="149">
        <v>0</v>
      </c>
    </row>
    <row r="500" spans="1:9" hidden="1" x14ac:dyDescent="0.25">
      <c r="A500" s="214"/>
      <c r="B500" s="50"/>
      <c r="C500" s="129"/>
      <c r="D500" s="36"/>
      <c r="E500" s="30" t="s">
        <v>514</v>
      </c>
      <c r="F500" s="33" t="str">
        <f t="shared" ref="F500:F508" si="17">IF(ISNUMBER(E500),ROUND(E500*$D500,2),"")</f>
        <v/>
      </c>
      <c r="G500" s="44"/>
      <c r="H500" s="45"/>
      <c r="I500" s="149">
        <v>0</v>
      </c>
    </row>
    <row r="501" spans="1:9" ht="24.95" hidden="1" customHeight="1" x14ac:dyDescent="0.25">
      <c r="A501" s="214"/>
      <c r="B501" s="47" t="s">
        <v>747</v>
      </c>
      <c r="C501" s="129"/>
      <c r="D501" s="36"/>
      <c r="E501" s="30" t="s">
        <v>514</v>
      </c>
      <c r="F501" s="33" t="str">
        <f t="shared" si="17"/>
        <v/>
      </c>
      <c r="G501" s="44"/>
      <c r="H501" s="45"/>
      <c r="I501" s="149">
        <v>0</v>
      </c>
    </row>
    <row r="502" spans="1:9" ht="15.75" hidden="1" thickBot="1" x14ac:dyDescent="0.3">
      <c r="A502" s="217"/>
      <c r="B502" s="103"/>
      <c r="C502" s="79"/>
      <c r="D502" s="95"/>
      <c r="E502" s="66" t="s">
        <v>514</v>
      </c>
      <c r="F502" s="66" t="str">
        <f t="shared" si="17"/>
        <v/>
      </c>
      <c r="G502" s="68"/>
      <c r="H502" s="30"/>
      <c r="I502" s="149">
        <v>0</v>
      </c>
    </row>
    <row r="503" spans="1:9" ht="26.25" hidden="1" customHeight="1" x14ac:dyDescent="0.25">
      <c r="A503" s="216" t="s">
        <v>6592</v>
      </c>
      <c r="B503" s="40" t="s">
        <v>514</v>
      </c>
      <c r="C503" s="77" t="s">
        <v>119</v>
      </c>
      <c r="D503" s="93"/>
      <c r="E503" s="41" t="s">
        <v>514</v>
      </c>
      <c r="F503" s="41" t="str">
        <f t="shared" si="17"/>
        <v/>
      </c>
      <c r="G503" s="28"/>
      <c r="H503" s="29"/>
      <c r="I503" s="149">
        <v>0</v>
      </c>
    </row>
    <row r="504" spans="1:9" hidden="1" x14ac:dyDescent="0.25">
      <c r="A504" s="214"/>
      <c r="B504" s="31" t="s">
        <v>514</v>
      </c>
      <c r="C504" s="78"/>
      <c r="D504" s="91"/>
      <c r="E504" s="97" t="s">
        <v>514</v>
      </c>
      <c r="F504" s="98" t="str">
        <f t="shared" si="17"/>
        <v/>
      </c>
      <c r="G504" s="34"/>
      <c r="H504" s="30"/>
      <c r="I504" s="149">
        <v>0</v>
      </c>
    </row>
    <row r="505" spans="1:9" ht="25.5" hidden="1" x14ac:dyDescent="0.25">
      <c r="A505" s="214"/>
      <c r="B505" s="35" t="s">
        <v>744</v>
      </c>
      <c r="C505" s="49" t="s">
        <v>119</v>
      </c>
      <c r="D505" s="36">
        <v>0.85299999999999998</v>
      </c>
      <c r="E505" s="33">
        <v>185.66799999999998</v>
      </c>
      <c r="F505" s="33">
        <f t="shared" si="17"/>
        <v>158.37</v>
      </c>
      <c r="G505" s="44">
        <f>SUM(F505:F512)</f>
        <v>589.25980736637007</v>
      </c>
      <c r="H505" s="45"/>
      <c r="I505" s="149">
        <v>0</v>
      </c>
    </row>
    <row r="506" spans="1:9" hidden="1" x14ac:dyDescent="0.25">
      <c r="A506" s="214"/>
      <c r="B506" s="35" t="s">
        <v>740</v>
      </c>
      <c r="C506" s="49" t="s">
        <v>891</v>
      </c>
      <c r="D506" s="36">
        <v>218.93</v>
      </c>
      <c r="E506" s="33">
        <v>0.627</v>
      </c>
      <c r="F506" s="33">
        <f t="shared" si="17"/>
        <v>137.27000000000001</v>
      </c>
      <c r="G506" s="44"/>
      <c r="H506" s="45"/>
      <c r="I506" s="149">
        <v>0</v>
      </c>
    </row>
    <row r="507" spans="1:9" ht="25.5" hidden="1" x14ac:dyDescent="0.25">
      <c r="A507" s="214"/>
      <c r="B507" s="35" t="s">
        <v>752</v>
      </c>
      <c r="C507" s="49" t="s">
        <v>119</v>
      </c>
      <c r="D507" s="36">
        <v>0.59709999999999996</v>
      </c>
      <c r="E507" s="30">
        <v>151.202</v>
      </c>
      <c r="F507" s="33">
        <f t="shared" si="17"/>
        <v>90.28</v>
      </c>
      <c r="G507" s="44"/>
      <c r="H507" s="45"/>
      <c r="I507" s="149">
        <v>0</v>
      </c>
    </row>
    <row r="508" spans="1:9" hidden="1" x14ac:dyDescent="0.25">
      <c r="A508" s="214"/>
      <c r="B508" s="35" t="s">
        <v>696</v>
      </c>
      <c r="C508" s="49" t="s">
        <v>695</v>
      </c>
      <c r="D508" s="36">
        <v>6.2858000000000001</v>
      </c>
      <c r="E508" s="30">
        <v>18.420500000000001</v>
      </c>
      <c r="F508" s="33">
        <f t="shared" si="17"/>
        <v>115.79</v>
      </c>
      <c r="G508" s="44"/>
      <c r="H508" s="45"/>
      <c r="I508" s="149">
        <v>0</v>
      </c>
    </row>
    <row r="509" spans="1:9" ht="51" hidden="1" x14ac:dyDescent="0.25">
      <c r="A509" s="214"/>
      <c r="B509" s="35" t="s">
        <v>3507</v>
      </c>
      <c r="C509" s="35" t="s">
        <v>119</v>
      </c>
      <c r="D509" s="36">
        <f>ROUND(1*(D505+D507),4)</f>
        <v>1.4500999999999999</v>
      </c>
      <c r="E509" s="30">
        <v>7.9145696999999986</v>
      </c>
      <c r="F509" s="33">
        <f>IF(ISNUMBER(E509),E509*$D509,"")</f>
        <v>11.476917521969998</v>
      </c>
      <c r="G509" s="44"/>
      <c r="H509" s="45"/>
      <c r="I509" s="149">
        <v>0</v>
      </c>
    </row>
    <row r="510" spans="1:9" ht="38.25" hidden="1" x14ac:dyDescent="0.25">
      <c r="A510" s="214"/>
      <c r="B510" s="35" t="s">
        <v>3504</v>
      </c>
      <c r="C510" s="46" t="s">
        <v>121</v>
      </c>
      <c r="D510" s="36">
        <f>ROUND((D505+D507)*20,4)</f>
        <v>29.001999999999999</v>
      </c>
      <c r="E510" s="30">
        <v>2.6230221999999994</v>
      </c>
      <c r="F510" s="33">
        <f>IF(ISNUMBER(E510),E510*$D510,"")</f>
        <v>76.072889844399981</v>
      </c>
      <c r="G510" s="44"/>
      <c r="H510" s="45"/>
      <c r="I510" s="149">
        <v>0</v>
      </c>
    </row>
    <row r="511" spans="1:9" hidden="1" x14ac:dyDescent="0.25">
      <c r="A511" s="214"/>
      <c r="B511" s="50"/>
      <c r="C511" s="129"/>
      <c r="D511" s="36"/>
      <c r="E511" s="30" t="s">
        <v>514</v>
      </c>
      <c r="F511" s="33" t="str">
        <f t="shared" ref="F511:F543" si="18">IF(ISNUMBER(E511),ROUND(E511*$D511,2),"")</f>
        <v/>
      </c>
      <c r="G511" s="44"/>
      <c r="H511" s="45"/>
      <c r="I511" s="149">
        <v>0</v>
      </c>
    </row>
    <row r="512" spans="1:9" ht="24.95" hidden="1" customHeight="1" x14ac:dyDescent="0.25">
      <c r="A512" s="214"/>
      <c r="B512" s="47" t="s">
        <v>122</v>
      </c>
      <c r="C512" s="129"/>
      <c r="D512" s="36"/>
      <c r="E512" s="30" t="s">
        <v>514</v>
      </c>
      <c r="F512" s="33" t="str">
        <f t="shared" si="18"/>
        <v/>
      </c>
      <c r="G512" s="44"/>
      <c r="H512" s="45"/>
      <c r="I512" s="149">
        <v>0</v>
      </c>
    </row>
    <row r="513" spans="1:9" ht="15.75" hidden="1" thickBot="1" x14ac:dyDescent="0.3">
      <c r="A513" s="217"/>
      <c r="B513" s="103"/>
      <c r="C513" s="79"/>
      <c r="D513" s="95"/>
      <c r="E513" s="66" t="s">
        <v>514</v>
      </c>
      <c r="F513" s="66" t="str">
        <f t="shared" si="18"/>
        <v/>
      </c>
      <c r="G513" s="68"/>
      <c r="H513" s="30"/>
      <c r="I513" s="149">
        <v>0</v>
      </c>
    </row>
    <row r="514" spans="1:9" ht="26.25" hidden="1" customHeight="1" x14ac:dyDescent="0.25">
      <c r="A514" s="216" t="s">
        <v>3214</v>
      </c>
      <c r="B514" s="40" t="s">
        <v>514</v>
      </c>
      <c r="C514" s="77" t="s">
        <v>278</v>
      </c>
      <c r="D514" s="93"/>
      <c r="E514" s="41" t="s">
        <v>514</v>
      </c>
      <c r="F514" s="41" t="str">
        <f t="shared" si="18"/>
        <v/>
      </c>
      <c r="G514" s="28"/>
      <c r="H514" s="29"/>
      <c r="I514" s="149">
        <v>0</v>
      </c>
    </row>
    <row r="515" spans="1:9" hidden="1" x14ac:dyDescent="0.25">
      <c r="A515" s="214"/>
      <c r="B515" s="31" t="s">
        <v>514</v>
      </c>
      <c r="C515" s="78"/>
      <c r="D515" s="91"/>
      <c r="E515" s="97" t="s">
        <v>514</v>
      </c>
      <c r="F515" s="98" t="str">
        <f t="shared" si="18"/>
        <v/>
      </c>
      <c r="G515" s="34"/>
      <c r="H515" s="30"/>
      <c r="I515" s="149">
        <v>0</v>
      </c>
    </row>
    <row r="516" spans="1:9" hidden="1" x14ac:dyDescent="0.25">
      <c r="A516" s="214"/>
      <c r="B516" s="35" t="s">
        <v>1356</v>
      </c>
      <c r="C516" s="49" t="s">
        <v>891</v>
      </c>
      <c r="D516" s="36">
        <v>3.3999999999999998E-3</v>
      </c>
      <c r="E516" s="33">
        <v>22.628999999999998</v>
      </c>
      <c r="F516" s="33">
        <f t="shared" si="18"/>
        <v>0.08</v>
      </c>
      <c r="G516" s="44">
        <f>SUM(F516:F518)</f>
        <v>2.2999999999999998</v>
      </c>
      <c r="H516" s="45"/>
      <c r="I516" s="149">
        <v>0</v>
      </c>
    </row>
    <row r="517" spans="1:9" hidden="1" x14ac:dyDescent="0.25">
      <c r="A517" s="214"/>
      <c r="B517" s="35" t="s">
        <v>778</v>
      </c>
      <c r="C517" s="49" t="s">
        <v>695</v>
      </c>
      <c r="D517" s="36">
        <v>3.2300000000000002E-2</v>
      </c>
      <c r="E517" s="33">
        <v>19.494</v>
      </c>
      <c r="F517" s="33">
        <f t="shared" si="18"/>
        <v>0.63</v>
      </c>
      <c r="G517" s="44"/>
      <c r="H517" s="45"/>
      <c r="I517" s="149">
        <v>0</v>
      </c>
    </row>
    <row r="518" spans="1:9" hidden="1" x14ac:dyDescent="0.25">
      <c r="A518" s="214"/>
      <c r="B518" s="35" t="s">
        <v>983</v>
      </c>
      <c r="C518" s="49" t="s">
        <v>695</v>
      </c>
      <c r="D518" s="36">
        <v>6.4500000000000002E-2</v>
      </c>
      <c r="E518" s="30">
        <v>24.633499999999998</v>
      </c>
      <c r="F518" s="33">
        <f t="shared" si="18"/>
        <v>1.59</v>
      </c>
      <c r="G518" s="44"/>
      <c r="H518" s="45"/>
      <c r="I518" s="149">
        <v>0</v>
      </c>
    </row>
    <row r="519" spans="1:9" ht="15.75" hidden="1" thickBot="1" x14ac:dyDescent="0.3">
      <c r="A519" s="217"/>
      <c r="B519" s="103"/>
      <c r="C519" s="79"/>
      <c r="D519" s="95"/>
      <c r="E519" s="66" t="s">
        <v>514</v>
      </c>
      <c r="F519" s="66" t="str">
        <f t="shared" si="18"/>
        <v/>
      </c>
      <c r="G519" s="68"/>
      <c r="H519" s="30"/>
      <c r="I519" s="149">
        <v>0</v>
      </c>
    </row>
    <row r="520" spans="1:9" ht="26.25" hidden="1" customHeight="1" x14ac:dyDescent="0.25">
      <c r="A520" s="216" t="s">
        <v>6682</v>
      </c>
      <c r="B520" s="40" t="s">
        <v>514</v>
      </c>
      <c r="C520" s="77" t="s">
        <v>119</v>
      </c>
      <c r="D520" s="93"/>
      <c r="E520" s="41" t="s">
        <v>514</v>
      </c>
      <c r="F520" s="41" t="str">
        <f t="shared" si="18"/>
        <v/>
      </c>
      <c r="G520" s="28"/>
      <c r="H520" s="29"/>
      <c r="I520" s="149">
        <v>0</v>
      </c>
    </row>
    <row r="521" spans="1:9" hidden="1" x14ac:dyDescent="0.25">
      <c r="A521" s="214"/>
      <c r="B521" s="31" t="s">
        <v>514</v>
      </c>
      <c r="C521" s="78"/>
      <c r="D521" s="91"/>
      <c r="E521" s="97" t="s">
        <v>514</v>
      </c>
      <c r="F521" s="98" t="str">
        <f t="shared" si="18"/>
        <v/>
      </c>
      <c r="G521" s="34"/>
      <c r="H521" s="30"/>
      <c r="I521" s="149">
        <v>0</v>
      </c>
    </row>
    <row r="522" spans="1:9" hidden="1" x14ac:dyDescent="0.25">
      <c r="A522" s="214"/>
      <c r="B522" s="35" t="s">
        <v>703</v>
      </c>
      <c r="C522" s="49" t="s">
        <v>695</v>
      </c>
      <c r="D522" s="36">
        <v>8.2972999999999999</v>
      </c>
      <c r="E522" s="33">
        <v>24.889999999999997</v>
      </c>
      <c r="F522" s="33">
        <f t="shared" si="18"/>
        <v>206.52</v>
      </c>
      <c r="G522" s="44">
        <f>SUM(F522:F524)</f>
        <v>1095.06</v>
      </c>
      <c r="H522" s="45"/>
      <c r="I522" s="149">
        <v>0</v>
      </c>
    </row>
    <row r="523" spans="1:9" hidden="1" x14ac:dyDescent="0.25">
      <c r="A523" s="214"/>
      <c r="B523" s="35" t="s">
        <v>696</v>
      </c>
      <c r="C523" s="49" t="s">
        <v>695</v>
      </c>
      <c r="D523" s="36">
        <v>5.5315000000000003</v>
      </c>
      <c r="E523" s="33">
        <v>18.420500000000001</v>
      </c>
      <c r="F523" s="33">
        <f t="shared" si="18"/>
        <v>101.89</v>
      </c>
      <c r="G523" s="44"/>
      <c r="H523" s="45"/>
      <c r="I523" s="149">
        <v>0</v>
      </c>
    </row>
    <row r="524" spans="1:9" ht="38.25" hidden="1" x14ac:dyDescent="0.25">
      <c r="A524" s="214"/>
      <c r="B524" s="35" t="s">
        <v>6684</v>
      </c>
      <c r="C524" s="49" t="s">
        <v>119</v>
      </c>
      <c r="D524" s="36">
        <v>1.2030000000000001</v>
      </c>
      <c r="E524" s="30">
        <v>653.90492044207986</v>
      </c>
      <c r="F524" s="33">
        <f t="shared" si="18"/>
        <v>786.65</v>
      </c>
      <c r="G524" s="44"/>
      <c r="H524" s="45"/>
      <c r="I524" s="149">
        <v>0</v>
      </c>
    </row>
    <row r="525" spans="1:9" ht="15.75" hidden="1" thickBot="1" x14ac:dyDescent="0.3">
      <c r="A525" s="217"/>
      <c r="B525" s="103"/>
      <c r="C525" s="79"/>
      <c r="D525" s="95"/>
      <c r="E525" s="66" t="s">
        <v>514</v>
      </c>
      <c r="F525" s="66" t="str">
        <f t="shared" si="18"/>
        <v/>
      </c>
      <c r="G525" s="68"/>
      <c r="H525" s="30"/>
      <c r="I525" s="149">
        <v>0</v>
      </c>
    </row>
    <row r="526" spans="1:9" ht="26.25" hidden="1" customHeight="1" x14ac:dyDescent="0.25">
      <c r="A526" s="216" t="s">
        <v>6683</v>
      </c>
      <c r="B526" s="40" t="s">
        <v>514</v>
      </c>
      <c r="C526" s="77" t="s">
        <v>119</v>
      </c>
      <c r="D526" s="93"/>
      <c r="E526" s="41" t="s">
        <v>514</v>
      </c>
      <c r="F526" s="41" t="str">
        <f t="shared" si="18"/>
        <v/>
      </c>
      <c r="G526" s="28"/>
      <c r="H526" s="29"/>
      <c r="I526" s="149">
        <v>0</v>
      </c>
    </row>
    <row r="527" spans="1:9" hidden="1" x14ac:dyDescent="0.25">
      <c r="A527" s="214"/>
      <c r="B527" s="31" t="s">
        <v>514</v>
      </c>
      <c r="C527" s="78"/>
      <c r="D527" s="91"/>
      <c r="E527" s="97" t="s">
        <v>514</v>
      </c>
      <c r="F527" s="98" t="str">
        <f t="shared" si="18"/>
        <v/>
      </c>
      <c r="G527" s="34"/>
      <c r="H527" s="30"/>
      <c r="I527" s="149">
        <v>0</v>
      </c>
    </row>
    <row r="528" spans="1:9" hidden="1" x14ac:dyDescent="0.25">
      <c r="A528" s="214"/>
      <c r="B528" s="35" t="s">
        <v>703</v>
      </c>
      <c r="C528" s="49" t="s">
        <v>695</v>
      </c>
      <c r="D528" s="36">
        <v>7.4147999999999996</v>
      </c>
      <c r="E528" s="33">
        <v>24.889999999999997</v>
      </c>
      <c r="F528" s="33">
        <f t="shared" si="18"/>
        <v>184.55</v>
      </c>
      <c r="G528" s="44">
        <f>SUM(F528:F530)</f>
        <v>1062.26</v>
      </c>
      <c r="H528" s="45"/>
      <c r="I528" s="149">
        <v>0</v>
      </c>
    </row>
    <row r="529" spans="1:9" hidden="1" x14ac:dyDescent="0.25">
      <c r="A529" s="214"/>
      <c r="B529" s="35" t="s">
        <v>696</v>
      </c>
      <c r="C529" s="49" t="s">
        <v>695</v>
      </c>
      <c r="D529" s="36">
        <v>4.9432</v>
      </c>
      <c r="E529" s="33">
        <v>18.420500000000001</v>
      </c>
      <c r="F529" s="33">
        <f t="shared" si="18"/>
        <v>91.06</v>
      </c>
      <c r="G529" s="44"/>
      <c r="H529" s="45"/>
      <c r="I529" s="149">
        <v>0</v>
      </c>
    </row>
    <row r="530" spans="1:9" ht="38.25" hidden="1" x14ac:dyDescent="0.25">
      <c r="A530" s="214"/>
      <c r="B530" s="35" t="s">
        <v>6684</v>
      </c>
      <c r="C530" s="49" t="s">
        <v>119</v>
      </c>
      <c r="D530" s="36">
        <v>1.2030000000000001</v>
      </c>
      <c r="E530" s="30">
        <v>653.90492044207986</v>
      </c>
      <c r="F530" s="33">
        <f t="shared" si="18"/>
        <v>786.65</v>
      </c>
      <c r="G530" s="44"/>
      <c r="H530" s="45"/>
      <c r="I530" s="149">
        <v>0</v>
      </c>
    </row>
    <row r="531" spans="1:9" ht="15.75" hidden="1" thickBot="1" x14ac:dyDescent="0.3">
      <c r="A531" s="217"/>
      <c r="B531" s="103"/>
      <c r="C531" s="79"/>
      <c r="D531" s="95"/>
      <c r="E531" s="66" t="s">
        <v>514</v>
      </c>
      <c r="F531" s="66" t="str">
        <f t="shared" si="18"/>
        <v/>
      </c>
      <c r="G531" s="68"/>
      <c r="H531" s="30"/>
      <c r="I531" s="149">
        <v>0</v>
      </c>
    </row>
    <row r="532" spans="1:9" ht="26.25" hidden="1" customHeight="1" x14ac:dyDescent="0.25">
      <c r="A532" s="216" t="s">
        <v>6679</v>
      </c>
      <c r="B532" s="40" t="s">
        <v>514</v>
      </c>
      <c r="C532" s="77" t="s">
        <v>891</v>
      </c>
      <c r="D532" s="93"/>
      <c r="E532" s="41" t="s">
        <v>514</v>
      </c>
      <c r="F532" s="41" t="str">
        <f t="shared" si="18"/>
        <v/>
      </c>
      <c r="G532" s="28"/>
      <c r="H532" s="29"/>
      <c r="I532" s="149">
        <v>0</v>
      </c>
    </row>
    <row r="533" spans="1:9" hidden="1" x14ac:dyDescent="0.25">
      <c r="A533" s="214"/>
      <c r="B533" s="31" t="s">
        <v>514</v>
      </c>
      <c r="C533" s="78"/>
      <c r="D533" s="91"/>
      <c r="E533" s="97" t="s">
        <v>514</v>
      </c>
      <c r="F533" s="98" t="str">
        <f t="shared" si="18"/>
        <v/>
      </c>
      <c r="G533" s="34"/>
      <c r="H533" s="30"/>
      <c r="I533" s="149">
        <v>0</v>
      </c>
    </row>
    <row r="534" spans="1:9" hidden="1" x14ac:dyDescent="0.25">
      <c r="A534" s="214"/>
      <c r="B534" s="35" t="s">
        <v>763</v>
      </c>
      <c r="C534" s="49" t="s">
        <v>891</v>
      </c>
      <c r="D534" s="36">
        <v>1</v>
      </c>
      <c r="E534" s="33">
        <v>10.164999999999999</v>
      </c>
      <c r="F534" s="33">
        <f t="shared" si="18"/>
        <v>10.17</v>
      </c>
      <c r="G534" s="44">
        <f>SUM(F534:F536)</f>
        <v>12.55</v>
      </c>
      <c r="H534" s="45"/>
      <c r="I534" s="149">
        <v>0</v>
      </c>
    </row>
    <row r="535" spans="1:9" hidden="1" x14ac:dyDescent="0.25">
      <c r="A535" s="214"/>
      <c r="B535" s="35" t="s">
        <v>703</v>
      </c>
      <c r="C535" s="49" t="s">
        <v>695</v>
      </c>
      <c r="D535" s="36">
        <v>6.2700000000000006E-2</v>
      </c>
      <c r="E535" s="33">
        <v>24.889999999999997</v>
      </c>
      <c r="F535" s="33">
        <f t="shared" si="18"/>
        <v>1.56</v>
      </c>
      <c r="G535" s="44"/>
      <c r="H535" s="45"/>
      <c r="I535" s="149">
        <v>0</v>
      </c>
    </row>
    <row r="536" spans="1:9" hidden="1" x14ac:dyDescent="0.25">
      <c r="A536" s="214"/>
      <c r="B536" s="35" t="s">
        <v>696</v>
      </c>
      <c r="C536" s="49" t="s">
        <v>695</v>
      </c>
      <c r="D536" s="36">
        <v>4.4299999999999999E-2</v>
      </c>
      <c r="E536" s="30">
        <v>18.420500000000001</v>
      </c>
      <c r="F536" s="33">
        <f t="shared" si="18"/>
        <v>0.82</v>
      </c>
      <c r="G536" s="44"/>
      <c r="H536" s="45"/>
      <c r="I536" s="149">
        <v>0</v>
      </c>
    </row>
    <row r="537" spans="1:9" ht="15.75" hidden="1" thickBot="1" x14ac:dyDescent="0.3">
      <c r="A537" s="217"/>
      <c r="B537" s="103"/>
      <c r="C537" s="79"/>
      <c r="D537" s="95"/>
      <c r="E537" s="66" t="s">
        <v>514</v>
      </c>
      <c r="F537" s="66" t="str">
        <f t="shared" si="18"/>
        <v/>
      </c>
      <c r="G537" s="68"/>
      <c r="H537" s="30"/>
      <c r="I537" s="149">
        <v>0</v>
      </c>
    </row>
    <row r="538" spans="1:9" ht="26.25" hidden="1" customHeight="1" x14ac:dyDescent="0.25">
      <c r="A538" s="216" t="s">
        <v>6680</v>
      </c>
      <c r="B538" s="40" t="s">
        <v>514</v>
      </c>
      <c r="C538" s="77" t="s">
        <v>891</v>
      </c>
      <c r="D538" s="93"/>
      <c r="E538" s="41" t="s">
        <v>514</v>
      </c>
      <c r="F538" s="41" t="str">
        <f t="shared" si="18"/>
        <v/>
      </c>
      <c r="G538" s="28"/>
      <c r="H538" s="29"/>
      <c r="I538" s="149">
        <v>0</v>
      </c>
    </row>
    <row r="539" spans="1:9" hidden="1" x14ac:dyDescent="0.25">
      <c r="A539" s="214"/>
      <c r="B539" s="31" t="s">
        <v>514</v>
      </c>
      <c r="C539" s="78"/>
      <c r="D539" s="91"/>
      <c r="E539" s="97" t="s">
        <v>514</v>
      </c>
      <c r="F539" s="98" t="str">
        <f t="shared" si="18"/>
        <v/>
      </c>
      <c r="G539" s="34"/>
      <c r="H539" s="30"/>
      <c r="I539" s="149">
        <v>0</v>
      </c>
    </row>
    <row r="540" spans="1:9" hidden="1" x14ac:dyDescent="0.25">
      <c r="A540" s="214"/>
      <c r="B540" s="35" t="s">
        <v>763</v>
      </c>
      <c r="C540" s="49" t="s">
        <v>891</v>
      </c>
      <c r="D540" s="36">
        <v>1</v>
      </c>
      <c r="E540" s="33">
        <v>10.164999999999999</v>
      </c>
      <c r="F540" s="33">
        <f t="shared" si="18"/>
        <v>10.17</v>
      </c>
      <c r="G540" s="44">
        <f>SUM(F540:F542)</f>
        <v>12.030000000000001</v>
      </c>
      <c r="H540" s="45"/>
      <c r="I540" s="149">
        <v>0</v>
      </c>
    </row>
    <row r="541" spans="1:9" hidden="1" x14ac:dyDescent="0.25">
      <c r="A541" s="214"/>
      <c r="B541" s="35" t="s">
        <v>703</v>
      </c>
      <c r="C541" s="49" t="s">
        <v>695</v>
      </c>
      <c r="D541" s="36">
        <v>4.9200000000000001E-2</v>
      </c>
      <c r="E541" s="33">
        <v>24.889999999999997</v>
      </c>
      <c r="F541" s="33">
        <f t="shared" si="18"/>
        <v>1.22</v>
      </c>
      <c r="G541" s="44"/>
      <c r="H541" s="45"/>
      <c r="I541" s="149">
        <v>0</v>
      </c>
    </row>
    <row r="542" spans="1:9" hidden="1" x14ac:dyDescent="0.25">
      <c r="A542" s="214"/>
      <c r="B542" s="35" t="s">
        <v>696</v>
      </c>
      <c r="C542" s="49" t="s">
        <v>695</v>
      </c>
      <c r="D542" s="36">
        <v>3.4799999999999998E-2</v>
      </c>
      <c r="E542" s="30">
        <v>18.420500000000001</v>
      </c>
      <c r="F542" s="33">
        <f t="shared" si="18"/>
        <v>0.64</v>
      </c>
      <c r="G542" s="44"/>
      <c r="H542" s="45"/>
      <c r="I542" s="149">
        <v>0</v>
      </c>
    </row>
    <row r="543" spans="1:9" ht="15.75" hidden="1" thickBot="1" x14ac:dyDescent="0.3">
      <c r="A543" s="217"/>
      <c r="B543" s="103"/>
      <c r="C543" s="79"/>
      <c r="D543" s="95"/>
      <c r="E543" s="66" t="s">
        <v>514</v>
      </c>
      <c r="F543" s="66" t="str">
        <f t="shared" si="18"/>
        <v/>
      </c>
      <c r="G543" s="68"/>
      <c r="H543" s="30"/>
      <c r="I543" s="149">
        <v>0</v>
      </c>
    </row>
    <row r="544" spans="1:9" ht="27" hidden="1" customHeight="1" x14ac:dyDescent="0.25">
      <c r="A544" s="216" t="s">
        <v>3671</v>
      </c>
      <c r="B544" s="40" t="s">
        <v>514</v>
      </c>
      <c r="C544" s="25" t="s">
        <v>982</v>
      </c>
      <c r="D544" s="93"/>
      <c r="E544" s="27" t="s">
        <v>514</v>
      </c>
      <c r="F544" s="27" t="str">
        <f t="shared" ref="F544:F550" si="19">IF(ISNUMBER(E544),E544*$D544,"")</f>
        <v/>
      </c>
      <c r="G544" s="28"/>
      <c r="H544" s="29"/>
      <c r="I544" s="149">
        <v>0</v>
      </c>
    </row>
    <row r="545" spans="1:9" hidden="1" x14ac:dyDescent="0.25">
      <c r="A545" s="214"/>
      <c r="B545" s="31" t="s">
        <v>514</v>
      </c>
      <c r="C545" s="31"/>
      <c r="D545" s="91"/>
      <c r="E545" s="30" t="s">
        <v>514</v>
      </c>
      <c r="F545" s="30" t="str">
        <f t="shared" si="19"/>
        <v/>
      </c>
      <c r="G545" s="34"/>
      <c r="H545" s="30"/>
      <c r="I545" s="149">
        <v>0</v>
      </c>
    </row>
    <row r="546" spans="1:9" hidden="1" x14ac:dyDescent="0.25">
      <c r="A546" s="214"/>
      <c r="B546" s="35" t="s">
        <v>703</v>
      </c>
      <c r="C546" s="35" t="s">
        <v>695</v>
      </c>
      <c r="D546" s="36">
        <v>5.0700000000000002E-2</v>
      </c>
      <c r="E546" s="30">
        <v>24.889999999999997</v>
      </c>
      <c r="F546" s="33">
        <f t="shared" si="19"/>
        <v>1.2619229999999999</v>
      </c>
      <c r="G546" s="44">
        <f>SUM(F546:F549)</f>
        <v>2.7366194000000004</v>
      </c>
      <c r="H546" s="45"/>
      <c r="I546" s="149">
        <v>0</v>
      </c>
    </row>
    <row r="547" spans="1:9" hidden="1" x14ac:dyDescent="0.25">
      <c r="A547" s="214"/>
      <c r="B547" s="35" t="s">
        <v>696</v>
      </c>
      <c r="C547" s="35" t="s">
        <v>695</v>
      </c>
      <c r="D547" s="36">
        <v>7.5999999999999998E-2</v>
      </c>
      <c r="E547" s="33">
        <v>18.420500000000001</v>
      </c>
      <c r="F547" s="33">
        <f t="shared" si="19"/>
        <v>1.399958</v>
      </c>
      <c r="G547" s="44"/>
      <c r="H547" s="45"/>
      <c r="I547" s="149">
        <v>0</v>
      </c>
    </row>
    <row r="548" spans="1:9" ht="38.25" hidden="1" x14ac:dyDescent="0.25">
      <c r="A548" s="214"/>
      <c r="B548" s="35" t="s">
        <v>931</v>
      </c>
      <c r="C548" s="35" t="s">
        <v>932</v>
      </c>
      <c r="D548" s="36">
        <v>1.6000000000000001E-3</v>
      </c>
      <c r="E548" s="30">
        <v>26.485999999999997</v>
      </c>
      <c r="F548" s="33">
        <f t="shared" si="19"/>
        <v>4.2377599999999994E-2</v>
      </c>
      <c r="G548" s="44"/>
      <c r="H548" s="45"/>
      <c r="I548" s="149">
        <v>0</v>
      </c>
    </row>
    <row r="549" spans="1:9" ht="38.25" hidden="1" x14ac:dyDescent="0.25">
      <c r="A549" s="214"/>
      <c r="B549" s="35" t="s">
        <v>933</v>
      </c>
      <c r="C549" s="35" t="s">
        <v>934</v>
      </c>
      <c r="D549" s="36">
        <v>1.6000000000000001E-3</v>
      </c>
      <c r="E549" s="30">
        <v>20.225499999999997</v>
      </c>
      <c r="F549" s="33">
        <f t="shared" si="19"/>
        <v>3.2360799999999995E-2</v>
      </c>
      <c r="G549" s="44"/>
      <c r="H549" s="45"/>
      <c r="I549" s="149">
        <v>0</v>
      </c>
    </row>
    <row r="550" spans="1:9" ht="15.75" hidden="1" thickBot="1" x14ac:dyDescent="0.3">
      <c r="A550" s="217"/>
      <c r="B550" s="54" t="s">
        <v>514</v>
      </c>
      <c r="C550" s="54"/>
      <c r="D550" s="95"/>
      <c r="E550" s="66" t="s">
        <v>514</v>
      </c>
      <c r="F550" s="67" t="str">
        <f t="shared" si="19"/>
        <v/>
      </c>
      <c r="G550" s="68"/>
      <c r="H550" s="30"/>
      <c r="I550" s="149">
        <v>0</v>
      </c>
    </row>
    <row r="551" spans="1:9" ht="26.25" hidden="1" customHeight="1" x14ac:dyDescent="0.25">
      <c r="A551" s="216" t="s">
        <v>3208</v>
      </c>
      <c r="B551" s="40" t="s">
        <v>514</v>
      </c>
      <c r="C551" s="77" t="s">
        <v>119</v>
      </c>
      <c r="D551" s="93"/>
      <c r="E551" s="41" t="s">
        <v>514</v>
      </c>
      <c r="F551" s="41" t="str">
        <f>IF(ISNUMBER(E551),ROUND(E551*$D551,2),"")</f>
        <v/>
      </c>
      <c r="G551" s="28"/>
      <c r="H551" s="29"/>
      <c r="I551" s="149">
        <v>0</v>
      </c>
    </row>
    <row r="552" spans="1:9" hidden="1" x14ac:dyDescent="0.25">
      <c r="A552" s="214"/>
      <c r="B552" s="31" t="s">
        <v>514</v>
      </c>
      <c r="C552" s="78"/>
      <c r="D552" s="91"/>
      <c r="E552" s="97" t="s">
        <v>514</v>
      </c>
      <c r="F552" s="98" t="str">
        <f>IF(ISNUMBER(E552),ROUND(E552*$D552,2),"")</f>
        <v/>
      </c>
      <c r="G552" s="34"/>
      <c r="H552" s="30"/>
      <c r="I552" s="149">
        <v>0</v>
      </c>
    </row>
    <row r="553" spans="1:9" ht="25.5" hidden="1" x14ac:dyDescent="0.25">
      <c r="A553" s="214"/>
      <c r="B553" s="35" t="s">
        <v>744</v>
      </c>
      <c r="C553" s="49" t="s">
        <v>119</v>
      </c>
      <c r="D553" s="36">
        <v>1.17</v>
      </c>
      <c r="E553" s="33">
        <v>185.66799999999998</v>
      </c>
      <c r="F553" s="33">
        <f>IF(ISNUMBER(E553),ROUND(E553*$D553,2),"")</f>
        <v>217.23</v>
      </c>
      <c r="G553" s="44">
        <f>SUM(F553:F562)</f>
        <v>685.57934602900002</v>
      </c>
      <c r="H553" s="45"/>
      <c r="I553" s="149">
        <v>0</v>
      </c>
    </row>
    <row r="554" spans="1:9" hidden="1" x14ac:dyDescent="0.25">
      <c r="A554" s="214"/>
      <c r="B554" s="35" t="s">
        <v>1429</v>
      </c>
      <c r="C554" s="49" t="s">
        <v>891</v>
      </c>
      <c r="D554" s="36">
        <v>117.22</v>
      </c>
      <c r="E554" s="30">
        <v>1.1399999999999999</v>
      </c>
      <c r="F554" s="33">
        <f>IF(ISNUMBER(E554),ROUND(E554*$D554,2),"")</f>
        <v>133.63</v>
      </c>
      <c r="G554" s="44"/>
      <c r="H554" s="45"/>
      <c r="I554" s="149">
        <v>0</v>
      </c>
    </row>
    <row r="555" spans="1:9" hidden="1" x14ac:dyDescent="0.25">
      <c r="A555" s="214"/>
      <c r="B555" s="35" t="s">
        <v>740</v>
      </c>
      <c r="C555" s="49" t="s">
        <v>891</v>
      </c>
      <c r="D555" s="36">
        <v>263.74</v>
      </c>
      <c r="E555" s="30">
        <v>0.627</v>
      </c>
      <c r="F555" s="33">
        <f>IF(ISNUMBER(E555),ROUND(E555*$D555,2),"")</f>
        <v>165.36</v>
      </c>
      <c r="G555" s="44"/>
      <c r="H555" s="45"/>
      <c r="I555" s="149">
        <v>0</v>
      </c>
    </row>
    <row r="556" spans="1:9" ht="25.5" hidden="1" x14ac:dyDescent="0.25">
      <c r="A556" s="214"/>
      <c r="B556" s="35" t="s">
        <v>1427</v>
      </c>
      <c r="C556" s="35" t="s">
        <v>695</v>
      </c>
      <c r="D556" s="36">
        <v>5.16</v>
      </c>
      <c r="E556" s="30">
        <v>18.534500000000001</v>
      </c>
      <c r="F556" s="33">
        <f>IF(ISNUMBER(E556),E556*$D556,"")</f>
        <v>95.638020000000012</v>
      </c>
      <c r="G556" s="44"/>
      <c r="H556" s="45"/>
      <c r="I556" s="149">
        <v>0</v>
      </c>
    </row>
    <row r="557" spans="1:9" ht="38.25" hidden="1" x14ac:dyDescent="0.25">
      <c r="A557" s="214"/>
      <c r="B557" s="35" t="s">
        <v>116</v>
      </c>
      <c r="C557" s="46" t="s">
        <v>932</v>
      </c>
      <c r="D557" s="36">
        <v>1.2</v>
      </c>
      <c r="E557" s="30">
        <v>1.3774999999999999</v>
      </c>
      <c r="F557" s="33">
        <f>IF(ISNUMBER(E557),E557*$D557,"")</f>
        <v>1.6529999999999998</v>
      </c>
      <c r="G557" s="44"/>
      <c r="H557" s="45"/>
      <c r="I557" s="149">
        <v>0</v>
      </c>
    </row>
    <row r="558" spans="1:9" ht="38.25" hidden="1" x14ac:dyDescent="0.25">
      <c r="A558" s="214"/>
      <c r="B558" s="35" t="s">
        <v>117</v>
      </c>
      <c r="C558" s="46" t="s">
        <v>934</v>
      </c>
      <c r="D558" s="36">
        <v>3.96</v>
      </c>
      <c r="E558" s="30">
        <v>0.36099999999999999</v>
      </c>
      <c r="F558" s="33">
        <f>IF(ISNUMBER(E558),E558*$D558,"")</f>
        <v>1.4295599999999999</v>
      </c>
      <c r="G558" s="44"/>
      <c r="H558" s="45"/>
      <c r="I558" s="149">
        <v>0</v>
      </c>
    </row>
    <row r="559" spans="1:9" ht="51" hidden="1" x14ac:dyDescent="0.25">
      <c r="A559" s="214"/>
      <c r="B559" s="35" t="s">
        <v>3507</v>
      </c>
      <c r="C559" s="35" t="s">
        <v>119</v>
      </c>
      <c r="D559" s="36">
        <f>ROUND(1*(D553),4)</f>
        <v>1.17</v>
      </c>
      <c r="E559" s="30">
        <v>7.9145696999999986</v>
      </c>
      <c r="F559" s="33">
        <f>IF(ISNUMBER(E559),E559*$D559,"")</f>
        <v>9.2600465489999984</v>
      </c>
      <c r="G559" s="44"/>
      <c r="H559" s="45"/>
      <c r="I559" s="149">
        <v>0</v>
      </c>
    </row>
    <row r="560" spans="1:9" ht="38.25" hidden="1" x14ac:dyDescent="0.25">
      <c r="A560" s="214"/>
      <c r="B560" s="35" t="s">
        <v>3504</v>
      </c>
      <c r="C560" s="46" t="s">
        <v>121</v>
      </c>
      <c r="D560" s="36">
        <f>ROUND(D553*20,4)</f>
        <v>23.4</v>
      </c>
      <c r="E560" s="30">
        <v>2.6230221999999994</v>
      </c>
      <c r="F560" s="33">
        <f>IF(ISNUMBER(E560),E560*$D560,"")</f>
        <v>61.37871947999998</v>
      </c>
      <c r="G560" s="44"/>
      <c r="H560" s="45"/>
      <c r="I560" s="149">
        <v>0</v>
      </c>
    </row>
    <row r="561" spans="1:9" hidden="1" x14ac:dyDescent="0.25">
      <c r="A561" s="214"/>
      <c r="B561" s="50"/>
      <c r="C561" s="129"/>
      <c r="D561" s="36"/>
      <c r="E561" s="30" t="s">
        <v>514</v>
      </c>
      <c r="F561" s="33" t="str">
        <f t="shared" ref="F561:F586" si="20">IF(ISNUMBER(E561),ROUND(E561*$D561,2),"")</f>
        <v/>
      </c>
      <c r="G561" s="44"/>
      <c r="H561" s="45"/>
      <c r="I561" s="149">
        <v>0</v>
      </c>
    </row>
    <row r="562" spans="1:9" ht="24.95" hidden="1" customHeight="1" x14ac:dyDescent="0.25">
      <c r="A562" s="214"/>
      <c r="B562" s="47" t="s">
        <v>747</v>
      </c>
      <c r="C562" s="129"/>
      <c r="D562" s="36"/>
      <c r="E562" s="30" t="s">
        <v>514</v>
      </c>
      <c r="F562" s="33" t="str">
        <f t="shared" si="20"/>
        <v/>
      </c>
      <c r="G562" s="44"/>
      <c r="H562" s="45"/>
      <c r="I562" s="149">
        <v>0</v>
      </c>
    </row>
    <row r="563" spans="1:9" ht="15.75" hidden="1" thickBot="1" x14ac:dyDescent="0.3">
      <c r="A563" s="217"/>
      <c r="B563" s="103"/>
      <c r="C563" s="79"/>
      <c r="D563" s="95"/>
      <c r="E563" s="66" t="s">
        <v>514</v>
      </c>
      <c r="F563" s="66" t="str">
        <f t="shared" si="20"/>
        <v/>
      </c>
      <c r="G563" s="68"/>
      <c r="H563" s="30"/>
      <c r="I563" s="149">
        <v>0</v>
      </c>
    </row>
    <row r="564" spans="1:9" ht="26.25" hidden="1" customHeight="1" x14ac:dyDescent="0.25">
      <c r="A564" s="216" t="s">
        <v>8005</v>
      </c>
      <c r="B564" s="40" t="s">
        <v>514</v>
      </c>
      <c r="C564" s="77" t="s">
        <v>891</v>
      </c>
      <c r="D564" s="93"/>
      <c r="E564" s="41" t="s">
        <v>514</v>
      </c>
      <c r="F564" s="41" t="str">
        <f t="shared" si="20"/>
        <v/>
      </c>
      <c r="G564" s="28"/>
      <c r="H564" s="29"/>
      <c r="I564" s="149">
        <v>0</v>
      </c>
    </row>
    <row r="565" spans="1:9" hidden="1" x14ac:dyDescent="0.25">
      <c r="A565" s="214"/>
      <c r="B565" s="31" t="s">
        <v>514</v>
      </c>
      <c r="C565" s="78"/>
      <c r="D565" s="91"/>
      <c r="E565" s="97" t="s">
        <v>514</v>
      </c>
      <c r="F565" s="98" t="str">
        <f t="shared" si="20"/>
        <v/>
      </c>
      <c r="G565" s="34"/>
      <c r="H565" s="30"/>
      <c r="I565" s="149">
        <v>0</v>
      </c>
    </row>
    <row r="566" spans="1:9" hidden="1" x14ac:dyDescent="0.25">
      <c r="A566" s="214"/>
      <c r="B566" s="35" t="s">
        <v>1435</v>
      </c>
      <c r="C566" s="49" t="s">
        <v>891</v>
      </c>
      <c r="D566" s="36">
        <v>1.07</v>
      </c>
      <c r="E566" s="33">
        <v>9.6234999999999999</v>
      </c>
      <c r="F566" s="33">
        <f t="shared" si="20"/>
        <v>10.3</v>
      </c>
      <c r="G566" s="44">
        <f>SUM(F566:F568)</f>
        <v>11.91</v>
      </c>
      <c r="H566" s="45"/>
      <c r="I566" s="149">
        <v>0</v>
      </c>
    </row>
    <row r="567" spans="1:9" hidden="1" x14ac:dyDescent="0.25">
      <c r="A567" s="214"/>
      <c r="B567" s="35" t="s">
        <v>893</v>
      </c>
      <c r="C567" s="49" t="s">
        <v>695</v>
      </c>
      <c r="D567" s="36">
        <v>9.4999999999999998E-3</v>
      </c>
      <c r="E567" s="33">
        <v>18.3825</v>
      </c>
      <c r="F567" s="33">
        <f t="shared" si="20"/>
        <v>0.17</v>
      </c>
      <c r="G567" s="44"/>
      <c r="H567" s="45"/>
      <c r="I567" s="149">
        <v>0</v>
      </c>
    </row>
    <row r="568" spans="1:9" hidden="1" x14ac:dyDescent="0.25">
      <c r="A568" s="214"/>
      <c r="B568" s="35" t="s">
        <v>894</v>
      </c>
      <c r="C568" s="49" t="s">
        <v>695</v>
      </c>
      <c r="D568" s="36">
        <v>5.8099999999999999E-2</v>
      </c>
      <c r="E568" s="30">
        <v>24.747499999999999</v>
      </c>
      <c r="F568" s="33">
        <f t="shared" si="20"/>
        <v>1.44</v>
      </c>
      <c r="G568" s="44"/>
      <c r="H568" s="45"/>
      <c r="I568" s="149">
        <v>0</v>
      </c>
    </row>
    <row r="569" spans="1:9" ht="15.75" hidden="1" thickBot="1" x14ac:dyDescent="0.3">
      <c r="A569" s="217"/>
      <c r="B569" s="103"/>
      <c r="C569" s="79"/>
      <c r="D569" s="95"/>
      <c r="E569" s="66" t="s">
        <v>514</v>
      </c>
      <c r="F569" s="66" t="str">
        <f t="shared" si="20"/>
        <v/>
      </c>
      <c r="G569" s="68"/>
      <c r="H569" s="30"/>
      <c r="I569" s="149">
        <v>0</v>
      </c>
    </row>
    <row r="570" spans="1:9" ht="26.25" hidden="1" customHeight="1" x14ac:dyDescent="0.25">
      <c r="A570" s="216" t="s">
        <v>8063</v>
      </c>
      <c r="B570" s="40" t="s">
        <v>514</v>
      </c>
      <c r="C570" s="77" t="s">
        <v>891</v>
      </c>
      <c r="D570" s="93"/>
      <c r="E570" s="41" t="s">
        <v>514</v>
      </c>
      <c r="F570" s="41" t="str">
        <f t="shared" si="20"/>
        <v/>
      </c>
      <c r="G570" s="28"/>
      <c r="H570" s="29"/>
      <c r="I570" s="149">
        <v>0</v>
      </c>
    </row>
    <row r="571" spans="1:9" hidden="1" x14ac:dyDescent="0.25">
      <c r="A571" s="214"/>
      <c r="B571" s="31" t="s">
        <v>514</v>
      </c>
      <c r="C571" s="78"/>
      <c r="D571" s="91"/>
      <c r="E571" s="97" t="s">
        <v>514</v>
      </c>
      <c r="F571" s="98" t="str">
        <f t="shared" si="20"/>
        <v/>
      </c>
      <c r="G571" s="34"/>
      <c r="H571" s="30"/>
      <c r="I571" s="149">
        <v>0</v>
      </c>
    </row>
    <row r="572" spans="1:9" ht="25.5" hidden="1" x14ac:dyDescent="0.25">
      <c r="A572" s="214"/>
      <c r="B572" s="35" t="s">
        <v>3489</v>
      </c>
      <c r="C572" s="49" t="s">
        <v>891</v>
      </c>
      <c r="D572" s="36">
        <v>0.02</v>
      </c>
      <c r="E572" s="33">
        <v>22.363</v>
      </c>
      <c r="F572" s="33">
        <f t="shared" si="20"/>
        <v>0.45</v>
      </c>
      <c r="G572" s="44">
        <f>SUM(F572:F575)</f>
        <v>10.59</v>
      </c>
      <c r="H572" s="45"/>
      <c r="I572" s="149">
        <v>0</v>
      </c>
    </row>
    <row r="573" spans="1:9" hidden="1" x14ac:dyDescent="0.25">
      <c r="A573" s="214"/>
      <c r="B573" s="35" t="s">
        <v>893</v>
      </c>
      <c r="C573" s="49" t="s">
        <v>695</v>
      </c>
      <c r="D573" s="36">
        <v>2.0999999999999999E-3</v>
      </c>
      <c r="E573" s="33">
        <v>18.3825</v>
      </c>
      <c r="F573" s="33">
        <f t="shared" si="20"/>
        <v>0.04</v>
      </c>
      <c r="G573" s="44"/>
      <c r="H573" s="45"/>
      <c r="I573" s="149">
        <v>0</v>
      </c>
    </row>
    <row r="574" spans="1:9" hidden="1" x14ac:dyDescent="0.25">
      <c r="A574" s="214"/>
      <c r="B574" s="35" t="s">
        <v>894</v>
      </c>
      <c r="C574" s="49" t="s">
        <v>695</v>
      </c>
      <c r="D574" s="36">
        <v>1.06E-2</v>
      </c>
      <c r="E574" s="33">
        <v>24.747499999999999</v>
      </c>
      <c r="F574" s="33">
        <f t="shared" si="20"/>
        <v>0.26</v>
      </c>
      <c r="G574" s="44"/>
      <c r="H574" s="45"/>
      <c r="I574" s="149">
        <v>0</v>
      </c>
    </row>
    <row r="575" spans="1:9" ht="25.5" hidden="1" x14ac:dyDescent="0.25">
      <c r="A575" s="214"/>
      <c r="B575" s="35" t="s">
        <v>3194</v>
      </c>
      <c r="C575" s="49" t="s">
        <v>891</v>
      </c>
      <c r="D575" s="36">
        <v>1</v>
      </c>
      <c r="E575" s="30">
        <v>9.8370837499999997</v>
      </c>
      <c r="F575" s="33">
        <f t="shared" si="20"/>
        <v>9.84</v>
      </c>
      <c r="G575" s="44"/>
      <c r="H575" s="45"/>
      <c r="I575" s="149">
        <v>0</v>
      </c>
    </row>
    <row r="576" spans="1:9" ht="15.75" hidden="1" thickBot="1" x14ac:dyDescent="0.3">
      <c r="A576" s="217"/>
      <c r="B576" s="103"/>
      <c r="C576" s="79"/>
      <c r="D576" s="95"/>
      <c r="E576" s="66" t="s">
        <v>514</v>
      </c>
      <c r="F576" s="66" t="str">
        <f t="shared" si="20"/>
        <v/>
      </c>
      <c r="G576" s="68"/>
      <c r="H576" s="30"/>
      <c r="I576" s="149">
        <v>0</v>
      </c>
    </row>
    <row r="577" spans="1:9" ht="26.25" hidden="1" customHeight="1" x14ac:dyDescent="0.25">
      <c r="A577" s="216" t="s">
        <v>3503</v>
      </c>
      <c r="B577" s="40" t="s">
        <v>514</v>
      </c>
      <c r="C577" s="77" t="s">
        <v>1425</v>
      </c>
      <c r="D577" s="93"/>
      <c r="E577" s="41" t="s">
        <v>514</v>
      </c>
      <c r="F577" s="41" t="str">
        <f t="shared" si="20"/>
        <v/>
      </c>
      <c r="G577" s="28"/>
      <c r="H577" s="29"/>
      <c r="I577" s="149">
        <v>0</v>
      </c>
    </row>
    <row r="578" spans="1:9" hidden="1" x14ac:dyDescent="0.25">
      <c r="A578" s="214"/>
      <c r="B578" s="31" t="s">
        <v>514</v>
      </c>
      <c r="C578" s="78"/>
      <c r="D578" s="91"/>
      <c r="E578" s="97" t="s">
        <v>514</v>
      </c>
      <c r="F578" s="98" t="str">
        <f t="shared" si="20"/>
        <v/>
      </c>
      <c r="G578" s="34"/>
      <c r="H578" s="30"/>
      <c r="I578" s="149">
        <v>0</v>
      </c>
    </row>
    <row r="579" spans="1:9" ht="51" hidden="1" x14ac:dyDescent="0.25">
      <c r="A579" s="214"/>
      <c r="B579" s="35" t="s">
        <v>1067</v>
      </c>
      <c r="C579" s="49" t="s">
        <v>932</v>
      </c>
      <c r="D579" s="36">
        <v>1.52E-2</v>
      </c>
      <c r="E579" s="33">
        <v>169.70799999999997</v>
      </c>
      <c r="F579" s="33">
        <f t="shared" si="20"/>
        <v>2.58</v>
      </c>
      <c r="G579" s="44">
        <f>SUM(F579:F580)</f>
        <v>2.87</v>
      </c>
      <c r="H579" s="45"/>
      <c r="I579" s="149">
        <v>0</v>
      </c>
    </row>
    <row r="580" spans="1:9" ht="51" hidden="1" x14ac:dyDescent="0.25">
      <c r="A580" s="214"/>
      <c r="B580" s="35" t="s">
        <v>1068</v>
      </c>
      <c r="C580" s="49" t="s">
        <v>934</v>
      </c>
      <c r="D580" s="36">
        <v>6.4999999999999997E-3</v>
      </c>
      <c r="E580" s="33">
        <v>44.013499999999993</v>
      </c>
      <c r="F580" s="33">
        <f t="shared" si="20"/>
        <v>0.28999999999999998</v>
      </c>
      <c r="G580" s="44"/>
      <c r="H580" s="45"/>
      <c r="I580" s="149">
        <v>0</v>
      </c>
    </row>
    <row r="581" spans="1:9" ht="15.75" hidden="1" thickBot="1" x14ac:dyDescent="0.3">
      <c r="A581" s="217"/>
      <c r="B581" s="103"/>
      <c r="C581" s="79"/>
      <c r="D581" s="95"/>
      <c r="E581" s="66" t="s">
        <v>514</v>
      </c>
      <c r="F581" s="66" t="str">
        <f t="shared" si="20"/>
        <v/>
      </c>
      <c r="G581" s="68"/>
      <c r="H581" s="30"/>
      <c r="I581" s="149">
        <v>0</v>
      </c>
    </row>
    <row r="582" spans="1:9" ht="26.25" hidden="1" customHeight="1" x14ac:dyDescent="0.25">
      <c r="A582" s="216" t="s">
        <v>3213</v>
      </c>
      <c r="B582" s="40" t="s">
        <v>514</v>
      </c>
      <c r="C582" s="77" t="s">
        <v>119</v>
      </c>
      <c r="D582" s="93"/>
      <c r="E582" s="41" t="s">
        <v>514</v>
      </c>
      <c r="F582" s="41" t="str">
        <f t="shared" si="20"/>
        <v/>
      </c>
      <c r="G582" s="28"/>
      <c r="H582" s="29"/>
      <c r="I582" s="149">
        <v>0</v>
      </c>
    </row>
    <row r="583" spans="1:9" hidden="1" x14ac:dyDescent="0.25">
      <c r="A583" s="214"/>
      <c r="B583" s="31" t="s">
        <v>514</v>
      </c>
      <c r="C583" s="78"/>
      <c r="D583" s="91"/>
      <c r="E583" s="97" t="s">
        <v>514</v>
      </c>
      <c r="F583" s="98" t="str">
        <f t="shared" si="20"/>
        <v/>
      </c>
      <c r="G583" s="34"/>
      <c r="H583" s="30"/>
      <c r="I583" s="149">
        <v>0</v>
      </c>
    </row>
    <row r="584" spans="1:9" ht="25.5" hidden="1" x14ac:dyDescent="0.25">
      <c r="A584" s="214"/>
      <c r="B584" s="35" t="s">
        <v>744</v>
      </c>
      <c r="C584" s="49" t="s">
        <v>119</v>
      </c>
      <c r="D584" s="36">
        <v>1.19</v>
      </c>
      <c r="E584" s="33">
        <v>185.66799999999998</v>
      </c>
      <c r="F584" s="33">
        <f t="shared" si="20"/>
        <v>220.94</v>
      </c>
      <c r="G584" s="44">
        <f>SUM(F584:F593)</f>
        <v>667.607431303</v>
      </c>
      <c r="H584" s="45"/>
      <c r="I584" s="149">
        <v>0</v>
      </c>
    </row>
    <row r="585" spans="1:9" hidden="1" x14ac:dyDescent="0.25">
      <c r="A585" s="214"/>
      <c r="B585" s="35" t="s">
        <v>1429</v>
      </c>
      <c r="C585" s="49" t="s">
        <v>891</v>
      </c>
      <c r="D585" s="36">
        <v>158.94999999999999</v>
      </c>
      <c r="E585" s="30">
        <v>1.1399999999999999</v>
      </c>
      <c r="F585" s="33">
        <f t="shared" si="20"/>
        <v>181.2</v>
      </c>
      <c r="G585" s="44"/>
      <c r="H585" s="45"/>
      <c r="I585" s="149">
        <v>0</v>
      </c>
    </row>
    <row r="586" spans="1:9" hidden="1" x14ac:dyDescent="0.25">
      <c r="A586" s="214"/>
      <c r="B586" s="35" t="s">
        <v>740</v>
      </c>
      <c r="C586" s="49" t="s">
        <v>891</v>
      </c>
      <c r="D586" s="36">
        <v>178.82</v>
      </c>
      <c r="E586" s="30">
        <v>0.627</v>
      </c>
      <c r="F586" s="33">
        <f t="shared" si="20"/>
        <v>112.12</v>
      </c>
      <c r="G586" s="44"/>
      <c r="H586" s="45"/>
      <c r="I586" s="149">
        <v>0</v>
      </c>
    </row>
    <row r="587" spans="1:9" ht="25.5" hidden="1" x14ac:dyDescent="0.25">
      <c r="A587" s="214"/>
      <c r="B587" s="35" t="s">
        <v>1427</v>
      </c>
      <c r="C587" s="35" t="s">
        <v>695</v>
      </c>
      <c r="D587" s="36">
        <v>4.26</v>
      </c>
      <c r="E587" s="30">
        <v>18.534500000000001</v>
      </c>
      <c r="F587" s="33">
        <f>IF(ISNUMBER(E587),E587*$D587,"")</f>
        <v>78.956969999999998</v>
      </c>
      <c r="G587" s="44"/>
      <c r="H587" s="45"/>
      <c r="I587" s="149">
        <v>0</v>
      </c>
    </row>
    <row r="588" spans="1:9" ht="38.25" hidden="1" x14ac:dyDescent="0.25">
      <c r="A588" s="214"/>
      <c r="B588" s="35" t="s">
        <v>116</v>
      </c>
      <c r="C588" s="46" t="s">
        <v>932</v>
      </c>
      <c r="D588" s="36">
        <v>0.99</v>
      </c>
      <c r="E588" s="30">
        <v>1.3774999999999999</v>
      </c>
      <c r="F588" s="33">
        <f>IF(ISNUMBER(E588),E588*$D588,"")</f>
        <v>1.3637249999999999</v>
      </c>
      <c r="G588" s="44"/>
      <c r="H588" s="45"/>
      <c r="I588" s="149">
        <v>0</v>
      </c>
    </row>
    <row r="589" spans="1:9" ht="38.25" hidden="1" x14ac:dyDescent="0.25">
      <c r="A589" s="214"/>
      <c r="B589" s="35" t="s">
        <v>117</v>
      </c>
      <c r="C589" s="46" t="s">
        <v>934</v>
      </c>
      <c r="D589" s="36">
        <v>3.27</v>
      </c>
      <c r="E589" s="30">
        <v>0.36099999999999999</v>
      </c>
      <c r="F589" s="33">
        <f>IF(ISNUMBER(E589),E589*$D589,"")</f>
        <v>1.1804699999999999</v>
      </c>
      <c r="G589" s="44"/>
      <c r="H589" s="45"/>
      <c r="I589" s="149">
        <v>0</v>
      </c>
    </row>
    <row r="590" spans="1:9" ht="51" hidden="1" x14ac:dyDescent="0.25">
      <c r="A590" s="214"/>
      <c r="B590" s="35" t="s">
        <v>3507</v>
      </c>
      <c r="C590" s="35" t="s">
        <v>119</v>
      </c>
      <c r="D590" s="36">
        <f>ROUND(1*(D584),4)</f>
        <v>1.19</v>
      </c>
      <c r="E590" s="30">
        <v>7.9145696999999986</v>
      </c>
      <c r="F590" s="33">
        <f>IF(ISNUMBER(E590),E590*$D590,"")</f>
        <v>9.4183379429999974</v>
      </c>
      <c r="G590" s="44"/>
      <c r="H590" s="45"/>
      <c r="I590" s="149">
        <v>0</v>
      </c>
    </row>
    <row r="591" spans="1:9" ht="38.25" hidden="1" x14ac:dyDescent="0.25">
      <c r="A591" s="214"/>
      <c r="B591" s="35" t="s">
        <v>3504</v>
      </c>
      <c r="C591" s="46" t="s">
        <v>121</v>
      </c>
      <c r="D591" s="36">
        <f>ROUND(D584*20,4)</f>
        <v>23.8</v>
      </c>
      <c r="E591" s="30">
        <v>2.6230221999999994</v>
      </c>
      <c r="F591" s="33">
        <f>IF(ISNUMBER(E591),E591*$D591,"")</f>
        <v>62.427928359999989</v>
      </c>
      <c r="G591" s="44"/>
      <c r="H591" s="45"/>
      <c r="I591" s="149">
        <v>0</v>
      </c>
    </row>
    <row r="592" spans="1:9" hidden="1" x14ac:dyDescent="0.25">
      <c r="A592" s="214"/>
      <c r="B592" s="50"/>
      <c r="C592" s="129"/>
      <c r="D592" s="36"/>
      <c r="E592" s="30" t="s">
        <v>514</v>
      </c>
      <c r="F592" s="33" t="str">
        <f>IF(ISNUMBER(E592),ROUND(E592*$D592,2),"")</f>
        <v/>
      </c>
      <c r="G592" s="44"/>
      <c r="H592" s="45"/>
      <c r="I592" s="149">
        <v>0</v>
      </c>
    </row>
    <row r="593" spans="1:9" ht="24.95" hidden="1" customHeight="1" x14ac:dyDescent="0.25">
      <c r="A593" s="214"/>
      <c r="B593" s="47" t="s">
        <v>747</v>
      </c>
      <c r="C593" s="129"/>
      <c r="D593" s="36"/>
      <c r="E593" s="30" t="s">
        <v>514</v>
      </c>
      <c r="F593" s="33" t="str">
        <f>IF(ISNUMBER(E593),ROUND(E593*$D593,2),"")</f>
        <v/>
      </c>
      <c r="G593" s="44"/>
      <c r="H593" s="45"/>
      <c r="I593" s="149">
        <v>0</v>
      </c>
    </row>
    <row r="594" spans="1:9" ht="15.75" hidden="1" thickBot="1" x14ac:dyDescent="0.3">
      <c r="A594" s="217"/>
      <c r="B594" s="103"/>
      <c r="C594" s="79"/>
      <c r="D594" s="95"/>
      <c r="E594" s="66" t="s">
        <v>514</v>
      </c>
      <c r="F594" s="66" t="str">
        <f>IF(ISNUMBER(E594),ROUND(E594*$D594,2),"")</f>
        <v/>
      </c>
      <c r="G594" s="68"/>
      <c r="H594" s="30"/>
      <c r="I594" s="149">
        <v>0</v>
      </c>
    </row>
    <row r="595" spans="1:9" ht="15" hidden="1" customHeight="1" x14ac:dyDescent="0.25">
      <c r="A595" s="216" t="s">
        <v>8009</v>
      </c>
      <c r="B595" s="40" t="s">
        <v>514</v>
      </c>
      <c r="C595" s="25" t="s">
        <v>891</v>
      </c>
      <c r="D595" s="93"/>
      <c r="E595" s="41" t="s">
        <v>514</v>
      </c>
      <c r="F595" s="41" t="str">
        <f t="shared" ref="F595:F607" si="21">IF(ISNUMBER(E595),E595*$D595,"")</f>
        <v/>
      </c>
      <c r="G595" s="28"/>
      <c r="H595" s="29"/>
      <c r="I595" s="149">
        <v>0</v>
      </c>
    </row>
    <row r="596" spans="1:9" hidden="1" x14ac:dyDescent="0.25">
      <c r="A596" s="214"/>
      <c r="B596" s="31" t="s">
        <v>514</v>
      </c>
      <c r="C596" s="31"/>
      <c r="D596" s="91"/>
      <c r="E596" s="42" t="s">
        <v>514</v>
      </c>
      <c r="F596" s="30" t="str">
        <f t="shared" si="21"/>
        <v/>
      </c>
      <c r="G596" s="34"/>
      <c r="H596" s="30"/>
      <c r="I596" s="149">
        <v>0</v>
      </c>
    </row>
    <row r="597" spans="1:9" ht="25.5" hidden="1" x14ac:dyDescent="0.25">
      <c r="A597" s="214"/>
      <c r="B597" s="35" t="s">
        <v>3227</v>
      </c>
      <c r="C597" s="35" t="s">
        <v>891</v>
      </c>
      <c r="D597" s="36">
        <v>1.1100000000000001</v>
      </c>
      <c r="E597" s="33">
        <v>10.924999999999999</v>
      </c>
      <c r="F597" s="33">
        <f t="shared" si="21"/>
        <v>12.126749999999999</v>
      </c>
      <c r="G597" s="44">
        <f>SUM(F597:F598)</f>
        <v>12.218315749999999</v>
      </c>
      <c r="H597" s="45"/>
      <c r="I597" s="149">
        <v>0</v>
      </c>
    </row>
    <row r="598" spans="1:9" hidden="1" x14ac:dyDescent="0.25">
      <c r="A598" s="214"/>
      <c r="B598" s="35" t="s">
        <v>894</v>
      </c>
      <c r="C598" s="35" t="s">
        <v>695</v>
      </c>
      <c r="D598" s="36">
        <v>3.7000000000000002E-3</v>
      </c>
      <c r="E598" s="33">
        <v>24.747499999999999</v>
      </c>
      <c r="F598" s="33">
        <f t="shared" si="21"/>
        <v>9.1565750000000001E-2</v>
      </c>
      <c r="G598" s="44"/>
      <c r="H598" s="45"/>
      <c r="I598" s="149">
        <v>0</v>
      </c>
    </row>
    <row r="599" spans="1:9" ht="15.75" hidden="1" thickBot="1" x14ac:dyDescent="0.3">
      <c r="A599" s="217"/>
      <c r="B599" s="35" t="s">
        <v>514</v>
      </c>
      <c r="C599" s="35"/>
      <c r="D599" s="92"/>
      <c r="E599" s="30" t="s">
        <v>514</v>
      </c>
      <c r="F599" s="30" t="str">
        <f t="shared" si="21"/>
        <v/>
      </c>
      <c r="G599" s="34"/>
      <c r="H599" s="30"/>
      <c r="I599" s="149">
        <v>0</v>
      </c>
    </row>
    <row r="600" spans="1:9" ht="27" hidden="1" customHeight="1" x14ac:dyDescent="0.25">
      <c r="A600" s="216" t="s">
        <v>8003</v>
      </c>
      <c r="B600" s="40" t="s">
        <v>514</v>
      </c>
      <c r="C600" s="25" t="s">
        <v>891</v>
      </c>
      <c r="D600" s="93"/>
      <c r="E600" s="27" t="s">
        <v>514</v>
      </c>
      <c r="F600" s="27" t="str">
        <f t="shared" si="21"/>
        <v/>
      </c>
      <c r="G600" s="28"/>
      <c r="H600" s="29"/>
      <c r="I600" s="149">
        <v>0</v>
      </c>
    </row>
    <row r="601" spans="1:9" hidden="1" x14ac:dyDescent="0.25">
      <c r="A601" s="214"/>
      <c r="B601" s="31" t="s">
        <v>514</v>
      </c>
      <c r="C601" s="31"/>
      <c r="D601" s="91"/>
      <c r="E601" s="30" t="s">
        <v>514</v>
      </c>
      <c r="F601" s="30" t="str">
        <f t="shared" si="21"/>
        <v/>
      </c>
      <c r="G601" s="34"/>
      <c r="H601" s="30"/>
      <c r="I601" s="149">
        <v>0</v>
      </c>
    </row>
    <row r="602" spans="1:9" ht="38.25" hidden="1" x14ac:dyDescent="0.25">
      <c r="A602" s="214"/>
      <c r="B602" s="35" t="s">
        <v>892</v>
      </c>
      <c r="C602" s="35" t="s">
        <v>278</v>
      </c>
      <c r="D602" s="36">
        <v>2.1179999999999999</v>
      </c>
      <c r="E602" s="30">
        <v>0.20899999999999999</v>
      </c>
      <c r="F602" s="33">
        <f t="shared" si="21"/>
        <v>0.44266199999999994</v>
      </c>
      <c r="G602" s="44">
        <f>SUM(F602:F606)</f>
        <v>15.206341250000001</v>
      </c>
      <c r="H602" s="45"/>
      <c r="I602" s="149">
        <v>0</v>
      </c>
    </row>
    <row r="603" spans="1:9" ht="25.5" hidden="1" x14ac:dyDescent="0.25">
      <c r="A603" s="214"/>
      <c r="B603" s="35" t="s">
        <v>3489</v>
      </c>
      <c r="C603" s="35" t="s">
        <v>891</v>
      </c>
      <c r="D603" s="36">
        <v>2.5000000000000001E-2</v>
      </c>
      <c r="E603" s="30">
        <v>22.363</v>
      </c>
      <c r="F603" s="33">
        <f t="shared" si="21"/>
        <v>0.55907499999999999</v>
      </c>
      <c r="G603" s="44"/>
      <c r="H603" s="45"/>
      <c r="I603" s="149">
        <v>0</v>
      </c>
    </row>
    <row r="604" spans="1:9" hidden="1" x14ac:dyDescent="0.25">
      <c r="A604" s="214"/>
      <c r="B604" s="35" t="s">
        <v>893</v>
      </c>
      <c r="C604" s="35" t="s">
        <v>695</v>
      </c>
      <c r="D604" s="36">
        <v>1.3599999999999999E-2</v>
      </c>
      <c r="E604" s="33">
        <v>18.3825</v>
      </c>
      <c r="F604" s="33">
        <f t="shared" si="21"/>
        <v>0.250002</v>
      </c>
      <c r="G604" s="44"/>
      <c r="H604" s="45"/>
      <c r="I604" s="149">
        <v>0</v>
      </c>
    </row>
    <row r="605" spans="1:9" ht="15.75" hidden="1" customHeight="1" x14ac:dyDescent="0.25">
      <c r="A605" s="214"/>
      <c r="B605" s="35" t="s">
        <v>894</v>
      </c>
      <c r="C605" s="35" t="s">
        <v>695</v>
      </c>
      <c r="D605" s="36">
        <v>8.3599999999999994E-2</v>
      </c>
      <c r="E605" s="30">
        <v>24.747499999999999</v>
      </c>
      <c r="F605" s="33">
        <f t="shared" si="21"/>
        <v>2.0688909999999998</v>
      </c>
      <c r="G605" s="44"/>
      <c r="H605" s="45"/>
      <c r="I605" s="149">
        <v>0</v>
      </c>
    </row>
    <row r="606" spans="1:9" ht="25.5" hidden="1" x14ac:dyDescent="0.25">
      <c r="A606" s="214"/>
      <c r="B606" s="35" t="s">
        <v>3195</v>
      </c>
      <c r="C606" s="46" t="s">
        <v>891</v>
      </c>
      <c r="D606" s="36">
        <v>1</v>
      </c>
      <c r="E606" s="30">
        <v>11.885711250000002</v>
      </c>
      <c r="F606" s="33">
        <f t="shared" si="21"/>
        <v>11.885711250000002</v>
      </c>
      <c r="G606" s="44"/>
      <c r="H606" s="45"/>
      <c r="I606" s="149">
        <v>0</v>
      </c>
    </row>
    <row r="607" spans="1:9" ht="15.75" hidden="1" thickBot="1" x14ac:dyDescent="0.3">
      <c r="A607" s="217"/>
      <c r="B607" s="155"/>
      <c r="C607" s="150"/>
      <c r="D607" s="65"/>
      <c r="E607" s="66" t="s">
        <v>514</v>
      </c>
      <c r="F607" s="67" t="str">
        <f t="shared" si="21"/>
        <v/>
      </c>
      <c r="G607" s="156"/>
      <c r="H607" s="45"/>
      <c r="I607" s="149">
        <v>0</v>
      </c>
    </row>
    <row r="608" spans="1:9" ht="26.25" hidden="1" customHeight="1" x14ac:dyDescent="0.25">
      <c r="A608" s="216" t="s">
        <v>3509</v>
      </c>
      <c r="B608" s="40" t="s">
        <v>514</v>
      </c>
      <c r="C608" s="77" t="s">
        <v>1278</v>
      </c>
      <c r="D608" s="93"/>
      <c r="E608" s="41" t="s">
        <v>514</v>
      </c>
      <c r="F608" s="41" t="str">
        <f t="shared" ref="F608:F629" si="22">IF(ISNUMBER(E608),ROUND(E608*$D608,2),"")</f>
        <v/>
      </c>
      <c r="G608" s="28"/>
      <c r="H608" s="29"/>
      <c r="I608" s="149">
        <v>0</v>
      </c>
    </row>
    <row r="609" spans="1:9" hidden="1" x14ac:dyDescent="0.25">
      <c r="A609" s="214"/>
      <c r="B609" s="31" t="s">
        <v>514</v>
      </c>
      <c r="C609" s="78"/>
      <c r="D609" s="91"/>
      <c r="E609" s="97" t="s">
        <v>514</v>
      </c>
      <c r="F609" s="98" t="str">
        <f t="shared" si="22"/>
        <v/>
      </c>
      <c r="G609" s="34"/>
      <c r="H609" s="30"/>
      <c r="I609" s="149">
        <v>0</v>
      </c>
    </row>
    <row r="610" spans="1:9" ht="51" hidden="1" x14ac:dyDescent="0.25">
      <c r="A610" s="214"/>
      <c r="B610" s="35" t="s">
        <v>3180</v>
      </c>
      <c r="C610" s="49" t="s">
        <v>932</v>
      </c>
      <c r="D610" s="36">
        <v>0.1071</v>
      </c>
      <c r="E610" s="33">
        <v>266.81700000000001</v>
      </c>
      <c r="F610" s="33">
        <f t="shared" si="22"/>
        <v>28.58</v>
      </c>
      <c r="G610" s="44">
        <f>SUM(F610:F612)</f>
        <v>36.46</v>
      </c>
      <c r="H610" s="45"/>
      <c r="I610" s="149">
        <v>0</v>
      </c>
    </row>
    <row r="611" spans="1:9" ht="51" hidden="1" x14ac:dyDescent="0.25">
      <c r="A611" s="214"/>
      <c r="B611" s="35" t="s">
        <v>3186</v>
      </c>
      <c r="C611" s="49" t="s">
        <v>934</v>
      </c>
      <c r="D611" s="36">
        <v>4.5900000000000003E-2</v>
      </c>
      <c r="E611" s="33">
        <v>48.924999999999997</v>
      </c>
      <c r="F611" s="33">
        <f t="shared" si="22"/>
        <v>2.25</v>
      </c>
      <c r="G611" s="44"/>
      <c r="H611" s="45"/>
      <c r="I611" s="149">
        <v>0</v>
      </c>
    </row>
    <row r="612" spans="1:9" hidden="1" x14ac:dyDescent="0.25">
      <c r="A612" s="214"/>
      <c r="B612" s="35" t="s">
        <v>696</v>
      </c>
      <c r="C612" s="49" t="s">
        <v>695</v>
      </c>
      <c r="D612" s="36">
        <v>0.30590000000000001</v>
      </c>
      <c r="E612" s="30">
        <v>18.420500000000001</v>
      </c>
      <c r="F612" s="33">
        <f t="shared" si="22"/>
        <v>5.63</v>
      </c>
      <c r="G612" s="44"/>
      <c r="H612" s="45"/>
      <c r="I612" s="149">
        <v>0</v>
      </c>
    </row>
    <row r="613" spans="1:9" ht="15.75" hidden="1" thickBot="1" x14ac:dyDescent="0.3">
      <c r="A613" s="217"/>
      <c r="B613" s="103"/>
      <c r="C613" s="79"/>
      <c r="D613" s="95"/>
      <c r="E613" s="66" t="s">
        <v>514</v>
      </c>
      <c r="F613" s="66" t="str">
        <f t="shared" si="22"/>
        <v/>
      </c>
      <c r="G613" s="68"/>
      <c r="H613" s="30"/>
      <c r="I613" s="149">
        <v>0</v>
      </c>
    </row>
    <row r="614" spans="1:9" ht="26.25" hidden="1" customHeight="1" x14ac:dyDescent="0.25">
      <c r="A614" s="216" t="s">
        <v>3505</v>
      </c>
      <c r="B614" s="40" t="s">
        <v>514</v>
      </c>
      <c r="C614" s="77" t="s">
        <v>1426</v>
      </c>
      <c r="D614" s="93"/>
      <c r="E614" s="41" t="s">
        <v>514</v>
      </c>
      <c r="F614" s="41" t="str">
        <f t="shared" si="22"/>
        <v/>
      </c>
      <c r="G614" s="28"/>
      <c r="H614" s="29"/>
      <c r="I614" s="149">
        <v>0</v>
      </c>
    </row>
    <row r="615" spans="1:9" hidden="1" x14ac:dyDescent="0.25">
      <c r="A615" s="214"/>
      <c r="B615" s="31" t="s">
        <v>514</v>
      </c>
      <c r="C615" s="78"/>
      <c r="D615" s="91"/>
      <c r="E615" s="97" t="s">
        <v>514</v>
      </c>
      <c r="F615" s="98" t="str">
        <f t="shared" si="22"/>
        <v/>
      </c>
      <c r="G615" s="34"/>
      <c r="H615" s="30"/>
      <c r="I615" s="149">
        <v>0</v>
      </c>
    </row>
    <row r="616" spans="1:9" ht="51" hidden="1" x14ac:dyDescent="0.25">
      <c r="A616" s="214"/>
      <c r="B616" s="35" t="s">
        <v>3180</v>
      </c>
      <c r="C616" s="49" t="s">
        <v>932</v>
      </c>
      <c r="D616" s="36">
        <v>9.2999999999999992E-3</v>
      </c>
      <c r="E616" s="33">
        <v>266.81700000000001</v>
      </c>
      <c r="F616" s="33">
        <f t="shared" si="22"/>
        <v>2.48</v>
      </c>
      <c r="G616" s="44">
        <f>SUM(F616:F617)</f>
        <v>2.68</v>
      </c>
      <c r="H616" s="45"/>
      <c r="I616" s="149">
        <v>0</v>
      </c>
    </row>
    <row r="617" spans="1:9" ht="51" hidden="1" x14ac:dyDescent="0.25">
      <c r="A617" s="214"/>
      <c r="B617" s="35" t="s">
        <v>3186</v>
      </c>
      <c r="C617" s="49" t="s">
        <v>934</v>
      </c>
      <c r="D617" s="36">
        <v>4.0000000000000001E-3</v>
      </c>
      <c r="E617" s="33">
        <v>48.924999999999997</v>
      </c>
      <c r="F617" s="33">
        <f t="shared" si="22"/>
        <v>0.2</v>
      </c>
      <c r="G617" s="44"/>
      <c r="H617" s="45"/>
      <c r="I617" s="149">
        <v>0</v>
      </c>
    </row>
    <row r="618" spans="1:9" ht="15.75" hidden="1" thickBot="1" x14ac:dyDescent="0.3">
      <c r="A618" s="217"/>
      <c r="B618" s="103"/>
      <c r="C618" s="79"/>
      <c r="D618" s="95"/>
      <c r="E618" s="66" t="s">
        <v>514</v>
      </c>
      <c r="F618" s="66" t="str">
        <f t="shared" si="22"/>
        <v/>
      </c>
      <c r="G618" s="68"/>
      <c r="H618" s="30"/>
      <c r="I618" s="149">
        <v>0</v>
      </c>
    </row>
    <row r="619" spans="1:9" ht="26.25" hidden="1" customHeight="1" x14ac:dyDescent="0.25">
      <c r="A619" s="216" t="s">
        <v>3506</v>
      </c>
      <c r="B619" s="40" t="s">
        <v>514</v>
      </c>
      <c r="C619" s="77" t="s">
        <v>1426</v>
      </c>
      <c r="D619" s="93"/>
      <c r="E619" s="41" t="s">
        <v>514</v>
      </c>
      <c r="F619" s="41" t="str">
        <f t="shared" si="22"/>
        <v/>
      </c>
      <c r="G619" s="28"/>
      <c r="H619" s="29"/>
      <c r="I619" s="149">
        <v>0</v>
      </c>
    </row>
    <row r="620" spans="1:9" hidden="1" x14ac:dyDescent="0.25">
      <c r="A620" s="214"/>
      <c r="B620" s="31" t="s">
        <v>514</v>
      </c>
      <c r="C620" s="78"/>
      <c r="D620" s="91"/>
      <c r="E620" s="97" t="s">
        <v>514</v>
      </c>
      <c r="F620" s="98" t="str">
        <f t="shared" si="22"/>
        <v/>
      </c>
      <c r="G620" s="34"/>
      <c r="H620" s="30"/>
      <c r="I620" s="149">
        <v>0</v>
      </c>
    </row>
    <row r="621" spans="1:9" ht="51" hidden="1" x14ac:dyDescent="0.25">
      <c r="A621" s="214"/>
      <c r="B621" s="35" t="s">
        <v>3180</v>
      </c>
      <c r="C621" s="49" t="s">
        <v>932</v>
      </c>
      <c r="D621" s="36">
        <v>3.7000000000000002E-3</v>
      </c>
      <c r="E621" s="33">
        <v>266.81700000000001</v>
      </c>
      <c r="F621" s="33">
        <f t="shared" si="22"/>
        <v>0.99</v>
      </c>
      <c r="G621" s="44">
        <f>SUM(F621:F622)</f>
        <v>1.07</v>
      </c>
      <c r="H621" s="45"/>
      <c r="I621" s="149">
        <v>0</v>
      </c>
    </row>
    <row r="622" spans="1:9" ht="51" hidden="1" x14ac:dyDescent="0.25">
      <c r="A622" s="214"/>
      <c r="B622" s="35" t="s">
        <v>3186</v>
      </c>
      <c r="C622" s="49" t="s">
        <v>934</v>
      </c>
      <c r="D622" s="36">
        <v>1.6000000000000001E-3</v>
      </c>
      <c r="E622" s="33">
        <v>48.924999999999997</v>
      </c>
      <c r="F622" s="33">
        <f t="shared" si="22"/>
        <v>0.08</v>
      </c>
      <c r="G622" s="44"/>
      <c r="H622" s="45"/>
      <c r="I622" s="149">
        <v>0</v>
      </c>
    </row>
    <row r="623" spans="1:9" ht="15.75" hidden="1" thickBot="1" x14ac:dyDescent="0.3">
      <c r="A623" s="217"/>
      <c r="B623" s="103"/>
      <c r="C623" s="79"/>
      <c r="D623" s="95"/>
      <c r="E623" s="66" t="s">
        <v>514</v>
      </c>
      <c r="F623" s="66" t="str">
        <f t="shared" si="22"/>
        <v/>
      </c>
      <c r="G623" s="68"/>
      <c r="H623" s="30"/>
      <c r="I623" s="149">
        <v>0</v>
      </c>
    </row>
    <row r="624" spans="1:9" ht="26.25" hidden="1" customHeight="1" x14ac:dyDescent="0.25">
      <c r="A624" s="216" t="s">
        <v>3510</v>
      </c>
      <c r="B624" s="40" t="s">
        <v>514</v>
      </c>
      <c r="C624" s="77" t="s">
        <v>1278</v>
      </c>
      <c r="D624" s="93"/>
      <c r="E624" s="41" t="s">
        <v>514</v>
      </c>
      <c r="F624" s="41" t="str">
        <f t="shared" si="22"/>
        <v/>
      </c>
      <c r="G624" s="28"/>
      <c r="H624" s="29"/>
      <c r="I624" s="149">
        <v>0</v>
      </c>
    </row>
    <row r="625" spans="1:9" hidden="1" x14ac:dyDescent="0.25">
      <c r="A625" s="214"/>
      <c r="B625" s="31" t="s">
        <v>514</v>
      </c>
      <c r="C625" s="78"/>
      <c r="D625" s="91"/>
      <c r="E625" s="97" t="s">
        <v>514</v>
      </c>
      <c r="F625" s="98" t="str">
        <f t="shared" si="22"/>
        <v/>
      </c>
      <c r="G625" s="34"/>
      <c r="H625" s="30"/>
      <c r="I625" s="149">
        <v>0</v>
      </c>
    </row>
    <row r="626" spans="1:9" ht="51" hidden="1" x14ac:dyDescent="0.25">
      <c r="A626" s="214"/>
      <c r="B626" s="35" t="s">
        <v>3180</v>
      </c>
      <c r="C626" s="49" t="s">
        <v>932</v>
      </c>
      <c r="D626" s="36">
        <v>8.1199999999999994E-2</v>
      </c>
      <c r="E626" s="33">
        <v>266.81700000000001</v>
      </c>
      <c r="F626" s="33">
        <f t="shared" si="22"/>
        <v>21.67</v>
      </c>
      <c r="G626" s="44">
        <f>SUM(F626:F628)</f>
        <v>27.650000000000002</v>
      </c>
      <c r="H626" s="45"/>
      <c r="I626" s="149">
        <v>0</v>
      </c>
    </row>
    <row r="627" spans="1:9" ht="51" hidden="1" x14ac:dyDescent="0.25">
      <c r="A627" s="214"/>
      <c r="B627" s="35" t="s">
        <v>3186</v>
      </c>
      <c r="C627" s="49" t="s">
        <v>934</v>
      </c>
      <c r="D627" s="36">
        <v>3.4799999999999998E-2</v>
      </c>
      <c r="E627" s="33">
        <v>48.924999999999997</v>
      </c>
      <c r="F627" s="33">
        <f t="shared" si="22"/>
        <v>1.7</v>
      </c>
      <c r="G627" s="44"/>
      <c r="H627" s="45"/>
      <c r="I627" s="149">
        <v>0</v>
      </c>
    </row>
    <row r="628" spans="1:9" hidden="1" x14ac:dyDescent="0.25">
      <c r="A628" s="214"/>
      <c r="B628" s="35" t="s">
        <v>696</v>
      </c>
      <c r="C628" s="49" t="s">
        <v>695</v>
      </c>
      <c r="D628" s="36">
        <v>0.2321</v>
      </c>
      <c r="E628" s="30">
        <v>18.420500000000001</v>
      </c>
      <c r="F628" s="33">
        <f t="shared" si="22"/>
        <v>4.28</v>
      </c>
      <c r="G628" s="44"/>
      <c r="H628" s="45"/>
      <c r="I628" s="149">
        <v>0</v>
      </c>
    </row>
    <row r="629" spans="1:9" ht="15.75" hidden="1" thickBot="1" x14ac:dyDescent="0.3">
      <c r="A629" s="217"/>
      <c r="B629" s="103"/>
      <c r="C629" s="79"/>
      <c r="D629" s="95"/>
      <c r="E629" s="66" t="s">
        <v>514</v>
      </c>
      <c r="F629" s="66" t="str">
        <f t="shared" si="22"/>
        <v/>
      </c>
      <c r="G629" s="68"/>
      <c r="H629" s="30"/>
      <c r="I629" s="149">
        <v>0</v>
      </c>
    </row>
    <row r="630" spans="1:9" ht="27" hidden="1" customHeight="1" x14ac:dyDescent="0.25">
      <c r="A630" s="216" t="s">
        <v>6591</v>
      </c>
      <c r="B630" s="40" t="s">
        <v>514</v>
      </c>
      <c r="C630" s="25" t="s">
        <v>119</v>
      </c>
      <c r="D630" s="93"/>
      <c r="E630" s="41" t="s">
        <v>514</v>
      </c>
      <c r="F630" s="41" t="str">
        <f t="shared" ref="F630:F643" si="23">IF(ISNUMBER(E630),E630*$D630,"")</f>
        <v/>
      </c>
      <c r="G630" s="28"/>
      <c r="H630" s="29"/>
      <c r="I630" s="149">
        <v>0</v>
      </c>
    </row>
    <row r="631" spans="1:9" hidden="1" x14ac:dyDescent="0.25">
      <c r="A631" s="214"/>
      <c r="B631" s="31" t="s">
        <v>514</v>
      </c>
      <c r="C631" s="31"/>
      <c r="D631" s="91"/>
      <c r="E631" s="42" t="s">
        <v>514</v>
      </c>
      <c r="F631" s="30" t="str">
        <f t="shared" si="23"/>
        <v/>
      </c>
      <c r="G631" s="34"/>
      <c r="H631" s="30"/>
      <c r="I631" s="149">
        <v>0</v>
      </c>
    </row>
    <row r="632" spans="1:9" ht="25.5" hidden="1" x14ac:dyDescent="0.25">
      <c r="A632" s="214"/>
      <c r="B632" s="35" t="s">
        <v>744</v>
      </c>
      <c r="C632" s="35" t="s">
        <v>119</v>
      </c>
      <c r="D632" s="36">
        <v>0.71189999999999998</v>
      </c>
      <c r="E632" s="33">
        <v>185.66799999999998</v>
      </c>
      <c r="F632" s="33">
        <f t="shared" si="23"/>
        <v>132.17704919999997</v>
      </c>
      <c r="G632" s="44">
        <f>SUM(F632:F640)</f>
        <v>608.57106492302</v>
      </c>
      <c r="H632" s="45"/>
      <c r="I632" s="149">
        <v>0</v>
      </c>
    </row>
    <row r="633" spans="1:9" hidden="1" x14ac:dyDescent="0.25">
      <c r="A633" s="214"/>
      <c r="B633" s="35" t="s">
        <v>740</v>
      </c>
      <c r="C633" s="35" t="s">
        <v>891</v>
      </c>
      <c r="D633" s="36">
        <v>391.16629999999998</v>
      </c>
      <c r="E633" s="33">
        <v>0.627</v>
      </c>
      <c r="F633" s="33">
        <f t="shared" si="23"/>
        <v>245.26127009999999</v>
      </c>
      <c r="G633" s="44"/>
      <c r="H633" s="45"/>
      <c r="I633" s="149">
        <v>0</v>
      </c>
    </row>
    <row r="634" spans="1:9" ht="25.5" hidden="1" x14ac:dyDescent="0.25">
      <c r="A634" s="214"/>
      <c r="B634" s="35" t="s">
        <v>752</v>
      </c>
      <c r="C634" s="35" t="s">
        <v>119</v>
      </c>
      <c r="D634" s="36">
        <v>0.5927</v>
      </c>
      <c r="E634" s="33">
        <v>151.202</v>
      </c>
      <c r="F634" s="33">
        <f t="shared" si="23"/>
        <v>89.617425400000002</v>
      </c>
      <c r="G634" s="44"/>
      <c r="H634" s="45"/>
      <c r="I634" s="149">
        <v>0</v>
      </c>
    </row>
    <row r="635" spans="1:9" hidden="1" x14ac:dyDescent="0.25">
      <c r="A635" s="214"/>
      <c r="B635" s="35" t="s">
        <v>696</v>
      </c>
      <c r="C635" s="35" t="s">
        <v>695</v>
      </c>
      <c r="D635" s="36">
        <v>1.9633</v>
      </c>
      <c r="E635" s="30">
        <v>18.420500000000001</v>
      </c>
      <c r="F635" s="33">
        <f t="shared" si="23"/>
        <v>36.164967650000001</v>
      </c>
      <c r="G635" s="44"/>
      <c r="H635" s="45"/>
      <c r="I635" s="149">
        <v>0</v>
      </c>
    </row>
    <row r="636" spans="1:9" ht="25.5" hidden="1" x14ac:dyDescent="0.25">
      <c r="A636" s="214"/>
      <c r="B636" s="35" t="s">
        <v>1427</v>
      </c>
      <c r="C636" s="35" t="s">
        <v>695</v>
      </c>
      <c r="D636" s="36">
        <v>1.24</v>
      </c>
      <c r="E636" s="30">
        <v>18.534500000000001</v>
      </c>
      <c r="F636" s="94">
        <f t="shared" si="23"/>
        <v>22.982780000000002</v>
      </c>
      <c r="G636" s="44"/>
      <c r="H636" s="45"/>
      <c r="I636" s="149">
        <v>0</v>
      </c>
    </row>
    <row r="637" spans="1:9" ht="38.25" hidden="1" x14ac:dyDescent="0.25">
      <c r="A637" s="214"/>
      <c r="B637" s="35" t="s">
        <v>1355</v>
      </c>
      <c r="C637" s="35" t="s">
        <v>932</v>
      </c>
      <c r="D637" s="36">
        <v>0.63819999999999999</v>
      </c>
      <c r="E637" s="30">
        <v>4.2560000000000002</v>
      </c>
      <c r="F637" s="94">
        <f t="shared" si="23"/>
        <v>2.7161792</v>
      </c>
      <c r="G637" s="44"/>
      <c r="H637" s="45"/>
      <c r="I637" s="149">
        <v>0</v>
      </c>
    </row>
    <row r="638" spans="1:9" ht="38.25" hidden="1" x14ac:dyDescent="0.25">
      <c r="A638" s="214"/>
      <c r="B638" s="35" t="s">
        <v>1428</v>
      </c>
      <c r="C638" s="46" t="s">
        <v>934</v>
      </c>
      <c r="D638" s="36">
        <v>0.6018</v>
      </c>
      <c r="E638" s="30">
        <v>1.4724999999999999</v>
      </c>
      <c r="F638" s="33">
        <f t="shared" si="23"/>
        <v>0.88615049999999995</v>
      </c>
      <c r="G638" s="44"/>
      <c r="H638" s="45"/>
      <c r="I638" s="149">
        <v>0</v>
      </c>
    </row>
    <row r="639" spans="1:9" ht="51" hidden="1" x14ac:dyDescent="0.25">
      <c r="A639" s="214"/>
      <c r="B639" s="35" t="s">
        <v>3507</v>
      </c>
      <c r="C639" s="35" t="s">
        <v>119</v>
      </c>
      <c r="D639" s="36">
        <f>ROUND(1*(D632+D634),4)</f>
        <v>1.3046</v>
      </c>
      <c r="E639" s="30">
        <v>7.9145696999999986</v>
      </c>
      <c r="F639" s="33">
        <f t="shared" si="23"/>
        <v>10.325347630619998</v>
      </c>
      <c r="G639" s="44"/>
      <c r="H639" s="45"/>
      <c r="I639" s="149">
        <v>0</v>
      </c>
    </row>
    <row r="640" spans="1:9" ht="38.25" hidden="1" x14ac:dyDescent="0.25">
      <c r="A640" s="214"/>
      <c r="B640" s="35" t="s">
        <v>3504</v>
      </c>
      <c r="C640" s="46" t="s">
        <v>121</v>
      </c>
      <c r="D640" s="36">
        <f>ROUND((D632+D634)*20,4)</f>
        <v>26.091999999999999</v>
      </c>
      <c r="E640" s="30">
        <v>2.6230221999999994</v>
      </c>
      <c r="F640" s="33">
        <f t="shared" si="23"/>
        <v>68.439895242399984</v>
      </c>
      <c r="G640" s="44"/>
      <c r="H640" s="45"/>
      <c r="I640" s="149">
        <v>0</v>
      </c>
    </row>
    <row r="641" spans="1:9" hidden="1" x14ac:dyDescent="0.25">
      <c r="A641" s="214"/>
      <c r="B641" s="50"/>
      <c r="C641" s="46"/>
      <c r="D641" s="36"/>
      <c r="E641" s="30" t="s">
        <v>514</v>
      </c>
      <c r="F641" s="33" t="str">
        <f t="shared" si="23"/>
        <v/>
      </c>
      <c r="G641" s="44"/>
      <c r="H641" s="45"/>
      <c r="I641" s="149">
        <v>0</v>
      </c>
    </row>
    <row r="642" spans="1:9" ht="25.5" hidden="1" x14ac:dyDescent="0.25">
      <c r="A642" s="214"/>
      <c r="B642" s="47" t="s">
        <v>122</v>
      </c>
      <c r="C642" s="46"/>
      <c r="D642" s="36"/>
      <c r="E642" s="30" t="s">
        <v>514</v>
      </c>
      <c r="F642" s="33" t="str">
        <f t="shared" si="23"/>
        <v/>
      </c>
      <c r="G642" s="44"/>
      <c r="H642" s="45"/>
      <c r="I642" s="149">
        <v>0</v>
      </c>
    </row>
    <row r="643" spans="1:9" ht="15.75" hidden="1" thickBot="1" x14ac:dyDescent="0.3">
      <c r="A643" s="217"/>
      <c r="B643" s="54" t="s">
        <v>514</v>
      </c>
      <c r="C643" s="54"/>
      <c r="D643" s="95"/>
      <c r="E643" s="66" t="s">
        <v>514</v>
      </c>
      <c r="F643" s="66" t="str">
        <f t="shared" si="23"/>
        <v/>
      </c>
      <c r="G643" s="68"/>
      <c r="H643" s="30"/>
      <c r="I643" s="149">
        <v>0</v>
      </c>
    </row>
  </sheetData>
  <autoFilter ref="A5:I643" xr:uid="{00000000-0009-0000-0000-000004000000}">
    <filterColumn colId="8">
      <filters>
        <filter val="0,0960"/>
        <filter val="0,4032"/>
        <filter val="1,4040"/>
        <filter val="1.196,8400"/>
        <filter val="100,0000"/>
        <filter val="136,2000"/>
        <filter val="15,0000"/>
        <filter val="2.000,0000"/>
        <filter val="3,9900"/>
        <filter val="30,0000"/>
        <filter val="36,5000"/>
        <filter val="46,5750"/>
        <filter val="5,5905"/>
        <filter val="59,8420"/>
        <filter val="66,4445"/>
        <filter val="9,3840"/>
      </filters>
    </filterColumn>
  </autoFilter>
  <mergeCells count="73">
    <mergeCell ref="A630:A643"/>
    <mergeCell ref="A600:A607"/>
    <mergeCell ref="A608:A613"/>
    <mergeCell ref="A614:A618"/>
    <mergeCell ref="A619:A623"/>
    <mergeCell ref="A624:A629"/>
    <mergeCell ref="A577:A581"/>
    <mergeCell ref="A582:A594"/>
    <mergeCell ref="A538:A543"/>
    <mergeCell ref="A544:A550"/>
    <mergeCell ref="A551:A563"/>
    <mergeCell ref="A564:A569"/>
    <mergeCell ref="A570:A576"/>
    <mergeCell ref="A503:A513"/>
    <mergeCell ref="A514:A519"/>
    <mergeCell ref="A520:A525"/>
    <mergeCell ref="A526:A531"/>
    <mergeCell ref="A532:A537"/>
    <mergeCell ref="A48:A60"/>
    <mergeCell ref="A6:A15"/>
    <mergeCell ref="A16:A20"/>
    <mergeCell ref="A21:A26"/>
    <mergeCell ref="A27:A37"/>
    <mergeCell ref="A38:A47"/>
    <mergeCell ref="A61:A68"/>
    <mergeCell ref="A69:A78"/>
    <mergeCell ref="A79:A85"/>
    <mergeCell ref="A86:A95"/>
    <mergeCell ref="A96:A105"/>
    <mergeCell ref="A106:A111"/>
    <mergeCell ref="A112:A117"/>
    <mergeCell ref="A118:A123"/>
    <mergeCell ref="A124:A129"/>
    <mergeCell ref="A180:A185"/>
    <mergeCell ref="A168:A173"/>
    <mergeCell ref="A174:A179"/>
    <mergeCell ref="A130:A135"/>
    <mergeCell ref="A136:A141"/>
    <mergeCell ref="A186:A190"/>
    <mergeCell ref="A191:A194"/>
    <mergeCell ref="A195:A202"/>
    <mergeCell ref="A142:A155"/>
    <mergeCell ref="A156:A167"/>
    <mergeCell ref="A491:A502"/>
    <mergeCell ref="A203:A207"/>
    <mergeCell ref="A208:A212"/>
    <mergeCell ref="A227:A240"/>
    <mergeCell ref="A241:A255"/>
    <mergeCell ref="A256:A265"/>
    <mergeCell ref="A274:A284"/>
    <mergeCell ref="A285:A292"/>
    <mergeCell ref="A293:A298"/>
    <mergeCell ref="A213:A226"/>
    <mergeCell ref="A266:A273"/>
    <mergeCell ref="A427:A438"/>
    <mergeCell ref="A439:A457"/>
    <mergeCell ref="A458:A471"/>
    <mergeCell ref="A3:G3"/>
    <mergeCell ref="A595:A599"/>
    <mergeCell ref="A299:A312"/>
    <mergeCell ref="A313:A326"/>
    <mergeCell ref="A327:A338"/>
    <mergeCell ref="A339:A345"/>
    <mergeCell ref="A346:A352"/>
    <mergeCell ref="A416:A426"/>
    <mergeCell ref="A404:A415"/>
    <mergeCell ref="A392:A403"/>
    <mergeCell ref="A353:A360"/>
    <mergeCell ref="A361:A366"/>
    <mergeCell ref="A367:A372"/>
    <mergeCell ref="A373:A381"/>
    <mergeCell ref="A382:A391"/>
    <mergeCell ref="A472:A490"/>
  </mergeCells>
  <conditionalFormatting sqref="F4">
    <cfRule type="containsText" dxfId="49" priority="382" operator="containsText" text="Pesquisa">
      <formula>NOT(ISERROR(SEARCH("Pesquisa",F4)))</formula>
    </cfRule>
  </conditionalFormatting>
  <conditionalFormatting sqref="C15:D15">
    <cfRule type="containsText" dxfId="48" priority="416" operator="containsText" text="Pesquisa de Preços">
      <formula>NOT(ISERROR(SEARCH("Pesquisa de Preços",C15)))</formula>
    </cfRule>
  </conditionalFormatting>
  <conditionalFormatting sqref="C7:D7">
    <cfRule type="containsText" dxfId="47" priority="415" operator="containsText" text="Pesquisa de Preços">
      <formula>NOT(ISERROR(SEARCH("Pesquisa de Preços",C7)))</formula>
    </cfRule>
  </conditionalFormatting>
  <conditionalFormatting sqref="C6:D6">
    <cfRule type="containsText" dxfId="46" priority="414" operator="containsText" text="Pesquisa de Preços">
      <formula>NOT(ISERROR(SEARCH("Pesquisa de Preços",C6)))</formula>
    </cfRule>
  </conditionalFormatting>
  <conditionalFormatting sqref="C8:D10">
    <cfRule type="containsText" dxfId="45" priority="413" operator="containsText" text="Pesquisa de Preços">
      <formula>NOT(ISERROR(SEARCH("Pesquisa de Preços",C8)))</formula>
    </cfRule>
  </conditionalFormatting>
  <conditionalFormatting sqref="C29:D36">
    <cfRule type="containsText" dxfId="44" priority="412" operator="containsText" text="Pesquisa de Preços">
      <formula>NOT(ISERROR(SEARCH("Pesquisa de Preços",C29)))</formula>
    </cfRule>
  </conditionalFormatting>
  <conditionalFormatting sqref="D27">
    <cfRule type="containsText" dxfId="43" priority="409" operator="containsText" text="Pesquisa de Preços">
      <formula>NOT(ISERROR(SEARCH("Pesquisa de Preços",D27)))</formula>
    </cfRule>
  </conditionalFormatting>
  <conditionalFormatting sqref="C37:D37">
    <cfRule type="containsText" dxfId="42" priority="411" operator="containsText" text="Pesquisa de Preços">
      <formula>NOT(ISERROR(SEARCH("Pesquisa de Preços",C37)))</formula>
    </cfRule>
  </conditionalFormatting>
  <conditionalFormatting sqref="C28:D28">
    <cfRule type="containsText" dxfId="41" priority="410" operator="containsText" text="Pesquisa de Preços">
      <formula>NOT(ISERROR(SEARCH("Pesquisa de Preços",C28)))</formula>
    </cfRule>
  </conditionalFormatting>
  <conditionalFormatting sqref="C27">
    <cfRule type="containsText" dxfId="40" priority="408"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filterMode="1">
    <pageSetUpPr fitToPage="1"/>
  </sheetPr>
  <dimension ref="A1:I139"/>
  <sheetViews>
    <sheetView zoomScale="80" zoomScaleNormal="80" workbookViewId="0">
      <pane ySplit="5" topLeftCell="A6" activePane="bottomLeft" state="frozen"/>
      <selection pane="bottomLeft" activeCell="M9" sqref="M9"/>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tr">
        <f>Composições!A1</f>
        <v>ARP para fornecimento de serviços comuns de engenharia - 2023</v>
      </c>
      <c r="B1" s="104"/>
      <c r="C1" s="80"/>
      <c r="D1" s="80"/>
      <c r="E1" s="80"/>
      <c r="F1" s="80"/>
      <c r="G1" s="80"/>
      <c r="H1" s="81"/>
      <c r="I1" s="83"/>
    </row>
    <row r="2" spans="1:9" ht="24.95" customHeight="1" x14ac:dyDescent="0.25">
      <c r="A2" s="9" t="s">
        <v>1436</v>
      </c>
      <c r="B2" s="10"/>
      <c r="C2" s="130"/>
      <c r="D2" s="10"/>
      <c r="E2" s="10"/>
      <c r="F2" s="10"/>
      <c r="G2" s="10"/>
      <c r="H2" s="12"/>
      <c r="I2" s="83"/>
    </row>
    <row r="3" spans="1:9" ht="20.100000000000001" customHeight="1" x14ac:dyDescent="0.25">
      <c r="A3" s="13" t="str">
        <f>Composições!A3</f>
        <v>Data: Outubro de 2022</v>
      </c>
      <c r="B3" s="13"/>
      <c r="C3" s="131"/>
      <c r="D3" s="13"/>
      <c r="E3" s="13"/>
      <c r="F3" s="13"/>
      <c r="G3" s="13"/>
      <c r="H3" s="13"/>
      <c r="I3" s="83"/>
    </row>
    <row r="4" spans="1:9" ht="20.100000000000001" customHeight="1" thickBot="1" x14ac:dyDescent="0.3">
      <c r="A4" s="84"/>
      <c r="B4" s="85"/>
      <c r="C4" s="127"/>
      <c r="D4" s="85"/>
      <c r="E4" s="85"/>
      <c r="F4" s="85"/>
      <c r="G4" s="85"/>
      <c r="H4" s="86"/>
      <c r="I4" s="87"/>
    </row>
    <row r="5" spans="1:9" ht="65.099999999999994" customHeight="1" thickBot="1" x14ac:dyDescent="0.3">
      <c r="A5" s="101" t="s">
        <v>2</v>
      </c>
      <c r="B5" s="102" t="s">
        <v>3</v>
      </c>
      <c r="C5" s="128" t="s">
        <v>4</v>
      </c>
      <c r="D5" s="102" t="s">
        <v>5</v>
      </c>
      <c r="E5" s="102" t="s">
        <v>6</v>
      </c>
      <c r="F5" s="20" t="s">
        <v>7</v>
      </c>
      <c r="G5" s="22" t="s">
        <v>1404</v>
      </c>
      <c r="H5" s="23"/>
      <c r="I5" s="88" t="s">
        <v>9</v>
      </c>
    </row>
    <row r="6" spans="1:9" ht="15.75" thickBot="1" x14ac:dyDescent="0.3">
      <c r="A6" s="216" t="s">
        <v>3504</v>
      </c>
      <c r="B6" s="40" t="s">
        <v>514</v>
      </c>
      <c r="C6" s="77" t="s">
        <v>121</v>
      </c>
      <c r="D6" s="93"/>
      <c r="E6" s="41" t="s">
        <v>514</v>
      </c>
      <c r="F6" s="41" t="str">
        <f t="shared" ref="F6:F19" si="0">IF(ISNUMBER(E6),ROUND(E6*$D6,2),"")</f>
        <v/>
      </c>
      <c r="G6" s="28"/>
      <c r="H6" s="29"/>
      <c r="I6" s="149">
        <v>1433.5178399999998</v>
      </c>
    </row>
    <row r="7" spans="1:9" x14ac:dyDescent="0.25">
      <c r="A7" s="214"/>
      <c r="B7" s="31" t="s">
        <v>514</v>
      </c>
      <c r="C7" s="78"/>
      <c r="D7" s="91"/>
      <c r="E7" s="42" t="s">
        <v>514</v>
      </c>
      <c r="F7" s="30" t="str">
        <f t="shared" si="0"/>
        <v/>
      </c>
      <c r="G7" s="34"/>
      <c r="H7" s="30"/>
      <c r="I7" s="149">
        <v>1433.5178399999998</v>
      </c>
    </row>
    <row r="8" spans="1:9" ht="51" x14ac:dyDescent="0.25">
      <c r="A8" s="214"/>
      <c r="B8" s="35" t="s">
        <v>1067</v>
      </c>
      <c r="C8" s="49" t="s">
        <v>932</v>
      </c>
      <c r="D8" s="36">
        <v>1.3899999999999999E-2</v>
      </c>
      <c r="E8" s="33">
        <v>169.70799999999997</v>
      </c>
      <c r="F8" s="33">
        <f t="shared" si="0"/>
        <v>2.36</v>
      </c>
      <c r="G8" s="44">
        <f>SUM(F8:F9)</f>
        <v>2.62</v>
      </c>
      <c r="H8" s="45"/>
      <c r="I8" s="149">
        <v>1433.5178399999998</v>
      </c>
    </row>
    <row r="9" spans="1:9" ht="51" x14ac:dyDescent="0.25">
      <c r="A9" s="214"/>
      <c r="B9" s="35" t="s">
        <v>1068</v>
      </c>
      <c r="C9" s="49" t="s">
        <v>934</v>
      </c>
      <c r="D9" s="36">
        <v>6.0000000000000001E-3</v>
      </c>
      <c r="E9" s="33">
        <v>44.013499999999993</v>
      </c>
      <c r="F9" s="33">
        <f t="shared" si="0"/>
        <v>0.26</v>
      </c>
      <c r="G9" s="44"/>
      <c r="H9" s="45"/>
      <c r="I9" s="149">
        <v>1433.5178399999998</v>
      </c>
    </row>
    <row r="10" spans="1:9" ht="15.75" thickBot="1" x14ac:dyDescent="0.3">
      <c r="A10" s="217"/>
      <c r="B10" s="54" t="s">
        <v>514</v>
      </c>
      <c r="C10" s="79"/>
      <c r="D10" s="95"/>
      <c r="E10" s="66" t="s">
        <v>514</v>
      </c>
      <c r="F10" s="66" t="str">
        <f t="shared" si="0"/>
        <v/>
      </c>
      <c r="G10" s="68"/>
      <c r="H10" s="30"/>
      <c r="I10" s="149">
        <v>1433.5178399999998</v>
      </c>
    </row>
    <row r="11" spans="1:9" ht="15.75" hidden="1" thickBot="1" x14ac:dyDescent="0.3">
      <c r="A11" s="216" t="e">
        <f>IFERROR(INDEX(#REF!,MATCH(LEFT(#REF!,12),#REF!,0),1),INDEX(#REF!,MATCH(LEFT(#REF!,13),#REF!,0),1))</f>
        <v>#REF!</v>
      </c>
      <c r="B11" s="40" t="s">
        <v>514</v>
      </c>
      <c r="C11" s="77" t="s">
        <v>891</v>
      </c>
      <c r="D11" s="93"/>
      <c r="E11" s="27" t="s">
        <v>514</v>
      </c>
      <c r="F11" s="25" t="str">
        <f t="shared" si="0"/>
        <v/>
      </c>
      <c r="G11" s="28"/>
      <c r="H11" s="29"/>
      <c r="I11" s="149">
        <v>0</v>
      </c>
    </row>
    <row r="12" spans="1:9" ht="15.75" hidden="1" thickBot="1" x14ac:dyDescent="0.3">
      <c r="A12" s="214"/>
      <c r="B12" s="31" t="s">
        <v>514</v>
      </c>
      <c r="C12" s="78"/>
      <c r="D12" s="91"/>
      <c r="E12" s="30" t="s">
        <v>514</v>
      </c>
      <c r="F12" s="30" t="str">
        <f t="shared" si="0"/>
        <v/>
      </c>
      <c r="G12" s="34"/>
      <c r="H12" s="30"/>
      <c r="I12" s="149">
        <v>0</v>
      </c>
    </row>
    <row r="13" spans="1:9" ht="15.75" hidden="1" thickBot="1" x14ac:dyDescent="0.3">
      <c r="A13" s="214"/>
      <c r="B13" s="35" t="s">
        <v>1435</v>
      </c>
      <c r="C13" s="49" t="s">
        <v>891</v>
      </c>
      <c r="D13" s="36">
        <v>1.07</v>
      </c>
      <c r="E13" s="30">
        <v>9.6234999999999999</v>
      </c>
      <c r="F13" s="33">
        <f t="shared" si="0"/>
        <v>10.3</v>
      </c>
      <c r="G13" s="44">
        <f>SUM(F13:F15)</f>
        <v>12.850000000000001</v>
      </c>
      <c r="H13" s="45"/>
      <c r="I13" s="149">
        <v>0</v>
      </c>
    </row>
    <row r="14" spans="1:9" ht="15.75" hidden="1" thickBot="1" x14ac:dyDescent="0.3">
      <c r="A14" s="214"/>
      <c r="B14" s="35" t="s">
        <v>893</v>
      </c>
      <c r="C14" s="49" t="s">
        <v>695</v>
      </c>
      <c r="D14" s="36">
        <v>1.3100000000000001E-2</v>
      </c>
      <c r="E14" s="33">
        <v>18.3825</v>
      </c>
      <c r="F14" s="33">
        <f t="shared" si="0"/>
        <v>0.24</v>
      </c>
      <c r="G14" s="44"/>
      <c r="H14" s="45"/>
      <c r="I14" s="149">
        <v>0</v>
      </c>
    </row>
    <row r="15" spans="1:9" ht="15.75" hidden="1" thickBot="1" x14ac:dyDescent="0.3">
      <c r="A15" s="214"/>
      <c r="B15" s="35" t="s">
        <v>894</v>
      </c>
      <c r="C15" s="49" t="s">
        <v>695</v>
      </c>
      <c r="D15" s="36">
        <v>9.3299999999999994E-2</v>
      </c>
      <c r="E15" s="30">
        <v>24.747499999999999</v>
      </c>
      <c r="F15" s="33">
        <f t="shared" si="0"/>
        <v>2.31</v>
      </c>
      <c r="G15" s="44"/>
      <c r="H15" s="45"/>
      <c r="I15" s="149">
        <v>0</v>
      </c>
    </row>
    <row r="16" spans="1:9" ht="15.75" hidden="1" thickBot="1" x14ac:dyDescent="0.3">
      <c r="A16" s="217"/>
      <c r="B16" s="54" t="s">
        <v>514</v>
      </c>
      <c r="C16" s="79"/>
      <c r="D16" s="95"/>
      <c r="E16" s="66" t="s">
        <v>514</v>
      </c>
      <c r="F16" s="67" t="str">
        <f t="shared" si="0"/>
        <v/>
      </c>
      <c r="G16" s="68"/>
      <c r="H16" s="30"/>
      <c r="I16" s="149">
        <v>0</v>
      </c>
    </row>
    <row r="17" spans="1:9" ht="15.75" customHeight="1" thickBot="1" x14ac:dyDescent="0.3">
      <c r="A17" s="216" t="s">
        <v>3507</v>
      </c>
      <c r="B17" s="40" t="s">
        <v>514</v>
      </c>
      <c r="C17" s="77" t="s">
        <v>119</v>
      </c>
      <c r="D17" s="93"/>
      <c r="E17" s="27" t="s">
        <v>514</v>
      </c>
      <c r="F17" s="25" t="str">
        <f t="shared" si="0"/>
        <v/>
      </c>
      <c r="G17" s="28"/>
      <c r="H17" s="29"/>
      <c r="I17" s="149">
        <v>71.675892000000005</v>
      </c>
    </row>
    <row r="18" spans="1:9" x14ac:dyDescent="0.25">
      <c r="A18" s="214"/>
      <c r="B18" s="31" t="s">
        <v>514</v>
      </c>
      <c r="C18" s="78"/>
      <c r="D18" s="91"/>
      <c r="E18" s="30" t="s">
        <v>514</v>
      </c>
      <c r="F18" s="30" t="str">
        <f t="shared" si="0"/>
        <v/>
      </c>
      <c r="G18" s="34"/>
      <c r="H18" s="30"/>
      <c r="I18" s="149">
        <v>71.675892000000005</v>
      </c>
    </row>
    <row r="19" spans="1:9" ht="52.9" customHeight="1" x14ac:dyDescent="0.25">
      <c r="A19" s="214"/>
      <c r="B19" s="35" t="s">
        <v>1091</v>
      </c>
      <c r="C19" s="49" t="s">
        <v>932</v>
      </c>
      <c r="D19" s="36">
        <v>8.3000000000000001E-3</v>
      </c>
      <c r="E19" s="30">
        <v>190.44649999999999</v>
      </c>
      <c r="F19" s="33">
        <f t="shared" si="0"/>
        <v>1.58</v>
      </c>
      <c r="G19" s="44">
        <f>SUM(F19:F22)</f>
        <v>7.9138637499999991</v>
      </c>
      <c r="H19" s="45"/>
      <c r="I19" s="149">
        <v>71.675892000000005</v>
      </c>
    </row>
    <row r="20" spans="1:9" ht="38.25" x14ac:dyDescent="0.25">
      <c r="A20" s="214"/>
      <c r="B20" s="35" t="s">
        <v>3187</v>
      </c>
      <c r="C20" s="46" t="s">
        <v>934</v>
      </c>
      <c r="D20" s="36">
        <v>1.5100000000000001E-2</v>
      </c>
      <c r="E20" s="30">
        <v>60.210999999999999</v>
      </c>
      <c r="F20" s="33">
        <f>IF(ISNUMBER(E20),E20*$D20,"")</f>
        <v>0.9091861</v>
      </c>
      <c r="G20" s="44"/>
      <c r="H20" s="45"/>
      <c r="I20" s="149">
        <v>71.675892000000005</v>
      </c>
    </row>
    <row r="21" spans="1:9" ht="51" x14ac:dyDescent="0.25">
      <c r="A21" s="214"/>
      <c r="B21" s="35" t="s">
        <v>1067</v>
      </c>
      <c r="C21" s="46" t="s">
        <v>932</v>
      </c>
      <c r="D21" s="36">
        <v>2.6700000000000002E-2</v>
      </c>
      <c r="E21" s="30">
        <v>169.70799999999997</v>
      </c>
      <c r="F21" s="33">
        <f>IF(ISNUMBER(E21),E21*$D21,"")</f>
        <v>4.5312035999999996</v>
      </c>
      <c r="G21" s="44"/>
      <c r="H21" s="45"/>
      <c r="I21" s="149">
        <v>71.675892000000005</v>
      </c>
    </row>
    <row r="22" spans="1:9" ht="51" x14ac:dyDescent="0.25">
      <c r="A22" s="214"/>
      <c r="B22" s="35" t="s">
        <v>1068</v>
      </c>
      <c r="C22" s="46" t="s">
        <v>934</v>
      </c>
      <c r="D22" s="36">
        <v>2.0299999999999999E-2</v>
      </c>
      <c r="E22" s="30">
        <v>44.013499999999993</v>
      </c>
      <c r="F22" s="33">
        <f>IF(ISNUMBER(E22),E22*$D22,"")</f>
        <v>0.8934740499999998</v>
      </c>
      <c r="G22" s="44"/>
      <c r="H22" s="45"/>
      <c r="I22" s="149">
        <v>71.675892000000005</v>
      </c>
    </row>
    <row r="23" spans="1:9" ht="15.75" thickBot="1" x14ac:dyDescent="0.3">
      <c r="A23" s="217"/>
      <c r="B23" s="54" t="s">
        <v>514</v>
      </c>
      <c r="C23" s="79"/>
      <c r="D23" s="95"/>
      <c r="E23" s="66" t="s">
        <v>514</v>
      </c>
      <c r="F23" s="67" t="str">
        <f t="shared" ref="F23:F30" si="1">IF(ISNUMBER(E23),ROUND(E23*$D23,2),"")</f>
        <v/>
      </c>
      <c r="G23" s="68"/>
      <c r="H23" s="30"/>
      <c r="I23" s="149">
        <v>71.675892000000005</v>
      </c>
    </row>
    <row r="24" spans="1:9" ht="15.75" hidden="1" thickBot="1" x14ac:dyDescent="0.3">
      <c r="A24" s="216" t="e">
        <f>IFERROR(INDEX(#REF!,MATCH(LEFT(#REF!,12),#REF!,0),1),INDEX(#REF!,MATCH(LEFT(#REF!,13),#REF!,0),1))</f>
        <v>#REF!</v>
      </c>
      <c r="B24" s="40" t="s">
        <v>514</v>
      </c>
      <c r="C24" s="77" t="s">
        <v>119</v>
      </c>
      <c r="D24" s="93"/>
      <c r="E24" s="41" t="s">
        <v>514</v>
      </c>
      <c r="F24" s="41" t="str">
        <f t="shared" si="1"/>
        <v/>
      </c>
      <c r="G24" s="28"/>
      <c r="H24" s="29"/>
      <c r="I24" s="149">
        <v>0</v>
      </c>
    </row>
    <row r="25" spans="1:9" hidden="1" x14ac:dyDescent="0.25">
      <c r="A25" s="214"/>
      <c r="B25" s="31" t="s">
        <v>514</v>
      </c>
      <c r="C25" s="78"/>
      <c r="D25" s="91"/>
      <c r="E25" s="97" t="s">
        <v>514</v>
      </c>
      <c r="F25" s="98" t="str">
        <f t="shared" si="1"/>
        <v/>
      </c>
      <c r="G25" s="34"/>
      <c r="H25" s="30"/>
      <c r="I25" s="149">
        <v>0</v>
      </c>
    </row>
    <row r="26" spans="1:9" hidden="1" x14ac:dyDescent="0.25">
      <c r="A26" s="214"/>
      <c r="B26" s="35" t="s">
        <v>112</v>
      </c>
      <c r="C26" s="49" t="s">
        <v>119</v>
      </c>
      <c r="D26" s="36">
        <v>1.36</v>
      </c>
      <c r="E26" s="33">
        <v>185.66799999999998</v>
      </c>
      <c r="F26" s="33">
        <f t="shared" si="1"/>
        <v>252.51</v>
      </c>
      <c r="G26" s="44">
        <f>SUM(F26:F32)</f>
        <v>715.74381479199985</v>
      </c>
      <c r="H26" s="45"/>
      <c r="I26" s="149">
        <v>0</v>
      </c>
    </row>
    <row r="27" spans="1:9" hidden="1" x14ac:dyDescent="0.25">
      <c r="A27" s="214"/>
      <c r="B27" s="35" t="s">
        <v>113</v>
      </c>
      <c r="C27" s="49" t="s">
        <v>891</v>
      </c>
      <c r="D27" s="36">
        <v>459.85</v>
      </c>
      <c r="E27" s="33">
        <v>0.627</v>
      </c>
      <c r="F27" s="33">
        <f t="shared" si="1"/>
        <v>288.33</v>
      </c>
      <c r="G27" s="44"/>
      <c r="H27" s="45"/>
      <c r="I27" s="149">
        <v>0</v>
      </c>
    </row>
    <row r="28" spans="1:9" ht="25.5" hidden="1" x14ac:dyDescent="0.25">
      <c r="A28" s="214"/>
      <c r="B28" s="35" t="s">
        <v>115</v>
      </c>
      <c r="C28" s="49" t="s">
        <v>695</v>
      </c>
      <c r="D28" s="36">
        <v>4.8499999999999996</v>
      </c>
      <c r="E28" s="30">
        <v>18.534500000000001</v>
      </c>
      <c r="F28" s="33">
        <f t="shared" si="1"/>
        <v>89.89</v>
      </c>
      <c r="G28" s="44"/>
      <c r="H28" s="45"/>
      <c r="I28" s="149">
        <v>0</v>
      </c>
    </row>
    <row r="29" spans="1:9" ht="38.25" hidden="1" x14ac:dyDescent="0.25">
      <c r="A29" s="214"/>
      <c r="B29" s="35" t="s">
        <v>1411</v>
      </c>
      <c r="C29" s="49" t="s">
        <v>932</v>
      </c>
      <c r="D29" s="36">
        <v>1.1299999999999999</v>
      </c>
      <c r="E29" s="30">
        <v>1.3774999999999999</v>
      </c>
      <c r="F29" s="33">
        <f t="shared" si="1"/>
        <v>1.56</v>
      </c>
      <c r="G29" s="44"/>
      <c r="H29" s="45"/>
      <c r="I29" s="149">
        <v>0</v>
      </c>
    </row>
    <row r="30" spans="1:9" ht="38.25" hidden="1" x14ac:dyDescent="0.25">
      <c r="A30" s="214"/>
      <c r="B30" s="35" t="s">
        <v>1412</v>
      </c>
      <c r="C30" s="49" t="s">
        <v>934</v>
      </c>
      <c r="D30" s="36">
        <v>3.72</v>
      </c>
      <c r="E30" s="30">
        <v>0.36099999999999999</v>
      </c>
      <c r="F30" s="33">
        <f t="shared" si="1"/>
        <v>1.34</v>
      </c>
      <c r="G30" s="44"/>
      <c r="H30" s="45"/>
      <c r="I30" s="149">
        <v>0</v>
      </c>
    </row>
    <row r="31" spans="1:9" ht="51" hidden="1" x14ac:dyDescent="0.25">
      <c r="A31" s="214"/>
      <c r="B31" s="35" t="s">
        <v>3507</v>
      </c>
      <c r="C31" s="35" t="s">
        <v>119</v>
      </c>
      <c r="D31" s="36">
        <f>D26</f>
        <v>1.36</v>
      </c>
      <c r="E31" s="30">
        <v>7.9145696999999986</v>
      </c>
      <c r="F31" s="33">
        <f>IF(ISNUMBER(E31),E31*$D31,"")</f>
        <v>10.763814791999998</v>
      </c>
      <c r="G31" s="44"/>
      <c r="H31" s="45"/>
      <c r="I31" s="149">
        <v>0</v>
      </c>
    </row>
    <row r="32" spans="1:9" ht="38.25" hidden="1" x14ac:dyDescent="0.25">
      <c r="A32" s="214"/>
      <c r="B32" s="35" t="s">
        <v>3504</v>
      </c>
      <c r="C32" s="49" t="s">
        <v>121</v>
      </c>
      <c r="D32" s="36">
        <f>20*D26</f>
        <v>27.200000000000003</v>
      </c>
      <c r="E32" s="33">
        <v>2.6230221999999994</v>
      </c>
      <c r="F32" s="33">
        <f t="shared" ref="F32:F52" si="2">IF(ISNUMBER(E32),ROUND(E32*$D32,2),"")</f>
        <v>71.349999999999994</v>
      </c>
      <c r="G32" s="44"/>
      <c r="H32" s="45"/>
      <c r="I32" s="149">
        <v>0</v>
      </c>
    </row>
    <row r="33" spans="1:9" hidden="1" x14ac:dyDescent="0.25">
      <c r="A33" s="214"/>
      <c r="B33" s="50"/>
      <c r="C33" s="129"/>
      <c r="D33" s="36"/>
      <c r="E33" s="30" t="s">
        <v>514</v>
      </c>
      <c r="F33" s="33" t="str">
        <f t="shared" si="2"/>
        <v/>
      </c>
      <c r="G33" s="44"/>
      <c r="H33" s="45"/>
      <c r="I33" s="149">
        <v>0</v>
      </c>
    </row>
    <row r="34" spans="1:9" hidden="1" x14ac:dyDescent="0.25">
      <c r="A34" s="214"/>
      <c r="B34" s="47" t="s">
        <v>747</v>
      </c>
      <c r="C34" s="129"/>
      <c r="D34" s="36"/>
      <c r="E34" s="30" t="s">
        <v>514</v>
      </c>
      <c r="F34" s="33" t="str">
        <f t="shared" si="2"/>
        <v/>
      </c>
      <c r="G34" s="44"/>
      <c r="H34" s="45"/>
      <c r="I34" s="149">
        <v>0</v>
      </c>
    </row>
    <row r="35" spans="1:9" ht="15.75" hidden="1" thickBot="1" x14ac:dyDescent="0.3">
      <c r="A35" s="217"/>
      <c r="B35" s="103" t="s">
        <v>6381</v>
      </c>
      <c r="C35" s="79"/>
      <c r="D35" s="95"/>
      <c r="E35" s="66" t="s">
        <v>514</v>
      </c>
      <c r="F35" s="66" t="str">
        <f t="shared" si="2"/>
        <v/>
      </c>
      <c r="G35" s="68"/>
      <c r="H35" s="30"/>
      <c r="I35" s="149">
        <v>0</v>
      </c>
    </row>
    <row r="36" spans="1:9" ht="27.75" hidden="1" customHeight="1" thickBot="1" x14ac:dyDescent="0.3">
      <c r="A36" s="216" t="e">
        <f>IFERROR(INDEX(#REF!,MATCH(LEFT(#REF!,12),#REF!,0),1),INDEX(#REF!,MATCH(LEFT(#REF!,13),#REF!,0),1))</f>
        <v>#REF!</v>
      </c>
      <c r="B36" s="40" t="s">
        <v>514</v>
      </c>
      <c r="C36" s="77" t="s">
        <v>982</v>
      </c>
      <c r="D36" s="93"/>
      <c r="E36" s="41" t="s">
        <v>514</v>
      </c>
      <c r="F36" s="41" t="str">
        <f t="shared" si="2"/>
        <v/>
      </c>
      <c r="G36" s="28"/>
      <c r="H36" s="29"/>
      <c r="I36" s="149">
        <v>0</v>
      </c>
    </row>
    <row r="37" spans="1:9" ht="27.75" hidden="1" customHeight="1" x14ac:dyDescent="0.25">
      <c r="A37" s="214"/>
      <c r="B37" s="31" t="s">
        <v>514</v>
      </c>
      <c r="C37" s="78"/>
      <c r="D37" s="91"/>
      <c r="E37" s="97" t="s">
        <v>514</v>
      </c>
      <c r="F37" s="98" t="str">
        <f t="shared" si="2"/>
        <v/>
      </c>
      <c r="G37" s="34"/>
      <c r="H37" s="30"/>
      <c r="I37" s="149">
        <v>0</v>
      </c>
    </row>
    <row r="38" spans="1:9" ht="27.75" hidden="1" customHeight="1" x14ac:dyDescent="0.25">
      <c r="A38" s="214"/>
      <c r="B38" s="35" t="s">
        <v>3686</v>
      </c>
      <c r="C38" s="49" t="s">
        <v>473</v>
      </c>
      <c r="D38" s="36">
        <v>4.4320000000000004</v>
      </c>
      <c r="E38" s="33">
        <v>2.907</v>
      </c>
      <c r="F38" s="33">
        <f t="shared" si="2"/>
        <v>12.88</v>
      </c>
      <c r="G38" s="44">
        <f>SUM(F38:F44)</f>
        <v>240.16000000000003</v>
      </c>
      <c r="H38" s="45"/>
      <c r="I38" s="149">
        <v>0</v>
      </c>
    </row>
    <row r="39" spans="1:9" ht="27.75" hidden="1" customHeight="1" x14ac:dyDescent="0.25">
      <c r="A39" s="214"/>
      <c r="B39" s="35" t="s">
        <v>1356</v>
      </c>
      <c r="C39" s="49" t="s">
        <v>891</v>
      </c>
      <c r="D39" s="36">
        <v>8.5999999999999993E-2</v>
      </c>
      <c r="E39" s="33">
        <v>22.628999999999998</v>
      </c>
      <c r="F39" s="33">
        <f t="shared" si="2"/>
        <v>1.95</v>
      </c>
      <c r="G39" s="44"/>
      <c r="H39" s="45"/>
      <c r="I39" s="149">
        <v>0</v>
      </c>
    </row>
    <row r="40" spans="1:9" ht="27.75" hidden="1" customHeight="1" x14ac:dyDescent="0.25">
      <c r="A40" s="214"/>
      <c r="B40" s="35" t="s">
        <v>3732</v>
      </c>
      <c r="C40" s="49" t="s">
        <v>473</v>
      </c>
      <c r="D40" s="36">
        <v>6.53</v>
      </c>
      <c r="E40" s="30">
        <v>30.950999999999997</v>
      </c>
      <c r="F40" s="33">
        <f t="shared" si="2"/>
        <v>202.11</v>
      </c>
      <c r="G40" s="44"/>
      <c r="H40" s="45"/>
      <c r="I40" s="149">
        <v>0</v>
      </c>
    </row>
    <row r="41" spans="1:9" ht="27.75" hidden="1" customHeight="1" x14ac:dyDescent="0.25">
      <c r="A41" s="214"/>
      <c r="B41" s="35" t="s">
        <v>778</v>
      </c>
      <c r="C41" s="49" t="s">
        <v>695</v>
      </c>
      <c r="D41" s="36">
        <v>0.14299999999999999</v>
      </c>
      <c r="E41" s="30">
        <v>19.494</v>
      </c>
      <c r="F41" s="33">
        <f t="shared" si="2"/>
        <v>2.79</v>
      </c>
      <c r="G41" s="44"/>
      <c r="H41" s="45"/>
      <c r="I41" s="149">
        <v>0</v>
      </c>
    </row>
    <row r="42" spans="1:9" ht="27.75" hidden="1" customHeight="1" x14ac:dyDescent="0.25">
      <c r="A42" s="214"/>
      <c r="B42" s="35" t="s">
        <v>983</v>
      </c>
      <c r="C42" s="49" t="s">
        <v>695</v>
      </c>
      <c r="D42" s="36">
        <v>0.71499999999999997</v>
      </c>
      <c r="E42" s="30">
        <v>24.633499999999998</v>
      </c>
      <c r="F42" s="33">
        <f t="shared" si="2"/>
        <v>17.61</v>
      </c>
      <c r="G42" s="44"/>
      <c r="H42" s="45"/>
      <c r="I42" s="149">
        <v>0</v>
      </c>
    </row>
    <row r="43" spans="1:9" ht="27.75" hidden="1" customHeight="1" x14ac:dyDescent="0.25">
      <c r="A43" s="214"/>
      <c r="B43" s="35" t="s">
        <v>1146</v>
      </c>
      <c r="C43" s="49" t="s">
        <v>932</v>
      </c>
      <c r="D43" s="36">
        <v>0.05</v>
      </c>
      <c r="E43" s="30">
        <v>20.234999999999999</v>
      </c>
      <c r="F43" s="33">
        <f t="shared" si="2"/>
        <v>1.01</v>
      </c>
      <c r="G43" s="44"/>
      <c r="H43" s="45"/>
      <c r="I43" s="149">
        <v>0</v>
      </c>
    </row>
    <row r="44" spans="1:9" ht="27.75" hidden="1" customHeight="1" x14ac:dyDescent="0.25">
      <c r="A44" s="214"/>
      <c r="B44" s="35" t="s">
        <v>1147</v>
      </c>
      <c r="C44" s="49" t="s">
        <v>934</v>
      </c>
      <c r="D44" s="36">
        <v>9.2999999999999999E-2</v>
      </c>
      <c r="E44" s="33">
        <v>19.456</v>
      </c>
      <c r="F44" s="33">
        <f t="shared" si="2"/>
        <v>1.81</v>
      </c>
      <c r="G44" s="44"/>
      <c r="H44" s="45"/>
      <c r="I44" s="149">
        <v>0</v>
      </c>
    </row>
    <row r="45" spans="1:9" ht="27.75" hidden="1" customHeight="1" thickBot="1" x14ac:dyDescent="0.3">
      <c r="A45" s="217"/>
      <c r="B45" s="103"/>
      <c r="C45" s="79"/>
      <c r="D45" s="95"/>
      <c r="E45" s="66" t="s">
        <v>514</v>
      </c>
      <c r="F45" s="66" t="str">
        <f t="shared" si="2"/>
        <v/>
      </c>
      <c r="G45" s="68"/>
      <c r="H45" s="30"/>
      <c r="I45" s="149">
        <v>0</v>
      </c>
    </row>
    <row r="46" spans="1:9" ht="15.75" hidden="1" thickBot="1" x14ac:dyDescent="0.3">
      <c r="A46" s="216" t="e">
        <f>IFERROR(INDEX(#REF!,MATCH(LEFT(#REF!,12),#REF!,0),1),INDEX(#REF!,MATCH(LEFT(#REF!,13),#REF!,0),1))</f>
        <v>#REF!</v>
      </c>
      <c r="B46" s="40" t="s">
        <v>514</v>
      </c>
      <c r="C46" s="77" t="s">
        <v>119</v>
      </c>
      <c r="D46" s="93"/>
      <c r="E46" s="41" t="s">
        <v>514</v>
      </c>
      <c r="F46" s="41" t="str">
        <f t="shared" si="2"/>
        <v/>
      </c>
      <c r="G46" s="28"/>
      <c r="H46" s="29"/>
      <c r="I46" s="149">
        <v>0</v>
      </c>
    </row>
    <row r="47" spans="1:9" hidden="1" x14ac:dyDescent="0.25">
      <c r="A47" s="214"/>
      <c r="B47" s="31" t="s">
        <v>514</v>
      </c>
      <c r="C47" s="78"/>
      <c r="D47" s="91"/>
      <c r="E47" s="97" t="s">
        <v>514</v>
      </c>
      <c r="F47" s="98" t="str">
        <f t="shared" si="2"/>
        <v/>
      </c>
      <c r="G47" s="34"/>
      <c r="H47" s="30"/>
      <c r="I47" s="149">
        <v>0</v>
      </c>
    </row>
    <row r="48" spans="1:9" ht="25.5" hidden="1" x14ac:dyDescent="0.25">
      <c r="A48" s="214"/>
      <c r="B48" s="35" t="s">
        <v>1276</v>
      </c>
      <c r="C48" s="49" t="s">
        <v>119</v>
      </c>
      <c r="D48" s="36">
        <v>0.95</v>
      </c>
      <c r="E48" s="33">
        <v>188.09049999999999</v>
      </c>
      <c r="F48" s="33">
        <f t="shared" si="2"/>
        <v>178.69</v>
      </c>
      <c r="G48" s="44">
        <f>SUM(F48:F57)</f>
        <v>586.1088412150001</v>
      </c>
      <c r="H48" s="45"/>
      <c r="I48" s="149">
        <v>0</v>
      </c>
    </row>
    <row r="49" spans="1:9" hidden="1" x14ac:dyDescent="0.25">
      <c r="A49" s="214"/>
      <c r="B49" s="35" t="s">
        <v>740</v>
      </c>
      <c r="C49" s="49" t="s">
        <v>891</v>
      </c>
      <c r="D49" s="36">
        <v>426.49</v>
      </c>
      <c r="E49" s="33">
        <v>0.627</v>
      </c>
      <c r="F49" s="33">
        <f t="shared" si="2"/>
        <v>267.41000000000003</v>
      </c>
      <c r="G49" s="44"/>
      <c r="H49" s="45"/>
      <c r="I49" s="149">
        <v>0</v>
      </c>
    </row>
    <row r="50" spans="1:9" ht="25.5" hidden="1" x14ac:dyDescent="0.25">
      <c r="A50" s="214"/>
      <c r="B50" s="35" t="s">
        <v>1427</v>
      </c>
      <c r="C50" s="49" t="s">
        <v>695</v>
      </c>
      <c r="D50" s="36">
        <v>4.32</v>
      </c>
      <c r="E50" s="30">
        <v>18.534500000000001</v>
      </c>
      <c r="F50" s="33">
        <f t="shared" si="2"/>
        <v>80.069999999999993</v>
      </c>
      <c r="G50" s="44"/>
      <c r="H50" s="45"/>
      <c r="I50" s="149">
        <v>0</v>
      </c>
    </row>
    <row r="51" spans="1:9" ht="38.25" hidden="1" x14ac:dyDescent="0.25">
      <c r="A51" s="214"/>
      <c r="B51" s="35" t="s">
        <v>116</v>
      </c>
      <c r="C51" s="49" t="s">
        <v>932</v>
      </c>
      <c r="D51" s="36">
        <v>1.01</v>
      </c>
      <c r="E51" s="30">
        <v>1.3774999999999999</v>
      </c>
      <c r="F51" s="33">
        <f t="shared" si="2"/>
        <v>1.39</v>
      </c>
      <c r="G51" s="44"/>
      <c r="H51" s="45"/>
      <c r="I51" s="149">
        <v>0</v>
      </c>
    </row>
    <row r="52" spans="1:9" ht="38.25" hidden="1" x14ac:dyDescent="0.25">
      <c r="A52" s="214"/>
      <c r="B52" s="35" t="s">
        <v>117</v>
      </c>
      <c r="C52" s="49" t="s">
        <v>934</v>
      </c>
      <c r="D52" s="36">
        <v>3.31</v>
      </c>
      <c r="E52" s="30">
        <v>0.36099999999999999</v>
      </c>
      <c r="F52" s="33">
        <f t="shared" si="2"/>
        <v>1.19</v>
      </c>
      <c r="G52" s="44"/>
      <c r="H52" s="45"/>
      <c r="I52" s="149">
        <v>0</v>
      </c>
    </row>
    <row r="53" spans="1:9" ht="51" hidden="1" x14ac:dyDescent="0.25">
      <c r="A53" s="214"/>
      <c r="B53" s="35" t="s">
        <v>3507</v>
      </c>
      <c r="C53" s="35" t="s">
        <v>119</v>
      </c>
      <c r="D53" s="36">
        <f>D48</f>
        <v>0.95</v>
      </c>
      <c r="E53" s="30">
        <v>7.9145696999999986</v>
      </c>
      <c r="F53" s="33">
        <f>IF(ISNUMBER(E53),E53*$D53,"")</f>
        <v>7.5188412149999984</v>
      </c>
      <c r="G53" s="44"/>
      <c r="H53" s="45"/>
      <c r="I53" s="149">
        <v>0</v>
      </c>
    </row>
    <row r="54" spans="1:9" ht="38.25" hidden="1" x14ac:dyDescent="0.25">
      <c r="A54" s="214"/>
      <c r="B54" s="35" t="s">
        <v>3504</v>
      </c>
      <c r="C54" s="49" t="s">
        <v>121</v>
      </c>
      <c r="D54" s="36">
        <f>20*D48</f>
        <v>19</v>
      </c>
      <c r="E54" s="33">
        <v>2.6230221999999994</v>
      </c>
      <c r="F54" s="33">
        <f t="shared" ref="F54:F66" si="3">IF(ISNUMBER(E54),ROUND(E54*$D54,2),"")</f>
        <v>49.84</v>
      </c>
      <c r="G54" s="44"/>
      <c r="H54" s="45"/>
      <c r="I54" s="149">
        <v>0</v>
      </c>
    </row>
    <row r="55" spans="1:9" hidden="1" x14ac:dyDescent="0.25">
      <c r="A55" s="214"/>
      <c r="B55" s="50"/>
      <c r="C55" s="129"/>
      <c r="D55" s="36"/>
      <c r="E55" s="30" t="s">
        <v>514</v>
      </c>
      <c r="F55" s="33" t="str">
        <f t="shared" si="3"/>
        <v/>
      </c>
      <c r="G55" s="44"/>
      <c r="H55" s="45"/>
      <c r="I55" s="149">
        <v>0</v>
      </c>
    </row>
    <row r="56" spans="1:9" hidden="1" x14ac:dyDescent="0.25">
      <c r="A56" s="214"/>
      <c r="B56" s="47" t="s">
        <v>747</v>
      </c>
      <c r="C56" s="129"/>
      <c r="D56" s="36"/>
      <c r="E56" s="30" t="s">
        <v>514</v>
      </c>
      <c r="F56" s="33" t="str">
        <f t="shared" si="3"/>
        <v/>
      </c>
      <c r="G56" s="44"/>
      <c r="H56" s="45"/>
      <c r="I56" s="149">
        <v>0</v>
      </c>
    </row>
    <row r="57" spans="1:9" hidden="1" x14ac:dyDescent="0.25">
      <c r="A57" s="214"/>
      <c r="B57" s="47" t="s">
        <v>3674</v>
      </c>
      <c r="C57" s="49"/>
      <c r="D57" s="92"/>
      <c r="E57" s="30" t="s">
        <v>514</v>
      </c>
      <c r="F57" s="30" t="str">
        <f t="shared" si="3"/>
        <v/>
      </c>
      <c r="G57" s="44"/>
      <c r="H57" s="45"/>
      <c r="I57" s="149">
        <v>0</v>
      </c>
    </row>
    <row r="58" spans="1:9" ht="15.75" hidden="1" thickBot="1" x14ac:dyDescent="0.3">
      <c r="A58" s="217"/>
      <c r="B58" s="103"/>
      <c r="C58" s="79"/>
      <c r="D58" s="95"/>
      <c r="E58" s="66" t="s">
        <v>514</v>
      </c>
      <c r="F58" s="66" t="str">
        <f t="shared" si="3"/>
        <v/>
      </c>
      <c r="G58" s="68"/>
      <c r="H58" s="30"/>
      <c r="I58" s="149">
        <v>0</v>
      </c>
    </row>
    <row r="59" spans="1:9" ht="15.75" hidden="1" thickBot="1" x14ac:dyDescent="0.3">
      <c r="A59" s="216" t="e">
        <f>IFERROR(INDEX(#REF!,MATCH(LEFT(#REF!,12),#REF!,0),1),INDEX(#REF!,MATCH(LEFT(#REF!,13),#REF!,0),1))</f>
        <v>#REF!</v>
      </c>
      <c r="B59" s="40" t="s">
        <v>514</v>
      </c>
      <c r="C59" s="77" t="s">
        <v>119</v>
      </c>
      <c r="D59" s="93"/>
      <c r="E59" s="41" t="s">
        <v>514</v>
      </c>
      <c r="F59" s="41" t="str">
        <f t="shared" si="3"/>
        <v/>
      </c>
      <c r="G59" s="28"/>
      <c r="H59" s="29"/>
      <c r="I59" s="149">
        <v>0</v>
      </c>
    </row>
    <row r="60" spans="1:9" hidden="1" x14ac:dyDescent="0.25">
      <c r="A60" s="214"/>
      <c r="B60" s="31" t="s">
        <v>514</v>
      </c>
      <c r="C60" s="78"/>
      <c r="D60" s="91"/>
      <c r="E60" s="97" t="s">
        <v>514</v>
      </c>
      <c r="F60" s="98" t="str">
        <f t="shared" si="3"/>
        <v/>
      </c>
      <c r="G60" s="34"/>
      <c r="H60" s="30"/>
      <c r="I60" s="149">
        <v>0</v>
      </c>
    </row>
    <row r="61" spans="1:9" ht="25.5" hidden="1" x14ac:dyDescent="0.25">
      <c r="A61" s="214"/>
      <c r="B61" s="35" t="s">
        <v>744</v>
      </c>
      <c r="C61" s="49" t="s">
        <v>119</v>
      </c>
      <c r="D61" s="36">
        <v>1.1599999999999999</v>
      </c>
      <c r="E61" s="33">
        <v>185.66799999999998</v>
      </c>
      <c r="F61" s="33">
        <f t="shared" si="3"/>
        <v>215.37</v>
      </c>
      <c r="G61" s="44">
        <f>SUM(F61:F71)</f>
        <v>692.78090085200006</v>
      </c>
      <c r="H61" s="45"/>
      <c r="I61" s="149">
        <v>0</v>
      </c>
    </row>
    <row r="62" spans="1:9" hidden="1" x14ac:dyDescent="0.25">
      <c r="A62" s="214"/>
      <c r="B62" s="35" t="s">
        <v>1429</v>
      </c>
      <c r="C62" s="49" t="s">
        <v>891</v>
      </c>
      <c r="D62" s="36">
        <v>174.1</v>
      </c>
      <c r="E62" s="33">
        <v>1.1399999999999999</v>
      </c>
      <c r="F62" s="33">
        <f t="shared" si="3"/>
        <v>198.47</v>
      </c>
      <c r="G62" s="44"/>
      <c r="H62" s="45"/>
      <c r="I62" s="149">
        <v>0</v>
      </c>
    </row>
    <row r="63" spans="1:9" hidden="1" x14ac:dyDescent="0.25">
      <c r="A63" s="214"/>
      <c r="B63" s="35" t="s">
        <v>740</v>
      </c>
      <c r="C63" s="49" t="s">
        <v>891</v>
      </c>
      <c r="D63" s="36">
        <v>195.86</v>
      </c>
      <c r="E63" s="30">
        <v>0.627</v>
      </c>
      <c r="F63" s="33">
        <f t="shared" si="3"/>
        <v>122.8</v>
      </c>
      <c r="G63" s="44"/>
      <c r="H63" s="45"/>
      <c r="I63" s="149">
        <v>0</v>
      </c>
    </row>
    <row r="64" spans="1:9" ht="25.5" hidden="1" x14ac:dyDescent="0.25">
      <c r="A64" s="214"/>
      <c r="B64" s="35" t="s">
        <v>1427</v>
      </c>
      <c r="C64" s="49" t="s">
        <v>695</v>
      </c>
      <c r="D64" s="36">
        <v>4.5</v>
      </c>
      <c r="E64" s="30">
        <v>18.534500000000001</v>
      </c>
      <c r="F64" s="33">
        <f t="shared" si="3"/>
        <v>83.41</v>
      </c>
      <c r="G64" s="44"/>
      <c r="H64" s="45"/>
      <c r="I64" s="149">
        <v>0</v>
      </c>
    </row>
    <row r="65" spans="1:9" ht="38.25" hidden="1" x14ac:dyDescent="0.25">
      <c r="A65" s="214"/>
      <c r="B65" s="35" t="s">
        <v>116</v>
      </c>
      <c r="C65" s="49" t="s">
        <v>932</v>
      </c>
      <c r="D65" s="36">
        <v>1.05</v>
      </c>
      <c r="E65" s="30">
        <v>1.3774999999999999</v>
      </c>
      <c r="F65" s="33">
        <f t="shared" si="3"/>
        <v>1.45</v>
      </c>
      <c r="G65" s="44"/>
      <c r="H65" s="45"/>
      <c r="I65" s="149">
        <v>0</v>
      </c>
    </row>
    <row r="66" spans="1:9" ht="38.25" hidden="1" x14ac:dyDescent="0.25">
      <c r="A66" s="214"/>
      <c r="B66" s="35" t="s">
        <v>1412</v>
      </c>
      <c r="C66" s="49" t="s">
        <v>934</v>
      </c>
      <c r="D66" s="36">
        <v>3.45</v>
      </c>
      <c r="E66" s="30">
        <v>0.36099999999999999</v>
      </c>
      <c r="F66" s="33">
        <f t="shared" si="3"/>
        <v>1.25</v>
      </c>
      <c r="G66" s="44"/>
      <c r="H66" s="45"/>
      <c r="I66" s="149">
        <v>0</v>
      </c>
    </row>
    <row r="67" spans="1:9" ht="51" hidden="1" x14ac:dyDescent="0.25">
      <c r="A67" s="214"/>
      <c r="B67" s="35" t="s">
        <v>3507</v>
      </c>
      <c r="C67" s="35" t="s">
        <v>119</v>
      </c>
      <c r="D67" s="36">
        <f>D61</f>
        <v>1.1599999999999999</v>
      </c>
      <c r="E67" s="30">
        <v>7.9145696999999986</v>
      </c>
      <c r="F67" s="33">
        <f>IF(ISNUMBER(E67),E67*$D67,"")</f>
        <v>9.1809008519999971</v>
      </c>
      <c r="G67" s="44"/>
      <c r="H67" s="45"/>
      <c r="I67" s="149">
        <v>0</v>
      </c>
    </row>
    <row r="68" spans="1:9" ht="38.25" hidden="1" x14ac:dyDescent="0.25">
      <c r="A68" s="214"/>
      <c r="B68" s="35" t="s">
        <v>3504</v>
      </c>
      <c r="C68" s="49" t="s">
        <v>121</v>
      </c>
      <c r="D68" s="36">
        <f>20*D61</f>
        <v>23.2</v>
      </c>
      <c r="E68" s="33">
        <v>2.6230221999999994</v>
      </c>
      <c r="F68" s="33">
        <f t="shared" ref="F68:F87" si="4">IF(ISNUMBER(E68),ROUND(E68*$D68,2),"")</f>
        <v>60.85</v>
      </c>
      <c r="G68" s="44"/>
      <c r="H68" s="45"/>
      <c r="I68" s="149">
        <v>0</v>
      </c>
    </row>
    <row r="69" spans="1:9" hidden="1" x14ac:dyDescent="0.25">
      <c r="A69" s="214"/>
      <c r="B69" s="50"/>
      <c r="C69" s="129"/>
      <c r="D69" s="36"/>
      <c r="E69" s="30" t="s">
        <v>514</v>
      </c>
      <c r="F69" s="33" t="str">
        <f t="shared" si="4"/>
        <v/>
      </c>
      <c r="G69" s="44"/>
      <c r="H69" s="45"/>
      <c r="I69" s="149">
        <v>0</v>
      </c>
    </row>
    <row r="70" spans="1:9" hidden="1" x14ac:dyDescent="0.25">
      <c r="A70" s="214"/>
      <c r="B70" s="47" t="s">
        <v>747</v>
      </c>
      <c r="C70" s="129"/>
      <c r="D70" s="36"/>
      <c r="E70" s="30" t="s">
        <v>514</v>
      </c>
      <c r="F70" s="33" t="str">
        <f t="shared" si="4"/>
        <v/>
      </c>
      <c r="G70" s="44"/>
      <c r="H70" s="45"/>
      <c r="I70" s="149">
        <v>0</v>
      </c>
    </row>
    <row r="71" spans="1:9" hidden="1" x14ac:dyDescent="0.25">
      <c r="A71" s="214"/>
      <c r="B71" s="47" t="s">
        <v>3674</v>
      </c>
      <c r="C71" s="49"/>
      <c r="D71" s="92"/>
      <c r="E71" s="30" t="s">
        <v>514</v>
      </c>
      <c r="F71" s="30" t="str">
        <f t="shared" si="4"/>
        <v/>
      </c>
      <c r="G71" s="44"/>
      <c r="H71" s="45"/>
      <c r="I71" s="149">
        <v>0</v>
      </c>
    </row>
    <row r="72" spans="1:9" ht="15.75" hidden="1" thickBot="1" x14ac:dyDescent="0.3">
      <c r="A72" s="217"/>
      <c r="B72" s="103"/>
      <c r="C72" s="79"/>
      <c r="D72" s="95"/>
      <c r="E72" s="66" t="s">
        <v>514</v>
      </c>
      <c r="F72" s="66" t="str">
        <f t="shared" si="4"/>
        <v/>
      </c>
      <c r="G72" s="68"/>
      <c r="H72" s="30"/>
      <c r="I72" s="149">
        <v>0</v>
      </c>
    </row>
    <row r="73" spans="1:9" ht="27.75" hidden="1" customHeight="1" thickBot="1" x14ac:dyDescent="0.3">
      <c r="A73" s="216" t="e">
        <f>IFERROR(INDEX(#REF!,MATCH(LEFT(#REF!,12),#REF!,0),1),INDEX(#REF!,MATCH(LEFT(#REF!,13),#REF!,0),1))</f>
        <v>#REF!</v>
      </c>
      <c r="B73" s="40" t="s">
        <v>514</v>
      </c>
      <c r="C73" s="77" t="s">
        <v>891</v>
      </c>
      <c r="D73" s="93"/>
      <c r="E73" s="41" t="s">
        <v>514</v>
      </c>
      <c r="F73" s="41" t="str">
        <f t="shared" si="4"/>
        <v/>
      </c>
      <c r="G73" s="28"/>
      <c r="H73" s="29"/>
      <c r="I73" s="149">
        <v>0</v>
      </c>
    </row>
    <row r="74" spans="1:9" ht="27.75" hidden="1" customHeight="1" x14ac:dyDescent="0.25">
      <c r="A74" s="214"/>
      <c r="B74" s="31" t="s">
        <v>514</v>
      </c>
      <c r="C74" s="78"/>
      <c r="D74" s="91"/>
      <c r="E74" s="97" t="s">
        <v>514</v>
      </c>
      <c r="F74" s="98" t="str">
        <f t="shared" si="4"/>
        <v/>
      </c>
      <c r="G74" s="34"/>
      <c r="H74" s="30"/>
      <c r="I74" s="149">
        <v>0</v>
      </c>
    </row>
    <row r="75" spans="1:9" ht="27.75" hidden="1" customHeight="1" x14ac:dyDescent="0.25">
      <c r="A75" s="214"/>
      <c r="B75" s="35" t="s">
        <v>892</v>
      </c>
      <c r="C75" s="35" t="s">
        <v>278</v>
      </c>
      <c r="D75" s="36">
        <v>2.8159999999999998</v>
      </c>
      <c r="E75" s="33">
        <v>0.20899999999999999</v>
      </c>
      <c r="F75" s="33">
        <f t="shared" si="4"/>
        <v>0.59</v>
      </c>
      <c r="G75" s="44">
        <f>SUM(F75:F79)</f>
        <v>16.93</v>
      </c>
      <c r="H75" s="45"/>
      <c r="I75" s="149">
        <v>0</v>
      </c>
    </row>
    <row r="76" spans="1:9" ht="27.75" hidden="1" customHeight="1" x14ac:dyDescent="0.25">
      <c r="A76" s="214"/>
      <c r="B76" s="35" t="s">
        <v>3489</v>
      </c>
      <c r="C76" s="35" t="s">
        <v>891</v>
      </c>
      <c r="D76" s="36">
        <v>2.5000000000000001E-2</v>
      </c>
      <c r="E76" s="33">
        <v>22.363</v>
      </c>
      <c r="F76" s="33">
        <f t="shared" si="4"/>
        <v>0.56000000000000005</v>
      </c>
      <c r="G76" s="44"/>
      <c r="H76" s="45"/>
      <c r="I76" s="149">
        <v>0</v>
      </c>
    </row>
    <row r="77" spans="1:9" ht="27.75" hidden="1" customHeight="1" x14ac:dyDescent="0.25">
      <c r="A77" s="214"/>
      <c r="B77" s="35" t="s">
        <v>893</v>
      </c>
      <c r="C77" s="35" t="s">
        <v>695</v>
      </c>
      <c r="D77" s="36">
        <v>1.72E-2</v>
      </c>
      <c r="E77" s="30">
        <v>18.3825</v>
      </c>
      <c r="F77" s="33">
        <f t="shared" si="4"/>
        <v>0.32</v>
      </c>
      <c r="G77" s="44"/>
      <c r="H77" s="45"/>
      <c r="I77" s="149">
        <v>0</v>
      </c>
    </row>
    <row r="78" spans="1:9" ht="27.75" hidden="1" customHeight="1" x14ac:dyDescent="0.25">
      <c r="A78" s="214"/>
      <c r="B78" s="35" t="s">
        <v>894</v>
      </c>
      <c r="C78" s="35" t="s">
        <v>695</v>
      </c>
      <c r="D78" s="36">
        <v>0.1055</v>
      </c>
      <c r="E78" s="30">
        <v>24.747499999999999</v>
      </c>
      <c r="F78" s="33">
        <f t="shared" si="4"/>
        <v>2.61</v>
      </c>
      <c r="G78" s="44"/>
      <c r="H78" s="45"/>
      <c r="I78" s="149">
        <v>0</v>
      </c>
    </row>
    <row r="79" spans="1:9" ht="27.75" hidden="1" customHeight="1" x14ac:dyDescent="0.25">
      <c r="A79" s="214"/>
      <c r="B79" s="35" t="s">
        <v>8004</v>
      </c>
      <c r="C79" s="46" t="s">
        <v>891</v>
      </c>
      <c r="D79" s="36">
        <v>1</v>
      </c>
      <c r="E79" s="30">
        <v>12.846897500000001</v>
      </c>
      <c r="F79" s="33">
        <f t="shared" si="4"/>
        <v>12.85</v>
      </c>
      <c r="G79" s="44"/>
      <c r="H79" s="45"/>
      <c r="I79" s="149">
        <v>0</v>
      </c>
    </row>
    <row r="80" spans="1:9" ht="27.75" hidden="1" customHeight="1" thickBot="1" x14ac:dyDescent="0.3">
      <c r="A80" s="217"/>
      <c r="B80" s="103"/>
      <c r="C80" s="79"/>
      <c r="D80" s="95"/>
      <c r="E80" s="66" t="s">
        <v>514</v>
      </c>
      <c r="F80" s="66" t="str">
        <f t="shared" si="4"/>
        <v/>
      </c>
      <c r="G80" s="68"/>
      <c r="H80" s="30"/>
      <c r="I80" s="149">
        <v>0</v>
      </c>
    </row>
    <row r="81" spans="1:9" ht="15.75" hidden="1" thickBot="1" x14ac:dyDescent="0.3">
      <c r="A81" s="216" t="e">
        <f>IFERROR(INDEX(#REF!,MATCH(LEFT(#REF!,12),#REF!,0),1),INDEX(#REF!,MATCH(LEFT(#REF!,13),#REF!,0),1))</f>
        <v>#REF!</v>
      </c>
      <c r="B81" s="40" t="s">
        <v>514</v>
      </c>
      <c r="C81" s="77" t="s">
        <v>119</v>
      </c>
      <c r="D81" s="93"/>
      <c r="E81" s="41" t="s">
        <v>514</v>
      </c>
      <c r="F81" s="41" t="str">
        <f t="shared" si="4"/>
        <v/>
      </c>
      <c r="G81" s="28"/>
      <c r="H81" s="29"/>
      <c r="I81" s="149">
        <v>0</v>
      </c>
    </row>
    <row r="82" spans="1:9" hidden="1" x14ac:dyDescent="0.25">
      <c r="A82" s="214"/>
      <c r="B82" s="31" t="s">
        <v>514</v>
      </c>
      <c r="C82" s="78"/>
      <c r="D82" s="91"/>
      <c r="E82" s="97" t="s">
        <v>514</v>
      </c>
      <c r="F82" s="98" t="str">
        <f t="shared" si="4"/>
        <v/>
      </c>
      <c r="G82" s="34"/>
      <c r="H82" s="30"/>
      <c r="I82" s="149">
        <v>0</v>
      </c>
    </row>
    <row r="83" spans="1:9" ht="25.5" hidden="1" x14ac:dyDescent="0.25">
      <c r="A83" s="214"/>
      <c r="B83" s="35" t="s">
        <v>744</v>
      </c>
      <c r="C83" s="49" t="s">
        <v>119</v>
      </c>
      <c r="D83" s="36">
        <v>0.71189999999999998</v>
      </c>
      <c r="E83" s="33">
        <v>185.66799999999998</v>
      </c>
      <c r="F83" s="33">
        <f t="shared" si="4"/>
        <v>132.18</v>
      </c>
      <c r="G83" s="44">
        <f>SUM(F83:F91)</f>
        <v>608.56767733061997</v>
      </c>
      <c r="H83" s="45"/>
      <c r="I83" s="149">
        <v>0</v>
      </c>
    </row>
    <row r="84" spans="1:9" hidden="1" x14ac:dyDescent="0.25">
      <c r="A84" s="214"/>
      <c r="B84" s="35" t="s">
        <v>740</v>
      </c>
      <c r="C84" s="49" t="s">
        <v>891</v>
      </c>
      <c r="D84" s="36">
        <v>391.16629999999998</v>
      </c>
      <c r="E84" s="33">
        <v>0.627</v>
      </c>
      <c r="F84" s="33">
        <f t="shared" si="4"/>
        <v>245.26</v>
      </c>
      <c r="G84" s="44"/>
      <c r="H84" s="45"/>
      <c r="I84" s="149">
        <v>0</v>
      </c>
    </row>
    <row r="85" spans="1:9" ht="25.5" hidden="1" x14ac:dyDescent="0.25">
      <c r="A85" s="214"/>
      <c r="B85" s="35" t="s">
        <v>752</v>
      </c>
      <c r="C85" s="49" t="s">
        <v>119</v>
      </c>
      <c r="D85" s="36">
        <v>0.5927</v>
      </c>
      <c r="E85" s="30">
        <v>151.202</v>
      </c>
      <c r="F85" s="33">
        <f t="shared" si="4"/>
        <v>89.62</v>
      </c>
      <c r="G85" s="44"/>
      <c r="H85" s="45"/>
      <c r="I85" s="149">
        <v>0</v>
      </c>
    </row>
    <row r="86" spans="1:9" hidden="1" x14ac:dyDescent="0.25">
      <c r="A86" s="214"/>
      <c r="B86" s="35" t="s">
        <v>696</v>
      </c>
      <c r="C86" s="49" t="s">
        <v>695</v>
      </c>
      <c r="D86" s="36">
        <v>1.9633</v>
      </c>
      <c r="E86" s="30">
        <v>18.420500000000001</v>
      </c>
      <c r="F86" s="33">
        <f t="shared" si="4"/>
        <v>36.159999999999997</v>
      </c>
      <c r="G86" s="44"/>
      <c r="H86" s="45"/>
      <c r="I86" s="149">
        <v>0</v>
      </c>
    </row>
    <row r="87" spans="1:9" ht="25.5" hidden="1" x14ac:dyDescent="0.25">
      <c r="A87" s="214"/>
      <c r="B87" s="35" t="s">
        <v>1427</v>
      </c>
      <c r="C87" s="49" t="s">
        <v>695</v>
      </c>
      <c r="D87" s="36">
        <v>1.24</v>
      </c>
      <c r="E87" s="30">
        <v>18.534500000000001</v>
      </c>
      <c r="F87" s="33">
        <f t="shared" si="4"/>
        <v>22.98</v>
      </c>
      <c r="G87" s="44"/>
      <c r="H87" s="45"/>
      <c r="I87" s="149">
        <v>0</v>
      </c>
    </row>
    <row r="88" spans="1:9" ht="38.25" hidden="1" x14ac:dyDescent="0.25">
      <c r="A88" s="214"/>
      <c r="B88" s="35" t="s">
        <v>1355</v>
      </c>
      <c r="C88" s="35" t="s">
        <v>932</v>
      </c>
      <c r="D88" s="36">
        <v>0.63819999999999999</v>
      </c>
      <c r="E88" s="30">
        <v>4.2560000000000002</v>
      </c>
      <c r="F88" s="33">
        <f>IF(ISNUMBER(E88),E88*$D88,"")</f>
        <v>2.7161792</v>
      </c>
      <c r="G88" s="44"/>
      <c r="H88" s="45"/>
      <c r="I88" s="149">
        <v>0</v>
      </c>
    </row>
    <row r="89" spans="1:9" ht="38.25" hidden="1" x14ac:dyDescent="0.25">
      <c r="A89" s="214"/>
      <c r="B89" s="35" t="s">
        <v>1428</v>
      </c>
      <c r="C89" s="46" t="s">
        <v>934</v>
      </c>
      <c r="D89" s="36">
        <v>0.6018</v>
      </c>
      <c r="E89" s="30">
        <v>1.4724999999999999</v>
      </c>
      <c r="F89" s="33">
        <f>IF(ISNUMBER(E89),E89*$D89,"")</f>
        <v>0.88615049999999995</v>
      </c>
      <c r="G89" s="44"/>
      <c r="H89" s="45"/>
      <c r="I89" s="149">
        <v>0</v>
      </c>
    </row>
    <row r="90" spans="1:9" ht="51" hidden="1" x14ac:dyDescent="0.25">
      <c r="A90" s="214"/>
      <c r="B90" s="35" t="s">
        <v>3507</v>
      </c>
      <c r="C90" s="35" t="s">
        <v>119</v>
      </c>
      <c r="D90" s="36">
        <f>D83+D85</f>
        <v>1.3046</v>
      </c>
      <c r="E90" s="30">
        <v>7.9145696999999986</v>
      </c>
      <c r="F90" s="33">
        <f>IF(ISNUMBER(E90),E90*$D90,"")</f>
        <v>10.325347630619998</v>
      </c>
      <c r="G90" s="44"/>
      <c r="H90" s="45"/>
      <c r="I90" s="149">
        <v>0</v>
      </c>
    </row>
    <row r="91" spans="1:9" ht="38.25" hidden="1" x14ac:dyDescent="0.25">
      <c r="A91" s="214"/>
      <c r="B91" s="35" t="s">
        <v>3504</v>
      </c>
      <c r="C91" s="49" t="s">
        <v>121</v>
      </c>
      <c r="D91" s="36">
        <f>20*(D83+D85)</f>
        <v>26.091999999999999</v>
      </c>
      <c r="E91" s="33">
        <v>2.6230221999999994</v>
      </c>
      <c r="F91" s="33">
        <f t="shared" ref="F91:F101" si="5">IF(ISNUMBER(E91),ROUND(E91*$D91,2),"")</f>
        <v>68.44</v>
      </c>
      <c r="G91" s="44"/>
      <c r="H91" s="45"/>
      <c r="I91" s="149">
        <v>0</v>
      </c>
    </row>
    <row r="92" spans="1:9" hidden="1" x14ac:dyDescent="0.25">
      <c r="A92" s="214"/>
      <c r="B92" s="50"/>
      <c r="C92" s="129"/>
      <c r="D92" s="36"/>
      <c r="E92" s="30" t="s">
        <v>514</v>
      </c>
      <c r="F92" s="33" t="str">
        <f t="shared" si="5"/>
        <v/>
      </c>
      <c r="G92" s="44"/>
      <c r="H92" s="45"/>
      <c r="I92" s="149">
        <v>0</v>
      </c>
    </row>
    <row r="93" spans="1:9" hidden="1" x14ac:dyDescent="0.25">
      <c r="A93" s="214"/>
      <c r="B93" s="47" t="s">
        <v>747</v>
      </c>
      <c r="C93" s="129"/>
      <c r="D93" s="36"/>
      <c r="E93" s="30" t="s">
        <v>514</v>
      </c>
      <c r="F93" s="33" t="str">
        <f t="shared" si="5"/>
        <v/>
      </c>
      <c r="G93" s="44"/>
      <c r="H93" s="45"/>
      <c r="I93" s="149">
        <v>0</v>
      </c>
    </row>
    <row r="94" spans="1:9" ht="15.75" hidden="1" thickBot="1" x14ac:dyDescent="0.3">
      <c r="A94" s="217"/>
      <c r="B94" s="103"/>
      <c r="C94" s="79"/>
      <c r="D94" s="95"/>
      <c r="E94" s="66" t="s">
        <v>514</v>
      </c>
      <c r="F94" s="66" t="str">
        <f t="shared" si="5"/>
        <v/>
      </c>
      <c r="G94" s="68"/>
      <c r="H94" s="30"/>
      <c r="I94" s="149">
        <v>0</v>
      </c>
    </row>
    <row r="95" spans="1:9" ht="15.75" hidden="1" thickBot="1" x14ac:dyDescent="0.3">
      <c r="A95" s="216" t="e">
        <f>IFERROR(INDEX(#REF!,MATCH(LEFT(#REF!,12),#REF!,0),1),INDEX(#REF!,MATCH(LEFT(#REF!,13),#REF!,0),1))</f>
        <v>#REF!</v>
      </c>
      <c r="B95" s="40" t="s">
        <v>514</v>
      </c>
      <c r="C95" s="77" t="s">
        <v>119</v>
      </c>
      <c r="D95" s="93"/>
      <c r="E95" s="41" t="s">
        <v>514</v>
      </c>
      <c r="F95" s="41" t="str">
        <f t="shared" si="5"/>
        <v/>
      </c>
      <c r="G95" s="28"/>
      <c r="H95" s="29"/>
      <c r="I95" s="149">
        <v>0</v>
      </c>
    </row>
    <row r="96" spans="1:9" hidden="1" x14ac:dyDescent="0.25">
      <c r="A96" s="214"/>
      <c r="B96" s="31" t="s">
        <v>514</v>
      </c>
      <c r="C96" s="78"/>
      <c r="D96" s="91"/>
      <c r="E96" s="97" t="s">
        <v>514</v>
      </c>
      <c r="F96" s="98" t="str">
        <f t="shared" si="5"/>
        <v/>
      </c>
      <c r="G96" s="34"/>
      <c r="H96" s="30"/>
      <c r="I96" s="149">
        <v>0</v>
      </c>
    </row>
    <row r="97" spans="1:9" ht="25.5" hidden="1" x14ac:dyDescent="0.25">
      <c r="A97" s="214"/>
      <c r="B97" s="35" t="s">
        <v>744</v>
      </c>
      <c r="C97" s="49" t="s">
        <v>119</v>
      </c>
      <c r="D97" s="36">
        <v>0.72750000000000004</v>
      </c>
      <c r="E97" s="33">
        <v>185.66799999999998</v>
      </c>
      <c r="F97" s="33">
        <f t="shared" si="5"/>
        <v>135.07</v>
      </c>
      <c r="G97" s="44">
        <f>SUM(F97:F105)</f>
        <v>597.42610663159007</v>
      </c>
      <c r="H97" s="45"/>
      <c r="I97" s="149">
        <v>0</v>
      </c>
    </row>
    <row r="98" spans="1:9" hidden="1" x14ac:dyDescent="0.25">
      <c r="A98" s="214"/>
      <c r="B98" s="35" t="s">
        <v>740</v>
      </c>
      <c r="C98" s="49" t="s">
        <v>891</v>
      </c>
      <c r="D98" s="36">
        <v>364.94330000000002</v>
      </c>
      <c r="E98" s="33">
        <v>0.627</v>
      </c>
      <c r="F98" s="33">
        <f t="shared" si="5"/>
        <v>228.82</v>
      </c>
      <c r="G98" s="44"/>
      <c r="H98" s="45"/>
      <c r="I98" s="149">
        <v>0</v>
      </c>
    </row>
    <row r="99" spans="1:9" ht="25.5" hidden="1" x14ac:dyDescent="0.25">
      <c r="A99" s="214"/>
      <c r="B99" s="35" t="s">
        <v>752</v>
      </c>
      <c r="C99" s="49" t="s">
        <v>119</v>
      </c>
      <c r="D99" s="36">
        <v>0.59719999999999995</v>
      </c>
      <c r="E99" s="30">
        <v>151.202</v>
      </c>
      <c r="F99" s="33">
        <f t="shared" si="5"/>
        <v>90.3</v>
      </c>
      <c r="G99" s="44"/>
      <c r="H99" s="45"/>
      <c r="I99" s="149">
        <v>0</v>
      </c>
    </row>
    <row r="100" spans="1:9" hidden="1" x14ac:dyDescent="0.25">
      <c r="A100" s="214"/>
      <c r="B100" s="35" t="s">
        <v>696</v>
      </c>
      <c r="C100" s="49" t="s">
        <v>695</v>
      </c>
      <c r="D100" s="36">
        <v>1.9792000000000001</v>
      </c>
      <c r="E100" s="30">
        <v>18.420500000000001</v>
      </c>
      <c r="F100" s="33">
        <f t="shared" si="5"/>
        <v>36.46</v>
      </c>
      <c r="G100" s="44"/>
      <c r="H100" s="45"/>
      <c r="I100" s="149">
        <v>0</v>
      </c>
    </row>
    <row r="101" spans="1:9" ht="25.5" hidden="1" x14ac:dyDescent="0.25">
      <c r="A101" s="214"/>
      <c r="B101" s="35" t="s">
        <v>1427</v>
      </c>
      <c r="C101" s="49" t="s">
        <v>695</v>
      </c>
      <c r="D101" s="36">
        <v>1.2501</v>
      </c>
      <c r="E101" s="30">
        <v>18.534500000000001</v>
      </c>
      <c r="F101" s="33">
        <f t="shared" si="5"/>
        <v>23.17</v>
      </c>
      <c r="G101" s="44"/>
      <c r="H101" s="45"/>
      <c r="I101" s="149">
        <v>0</v>
      </c>
    </row>
    <row r="102" spans="1:9" ht="38.25" hidden="1" x14ac:dyDescent="0.25">
      <c r="A102" s="214"/>
      <c r="B102" s="35" t="s">
        <v>1355</v>
      </c>
      <c r="C102" s="35" t="s">
        <v>932</v>
      </c>
      <c r="D102" s="36">
        <v>0.64339999999999997</v>
      </c>
      <c r="E102" s="30">
        <v>4.2560000000000002</v>
      </c>
      <c r="F102" s="33">
        <f>IF(ISNUMBER(E102),E102*$D102,"")</f>
        <v>2.7383104</v>
      </c>
      <c r="G102" s="44"/>
      <c r="H102" s="45"/>
      <c r="I102" s="149">
        <v>0</v>
      </c>
    </row>
    <row r="103" spans="1:9" ht="38.25" hidden="1" x14ac:dyDescent="0.25">
      <c r="A103" s="214"/>
      <c r="B103" s="35" t="s">
        <v>1428</v>
      </c>
      <c r="C103" s="46" t="s">
        <v>934</v>
      </c>
      <c r="D103" s="36">
        <v>0.60670000000000002</v>
      </c>
      <c r="E103" s="30">
        <v>1.4724999999999999</v>
      </c>
      <c r="F103" s="33">
        <f>IF(ISNUMBER(E103),E103*$D103,"")</f>
        <v>0.89336574999999996</v>
      </c>
      <c r="G103" s="44"/>
      <c r="H103" s="45"/>
      <c r="I103" s="149">
        <v>0</v>
      </c>
    </row>
    <row r="104" spans="1:9" ht="51" hidden="1" x14ac:dyDescent="0.25">
      <c r="A104" s="214"/>
      <c r="B104" s="35" t="s">
        <v>3507</v>
      </c>
      <c r="C104" s="35" t="s">
        <v>119</v>
      </c>
      <c r="D104" s="36">
        <f>D97+D99</f>
        <v>1.3247</v>
      </c>
      <c r="E104" s="30">
        <v>7.9145696999999986</v>
      </c>
      <c r="F104" s="33">
        <f>IF(ISNUMBER(E104),E104*$D104,"")</f>
        <v>10.484430481589998</v>
      </c>
      <c r="G104" s="44"/>
      <c r="H104" s="45"/>
      <c r="I104" s="149">
        <v>0</v>
      </c>
    </row>
    <row r="105" spans="1:9" ht="38.25" hidden="1" x14ac:dyDescent="0.25">
      <c r="A105" s="214"/>
      <c r="B105" s="35" t="s">
        <v>3504</v>
      </c>
      <c r="C105" s="49" t="s">
        <v>121</v>
      </c>
      <c r="D105" s="36">
        <f>20*(D97+D99)</f>
        <v>26.494</v>
      </c>
      <c r="E105" s="33">
        <v>2.6230221999999994</v>
      </c>
      <c r="F105" s="33">
        <f t="shared" ref="F105:F115" si="6">IF(ISNUMBER(E105),ROUND(E105*$D105,2),"")</f>
        <v>69.489999999999995</v>
      </c>
      <c r="G105" s="44"/>
      <c r="H105" s="45"/>
      <c r="I105" s="149">
        <v>0</v>
      </c>
    </row>
    <row r="106" spans="1:9" hidden="1" x14ac:dyDescent="0.25">
      <c r="A106" s="214"/>
      <c r="B106" s="50"/>
      <c r="C106" s="129"/>
      <c r="D106" s="36"/>
      <c r="E106" s="30" t="s">
        <v>514</v>
      </c>
      <c r="F106" s="33" t="str">
        <f t="shared" si="6"/>
        <v/>
      </c>
      <c r="G106" s="44"/>
      <c r="H106" s="45"/>
      <c r="I106" s="149">
        <v>0</v>
      </c>
    </row>
    <row r="107" spans="1:9" hidden="1" x14ac:dyDescent="0.25">
      <c r="A107" s="214"/>
      <c r="B107" s="47" t="s">
        <v>747</v>
      </c>
      <c r="C107" s="129"/>
      <c r="D107" s="36"/>
      <c r="E107" s="30" t="s">
        <v>514</v>
      </c>
      <c r="F107" s="33" t="str">
        <f t="shared" si="6"/>
        <v/>
      </c>
      <c r="G107" s="44"/>
      <c r="H107" s="45"/>
      <c r="I107" s="149">
        <v>0</v>
      </c>
    </row>
    <row r="108" spans="1:9" ht="15.75" hidden="1" thickBot="1" x14ac:dyDescent="0.3">
      <c r="A108" s="217"/>
      <c r="B108" s="103"/>
      <c r="C108" s="79"/>
      <c r="D108" s="95"/>
      <c r="E108" s="66" t="s">
        <v>514</v>
      </c>
      <c r="F108" s="66" t="str">
        <f t="shared" si="6"/>
        <v/>
      </c>
      <c r="G108" s="68"/>
      <c r="H108" s="30"/>
      <c r="I108" s="149">
        <v>0</v>
      </c>
    </row>
    <row r="109" spans="1:9" ht="15.75" hidden="1" thickBot="1" x14ac:dyDescent="0.3">
      <c r="A109" s="216" t="e">
        <f>IFERROR(INDEX(#REF!,MATCH(LEFT(#REF!,12),#REF!,0),1),INDEX(#REF!,MATCH(LEFT(#REF!,13),#REF!,0),1))</f>
        <v>#REF!</v>
      </c>
      <c r="B109" s="40" t="s">
        <v>514</v>
      </c>
      <c r="C109" s="77" t="s">
        <v>119</v>
      </c>
      <c r="D109" s="93"/>
      <c r="E109" s="41" t="s">
        <v>514</v>
      </c>
      <c r="F109" s="41" t="str">
        <f t="shared" si="6"/>
        <v/>
      </c>
      <c r="G109" s="28"/>
      <c r="H109" s="29"/>
      <c r="I109" s="149">
        <v>0</v>
      </c>
    </row>
    <row r="110" spans="1:9" hidden="1" x14ac:dyDescent="0.25">
      <c r="A110" s="214"/>
      <c r="B110" s="31" t="s">
        <v>514</v>
      </c>
      <c r="C110" s="78"/>
      <c r="D110" s="91"/>
      <c r="E110" s="97" t="s">
        <v>514</v>
      </c>
      <c r="F110" s="98" t="str">
        <f t="shared" si="6"/>
        <v/>
      </c>
      <c r="G110" s="34"/>
      <c r="H110" s="30"/>
      <c r="I110" s="149">
        <v>0</v>
      </c>
    </row>
    <row r="111" spans="1:9" ht="25.5" hidden="1" x14ac:dyDescent="0.25">
      <c r="A111" s="214"/>
      <c r="B111" s="35" t="s">
        <v>1276</v>
      </c>
      <c r="C111" s="49" t="s">
        <v>119</v>
      </c>
      <c r="D111" s="36">
        <v>0.63019999999999998</v>
      </c>
      <c r="E111" s="33">
        <v>188.09049999999999</v>
      </c>
      <c r="F111" s="33">
        <f t="shared" si="6"/>
        <v>118.53</v>
      </c>
      <c r="G111" s="44">
        <f>SUM(F111:F120)</f>
        <v>653.90846837247989</v>
      </c>
      <c r="H111" s="45"/>
      <c r="I111" s="149">
        <v>0</v>
      </c>
    </row>
    <row r="112" spans="1:9" hidden="1" x14ac:dyDescent="0.25">
      <c r="A112" s="214"/>
      <c r="B112" s="35" t="s">
        <v>1429</v>
      </c>
      <c r="C112" s="49" t="s">
        <v>891</v>
      </c>
      <c r="D112" s="36">
        <v>15.125500000000001</v>
      </c>
      <c r="E112" s="33">
        <v>1.1399999999999999</v>
      </c>
      <c r="F112" s="33">
        <f t="shared" si="6"/>
        <v>17.239999999999998</v>
      </c>
      <c r="G112" s="44"/>
      <c r="H112" s="45"/>
      <c r="I112" s="149">
        <v>0</v>
      </c>
    </row>
    <row r="113" spans="1:9" hidden="1" x14ac:dyDescent="0.25">
      <c r="A113" s="214"/>
      <c r="B113" s="35" t="s">
        <v>740</v>
      </c>
      <c r="C113" s="49" t="s">
        <v>891</v>
      </c>
      <c r="D113" s="36">
        <v>420.15269999999998</v>
      </c>
      <c r="E113" s="30">
        <v>0.627</v>
      </c>
      <c r="F113" s="33">
        <f t="shared" si="6"/>
        <v>263.44</v>
      </c>
      <c r="G113" s="44"/>
      <c r="H113" s="45"/>
      <c r="I113" s="149">
        <v>0</v>
      </c>
    </row>
    <row r="114" spans="1:9" ht="25.5" hidden="1" x14ac:dyDescent="0.25">
      <c r="A114" s="214"/>
      <c r="B114" s="35" t="s">
        <v>749</v>
      </c>
      <c r="C114" s="49" t="s">
        <v>119</v>
      </c>
      <c r="D114" s="36">
        <v>0.58819999999999995</v>
      </c>
      <c r="E114" s="30">
        <v>174.5625</v>
      </c>
      <c r="F114" s="33">
        <f t="shared" si="6"/>
        <v>102.68</v>
      </c>
      <c r="G114" s="44"/>
      <c r="H114" s="45"/>
      <c r="I114" s="149">
        <v>0</v>
      </c>
    </row>
    <row r="115" spans="1:9" hidden="1" x14ac:dyDescent="0.25">
      <c r="A115" s="214"/>
      <c r="B115" s="35" t="s">
        <v>696</v>
      </c>
      <c r="C115" s="49" t="s">
        <v>695</v>
      </c>
      <c r="D115" s="36">
        <v>2.5491999999999999</v>
      </c>
      <c r="E115" s="30">
        <v>18.420500000000001</v>
      </c>
      <c r="F115" s="33">
        <f t="shared" si="6"/>
        <v>46.96</v>
      </c>
      <c r="G115" s="44"/>
      <c r="H115" s="45"/>
      <c r="I115" s="149">
        <v>0</v>
      </c>
    </row>
    <row r="116" spans="1:9" ht="25.5" hidden="1" x14ac:dyDescent="0.25">
      <c r="A116" s="214"/>
      <c r="B116" s="35" t="s">
        <v>1427</v>
      </c>
      <c r="C116" s="35" t="s">
        <v>695</v>
      </c>
      <c r="D116" s="36">
        <v>1.6069</v>
      </c>
      <c r="E116" s="30">
        <v>18.534500000000001</v>
      </c>
      <c r="F116" s="33">
        <f>IF(ISNUMBER(E116),E116*$D116,"")</f>
        <v>29.783088050000003</v>
      </c>
      <c r="G116" s="44"/>
      <c r="H116" s="45"/>
      <c r="I116" s="149">
        <v>0</v>
      </c>
    </row>
    <row r="117" spans="1:9" ht="38.25" hidden="1" x14ac:dyDescent="0.25">
      <c r="A117" s="214"/>
      <c r="B117" s="35" t="s">
        <v>116</v>
      </c>
      <c r="C117" s="46" t="s">
        <v>932</v>
      </c>
      <c r="D117" s="36">
        <v>1.1137999999999999</v>
      </c>
      <c r="E117" s="30">
        <v>1.3774999999999999</v>
      </c>
      <c r="F117" s="33">
        <f>IF(ISNUMBER(E117),E117*$D117,"")</f>
        <v>1.5342594999999999</v>
      </c>
      <c r="G117" s="44"/>
      <c r="H117" s="45"/>
      <c r="I117" s="149">
        <v>0</v>
      </c>
    </row>
    <row r="118" spans="1:9" ht="38.25" hidden="1" x14ac:dyDescent="0.25">
      <c r="A118" s="214"/>
      <c r="B118" s="35" t="s">
        <v>117</v>
      </c>
      <c r="C118" s="35" t="s">
        <v>934</v>
      </c>
      <c r="D118" s="36">
        <v>0.49309999999999998</v>
      </c>
      <c r="E118" s="30">
        <v>0.36099999999999999</v>
      </c>
      <c r="F118" s="33">
        <f>IF(ISNUMBER(E118),E118*$D118,"")</f>
        <v>0.17800909999999998</v>
      </c>
      <c r="G118" s="44"/>
      <c r="H118" s="45"/>
      <c r="I118" s="149">
        <v>0</v>
      </c>
    </row>
    <row r="119" spans="1:9" ht="51" hidden="1" x14ac:dyDescent="0.25">
      <c r="A119" s="214"/>
      <c r="B119" s="35" t="s">
        <v>3507</v>
      </c>
      <c r="C119" s="35" t="s">
        <v>119</v>
      </c>
      <c r="D119" s="36">
        <f>D111+D114</f>
        <v>1.2183999999999999</v>
      </c>
      <c r="E119" s="30">
        <v>7.9145696999999986</v>
      </c>
      <c r="F119" s="33">
        <f>IF(ISNUMBER(E119),E119*$D119,"")</f>
        <v>9.6431117224799969</v>
      </c>
      <c r="G119" s="44"/>
      <c r="H119" s="45"/>
      <c r="I119" s="149">
        <v>0</v>
      </c>
    </row>
    <row r="120" spans="1:9" ht="38.25" hidden="1" x14ac:dyDescent="0.25">
      <c r="A120" s="214"/>
      <c r="B120" s="35" t="s">
        <v>3504</v>
      </c>
      <c r="C120" s="49" t="s">
        <v>121</v>
      </c>
      <c r="D120" s="36">
        <f>20*(D111+D114)</f>
        <v>24.367999999999999</v>
      </c>
      <c r="E120" s="33">
        <v>2.6230221999999994</v>
      </c>
      <c r="F120" s="33">
        <f t="shared" ref="F120:F139" si="7">IF(ISNUMBER(E120),ROUND(E120*$D120,2),"")</f>
        <v>63.92</v>
      </c>
      <c r="G120" s="44"/>
      <c r="H120" s="45"/>
      <c r="I120" s="149">
        <v>0</v>
      </c>
    </row>
    <row r="121" spans="1:9" hidden="1" x14ac:dyDescent="0.25">
      <c r="A121" s="214"/>
      <c r="B121" s="50"/>
      <c r="C121" s="129"/>
      <c r="D121" s="36"/>
      <c r="E121" s="30" t="s">
        <v>514</v>
      </c>
      <c r="F121" s="33" t="str">
        <f t="shared" si="7"/>
        <v/>
      </c>
      <c r="G121" s="44"/>
      <c r="H121" s="45"/>
      <c r="I121" s="149">
        <v>0</v>
      </c>
    </row>
    <row r="122" spans="1:9" hidden="1" x14ac:dyDescent="0.25">
      <c r="A122" s="214"/>
      <c r="B122" s="47" t="s">
        <v>747</v>
      </c>
      <c r="C122" s="129"/>
      <c r="D122" s="36"/>
      <c r="E122" s="30" t="s">
        <v>514</v>
      </c>
      <c r="F122" s="33" t="str">
        <f t="shared" si="7"/>
        <v/>
      </c>
      <c r="G122" s="44"/>
      <c r="H122" s="45"/>
      <c r="I122" s="149">
        <v>0</v>
      </c>
    </row>
    <row r="123" spans="1:9" ht="15.75" hidden="1" thickBot="1" x14ac:dyDescent="0.3">
      <c r="A123" s="217"/>
      <c r="B123" s="103"/>
      <c r="C123" s="79"/>
      <c r="D123" s="95"/>
      <c r="E123" s="66" t="s">
        <v>514</v>
      </c>
      <c r="F123" s="66" t="str">
        <f t="shared" si="7"/>
        <v/>
      </c>
      <c r="G123" s="68"/>
      <c r="H123" s="30"/>
      <c r="I123" s="149">
        <v>0</v>
      </c>
    </row>
    <row r="124" spans="1:9" ht="15.75" hidden="1" thickBot="1" x14ac:dyDescent="0.3">
      <c r="A124" s="216" t="e">
        <f>IFERROR(INDEX(#REF!,MATCH(LEFT(#REF!,12),#REF!,0),1),INDEX(#REF!,MATCH(LEFT(#REF!,13),#REF!,0),1))</f>
        <v>#REF!</v>
      </c>
      <c r="B124" s="40" t="s">
        <v>514</v>
      </c>
      <c r="C124" s="77" t="s">
        <v>891</v>
      </c>
      <c r="D124" s="93"/>
      <c r="E124" s="27" t="s">
        <v>514</v>
      </c>
      <c r="F124" s="25" t="str">
        <f t="shared" si="7"/>
        <v/>
      </c>
      <c r="G124" s="28"/>
      <c r="H124" s="29"/>
      <c r="I124" s="149">
        <v>0</v>
      </c>
    </row>
    <row r="125" spans="1:9" hidden="1" x14ac:dyDescent="0.25">
      <c r="A125" s="214"/>
      <c r="B125" s="31" t="s">
        <v>514</v>
      </c>
      <c r="C125" s="78"/>
      <c r="D125" s="91"/>
      <c r="E125" s="30" t="s">
        <v>514</v>
      </c>
      <c r="F125" s="30" t="str">
        <f t="shared" si="7"/>
        <v/>
      </c>
      <c r="G125" s="34"/>
      <c r="H125" s="30"/>
      <c r="I125" s="149">
        <v>0</v>
      </c>
    </row>
    <row r="126" spans="1:9" ht="25.5" hidden="1" x14ac:dyDescent="0.25">
      <c r="A126" s="214"/>
      <c r="B126" s="35" t="s">
        <v>3227</v>
      </c>
      <c r="C126" s="35" t="s">
        <v>891</v>
      </c>
      <c r="D126" s="36">
        <v>1.1100000000000001</v>
      </c>
      <c r="E126" s="30">
        <v>10.924999999999999</v>
      </c>
      <c r="F126" s="33">
        <f t="shared" si="7"/>
        <v>12.13</v>
      </c>
      <c r="G126" s="44">
        <f>SUM(F126:F127)</f>
        <v>12.22</v>
      </c>
      <c r="H126" s="45"/>
      <c r="I126" s="149">
        <v>0</v>
      </c>
    </row>
    <row r="127" spans="1:9" hidden="1" x14ac:dyDescent="0.25">
      <c r="A127" s="214"/>
      <c r="B127" s="35" t="s">
        <v>894</v>
      </c>
      <c r="C127" s="35" t="s">
        <v>695</v>
      </c>
      <c r="D127" s="36">
        <v>3.7000000000000002E-3</v>
      </c>
      <c r="E127" s="30">
        <v>24.747499999999999</v>
      </c>
      <c r="F127" s="33">
        <f t="shared" si="7"/>
        <v>0.09</v>
      </c>
      <c r="G127" s="44"/>
      <c r="H127" s="45"/>
      <c r="I127" s="149">
        <v>0</v>
      </c>
    </row>
    <row r="128" spans="1:9" ht="15.75" hidden="1" thickBot="1" x14ac:dyDescent="0.3">
      <c r="A128" s="217"/>
      <c r="B128" s="54" t="s">
        <v>514</v>
      </c>
      <c r="C128" s="79"/>
      <c r="D128" s="95"/>
      <c r="E128" s="66" t="s">
        <v>514</v>
      </c>
      <c r="F128" s="67" t="str">
        <f t="shared" si="7"/>
        <v/>
      </c>
      <c r="G128" s="68"/>
      <c r="H128" s="30"/>
      <c r="I128" s="149">
        <v>0</v>
      </c>
    </row>
    <row r="129" spans="1:9" ht="15.75" hidden="1" thickBot="1" x14ac:dyDescent="0.3">
      <c r="A129" s="216" t="e">
        <f>IFERROR(INDEX(#REF!,MATCH(LEFT(#REF!,12),#REF!,0),1),INDEX(#REF!,MATCH(LEFT(#REF!,13),#REF!,0),1))</f>
        <v>#REF!</v>
      </c>
      <c r="B129" s="40" t="s">
        <v>514</v>
      </c>
      <c r="C129" s="77" t="s">
        <v>891</v>
      </c>
      <c r="D129" s="93"/>
      <c r="E129" s="27" t="s">
        <v>514</v>
      </c>
      <c r="F129" s="25" t="str">
        <f t="shared" si="7"/>
        <v/>
      </c>
      <c r="G129" s="28"/>
      <c r="H129" s="29"/>
      <c r="I129" s="149">
        <v>0</v>
      </c>
    </row>
    <row r="130" spans="1:9" hidden="1" x14ac:dyDescent="0.25">
      <c r="A130" s="214"/>
      <c r="B130" s="31" t="s">
        <v>514</v>
      </c>
      <c r="C130" s="78"/>
      <c r="D130" s="91"/>
      <c r="E130" s="30" t="s">
        <v>514</v>
      </c>
      <c r="F130" s="30" t="str">
        <f t="shared" si="7"/>
        <v/>
      </c>
      <c r="G130" s="34"/>
      <c r="H130" s="30"/>
      <c r="I130" s="149">
        <v>0</v>
      </c>
    </row>
    <row r="131" spans="1:9" hidden="1" x14ac:dyDescent="0.25">
      <c r="A131" s="214"/>
      <c r="B131" s="35" t="s">
        <v>1435</v>
      </c>
      <c r="C131" s="49" t="s">
        <v>891</v>
      </c>
      <c r="D131" s="36">
        <v>1.07</v>
      </c>
      <c r="E131" s="30">
        <v>9.6234999999999999</v>
      </c>
      <c r="F131" s="33">
        <f t="shared" si="7"/>
        <v>10.3</v>
      </c>
      <c r="G131" s="44">
        <f>SUM(F131:F133)</f>
        <v>11.89</v>
      </c>
      <c r="H131" s="45"/>
      <c r="I131" s="149">
        <v>0</v>
      </c>
    </row>
    <row r="132" spans="1:9" hidden="1" x14ac:dyDescent="0.25">
      <c r="A132" s="214"/>
      <c r="B132" s="35" t="s">
        <v>893</v>
      </c>
      <c r="C132" s="49" t="s">
        <v>695</v>
      </c>
      <c r="D132" s="36">
        <v>8.2000000000000007E-3</v>
      </c>
      <c r="E132" s="33">
        <v>18.3825</v>
      </c>
      <c r="F132" s="33">
        <f t="shared" si="7"/>
        <v>0.15</v>
      </c>
      <c r="G132" s="44"/>
      <c r="H132" s="45"/>
      <c r="I132" s="149">
        <v>0</v>
      </c>
    </row>
    <row r="133" spans="1:9" hidden="1" x14ac:dyDescent="0.25">
      <c r="A133" s="214"/>
      <c r="B133" s="35" t="s">
        <v>894</v>
      </c>
      <c r="C133" s="49" t="s">
        <v>695</v>
      </c>
      <c r="D133" s="36">
        <v>5.8099999999999999E-2</v>
      </c>
      <c r="E133" s="30">
        <v>24.747499999999999</v>
      </c>
      <c r="F133" s="33">
        <f t="shared" si="7"/>
        <v>1.44</v>
      </c>
      <c r="G133" s="44"/>
      <c r="H133" s="45"/>
      <c r="I133" s="149">
        <v>0</v>
      </c>
    </row>
    <row r="134" spans="1:9" ht="15.75" hidden="1" thickBot="1" x14ac:dyDescent="0.3">
      <c r="A134" s="217"/>
      <c r="B134" s="54" t="s">
        <v>514</v>
      </c>
      <c r="C134" s="79"/>
      <c r="D134" s="95"/>
      <c r="E134" s="66" t="s">
        <v>514</v>
      </c>
      <c r="F134" s="67" t="str">
        <f t="shared" si="7"/>
        <v/>
      </c>
      <c r="G134" s="68"/>
      <c r="H134" s="30"/>
      <c r="I134" s="149">
        <v>0</v>
      </c>
    </row>
    <row r="135" spans="1:9" ht="15.75" hidden="1" thickBot="1" x14ac:dyDescent="0.3">
      <c r="A135" s="216" t="e">
        <f>IFERROR(INDEX(#REF!,MATCH(LEFT(#REF!,12),#REF!,0),1),INDEX(#REF!,MATCH(LEFT(#REF!,13),#REF!,0),1))</f>
        <v>#REF!</v>
      </c>
      <c r="B135" s="40" t="s">
        <v>514</v>
      </c>
      <c r="C135" s="77" t="s">
        <v>891</v>
      </c>
      <c r="D135" s="93"/>
      <c r="E135" s="27" t="s">
        <v>514</v>
      </c>
      <c r="F135" s="25" t="str">
        <f t="shared" si="7"/>
        <v/>
      </c>
      <c r="G135" s="28"/>
      <c r="H135" s="29"/>
      <c r="I135" s="149">
        <v>0</v>
      </c>
    </row>
    <row r="136" spans="1:9" hidden="1" x14ac:dyDescent="0.25">
      <c r="A136" s="214"/>
      <c r="B136" s="31" t="s">
        <v>514</v>
      </c>
      <c r="C136" s="78"/>
      <c r="D136" s="91"/>
      <c r="E136" s="30" t="s">
        <v>514</v>
      </c>
      <c r="F136" s="30" t="str">
        <f t="shared" si="7"/>
        <v/>
      </c>
      <c r="G136" s="34"/>
      <c r="H136" s="30"/>
      <c r="I136" s="149">
        <v>0</v>
      </c>
    </row>
    <row r="137" spans="1:9" hidden="1" x14ac:dyDescent="0.25">
      <c r="A137" s="214"/>
      <c r="B137" s="35" t="s">
        <v>765</v>
      </c>
      <c r="C137" s="35" t="s">
        <v>891</v>
      </c>
      <c r="D137" s="36">
        <v>1.1100000000000001</v>
      </c>
      <c r="E137" s="30">
        <v>8.8064999999999998</v>
      </c>
      <c r="F137" s="33">
        <f t="shared" si="7"/>
        <v>9.7799999999999994</v>
      </c>
      <c r="G137" s="44">
        <f>SUM(F137:F138)</f>
        <v>9.84</v>
      </c>
      <c r="H137" s="45"/>
      <c r="I137" s="149">
        <v>0</v>
      </c>
    </row>
    <row r="138" spans="1:9" hidden="1" x14ac:dyDescent="0.25">
      <c r="A138" s="214"/>
      <c r="B138" s="35" t="s">
        <v>894</v>
      </c>
      <c r="C138" s="35" t="s">
        <v>695</v>
      </c>
      <c r="D138" s="36">
        <v>2.5000000000000001E-3</v>
      </c>
      <c r="E138" s="30">
        <v>24.747499999999999</v>
      </c>
      <c r="F138" s="33">
        <f t="shared" si="7"/>
        <v>0.06</v>
      </c>
      <c r="G138" s="44"/>
      <c r="H138" s="45"/>
      <c r="I138" s="149">
        <v>0</v>
      </c>
    </row>
    <row r="139" spans="1:9" ht="15.75" hidden="1" thickBot="1" x14ac:dyDescent="0.3">
      <c r="A139" s="217"/>
      <c r="B139" s="54" t="s">
        <v>514</v>
      </c>
      <c r="C139" s="79"/>
      <c r="D139" s="95"/>
      <c r="E139" s="66" t="s">
        <v>514</v>
      </c>
      <c r="F139" s="67" t="str">
        <f t="shared" si="7"/>
        <v/>
      </c>
      <c r="G139" s="68"/>
      <c r="H139" s="30"/>
      <c r="I139" s="149">
        <v>0</v>
      </c>
    </row>
  </sheetData>
  <autoFilter ref="A5:I139" xr:uid="{00000000-0009-0000-0000-000005000000}">
    <filterColumn colId="8">
      <filters>
        <filter val="71,6759"/>
        <filter val="1.433,5178"/>
      </filters>
    </filterColumn>
  </autoFilter>
  <mergeCells count="14">
    <mergeCell ref="A135:A139"/>
    <mergeCell ref="A129:A134"/>
    <mergeCell ref="A109:A123"/>
    <mergeCell ref="A124:A128"/>
    <mergeCell ref="A95:A108"/>
    <mergeCell ref="A73:A80"/>
    <mergeCell ref="A81:A94"/>
    <mergeCell ref="A46:A58"/>
    <mergeCell ref="A59:A72"/>
    <mergeCell ref="A6:A10"/>
    <mergeCell ref="A11:A16"/>
    <mergeCell ref="A17:A23"/>
    <mergeCell ref="A24:A35"/>
    <mergeCell ref="A36:A45"/>
  </mergeCells>
  <conditionalFormatting sqref="F4">
    <cfRule type="containsText" dxfId="39" priority="18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pageSetUpPr fitToPage="1"/>
  </sheetPr>
  <dimension ref="A1:E41"/>
  <sheetViews>
    <sheetView zoomScale="80" zoomScaleNormal="80" workbookViewId="0">
      <selection activeCell="H27" sqref="H27"/>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4" t="str">
        <f>Orçamentária!A1</f>
        <v>ARP para fornecimento de serviços comuns de engenharia - 2023</v>
      </c>
      <c r="B1" s="122"/>
      <c r="C1" s="122"/>
      <c r="D1" s="122"/>
      <c r="E1" s="122"/>
    </row>
    <row r="2" spans="1:5" ht="24.95" customHeight="1" x14ac:dyDescent="0.25">
      <c r="A2" s="106" t="s">
        <v>3161</v>
      </c>
      <c r="B2" s="106"/>
      <c r="C2" s="106"/>
      <c r="D2" s="106"/>
      <c r="E2" s="106"/>
    </row>
    <row r="3" spans="1:5" ht="18" customHeight="1" thickBot="1" x14ac:dyDescent="0.3">
      <c r="A3" s="124"/>
      <c r="B3" s="124"/>
      <c r="C3" s="125"/>
      <c r="D3" s="124"/>
      <c r="E3" s="124"/>
    </row>
    <row r="4" spans="1:5" s="161" customFormat="1" ht="24.95" customHeight="1" thickBot="1" x14ac:dyDescent="0.3">
      <c r="A4" s="185" t="s">
        <v>3162</v>
      </c>
      <c r="B4" s="186"/>
      <c r="C4" s="192"/>
      <c r="D4" s="185" t="s">
        <v>3163</v>
      </c>
      <c r="E4" s="186"/>
    </row>
    <row r="5" spans="1:5" s="161" customFormat="1" ht="20.100000000000001" customHeight="1" x14ac:dyDescent="0.25">
      <c r="A5" s="218" t="s">
        <v>3164</v>
      </c>
      <c r="B5" s="187" t="s">
        <v>3165</v>
      </c>
      <c r="C5" s="188"/>
      <c r="D5" s="218" t="s">
        <v>3164</v>
      </c>
      <c r="E5" s="187" t="s">
        <v>3165</v>
      </c>
    </row>
    <row r="6" spans="1:5" s="161" customFormat="1" ht="20.100000000000001" customHeight="1" x14ac:dyDescent="0.25">
      <c r="A6" s="219"/>
      <c r="B6" s="189" t="s">
        <v>3166</v>
      </c>
      <c r="C6" s="188"/>
      <c r="D6" s="219"/>
      <c r="E6" s="189" t="s">
        <v>3166</v>
      </c>
    </row>
    <row r="7" spans="1:5" s="161" customFormat="1" ht="20.100000000000001" customHeight="1" x14ac:dyDescent="0.25">
      <c r="A7" s="220"/>
      <c r="B7" s="190" t="s">
        <v>3167</v>
      </c>
      <c r="C7" s="188"/>
      <c r="D7" s="220"/>
      <c r="E7" s="190" t="s">
        <v>3167</v>
      </c>
    </row>
    <row r="8" spans="1:5" s="161" customFormat="1" ht="20.100000000000001" customHeight="1" x14ac:dyDescent="0.25">
      <c r="A8" s="191" t="s">
        <v>3168</v>
      </c>
      <c r="B8" s="126">
        <v>3.5000000000000003E-2</v>
      </c>
      <c r="C8" s="193"/>
      <c r="D8" s="191" t="s">
        <v>3168</v>
      </c>
      <c r="E8" s="126">
        <v>1.7500000000000002E-2</v>
      </c>
    </row>
    <row r="9" spans="1:5" s="161" customFormat="1" ht="20.100000000000001" customHeight="1" x14ac:dyDescent="0.25">
      <c r="A9" s="191" t="s">
        <v>3169</v>
      </c>
      <c r="B9" s="126">
        <v>8.0000000000000002E-3</v>
      </c>
      <c r="C9" s="193"/>
      <c r="D9" s="191" t="s">
        <v>3169</v>
      </c>
      <c r="E9" s="126">
        <v>3.8999999999999998E-3</v>
      </c>
    </row>
    <row r="10" spans="1:5" s="161" customFormat="1" ht="20.100000000000001" customHeight="1" x14ac:dyDescent="0.25">
      <c r="A10" s="191" t="s">
        <v>3170</v>
      </c>
      <c r="B10" s="126">
        <v>1.2500000000000001E-2</v>
      </c>
      <c r="C10" s="193"/>
      <c r="D10" s="191" t="s">
        <v>3170</v>
      </c>
      <c r="E10" s="126">
        <v>5.5999999999999999E-3</v>
      </c>
    </row>
    <row r="11" spans="1:5" s="161" customFormat="1" ht="20.100000000000001" customHeight="1" x14ac:dyDescent="0.25">
      <c r="A11" s="191" t="s">
        <v>3171</v>
      </c>
      <c r="B11" s="126">
        <v>7.6E-3</v>
      </c>
      <c r="C11" s="193"/>
      <c r="D11" s="191" t="s">
        <v>3171</v>
      </c>
      <c r="E11" s="126">
        <v>8.5000000000000006E-3</v>
      </c>
    </row>
    <row r="12" spans="1:5" s="161" customFormat="1" ht="20.100000000000001" customHeight="1" x14ac:dyDescent="0.25">
      <c r="A12" s="191" t="s">
        <v>101</v>
      </c>
      <c r="B12" s="126">
        <v>6.7799999999999999E-2</v>
      </c>
      <c r="C12" s="193"/>
      <c r="D12" s="191" t="s">
        <v>101</v>
      </c>
      <c r="E12" s="126">
        <v>3.5000000000000003E-2</v>
      </c>
    </row>
    <row r="13" spans="1:5" s="161" customFormat="1" ht="20.100000000000001" customHeight="1" x14ac:dyDescent="0.25">
      <c r="A13" s="191" t="s">
        <v>3172</v>
      </c>
      <c r="B13" s="126">
        <v>6.4999999999999997E-3</v>
      </c>
      <c r="C13" s="193"/>
      <c r="D13" s="191" t="s">
        <v>3172</v>
      </c>
      <c r="E13" s="126">
        <v>6.4999999999999997E-3</v>
      </c>
    </row>
    <row r="14" spans="1:5" s="161" customFormat="1" ht="20.100000000000001" customHeight="1" x14ac:dyDescent="0.25">
      <c r="A14" s="191" t="s">
        <v>3173</v>
      </c>
      <c r="B14" s="126">
        <v>0.03</v>
      </c>
      <c r="C14" s="193"/>
      <c r="D14" s="191" t="s">
        <v>3173</v>
      </c>
      <c r="E14" s="126">
        <v>0.03</v>
      </c>
    </row>
    <row r="15" spans="1:5" s="161" customFormat="1" ht="20.100000000000001" customHeight="1" x14ac:dyDescent="0.25">
      <c r="A15" s="191" t="s">
        <v>3174</v>
      </c>
      <c r="B15" s="126">
        <v>0</v>
      </c>
      <c r="C15" s="193"/>
      <c r="D15" s="191" t="s">
        <v>3174</v>
      </c>
      <c r="E15" s="126">
        <v>0</v>
      </c>
    </row>
    <row r="16" spans="1:5" s="161" customFormat="1" ht="20.100000000000001" customHeight="1" x14ac:dyDescent="0.25">
      <c r="A16" s="191" t="s">
        <v>3175</v>
      </c>
      <c r="B16" s="126">
        <v>0.01</v>
      </c>
      <c r="C16" s="193"/>
      <c r="D16" s="191" t="s">
        <v>3175</v>
      </c>
      <c r="E16" s="126">
        <v>0</v>
      </c>
    </row>
    <row r="17" spans="1:5" s="161" customFormat="1" ht="24.95" customHeight="1" thickBot="1" x14ac:dyDescent="0.3">
      <c r="A17" s="194" t="s">
        <v>3162</v>
      </c>
      <c r="B17" s="195">
        <f>ROUND(((1+B8+B9+B10)*(1+B11)*(1+B12))/(1-(B13+B14+B15+B16))-1,4)</f>
        <v>0.191</v>
      </c>
      <c r="C17" s="193"/>
      <c r="D17" s="196" t="s">
        <v>3163</v>
      </c>
      <c r="E17" s="195">
        <f>ROUND(((1+E8+E9+E10)*(1+E11)*(1+E12))/(1-(E13+E14+E15+E16))-1,4)</f>
        <v>0.11260000000000001</v>
      </c>
    </row>
    <row r="18" spans="1:5" s="161" customFormat="1" x14ac:dyDescent="0.25">
      <c r="A18" s="197"/>
      <c r="B18" s="193"/>
      <c r="C18" s="201"/>
      <c r="D18" s="201"/>
      <c r="E18" s="193"/>
    </row>
    <row r="19" spans="1:5" s="161" customFormat="1" x14ac:dyDescent="0.25">
      <c r="A19" s="198"/>
      <c r="B19" s="199"/>
      <c r="C19" s="193"/>
      <c r="D19" s="198"/>
      <c r="E19" s="199"/>
    </row>
    <row r="20" spans="1:5" s="161" customFormat="1" x14ac:dyDescent="0.25">
      <c r="D20" s="200"/>
    </row>
    <row r="21" spans="1:5" s="161" customFormat="1" x14ac:dyDescent="0.25"/>
    <row r="22" spans="1:5" s="161" customFormat="1" x14ac:dyDescent="0.25"/>
    <row r="23" spans="1:5" s="161" customFormat="1" x14ac:dyDescent="0.25"/>
    <row r="24" spans="1:5" s="161" customFormat="1" x14ac:dyDescent="0.25"/>
    <row r="25" spans="1:5" s="161" customFormat="1" x14ac:dyDescent="0.25"/>
    <row r="26" spans="1:5" s="161" customFormat="1" x14ac:dyDescent="0.25"/>
    <row r="27" spans="1:5" s="161" customFormat="1" x14ac:dyDescent="0.25"/>
    <row r="28" spans="1:5" s="161" customFormat="1" x14ac:dyDescent="0.25"/>
    <row r="29" spans="1:5" s="161" customFormat="1" x14ac:dyDescent="0.25"/>
    <row r="30" spans="1:5" s="161" customFormat="1" x14ac:dyDescent="0.25"/>
    <row r="31" spans="1:5" s="161" customFormat="1" x14ac:dyDescent="0.25"/>
    <row r="32" spans="1:5" s="161" customFormat="1" x14ac:dyDescent="0.25"/>
    <row r="33" spans="1:5" s="161" customFormat="1" x14ac:dyDescent="0.25"/>
    <row r="34" spans="1:5" s="161" customFormat="1" x14ac:dyDescent="0.25"/>
    <row r="35" spans="1:5" s="161" customFormat="1" x14ac:dyDescent="0.25"/>
    <row r="36" spans="1:5" s="161" customFormat="1" x14ac:dyDescent="0.25"/>
    <row r="37" spans="1:5" s="161" customFormat="1" x14ac:dyDescent="0.25"/>
    <row r="38" spans="1:5" s="161" customFormat="1" x14ac:dyDescent="0.25"/>
    <row r="39" spans="1:5" s="161" customFormat="1" ht="15.75" x14ac:dyDescent="0.25">
      <c r="A39" s="221" t="s">
        <v>3176</v>
      </c>
      <c r="B39" s="221"/>
      <c r="C39" s="221"/>
      <c r="D39" s="221"/>
      <c r="E39" s="221"/>
    </row>
    <row r="40" spans="1:5" x14ac:dyDescent="0.25">
      <c r="A40" s="115"/>
      <c r="B40" s="115"/>
      <c r="C40" s="115"/>
      <c r="D40" s="115"/>
      <c r="E40" s="115"/>
    </row>
    <row r="41" spans="1:5" x14ac:dyDescent="0.25">
      <c r="A41" s="115"/>
      <c r="B41" s="115"/>
      <c r="C41" s="115"/>
      <c r="D41" s="115"/>
      <c r="E41" s="115"/>
    </row>
  </sheetData>
  <sheetProtection algorithmName="SHA-512" hashValue="y+InLy3g2G2+NMRq5VQAAzAjYnAePRLS8bnUtqPtFbX19KVTiJxsIlsd1fh6BNGzxBkS8ZdZzxE3Wa/PJmXfUw==" saltValue="CJRbE6NzkoCuqQ3jF4Cs+w=="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68"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Orçamentária</vt:lpstr>
      <vt:lpstr>Composições</vt:lpstr>
      <vt:lpstr>Comp.Aux1</vt:lpstr>
      <vt:lpstr>Comp.Aux2</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cp:lastModifiedBy>
  <cp:lastPrinted>2022-10-10T18:47:41Z</cp:lastPrinted>
  <dcterms:created xsi:type="dcterms:W3CDTF">2020-07-07T13:57:42Z</dcterms:created>
  <dcterms:modified xsi:type="dcterms:W3CDTF">2023-01-12T20:38:59Z</dcterms:modified>
</cp:coreProperties>
</file>